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tables/table1.xml" ContentType="application/vnd.openxmlformats-officedocument.spreadsheetml.table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tables/table2.xml" ContentType="application/vnd.openxmlformats-officedocument.spreadsheetml.table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tables/table3.xml" ContentType="application/vnd.openxmlformats-officedocument.spreadsheetml.table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tables/table4.xml" ContentType="application/vnd.openxmlformats-officedocument.spreadsheetml.table+xml"/>
  <Override PartName="/xl/comments6.xml" ContentType="application/vnd.openxmlformats-officedocument.spreadsheetml.comments+xml"/>
  <Override PartName="/xl/threadedComments/threadedComment6.xml" ContentType="application/vnd.ms-excel.threadedcomments+xml"/>
  <Override PartName="/xl/tables/table5.xml" ContentType="application/vnd.openxmlformats-officedocument.spreadsheetml.table+xml"/>
  <Override PartName="/xl/comments7.xml" ContentType="application/vnd.openxmlformats-officedocument.spreadsheetml.comments+xml"/>
  <Override PartName="/xl/threadedComments/threadedComment7.xml" ContentType="application/vnd.ms-excel.threadedcomments+xml"/>
  <Override PartName="/xl/tables/table6.xml" ContentType="application/vnd.openxmlformats-officedocument.spreadsheetml.table+xml"/>
  <Override PartName="/xl/comments8.xml" ContentType="application/vnd.openxmlformats-officedocument.spreadsheetml.comments+xml"/>
  <Override PartName="/xl/threadedComments/threadedComment8.xml" ContentType="application/vnd.ms-excel.threadedcomments+xml"/>
  <Override PartName="/xl/tables/table7.xml" ContentType="application/vnd.openxmlformats-officedocument.spreadsheetml.table+xml"/>
  <Override PartName="/xl/comments9.xml" ContentType="application/vnd.openxmlformats-officedocument.spreadsheetml.comments+xml"/>
  <Override PartName="/xl/threadedComments/threadedComment9.xml" ContentType="application/vnd.ms-excel.threadedcomments+xml"/>
  <Override PartName="/xl/tables/table8.xml" ContentType="application/vnd.openxmlformats-officedocument.spreadsheetml.table+xml"/>
  <Override PartName="/xl/comments10.xml" ContentType="application/vnd.openxmlformats-officedocument.spreadsheetml.comments+xml"/>
  <Override PartName="/xl/threadedComments/threadedComment10.xml" ContentType="application/vnd.ms-excel.threadedcomments+xml"/>
  <Override PartName="/xl/comments11.xml" ContentType="application/vnd.openxmlformats-officedocument.spreadsheetml.comments+xml"/>
  <Override PartName="/xl/threadedComments/threadedComment11.xml" ContentType="application/vnd.ms-excel.threadedcomments+xml"/>
  <Override PartName="/xl/comments12.xml" ContentType="application/vnd.openxmlformats-officedocument.spreadsheetml.comments+xml"/>
  <Override PartName="/xl/threadedComments/threadedComment1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Filipe Messias\Desktop\base-atividades\"/>
    </mc:Choice>
  </mc:AlternateContent>
  <xr:revisionPtr revIDLastSave="0" documentId="8_{E362E367-C47C-4E44-BD09-E10904A4D8FF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Capa" sheetId="15" r:id="rId1"/>
    <sheet name="Dashboard" sheetId="16" r:id="rId2"/>
    <sheet name="Leia-me" sheetId="1" r:id="rId3"/>
    <sheet name="Lançamentos" sheetId="2" r:id="rId4"/>
    <sheet name="Workflow (Tracker)" sheetId="3" r:id="rId5"/>
    <sheet name="E1 — Solicitação" sheetId="4" r:id="rId6"/>
    <sheet name="E2 — Triagem" sheetId="5" r:id="rId7"/>
    <sheet name="E3 — Levantamento" sheetId="6" r:id="rId8"/>
    <sheet name="E4 — Execução" sheetId="7" r:id="rId9"/>
    <sheet name="E5 — Validação" sheetId="8" r:id="rId10"/>
    <sheet name="E6 — Ajustes" sheetId="9" r:id="rId11"/>
    <sheet name="E7 — Entrega" sheetId="10" r:id="rId12"/>
    <sheet name="E08 — Estabilização Hypercare" sheetId="11" r:id="rId13"/>
    <sheet name="Acompanhamento Semanal" sheetId="12" r:id="rId14"/>
    <sheet name="Cadastros" sheetId="14" r:id="rId15"/>
    <sheet name="PROMPT" sheetId="17" r:id="rId16"/>
  </sheets>
  <definedNames>
    <definedName name="_xlnm._FilterDatabase" localSheetId="3" hidden="1">Lançamentos!$B$2:$AA$1001</definedName>
    <definedName name="_xlnm.Print_Area" localSheetId="1">Dashboard!$B$2:$N$110</definedName>
    <definedName name="AvalDesemp">Cadastros!$R$6:$R$9</definedName>
    <definedName name="AvalPrazo">Cadastros!$S$6:$S$8</definedName>
    <definedName name="Beneficios">Cadastros!$I$6:$I$12</definedName>
    <definedName name="CategoriasImped">Cadastros!$Q$6:$Q$12</definedName>
    <definedName name="Complexidades">Cadastros!$G$6:$G$8</definedName>
    <definedName name="Departamentos">Cadastros!$C$6:$C$8</definedName>
    <definedName name="DeptosCSC">Cadastros!$L$6:$L$17</definedName>
    <definedName name="Empresas">Cadastros!$E$6:$E$12</definedName>
    <definedName name="EntBI">Cadastros!$AR$6:$AR$9</definedName>
    <definedName name="EntGov">Cadastros!$AO$6:$AO$11</definedName>
    <definedName name="EntMC">Cadastros!$AP$6:$AP$10</definedName>
    <definedName name="EntOper">Cadastros!$AT$6:$AT$12</definedName>
    <definedName name="EntPMO">Cadastros!$AS$6:$AS$9</definedName>
    <definedName name="EntTD">Cadastros!$AQ$6:$AQ$11</definedName>
    <definedName name="EquipePI">Cadastros!$N$6:$N$10</definedName>
    <definedName name="EtapasWorkflow">Cadastros!$U$6:$U$14</definedName>
    <definedName name="Impactos">Cadastros!$H$6:$H$8</definedName>
    <definedName name="Lista_Pilares_E2">Cadastros!$K$6:$K$11</definedName>
    <definedName name="MapaEnt">Cadastros!$Y$6:$Z$11</definedName>
    <definedName name="MapaPessoas">Cadastros!$AB$6:$AC$17</definedName>
    <definedName name="MapaTemas">Cadastros!$V$6:$W$14</definedName>
    <definedName name="MotivoStatus">Cadastros!$P$6:$P$15</definedName>
    <definedName name="NomeArquivo">'Leia-me'!$C$90</definedName>
    <definedName name="Papeis">Cadastros!$M$6:$M$7</definedName>
    <definedName name="Pes01">Cadastros!$AV$6:$AV$16</definedName>
    <definedName name="Pes02">Cadastros!$AW$6:$AW$19</definedName>
    <definedName name="Pes03">Cadastros!$AX$6:$AX$12</definedName>
    <definedName name="Pes04">Cadastros!$AY$6:$AY$26</definedName>
    <definedName name="Pes05">Cadastros!$AZ$6:$AZ$10</definedName>
    <definedName name="Pes06">Cadastros!$BA$6:$BA$13</definedName>
    <definedName name="Pes07">Cadastros!$BB$6:$BB$19</definedName>
    <definedName name="Pes08">Cadastros!$BC$6:$BC$16</definedName>
    <definedName name="Pes09">Cadastros!$BD$6:$BD$17</definedName>
    <definedName name="Pes10">Cadastros!$BE$6:$BE$13</definedName>
    <definedName name="Pes11">Cadastros!$BF$6:$BF$9</definedName>
    <definedName name="Pes12">Cadastros!$BG$6:$BG$9</definedName>
    <definedName name="Pilares">Cadastros!$K$6:$K$11</definedName>
    <definedName name="Prefixo">'Leia-me'!$C$86</definedName>
    <definedName name="Prioridades">Cadastros!$F$6:$F$8</definedName>
    <definedName name="Projetos">Cadastros!$B$6:$B$14</definedName>
    <definedName name="RadarCor">Cadastros!$T$6:$T$8</definedName>
    <definedName name="SimNao">Cadastros!$J$6:$J$7</definedName>
    <definedName name="StatusCriterio">Cadastros!$BJ$6:$BJ$10</definedName>
    <definedName name="StatusEtapa">Cadastros!$BI$6:$BI$13</definedName>
    <definedName name="StatusGeralProjeto">Cadastros!$BH$6:$BH$8</definedName>
    <definedName name="StatusList">Cadastros!$D$6:$D$11</definedName>
    <definedName name="StatusSemana">Cadastros!$O$6:$O$10</definedName>
    <definedName name="TemaActio">Cadastros!$AL$6:$AL$11</definedName>
    <definedName name="TemaIndMetas">Cadastros!$AM$6:$AM$11</definedName>
    <definedName name="TemaInvestidas">Cadastros!$AK$6:$AK$11</definedName>
    <definedName name="TemaLumen">Cadastros!$AE$6:$AE$19</definedName>
    <definedName name="TemaNewsletter">Cadastros!$AH$6:$AH$23</definedName>
    <definedName name="TemaRotinaFC">Cadastros!$AI$6:$AI$16</definedName>
    <definedName name="TemaRotinaFin">Cadastros!$AJ$6:$AJ$12</definedName>
    <definedName name="TemaSaneamento">Cadastros!$AG$6:$AG$9</definedName>
    <definedName name="TemaV360">Cadastros!$AF$6:$AF$8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T42" i="16" l="1" a="1"/>
  <c r="T42" i="16" s="1"/>
  <c r="AL2" i="16" a="1"/>
  <c r="AL2" i="16" s="1"/>
  <c r="AE2" i="16" a="1"/>
  <c r="AE2" i="16" s="1"/>
  <c r="B80" i="16"/>
  <c r="C54" i="1"/>
  <c r="B9" i="1"/>
  <c r="B8" i="1"/>
  <c r="X1001" i="2"/>
  <c r="W1001" i="2"/>
  <c r="X1000" i="2"/>
  <c r="W1000" i="2"/>
  <c r="X999" i="2"/>
  <c r="W999" i="2"/>
  <c r="X998" i="2"/>
  <c r="W998" i="2"/>
  <c r="X997" i="2"/>
  <c r="W997" i="2"/>
  <c r="X996" i="2"/>
  <c r="W996" i="2"/>
  <c r="X995" i="2"/>
  <c r="W995" i="2"/>
  <c r="X994" i="2"/>
  <c r="W994" i="2"/>
  <c r="X993" i="2"/>
  <c r="W993" i="2"/>
  <c r="X992" i="2"/>
  <c r="W992" i="2"/>
  <c r="X991" i="2"/>
  <c r="W991" i="2"/>
  <c r="X990" i="2"/>
  <c r="W990" i="2"/>
  <c r="X989" i="2"/>
  <c r="W989" i="2"/>
  <c r="X988" i="2"/>
  <c r="W988" i="2"/>
  <c r="X987" i="2"/>
  <c r="W987" i="2"/>
  <c r="X986" i="2"/>
  <c r="W986" i="2"/>
  <c r="X985" i="2"/>
  <c r="W985" i="2"/>
  <c r="X984" i="2"/>
  <c r="W984" i="2"/>
  <c r="X983" i="2"/>
  <c r="W983" i="2"/>
  <c r="X982" i="2"/>
  <c r="W982" i="2"/>
  <c r="X981" i="2"/>
  <c r="W981" i="2"/>
  <c r="X980" i="2"/>
  <c r="W980" i="2"/>
  <c r="X979" i="2"/>
  <c r="W979" i="2"/>
  <c r="X978" i="2"/>
  <c r="W978" i="2"/>
  <c r="X977" i="2"/>
  <c r="W977" i="2"/>
  <c r="X976" i="2"/>
  <c r="W976" i="2"/>
  <c r="X975" i="2"/>
  <c r="W975" i="2"/>
  <c r="X974" i="2"/>
  <c r="W974" i="2"/>
  <c r="X973" i="2"/>
  <c r="W973" i="2"/>
  <c r="X972" i="2"/>
  <c r="W972" i="2"/>
  <c r="X971" i="2"/>
  <c r="W971" i="2"/>
  <c r="X970" i="2"/>
  <c r="W970" i="2"/>
  <c r="X969" i="2"/>
  <c r="W969" i="2"/>
  <c r="X968" i="2"/>
  <c r="W968" i="2"/>
  <c r="X967" i="2"/>
  <c r="W967" i="2"/>
  <c r="X966" i="2"/>
  <c r="W966" i="2"/>
  <c r="X965" i="2"/>
  <c r="W965" i="2"/>
  <c r="X964" i="2"/>
  <c r="W964" i="2"/>
  <c r="X963" i="2"/>
  <c r="W963" i="2"/>
  <c r="X962" i="2"/>
  <c r="W962" i="2"/>
  <c r="X961" i="2"/>
  <c r="W961" i="2"/>
  <c r="X960" i="2"/>
  <c r="W960" i="2"/>
  <c r="X959" i="2"/>
  <c r="W959" i="2"/>
  <c r="X958" i="2"/>
  <c r="W958" i="2"/>
  <c r="X957" i="2"/>
  <c r="W957" i="2"/>
  <c r="X956" i="2"/>
  <c r="W956" i="2"/>
  <c r="X955" i="2"/>
  <c r="W955" i="2"/>
  <c r="X954" i="2"/>
  <c r="W954" i="2"/>
  <c r="X953" i="2"/>
  <c r="W953" i="2"/>
  <c r="X952" i="2"/>
  <c r="W952" i="2"/>
  <c r="X951" i="2"/>
  <c r="W951" i="2"/>
  <c r="X950" i="2"/>
  <c r="W950" i="2"/>
  <c r="X949" i="2"/>
  <c r="W949" i="2"/>
  <c r="X948" i="2"/>
  <c r="W948" i="2"/>
  <c r="X947" i="2"/>
  <c r="W947" i="2"/>
  <c r="X946" i="2"/>
  <c r="W946" i="2"/>
  <c r="X945" i="2"/>
  <c r="W945" i="2"/>
  <c r="X944" i="2"/>
  <c r="W944" i="2"/>
  <c r="X943" i="2"/>
  <c r="W943" i="2"/>
  <c r="X942" i="2"/>
  <c r="W942" i="2"/>
  <c r="X941" i="2"/>
  <c r="W941" i="2"/>
  <c r="X940" i="2"/>
  <c r="W940" i="2"/>
  <c r="X939" i="2"/>
  <c r="W939" i="2"/>
  <c r="X938" i="2"/>
  <c r="W938" i="2"/>
  <c r="X937" i="2"/>
  <c r="W937" i="2"/>
  <c r="X936" i="2"/>
  <c r="W936" i="2"/>
  <c r="X935" i="2"/>
  <c r="W935" i="2"/>
  <c r="X934" i="2"/>
  <c r="W934" i="2"/>
  <c r="X933" i="2"/>
  <c r="W933" i="2"/>
  <c r="X932" i="2"/>
  <c r="W932" i="2"/>
  <c r="X931" i="2"/>
  <c r="W931" i="2"/>
  <c r="X930" i="2"/>
  <c r="W930" i="2"/>
  <c r="X929" i="2"/>
  <c r="W929" i="2"/>
  <c r="X928" i="2"/>
  <c r="W928" i="2"/>
  <c r="X927" i="2"/>
  <c r="W927" i="2"/>
  <c r="X926" i="2"/>
  <c r="W926" i="2"/>
  <c r="X925" i="2"/>
  <c r="W925" i="2"/>
  <c r="X924" i="2"/>
  <c r="W924" i="2"/>
  <c r="X923" i="2"/>
  <c r="W923" i="2"/>
  <c r="X922" i="2"/>
  <c r="W922" i="2"/>
  <c r="X921" i="2"/>
  <c r="W921" i="2"/>
  <c r="X920" i="2"/>
  <c r="W920" i="2"/>
  <c r="X919" i="2"/>
  <c r="W919" i="2"/>
  <c r="X918" i="2"/>
  <c r="W918" i="2"/>
  <c r="X917" i="2"/>
  <c r="W917" i="2"/>
  <c r="X916" i="2"/>
  <c r="W916" i="2"/>
  <c r="X915" i="2"/>
  <c r="W915" i="2"/>
  <c r="X914" i="2"/>
  <c r="W914" i="2"/>
  <c r="X913" i="2"/>
  <c r="W913" i="2"/>
  <c r="X912" i="2"/>
  <c r="W912" i="2"/>
  <c r="X911" i="2"/>
  <c r="W911" i="2"/>
  <c r="X910" i="2"/>
  <c r="W910" i="2"/>
  <c r="X909" i="2"/>
  <c r="W909" i="2"/>
  <c r="X908" i="2"/>
  <c r="W908" i="2"/>
  <c r="X907" i="2"/>
  <c r="W907" i="2"/>
  <c r="X906" i="2"/>
  <c r="W906" i="2"/>
  <c r="X905" i="2"/>
  <c r="W905" i="2"/>
  <c r="X904" i="2"/>
  <c r="W904" i="2"/>
  <c r="X903" i="2"/>
  <c r="W903" i="2"/>
  <c r="X902" i="2"/>
  <c r="W902" i="2"/>
  <c r="X901" i="2"/>
  <c r="W901" i="2"/>
  <c r="X900" i="2"/>
  <c r="W900" i="2"/>
  <c r="X899" i="2"/>
  <c r="W899" i="2"/>
  <c r="X898" i="2"/>
  <c r="W898" i="2"/>
  <c r="X897" i="2"/>
  <c r="W897" i="2"/>
  <c r="X896" i="2"/>
  <c r="W896" i="2"/>
  <c r="X895" i="2"/>
  <c r="W895" i="2"/>
  <c r="X894" i="2"/>
  <c r="W894" i="2"/>
  <c r="X893" i="2"/>
  <c r="W893" i="2"/>
  <c r="X892" i="2"/>
  <c r="W892" i="2"/>
  <c r="X891" i="2"/>
  <c r="W891" i="2"/>
  <c r="X890" i="2"/>
  <c r="W890" i="2"/>
  <c r="X889" i="2"/>
  <c r="W889" i="2"/>
  <c r="X888" i="2"/>
  <c r="W888" i="2"/>
  <c r="X887" i="2"/>
  <c r="W887" i="2"/>
  <c r="X886" i="2"/>
  <c r="W886" i="2"/>
  <c r="X885" i="2"/>
  <c r="W885" i="2"/>
  <c r="X884" i="2"/>
  <c r="W884" i="2"/>
  <c r="X883" i="2"/>
  <c r="W883" i="2"/>
  <c r="X882" i="2"/>
  <c r="W882" i="2"/>
  <c r="X881" i="2"/>
  <c r="W881" i="2"/>
  <c r="X880" i="2"/>
  <c r="W880" i="2"/>
  <c r="X879" i="2"/>
  <c r="W879" i="2"/>
  <c r="X878" i="2"/>
  <c r="W878" i="2"/>
  <c r="X877" i="2"/>
  <c r="W877" i="2"/>
  <c r="X876" i="2"/>
  <c r="W876" i="2"/>
  <c r="X875" i="2"/>
  <c r="W875" i="2"/>
  <c r="X874" i="2"/>
  <c r="W874" i="2"/>
  <c r="X873" i="2"/>
  <c r="W873" i="2"/>
  <c r="X872" i="2"/>
  <c r="W872" i="2"/>
  <c r="X871" i="2"/>
  <c r="W871" i="2"/>
  <c r="X870" i="2"/>
  <c r="W870" i="2"/>
  <c r="X869" i="2"/>
  <c r="W869" i="2"/>
  <c r="X868" i="2"/>
  <c r="W868" i="2"/>
  <c r="X867" i="2"/>
  <c r="W867" i="2"/>
  <c r="X866" i="2"/>
  <c r="W866" i="2"/>
  <c r="X865" i="2"/>
  <c r="W865" i="2"/>
  <c r="X864" i="2"/>
  <c r="W864" i="2"/>
  <c r="X863" i="2"/>
  <c r="W863" i="2"/>
  <c r="X862" i="2"/>
  <c r="W862" i="2"/>
  <c r="X861" i="2"/>
  <c r="W861" i="2"/>
  <c r="X860" i="2"/>
  <c r="W860" i="2"/>
  <c r="X859" i="2"/>
  <c r="W859" i="2"/>
  <c r="X858" i="2"/>
  <c r="W858" i="2"/>
  <c r="X857" i="2"/>
  <c r="W857" i="2"/>
  <c r="X856" i="2"/>
  <c r="W856" i="2"/>
  <c r="X855" i="2"/>
  <c r="W855" i="2"/>
  <c r="X854" i="2"/>
  <c r="W854" i="2"/>
  <c r="X853" i="2"/>
  <c r="W853" i="2"/>
  <c r="X852" i="2"/>
  <c r="W852" i="2"/>
  <c r="X851" i="2"/>
  <c r="W851" i="2"/>
  <c r="X850" i="2"/>
  <c r="W850" i="2"/>
  <c r="X849" i="2"/>
  <c r="W849" i="2"/>
  <c r="X848" i="2"/>
  <c r="W848" i="2"/>
  <c r="X847" i="2"/>
  <c r="W847" i="2"/>
  <c r="X846" i="2"/>
  <c r="W846" i="2"/>
  <c r="X845" i="2"/>
  <c r="W845" i="2"/>
  <c r="X844" i="2"/>
  <c r="W844" i="2"/>
  <c r="X843" i="2"/>
  <c r="W843" i="2"/>
  <c r="X842" i="2"/>
  <c r="W842" i="2"/>
  <c r="X841" i="2"/>
  <c r="W841" i="2"/>
  <c r="X840" i="2"/>
  <c r="W840" i="2"/>
  <c r="X839" i="2"/>
  <c r="W839" i="2"/>
  <c r="X838" i="2"/>
  <c r="W838" i="2"/>
  <c r="X837" i="2"/>
  <c r="W837" i="2"/>
  <c r="X836" i="2"/>
  <c r="W836" i="2"/>
  <c r="X835" i="2"/>
  <c r="W835" i="2"/>
  <c r="X834" i="2"/>
  <c r="W834" i="2"/>
  <c r="X833" i="2"/>
  <c r="W833" i="2"/>
  <c r="X832" i="2"/>
  <c r="W832" i="2"/>
  <c r="X831" i="2"/>
  <c r="W831" i="2"/>
  <c r="X830" i="2"/>
  <c r="W830" i="2"/>
  <c r="X829" i="2"/>
  <c r="W829" i="2"/>
  <c r="X828" i="2"/>
  <c r="W828" i="2"/>
  <c r="X827" i="2"/>
  <c r="W827" i="2"/>
  <c r="X826" i="2"/>
  <c r="W826" i="2"/>
  <c r="X825" i="2"/>
  <c r="W825" i="2"/>
  <c r="X824" i="2"/>
  <c r="W824" i="2"/>
  <c r="X823" i="2"/>
  <c r="W823" i="2"/>
  <c r="X822" i="2"/>
  <c r="W822" i="2"/>
  <c r="X821" i="2"/>
  <c r="W821" i="2"/>
  <c r="X820" i="2"/>
  <c r="W820" i="2"/>
  <c r="X819" i="2"/>
  <c r="W819" i="2"/>
  <c r="X818" i="2"/>
  <c r="W818" i="2"/>
  <c r="X817" i="2"/>
  <c r="W817" i="2"/>
  <c r="X816" i="2"/>
  <c r="W816" i="2"/>
  <c r="X815" i="2"/>
  <c r="W815" i="2"/>
  <c r="X814" i="2"/>
  <c r="W814" i="2"/>
  <c r="X813" i="2"/>
  <c r="W813" i="2"/>
  <c r="X812" i="2"/>
  <c r="W812" i="2"/>
  <c r="X811" i="2"/>
  <c r="W811" i="2"/>
  <c r="X810" i="2"/>
  <c r="W810" i="2"/>
  <c r="X809" i="2"/>
  <c r="W809" i="2"/>
  <c r="X808" i="2"/>
  <c r="W808" i="2"/>
  <c r="X807" i="2"/>
  <c r="W807" i="2"/>
  <c r="X806" i="2"/>
  <c r="W806" i="2"/>
  <c r="X805" i="2"/>
  <c r="W805" i="2"/>
  <c r="X804" i="2"/>
  <c r="W804" i="2"/>
  <c r="X803" i="2"/>
  <c r="W803" i="2"/>
  <c r="X802" i="2"/>
  <c r="W802" i="2"/>
  <c r="X801" i="2"/>
  <c r="W801" i="2"/>
  <c r="X800" i="2"/>
  <c r="W800" i="2"/>
  <c r="X799" i="2"/>
  <c r="W799" i="2"/>
  <c r="X798" i="2"/>
  <c r="W798" i="2"/>
  <c r="X797" i="2"/>
  <c r="W797" i="2"/>
  <c r="X796" i="2"/>
  <c r="W796" i="2"/>
  <c r="X795" i="2"/>
  <c r="W795" i="2"/>
  <c r="X794" i="2"/>
  <c r="W794" i="2"/>
  <c r="X793" i="2"/>
  <c r="W793" i="2"/>
  <c r="X792" i="2"/>
  <c r="W792" i="2"/>
  <c r="X791" i="2"/>
  <c r="W791" i="2"/>
  <c r="X790" i="2"/>
  <c r="W790" i="2"/>
  <c r="X789" i="2"/>
  <c r="W789" i="2"/>
  <c r="X788" i="2"/>
  <c r="W788" i="2"/>
  <c r="X787" i="2"/>
  <c r="W787" i="2"/>
  <c r="X786" i="2"/>
  <c r="W786" i="2"/>
  <c r="X785" i="2"/>
  <c r="W785" i="2"/>
  <c r="X784" i="2"/>
  <c r="W784" i="2"/>
  <c r="X783" i="2"/>
  <c r="W783" i="2"/>
  <c r="X782" i="2"/>
  <c r="W782" i="2"/>
  <c r="X781" i="2"/>
  <c r="W781" i="2"/>
  <c r="X780" i="2"/>
  <c r="W780" i="2"/>
  <c r="X779" i="2"/>
  <c r="W779" i="2"/>
  <c r="X778" i="2"/>
  <c r="W778" i="2"/>
  <c r="X777" i="2"/>
  <c r="W777" i="2"/>
  <c r="X776" i="2"/>
  <c r="W776" i="2"/>
  <c r="X775" i="2"/>
  <c r="W775" i="2"/>
  <c r="X774" i="2"/>
  <c r="W774" i="2"/>
  <c r="X773" i="2"/>
  <c r="W773" i="2"/>
  <c r="X772" i="2"/>
  <c r="W772" i="2"/>
  <c r="X771" i="2"/>
  <c r="W771" i="2"/>
  <c r="X770" i="2"/>
  <c r="W770" i="2"/>
  <c r="X769" i="2"/>
  <c r="W769" i="2"/>
  <c r="X768" i="2"/>
  <c r="W768" i="2"/>
  <c r="X767" i="2"/>
  <c r="W767" i="2"/>
  <c r="X766" i="2"/>
  <c r="W766" i="2"/>
  <c r="X765" i="2"/>
  <c r="W765" i="2"/>
  <c r="X764" i="2"/>
  <c r="W764" i="2"/>
  <c r="X763" i="2"/>
  <c r="W763" i="2"/>
  <c r="X762" i="2"/>
  <c r="W762" i="2"/>
  <c r="X761" i="2"/>
  <c r="W761" i="2"/>
  <c r="X760" i="2"/>
  <c r="W760" i="2"/>
  <c r="X759" i="2"/>
  <c r="W759" i="2"/>
  <c r="X758" i="2"/>
  <c r="W758" i="2"/>
  <c r="X757" i="2"/>
  <c r="W757" i="2"/>
  <c r="X756" i="2"/>
  <c r="W756" i="2"/>
  <c r="X755" i="2"/>
  <c r="W755" i="2"/>
  <c r="X754" i="2"/>
  <c r="W754" i="2"/>
  <c r="X753" i="2"/>
  <c r="W753" i="2"/>
  <c r="X752" i="2"/>
  <c r="W752" i="2"/>
  <c r="X751" i="2"/>
  <c r="W751" i="2"/>
  <c r="X750" i="2"/>
  <c r="W750" i="2"/>
  <c r="X749" i="2"/>
  <c r="W749" i="2"/>
  <c r="X748" i="2"/>
  <c r="W748" i="2"/>
  <c r="X747" i="2"/>
  <c r="W747" i="2"/>
  <c r="X746" i="2"/>
  <c r="W746" i="2"/>
  <c r="X745" i="2"/>
  <c r="W745" i="2"/>
  <c r="X744" i="2"/>
  <c r="W744" i="2"/>
  <c r="X743" i="2"/>
  <c r="W743" i="2"/>
  <c r="X742" i="2"/>
  <c r="W742" i="2"/>
  <c r="X741" i="2"/>
  <c r="W741" i="2"/>
  <c r="X740" i="2"/>
  <c r="W740" i="2"/>
  <c r="X739" i="2"/>
  <c r="W739" i="2"/>
  <c r="X738" i="2"/>
  <c r="W738" i="2"/>
  <c r="X737" i="2"/>
  <c r="W737" i="2"/>
  <c r="X736" i="2"/>
  <c r="W736" i="2"/>
  <c r="X735" i="2"/>
  <c r="W735" i="2"/>
  <c r="X734" i="2"/>
  <c r="W734" i="2"/>
  <c r="X733" i="2"/>
  <c r="W733" i="2"/>
  <c r="X732" i="2"/>
  <c r="W732" i="2"/>
  <c r="X731" i="2"/>
  <c r="W731" i="2"/>
  <c r="X730" i="2"/>
  <c r="W730" i="2"/>
  <c r="X729" i="2"/>
  <c r="W729" i="2"/>
  <c r="X728" i="2"/>
  <c r="W728" i="2"/>
  <c r="X727" i="2"/>
  <c r="W727" i="2"/>
  <c r="X726" i="2"/>
  <c r="W726" i="2"/>
  <c r="X725" i="2"/>
  <c r="W725" i="2"/>
  <c r="X724" i="2"/>
  <c r="W724" i="2"/>
  <c r="X723" i="2"/>
  <c r="W723" i="2"/>
  <c r="X722" i="2"/>
  <c r="W722" i="2"/>
  <c r="X721" i="2"/>
  <c r="W721" i="2"/>
  <c r="X720" i="2"/>
  <c r="W720" i="2"/>
  <c r="X719" i="2"/>
  <c r="W719" i="2"/>
  <c r="X718" i="2"/>
  <c r="W718" i="2"/>
  <c r="X717" i="2"/>
  <c r="W717" i="2"/>
  <c r="X716" i="2"/>
  <c r="W716" i="2"/>
  <c r="X715" i="2"/>
  <c r="W715" i="2"/>
  <c r="X714" i="2"/>
  <c r="W714" i="2"/>
  <c r="X713" i="2"/>
  <c r="W713" i="2"/>
  <c r="X712" i="2"/>
  <c r="W712" i="2"/>
  <c r="X711" i="2"/>
  <c r="W711" i="2"/>
  <c r="X710" i="2"/>
  <c r="W710" i="2"/>
  <c r="X709" i="2"/>
  <c r="W709" i="2"/>
  <c r="X708" i="2"/>
  <c r="W708" i="2"/>
  <c r="X707" i="2"/>
  <c r="W707" i="2"/>
  <c r="X706" i="2"/>
  <c r="W706" i="2"/>
  <c r="X705" i="2"/>
  <c r="W705" i="2"/>
  <c r="X704" i="2"/>
  <c r="W704" i="2"/>
  <c r="X703" i="2"/>
  <c r="W703" i="2"/>
  <c r="X702" i="2"/>
  <c r="W702" i="2"/>
  <c r="X701" i="2"/>
  <c r="W701" i="2"/>
  <c r="X700" i="2"/>
  <c r="W700" i="2"/>
  <c r="X699" i="2"/>
  <c r="W699" i="2"/>
  <c r="X698" i="2"/>
  <c r="W698" i="2"/>
  <c r="X697" i="2"/>
  <c r="W697" i="2"/>
  <c r="X696" i="2"/>
  <c r="W696" i="2"/>
  <c r="X695" i="2"/>
  <c r="W695" i="2"/>
  <c r="X694" i="2"/>
  <c r="W694" i="2"/>
  <c r="X693" i="2"/>
  <c r="W693" i="2"/>
  <c r="X692" i="2"/>
  <c r="W692" i="2"/>
  <c r="X691" i="2"/>
  <c r="W691" i="2"/>
  <c r="X690" i="2"/>
  <c r="W690" i="2"/>
  <c r="X689" i="2"/>
  <c r="W689" i="2"/>
  <c r="X688" i="2"/>
  <c r="W688" i="2"/>
  <c r="X687" i="2"/>
  <c r="W687" i="2"/>
  <c r="X686" i="2"/>
  <c r="W686" i="2"/>
  <c r="X685" i="2"/>
  <c r="W685" i="2"/>
  <c r="X684" i="2"/>
  <c r="W684" i="2"/>
  <c r="X683" i="2"/>
  <c r="W683" i="2"/>
  <c r="X682" i="2"/>
  <c r="W682" i="2"/>
  <c r="X681" i="2"/>
  <c r="W681" i="2"/>
  <c r="X680" i="2"/>
  <c r="W680" i="2"/>
  <c r="X679" i="2"/>
  <c r="W679" i="2"/>
  <c r="X678" i="2"/>
  <c r="W678" i="2"/>
  <c r="X677" i="2"/>
  <c r="W677" i="2"/>
  <c r="X676" i="2"/>
  <c r="W676" i="2"/>
  <c r="X675" i="2"/>
  <c r="W675" i="2"/>
  <c r="X674" i="2"/>
  <c r="W674" i="2"/>
  <c r="X673" i="2"/>
  <c r="W673" i="2"/>
  <c r="X672" i="2"/>
  <c r="W672" i="2"/>
  <c r="X671" i="2"/>
  <c r="W671" i="2"/>
  <c r="X670" i="2"/>
  <c r="W670" i="2"/>
  <c r="X669" i="2"/>
  <c r="W669" i="2"/>
  <c r="X668" i="2"/>
  <c r="W668" i="2"/>
  <c r="X667" i="2"/>
  <c r="W667" i="2"/>
  <c r="X666" i="2"/>
  <c r="W666" i="2"/>
  <c r="X665" i="2"/>
  <c r="W665" i="2"/>
  <c r="X664" i="2"/>
  <c r="W664" i="2"/>
  <c r="X663" i="2"/>
  <c r="W663" i="2"/>
  <c r="X662" i="2"/>
  <c r="W662" i="2"/>
  <c r="X661" i="2"/>
  <c r="W661" i="2"/>
  <c r="X660" i="2"/>
  <c r="W660" i="2"/>
  <c r="X659" i="2"/>
  <c r="W659" i="2"/>
  <c r="X658" i="2"/>
  <c r="W658" i="2"/>
  <c r="X657" i="2"/>
  <c r="W657" i="2"/>
  <c r="X656" i="2"/>
  <c r="W656" i="2"/>
  <c r="X655" i="2"/>
  <c r="W655" i="2"/>
  <c r="X654" i="2"/>
  <c r="W654" i="2"/>
  <c r="X653" i="2"/>
  <c r="W653" i="2"/>
  <c r="X652" i="2"/>
  <c r="W652" i="2"/>
  <c r="X651" i="2"/>
  <c r="W651" i="2"/>
  <c r="X650" i="2"/>
  <c r="W650" i="2"/>
  <c r="X649" i="2"/>
  <c r="W649" i="2"/>
  <c r="X648" i="2"/>
  <c r="W648" i="2"/>
  <c r="X647" i="2"/>
  <c r="W647" i="2"/>
  <c r="X646" i="2"/>
  <c r="W646" i="2"/>
  <c r="X645" i="2"/>
  <c r="W645" i="2"/>
  <c r="X644" i="2"/>
  <c r="W644" i="2"/>
  <c r="X643" i="2"/>
  <c r="W643" i="2"/>
  <c r="X642" i="2"/>
  <c r="W642" i="2"/>
  <c r="X641" i="2"/>
  <c r="W641" i="2"/>
  <c r="X640" i="2"/>
  <c r="W640" i="2"/>
  <c r="X639" i="2"/>
  <c r="W639" i="2"/>
  <c r="X638" i="2"/>
  <c r="W638" i="2"/>
  <c r="X637" i="2"/>
  <c r="W637" i="2"/>
  <c r="X636" i="2"/>
  <c r="W636" i="2"/>
  <c r="X635" i="2"/>
  <c r="W635" i="2"/>
  <c r="X634" i="2"/>
  <c r="W634" i="2"/>
  <c r="X633" i="2"/>
  <c r="W633" i="2"/>
  <c r="X632" i="2"/>
  <c r="W632" i="2"/>
  <c r="X631" i="2"/>
  <c r="W631" i="2"/>
  <c r="X630" i="2"/>
  <c r="W630" i="2"/>
  <c r="X629" i="2"/>
  <c r="W629" i="2"/>
  <c r="X628" i="2"/>
  <c r="W628" i="2"/>
  <c r="X627" i="2"/>
  <c r="W627" i="2"/>
  <c r="X626" i="2"/>
  <c r="W626" i="2"/>
  <c r="X625" i="2"/>
  <c r="W625" i="2"/>
  <c r="X624" i="2"/>
  <c r="W624" i="2"/>
  <c r="X623" i="2"/>
  <c r="W623" i="2"/>
  <c r="X622" i="2"/>
  <c r="W622" i="2"/>
  <c r="X621" i="2"/>
  <c r="W621" i="2"/>
  <c r="X620" i="2"/>
  <c r="W620" i="2"/>
  <c r="X619" i="2"/>
  <c r="W619" i="2"/>
  <c r="X618" i="2"/>
  <c r="W618" i="2"/>
  <c r="X617" i="2"/>
  <c r="W617" i="2"/>
  <c r="X616" i="2"/>
  <c r="W616" i="2"/>
  <c r="X615" i="2"/>
  <c r="W615" i="2"/>
  <c r="X614" i="2"/>
  <c r="W614" i="2"/>
  <c r="X613" i="2"/>
  <c r="W613" i="2"/>
  <c r="X612" i="2"/>
  <c r="W612" i="2"/>
  <c r="X611" i="2"/>
  <c r="W611" i="2"/>
  <c r="X610" i="2"/>
  <c r="W610" i="2"/>
  <c r="X609" i="2"/>
  <c r="W609" i="2"/>
  <c r="X608" i="2"/>
  <c r="W608" i="2"/>
  <c r="X607" i="2"/>
  <c r="W607" i="2"/>
  <c r="X606" i="2"/>
  <c r="W606" i="2"/>
  <c r="X605" i="2"/>
  <c r="W605" i="2"/>
  <c r="X604" i="2"/>
  <c r="W604" i="2"/>
  <c r="X603" i="2"/>
  <c r="W603" i="2"/>
  <c r="X602" i="2"/>
  <c r="W602" i="2"/>
  <c r="X601" i="2"/>
  <c r="W601" i="2"/>
  <c r="X600" i="2"/>
  <c r="W600" i="2"/>
  <c r="X599" i="2"/>
  <c r="W599" i="2"/>
  <c r="X598" i="2"/>
  <c r="W598" i="2"/>
  <c r="X597" i="2"/>
  <c r="W597" i="2"/>
  <c r="X596" i="2"/>
  <c r="W596" i="2"/>
  <c r="X595" i="2"/>
  <c r="W595" i="2"/>
  <c r="X594" i="2"/>
  <c r="W594" i="2"/>
  <c r="X593" i="2"/>
  <c r="W593" i="2"/>
  <c r="X592" i="2"/>
  <c r="W592" i="2"/>
  <c r="X591" i="2"/>
  <c r="W591" i="2"/>
  <c r="X590" i="2"/>
  <c r="W590" i="2"/>
  <c r="X589" i="2"/>
  <c r="W589" i="2"/>
  <c r="X588" i="2"/>
  <c r="W588" i="2"/>
  <c r="X587" i="2"/>
  <c r="W587" i="2"/>
  <c r="X586" i="2"/>
  <c r="W586" i="2"/>
  <c r="X585" i="2"/>
  <c r="W585" i="2"/>
  <c r="X584" i="2"/>
  <c r="W584" i="2"/>
  <c r="X583" i="2"/>
  <c r="W583" i="2"/>
  <c r="X582" i="2"/>
  <c r="W582" i="2"/>
  <c r="X581" i="2"/>
  <c r="W581" i="2"/>
  <c r="X580" i="2"/>
  <c r="W580" i="2"/>
  <c r="X579" i="2"/>
  <c r="W579" i="2"/>
  <c r="X578" i="2"/>
  <c r="W578" i="2"/>
  <c r="X577" i="2"/>
  <c r="W577" i="2"/>
  <c r="X576" i="2"/>
  <c r="W576" i="2"/>
  <c r="X575" i="2"/>
  <c r="W575" i="2"/>
  <c r="X574" i="2"/>
  <c r="W574" i="2"/>
  <c r="X573" i="2"/>
  <c r="W573" i="2"/>
  <c r="X572" i="2"/>
  <c r="W572" i="2"/>
  <c r="X571" i="2"/>
  <c r="W571" i="2"/>
  <c r="X570" i="2"/>
  <c r="W570" i="2"/>
  <c r="X569" i="2"/>
  <c r="W569" i="2"/>
  <c r="X568" i="2"/>
  <c r="W568" i="2"/>
  <c r="X567" i="2"/>
  <c r="W567" i="2"/>
  <c r="X566" i="2"/>
  <c r="W566" i="2"/>
  <c r="X565" i="2"/>
  <c r="W565" i="2"/>
  <c r="X564" i="2"/>
  <c r="W564" i="2"/>
  <c r="X563" i="2"/>
  <c r="W563" i="2"/>
  <c r="X562" i="2"/>
  <c r="W562" i="2"/>
  <c r="X561" i="2"/>
  <c r="W561" i="2"/>
  <c r="X560" i="2"/>
  <c r="W560" i="2"/>
  <c r="X559" i="2"/>
  <c r="W559" i="2"/>
  <c r="X558" i="2"/>
  <c r="W558" i="2"/>
  <c r="X557" i="2"/>
  <c r="W557" i="2"/>
  <c r="X556" i="2"/>
  <c r="W556" i="2"/>
  <c r="X555" i="2"/>
  <c r="W555" i="2"/>
  <c r="X554" i="2"/>
  <c r="W554" i="2"/>
  <c r="X553" i="2"/>
  <c r="W553" i="2"/>
  <c r="X552" i="2"/>
  <c r="W552" i="2"/>
  <c r="X551" i="2"/>
  <c r="W551" i="2"/>
  <c r="X550" i="2"/>
  <c r="W550" i="2"/>
  <c r="X549" i="2"/>
  <c r="W549" i="2"/>
  <c r="X548" i="2"/>
  <c r="W548" i="2"/>
  <c r="X547" i="2"/>
  <c r="W547" i="2"/>
  <c r="X546" i="2"/>
  <c r="W546" i="2"/>
  <c r="X545" i="2"/>
  <c r="W545" i="2"/>
  <c r="X544" i="2"/>
  <c r="W544" i="2"/>
  <c r="X543" i="2"/>
  <c r="W543" i="2"/>
  <c r="X542" i="2"/>
  <c r="W542" i="2"/>
  <c r="X541" i="2"/>
  <c r="W541" i="2"/>
  <c r="X540" i="2"/>
  <c r="W540" i="2"/>
  <c r="X539" i="2"/>
  <c r="W539" i="2"/>
  <c r="X538" i="2"/>
  <c r="W538" i="2"/>
  <c r="X537" i="2"/>
  <c r="W537" i="2"/>
  <c r="X536" i="2"/>
  <c r="W536" i="2"/>
  <c r="X535" i="2"/>
  <c r="W535" i="2"/>
  <c r="X534" i="2"/>
  <c r="W534" i="2"/>
  <c r="X533" i="2"/>
  <c r="W533" i="2"/>
  <c r="X532" i="2"/>
  <c r="W532" i="2"/>
  <c r="X531" i="2"/>
  <c r="W531" i="2"/>
  <c r="X530" i="2"/>
  <c r="W530" i="2"/>
  <c r="X529" i="2"/>
  <c r="W529" i="2"/>
  <c r="X528" i="2"/>
  <c r="W528" i="2"/>
  <c r="X527" i="2"/>
  <c r="W527" i="2"/>
  <c r="X526" i="2"/>
  <c r="W526" i="2"/>
  <c r="X525" i="2"/>
  <c r="W525" i="2"/>
  <c r="X524" i="2"/>
  <c r="W524" i="2"/>
  <c r="X523" i="2"/>
  <c r="W523" i="2"/>
  <c r="X522" i="2"/>
  <c r="W522" i="2"/>
  <c r="X521" i="2"/>
  <c r="W521" i="2"/>
  <c r="X520" i="2"/>
  <c r="W520" i="2"/>
  <c r="X519" i="2"/>
  <c r="W519" i="2"/>
  <c r="X518" i="2"/>
  <c r="W518" i="2"/>
  <c r="X517" i="2"/>
  <c r="W517" i="2"/>
  <c r="X516" i="2"/>
  <c r="W516" i="2"/>
  <c r="X515" i="2"/>
  <c r="W515" i="2"/>
  <c r="X514" i="2"/>
  <c r="W514" i="2"/>
  <c r="X513" i="2"/>
  <c r="W513" i="2"/>
  <c r="X512" i="2"/>
  <c r="W512" i="2"/>
  <c r="X511" i="2"/>
  <c r="W511" i="2"/>
  <c r="X510" i="2"/>
  <c r="W510" i="2"/>
  <c r="X509" i="2"/>
  <c r="W509" i="2"/>
  <c r="X508" i="2"/>
  <c r="W508" i="2"/>
  <c r="X507" i="2"/>
  <c r="W507" i="2"/>
  <c r="X506" i="2"/>
  <c r="W506" i="2"/>
  <c r="X505" i="2"/>
  <c r="W505" i="2"/>
  <c r="X504" i="2"/>
  <c r="W504" i="2"/>
  <c r="X503" i="2"/>
  <c r="W503" i="2"/>
  <c r="X502" i="2"/>
  <c r="W502" i="2"/>
  <c r="X501" i="2"/>
  <c r="W501" i="2"/>
  <c r="X500" i="2"/>
  <c r="W500" i="2"/>
  <c r="X499" i="2"/>
  <c r="W499" i="2"/>
  <c r="X498" i="2"/>
  <c r="W498" i="2"/>
  <c r="X497" i="2"/>
  <c r="W497" i="2"/>
  <c r="X496" i="2"/>
  <c r="W496" i="2"/>
  <c r="X495" i="2"/>
  <c r="W495" i="2"/>
  <c r="X494" i="2"/>
  <c r="W494" i="2"/>
  <c r="X493" i="2"/>
  <c r="W493" i="2"/>
  <c r="X492" i="2"/>
  <c r="W492" i="2"/>
  <c r="X491" i="2"/>
  <c r="W491" i="2"/>
  <c r="X490" i="2"/>
  <c r="W490" i="2"/>
  <c r="X489" i="2"/>
  <c r="W489" i="2"/>
  <c r="X488" i="2"/>
  <c r="W488" i="2"/>
  <c r="X487" i="2"/>
  <c r="W487" i="2"/>
  <c r="X486" i="2"/>
  <c r="W486" i="2"/>
  <c r="X485" i="2"/>
  <c r="W485" i="2"/>
  <c r="X484" i="2"/>
  <c r="W484" i="2"/>
  <c r="X483" i="2"/>
  <c r="W483" i="2"/>
  <c r="X482" i="2"/>
  <c r="W482" i="2"/>
  <c r="X481" i="2"/>
  <c r="W481" i="2"/>
  <c r="X480" i="2"/>
  <c r="W480" i="2"/>
  <c r="X479" i="2"/>
  <c r="W479" i="2"/>
  <c r="X478" i="2"/>
  <c r="W478" i="2"/>
  <c r="X477" i="2"/>
  <c r="W477" i="2"/>
  <c r="X476" i="2"/>
  <c r="W476" i="2"/>
  <c r="X475" i="2"/>
  <c r="W475" i="2"/>
  <c r="X474" i="2"/>
  <c r="W474" i="2"/>
  <c r="X473" i="2"/>
  <c r="W473" i="2"/>
  <c r="X472" i="2"/>
  <c r="W472" i="2"/>
  <c r="X471" i="2"/>
  <c r="W471" i="2"/>
  <c r="X470" i="2"/>
  <c r="W470" i="2"/>
  <c r="X469" i="2"/>
  <c r="W469" i="2"/>
  <c r="X468" i="2"/>
  <c r="W468" i="2"/>
  <c r="X467" i="2"/>
  <c r="W467" i="2"/>
  <c r="X466" i="2"/>
  <c r="W466" i="2"/>
  <c r="X465" i="2"/>
  <c r="W465" i="2"/>
  <c r="X464" i="2"/>
  <c r="W464" i="2"/>
  <c r="X463" i="2"/>
  <c r="W463" i="2"/>
  <c r="X462" i="2"/>
  <c r="W462" i="2"/>
  <c r="X461" i="2"/>
  <c r="W461" i="2"/>
  <c r="X460" i="2"/>
  <c r="W460" i="2"/>
  <c r="X459" i="2"/>
  <c r="W459" i="2"/>
  <c r="X458" i="2"/>
  <c r="W458" i="2"/>
  <c r="X457" i="2"/>
  <c r="W457" i="2"/>
  <c r="X456" i="2"/>
  <c r="W456" i="2"/>
  <c r="X455" i="2"/>
  <c r="W455" i="2"/>
  <c r="X454" i="2"/>
  <c r="W454" i="2"/>
  <c r="X453" i="2"/>
  <c r="W453" i="2"/>
  <c r="X452" i="2"/>
  <c r="W452" i="2"/>
  <c r="X451" i="2"/>
  <c r="W451" i="2"/>
  <c r="X450" i="2"/>
  <c r="W450" i="2"/>
  <c r="X449" i="2"/>
  <c r="W449" i="2"/>
  <c r="X448" i="2"/>
  <c r="W448" i="2"/>
  <c r="X447" i="2"/>
  <c r="W447" i="2"/>
  <c r="X446" i="2"/>
  <c r="W446" i="2"/>
  <c r="X445" i="2"/>
  <c r="W445" i="2"/>
  <c r="X444" i="2"/>
  <c r="W444" i="2"/>
  <c r="X443" i="2"/>
  <c r="W443" i="2"/>
  <c r="X442" i="2"/>
  <c r="W442" i="2"/>
  <c r="X441" i="2"/>
  <c r="W441" i="2"/>
  <c r="X440" i="2"/>
  <c r="W440" i="2"/>
  <c r="X439" i="2"/>
  <c r="W439" i="2"/>
  <c r="X438" i="2"/>
  <c r="W438" i="2"/>
  <c r="X437" i="2"/>
  <c r="W437" i="2"/>
  <c r="X436" i="2"/>
  <c r="W436" i="2"/>
  <c r="X435" i="2"/>
  <c r="W435" i="2"/>
  <c r="X434" i="2"/>
  <c r="W434" i="2"/>
  <c r="X433" i="2"/>
  <c r="W433" i="2"/>
  <c r="X432" i="2"/>
  <c r="W432" i="2"/>
  <c r="X431" i="2"/>
  <c r="W431" i="2"/>
  <c r="X430" i="2"/>
  <c r="W430" i="2"/>
  <c r="X429" i="2"/>
  <c r="W429" i="2"/>
  <c r="X428" i="2"/>
  <c r="W428" i="2"/>
  <c r="X427" i="2"/>
  <c r="W427" i="2"/>
  <c r="X426" i="2"/>
  <c r="W426" i="2"/>
  <c r="X425" i="2"/>
  <c r="W425" i="2"/>
  <c r="X424" i="2"/>
  <c r="W424" i="2"/>
  <c r="X423" i="2"/>
  <c r="W423" i="2"/>
  <c r="X422" i="2"/>
  <c r="W422" i="2"/>
  <c r="X421" i="2"/>
  <c r="W421" i="2"/>
  <c r="X420" i="2"/>
  <c r="W420" i="2"/>
  <c r="X419" i="2"/>
  <c r="W419" i="2"/>
  <c r="X418" i="2"/>
  <c r="W418" i="2"/>
  <c r="X417" i="2"/>
  <c r="W417" i="2"/>
  <c r="X416" i="2"/>
  <c r="W416" i="2"/>
  <c r="X415" i="2"/>
  <c r="W415" i="2"/>
  <c r="X414" i="2"/>
  <c r="W414" i="2"/>
  <c r="X413" i="2"/>
  <c r="W413" i="2"/>
  <c r="X412" i="2"/>
  <c r="W412" i="2"/>
  <c r="X411" i="2"/>
  <c r="W411" i="2"/>
  <c r="X410" i="2"/>
  <c r="W410" i="2"/>
  <c r="X409" i="2"/>
  <c r="W409" i="2"/>
  <c r="X408" i="2"/>
  <c r="W408" i="2"/>
  <c r="X407" i="2"/>
  <c r="W407" i="2"/>
  <c r="X406" i="2"/>
  <c r="W406" i="2"/>
  <c r="X405" i="2"/>
  <c r="W405" i="2"/>
  <c r="X404" i="2"/>
  <c r="W404" i="2"/>
  <c r="X403" i="2"/>
  <c r="W403" i="2"/>
  <c r="X402" i="2"/>
  <c r="W402" i="2"/>
  <c r="X401" i="2"/>
  <c r="W401" i="2"/>
  <c r="X400" i="2"/>
  <c r="W400" i="2"/>
  <c r="X399" i="2"/>
  <c r="W399" i="2"/>
  <c r="X398" i="2"/>
  <c r="W398" i="2"/>
  <c r="X397" i="2"/>
  <c r="W397" i="2"/>
  <c r="X396" i="2"/>
  <c r="W396" i="2"/>
  <c r="X395" i="2"/>
  <c r="W395" i="2"/>
  <c r="X394" i="2"/>
  <c r="W394" i="2"/>
  <c r="X393" i="2"/>
  <c r="W393" i="2"/>
  <c r="X392" i="2"/>
  <c r="W392" i="2"/>
  <c r="X391" i="2"/>
  <c r="W391" i="2"/>
  <c r="X390" i="2"/>
  <c r="W390" i="2"/>
  <c r="X389" i="2"/>
  <c r="W389" i="2"/>
  <c r="X388" i="2"/>
  <c r="W388" i="2"/>
  <c r="X387" i="2"/>
  <c r="W387" i="2"/>
  <c r="X386" i="2"/>
  <c r="W386" i="2"/>
  <c r="X385" i="2"/>
  <c r="W385" i="2"/>
  <c r="X384" i="2"/>
  <c r="W384" i="2"/>
  <c r="X383" i="2"/>
  <c r="W383" i="2"/>
  <c r="X382" i="2"/>
  <c r="W382" i="2"/>
  <c r="X381" i="2"/>
  <c r="W381" i="2"/>
  <c r="X380" i="2"/>
  <c r="W380" i="2"/>
  <c r="X379" i="2"/>
  <c r="W379" i="2"/>
  <c r="X378" i="2"/>
  <c r="W378" i="2"/>
  <c r="X377" i="2"/>
  <c r="W377" i="2"/>
  <c r="X376" i="2"/>
  <c r="W376" i="2"/>
  <c r="X375" i="2"/>
  <c r="W375" i="2"/>
  <c r="X374" i="2"/>
  <c r="W374" i="2"/>
  <c r="X373" i="2"/>
  <c r="W373" i="2"/>
  <c r="X372" i="2"/>
  <c r="W372" i="2"/>
  <c r="X371" i="2"/>
  <c r="W371" i="2"/>
  <c r="X370" i="2"/>
  <c r="W370" i="2"/>
  <c r="X369" i="2"/>
  <c r="W369" i="2"/>
  <c r="X368" i="2"/>
  <c r="W368" i="2"/>
  <c r="X367" i="2"/>
  <c r="W367" i="2"/>
  <c r="X366" i="2"/>
  <c r="W366" i="2"/>
  <c r="X365" i="2"/>
  <c r="W365" i="2"/>
  <c r="X364" i="2"/>
  <c r="W364" i="2"/>
  <c r="X363" i="2"/>
  <c r="W363" i="2"/>
  <c r="X362" i="2"/>
  <c r="W362" i="2"/>
  <c r="X361" i="2"/>
  <c r="W361" i="2"/>
  <c r="X360" i="2"/>
  <c r="W360" i="2"/>
  <c r="X359" i="2"/>
  <c r="W359" i="2"/>
  <c r="X358" i="2"/>
  <c r="W358" i="2"/>
  <c r="X357" i="2"/>
  <c r="W357" i="2"/>
  <c r="X356" i="2"/>
  <c r="W356" i="2"/>
  <c r="X355" i="2"/>
  <c r="W355" i="2"/>
  <c r="X354" i="2"/>
  <c r="W354" i="2"/>
  <c r="X353" i="2"/>
  <c r="W353" i="2"/>
  <c r="X352" i="2"/>
  <c r="W352" i="2"/>
  <c r="X351" i="2"/>
  <c r="W351" i="2"/>
  <c r="X350" i="2"/>
  <c r="W350" i="2"/>
  <c r="X349" i="2"/>
  <c r="W349" i="2"/>
  <c r="X348" i="2"/>
  <c r="W348" i="2"/>
  <c r="X347" i="2"/>
  <c r="W347" i="2"/>
  <c r="X346" i="2"/>
  <c r="W346" i="2"/>
  <c r="X345" i="2"/>
  <c r="W345" i="2"/>
  <c r="X344" i="2"/>
  <c r="W344" i="2"/>
  <c r="X343" i="2"/>
  <c r="W343" i="2"/>
  <c r="X342" i="2"/>
  <c r="W342" i="2"/>
  <c r="X341" i="2"/>
  <c r="W341" i="2"/>
  <c r="X340" i="2"/>
  <c r="W340" i="2"/>
  <c r="X339" i="2"/>
  <c r="W339" i="2"/>
  <c r="X338" i="2"/>
  <c r="W338" i="2"/>
  <c r="X337" i="2"/>
  <c r="W337" i="2"/>
  <c r="X336" i="2"/>
  <c r="W336" i="2"/>
  <c r="X335" i="2"/>
  <c r="W335" i="2"/>
  <c r="X334" i="2"/>
  <c r="W334" i="2"/>
  <c r="X333" i="2"/>
  <c r="W333" i="2"/>
  <c r="X332" i="2"/>
  <c r="W332" i="2"/>
  <c r="X331" i="2"/>
  <c r="W331" i="2"/>
  <c r="X330" i="2"/>
  <c r="W330" i="2"/>
  <c r="X329" i="2"/>
  <c r="W329" i="2"/>
  <c r="X328" i="2"/>
  <c r="W328" i="2"/>
  <c r="X327" i="2"/>
  <c r="W327" i="2"/>
  <c r="X326" i="2"/>
  <c r="W326" i="2"/>
  <c r="X325" i="2"/>
  <c r="W325" i="2"/>
  <c r="X324" i="2"/>
  <c r="W324" i="2"/>
  <c r="X323" i="2"/>
  <c r="W323" i="2"/>
  <c r="X322" i="2"/>
  <c r="W322" i="2"/>
  <c r="X321" i="2"/>
  <c r="W321" i="2"/>
  <c r="X320" i="2"/>
  <c r="W320" i="2"/>
  <c r="X319" i="2"/>
  <c r="W319" i="2"/>
  <c r="X318" i="2"/>
  <c r="W318" i="2"/>
  <c r="X317" i="2"/>
  <c r="W317" i="2"/>
  <c r="X316" i="2"/>
  <c r="W316" i="2"/>
  <c r="X315" i="2"/>
  <c r="W315" i="2"/>
  <c r="X314" i="2"/>
  <c r="W314" i="2"/>
  <c r="X313" i="2"/>
  <c r="W313" i="2"/>
  <c r="X312" i="2"/>
  <c r="W312" i="2"/>
  <c r="X311" i="2"/>
  <c r="W311" i="2"/>
  <c r="X310" i="2"/>
  <c r="W310" i="2"/>
  <c r="X309" i="2"/>
  <c r="W309" i="2"/>
  <c r="X308" i="2"/>
  <c r="W308" i="2"/>
  <c r="X307" i="2"/>
  <c r="W307" i="2"/>
  <c r="X306" i="2"/>
  <c r="W306" i="2"/>
  <c r="X305" i="2"/>
  <c r="W305" i="2"/>
  <c r="X304" i="2"/>
  <c r="W304" i="2"/>
  <c r="X303" i="2"/>
  <c r="W303" i="2"/>
  <c r="X302" i="2"/>
  <c r="W302" i="2"/>
  <c r="X301" i="2"/>
  <c r="W301" i="2"/>
  <c r="X300" i="2"/>
  <c r="W300" i="2"/>
  <c r="X299" i="2"/>
  <c r="W299" i="2"/>
  <c r="X298" i="2"/>
  <c r="W298" i="2"/>
  <c r="X297" i="2"/>
  <c r="W297" i="2"/>
  <c r="X296" i="2"/>
  <c r="W296" i="2"/>
  <c r="X295" i="2"/>
  <c r="W295" i="2"/>
  <c r="X294" i="2"/>
  <c r="W294" i="2"/>
  <c r="X293" i="2"/>
  <c r="W293" i="2"/>
  <c r="X292" i="2"/>
  <c r="W292" i="2"/>
  <c r="X291" i="2"/>
  <c r="W291" i="2"/>
  <c r="X290" i="2"/>
  <c r="W290" i="2"/>
  <c r="X289" i="2"/>
  <c r="W289" i="2"/>
  <c r="X288" i="2"/>
  <c r="W288" i="2"/>
  <c r="X287" i="2"/>
  <c r="W287" i="2"/>
  <c r="X286" i="2"/>
  <c r="W286" i="2"/>
  <c r="X285" i="2"/>
  <c r="W285" i="2"/>
  <c r="X284" i="2"/>
  <c r="W284" i="2"/>
  <c r="X283" i="2"/>
  <c r="W283" i="2"/>
  <c r="X282" i="2"/>
  <c r="W282" i="2"/>
  <c r="X281" i="2"/>
  <c r="W281" i="2"/>
  <c r="X280" i="2"/>
  <c r="W280" i="2"/>
  <c r="X279" i="2"/>
  <c r="W279" i="2"/>
  <c r="X278" i="2"/>
  <c r="W278" i="2"/>
  <c r="X277" i="2"/>
  <c r="W277" i="2"/>
  <c r="X276" i="2"/>
  <c r="W276" i="2"/>
  <c r="X275" i="2"/>
  <c r="W275" i="2"/>
  <c r="X274" i="2"/>
  <c r="W274" i="2"/>
  <c r="X273" i="2"/>
  <c r="W273" i="2"/>
  <c r="X272" i="2"/>
  <c r="W272" i="2"/>
  <c r="X271" i="2"/>
  <c r="W271" i="2"/>
  <c r="X270" i="2"/>
  <c r="W270" i="2"/>
  <c r="X269" i="2"/>
  <c r="W269" i="2"/>
  <c r="X268" i="2"/>
  <c r="W268" i="2"/>
  <c r="X267" i="2"/>
  <c r="W267" i="2"/>
  <c r="X266" i="2"/>
  <c r="W266" i="2"/>
  <c r="X265" i="2"/>
  <c r="W265" i="2"/>
  <c r="X264" i="2"/>
  <c r="W264" i="2"/>
  <c r="X263" i="2"/>
  <c r="W263" i="2"/>
  <c r="X262" i="2"/>
  <c r="W262" i="2"/>
  <c r="X261" i="2"/>
  <c r="W261" i="2"/>
  <c r="X260" i="2"/>
  <c r="W260" i="2"/>
  <c r="X259" i="2"/>
  <c r="W259" i="2"/>
  <c r="X258" i="2"/>
  <c r="W258" i="2"/>
  <c r="X257" i="2"/>
  <c r="W257" i="2"/>
  <c r="X256" i="2"/>
  <c r="W256" i="2"/>
  <c r="X255" i="2"/>
  <c r="W255" i="2"/>
  <c r="X254" i="2"/>
  <c r="W254" i="2"/>
  <c r="X253" i="2"/>
  <c r="W253" i="2"/>
  <c r="X252" i="2"/>
  <c r="W252" i="2"/>
  <c r="X251" i="2"/>
  <c r="W251" i="2"/>
  <c r="X250" i="2"/>
  <c r="W250" i="2"/>
  <c r="X249" i="2"/>
  <c r="W249" i="2"/>
  <c r="X248" i="2"/>
  <c r="W248" i="2"/>
  <c r="X247" i="2"/>
  <c r="W247" i="2"/>
  <c r="X246" i="2"/>
  <c r="W246" i="2"/>
  <c r="X245" i="2"/>
  <c r="W245" i="2"/>
  <c r="X244" i="2"/>
  <c r="W244" i="2"/>
  <c r="X243" i="2"/>
  <c r="W243" i="2"/>
  <c r="X242" i="2"/>
  <c r="W242" i="2"/>
  <c r="X241" i="2"/>
  <c r="W241" i="2"/>
  <c r="X240" i="2"/>
  <c r="W240" i="2"/>
  <c r="X239" i="2"/>
  <c r="W239" i="2"/>
  <c r="X238" i="2"/>
  <c r="W238" i="2"/>
  <c r="X237" i="2"/>
  <c r="W237" i="2"/>
  <c r="X236" i="2"/>
  <c r="W236" i="2"/>
  <c r="X235" i="2"/>
  <c r="W235" i="2"/>
  <c r="X234" i="2"/>
  <c r="W234" i="2"/>
  <c r="X233" i="2"/>
  <c r="W233" i="2"/>
  <c r="X232" i="2"/>
  <c r="W232" i="2"/>
  <c r="X231" i="2"/>
  <c r="W231" i="2"/>
  <c r="X230" i="2"/>
  <c r="W230" i="2"/>
  <c r="X229" i="2"/>
  <c r="W229" i="2"/>
  <c r="X228" i="2"/>
  <c r="W228" i="2"/>
  <c r="X227" i="2"/>
  <c r="W227" i="2"/>
  <c r="X226" i="2"/>
  <c r="W226" i="2"/>
  <c r="X225" i="2"/>
  <c r="W225" i="2"/>
  <c r="X224" i="2"/>
  <c r="W224" i="2"/>
  <c r="X223" i="2"/>
  <c r="W223" i="2"/>
  <c r="X222" i="2"/>
  <c r="W222" i="2"/>
  <c r="X221" i="2"/>
  <c r="W221" i="2"/>
  <c r="X220" i="2"/>
  <c r="W220" i="2"/>
  <c r="X219" i="2"/>
  <c r="W219" i="2"/>
  <c r="X218" i="2"/>
  <c r="W218" i="2"/>
  <c r="X217" i="2"/>
  <c r="W217" i="2"/>
  <c r="X216" i="2"/>
  <c r="W216" i="2"/>
  <c r="X215" i="2"/>
  <c r="W215" i="2"/>
  <c r="X214" i="2"/>
  <c r="W214" i="2"/>
  <c r="X213" i="2"/>
  <c r="W213" i="2"/>
  <c r="X212" i="2"/>
  <c r="W212" i="2"/>
  <c r="X211" i="2"/>
  <c r="W211" i="2"/>
  <c r="X210" i="2"/>
  <c r="W210" i="2"/>
  <c r="X209" i="2"/>
  <c r="W209" i="2"/>
  <c r="X208" i="2"/>
  <c r="W208" i="2"/>
  <c r="X207" i="2"/>
  <c r="W207" i="2"/>
  <c r="X206" i="2"/>
  <c r="W206" i="2"/>
  <c r="X205" i="2"/>
  <c r="W205" i="2"/>
  <c r="X204" i="2"/>
  <c r="W204" i="2"/>
  <c r="X203" i="2"/>
  <c r="W203" i="2"/>
  <c r="X202" i="2"/>
  <c r="W202" i="2"/>
  <c r="X201" i="2"/>
  <c r="W201" i="2"/>
  <c r="X200" i="2"/>
  <c r="W200" i="2"/>
  <c r="X199" i="2"/>
  <c r="W199" i="2"/>
  <c r="X198" i="2"/>
  <c r="W198" i="2"/>
  <c r="X197" i="2"/>
  <c r="W197" i="2"/>
  <c r="X196" i="2"/>
  <c r="W196" i="2"/>
  <c r="X195" i="2"/>
  <c r="W195" i="2"/>
  <c r="X194" i="2"/>
  <c r="W194" i="2"/>
  <c r="X193" i="2"/>
  <c r="W193" i="2"/>
  <c r="X192" i="2"/>
  <c r="W192" i="2"/>
  <c r="X191" i="2"/>
  <c r="W191" i="2"/>
  <c r="X190" i="2"/>
  <c r="W190" i="2"/>
  <c r="X189" i="2"/>
  <c r="W189" i="2"/>
  <c r="X188" i="2"/>
  <c r="W188" i="2"/>
  <c r="X187" i="2"/>
  <c r="W187" i="2"/>
  <c r="X186" i="2"/>
  <c r="W186" i="2"/>
  <c r="X185" i="2"/>
  <c r="W185" i="2"/>
  <c r="X184" i="2"/>
  <c r="W184" i="2"/>
  <c r="X183" i="2"/>
  <c r="W183" i="2"/>
  <c r="X182" i="2"/>
  <c r="W182" i="2"/>
  <c r="X181" i="2"/>
  <c r="W181" i="2"/>
  <c r="X180" i="2"/>
  <c r="W180" i="2"/>
  <c r="X179" i="2"/>
  <c r="W179" i="2"/>
  <c r="X178" i="2"/>
  <c r="W178" i="2"/>
  <c r="X177" i="2"/>
  <c r="W177" i="2"/>
  <c r="X176" i="2"/>
  <c r="W176" i="2"/>
  <c r="X175" i="2"/>
  <c r="W175" i="2"/>
  <c r="X174" i="2"/>
  <c r="W174" i="2"/>
  <c r="X173" i="2"/>
  <c r="W173" i="2"/>
  <c r="X172" i="2"/>
  <c r="W172" i="2"/>
  <c r="X171" i="2"/>
  <c r="W171" i="2"/>
  <c r="X170" i="2"/>
  <c r="W170" i="2"/>
  <c r="X169" i="2"/>
  <c r="W169" i="2"/>
  <c r="X168" i="2"/>
  <c r="W168" i="2"/>
  <c r="X167" i="2"/>
  <c r="W167" i="2"/>
  <c r="X166" i="2"/>
  <c r="W166" i="2"/>
  <c r="X165" i="2"/>
  <c r="W165" i="2"/>
  <c r="X164" i="2"/>
  <c r="W164" i="2"/>
  <c r="X163" i="2"/>
  <c r="W163" i="2"/>
  <c r="X162" i="2"/>
  <c r="W162" i="2"/>
  <c r="X161" i="2"/>
  <c r="W161" i="2"/>
  <c r="X160" i="2"/>
  <c r="W160" i="2"/>
  <c r="X159" i="2"/>
  <c r="W159" i="2"/>
  <c r="X158" i="2"/>
  <c r="W158" i="2"/>
  <c r="X157" i="2"/>
  <c r="W157" i="2"/>
  <c r="X156" i="2"/>
  <c r="W156" i="2"/>
  <c r="X155" i="2"/>
  <c r="W155" i="2"/>
  <c r="X154" i="2"/>
  <c r="W154" i="2"/>
  <c r="X153" i="2"/>
  <c r="W153" i="2"/>
  <c r="X152" i="2"/>
  <c r="W152" i="2"/>
  <c r="X151" i="2"/>
  <c r="W151" i="2"/>
  <c r="X150" i="2"/>
  <c r="W150" i="2"/>
  <c r="X149" i="2"/>
  <c r="W149" i="2"/>
  <c r="X148" i="2"/>
  <c r="W148" i="2"/>
  <c r="X147" i="2"/>
  <c r="W147" i="2"/>
  <c r="X146" i="2"/>
  <c r="W146" i="2"/>
  <c r="X145" i="2"/>
  <c r="W145" i="2"/>
  <c r="X144" i="2"/>
  <c r="W144" i="2"/>
  <c r="X143" i="2"/>
  <c r="W143" i="2"/>
  <c r="X142" i="2"/>
  <c r="W142" i="2"/>
  <c r="X141" i="2"/>
  <c r="W141" i="2"/>
  <c r="X140" i="2"/>
  <c r="W140" i="2"/>
  <c r="X139" i="2"/>
  <c r="W139" i="2"/>
  <c r="X138" i="2"/>
  <c r="W138" i="2"/>
  <c r="X137" i="2"/>
  <c r="W137" i="2"/>
  <c r="X136" i="2"/>
  <c r="W136" i="2"/>
  <c r="X135" i="2"/>
  <c r="W135" i="2"/>
  <c r="X134" i="2"/>
  <c r="W134" i="2"/>
  <c r="X133" i="2"/>
  <c r="W133" i="2"/>
  <c r="X132" i="2"/>
  <c r="W132" i="2"/>
  <c r="X131" i="2"/>
  <c r="W131" i="2"/>
  <c r="X130" i="2"/>
  <c r="W130" i="2"/>
  <c r="X129" i="2"/>
  <c r="W129" i="2"/>
  <c r="X128" i="2"/>
  <c r="W128" i="2"/>
  <c r="X127" i="2"/>
  <c r="W127" i="2"/>
  <c r="X126" i="2"/>
  <c r="W126" i="2"/>
  <c r="X125" i="2"/>
  <c r="W125" i="2"/>
  <c r="X124" i="2"/>
  <c r="W124" i="2"/>
  <c r="X123" i="2"/>
  <c r="W123" i="2"/>
  <c r="X122" i="2"/>
  <c r="W122" i="2"/>
  <c r="X121" i="2"/>
  <c r="W121" i="2"/>
  <c r="X120" i="2"/>
  <c r="W120" i="2"/>
  <c r="X119" i="2"/>
  <c r="W119" i="2"/>
  <c r="X118" i="2"/>
  <c r="W118" i="2"/>
  <c r="X117" i="2"/>
  <c r="W117" i="2"/>
  <c r="X116" i="2"/>
  <c r="W116" i="2"/>
  <c r="X115" i="2"/>
  <c r="W115" i="2"/>
  <c r="X114" i="2"/>
  <c r="W114" i="2"/>
  <c r="X113" i="2"/>
  <c r="W113" i="2"/>
  <c r="X112" i="2"/>
  <c r="W112" i="2"/>
  <c r="X111" i="2"/>
  <c r="W111" i="2"/>
  <c r="X110" i="2"/>
  <c r="W110" i="2"/>
  <c r="X109" i="2"/>
  <c r="W109" i="2"/>
  <c r="X108" i="2"/>
  <c r="W108" i="2"/>
  <c r="X107" i="2"/>
  <c r="W107" i="2"/>
  <c r="X106" i="2"/>
  <c r="W106" i="2"/>
  <c r="X105" i="2"/>
  <c r="W105" i="2"/>
  <c r="X104" i="2"/>
  <c r="W104" i="2"/>
  <c r="X103" i="2"/>
  <c r="W103" i="2"/>
  <c r="X102" i="2"/>
  <c r="W102" i="2"/>
  <c r="X101" i="2"/>
  <c r="W101" i="2"/>
  <c r="X100" i="2"/>
  <c r="W100" i="2"/>
  <c r="X99" i="2"/>
  <c r="W99" i="2"/>
  <c r="X98" i="2"/>
  <c r="W98" i="2"/>
  <c r="X97" i="2"/>
  <c r="W97" i="2"/>
  <c r="X96" i="2"/>
  <c r="W96" i="2"/>
  <c r="X95" i="2"/>
  <c r="W95" i="2"/>
  <c r="X94" i="2"/>
  <c r="W94" i="2"/>
  <c r="X93" i="2"/>
  <c r="W93" i="2"/>
  <c r="X92" i="2"/>
  <c r="W92" i="2"/>
  <c r="X91" i="2"/>
  <c r="W91" i="2"/>
  <c r="X90" i="2"/>
  <c r="W90" i="2"/>
  <c r="X89" i="2"/>
  <c r="W89" i="2"/>
  <c r="X88" i="2"/>
  <c r="W88" i="2"/>
  <c r="X87" i="2"/>
  <c r="W87" i="2"/>
  <c r="X86" i="2"/>
  <c r="W86" i="2"/>
  <c r="X85" i="2"/>
  <c r="W85" i="2"/>
  <c r="X84" i="2"/>
  <c r="W84" i="2"/>
  <c r="X83" i="2"/>
  <c r="W83" i="2"/>
  <c r="X82" i="2"/>
  <c r="W82" i="2"/>
  <c r="X81" i="2"/>
  <c r="W81" i="2"/>
  <c r="X80" i="2"/>
  <c r="W80" i="2"/>
  <c r="X79" i="2"/>
  <c r="W79" i="2"/>
  <c r="X78" i="2"/>
  <c r="W78" i="2"/>
  <c r="X77" i="2"/>
  <c r="W77" i="2"/>
  <c r="X76" i="2"/>
  <c r="W76" i="2"/>
  <c r="X75" i="2"/>
  <c r="W75" i="2"/>
  <c r="X74" i="2"/>
  <c r="W74" i="2"/>
  <c r="X73" i="2"/>
  <c r="W73" i="2"/>
  <c r="X72" i="2"/>
  <c r="W72" i="2"/>
  <c r="X71" i="2"/>
  <c r="W71" i="2"/>
  <c r="X70" i="2"/>
  <c r="W70" i="2"/>
  <c r="X69" i="2"/>
  <c r="W69" i="2"/>
  <c r="X68" i="2"/>
  <c r="W68" i="2"/>
  <c r="X67" i="2"/>
  <c r="W67" i="2"/>
  <c r="X66" i="2"/>
  <c r="W66" i="2"/>
  <c r="X65" i="2"/>
  <c r="W65" i="2"/>
  <c r="X64" i="2"/>
  <c r="W64" i="2"/>
  <c r="X63" i="2"/>
  <c r="W63" i="2"/>
  <c r="X62" i="2"/>
  <c r="W62" i="2"/>
  <c r="X61" i="2"/>
  <c r="W61" i="2"/>
  <c r="X60" i="2"/>
  <c r="W60" i="2"/>
  <c r="X59" i="2"/>
  <c r="W59" i="2"/>
  <c r="X58" i="2"/>
  <c r="W58" i="2"/>
  <c r="X57" i="2"/>
  <c r="W57" i="2"/>
  <c r="X56" i="2"/>
  <c r="W56" i="2"/>
  <c r="X55" i="2"/>
  <c r="W55" i="2"/>
  <c r="X54" i="2"/>
  <c r="W54" i="2"/>
  <c r="X53" i="2"/>
  <c r="W53" i="2"/>
  <c r="X52" i="2"/>
  <c r="W52" i="2"/>
  <c r="X51" i="2"/>
  <c r="W51" i="2"/>
  <c r="X50" i="2"/>
  <c r="W50" i="2"/>
  <c r="X49" i="2"/>
  <c r="W49" i="2"/>
  <c r="X48" i="2"/>
  <c r="W48" i="2"/>
  <c r="X47" i="2"/>
  <c r="W47" i="2"/>
  <c r="X46" i="2"/>
  <c r="W46" i="2"/>
  <c r="X45" i="2"/>
  <c r="W45" i="2"/>
  <c r="X44" i="2"/>
  <c r="W44" i="2"/>
  <c r="X43" i="2"/>
  <c r="W43" i="2"/>
  <c r="X42" i="2"/>
  <c r="W42" i="2"/>
  <c r="X41" i="2"/>
  <c r="W41" i="2"/>
  <c r="X40" i="2"/>
  <c r="W40" i="2"/>
  <c r="X39" i="2"/>
  <c r="W39" i="2"/>
  <c r="X38" i="2"/>
  <c r="W38" i="2"/>
  <c r="X37" i="2"/>
  <c r="W37" i="2"/>
  <c r="X36" i="2"/>
  <c r="W36" i="2"/>
  <c r="X35" i="2"/>
  <c r="W35" i="2"/>
  <c r="X34" i="2"/>
  <c r="W34" i="2"/>
  <c r="X33" i="2"/>
  <c r="W33" i="2"/>
  <c r="X32" i="2"/>
  <c r="W32" i="2"/>
  <c r="X31" i="2"/>
  <c r="W31" i="2"/>
  <c r="X30" i="2"/>
  <c r="W30" i="2"/>
  <c r="X29" i="2"/>
  <c r="W29" i="2"/>
  <c r="X28" i="2"/>
  <c r="W28" i="2"/>
  <c r="X27" i="2"/>
  <c r="W27" i="2"/>
  <c r="X26" i="2"/>
  <c r="W26" i="2"/>
  <c r="X25" i="2"/>
  <c r="W25" i="2"/>
  <c r="X24" i="2"/>
  <c r="W24" i="2"/>
  <c r="X23" i="2"/>
  <c r="W23" i="2"/>
  <c r="X22" i="2"/>
  <c r="W22" i="2"/>
  <c r="X21" i="2"/>
  <c r="W21" i="2"/>
  <c r="X20" i="2"/>
  <c r="W20" i="2"/>
  <c r="X19" i="2"/>
  <c r="W19" i="2"/>
  <c r="X18" i="2"/>
  <c r="W18" i="2"/>
  <c r="X17" i="2"/>
  <c r="W17" i="2"/>
  <c r="X16" i="2"/>
  <c r="W16" i="2"/>
  <c r="X15" i="2"/>
  <c r="W15" i="2"/>
  <c r="X14" i="2"/>
  <c r="W14" i="2"/>
  <c r="X13" i="2"/>
  <c r="W13" i="2"/>
  <c r="X12" i="2"/>
  <c r="W12" i="2"/>
  <c r="X11" i="2"/>
  <c r="W11" i="2"/>
  <c r="X10" i="2"/>
  <c r="W10" i="2"/>
  <c r="X9" i="2"/>
  <c r="W9" i="2"/>
  <c r="X8" i="2"/>
  <c r="W8" i="2"/>
  <c r="X7" i="2"/>
  <c r="W7" i="2"/>
  <c r="X6" i="2"/>
  <c r="W6" i="2"/>
  <c r="X5" i="2"/>
  <c r="W5" i="2"/>
  <c r="X4" i="2"/>
  <c r="W4" i="2"/>
  <c r="H502" i="2"/>
  <c r="H501" i="2"/>
  <c r="H500" i="2"/>
  <c r="H499" i="2"/>
  <c r="H498" i="2"/>
  <c r="H497" i="2"/>
  <c r="H496" i="2"/>
  <c r="H495" i="2"/>
  <c r="H494" i="2"/>
  <c r="H493" i="2"/>
  <c r="H492" i="2"/>
  <c r="H491" i="2"/>
  <c r="H490" i="2"/>
  <c r="H489" i="2"/>
  <c r="H488" i="2"/>
  <c r="H487" i="2"/>
  <c r="H486" i="2"/>
  <c r="H485" i="2"/>
  <c r="H484" i="2"/>
  <c r="H483" i="2"/>
  <c r="H482" i="2"/>
  <c r="H481" i="2"/>
  <c r="H480" i="2"/>
  <c r="H479" i="2"/>
  <c r="H478" i="2"/>
  <c r="H477" i="2"/>
  <c r="H476" i="2"/>
  <c r="H475" i="2"/>
  <c r="H474" i="2"/>
  <c r="H473" i="2"/>
  <c r="H472" i="2"/>
  <c r="H471" i="2"/>
  <c r="H470" i="2"/>
  <c r="H469" i="2"/>
  <c r="H468" i="2"/>
  <c r="H467" i="2"/>
  <c r="H466" i="2"/>
  <c r="H465" i="2"/>
  <c r="H464" i="2"/>
  <c r="H463" i="2"/>
  <c r="H462" i="2"/>
  <c r="H461" i="2"/>
  <c r="H460" i="2"/>
  <c r="H459" i="2"/>
  <c r="H458" i="2"/>
  <c r="H457" i="2"/>
  <c r="H456" i="2"/>
  <c r="H455" i="2"/>
  <c r="H454" i="2"/>
  <c r="H453" i="2"/>
  <c r="H452" i="2"/>
  <c r="H451" i="2"/>
  <c r="H450" i="2"/>
  <c r="H449" i="2"/>
  <c r="H448" i="2"/>
  <c r="H447" i="2"/>
  <c r="H446" i="2"/>
  <c r="H445" i="2"/>
  <c r="H444" i="2"/>
  <c r="H443" i="2"/>
  <c r="H442" i="2"/>
  <c r="H441" i="2"/>
  <c r="H440" i="2"/>
  <c r="H439" i="2"/>
  <c r="H438" i="2"/>
  <c r="H437" i="2"/>
  <c r="H436" i="2"/>
  <c r="H435" i="2"/>
  <c r="H434" i="2"/>
  <c r="H433" i="2"/>
  <c r="H432" i="2"/>
  <c r="H431" i="2"/>
  <c r="H430" i="2"/>
  <c r="H429" i="2"/>
  <c r="H428" i="2"/>
  <c r="H427" i="2"/>
  <c r="H426" i="2"/>
  <c r="H425" i="2"/>
  <c r="H424" i="2"/>
  <c r="H423" i="2"/>
  <c r="H422" i="2"/>
  <c r="H421" i="2"/>
  <c r="H420" i="2"/>
  <c r="H419" i="2"/>
  <c r="H418" i="2"/>
  <c r="H417" i="2"/>
  <c r="H416" i="2"/>
  <c r="H415" i="2"/>
  <c r="H414" i="2"/>
  <c r="H413" i="2"/>
  <c r="H412" i="2"/>
  <c r="H411" i="2"/>
  <c r="H410" i="2"/>
  <c r="H409" i="2"/>
  <c r="H408" i="2"/>
  <c r="H407" i="2"/>
  <c r="H406" i="2"/>
  <c r="H405" i="2"/>
  <c r="H404" i="2"/>
  <c r="H403" i="2"/>
  <c r="H402" i="2"/>
  <c r="H401" i="2"/>
  <c r="H400" i="2"/>
  <c r="H399" i="2"/>
  <c r="H398" i="2"/>
  <c r="H397" i="2"/>
  <c r="H396" i="2"/>
  <c r="H395" i="2"/>
  <c r="H394" i="2"/>
  <c r="H393" i="2"/>
  <c r="H392" i="2"/>
  <c r="H391" i="2"/>
  <c r="H390" i="2"/>
  <c r="H389" i="2"/>
  <c r="H388" i="2"/>
  <c r="H387" i="2"/>
  <c r="H386" i="2"/>
  <c r="H385" i="2"/>
  <c r="H384" i="2"/>
  <c r="H383" i="2"/>
  <c r="H382" i="2"/>
  <c r="H381" i="2"/>
  <c r="H380" i="2"/>
  <c r="H379" i="2"/>
  <c r="H378" i="2"/>
  <c r="H377" i="2"/>
  <c r="H376" i="2"/>
  <c r="H375" i="2"/>
  <c r="H374" i="2"/>
  <c r="H373" i="2"/>
  <c r="H372" i="2"/>
  <c r="H371" i="2"/>
  <c r="H370" i="2"/>
  <c r="H369" i="2"/>
  <c r="H368" i="2"/>
  <c r="H367" i="2"/>
  <c r="H366" i="2"/>
  <c r="H365" i="2"/>
  <c r="H364" i="2"/>
  <c r="H363" i="2"/>
  <c r="H362" i="2"/>
  <c r="H361" i="2"/>
  <c r="H360" i="2"/>
  <c r="H359" i="2"/>
  <c r="H358" i="2"/>
  <c r="H357" i="2"/>
  <c r="H356" i="2"/>
  <c r="H355" i="2"/>
  <c r="H354" i="2"/>
  <c r="H353" i="2"/>
  <c r="H352" i="2"/>
  <c r="H351" i="2"/>
  <c r="H350" i="2"/>
  <c r="H349" i="2"/>
  <c r="H348" i="2"/>
  <c r="H347" i="2"/>
  <c r="H346" i="2"/>
  <c r="H345" i="2"/>
  <c r="H344" i="2"/>
  <c r="H343" i="2"/>
  <c r="H342" i="2"/>
  <c r="H341" i="2"/>
  <c r="H340" i="2"/>
  <c r="H339" i="2"/>
  <c r="H338" i="2"/>
  <c r="H337" i="2"/>
  <c r="H336" i="2"/>
  <c r="H335" i="2"/>
  <c r="H334" i="2"/>
  <c r="H333" i="2"/>
  <c r="H332" i="2"/>
  <c r="H331" i="2"/>
  <c r="H330" i="2"/>
  <c r="H329" i="2"/>
  <c r="H328" i="2"/>
  <c r="H327" i="2"/>
  <c r="H326" i="2"/>
  <c r="H325" i="2"/>
  <c r="H324" i="2"/>
  <c r="H323" i="2"/>
  <c r="H322" i="2"/>
  <c r="H321" i="2"/>
  <c r="H320" i="2"/>
  <c r="H319" i="2"/>
  <c r="H318" i="2"/>
  <c r="H317" i="2"/>
  <c r="H316" i="2"/>
  <c r="H315" i="2"/>
  <c r="H314" i="2"/>
  <c r="H313" i="2"/>
  <c r="H312" i="2"/>
  <c r="H311" i="2"/>
  <c r="H310" i="2"/>
  <c r="H309" i="2"/>
  <c r="H308" i="2"/>
  <c r="H307" i="2"/>
  <c r="H306" i="2"/>
  <c r="H305" i="2"/>
  <c r="H304" i="2"/>
  <c r="H303" i="2"/>
  <c r="H302" i="2"/>
  <c r="H301" i="2"/>
  <c r="H300" i="2"/>
  <c r="H299" i="2"/>
  <c r="H298" i="2"/>
  <c r="H297" i="2"/>
  <c r="H296" i="2"/>
  <c r="H295" i="2"/>
  <c r="H294" i="2"/>
  <c r="H293" i="2"/>
  <c r="H292" i="2"/>
  <c r="H291" i="2"/>
  <c r="H290" i="2"/>
  <c r="H289" i="2"/>
  <c r="H288" i="2"/>
  <c r="H287" i="2"/>
  <c r="H286" i="2"/>
  <c r="H285" i="2"/>
  <c r="H284" i="2"/>
  <c r="H283" i="2"/>
  <c r="H282" i="2"/>
  <c r="H281" i="2"/>
  <c r="H280" i="2"/>
  <c r="H279" i="2"/>
  <c r="H278" i="2"/>
  <c r="H277" i="2"/>
  <c r="H276" i="2"/>
  <c r="H275" i="2"/>
  <c r="H274" i="2"/>
  <c r="H273" i="2"/>
  <c r="H272" i="2"/>
  <c r="H271" i="2"/>
  <c r="H270" i="2"/>
  <c r="H269" i="2"/>
  <c r="H268" i="2"/>
  <c r="H267" i="2"/>
  <c r="H266" i="2"/>
  <c r="H265" i="2"/>
  <c r="H264" i="2"/>
  <c r="H263" i="2"/>
  <c r="H262" i="2"/>
  <c r="H261" i="2"/>
  <c r="H260" i="2"/>
  <c r="H259" i="2"/>
  <c r="H258" i="2"/>
  <c r="H257" i="2"/>
  <c r="H256" i="2"/>
  <c r="H255" i="2"/>
  <c r="H254" i="2"/>
  <c r="H253" i="2"/>
  <c r="H252" i="2"/>
  <c r="H251" i="2"/>
  <c r="H250" i="2"/>
  <c r="H249" i="2"/>
  <c r="H248" i="2"/>
  <c r="H247" i="2"/>
  <c r="H246" i="2"/>
  <c r="H245" i="2"/>
  <c r="H244" i="2"/>
  <c r="H243" i="2"/>
  <c r="H242" i="2"/>
  <c r="H241" i="2"/>
  <c r="H240" i="2"/>
  <c r="H239" i="2"/>
  <c r="H238" i="2"/>
  <c r="H237" i="2"/>
  <c r="H236" i="2"/>
  <c r="H235" i="2"/>
  <c r="H234" i="2"/>
  <c r="H233" i="2"/>
  <c r="H232" i="2"/>
  <c r="H231" i="2"/>
  <c r="H230" i="2"/>
  <c r="H229" i="2"/>
  <c r="H228" i="2"/>
  <c r="H227" i="2"/>
  <c r="H226" i="2"/>
  <c r="H225" i="2"/>
  <c r="H224" i="2"/>
  <c r="H223" i="2"/>
  <c r="H222" i="2"/>
  <c r="H221" i="2"/>
  <c r="H220" i="2"/>
  <c r="H219" i="2"/>
  <c r="H218" i="2"/>
  <c r="H217" i="2"/>
  <c r="H216" i="2"/>
  <c r="H215" i="2"/>
  <c r="H214" i="2"/>
  <c r="H213" i="2"/>
  <c r="H212" i="2"/>
  <c r="H211" i="2"/>
  <c r="H210" i="2"/>
  <c r="H209" i="2"/>
  <c r="H208" i="2"/>
  <c r="H207" i="2"/>
  <c r="H206" i="2"/>
  <c r="H205" i="2"/>
  <c r="H204" i="2"/>
  <c r="H203" i="2"/>
  <c r="H202" i="2"/>
  <c r="H201" i="2"/>
  <c r="H200" i="2"/>
  <c r="H199" i="2"/>
  <c r="H198" i="2"/>
  <c r="H197" i="2"/>
  <c r="H196" i="2"/>
  <c r="H195" i="2"/>
  <c r="H194" i="2"/>
  <c r="H193" i="2"/>
  <c r="H192" i="2"/>
  <c r="H191" i="2"/>
  <c r="H190" i="2"/>
  <c r="H189" i="2"/>
  <c r="H188" i="2"/>
  <c r="H187" i="2"/>
  <c r="H186" i="2"/>
  <c r="H185" i="2"/>
  <c r="H184" i="2"/>
  <c r="H183" i="2"/>
  <c r="H182" i="2"/>
  <c r="H181" i="2"/>
  <c r="H180" i="2"/>
  <c r="H179" i="2"/>
  <c r="H178" i="2"/>
  <c r="H177" i="2"/>
  <c r="H176" i="2"/>
  <c r="H175" i="2"/>
  <c r="H174" i="2"/>
  <c r="H173" i="2"/>
  <c r="H172" i="2"/>
  <c r="H171" i="2"/>
  <c r="H170" i="2"/>
  <c r="H169" i="2"/>
  <c r="H168" i="2"/>
  <c r="H167" i="2"/>
  <c r="H166" i="2"/>
  <c r="H165" i="2"/>
  <c r="H164" i="2"/>
  <c r="H163" i="2"/>
  <c r="H162" i="2"/>
  <c r="H161" i="2"/>
  <c r="H160" i="2"/>
  <c r="H159" i="2"/>
  <c r="H158" i="2"/>
  <c r="H157" i="2"/>
  <c r="H156" i="2"/>
  <c r="H155" i="2"/>
  <c r="H154" i="2"/>
  <c r="H153" i="2"/>
  <c r="H152" i="2"/>
  <c r="H151" i="2"/>
  <c r="H150" i="2"/>
  <c r="H149" i="2"/>
  <c r="H148" i="2"/>
  <c r="H147" i="2"/>
  <c r="H146" i="2"/>
  <c r="H145" i="2"/>
  <c r="H144" i="2"/>
  <c r="H143" i="2"/>
  <c r="H142" i="2"/>
  <c r="H141" i="2"/>
  <c r="H140" i="2"/>
  <c r="H139" i="2"/>
  <c r="H138" i="2"/>
  <c r="H137" i="2"/>
  <c r="H136" i="2"/>
  <c r="H135" i="2"/>
  <c r="H134" i="2"/>
  <c r="H133" i="2"/>
  <c r="H132" i="2"/>
  <c r="H131" i="2"/>
  <c r="H130" i="2"/>
  <c r="H129" i="2"/>
  <c r="H128" i="2"/>
  <c r="H127" i="2"/>
  <c r="H126" i="2"/>
  <c r="H125" i="2"/>
  <c r="H124" i="2"/>
  <c r="H123" i="2"/>
  <c r="H122" i="2"/>
  <c r="H121" i="2"/>
  <c r="H120" i="2"/>
  <c r="H119" i="2"/>
  <c r="H118" i="2"/>
  <c r="H117" i="2"/>
  <c r="H116" i="2"/>
  <c r="H115" i="2"/>
  <c r="H114" i="2"/>
  <c r="H113" i="2"/>
  <c r="H112" i="2"/>
  <c r="H111" i="2"/>
  <c r="H110" i="2"/>
  <c r="H109" i="2"/>
  <c r="H108" i="2"/>
  <c r="H107" i="2"/>
  <c r="H106" i="2"/>
  <c r="H105" i="2"/>
  <c r="H104" i="2"/>
  <c r="H103" i="2"/>
  <c r="H102" i="2"/>
  <c r="H101" i="2"/>
  <c r="H100" i="2"/>
  <c r="H99" i="2"/>
  <c r="H98" i="2"/>
  <c r="H97" i="2"/>
  <c r="H96" i="2"/>
  <c r="H95" i="2"/>
  <c r="H94" i="2"/>
  <c r="H93" i="2"/>
  <c r="H92" i="2"/>
  <c r="H91" i="2"/>
  <c r="H90" i="2"/>
  <c r="H89" i="2"/>
  <c r="H88" i="2"/>
  <c r="H87" i="2"/>
  <c r="H86" i="2"/>
  <c r="H85" i="2"/>
  <c r="H84" i="2"/>
  <c r="H83" i="2"/>
  <c r="H82" i="2"/>
  <c r="H81" i="2"/>
  <c r="H80" i="2"/>
  <c r="H79" i="2"/>
  <c r="H78" i="2"/>
  <c r="H77" i="2"/>
  <c r="H76" i="2"/>
  <c r="H75" i="2"/>
  <c r="H74" i="2"/>
  <c r="H73" i="2"/>
  <c r="H72" i="2"/>
  <c r="H71" i="2"/>
  <c r="H70" i="2"/>
  <c r="H69" i="2"/>
  <c r="H68" i="2"/>
  <c r="H67" i="2"/>
  <c r="H66" i="2"/>
  <c r="H65" i="2"/>
  <c r="H64" i="2"/>
  <c r="H63" i="2"/>
  <c r="H62" i="2"/>
  <c r="H61" i="2"/>
  <c r="H60" i="2"/>
  <c r="H59" i="2"/>
  <c r="H58" i="2"/>
  <c r="H57" i="2"/>
  <c r="H56" i="2"/>
  <c r="H55" i="2"/>
  <c r="H54" i="2"/>
  <c r="H53" i="2"/>
  <c r="H52" i="2"/>
  <c r="H51" i="2"/>
  <c r="H50" i="2"/>
  <c r="H49" i="2"/>
  <c r="H48" i="2"/>
  <c r="H47" i="2"/>
  <c r="H46" i="2"/>
  <c r="H45" i="2"/>
  <c r="H44" i="2"/>
  <c r="H43" i="2"/>
  <c r="H42" i="2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4" i="2"/>
  <c r="B1001" i="2"/>
  <c r="B1000" i="2"/>
  <c r="B999" i="2"/>
  <c r="B998" i="2"/>
  <c r="B997" i="2"/>
  <c r="B996" i="2"/>
  <c r="B995" i="2"/>
  <c r="B994" i="2"/>
  <c r="B993" i="2"/>
  <c r="B992" i="2"/>
  <c r="B991" i="2"/>
  <c r="B990" i="2"/>
  <c r="B989" i="2"/>
  <c r="B988" i="2"/>
  <c r="B987" i="2"/>
  <c r="B986" i="2"/>
  <c r="B985" i="2"/>
  <c r="B984" i="2"/>
  <c r="B983" i="2"/>
  <c r="B982" i="2"/>
  <c r="B981" i="2"/>
  <c r="B980" i="2"/>
  <c r="B979" i="2"/>
  <c r="B978" i="2"/>
  <c r="B977" i="2"/>
  <c r="B976" i="2"/>
  <c r="B975" i="2"/>
  <c r="B974" i="2"/>
  <c r="B973" i="2"/>
  <c r="B972" i="2"/>
  <c r="B971" i="2"/>
  <c r="B970" i="2"/>
  <c r="B969" i="2"/>
  <c r="B968" i="2"/>
  <c r="B967" i="2"/>
  <c r="B966" i="2"/>
  <c r="B965" i="2"/>
  <c r="B964" i="2"/>
  <c r="B963" i="2"/>
  <c r="B962" i="2"/>
  <c r="B961" i="2"/>
  <c r="B960" i="2"/>
  <c r="B959" i="2"/>
  <c r="B958" i="2"/>
  <c r="B957" i="2"/>
  <c r="B956" i="2"/>
  <c r="B955" i="2"/>
  <c r="B954" i="2"/>
  <c r="B953" i="2"/>
  <c r="B952" i="2"/>
  <c r="B951" i="2"/>
  <c r="B950" i="2"/>
  <c r="B949" i="2"/>
  <c r="B948" i="2"/>
  <c r="B947" i="2"/>
  <c r="B946" i="2"/>
  <c r="B945" i="2"/>
  <c r="B944" i="2"/>
  <c r="B943" i="2"/>
  <c r="B942" i="2"/>
  <c r="B941" i="2"/>
  <c r="B940" i="2"/>
  <c r="B939" i="2"/>
  <c r="B938" i="2"/>
  <c r="B937" i="2"/>
  <c r="B936" i="2"/>
  <c r="B935" i="2"/>
  <c r="B934" i="2"/>
  <c r="B933" i="2"/>
  <c r="B932" i="2"/>
  <c r="B931" i="2"/>
  <c r="B930" i="2"/>
  <c r="B929" i="2"/>
  <c r="B928" i="2"/>
  <c r="B927" i="2"/>
  <c r="B926" i="2"/>
  <c r="B925" i="2"/>
  <c r="B924" i="2"/>
  <c r="B923" i="2"/>
  <c r="B922" i="2"/>
  <c r="B921" i="2"/>
  <c r="B920" i="2"/>
  <c r="B919" i="2"/>
  <c r="B918" i="2"/>
  <c r="B917" i="2"/>
  <c r="B916" i="2"/>
  <c r="B915" i="2"/>
  <c r="B914" i="2"/>
  <c r="B913" i="2"/>
  <c r="B912" i="2"/>
  <c r="B911" i="2"/>
  <c r="B910" i="2"/>
  <c r="B909" i="2"/>
  <c r="B908" i="2"/>
  <c r="B907" i="2"/>
  <c r="B906" i="2"/>
  <c r="B905" i="2"/>
  <c r="B904" i="2"/>
  <c r="B903" i="2"/>
  <c r="B902" i="2"/>
  <c r="B901" i="2"/>
  <c r="B900" i="2"/>
  <c r="B899" i="2"/>
  <c r="B898" i="2"/>
  <c r="B897" i="2"/>
  <c r="B896" i="2"/>
  <c r="B895" i="2"/>
  <c r="B894" i="2"/>
  <c r="B893" i="2"/>
  <c r="B892" i="2"/>
  <c r="B891" i="2"/>
  <c r="B890" i="2"/>
  <c r="B889" i="2"/>
  <c r="B888" i="2"/>
  <c r="B887" i="2"/>
  <c r="B886" i="2"/>
  <c r="B885" i="2"/>
  <c r="B884" i="2"/>
  <c r="B883" i="2"/>
  <c r="B882" i="2"/>
  <c r="B881" i="2"/>
  <c r="B880" i="2"/>
  <c r="B879" i="2"/>
  <c r="B878" i="2"/>
  <c r="B877" i="2"/>
  <c r="B876" i="2"/>
  <c r="B875" i="2"/>
  <c r="B874" i="2"/>
  <c r="B873" i="2"/>
  <c r="B872" i="2"/>
  <c r="B871" i="2"/>
  <c r="B870" i="2"/>
  <c r="B869" i="2"/>
  <c r="B868" i="2"/>
  <c r="B867" i="2"/>
  <c r="B866" i="2"/>
  <c r="B865" i="2"/>
  <c r="B864" i="2"/>
  <c r="B863" i="2"/>
  <c r="B862" i="2"/>
  <c r="B861" i="2"/>
  <c r="B860" i="2"/>
  <c r="B859" i="2"/>
  <c r="B858" i="2"/>
  <c r="B857" i="2"/>
  <c r="B856" i="2"/>
  <c r="B855" i="2"/>
  <c r="B854" i="2"/>
  <c r="B853" i="2"/>
  <c r="B852" i="2"/>
  <c r="B851" i="2"/>
  <c r="B850" i="2"/>
  <c r="B849" i="2"/>
  <c r="B848" i="2"/>
  <c r="B847" i="2"/>
  <c r="B846" i="2"/>
  <c r="B845" i="2"/>
  <c r="B844" i="2"/>
  <c r="B843" i="2"/>
  <c r="B842" i="2"/>
  <c r="B841" i="2"/>
  <c r="B840" i="2"/>
  <c r="B839" i="2"/>
  <c r="B838" i="2"/>
  <c r="B837" i="2"/>
  <c r="B836" i="2"/>
  <c r="B835" i="2"/>
  <c r="B834" i="2"/>
  <c r="B833" i="2"/>
  <c r="B832" i="2"/>
  <c r="B831" i="2"/>
  <c r="B830" i="2"/>
  <c r="B829" i="2"/>
  <c r="B828" i="2"/>
  <c r="B827" i="2"/>
  <c r="B826" i="2"/>
  <c r="B825" i="2"/>
  <c r="B824" i="2"/>
  <c r="B823" i="2"/>
  <c r="B822" i="2"/>
  <c r="B821" i="2"/>
  <c r="B820" i="2"/>
  <c r="B819" i="2"/>
  <c r="B818" i="2"/>
  <c r="B817" i="2"/>
  <c r="B816" i="2"/>
  <c r="B815" i="2"/>
  <c r="B814" i="2"/>
  <c r="B813" i="2"/>
  <c r="B812" i="2"/>
  <c r="B811" i="2"/>
  <c r="B810" i="2"/>
  <c r="B809" i="2"/>
  <c r="B808" i="2"/>
  <c r="B807" i="2"/>
  <c r="B806" i="2"/>
  <c r="B805" i="2"/>
  <c r="B804" i="2"/>
  <c r="B803" i="2"/>
  <c r="B802" i="2"/>
  <c r="B801" i="2"/>
  <c r="B800" i="2"/>
  <c r="B799" i="2"/>
  <c r="B798" i="2"/>
  <c r="B797" i="2"/>
  <c r="B796" i="2"/>
  <c r="B795" i="2"/>
  <c r="B794" i="2"/>
  <c r="B793" i="2"/>
  <c r="B792" i="2"/>
  <c r="B791" i="2"/>
  <c r="B790" i="2"/>
  <c r="B789" i="2"/>
  <c r="B788" i="2"/>
  <c r="B787" i="2"/>
  <c r="B786" i="2"/>
  <c r="B785" i="2"/>
  <c r="B784" i="2"/>
  <c r="B783" i="2"/>
  <c r="B782" i="2"/>
  <c r="B781" i="2"/>
  <c r="B780" i="2"/>
  <c r="B779" i="2"/>
  <c r="B778" i="2"/>
  <c r="B777" i="2"/>
  <c r="B776" i="2"/>
  <c r="B775" i="2"/>
  <c r="B774" i="2"/>
  <c r="B773" i="2"/>
  <c r="B772" i="2"/>
  <c r="B771" i="2"/>
  <c r="B770" i="2"/>
  <c r="B769" i="2"/>
  <c r="B768" i="2"/>
  <c r="B767" i="2"/>
  <c r="B766" i="2"/>
  <c r="B765" i="2"/>
  <c r="B764" i="2"/>
  <c r="B763" i="2"/>
  <c r="B762" i="2"/>
  <c r="B761" i="2"/>
  <c r="B760" i="2"/>
  <c r="B759" i="2"/>
  <c r="B758" i="2"/>
  <c r="B757" i="2"/>
  <c r="B756" i="2"/>
  <c r="B755" i="2"/>
  <c r="B754" i="2"/>
  <c r="B753" i="2"/>
  <c r="B752" i="2"/>
  <c r="B751" i="2"/>
  <c r="B750" i="2"/>
  <c r="B749" i="2"/>
  <c r="B748" i="2"/>
  <c r="B747" i="2"/>
  <c r="B746" i="2"/>
  <c r="B745" i="2"/>
  <c r="B744" i="2"/>
  <c r="B743" i="2"/>
  <c r="B742" i="2"/>
  <c r="B741" i="2"/>
  <c r="B740" i="2"/>
  <c r="B739" i="2"/>
  <c r="B738" i="2"/>
  <c r="B737" i="2"/>
  <c r="B736" i="2"/>
  <c r="B735" i="2"/>
  <c r="B734" i="2"/>
  <c r="B733" i="2"/>
  <c r="B732" i="2"/>
  <c r="B731" i="2"/>
  <c r="B730" i="2"/>
  <c r="B729" i="2"/>
  <c r="B728" i="2"/>
  <c r="B727" i="2"/>
  <c r="B726" i="2"/>
  <c r="B725" i="2"/>
  <c r="B724" i="2"/>
  <c r="B723" i="2"/>
  <c r="B722" i="2"/>
  <c r="B721" i="2"/>
  <c r="B720" i="2"/>
  <c r="B719" i="2"/>
  <c r="B718" i="2"/>
  <c r="B717" i="2"/>
  <c r="B716" i="2"/>
  <c r="B715" i="2"/>
  <c r="B714" i="2"/>
  <c r="B713" i="2"/>
  <c r="B712" i="2"/>
  <c r="B711" i="2"/>
  <c r="B710" i="2"/>
  <c r="B709" i="2"/>
  <c r="B708" i="2"/>
  <c r="B707" i="2"/>
  <c r="B706" i="2"/>
  <c r="B705" i="2"/>
  <c r="B704" i="2"/>
  <c r="B703" i="2"/>
  <c r="B702" i="2"/>
  <c r="B701" i="2"/>
  <c r="B700" i="2"/>
  <c r="B699" i="2"/>
  <c r="B698" i="2"/>
  <c r="B697" i="2"/>
  <c r="B696" i="2"/>
  <c r="B695" i="2"/>
  <c r="B694" i="2"/>
  <c r="B693" i="2"/>
  <c r="B692" i="2"/>
  <c r="B691" i="2"/>
  <c r="B690" i="2"/>
  <c r="B689" i="2"/>
  <c r="B688" i="2"/>
  <c r="B687" i="2"/>
  <c r="B686" i="2"/>
  <c r="B685" i="2"/>
  <c r="B684" i="2"/>
  <c r="B683" i="2"/>
  <c r="B682" i="2"/>
  <c r="B681" i="2"/>
  <c r="B680" i="2"/>
  <c r="B679" i="2"/>
  <c r="B678" i="2"/>
  <c r="B677" i="2"/>
  <c r="B676" i="2"/>
  <c r="B675" i="2"/>
  <c r="B674" i="2"/>
  <c r="B673" i="2"/>
  <c r="B672" i="2"/>
  <c r="B671" i="2"/>
  <c r="B670" i="2"/>
  <c r="B669" i="2"/>
  <c r="B668" i="2"/>
  <c r="B667" i="2"/>
  <c r="B666" i="2"/>
  <c r="B665" i="2"/>
  <c r="B664" i="2"/>
  <c r="B663" i="2"/>
  <c r="B662" i="2"/>
  <c r="B661" i="2"/>
  <c r="B660" i="2"/>
  <c r="B659" i="2"/>
  <c r="B658" i="2"/>
  <c r="B657" i="2"/>
  <c r="B656" i="2"/>
  <c r="B655" i="2"/>
  <c r="B654" i="2"/>
  <c r="B653" i="2"/>
  <c r="B652" i="2"/>
  <c r="B651" i="2"/>
  <c r="B650" i="2"/>
  <c r="B649" i="2"/>
  <c r="B648" i="2"/>
  <c r="B647" i="2"/>
  <c r="B646" i="2"/>
  <c r="B645" i="2"/>
  <c r="B644" i="2"/>
  <c r="B643" i="2"/>
  <c r="B642" i="2"/>
  <c r="B641" i="2"/>
  <c r="B640" i="2"/>
  <c r="B639" i="2"/>
  <c r="B638" i="2"/>
  <c r="B637" i="2"/>
  <c r="B636" i="2"/>
  <c r="B635" i="2"/>
  <c r="B634" i="2"/>
  <c r="B633" i="2"/>
  <c r="B632" i="2"/>
  <c r="B631" i="2"/>
  <c r="B630" i="2"/>
  <c r="B629" i="2"/>
  <c r="B628" i="2"/>
  <c r="B627" i="2"/>
  <c r="B626" i="2"/>
  <c r="B625" i="2"/>
  <c r="B624" i="2"/>
  <c r="B623" i="2"/>
  <c r="B622" i="2"/>
  <c r="B621" i="2"/>
  <c r="B620" i="2"/>
  <c r="B619" i="2"/>
  <c r="B618" i="2"/>
  <c r="B617" i="2"/>
  <c r="B616" i="2"/>
  <c r="B615" i="2"/>
  <c r="B614" i="2"/>
  <c r="B613" i="2"/>
  <c r="B612" i="2"/>
  <c r="B611" i="2"/>
  <c r="B610" i="2"/>
  <c r="B609" i="2"/>
  <c r="B608" i="2"/>
  <c r="B607" i="2"/>
  <c r="B606" i="2"/>
  <c r="B605" i="2"/>
  <c r="B604" i="2"/>
  <c r="B603" i="2"/>
  <c r="B602" i="2"/>
  <c r="B601" i="2"/>
  <c r="B600" i="2"/>
  <c r="B599" i="2"/>
  <c r="B598" i="2"/>
  <c r="B597" i="2"/>
  <c r="B596" i="2"/>
  <c r="B595" i="2"/>
  <c r="B594" i="2"/>
  <c r="B593" i="2"/>
  <c r="B592" i="2"/>
  <c r="B591" i="2"/>
  <c r="B590" i="2"/>
  <c r="B589" i="2"/>
  <c r="B588" i="2"/>
  <c r="B587" i="2"/>
  <c r="B586" i="2"/>
  <c r="B585" i="2"/>
  <c r="B584" i="2"/>
  <c r="B583" i="2"/>
  <c r="B582" i="2"/>
  <c r="B581" i="2"/>
  <c r="B580" i="2"/>
  <c r="B579" i="2"/>
  <c r="B578" i="2"/>
  <c r="B577" i="2"/>
  <c r="B576" i="2"/>
  <c r="B575" i="2"/>
  <c r="B574" i="2"/>
  <c r="B573" i="2"/>
  <c r="B572" i="2"/>
  <c r="B571" i="2"/>
  <c r="B570" i="2"/>
  <c r="B569" i="2"/>
  <c r="B568" i="2"/>
  <c r="B567" i="2"/>
  <c r="B566" i="2"/>
  <c r="B565" i="2"/>
  <c r="B564" i="2"/>
  <c r="B563" i="2"/>
  <c r="B562" i="2"/>
  <c r="B561" i="2"/>
  <c r="B560" i="2"/>
  <c r="B559" i="2"/>
  <c r="B558" i="2"/>
  <c r="B557" i="2"/>
  <c r="B556" i="2"/>
  <c r="B555" i="2"/>
  <c r="B554" i="2"/>
  <c r="B553" i="2"/>
  <c r="B552" i="2"/>
  <c r="B551" i="2"/>
  <c r="B550" i="2"/>
  <c r="B549" i="2"/>
  <c r="B548" i="2"/>
  <c r="B547" i="2"/>
  <c r="B546" i="2"/>
  <c r="B545" i="2"/>
  <c r="B544" i="2"/>
  <c r="B543" i="2"/>
  <c r="B542" i="2"/>
  <c r="B541" i="2"/>
  <c r="B540" i="2"/>
  <c r="B539" i="2"/>
  <c r="B538" i="2"/>
  <c r="B537" i="2"/>
  <c r="B536" i="2"/>
  <c r="B535" i="2"/>
  <c r="B534" i="2"/>
  <c r="B533" i="2"/>
  <c r="B532" i="2"/>
  <c r="B531" i="2"/>
  <c r="B530" i="2"/>
  <c r="B529" i="2"/>
  <c r="B528" i="2"/>
  <c r="B527" i="2"/>
  <c r="B526" i="2"/>
  <c r="B525" i="2"/>
  <c r="B524" i="2"/>
  <c r="B523" i="2"/>
  <c r="B522" i="2"/>
  <c r="B521" i="2"/>
  <c r="B520" i="2"/>
  <c r="B519" i="2"/>
  <c r="B518" i="2"/>
  <c r="B517" i="2"/>
  <c r="B516" i="2"/>
  <c r="B515" i="2"/>
  <c r="B514" i="2"/>
  <c r="B513" i="2"/>
  <c r="B512" i="2"/>
  <c r="B511" i="2"/>
  <c r="B510" i="2"/>
  <c r="B509" i="2"/>
  <c r="B508" i="2"/>
  <c r="B507" i="2"/>
  <c r="B506" i="2"/>
  <c r="B505" i="2"/>
  <c r="B504" i="2"/>
  <c r="B503" i="2"/>
  <c r="B502" i="2"/>
  <c r="B501" i="2"/>
  <c r="B500" i="2"/>
  <c r="B499" i="2"/>
  <c r="B498" i="2"/>
  <c r="B497" i="2"/>
  <c r="B496" i="2"/>
  <c r="B495" i="2"/>
  <c r="B494" i="2"/>
  <c r="B493" i="2"/>
  <c r="B492" i="2"/>
  <c r="B491" i="2"/>
  <c r="B490" i="2"/>
  <c r="B489" i="2"/>
  <c r="B488" i="2"/>
  <c r="B487" i="2"/>
  <c r="B486" i="2"/>
  <c r="B485" i="2"/>
  <c r="B484" i="2"/>
  <c r="B483" i="2"/>
  <c r="B482" i="2"/>
  <c r="B481" i="2"/>
  <c r="B480" i="2"/>
  <c r="B479" i="2"/>
  <c r="B478" i="2"/>
  <c r="B477" i="2"/>
  <c r="B476" i="2"/>
  <c r="B475" i="2"/>
  <c r="B474" i="2"/>
  <c r="B473" i="2"/>
  <c r="B472" i="2"/>
  <c r="B471" i="2"/>
  <c r="B470" i="2"/>
  <c r="B469" i="2"/>
  <c r="B468" i="2"/>
  <c r="B467" i="2"/>
  <c r="B466" i="2"/>
  <c r="B465" i="2"/>
  <c r="B464" i="2"/>
  <c r="B463" i="2"/>
  <c r="B462" i="2"/>
  <c r="B461" i="2"/>
  <c r="B460" i="2"/>
  <c r="B459" i="2"/>
  <c r="B458" i="2"/>
  <c r="B457" i="2"/>
  <c r="B456" i="2"/>
  <c r="B455" i="2"/>
  <c r="B454" i="2"/>
  <c r="B453" i="2"/>
  <c r="B452" i="2"/>
  <c r="B451" i="2"/>
  <c r="B450" i="2"/>
  <c r="B449" i="2"/>
  <c r="B448" i="2"/>
  <c r="B447" i="2"/>
  <c r="B446" i="2"/>
  <c r="B445" i="2"/>
  <c r="B444" i="2"/>
  <c r="B443" i="2"/>
  <c r="B442" i="2"/>
  <c r="B441" i="2"/>
  <c r="B440" i="2"/>
  <c r="B439" i="2"/>
  <c r="B438" i="2"/>
  <c r="B437" i="2"/>
  <c r="B436" i="2"/>
  <c r="B435" i="2"/>
  <c r="B434" i="2"/>
  <c r="B433" i="2"/>
  <c r="B432" i="2"/>
  <c r="B431" i="2"/>
  <c r="B430" i="2"/>
  <c r="B429" i="2"/>
  <c r="B428" i="2"/>
  <c r="B427" i="2"/>
  <c r="B426" i="2"/>
  <c r="B425" i="2"/>
  <c r="B424" i="2"/>
  <c r="B423" i="2"/>
  <c r="B422" i="2"/>
  <c r="B421" i="2"/>
  <c r="B420" i="2"/>
  <c r="B419" i="2"/>
  <c r="B418" i="2"/>
  <c r="B417" i="2"/>
  <c r="B416" i="2"/>
  <c r="B415" i="2"/>
  <c r="B414" i="2"/>
  <c r="B413" i="2"/>
  <c r="B412" i="2"/>
  <c r="B411" i="2"/>
  <c r="B410" i="2"/>
  <c r="B409" i="2"/>
  <c r="B408" i="2"/>
  <c r="B407" i="2"/>
  <c r="B406" i="2"/>
  <c r="B405" i="2"/>
  <c r="B404" i="2"/>
  <c r="B403" i="2"/>
  <c r="B402" i="2"/>
  <c r="B401" i="2"/>
  <c r="B400" i="2"/>
  <c r="B399" i="2"/>
  <c r="B398" i="2"/>
  <c r="B397" i="2"/>
  <c r="B396" i="2"/>
  <c r="B395" i="2"/>
  <c r="B394" i="2"/>
  <c r="B393" i="2"/>
  <c r="B392" i="2"/>
  <c r="B391" i="2"/>
  <c r="B390" i="2"/>
  <c r="B389" i="2"/>
  <c r="B388" i="2"/>
  <c r="B387" i="2"/>
  <c r="B386" i="2"/>
  <c r="B385" i="2"/>
  <c r="B384" i="2"/>
  <c r="B383" i="2"/>
  <c r="B382" i="2"/>
  <c r="B381" i="2"/>
  <c r="B380" i="2"/>
  <c r="B379" i="2"/>
  <c r="B378" i="2"/>
  <c r="B377" i="2"/>
  <c r="B376" i="2"/>
  <c r="B375" i="2"/>
  <c r="B374" i="2"/>
  <c r="B373" i="2"/>
  <c r="B372" i="2"/>
  <c r="B371" i="2"/>
  <c r="B370" i="2"/>
  <c r="B369" i="2"/>
  <c r="B368" i="2"/>
  <c r="B367" i="2"/>
  <c r="B366" i="2"/>
  <c r="B365" i="2"/>
  <c r="B364" i="2"/>
  <c r="B363" i="2"/>
  <c r="B362" i="2"/>
  <c r="B361" i="2"/>
  <c r="B360" i="2"/>
  <c r="B359" i="2"/>
  <c r="B358" i="2"/>
  <c r="B357" i="2"/>
  <c r="B356" i="2"/>
  <c r="B355" i="2"/>
  <c r="B354" i="2"/>
  <c r="B353" i="2"/>
  <c r="B352" i="2"/>
  <c r="B351" i="2"/>
  <c r="B350" i="2"/>
  <c r="B349" i="2"/>
  <c r="B348" i="2"/>
  <c r="B347" i="2"/>
  <c r="B346" i="2"/>
  <c r="B345" i="2"/>
  <c r="B344" i="2"/>
  <c r="B343" i="2"/>
  <c r="B342" i="2"/>
  <c r="B341" i="2"/>
  <c r="B340" i="2"/>
  <c r="B339" i="2"/>
  <c r="B338" i="2"/>
  <c r="B337" i="2"/>
  <c r="B336" i="2"/>
  <c r="B335" i="2"/>
  <c r="B334" i="2"/>
  <c r="B333" i="2"/>
  <c r="B332" i="2"/>
  <c r="B331" i="2"/>
  <c r="B330" i="2"/>
  <c r="B329" i="2"/>
  <c r="B328" i="2"/>
  <c r="B327" i="2"/>
  <c r="B326" i="2"/>
  <c r="B325" i="2"/>
  <c r="B324" i="2"/>
  <c r="B323" i="2"/>
  <c r="B322" i="2"/>
  <c r="B321" i="2"/>
  <c r="B320" i="2"/>
  <c r="B319" i="2"/>
  <c r="B318" i="2"/>
  <c r="B317" i="2"/>
  <c r="B316" i="2"/>
  <c r="B315" i="2"/>
  <c r="B314" i="2"/>
  <c r="B313" i="2"/>
  <c r="B312" i="2"/>
  <c r="B311" i="2"/>
  <c r="B310" i="2"/>
  <c r="B309" i="2"/>
  <c r="B308" i="2"/>
  <c r="B307" i="2"/>
  <c r="B306" i="2"/>
  <c r="B305" i="2"/>
  <c r="B304" i="2"/>
  <c r="B303" i="2"/>
  <c r="B302" i="2"/>
  <c r="B301" i="2"/>
  <c r="B300" i="2"/>
  <c r="B299" i="2"/>
  <c r="B298" i="2"/>
  <c r="B297" i="2"/>
  <c r="B296" i="2"/>
  <c r="B295" i="2"/>
  <c r="B294" i="2"/>
  <c r="B293" i="2"/>
  <c r="B292" i="2"/>
  <c r="B291" i="2"/>
  <c r="B290" i="2"/>
  <c r="B289" i="2"/>
  <c r="B288" i="2"/>
  <c r="B287" i="2"/>
  <c r="B286" i="2"/>
  <c r="B285" i="2"/>
  <c r="B284" i="2"/>
  <c r="B283" i="2"/>
  <c r="B282" i="2"/>
  <c r="B281" i="2"/>
  <c r="B280" i="2"/>
  <c r="B279" i="2"/>
  <c r="B278" i="2"/>
  <c r="B277" i="2"/>
  <c r="B276" i="2"/>
  <c r="B275" i="2"/>
  <c r="B274" i="2"/>
  <c r="B273" i="2"/>
  <c r="B272" i="2"/>
  <c r="B271" i="2"/>
  <c r="B270" i="2"/>
  <c r="B269" i="2"/>
  <c r="B268" i="2"/>
  <c r="B267" i="2"/>
  <c r="B266" i="2"/>
  <c r="B265" i="2"/>
  <c r="B264" i="2"/>
  <c r="B263" i="2"/>
  <c r="B262" i="2"/>
  <c r="B261" i="2"/>
  <c r="B260" i="2"/>
  <c r="B259" i="2"/>
  <c r="B258" i="2"/>
  <c r="B257" i="2"/>
  <c r="B256" i="2"/>
  <c r="B255" i="2"/>
  <c r="B254" i="2"/>
  <c r="B253" i="2"/>
  <c r="B252" i="2"/>
  <c r="B251" i="2"/>
  <c r="B250" i="2"/>
  <c r="B249" i="2"/>
  <c r="B248" i="2"/>
  <c r="B247" i="2"/>
  <c r="B246" i="2"/>
  <c r="B245" i="2"/>
  <c r="B244" i="2"/>
  <c r="B243" i="2"/>
  <c r="B242" i="2"/>
  <c r="B241" i="2"/>
  <c r="B240" i="2"/>
  <c r="B239" i="2"/>
  <c r="B238" i="2"/>
  <c r="B237" i="2"/>
  <c r="B236" i="2"/>
  <c r="B235" i="2"/>
  <c r="B234" i="2"/>
  <c r="B233" i="2"/>
  <c r="B232" i="2"/>
  <c r="B231" i="2"/>
  <c r="B230" i="2"/>
  <c r="B229" i="2"/>
  <c r="B228" i="2"/>
  <c r="B227" i="2"/>
  <c r="B226" i="2"/>
  <c r="B225" i="2"/>
  <c r="B224" i="2"/>
  <c r="B223" i="2"/>
  <c r="B222" i="2"/>
  <c r="B221" i="2"/>
  <c r="B220" i="2"/>
  <c r="B219" i="2"/>
  <c r="B218" i="2"/>
  <c r="B217" i="2"/>
  <c r="B216" i="2"/>
  <c r="B215" i="2"/>
  <c r="B214" i="2"/>
  <c r="B213" i="2"/>
  <c r="B212" i="2"/>
  <c r="B211" i="2"/>
  <c r="B210" i="2"/>
  <c r="B209" i="2"/>
  <c r="B208" i="2"/>
  <c r="B207" i="2"/>
  <c r="B206" i="2"/>
  <c r="B205" i="2"/>
  <c r="B204" i="2"/>
  <c r="B203" i="2"/>
  <c r="B202" i="2"/>
  <c r="B201" i="2"/>
  <c r="B200" i="2"/>
  <c r="B199" i="2"/>
  <c r="B198" i="2"/>
  <c r="B197" i="2"/>
  <c r="B196" i="2"/>
  <c r="B195" i="2"/>
  <c r="B194" i="2"/>
  <c r="B193" i="2"/>
  <c r="B192" i="2"/>
  <c r="B191" i="2"/>
  <c r="B190" i="2"/>
  <c r="B189" i="2"/>
  <c r="B188" i="2"/>
  <c r="B187" i="2"/>
  <c r="B186" i="2"/>
  <c r="B185" i="2"/>
  <c r="B184" i="2"/>
  <c r="B183" i="2"/>
  <c r="B182" i="2"/>
  <c r="B181" i="2"/>
  <c r="B180" i="2"/>
  <c r="B179" i="2"/>
  <c r="B178" i="2"/>
  <c r="B177" i="2"/>
  <c r="B176" i="2"/>
  <c r="B175" i="2"/>
  <c r="B174" i="2"/>
  <c r="B173" i="2"/>
  <c r="B172" i="2"/>
  <c r="B171" i="2"/>
  <c r="B170" i="2"/>
  <c r="B169" i="2"/>
  <c r="B168" i="2"/>
  <c r="B167" i="2"/>
  <c r="B166" i="2"/>
  <c r="B165" i="2"/>
  <c r="B164" i="2"/>
  <c r="B163" i="2"/>
  <c r="B162" i="2"/>
  <c r="B161" i="2"/>
  <c r="B160" i="2"/>
  <c r="B159" i="2"/>
  <c r="B158" i="2"/>
  <c r="B157" i="2"/>
  <c r="B156" i="2"/>
  <c r="B155" i="2"/>
  <c r="B154" i="2"/>
  <c r="B153" i="2"/>
  <c r="B152" i="2"/>
  <c r="B151" i="2"/>
  <c r="B150" i="2"/>
  <c r="B149" i="2"/>
  <c r="B148" i="2"/>
  <c r="B147" i="2"/>
  <c r="B146" i="2"/>
  <c r="B145" i="2"/>
  <c r="B144" i="2"/>
  <c r="B143" i="2"/>
  <c r="B142" i="2"/>
  <c r="B141" i="2"/>
  <c r="B140" i="2"/>
  <c r="B139" i="2"/>
  <c r="B138" i="2"/>
  <c r="B137" i="2"/>
  <c r="B136" i="2"/>
  <c r="B135" i="2"/>
  <c r="B134" i="2"/>
  <c r="B133" i="2"/>
  <c r="B132" i="2"/>
  <c r="B131" i="2"/>
  <c r="B130" i="2"/>
  <c r="B129" i="2"/>
  <c r="B128" i="2"/>
  <c r="B127" i="2"/>
  <c r="B126" i="2"/>
  <c r="B125" i="2"/>
  <c r="B124" i="2"/>
  <c r="B123" i="2"/>
  <c r="B122" i="2"/>
  <c r="B121" i="2"/>
  <c r="B120" i="2"/>
  <c r="B119" i="2"/>
  <c r="B118" i="2"/>
  <c r="B117" i="2"/>
  <c r="B116" i="2"/>
  <c r="B115" i="2"/>
  <c r="B114" i="2"/>
  <c r="B113" i="2"/>
  <c r="B112" i="2"/>
  <c r="B111" i="2"/>
  <c r="B110" i="2"/>
  <c r="B109" i="2"/>
  <c r="B108" i="2"/>
  <c r="B107" i="2"/>
  <c r="B106" i="2"/>
  <c r="B105" i="2"/>
  <c r="B104" i="2"/>
  <c r="B103" i="2"/>
  <c r="B102" i="2"/>
  <c r="B101" i="2"/>
  <c r="B100" i="2"/>
  <c r="B99" i="2"/>
  <c r="B98" i="2"/>
  <c r="B97" i="2"/>
  <c r="B96" i="2"/>
  <c r="B95" i="2"/>
  <c r="B94" i="2"/>
  <c r="B93" i="2"/>
  <c r="B92" i="2"/>
  <c r="B91" i="2"/>
  <c r="B90" i="2"/>
  <c r="B89" i="2"/>
  <c r="B88" i="2"/>
  <c r="B87" i="2"/>
  <c r="B86" i="2"/>
  <c r="B85" i="2"/>
  <c r="B84" i="2"/>
  <c r="B83" i="2"/>
  <c r="B82" i="2"/>
  <c r="B81" i="2"/>
  <c r="B80" i="2"/>
  <c r="B79" i="2"/>
  <c r="B78" i="2"/>
  <c r="B77" i="2"/>
  <c r="B76" i="2"/>
  <c r="B75" i="2"/>
  <c r="B74" i="2"/>
  <c r="B73" i="2"/>
  <c r="B72" i="2"/>
  <c r="B71" i="2"/>
  <c r="B70" i="2"/>
  <c r="B69" i="2"/>
  <c r="B68" i="2"/>
  <c r="B67" i="2"/>
  <c r="B66" i="2"/>
  <c r="B65" i="2"/>
  <c r="B64" i="2"/>
  <c r="B63" i="2"/>
  <c r="B62" i="2"/>
  <c r="B61" i="2"/>
  <c r="B60" i="2"/>
  <c r="B59" i="2"/>
  <c r="B58" i="2"/>
  <c r="B57" i="2"/>
  <c r="B56" i="2"/>
  <c r="B55" i="2"/>
  <c r="B54" i="2"/>
  <c r="B53" i="2"/>
  <c r="B52" i="2"/>
  <c r="B51" i="2"/>
  <c r="B50" i="2"/>
  <c r="B49" i="2"/>
  <c r="B48" i="2"/>
  <c r="B47" i="2"/>
  <c r="B46" i="2"/>
  <c r="B45" i="2"/>
  <c r="B44" i="2"/>
  <c r="B43" i="2"/>
  <c r="B42" i="2"/>
  <c r="B41" i="2"/>
  <c r="B40" i="2"/>
  <c r="B39" i="2"/>
  <c r="B38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AI23" i="2" s="1"/>
  <c r="B22" i="2"/>
  <c r="AH22" i="2" s="1"/>
  <c r="B21" i="2"/>
  <c r="AJ21" i="2" s="1"/>
  <c r="B20" i="2"/>
  <c r="AJ20" i="2" s="1"/>
  <c r="B19" i="2"/>
  <c r="B18" i="2"/>
  <c r="AI18" i="2" s="1"/>
  <c r="B17" i="2"/>
  <c r="AL17" i="2" s="1"/>
  <c r="B16" i="2"/>
  <c r="AJ16" i="2" s="1"/>
  <c r="B15" i="2"/>
  <c r="AI15" i="2" s="1"/>
  <c r="B14" i="2"/>
  <c r="AL14" i="2" s="1"/>
  <c r="B13" i="2"/>
  <c r="AJ13" i="2" s="1"/>
  <c r="B12" i="2"/>
  <c r="AH12" i="2" s="1"/>
  <c r="B11" i="2"/>
  <c r="B10" i="2"/>
  <c r="AI10" i="2" s="1"/>
  <c r="B9" i="2"/>
  <c r="AL9" i="2" s="1"/>
  <c r="B8" i="2"/>
  <c r="AJ8" i="2" s="1"/>
  <c r="B7" i="2"/>
  <c r="AI7" i="2" s="1"/>
  <c r="B6" i="2"/>
  <c r="AL6" i="2" s="1"/>
  <c r="B5" i="2"/>
  <c r="AJ5" i="2" s="1"/>
  <c r="B4" i="2"/>
  <c r="AH4" i="2" s="1"/>
  <c r="T36" i="16"/>
  <c r="T29" i="16" a="1"/>
  <c r="T29" i="16" s="1"/>
  <c r="T27" i="16" a="1"/>
  <c r="T27" i="16" s="1"/>
  <c r="T26" i="16" a="1"/>
  <c r="T26" i="16" s="1"/>
  <c r="T25" i="16" a="1"/>
  <c r="T25" i="16" s="1"/>
  <c r="T20" i="16"/>
  <c r="T18" i="16"/>
  <c r="T17" i="16"/>
  <c r="T13" i="16"/>
  <c r="F70" i="16" s="1"/>
  <c r="T9" i="16"/>
  <c r="T8" i="16"/>
  <c r="B18" i="16" s="1"/>
  <c r="T6" i="16"/>
  <c r="T5" i="16" a="1"/>
  <c r="T5" i="16" s="1"/>
  <c r="T4" i="16"/>
  <c r="J14" i="16" s="1"/>
  <c r="T3" i="16"/>
  <c r="F14" i="16" s="1"/>
  <c r="T2" i="16" a="1"/>
  <c r="T2" i="16" s="1"/>
  <c r="B14" i="16" s="1"/>
  <c r="T2" i="16" a="1"/>
  <c r="T2" i="16" s="1"/>
  <c r="T3" i="16"/>
  <c r="T4" i="16"/>
  <c r="T5" i="16" a="1"/>
  <c r="T5" i="16" s="1"/>
  <c r="T7" i="16" s="1"/>
  <c r="T6" i="16"/>
  <c r="T8" i="16"/>
  <c r="T9" i="16"/>
  <c r="T10" i="16"/>
  <c r="T11" i="16"/>
  <c r="T12" i="16"/>
  <c r="T13" i="16"/>
  <c r="T14" i="16" a="1"/>
  <c r="T14" i="16"/>
  <c r="T15" i="16" a="1"/>
  <c r="T15" i="16" s="1"/>
  <c r="T16" i="16" a="1"/>
  <c r="T16" i="16" s="1"/>
  <c r="T17" i="16"/>
  <c r="T18" i="16"/>
  <c r="X3" i="2"/>
  <c r="W3" i="2"/>
  <c r="B5" i="17"/>
  <c r="B2" i="17"/>
  <c r="B57" i="15"/>
  <c r="I84" i="12"/>
  <c r="I83" i="12"/>
  <c r="I82" i="12"/>
  <c r="I81" i="12"/>
  <c r="I80" i="12"/>
  <c r="I79" i="12"/>
  <c r="I78" i="12"/>
  <c r="I77" i="12"/>
  <c r="I76" i="12"/>
  <c r="I75" i="12"/>
  <c r="I74" i="12"/>
  <c r="I73" i="12"/>
  <c r="I72" i="12"/>
  <c r="I71" i="12"/>
  <c r="I70" i="12"/>
  <c r="I69" i="12"/>
  <c r="I68" i="12"/>
  <c r="I67" i="12"/>
  <c r="I66" i="12"/>
  <c r="I65" i="12"/>
  <c r="I64" i="12"/>
  <c r="I63" i="12"/>
  <c r="I62" i="12"/>
  <c r="I61" i="12"/>
  <c r="I60" i="12"/>
  <c r="I59" i="12"/>
  <c r="I58" i="12"/>
  <c r="I57" i="12"/>
  <c r="I56" i="12"/>
  <c r="I55" i="12"/>
  <c r="I54" i="12"/>
  <c r="I53" i="12"/>
  <c r="I52" i="12"/>
  <c r="I51" i="12"/>
  <c r="I50" i="12"/>
  <c r="I8" i="12"/>
  <c r="I7" i="12"/>
  <c r="I6" i="12"/>
  <c r="W6" i="12"/>
  <c r="C6" i="12" s="1"/>
  <c r="W7" i="12"/>
  <c r="W8" i="12"/>
  <c r="W9" i="12"/>
  <c r="W10" i="12"/>
  <c r="W11" i="12"/>
  <c r="W12" i="12"/>
  <c r="W13" i="12"/>
  <c r="W14" i="12"/>
  <c r="W15" i="12"/>
  <c r="W16" i="12"/>
  <c r="W17" i="12"/>
  <c r="W18" i="12"/>
  <c r="C9" i="15"/>
  <c r="D91" i="1"/>
  <c r="D57" i="15"/>
  <c r="T44" i="16" s="1"/>
  <c r="M2" i="16" s="1"/>
  <c r="B308" i="4"/>
  <c r="C308" i="4" s="1"/>
  <c r="B304" i="4"/>
  <c r="C304" i="4" s="1"/>
  <c r="B300" i="4"/>
  <c r="C300" i="4" s="1"/>
  <c r="B296" i="4"/>
  <c r="C296" i="4" s="1"/>
  <c r="B292" i="4"/>
  <c r="C292" i="4" s="1"/>
  <c r="B288" i="4"/>
  <c r="C288" i="4" s="1"/>
  <c r="B284" i="4"/>
  <c r="C284" i="4" s="1"/>
  <c r="B280" i="4"/>
  <c r="C280" i="4" s="1"/>
  <c r="B276" i="4"/>
  <c r="C276" i="4" s="1"/>
  <c r="B272" i="4"/>
  <c r="C272" i="4" s="1"/>
  <c r="B270" i="4"/>
  <c r="B268" i="4"/>
  <c r="B264" i="4"/>
  <c r="M264" i="4" s="1"/>
  <c r="B260" i="4"/>
  <c r="B256" i="4"/>
  <c r="M256" i="4" s="1"/>
  <c r="B252" i="4"/>
  <c r="B248" i="4"/>
  <c r="M248" i="4" s="1"/>
  <c r="B244" i="4"/>
  <c r="B240" i="4"/>
  <c r="B236" i="4"/>
  <c r="B232" i="4"/>
  <c r="B230" i="4"/>
  <c r="B228" i="4"/>
  <c r="B226" i="4"/>
  <c r="B224" i="4"/>
  <c r="B222" i="4"/>
  <c r="B220" i="4"/>
  <c r="B218" i="4"/>
  <c r="B216" i="4"/>
  <c r="B214" i="4"/>
  <c r="B212" i="4"/>
  <c r="B210" i="4"/>
  <c r="B208" i="4"/>
  <c r="B3" i="2"/>
  <c r="C11" i="12"/>
  <c r="C13" i="15"/>
  <c r="N84" i="12"/>
  <c r="E84" i="12"/>
  <c r="D84" i="12"/>
  <c r="N83" i="12"/>
  <c r="E83" i="12"/>
  <c r="D83" i="12"/>
  <c r="N82" i="12"/>
  <c r="E82" i="12"/>
  <c r="D82" i="12"/>
  <c r="N81" i="12"/>
  <c r="E81" i="12"/>
  <c r="D81" i="12"/>
  <c r="N80" i="12"/>
  <c r="E80" i="12"/>
  <c r="D80" i="12"/>
  <c r="N79" i="12"/>
  <c r="E79" i="12"/>
  <c r="D79" i="12"/>
  <c r="N78" i="12"/>
  <c r="E78" i="12"/>
  <c r="D78" i="12"/>
  <c r="N77" i="12"/>
  <c r="E77" i="12"/>
  <c r="D77" i="12"/>
  <c r="N76" i="12"/>
  <c r="E76" i="12"/>
  <c r="D76" i="12"/>
  <c r="N75" i="12"/>
  <c r="E75" i="12"/>
  <c r="D75" i="12"/>
  <c r="N74" i="12"/>
  <c r="E74" i="12"/>
  <c r="D74" i="12"/>
  <c r="N73" i="12"/>
  <c r="E73" i="12"/>
  <c r="D73" i="12"/>
  <c r="N72" i="12"/>
  <c r="E72" i="12"/>
  <c r="D72" i="12"/>
  <c r="N71" i="12"/>
  <c r="E71" i="12"/>
  <c r="D71" i="12"/>
  <c r="N70" i="12"/>
  <c r="E70" i="12"/>
  <c r="D70" i="12"/>
  <c r="N69" i="12"/>
  <c r="E69" i="12"/>
  <c r="D69" i="12"/>
  <c r="N68" i="12"/>
  <c r="E68" i="12"/>
  <c r="D68" i="12"/>
  <c r="N67" i="12"/>
  <c r="E67" i="12"/>
  <c r="D67" i="12"/>
  <c r="N66" i="12"/>
  <c r="E66" i="12"/>
  <c r="D66" i="12"/>
  <c r="N65" i="12"/>
  <c r="E65" i="12"/>
  <c r="D65" i="12"/>
  <c r="N64" i="12"/>
  <c r="E64" i="12"/>
  <c r="D64" i="12"/>
  <c r="N63" i="12"/>
  <c r="E63" i="12"/>
  <c r="D63" i="12"/>
  <c r="N62" i="12"/>
  <c r="E62" i="12"/>
  <c r="D62" i="12"/>
  <c r="N61" i="12"/>
  <c r="E61" i="12"/>
  <c r="D61" i="12"/>
  <c r="N60" i="12"/>
  <c r="E60" i="12"/>
  <c r="D60" i="12"/>
  <c r="N59" i="12"/>
  <c r="E59" i="12"/>
  <c r="D59" i="12"/>
  <c r="N58" i="12"/>
  <c r="E58" i="12"/>
  <c r="D58" i="12"/>
  <c r="N57" i="12"/>
  <c r="E57" i="12"/>
  <c r="D57" i="12"/>
  <c r="N56" i="12"/>
  <c r="E56" i="12"/>
  <c r="D56" i="12"/>
  <c r="N55" i="12"/>
  <c r="E55" i="12"/>
  <c r="D55" i="12"/>
  <c r="N54" i="12"/>
  <c r="E54" i="12"/>
  <c r="D54" i="12"/>
  <c r="N53" i="12"/>
  <c r="E53" i="12"/>
  <c r="D53" i="12"/>
  <c r="N52" i="12"/>
  <c r="E52" i="12"/>
  <c r="D52" i="12"/>
  <c r="N51" i="12"/>
  <c r="E51" i="12"/>
  <c r="D51" i="12"/>
  <c r="N50" i="12"/>
  <c r="E50" i="12"/>
  <c r="D50" i="12"/>
  <c r="N49" i="12"/>
  <c r="N48" i="12"/>
  <c r="N47" i="12"/>
  <c r="N46" i="12"/>
  <c r="AH24" i="2" l="1"/>
  <c r="AD24" i="2"/>
  <c r="AL24" i="2"/>
  <c r="AG24" i="2"/>
  <c r="AC24" i="2"/>
  <c r="AJ24" i="2"/>
  <c r="AF24" i="2"/>
  <c r="AK24" i="2" s="1"/>
  <c r="AB24" i="2"/>
  <c r="AI24" i="2"/>
  <c r="AE24" i="2"/>
  <c r="AJ28" i="2"/>
  <c r="AF28" i="2"/>
  <c r="AK28" i="2" s="1"/>
  <c r="AB28" i="2"/>
  <c r="AI28" i="2"/>
  <c r="AE28" i="2"/>
  <c r="AH28" i="2"/>
  <c r="AD28" i="2"/>
  <c r="AL28" i="2"/>
  <c r="AG28" i="2"/>
  <c r="AC28" i="2"/>
  <c r="AH32" i="2"/>
  <c r="AD32" i="2"/>
  <c r="AL32" i="2"/>
  <c r="AG32" i="2"/>
  <c r="AC32" i="2"/>
  <c r="AJ32" i="2"/>
  <c r="AF32" i="2"/>
  <c r="AK32" i="2" s="1"/>
  <c r="AB32" i="2"/>
  <c r="AI32" i="2"/>
  <c r="AE32" i="2"/>
  <c r="AJ36" i="2"/>
  <c r="AF36" i="2"/>
  <c r="AK36" i="2" s="1"/>
  <c r="AB36" i="2"/>
  <c r="AI36" i="2"/>
  <c r="AE36" i="2"/>
  <c r="AH36" i="2"/>
  <c r="AD36" i="2"/>
  <c r="AL36" i="2"/>
  <c r="AG36" i="2"/>
  <c r="AC36" i="2"/>
  <c r="AH40" i="2"/>
  <c r="AD40" i="2"/>
  <c r="AL40" i="2"/>
  <c r="AG40" i="2"/>
  <c r="AC40" i="2"/>
  <c r="AJ40" i="2"/>
  <c r="AF40" i="2"/>
  <c r="AK40" i="2" s="1"/>
  <c r="AB40" i="2"/>
  <c r="AI40" i="2"/>
  <c r="AE40" i="2"/>
  <c r="AJ44" i="2"/>
  <c r="AF44" i="2"/>
  <c r="AK44" i="2" s="1"/>
  <c r="AB44" i="2"/>
  <c r="AI44" i="2"/>
  <c r="AE44" i="2"/>
  <c r="AH44" i="2"/>
  <c r="AD44" i="2"/>
  <c r="AL44" i="2"/>
  <c r="AG44" i="2"/>
  <c r="AC44" i="2"/>
  <c r="AH48" i="2"/>
  <c r="AD48" i="2"/>
  <c r="AL48" i="2"/>
  <c r="AG48" i="2"/>
  <c r="AC48" i="2"/>
  <c r="AJ48" i="2"/>
  <c r="AF48" i="2"/>
  <c r="AK48" i="2" s="1"/>
  <c r="AB48" i="2"/>
  <c r="AI48" i="2"/>
  <c r="AE48" i="2"/>
  <c r="AJ52" i="2"/>
  <c r="AF52" i="2"/>
  <c r="AK52" i="2" s="1"/>
  <c r="AB52" i="2"/>
  <c r="AI52" i="2"/>
  <c r="AE52" i="2"/>
  <c r="AH52" i="2"/>
  <c r="AD52" i="2"/>
  <c r="AL52" i="2"/>
  <c r="AG52" i="2"/>
  <c r="AC52" i="2"/>
  <c r="AH56" i="2"/>
  <c r="AD56" i="2"/>
  <c r="AL56" i="2"/>
  <c r="AG56" i="2"/>
  <c r="AC56" i="2"/>
  <c r="AJ56" i="2"/>
  <c r="AF56" i="2"/>
  <c r="AK56" i="2" s="1"/>
  <c r="AB56" i="2"/>
  <c r="AI56" i="2"/>
  <c r="AE56" i="2"/>
  <c r="AJ60" i="2"/>
  <c r="AF60" i="2"/>
  <c r="AK60" i="2" s="1"/>
  <c r="AB60" i="2"/>
  <c r="AI60" i="2"/>
  <c r="AE60" i="2"/>
  <c r="AH60" i="2"/>
  <c r="AD60" i="2"/>
  <c r="AL60" i="2"/>
  <c r="AG60" i="2"/>
  <c r="AC60" i="2"/>
  <c r="AH64" i="2"/>
  <c r="AD64" i="2"/>
  <c r="AL64" i="2"/>
  <c r="AG64" i="2"/>
  <c r="AC64" i="2"/>
  <c r="AJ64" i="2"/>
  <c r="AF64" i="2"/>
  <c r="AK64" i="2" s="1"/>
  <c r="AB64" i="2"/>
  <c r="AI64" i="2"/>
  <c r="AE64" i="2"/>
  <c r="AJ68" i="2"/>
  <c r="AF68" i="2"/>
  <c r="AK68" i="2" s="1"/>
  <c r="AB68" i="2"/>
  <c r="AI68" i="2"/>
  <c r="AE68" i="2"/>
  <c r="AH68" i="2"/>
  <c r="AD68" i="2"/>
  <c r="AL68" i="2"/>
  <c r="AG68" i="2"/>
  <c r="AC68" i="2"/>
  <c r="AH72" i="2"/>
  <c r="AD72" i="2"/>
  <c r="AL72" i="2"/>
  <c r="AG72" i="2"/>
  <c r="AC72" i="2"/>
  <c r="AJ72" i="2"/>
  <c r="AF72" i="2"/>
  <c r="AK72" i="2" s="1"/>
  <c r="AB72" i="2"/>
  <c r="AI72" i="2"/>
  <c r="AE72" i="2"/>
  <c r="AJ76" i="2"/>
  <c r="AF76" i="2"/>
  <c r="AK76" i="2" s="1"/>
  <c r="AB76" i="2"/>
  <c r="AI76" i="2"/>
  <c r="AE76" i="2"/>
  <c r="AH76" i="2"/>
  <c r="AD76" i="2"/>
  <c r="AL76" i="2"/>
  <c r="AG76" i="2"/>
  <c r="AC76" i="2"/>
  <c r="AH80" i="2"/>
  <c r="AD80" i="2"/>
  <c r="AL80" i="2"/>
  <c r="AG80" i="2"/>
  <c r="AC80" i="2"/>
  <c r="AJ80" i="2"/>
  <c r="AF80" i="2"/>
  <c r="AK80" i="2" s="1"/>
  <c r="AB80" i="2"/>
  <c r="AI80" i="2"/>
  <c r="AE80" i="2"/>
  <c r="AJ84" i="2"/>
  <c r="AF84" i="2"/>
  <c r="AK84" i="2" s="1"/>
  <c r="AB84" i="2"/>
  <c r="AI84" i="2"/>
  <c r="AE84" i="2"/>
  <c r="AH84" i="2"/>
  <c r="AD84" i="2"/>
  <c r="AL84" i="2"/>
  <c r="AG84" i="2"/>
  <c r="AC84" i="2"/>
  <c r="AH88" i="2"/>
  <c r="AD88" i="2"/>
  <c r="AL88" i="2"/>
  <c r="AG88" i="2"/>
  <c r="AC88" i="2"/>
  <c r="AJ88" i="2"/>
  <c r="AF88" i="2"/>
  <c r="AK88" i="2" s="1"/>
  <c r="AB88" i="2"/>
  <c r="AI88" i="2"/>
  <c r="AE88" i="2"/>
  <c r="AJ92" i="2"/>
  <c r="AF92" i="2"/>
  <c r="AK92" i="2" s="1"/>
  <c r="AB92" i="2"/>
  <c r="AI92" i="2"/>
  <c r="AE92" i="2"/>
  <c r="AH92" i="2"/>
  <c r="AD92" i="2"/>
  <c r="AL92" i="2"/>
  <c r="AG92" i="2"/>
  <c r="AC92" i="2"/>
  <c r="AH96" i="2"/>
  <c r="AD96" i="2"/>
  <c r="AL96" i="2"/>
  <c r="AG96" i="2"/>
  <c r="AC96" i="2"/>
  <c r="AJ96" i="2"/>
  <c r="AF96" i="2"/>
  <c r="AK96" i="2" s="1"/>
  <c r="AB96" i="2"/>
  <c r="AI96" i="2"/>
  <c r="AE96" i="2"/>
  <c r="AJ100" i="2"/>
  <c r="AF100" i="2"/>
  <c r="AK100" i="2" s="1"/>
  <c r="AB100" i="2"/>
  <c r="AI100" i="2"/>
  <c r="AE100" i="2"/>
  <c r="AH100" i="2"/>
  <c r="AD100" i="2"/>
  <c r="AL100" i="2"/>
  <c r="AG100" i="2"/>
  <c r="AC100" i="2"/>
  <c r="AH104" i="2"/>
  <c r="AD104" i="2"/>
  <c r="AL104" i="2"/>
  <c r="AG104" i="2"/>
  <c r="AC104" i="2"/>
  <c r="AJ104" i="2"/>
  <c r="AF104" i="2"/>
  <c r="AK104" i="2" s="1"/>
  <c r="AB104" i="2"/>
  <c r="AI104" i="2"/>
  <c r="AE104" i="2"/>
  <c r="AJ108" i="2"/>
  <c r="AF108" i="2"/>
  <c r="AK108" i="2" s="1"/>
  <c r="AB108" i="2"/>
  <c r="AI108" i="2"/>
  <c r="AE108" i="2"/>
  <c r="AH108" i="2"/>
  <c r="AD108" i="2"/>
  <c r="AL108" i="2"/>
  <c r="AG108" i="2"/>
  <c r="AC108" i="2"/>
  <c r="AH112" i="2"/>
  <c r="AD112" i="2"/>
  <c r="AL112" i="2"/>
  <c r="AG112" i="2"/>
  <c r="AC112" i="2"/>
  <c r="AJ112" i="2"/>
  <c r="AF112" i="2"/>
  <c r="AK112" i="2" s="1"/>
  <c r="AB112" i="2"/>
  <c r="AI112" i="2"/>
  <c r="AE112" i="2"/>
  <c r="AJ116" i="2"/>
  <c r="AF116" i="2"/>
  <c r="AK116" i="2" s="1"/>
  <c r="AB116" i="2"/>
  <c r="AI116" i="2"/>
  <c r="AE116" i="2"/>
  <c r="AH116" i="2"/>
  <c r="AD116" i="2"/>
  <c r="AL116" i="2"/>
  <c r="AG116" i="2"/>
  <c r="AC116" i="2"/>
  <c r="AH120" i="2"/>
  <c r="AD120" i="2"/>
  <c r="AL120" i="2"/>
  <c r="AG120" i="2"/>
  <c r="AC120" i="2"/>
  <c r="AJ120" i="2"/>
  <c r="AF120" i="2"/>
  <c r="AK120" i="2" s="1"/>
  <c r="AB120" i="2"/>
  <c r="AI120" i="2"/>
  <c r="AE120" i="2"/>
  <c r="AJ124" i="2"/>
  <c r="AF124" i="2"/>
  <c r="AK124" i="2" s="1"/>
  <c r="AB124" i="2"/>
  <c r="AI124" i="2"/>
  <c r="AE124" i="2"/>
  <c r="AH124" i="2"/>
  <c r="AD124" i="2"/>
  <c r="AL124" i="2"/>
  <c r="AG124" i="2"/>
  <c r="AC124" i="2"/>
  <c r="AH128" i="2"/>
  <c r="AD128" i="2"/>
  <c r="AL128" i="2"/>
  <c r="AG128" i="2"/>
  <c r="AC128" i="2"/>
  <c r="AJ128" i="2"/>
  <c r="AF128" i="2"/>
  <c r="AK128" i="2" s="1"/>
  <c r="AB128" i="2"/>
  <c r="AI128" i="2"/>
  <c r="AE128" i="2"/>
  <c r="AJ132" i="2"/>
  <c r="AF132" i="2"/>
  <c r="AK132" i="2" s="1"/>
  <c r="AB132" i="2"/>
  <c r="AI132" i="2"/>
  <c r="AE132" i="2"/>
  <c r="AH132" i="2"/>
  <c r="AD132" i="2"/>
  <c r="AL132" i="2"/>
  <c r="AG132" i="2"/>
  <c r="AC132" i="2"/>
  <c r="AH136" i="2"/>
  <c r="AD136" i="2"/>
  <c r="AL136" i="2"/>
  <c r="AG136" i="2"/>
  <c r="AC136" i="2"/>
  <c r="AJ136" i="2"/>
  <c r="AF136" i="2"/>
  <c r="AK136" i="2" s="1"/>
  <c r="AB136" i="2"/>
  <c r="AI136" i="2"/>
  <c r="AE136" i="2"/>
  <c r="AJ140" i="2"/>
  <c r="AF140" i="2"/>
  <c r="AK140" i="2" s="1"/>
  <c r="AB140" i="2"/>
  <c r="AI140" i="2"/>
  <c r="AE140" i="2"/>
  <c r="AH140" i="2"/>
  <c r="AD140" i="2"/>
  <c r="AL140" i="2"/>
  <c r="AG140" i="2"/>
  <c r="AC140" i="2"/>
  <c r="AH144" i="2"/>
  <c r="AD144" i="2"/>
  <c r="AL144" i="2"/>
  <c r="AG144" i="2"/>
  <c r="AC144" i="2"/>
  <c r="AJ144" i="2"/>
  <c r="AF144" i="2"/>
  <c r="AK144" i="2" s="1"/>
  <c r="AB144" i="2"/>
  <c r="AI144" i="2"/>
  <c r="AE144" i="2"/>
  <c r="AJ148" i="2"/>
  <c r="AF148" i="2"/>
  <c r="AK148" i="2" s="1"/>
  <c r="AB148" i="2"/>
  <c r="AI148" i="2"/>
  <c r="AE148" i="2"/>
  <c r="AH148" i="2"/>
  <c r="AD148" i="2"/>
  <c r="AL148" i="2"/>
  <c r="AG148" i="2"/>
  <c r="AC148" i="2"/>
  <c r="AJ152" i="2"/>
  <c r="AF152" i="2"/>
  <c r="AK152" i="2" s="1"/>
  <c r="AB152" i="2"/>
  <c r="AI152" i="2"/>
  <c r="AE152" i="2"/>
  <c r="AH152" i="2"/>
  <c r="AD152" i="2"/>
  <c r="AL152" i="2"/>
  <c r="AG152" i="2"/>
  <c r="AC152" i="2"/>
  <c r="AH156" i="2"/>
  <c r="AD156" i="2"/>
  <c r="AL156" i="2"/>
  <c r="AG156" i="2"/>
  <c r="AC156" i="2"/>
  <c r="AJ156" i="2"/>
  <c r="AF156" i="2"/>
  <c r="AK156" i="2" s="1"/>
  <c r="AB156" i="2"/>
  <c r="AI156" i="2"/>
  <c r="AE156" i="2"/>
  <c r="AJ160" i="2"/>
  <c r="AF160" i="2"/>
  <c r="AK160" i="2" s="1"/>
  <c r="AB160" i="2"/>
  <c r="AI160" i="2"/>
  <c r="AE160" i="2"/>
  <c r="AH160" i="2"/>
  <c r="AD160" i="2"/>
  <c r="AL160" i="2"/>
  <c r="AG160" i="2"/>
  <c r="AC160" i="2"/>
  <c r="AH164" i="2"/>
  <c r="AD164" i="2"/>
  <c r="AL164" i="2"/>
  <c r="AG164" i="2"/>
  <c r="AC164" i="2"/>
  <c r="AJ164" i="2"/>
  <c r="AF164" i="2"/>
  <c r="AK164" i="2" s="1"/>
  <c r="AB164" i="2"/>
  <c r="AI164" i="2"/>
  <c r="AE164" i="2"/>
  <c r="AJ168" i="2"/>
  <c r="AF168" i="2"/>
  <c r="AK168" i="2" s="1"/>
  <c r="AB168" i="2"/>
  <c r="AI168" i="2"/>
  <c r="AE168" i="2"/>
  <c r="AH168" i="2"/>
  <c r="AD168" i="2"/>
  <c r="AL168" i="2"/>
  <c r="AG168" i="2"/>
  <c r="AC168" i="2"/>
  <c r="AH172" i="2"/>
  <c r="AD172" i="2"/>
  <c r="AL172" i="2"/>
  <c r="AG172" i="2"/>
  <c r="AC172" i="2"/>
  <c r="AJ172" i="2"/>
  <c r="AF172" i="2"/>
  <c r="AK172" i="2" s="1"/>
  <c r="AB172" i="2"/>
  <c r="AI172" i="2"/>
  <c r="AE172" i="2"/>
  <c r="AJ176" i="2"/>
  <c r="AF176" i="2"/>
  <c r="AK176" i="2" s="1"/>
  <c r="AB176" i="2"/>
  <c r="AI176" i="2"/>
  <c r="AE176" i="2"/>
  <c r="AH176" i="2"/>
  <c r="AD176" i="2"/>
  <c r="AL176" i="2"/>
  <c r="AG176" i="2"/>
  <c r="AC176" i="2"/>
  <c r="AH180" i="2"/>
  <c r="AD180" i="2"/>
  <c r="AL180" i="2"/>
  <c r="AG180" i="2"/>
  <c r="AC180" i="2"/>
  <c r="AJ180" i="2"/>
  <c r="AF180" i="2"/>
  <c r="AK180" i="2" s="1"/>
  <c r="AB180" i="2"/>
  <c r="AI180" i="2"/>
  <c r="AE180" i="2"/>
  <c r="AJ184" i="2"/>
  <c r="AF184" i="2"/>
  <c r="AK184" i="2" s="1"/>
  <c r="AB184" i="2"/>
  <c r="AI184" i="2"/>
  <c r="AE184" i="2"/>
  <c r="AH184" i="2"/>
  <c r="AD184" i="2"/>
  <c r="AL184" i="2"/>
  <c r="AG184" i="2"/>
  <c r="AC184" i="2"/>
  <c r="AH188" i="2"/>
  <c r="AD188" i="2"/>
  <c r="AL188" i="2"/>
  <c r="AG188" i="2"/>
  <c r="AC188" i="2"/>
  <c r="AJ188" i="2"/>
  <c r="AF188" i="2"/>
  <c r="AK188" i="2" s="1"/>
  <c r="AB188" i="2"/>
  <c r="AI188" i="2"/>
  <c r="AE188" i="2"/>
  <c r="AJ192" i="2"/>
  <c r="AF192" i="2"/>
  <c r="AK192" i="2" s="1"/>
  <c r="AB192" i="2"/>
  <c r="AI192" i="2"/>
  <c r="AE192" i="2"/>
  <c r="AH192" i="2"/>
  <c r="AD192" i="2"/>
  <c r="AL192" i="2"/>
  <c r="AG192" i="2"/>
  <c r="AC192" i="2"/>
  <c r="AH196" i="2"/>
  <c r="AD196" i="2"/>
  <c r="AL196" i="2"/>
  <c r="AG196" i="2"/>
  <c r="AC196" i="2"/>
  <c r="AJ196" i="2"/>
  <c r="AF196" i="2"/>
  <c r="AK196" i="2" s="1"/>
  <c r="AB196" i="2"/>
  <c r="AI196" i="2"/>
  <c r="AE196" i="2"/>
  <c r="AJ200" i="2"/>
  <c r="AF200" i="2"/>
  <c r="AK200" i="2" s="1"/>
  <c r="AB200" i="2"/>
  <c r="AI200" i="2"/>
  <c r="AE200" i="2"/>
  <c r="AH200" i="2"/>
  <c r="AD200" i="2"/>
  <c r="AL200" i="2"/>
  <c r="AG200" i="2"/>
  <c r="AC200" i="2"/>
  <c r="AH204" i="2"/>
  <c r="AD204" i="2"/>
  <c r="AL204" i="2"/>
  <c r="AG204" i="2"/>
  <c r="AC204" i="2"/>
  <c r="AJ204" i="2"/>
  <c r="AF204" i="2"/>
  <c r="AK204" i="2" s="1"/>
  <c r="AB204" i="2"/>
  <c r="AI204" i="2"/>
  <c r="AE204" i="2"/>
  <c r="AJ208" i="2"/>
  <c r="AF208" i="2"/>
  <c r="AK208" i="2" s="1"/>
  <c r="AB208" i="2"/>
  <c r="AI208" i="2"/>
  <c r="AE208" i="2"/>
  <c r="AH208" i="2"/>
  <c r="AD208" i="2"/>
  <c r="AL208" i="2"/>
  <c r="AG208" i="2"/>
  <c r="AC208" i="2"/>
  <c r="AH212" i="2"/>
  <c r="AD212" i="2"/>
  <c r="AL212" i="2"/>
  <c r="AG212" i="2"/>
  <c r="AC212" i="2"/>
  <c r="AJ212" i="2"/>
  <c r="AF212" i="2"/>
  <c r="AK212" i="2" s="1"/>
  <c r="AB212" i="2"/>
  <c r="AI212" i="2"/>
  <c r="AE212" i="2"/>
  <c r="AI216" i="2"/>
  <c r="AE216" i="2"/>
  <c r="AH216" i="2"/>
  <c r="AD216" i="2"/>
  <c r="AL216" i="2"/>
  <c r="AG216" i="2"/>
  <c r="AJ216" i="2"/>
  <c r="AF216" i="2"/>
  <c r="AK216" i="2" s="1"/>
  <c r="AC216" i="2"/>
  <c r="AB216" i="2"/>
  <c r="AH220" i="2"/>
  <c r="AD220" i="2"/>
  <c r="AL220" i="2"/>
  <c r="AG220" i="2"/>
  <c r="AC220" i="2"/>
  <c r="AJ220" i="2"/>
  <c r="AF220" i="2"/>
  <c r="AK220" i="2" s="1"/>
  <c r="AB220" i="2"/>
  <c r="AI220" i="2"/>
  <c r="AE220" i="2"/>
  <c r="AJ224" i="2"/>
  <c r="AF224" i="2"/>
  <c r="AK224" i="2" s="1"/>
  <c r="AB224" i="2"/>
  <c r="AI224" i="2"/>
  <c r="AE224" i="2"/>
  <c r="AH224" i="2"/>
  <c r="AD224" i="2"/>
  <c r="AL224" i="2"/>
  <c r="AG224" i="2"/>
  <c r="AC224" i="2"/>
  <c r="AH228" i="2"/>
  <c r="AD228" i="2"/>
  <c r="AL228" i="2"/>
  <c r="AG228" i="2"/>
  <c r="AC228" i="2"/>
  <c r="AJ228" i="2"/>
  <c r="AF228" i="2"/>
  <c r="AK228" i="2" s="1"/>
  <c r="AB228" i="2"/>
  <c r="AI228" i="2"/>
  <c r="AE228" i="2"/>
  <c r="AJ232" i="2"/>
  <c r="AF232" i="2"/>
  <c r="AK232" i="2" s="1"/>
  <c r="AB232" i="2"/>
  <c r="AI232" i="2"/>
  <c r="AE232" i="2"/>
  <c r="AH232" i="2"/>
  <c r="AD232" i="2"/>
  <c r="AL232" i="2"/>
  <c r="AG232" i="2"/>
  <c r="AC232" i="2"/>
  <c r="AH236" i="2"/>
  <c r="AD236" i="2"/>
  <c r="AL236" i="2"/>
  <c r="AG236" i="2"/>
  <c r="AC236" i="2"/>
  <c r="AJ236" i="2"/>
  <c r="AF236" i="2"/>
  <c r="AK236" i="2" s="1"/>
  <c r="AB236" i="2"/>
  <c r="AI236" i="2"/>
  <c r="AE236" i="2"/>
  <c r="AJ240" i="2"/>
  <c r="AF240" i="2"/>
  <c r="AK240" i="2" s="1"/>
  <c r="AB240" i="2"/>
  <c r="AI240" i="2"/>
  <c r="AE240" i="2"/>
  <c r="AH240" i="2"/>
  <c r="AD240" i="2"/>
  <c r="AL240" i="2"/>
  <c r="AG240" i="2"/>
  <c r="AC240" i="2"/>
  <c r="AH244" i="2"/>
  <c r="AD244" i="2"/>
  <c r="AL244" i="2"/>
  <c r="AG244" i="2"/>
  <c r="AC244" i="2"/>
  <c r="AJ244" i="2"/>
  <c r="AF244" i="2"/>
  <c r="AK244" i="2" s="1"/>
  <c r="AB244" i="2"/>
  <c r="AI244" i="2"/>
  <c r="AE244" i="2"/>
  <c r="AJ248" i="2"/>
  <c r="AF248" i="2"/>
  <c r="AK248" i="2" s="1"/>
  <c r="AB248" i="2"/>
  <c r="AI248" i="2"/>
  <c r="AE248" i="2"/>
  <c r="AH248" i="2"/>
  <c r="AD248" i="2"/>
  <c r="AL248" i="2"/>
  <c r="AG248" i="2"/>
  <c r="AC248" i="2"/>
  <c r="AH252" i="2"/>
  <c r="AD252" i="2"/>
  <c r="AL252" i="2"/>
  <c r="AG252" i="2"/>
  <c r="AC252" i="2"/>
  <c r="AJ252" i="2"/>
  <c r="AF252" i="2"/>
  <c r="AK252" i="2" s="1"/>
  <c r="AB252" i="2"/>
  <c r="AI252" i="2"/>
  <c r="AE252" i="2"/>
  <c r="AJ256" i="2"/>
  <c r="AF256" i="2"/>
  <c r="AK256" i="2" s="1"/>
  <c r="AB256" i="2"/>
  <c r="AI256" i="2"/>
  <c r="AE256" i="2"/>
  <c r="AH256" i="2"/>
  <c r="AD256" i="2"/>
  <c r="AL256" i="2"/>
  <c r="AG256" i="2"/>
  <c r="AC256" i="2"/>
  <c r="AH260" i="2"/>
  <c r="AD260" i="2"/>
  <c r="AL260" i="2"/>
  <c r="AG260" i="2"/>
  <c r="AC260" i="2"/>
  <c r="AJ260" i="2"/>
  <c r="AF260" i="2"/>
  <c r="AK260" i="2" s="1"/>
  <c r="AB260" i="2"/>
  <c r="AI260" i="2"/>
  <c r="AE260" i="2"/>
  <c r="AJ264" i="2"/>
  <c r="AF264" i="2"/>
  <c r="AK264" i="2" s="1"/>
  <c r="AB264" i="2"/>
  <c r="AI264" i="2"/>
  <c r="AE264" i="2"/>
  <c r="AH264" i="2"/>
  <c r="AD264" i="2"/>
  <c r="AL264" i="2"/>
  <c r="AG264" i="2"/>
  <c r="AC264" i="2"/>
  <c r="AH268" i="2"/>
  <c r="AD268" i="2"/>
  <c r="AL268" i="2"/>
  <c r="AG268" i="2"/>
  <c r="AC268" i="2"/>
  <c r="AJ268" i="2"/>
  <c r="AF268" i="2"/>
  <c r="AK268" i="2" s="1"/>
  <c r="AB268" i="2"/>
  <c r="AI268" i="2"/>
  <c r="AE268" i="2"/>
  <c r="AJ272" i="2"/>
  <c r="AL272" i="2"/>
  <c r="AF272" i="2"/>
  <c r="AK272" i="2" s="1"/>
  <c r="AB272" i="2"/>
  <c r="AI272" i="2"/>
  <c r="AE272" i="2"/>
  <c r="AH272" i="2"/>
  <c r="AD272" i="2"/>
  <c r="AG272" i="2"/>
  <c r="AC272" i="2"/>
  <c r="AH276" i="2"/>
  <c r="AD276" i="2"/>
  <c r="AL276" i="2"/>
  <c r="AF276" i="2"/>
  <c r="AK276" i="2" s="1"/>
  <c r="AJ276" i="2"/>
  <c r="AE276" i="2"/>
  <c r="AI276" i="2"/>
  <c r="AC276" i="2"/>
  <c r="AG276" i="2"/>
  <c r="AB276" i="2"/>
  <c r="AI280" i="2"/>
  <c r="AE280" i="2"/>
  <c r="AJ280" i="2"/>
  <c r="AF280" i="2"/>
  <c r="AK280" i="2" s="1"/>
  <c r="AB280" i="2"/>
  <c r="AH280" i="2"/>
  <c r="AG280" i="2"/>
  <c r="AD280" i="2"/>
  <c r="AL280" i="2"/>
  <c r="AC280" i="2"/>
  <c r="AL284" i="2"/>
  <c r="AG284" i="2"/>
  <c r="AC284" i="2"/>
  <c r="AH284" i="2"/>
  <c r="AD284" i="2"/>
  <c r="AF284" i="2"/>
  <c r="AK284" i="2" s="1"/>
  <c r="AE284" i="2"/>
  <c r="AJ284" i="2"/>
  <c r="AB284" i="2"/>
  <c r="AI284" i="2"/>
  <c r="AI288" i="2"/>
  <c r="AE288" i="2"/>
  <c r="AH288" i="2"/>
  <c r="AD288" i="2"/>
  <c r="AL288" i="2"/>
  <c r="AG288" i="2"/>
  <c r="AC288" i="2"/>
  <c r="AJ288" i="2"/>
  <c r="AF288" i="2"/>
  <c r="AK288" i="2" s="1"/>
  <c r="AB288" i="2"/>
  <c r="AL292" i="2"/>
  <c r="AG292" i="2"/>
  <c r="AC292" i="2"/>
  <c r="AJ292" i="2"/>
  <c r="AF292" i="2"/>
  <c r="AK292" i="2" s="1"/>
  <c r="AB292" i="2"/>
  <c r="AI292" i="2"/>
  <c r="AE292" i="2"/>
  <c r="AH292" i="2"/>
  <c r="AD292" i="2"/>
  <c r="AI296" i="2"/>
  <c r="AE296" i="2"/>
  <c r="AH296" i="2"/>
  <c r="AD296" i="2"/>
  <c r="AL296" i="2"/>
  <c r="AG296" i="2"/>
  <c r="AC296" i="2"/>
  <c r="AJ296" i="2"/>
  <c r="AF296" i="2"/>
  <c r="AK296" i="2" s="1"/>
  <c r="AB296" i="2"/>
  <c r="AL300" i="2"/>
  <c r="AG300" i="2"/>
  <c r="AC300" i="2"/>
  <c r="AJ300" i="2"/>
  <c r="AF300" i="2"/>
  <c r="AK300" i="2" s="1"/>
  <c r="AB300" i="2"/>
  <c r="AI300" i="2"/>
  <c r="AE300" i="2"/>
  <c r="AH300" i="2"/>
  <c r="AD300" i="2"/>
  <c r="AI304" i="2"/>
  <c r="AE304" i="2"/>
  <c r="AH304" i="2"/>
  <c r="AD304" i="2"/>
  <c r="AL304" i="2"/>
  <c r="AG304" i="2"/>
  <c r="AC304" i="2"/>
  <c r="AJ304" i="2"/>
  <c r="AF304" i="2"/>
  <c r="AK304" i="2" s="1"/>
  <c r="AB304" i="2"/>
  <c r="AL308" i="2"/>
  <c r="AG308" i="2"/>
  <c r="AC308" i="2"/>
  <c r="AJ308" i="2"/>
  <c r="AF308" i="2"/>
  <c r="AK308" i="2" s="1"/>
  <c r="AB308" i="2"/>
  <c r="AI308" i="2"/>
  <c r="AE308" i="2"/>
  <c r="AH308" i="2"/>
  <c r="AD308" i="2"/>
  <c r="AI312" i="2"/>
  <c r="AE312" i="2"/>
  <c r="AH312" i="2"/>
  <c r="AD312" i="2"/>
  <c r="AL312" i="2"/>
  <c r="AG312" i="2"/>
  <c r="AC312" i="2"/>
  <c r="AJ312" i="2"/>
  <c r="AF312" i="2"/>
  <c r="AK312" i="2" s="1"/>
  <c r="AB312" i="2"/>
  <c r="AL316" i="2"/>
  <c r="AG316" i="2"/>
  <c r="AC316" i="2"/>
  <c r="AJ316" i="2"/>
  <c r="AF316" i="2"/>
  <c r="AK316" i="2" s="1"/>
  <c r="AB316" i="2"/>
  <c r="AI316" i="2"/>
  <c r="AE316" i="2"/>
  <c r="AH316" i="2"/>
  <c r="AD316" i="2"/>
  <c r="AI320" i="2"/>
  <c r="AE320" i="2"/>
  <c r="AH320" i="2"/>
  <c r="AD320" i="2"/>
  <c r="AL320" i="2"/>
  <c r="AG320" i="2"/>
  <c r="AC320" i="2"/>
  <c r="AJ320" i="2"/>
  <c r="AF320" i="2"/>
  <c r="AK320" i="2" s="1"/>
  <c r="AB320" i="2"/>
  <c r="AL324" i="2"/>
  <c r="AG324" i="2"/>
  <c r="AC324" i="2"/>
  <c r="AJ324" i="2"/>
  <c r="AF324" i="2"/>
  <c r="AK324" i="2" s="1"/>
  <c r="AB324" i="2"/>
  <c r="AI324" i="2"/>
  <c r="AE324" i="2"/>
  <c r="AH324" i="2"/>
  <c r="AD324" i="2"/>
  <c r="AI328" i="2"/>
  <c r="AE328" i="2"/>
  <c r="AH328" i="2"/>
  <c r="AD328" i="2"/>
  <c r="AL328" i="2"/>
  <c r="AG328" i="2"/>
  <c r="AC328" i="2"/>
  <c r="AJ328" i="2"/>
  <c r="AF328" i="2"/>
  <c r="AK328" i="2" s="1"/>
  <c r="AB328" i="2"/>
  <c r="AI332" i="2"/>
  <c r="AE332" i="2"/>
  <c r="AH332" i="2"/>
  <c r="AC332" i="2"/>
  <c r="AG332" i="2"/>
  <c r="AB332" i="2"/>
  <c r="AL332" i="2"/>
  <c r="AF332" i="2"/>
  <c r="AK332" i="2" s="1"/>
  <c r="AJ332" i="2"/>
  <c r="AD332" i="2"/>
  <c r="AL336" i="2"/>
  <c r="AG336" i="2"/>
  <c r="AC336" i="2"/>
  <c r="AI336" i="2"/>
  <c r="AD336" i="2"/>
  <c r="AH336" i="2"/>
  <c r="AB336" i="2"/>
  <c r="AF336" i="2"/>
  <c r="AK336" i="2" s="1"/>
  <c r="AJ336" i="2"/>
  <c r="AE336" i="2"/>
  <c r="AI340" i="2"/>
  <c r="AE340" i="2"/>
  <c r="AH340" i="2"/>
  <c r="AD340" i="2"/>
  <c r="AL340" i="2"/>
  <c r="AG340" i="2"/>
  <c r="AF340" i="2"/>
  <c r="AK340" i="2" s="1"/>
  <c r="AC340" i="2"/>
  <c r="AB340" i="2"/>
  <c r="AJ340" i="2"/>
  <c r="AH344" i="2"/>
  <c r="AD344" i="2"/>
  <c r="AL344" i="2"/>
  <c r="AG344" i="2"/>
  <c r="AC344" i="2"/>
  <c r="AJ344" i="2"/>
  <c r="AF344" i="2"/>
  <c r="AK344" i="2" s="1"/>
  <c r="AB344" i="2"/>
  <c r="AI344" i="2"/>
  <c r="AE344" i="2"/>
  <c r="AJ348" i="2"/>
  <c r="AF348" i="2"/>
  <c r="AK348" i="2" s="1"/>
  <c r="AB348" i="2"/>
  <c r="AI348" i="2"/>
  <c r="AE348" i="2"/>
  <c r="AH348" i="2"/>
  <c r="AD348" i="2"/>
  <c r="AL348" i="2"/>
  <c r="AG348" i="2"/>
  <c r="AC348" i="2"/>
  <c r="AH352" i="2"/>
  <c r="AD352" i="2"/>
  <c r="AL352" i="2"/>
  <c r="AG352" i="2"/>
  <c r="AC352" i="2"/>
  <c r="AJ352" i="2"/>
  <c r="AF352" i="2"/>
  <c r="AK352" i="2" s="1"/>
  <c r="AB352" i="2"/>
  <c r="AI352" i="2"/>
  <c r="AE352" i="2"/>
  <c r="AJ356" i="2"/>
  <c r="AF356" i="2"/>
  <c r="AK356" i="2" s="1"/>
  <c r="AB356" i="2"/>
  <c r="AI356" i="2"/>
  <c r="AE356" i="2"/>
  <c r="AH356" i="2"/>
  <c r="AD356" i="2"/>
  <c r="AL356" i="2"/>
  <c r="AG356" i="2"/>
  <c r="AC356" i="2"/>
  <c r="AH360" i="2"/>
  <c r="AD360" i="2"/>
  <c r="AL360" i="2"/>
  <c r="AG360" i="2"/>
  <c r="AC360" i="2"/>
  <c r="AJ360" i="2"/>
  <c r="AF360" i="2"/>
  <c r="AK360" i="2" s="1"/>
  <c r="AB360" i="2"/>
  <c r="AI360" i="2"/>
  <c r="AE360" i="2"/>
  <c r="AG364" i="2"/>
  <c r="AC364" i="2"/>
  <c r="AJ364" i="2"/>
  <c r="AF364" i="2"/>
  <c r="AK364" i="2" s="1"/>
  <c r="AB364" i="2"/>
  <c r="AI364" i="2"/>
  <c r="AE364" i="2"/>
  <c r="AL364" i="2"/>
  <c r="AH364" i="2"/>
  <c r="AD364" i="2"/>
  <c r="AH368" i="2"/>
  <c r="AD368" i="2"/>
  <c r="AL368" i="2"/>
  <c r="AG368" i="2"/>
  <c r="AC368" i="2"/>
  <c r="AJ368" i="2"/>
  <c r="AF368" i="2"/>
  <c r="AK368" i="2" s="1"/>
  <c r="AB368" i="2"/>
  <c r="AI368" i="2"/>
  <c r="AE368" i="2"/>
  <c r="AG372" i="2"/>
  <c r="AC372" i="2"/>
  <c r="AJ372" i="2"/>
  <c r="AF372" i="2"/>
  <c r="AK372" i="2" s="1"/>
  <c r="AB372" i="2"/>
  <c r="AI372" i="2"/>
  <c r="AE372" i="2"/>
  <c r="AL372" i="2"/>
  <c r="AH372" i="2"/>
  <c r="AD372" i="2"/>
  <c r="AI376" i="2"/>
  <c r="AE376" i="2"/>
  <c r="AH376" i="2"/>
  <c r="AD376" i="2"/>
  <c r="AL376" i="2"/>
  <c r="AG376" i="2"/>
  <c r="AC376" i="2"/>
  <c r="AJ376" i="2"/>
  <c r="AF376" i="2"/>
  <c r="AK376" i="2" s="1"/>
  <c r="AB376" i="2"/>
  <c r="AL380" i="2"/>
  <c r="AH380" i="2"/>
  <c r="AD380" i="2"/>
  <c r="AG380" i="2"/>
  <c r="AC380" i="2"/>
  <c r="AJ380" i="2"/>
  <c r="AF380" i="2"/>
  <c r="AK380" i="2" s="1"/>
  <c r="AB380" i="2"/>
  <c r="AI380" i="2"/>
  <c r="AE380" i="2"/>
  <c r="AI384" i="2"/>
  <c r="AE384" i="2"/>
  <c r="AH384" i="2"/>
  <c r="AD384" i="2"/>
  <c r="AL384" i="2"/>
  <c r="AG384" i="2"/>
  <c r="AC384" i="2"/>
  <c r="AJ384" i="2"/>
  <c r="AF384" i="2"/>
  <c r="AK384" i="2" s="1"/>
  <c r="AB384" i="2"/>
  <c r="AL388" i="2"/>
  <c r="AG388" i="2"/>
  <c r="AC388" i="2"/>
  <c r="AJ388" i="2"/>
  <c r="AF388" i="2"/>
  <c r="AK388" i="2" s="1"/>
  <c r="AB388" i="2"/>
  <c r="AI388" i="2"/>
  <c r="AE388" i="2"/>
  <c r="AH388" i="2"/>
  <c r="AD388" i="2"/>
  <c r="AJ392" i="2"/>
  <c r="AF392" i="2"/>
  <c r="AK392" i="2" s="1"/>
  <c r="AL392" i="2"/>
  <c r="AE392" i="2"/>
  <c r="AI392" i="2"/>
  <c r="AD392" i="2"/>
  <c r="AH392" i="2"/>
  <c r="AC392" i="2"/>
  <c r="AG392" i="2"/>
  <c r="AB392" i="2"/>
  <c r="AH396" i="2"/>
  <c r="AD396" i="2"/>
  <c r="AL396" i="2"/>
  <c r="AG396" i="2"/>
  <c r="AC396" i="2"/>
  <c r="AJ396" i="2"/>
  <c r="AF396" i="2"/>
  <c r="AK396" i="2" s="1"/>
  <c r="AB396" i="2"/>
  <c r="AI396" i="2"/>
  <c r="AE396" i="2"/>
  <c r="AJ400" i="2"/>
  <c r="AF400" i="2"/>
  <c r="AK400" i="2" s="1"/>
  <c r="AB400" i="2"/>
  <c r="AI400" i="2"/>
  <c r="AE400" i="2"/>
  <c r="AH400" i="2"/>
  <c r="AD400" i="2"/>
  <c r="AL400" i="2"/>
  <c r="AG400" i="2"/>
  <c r="AC400" i="2"/>
  <c r="AH404" i="2"/>
  <c r="AD404" i="2"/>
  <c r="AL404" i="2"/>
  <c r="AG404" i="2"/>
  <c r="AC404" i="2"/>
  <c r="AJ404" i="2"/>
  <c r="AF404" i="2"/>
  <c r="AK404" i="2" s="1"/>
  <c r="AB404" i="2"/>
  <c r="AI404" i="2"/>
  <c r="AE404" i="2"/>
  <c r="AJ408" i="2"/>
  <c r="AF408" i="2"/>
  <c r="AK408" i="2" s="1"/>
  <c r="AB408" i="2"/>
  <c r="AI408" i="2"/>
  <c r="AE408" i="2"/>
  <c r="AH408" i="2"/>
  <c r="AD408" i="2"/>
  <c r="AL408" i="2"/>
  <c r="AG408" i="2"/>
  <c r="AC408" i="2"/>
  <c r="AH412" i="2"/>
  <c r="AD412" i="2"/>
  <c r="AL412" i="2"/>
  <c r="AG412" i="2"/>
  <c r="AC412" i="2"/>
  <c r="AJ412" i="2"/>
  <c r="AF412" i="2"/>
  <c r="AK412" i="2" s="1"/>
  <c r="AB412" i="2"/>
  <c r="AI412" i="2"/>
  <c r="AE412" i="2"/>
  <c r="AJ416" i="2"/>
  <c r="AF416" i="2"/>
  <c r="AK416" i="2" s="1"/>
  <c r="AB416" i="2"/>
  <c r="AI416" i="2"/>
  <c r="AE416" i="2"/>
  <c r="AH416" i="2"/>
  <c r="AD416" i="2"/>
  <c r="AL416" i="2"/>
  <c r="AG416" i="2"/>
  <c r="AC416" i="2"/>
  <c r="AH420" i="2"/>
  <c r="AD420" i="2"/>
  <c r="AL420" i="2"/>
  <c r="AG420" i="2"/>
  <c r="AC420" i="2"/>
  <c r="AJ420" i="2"/>
  <c r="AF420" i="2"/>
  <c r="AK420" i="2" s="1"/>
  <c r="AB420" i="2"/>
  <c r="AI420" i="2"/>
  <c r="AE420" i="2"/>
  <c r="AL424" i="2"/>
  <c r="AJ424" i="2"/>
  <c r="AF424" i="2"/>
  <c r="AK424" i="2" s="1"/>
  <c r="AB424" i="2"/>
  <c r="AI424" i="2"/>
  <c r="AE424" i="2"/>
  <c r="AH424" i="2"/>
  <c r="AD424" i="2"/>
  <c r="AG424" i="2"/>
  <c r="AC424" i="2"/>
  <c r="AL428" i="2"/>
  <c r="AG428" i="2"/>
  <c r="AC428" i="2"/>
  <c r="AI428" i="2"/>
  <c r="AE428" i="2"/>
  <c r="AF428" i="2"/>
  <c r="AK428" i="2" s="1"/>
  <c r="AD428" i="2"/>
  <c r="AJ428" i="2"/>
  <c r="AB428" i="2"/>
  <c r="AH428" i="2"/>
  <c r="AJ432" i="2"/>
  <c r="AF432" i="2"/>
  <c r="AK432" i="2" s="1"/>
  <c r="AB432" i="2"/>
  <c r="AI432" i="2"/>
  <c r="AE432" i="2"/>
  <c r="AH432" i="2"/>
  <c r="AD432" i="2"/>
  <c r="AL432" i="2"/>
  <c r="AG432" i="2"/>
  <c r="AC432" i="2"/>
  <c r="AH436" i="2"/>
  <c r="AD436" i="2"/>
  <c r="AL436" i="2"/>
  <c r="AG436" i="2"/>
  <c r="AC436" i="2"/>
  <c r="AJ436" i="2"/>
  <c r="AF436" i="2"/>
  <c r="AK436" i="2" s="1"/>
  <c r="AB436" i="2"/>
  <c r="AI436" i="2"/>
  <c r="AE436" i="2"/>
  <c r="AJ440" i="2"/>
  <c r="AF440" i="2"/>
  <c r="AK440" i="2" s="1"/>
  <c r="AB440" i="2"/>
  <c r="AI440" i="2"/>
  <c r="AE440" i="2"/>
  <c r="AH440" i="2"/>
  <c r="AD440" i="2"/>
  <c r="AL440" i="2"/>
  <c r="AG440" i="2"/>
  <c r="AC440" i="2"/>
  <c r="AH444" i="2"/>
  <c r="AD444" i="2"/>
  <c r="AL444" i="2"/>
  <c r="AG444" i="2"/>
  <c r="AC444" i="2"/>
  <c r="AJ444" i="2"/>
  <c r="AF444" i="2"/>
  <c r="AK444" i="2" s="1"/>
  <c r="AB444" i="2"/>
  <c r="AI444" i="2"/>
  <c r="AE444" i="2"/>
  <c r="AJ448" i="2"/>
  <c r="AF448" i="2"/>
  <c r="AK448" i="2" s="1"/>
  <c r="AB448" i="2"/>
  <c r="AI448" i="2"/>
  <c r="AE448" i="2"/>
  <c r="AH448" i="2"/>
  <c r="AD448" i="2"/>
  <c r="AL448" i="2"/>
  <c r="AG448" i="2"/>
  <c r="AC448" i="2"/>
  <c r="AH452" i="2"/>
  <c r="AD452" i="2"/>
  <c r="AJ452" i="2"/>
  <c r="AF452" i="2"/>
  <c r="AK452" i="2" s="1"/>
  <c r="AB452" i="2"/>
  <c r="AE452" i="2"/>
  <c r="AL452" i="2"/>
  <c r="AC452" i="2"/>
  <c r="AI452" i="2"/>
  <c r="AG452" i="2"/>
  <c r="AJ456" i="2"/>
  <c r="AF456" i="2"/>
  <c r="AK456" i="2" s="1"/>
  <c r="AB456" i="2"/>
  <c r="AH456" i="2"/>
  <c r="AD456" i="2"/>
  <c r="AL456" i="2"/>
  <c r="AC456" i="2"/>
  <c r="AI456" i="2"/>
  <c r="AG456" i="2"/>
  <c r="AE456" i="2"/>
  <c r="AH460" i="2"/>
  <c r="AD460" i="2"/>
  <c r="AL460" i="2"/>
  <c r="AG460" i="2"/>
  <c r="AC460" i="2"/>
  <c r="AJ460" i="2"/>
  <c r="AF460" i="2"/>
  <c r="AK460" i="2" s="1"/>
  <c r="AB460" i="2"/>
  <c r="AI460" i="2"/>
  <c r="AE460" i="2"/>
  <c r="AJ464" i="2"/>
  <c r="AF464" i="2"/>
  <c r="AK464" i="2" s="1"/>
  <c r="AB464" i="2"/>
  <c r="AI464" i="2"/>
  <c r="AE464" i="2"/>
  <c r="AH464" i="2"/>
  <c r="AD464" i="2"/>
  <c r="AC464" i="2"/>
  <c r="AL464" i="2"/>
  <c r="AG464" i="2"/>
  <c r="AH468" i="2"/>
  <c r="AD468" i="2"/>
  <c r="AL468" i="2"/>
  <c r="AG468" i="2"/>
  <c r="AC468" i="2"/>
  <c r="AJ468" i="2"/>
  <c r="AF468" i="2"/>
  <c r="AK468" i="2" s="1"/>
  <c r="AB468" i="2"/>
  <c r="AI468" i="2"/>
  <c r="AE468" i="2"/>
  <c r="AJ472" i="2"/>
  <c r="AF472" i="2"/>
  <c r="AK472" i="2" s="1"/>
  <c r="AB472" i="2"/>
  <c r="AL472" i="2"/>
  <c r="AE472" i="2"/>
  <c r="AI472" i="2"/>
  <c r="AD472" i="2"/>
  <c r="AH472" i="2"/>
  <c r="AC472" i="2"/>
  <c r="AG472" i="2"/>
  <c r="AH476" i="2"/>
  <c r="AD476" i="2"/>
  <c r="AG476" i="2"/>
  <c r="AB476" i="2"/>
  <c r="AL476" i="2"/>
  <c r="AF476" i="2"/>
  <c r="AK476" i="2" s="1"/>
  <c r="AJ476" i="2"/>
  <c r="AE476" i="2"/>
  <c r="AI476" i="2"/>
  <c r="AC476" i="2"/>
  <c r="AJ480" i="2"/>
  <c r="AF480" i="2"/>
  <c r="AK480" i="2" s="1"/>
  <c r="AB480" i="2"/>
  <c r="AH480" i="2"/>
  <c r="AC480" i="2"/>
  <c r="AG480" i="2"/>
  <c r="AL480" i="2"/>
  <c r="AE480" i="2"/>
  <c r="AI480" i="2"/>
  <c r="AD480" i="2"/>
  <c r="AH484" i="2"/>
  <c r="AD484" i="2"/>
  <c r="AL484" i="2"/>
  <c r="AG484" i="2"/>
  <c r="AC484" i="2"/>
  <c r="AE484" i="2"/>
  <c r="AJ484" i="2"/>
  <c r="AB484" i="2"/>
  <c r="AI484" i="2"/>
  <c r="AF484" i="2"/>
  <c r="AK484" i="2" s="1"/>
  <c r="AJ488" i="2"/>
  <c r="AF488" i="2"/>
  <c r="AK488" i="2" s="1"/>
  <c r="AB488" i="2"/>
  <c r="AI488" i="2"/>
  <c r="AE488" i="2"/>
  <c r="AH488" i="2"/>
  <c r="AD488" i="2"/>
  <c r="AL488" i="2"/>
  <c r="AG488" i="2"/>
  <c r="AC488" i="2"/>
  <c r="AH492" i="2"/>
  <c r="AD492" i="2"/>
  <c r="AL492" i="2"/>
  <c r="AG492" i="2"/>
  <c r="AC492" i="2"/>
  <c r="AJ492" i="2"/>
  <c r="AF492" i="2"/>
  <c r="AK492" i="2" s="1"/>
  <c r="AB492" i="2"/>
  <c r="AI492" i="2"/>
  <c r="AE492" i="2"/>
  <c r="AJ496" i="2"/>
  <c r="AF496" i="2"/>
  <c r="AK496" i="2" s="1"/>
  <c r="AB496" i="2"/>
  <c r="AI496" i="2"/>
  <c r="AE496" i="2"/>
  <c r="AH496" i="2"/>
  <c r="AD496" i="2"/>
  <c r="AL496" i="2"/>
  <c r="AG496" i="2"/>
  <c r="AC496" i="2"/>
  <c r="AH500" i="2"/>
  <c r="AD500" i="2"/>
  <c r="AL500" i="2"/>
  <c r="AG500" i="2"/>
  <c r="AC500" i="2"/>
  <c r="AJ500" i="2"/>
  <c r="AF500" i="2"/>
  <c r="AK500" i="2" s="1"/>
  <c r="AB500" i="2"/>
  <c r="AI500" i="2"/>
  <c r="AE500" i="2"/>
  <c r="AE4" i="2"/>
  <c r="AI4" i="2"/>
  <c r="AC5" i="2"/>
  <c r="AG5" i="2"/>
  <c r="AD6" i="2"/>
  <c r="AH6" i="2"/>
  <c r="AB7" i="2"/>
  <c r="AF7" i="2"/>
  <c r="AJ7" i="2"/>
  <c r="AC8" i="2"/>
  <c r="AG8" i="2"/>
  <c r="AL8" i="2"/>
  <c r="AE9" i="2"/>
  <c r="AI9" i="2"/>
  <c r="AB10" i="2"/>
  <c r="AF10" i="2"/>
  <c r="AK10" i="2" s="1"/>
  <c r="AJ10" i="2"/>
  <c r="AD11" i="2"/>
  <c r="AH11" i="2"/>
  <c r="AL11" i="2"/>
  <c r="AE12" i="2"/>
  <c r="AI12" i="2"/>
  <c r="AC13" i="2"/>
  <c r="AG13" i="2"/>
  <c r="AD14" i="2"/>
  <c r="AH14" i="2"/>
  <c r="AB15" i="2"/>
  <c r="AF15" i="2"/>
  <c r="AJ15" i="2"/>
  <c r="AC16" i="2"/>
  <c r="AG16" i="2"/>
  <c r="AL16" i="2"/>
  <c r="AE17" i="2"/>
  <c r="AI17" i="2"/>
  <c r="AB18" i="2"/>
  <c r="AF18" i="2"/>
  <c r="AK18" i="2" s="1"/>
  <c r="AJ18" i="2"/>
  <c r="AD19" i="2"/>
  <c r="AH19" i="2"/>
  <c r="AL19" i="2"/>
  <c r="AE20" i="2"/>
  <c r="AI20" i="2"/>
  <c r="AE21" i="2"/>
  <c r="AG22" i="2"/>
  <c r="AL21" i="2"/>
  <c r="AH21" i="2"/>
  <c r="AD21" i="2"/>
  <c r="AJ25" i="2"/>
  <c r="AF25" i="2"/>
  <c r="AK25" i="2" s="1"/>
  <c r="AB25" i="2"/>
  <c r="AI25" i="2"/>
  <c r="AE25" i="2"/>
  <c r="AL25" i="2"/>
  <c r="AH25" i="2"/>
  <c r="AD25" i="2"/>
  <c r="AG25" i="2"/>
  <c r="AC25" i="2"/>
  <c r="AL29" i="2"/>
  <c r="AH29" i="2"/>
  <c r="AD29" i="2"/>
  <c r="AG29" i="2"/>
  <c r="AC29" i="2"/>
  <c r="AJ29" i="2"/>
  <c r="AF29" i="2"/>
  <c r="AK29" i="2" s="1"/>
  <c r="AB29" i="2"/>
  <c r="AI29" i="2"/>
  <c r="AE29" i="2"/>
  <c r="AJ33" i="2"/>
  <c r="AF33" i="2"/>
  <c r="AK33" i="2" s="1"/>
  <c r="AB33" i="2"/>
  <c r="AI33" i="2"/>
  <c r="AE33" i="2"/>
  <c r="AL33" i="2"/>
  <c r="AH33" i="2"/>
  <c r="AD33" i="2"/>
  <c r="AG33" i="2"/>
  <c r="AC33" i="2"/>
  <c r="AL37" i="2"/>
  <c r="AH37" i="2"/>
  <c r="AD37" i="2"/>
  <c r="AG37" i="2"/>
  <c r="AC37" i="2"/>
  <c r="AJ37" i="2"/>
  <c r="AF37" i="2"/>
  <c r="AK37" i="2" s="1"/>
  <c r="AB37" i="2"/>
  <c r="AI37" i="2"/>
  <c r="AE37" i="2"/>
  <c r="AJ41" i="2"/>
  <c r="AF41" i="2"/>
  <c r="AK41" i="2" s="1"/>
  <c r="AB41" i="2"/>
  <c r="AI41" i="2"/>
  <c r="AE41" i="2"/>
  <c r="AL41" i="2"/>
  <c r="AH41" i="2"/>
  <c r="AD41" i="2"/>
  <c r="AG41" i="2"/>
  <c r="AC41" i="2"/>
  <c r="AL45" i="2"/>
  <c r="AH45" i="2"/>
  <c r="AD45" i="2"/>
  <c r="AG45" i="2"/>
  <c r="AC45" i="2"/>
  <c r="AJ45" i="2"/>
  <c r="AF45" i="2"/>
  <c r="AK45" i="2" s="1"/>
  <c r="AB45" i="2"/>
  <c r="AI45" i="2"/>
  <c r="AE45" i="2"/>
  <c r="AJ49" i="2"/>
  <c r="AF49" i="2"/>
  <c r="AK49" i="2" s="1"/>
  <c r="AB49" i="2"/>
  <c r="AI49" i="2"/>
  <c r="AE49" i="2"/>
  <c r="AL49" i="2"/>
  <c r="AH49" i="2"/>
  <c r="AD49" i="2"/>
  <c r="AG49" i="2"/>
  <c r="AC49" i="2"/>
  <c r="AL53" i="2"/>
  <c r="AH53" i="2"/>
  <c r="AD53" i="2"/>
  <c r="AG53" i="2"/>
  <c r="AC53" i="2"/>
  <c r="AJ53" i="2"/>
  <c r="AF53" i="2"/>
  <c r="AK53" i="2" s="1"/>
  <c r="AB53" i="2"/>
  <c r="AI53" i="2"/>
  <c r="AE53" i="2"/>
  <c r="AJ57" i="2"/>
  <c r="AF57" i="2"/>
  <c r="AK57" i="2" s="1"/>
  <c r="AB57" i="2"/>
  <c r="AI57" i="2"/>
  <c r="AE57" i="2"/>
  <c r="AL57" i="2"/>
  <c r="AH57" i="2"/>
  <c r="AD57" i="2"/>
  <c r="AG57" i="2"/>
  <c r="AC57" i="2"/>
  <c r="AL61" i="2"/>
  <c r="AH61" i="2"/>
  <c r="AD61" i="2"/>
  <c r="AG61" i="2"/>
  <c r="AC61" i="2"/>
  <c r="AJ61" i="2"/>
  <c r="AF61" i="2"/>
  <c r="AK61" i="2" s="1"/>
  <c r="AB61" i="2"/>
  <c r="AI61" i="2"/>
  <c r="AE61" i="2"/>
  <c r="AJ65" i="2"/>
  <c r="AF65" i="2"/>
  <c r="AK65" i="2" s="1"/>
  <c r="AB65" i="2"/>
  <c r="AI65" i="2"/>
  <c r="AE65" i="2"/>
  <c r="AL65" i="2"/>
  <c r="AH65" i="2"/>
  <c r="AD65" i="2"/>
  <c r="AG65" i="2"/>
  <c r="AC65" i="2"/>
  <c r="AL69" i="2"/>
  <c r="AH69" i="2"/>
  <c r="AD69" i="2"/>
  <c r="AG69" i="2"/>
  <c r="AC69" i="2"/>
  <c r="AJ69" i="2"/>
  <c r="AF69" i="2"/>
  <c r="AK69" i="2" s="1"/>
  <c r="AB69" i="2"/>
  <c r="AI69" i="2"/>
  <c r="AE69" i="2"/>
  <c r="AJ73" i="2"/>
  <c r="AF73" i="2"/>
  <c r="AK73" i="2" s="1"/>
  <c r="AB73" i="2"/>
  <c r="AI73" i="2"/>
  <c r="AE73" i="2"/>
  <c r="AL73" i="2"/>
  <c r="AH73" i="2"/>
  <c r="AD73" i="2"/>
  <c r="AG73" i="2"/>
  <c r="AC73" i="2"/>
  <c r="AL77" i="2"/>
  <c r="AH77" i="2"/>
  <c r="AD77" i="2"/>
  <c r="AG77" i="2"/>
  <c r="AC77" i="2"/>
  <c r="AJ77" i="2"/>
  <c r="AF77" i="2"/>
  <c r="AK77" i="2" s="1"/>
  <c r="AB77" i="2"/>
  <c r="AI77" i="2"/>
  <c r="AE77" i="2"/>
  <c r="AJ81" i="2"/>
  <c r="AF81" i="2"/>
  <c r="AK81" i="2" s="1"/>
  <c r="AB81" i="2"/>
  <c r="AI81" i="2"/>
  <c r="AE81" i="2"/>
  <c r="AL81" i="2"/>
  <c r="AH81" i="2"/>
  <c r="AD81" i="2"/>
  <c r="AG81" i="2"/>
  <c r="AC81" i="2"/>
  <c r="AL85" i="2"/>
  <c r="AH85" i="2"/>
  <c r="AD85" i="2"/>
  <c r="AG85" i="2"/>
  <c r="AC85" i="2"/>
  <c r="AJ85" i="2"/>
  <c r="AF85" i="2"/>
  <c r="AK85" i="2" s="1"/>
  <c r="AB85" i="2"/>
  <c r="AI85" i="2"/>
  <c r="AE85" i="2"/>
  <c r="AJ89" i="2"/>
  <c r="AF89" i="2"/>
  <c r="AK89" i="2" s="1"/>
  <c r="AB89" i="2"/>
  <c r="AI89" i="2"/>
  <c r="AE89" i="2"/>
  <c r="AL89" i="2"/>
  <c r="AH89" i="2"/>
  <c r="AD89" i="2"/>
  <c r="AG89" i="2"/>
  <c r="AC89" i="2"/>
  <c r="AL93" i="2"/>
  <c r="AH93" i="2"/>
  <c r="AD93" i="2"/>
  <c r="AG93" i="2"/>
  <c r="AC93" i="2"/>
  <c r="AJ93" i="2"/>
  <c r="AF93" i="2"/>
  <c r="AK93" i="2" s="1"/>
  <c r="AB93" i="2"/>
  <c r="AI93" i="2"/>
  <c r="AE93" i="2"/>
  <c r="AJ97" i="2"/>
  <c r="AF97" i="2"/>
  <c r="AK97" i="2" s="1"/>
  <c r="AB97" i="2"/>
  <c r="AI97" i="2"/>
  <c r="AE97" i="2"/>
  <c r="AL97" i="2"/>
  <c r="AH97" i="2"/>
  <c r="AD97" i="2"/>
  <c r="AG97" i="2"/>
  <c r="AC97" i="2"/>
  <c r="AL101" i="2"/>
  <c r="AH101" i="2"/>
  <c r="AD101" i="2"/>
  <c r="AG101" i="2"/>
  <c r="AC101" i="2"/>
  <c r="AJ101" i="2"/>
  <c r="AF101" i="2"/>
  <c r="AK101" i="2" s="1"/>
  <c r="AB101" i="2"/>
  <c r="AI101" i="2"/>
  <c r="AE101" i="2"/>
  <c r="AJ105" i="2"/>
  <c r="AF105" i="2"/>
  <c r="AK105" i="2" s="1"/>
  <c r="AB105" i="2"/>
  <c r="AI105" i="2"/>
  <c r="AE105" i="2"/>
  <c r="AL105" i="2"/>
  <c r="AH105" i="2"/>
  <c r="AD105" i="2"/>
  <c r="AG105" i="2"/>
  <c r="AC105" i="2"/>
  <c r="AL109" i="2"/>
  <c r="AH109" i="2"/>
  <c r="AD109" i="2"/>
  <c r="AG109" i="2"/>
  <c r="AC109" i="2"/>
  <c r="AJ109" i="2"/>
  <c r="AF109" i="2"/>
  <c r="AK109" i="2" s="1"/>
  <c r="AB109" i="2"/>
  <c r="AI109" i="2"/>
  <c r="AE109" i="2"/>
  <c r="AJ113" i="2"/>
  <c r="AF113" i="2"/>
  <c r="AK113" i="2" s="1"/>
  <c r="AB113" i="2"/>
  <c r="AI113" i="2"/>
  <c r="AE113" i="2"/>
  <c r="AL113" i="2"/>
  <c r="AH113" i="2"/>
  <c r="AD113" i="2"/>
  <c r="AG113" i="2"/>
  <c r="AC113" i="2"/>
  <c r="AL117" i="2"/>
  <c r="AH117" i="2"/>
  <c r="AD117" i="2"/>
  <c r="AG117" i="2"/>
  <c r="AC117" i="2"/>
  <c r="AJ117" i="2"/>
  <c r="AF117" i="2"/>
  <c r="AK117" i="2" s="1"/>
  <c r="AB117" i="2"/>
  <c r="AI117" i="2"/>
  <c r="AE117" i="2"/>
  <c r="AJ121" i="2"/>
  <c r="AF121" i="2"/>
  <c r="AK121" i="2" s="1"/>
  <c r="AB121" i="2"/>
  <c r="AI121" i="2"/>
  <c r="AE121" i="2"/>
  <c r="AL121" i="2"/>
  <c r="AH121" i="2"/>
  <c r="AD121" i="2"/>
  <c r="AG121" i="2"/>
  <c r="AC121" i="2"/>
  <c r="AL125" i="2"/>
  <c r="AH125" i="2"/>
  <c r="AD125" i="2"/>
  <c r="AG125" i="2"/>
  <c r="AC125" i="2"/>
  <c r="AJ125" i="2"/>
  <c r="AF125" i="2"/>
  <c r="AK125" i="2" s="1"/>
  <c r="AB125" i="2"/>
  <c r="AI125" i="2"/>
  <c r="AE125" i="2"/>
  <c r="AJ129" i="2"/>
  <c r="AF129" i="2"/>
  <c r="AK129" i="2" s="1"/>
  <c r="AB129" i="2"/>
  <c r="AI129" i="2"/>
  <c r="AE129" i="2"/>
  <c r="AL129" i="2"/>
  <c r="AH129" i="2"/>
  <c r="AD129" i="2"/>
  <c r="AG129" i="2"/>
  <c r="AC129" i="2"/>
  <c r="AL133" i="2"/>
  <c r="AH133" i="2"/>
  <c r="AD133" i="2"/>
  <c r="AG133" i="2"/>
  <c r="AC133" i="2"/>
  <c r="AJ133" i="2"/>
  <c r="AF133" i="2"/>
  <c r="AK133" i="2" s="1"/>
  <c r="AB133" i="2"/>
  <c r="AI133" i="2"/>
  <c r="AE133" i="2"/>
  <c r="AJ137" i="2"/>
  <c r="AF137" i="2"/>
  <c r="AK137" i="2" s="1"/>
  <c r="AB137" i="2"/>
  <c r="AI137" i="2"/>
  <c r="AE137" i="2"/>
  <c r="AL137" i="2"/>
  <c r="AH137" i="2"/>
  <c r="AD137" i="2"/>
  <c r="AG137" i="2"/>
  <c r="AC137" i="2"/>
  <c r="AL141" i="2"/>
  <c r="AH141" i="2"/>
  <c r="AD141" i="2"/>
  <c r="AG141" i="2"/>
  <c r="AC141" i="2"/>
  <c r="AJ141" i="2"/>
  <c r="AF141" i="2"/>
  <c r="AK141" i="2" s="1"/>
  <c r="AB141" i="2"/>
  <c r="AI141" i="2"/>
  <c r="AE141" i="2"/>
  <c r="AJ145" i="2"/>
  <c r="AF145" i="2"/>
  <c r="AK145" i="2" s="1"/>
  <c r="AB145" i="2"/>
  <c r="AI145" i="2"/>
  <c r="AE145" i="2"/>
  <c r="AL145" i="2"/>
  <c r="AH145" i="2"/>
  <c r="AD145" i="2"/>
  <c r="AG145" i="2"/>
  <c r="AC145" i="2"/>
  <c r="AI149" i="2"/>
  <c r="AL149" i="2"/>
  <c r="AH149" i="2"/>
  <c r="AD149" i="2"/>
  <c r="AG149" i="2"/>
  <c r="AC149" i="2"/>
  <c r="AK149" i="2"/>
  <c r="AF149" i="2"/>
  <c r="AB149" i="2"/>
  <c r="AJ149" i="2"/>
  <c r="AE149" i="2"/>
  <c r="AL153" i="2"/>
  <c r="AH153" i="2"/>
  <c r="AD153" i="2"/>
  <c r="AG153" i="2"/>
  <c r="AC153" i="2"/>
  <c r="AJ153" i="2"/>
  <c r="AF153" i="2"/>
  <c r="AK153" i="2" s="1"/>
  <c r="AB153" i="2"/>
  <c r="AI153" i="2"/>
  <c r="AE153" i="2"/>
  <c r="AJ157" i="2"/>
  <c r="AF157" i="2"/>
  <c r="AB157" i="2"/>
  <c r="AI157" i="2"/>
  <c r="AE157" i="2"/>
  <c r="AL157" i="2"/>
  <c r="AH157" i="2"/>
  <c r="AD157" i="2"/>
  <c r="AK157" i="2"/>
  <c r="AG157" i="2"/>
  <c r="AC157" i="2"/>
  <c r="AL161" i="2"/>
  <c r="AH161" i="2"/>
  <c r="AD161" i="2"/>
  <c r="AG161" i="2"/>
  <c r="AC161" i="2"/>
  <c r="AJ161" i="2"/>
  <c r="AF161" i="2"/>
  <c r="AK161" i="2" s="1"/>
  <c r="AB161" i="2"/>
  <c r="AI161" i="2"/>
  <c r="AE161" i="2"/>
  <c r="AJ165" i="2"/>
  <c r="AF165" i="2"/>
  <c r="AB165" i="2"/>
  <c r="AI165" i="2"/>
  <c r="AE165" i="2"/>
  <c r="AL165" i="2"/>
  <c r="AH165" i="2"/>
  <c r="AD165" i="2"/>
  <c r="AK165" i="2"/>
  <c r="AG165" i="2"/>
  <c r="AC165" i="2"/>
  <c r="AL169" i="2"/>
  <c r="AH169" i="2"/>
  <c r="AD169" i="2"/>
  <c r="AG169" i="2"/>
  <c r="AC169" i="2"/>
  <c r="AJ169" i="2"/>
  <c r="AF169" i="2"/>
  <c r="AK169" i="2" s="1"/>
  <c r="AB169" i="2"/>
  <c r="AI169" i="2"/>
  <c r="AE169" i="2"/>
  <c r="AJ173" i="2"/>
  <c r="AF173" i="2"/>
  <c r="AB173" i="2"/>
  <c r="AI173" i="2"/>
  <c r="AE173" i="2"/>
  <c r="AL173" i="2"/>
  <c r="AH173" i="2"/>
  <c r="AD173" i="2"/>
  <c r="AK173" i="2"/>
  <c r="AG173" i="2"/>
  <c r="AC173" i="2"/>
  <c r="AL177" i="2"/>
  <c r="AH177" i="2"/>
  <c r="AD177" i="2"/>
  <c r="AG177" i="2"/>
  <c r="AC177" i="2"/>
  <c r="AJ177" i="2"/>
  <c r="AF177" i="2"/>
  <c r="AK177" i="2" s="1"/>
  <c r="AB177" i="2"/>
  <c r="AI177" i="2"/>
  <c r="AE177" i="2"/>
  <c r="AJ181" i="2"/>
  <c r="AF181" i="2"/>
  <c r="AB181" i="2"/>
  <c r="AI181" i="2"/>
  <c r="AE181" i="2"/>
  <c r="AL181" i="2"/>
  <c r="AH181" i="2"/>
  <c r="AD181" i="2"/>
  <c r="AK181" i="2"/>
  <c r="AG181" i="2"/>
  <c r="AC181" i="2"/>
  <c r="AL185" i="2"/>
  <c r="AH185" i="2"/>
  <c r="AD185" i="2"/>
  <c r="AG185" i="2"/>
  <c r="AC185" i="2"/>
  <c r="AJ185" i="2"/>
  <c r="AF185" i="2"/>
  <c r="AK185" i="2" s="1"/>
  <c r="AB185" i="2"/>
  <c r="AI185" i="2"/>
  <c r="AE185" i="2"/>
  <c r="AJ189" i="2"/>
  <c r="AF189" i="2"/>
  <c r="AB189" i="2"/>
  <c r="AI189" i="2"/>
  <c r="AE189" i="2"/>
  <c r="AL189" i="2"/>
  <c r="AH189" i="2"/>
  <c r="AD189" i="2"/>
  <c r="AK189" i="2"/>
  <c r="AG189" i="2"/>
  <c r="AC189" i="2"/>
  <c r="AL193" i="2"/>
  <c r="AH193" i="2"/>
  <c r="AD193" i="2"/>
  <c r="AG193" i="2"/>
  <c r="AC193" i="2"/>
  <c r="AJ193" i="2"/>
  <c r="AF193" i="2"/>
  <c r="AK193" i="2" s="1"/>
  <c r="AB193" i="2"/>
  <c r="AI193" i="2"/>
  <c r="AE193" i="2"/>
  <c r="AJ197" i="2"/>
  <c r="AF197" i="2"/>
  <c r="AB197" i="2"/>
  <c r="AI197" i="2"/>
  <c r="AE197" i="2"/>
  <c r="AL197" i="2"/>
  <c r="AH197" i="2"/>
  <c r="AD197" i="2"/>
  <c r="AK197" i="2"/>
  <c r="AG197" i="2"/>
  <c r="AC197" i="2"/>
  <c r="AL201" i="2"/>
  <c r="AH201" i="2"/>
  <c r="AD201" i="2"/>
  <c r="AG201" i="2"/>
  <c r="AC201" i="2"/>
  <c r="AJ201" i="2"/>
  <c r="AF201" i="2"/>
  <c r="AK201" i="2" s="1"/>
  <c r="AB201" i="2"/>
  <c r="AI201" i="2"/>
  <c r="AE201" i="2"/>
  <c r="AJ205" i="2"/>
  <c r="AF205" i="2"/>
  <c r="AB205" i="2"/>
  <c r="AI205" i="2"/>
  <c r="AE205" i="2"/>
  <c r="AL205" i="2"/>
  <c r="AH205" i="2"/>
  <c r="AD205" i="2"/>
  <c r="AK205" i="2"/>
  <c r="AG205" i="2"/>
  <c r="AC205" i="2"/>
  <c r="AL209" i="2"/>
  <c r="AH209" i="2"/>
  <c r="AD209" i="2"/>
  <c r="AG209" i="2"/>
  <c r="AC209" i="2"/>
  <c r="AJ209" i="2"/>
  <c r="AF209" i="2"/>
  <c r="AK209" i="2" s="1"/>
  <c r="AB209" i="2"/>
  <c r="AI209" i="2"/>
  <c r="AE209" i="2"/>
  <c r="AJ213" i="2"/>
  <c r="AF213" i="2"/>
  <c r="AB213" i="2"/>
  <c r="AI213" i="2"/>
  <c r="AE213" i="2"/>
  <c r="AL213" i="2"/>
  <c r="AH213" i="2"/>
  <c r="AD213" i="2"/>
  <c r="AK213" i="2"/>
  <c r="AG213" i="2"/>
  <c r="AC213" i="2"/>
  <c r="AL217" i="2"/>
  <c r="AH217" i="2"/>
  <c r="AG217" i="2"/>
  <c r="AC217" i="2"/>
  <c r="AJ217" i="2"/>
  <c r="AF217" i="2"/>
  <c r="AK217" i="2" s="1"/>
  <c r="AB217" i="2"/>
  <c r="AI217" i="2"/>
  <c r="AE217" i="2"/>
  <c r="AD217" i="2"/>
  <c r="AJ221" i="2"/>
  <c r="AF221" i="2"/>
  <c r="AB221" i="2"/>
  <c r="AI221" i="2"/>
  <c r="AE221" i="2"/>
  <c r="AL221" i="2"/>
  <c r="AH221" i="2"/>
  <c r="AD221" i="2"/>
  <c r="AK221" i="2"/>
  <c r="AG221" i="2"/>
  <c r="AC221" i="2"/>
  <c r="AL225" i="2"/>
  <c r="AH225" i="2"/>
  <c r="AD225" i="2"/>
  <c r="AG225" i="2"/>
  <c r="AC225" i="2"/>
  <c r="AJ225" i="2"/>
  <c r="AF225" i="2"/>
  <c r="AK225" i="2" s="1"/>
  <c r="AB225" i="2"/>
  <c r="AI225" i="2"/>
  <c r="AE225" i="2"/>
  <c r="AJ229" i="2"/>
  <c r="AF229" i="2"/>
  <c r="AB229" i="2"/>
  <c r="AI229" i="2"/>
  <c r="AE229" i="2"/>
  <c r="AL229" i="2"/>
  <c r="AH229" i="2"/>
  <c r="AD229" i="2"/>
  <c r="AK229" i="2"/>
  <c r="AG229" i="2"/>
  <c r="AC229" i="2"/>
  <c r="AL233" i="2"/>
  <c r="AH233" i="2"/>
  <c r="AD233" i="2"/>
  <c r="AG233" i="2"/>
  <c r="AC233" i="2"/>
  <c r="AJ233" i="2"/>
  <c r="AF233" i="2"/>
  <c r="AK233" i="2" s="1"/>
  <c r="AB233" i="2"/>
  <c r="AI233" i="2"/>
  <c r="AE233" i="2"/>
  <c r="AJ237" i="2"/>
  <c r="AF237" i="2"/>
  <c r="AB237" i="2"/>
  <c r="AI237" i="2"/>
  <c r="AE237" i="2"/>
  <c r="AL237" i="2"/>
  <c r="AH237" i="2"/>
  <c r="AD237" i="2"/>
  <c r="AK237" i="2"/>
  <c r="AG237" i="2"/>
  <c r="AC237" i="2"/>
  <c r="AL241" i="2"/>
  <c r="AH241" i="2"/>
  <c r="AD241" i="2"/>
  <c r="AG241" i="2"/>
  <c r="AC241" i="2"/>
  <c r="AJ241" i="2"/>
  <c r="AF241" i="2"/>
  <c r="AK241" i="2" s="1"/>
  <c r="AB241" i="2"/>
  <c r="AI241" i="2"/>
  <c r="AE241" i="2"/>
  <c r="AJ245" i="2"/>
  <c r="AF245" i="2"/>
  <c r="AB245" i="2"/>
  <c r="AI245" i="2"/>
  <c r="AE245" i="2"/>
  <c r="AL245" i="2"/>
  <c r="AH245" i="2"/>
  <c r="AD245" i="2"/>
  <c r="AK245" i="2"/>
  <c r="AG245" i="2"/>
  <c r="AC245" i="2"/>
  <c r="AL249" i="2"/>
  <c r="AH249" i="2"/>
  <c r="AD249" i="2"/>
  <c r="AG249" i="2"/>
  <c r="AC249" i="2"/>
  <c r="AJ249" i="2"/>
  <c r="AF249" i="2"/>
  <c r="AK249" i="2" s="1"/>
  <c r="AB249" i="2"/>
  <c r="AI249" i="2"/>
  <c r="AE249" i="2"/>
  <c r="AJ253" i="2"/>
  <c r="AF253" i="2"/>
  <c r="AB253" i="2"/>
  <c r="AI253" i="2"/>
  <c r="AE253" i="2"/>
  <c r="AL253" i="2"/>
  <c r="AH253" i="2"/>
  <c r="AD253" i="2"/>
  <c r="AK253" i="2"/>
  <c r="AG253" i="2"/>
  <c r="AC253" i="2"/>
  <c r="AL257" i="2"/>
  <c r="AH257" i="2"/>
  <c r="AD257" i="2"/>
  <c r="AG257" i="2"/>
  <c r="AC257" i="2"/>
  <c r="AJ257" i="2"/>
  <c r="AF257" i="2"/>
  <c r="AK257" i="2" s="1"/>
  <c r="AB257" i="2"/>
  <c r="AI257" i="2"/>
  <c r="AE257" i="2"/>
  <c r="AJ261" i="2"/>
  <c r="AF261" i="2"/>
  <c r="AB261" i="2"/>
  <c r="AI261" i="2"/>
  <c r="AE261" i="2"/>
  <c r="AL261" i="2"/>
  <c r="AH261" i="2"/>
  <c r="AD261" i="2"/>
  <c r="AK261" i="2"/>
  <c r="AG261" i="2"/>
  <c r="AC261" i="2"/>
  <c r="AL265" i="2"/>
  <c r="AH265" i="2"/>
  <c r="AD265" i="2"/>
  <c r="AG265" i="2"/>
  <c r="AC265" i="2"/>
  <c r="AJ265" i="2"/>
  <c r="AF265" i="2"/>
  <c r="AK265" i="2" s="1"/>
  <c r="AB265" i="2"/>
  <c r="AI265" i="2"/>
  <c r="AE265" i="2"/>
  <c r="AJ269" i="2"/>
  <c r="AF269" i="2"/>
  <c r="AB269" i="2"/>
  <c r="AI269" i="2"/>
  <c r="AE269" i="2"/>
  <c r="AL269" i="2"/>
  <c r="AH269" i="2"/>
  <c r="AD269" i="2"/>
  <c r="AK269" i="2"/>
  <c r="AG269" i="2"/>
  <c r="AC269" i="2"/>
  <c r="AL273" i="2"/>
  <c r="AH273" i="2"/>
  <c r="AD273" i="2"/>
  <c r="AK273" i="2"/>
  <c r="AF273" i="2"/>
  <c r="AJ273" i="2"/>
  <c r="AE273" i="2"/>
  <c r="AI273" i="2"/>
  <c r="AC273" i="2"/>
  <c r="AG273" i="2"/>
  <c r="AB273" i="2"/>
  <c r="AJ277" i="2"/>
  <c r="AF277" i="2"/>
  <c r="AB277" i="2"/>
  <c r="AL277" i="2"/>
  <c r="AG277" i="2"/>
  <c r="AK277" i="2"/>
  <c r="AE277" i="2"/>
  <c r="AI277" i="2"/>
  <c r="AD277" i="2"/>
  <c r="AH277" i="2"/>
  <c r="AC277" i="2"/>
  <c r="AG281" i="2"/>
  <c r="AC281" i="2"/>
  <c r="AL281" i="2"/>
  <c r="AH281" i="2"/>
  <c r="AD281" i="2"/>
  <c r="AF281" i="2"/>
  <c r="AK281" i="2" s="1"/>
  <c r="AE281" i="2"/>
  <c r="AJ281" i="2"/>
  <c r="AB281" i="2"/>
  <c r="AI281" i="2"/>
  <c r="AI285" i="2"/>
  <c r="AE285" i="2"/>
  <c r="AL285" i="2"/>
  <c r="AH285" i="2"/>
  <c r="AJ285" i="2"/>
  <c r="AF285" i="2"/>
  <c r="AK285" i="2" s="1"/>
  <c r="AB285" i="2"/>
  <c r="AD285" i="2"/>
  <c r="AC285" i="2"/>
  <c r="AG285" i="2"/>
  <c r="AG289" i="2"/>
  <c r="AC289" i="2"/>
  <c r="AJ289" i="2"/>
  <c r="AF289" i="2"/>
  <c r="AK289" i="2" s="1"/>
  <c r="AB289" i="2"/>
  <c r="AI289" i="2"/>
  <c r="AE289" i="2"/>
  <c r="AL289" i="2"/>
  <c r="AH289" i="2"/>
  <c r="AD289" i="2"/>
  <c r="AI293" i="2"/>
  <c r="AE293" i="2"/>
  <c r="AL293" i="2"/>
  <c r="AH293" i="2"/>
  <c r="AD293" i="2"/>
  <c r="AG293" i="2"/>
  <c r="AC293" i="2"/>
  <c r="AJ293" i="2"/>
  <c r="AF293" i="2"/>
  <c r="AK293" i="2" s="1"/>
  <c r="AB293" i="2"/>
  <c r="AG297" i="2"/>
  <c r="AC297" i="2"/>
  <c r="AJ297" i="2"/>
  <c r="AF297" i="2"/>
  <c r="AK297" i="2" s="1"/>
  <c r="AB297" i="2"/>
  <c r="AI297" i="2"/>
  <c r="AE297" i="2"/>
  <c r="AL297" i="2"/>
  <c r="AH297" i="2"/>
  <c r="AD297" i="2"/>
  <c r="AI301" i="2"/>
  <c r="AE301" i="2"/>
  <c r="AL301" i="2"/>
  <c r="AH301" i="2"/>
  <c r="AD301" i="2"/>
  <c r="AG301" i="2"/>
  <c r="AC301" i="2"/>
  <c r="AJ301" i="2"/>
  <c r="AF301" i="2"/>
  <c r="AK301" i="2" s="1"/>
  <c r="AB301" i="2"/>
  <c r="AG305" i="2"/>
  <c r="AC305" i="2"/>
  <c r="AJ305" i="2"/>
  <c r="AF305" i="2"/>
  <c r="AK305" i="2" s="1"/>
  <c r="AB305" i="2"/>
  <c r="AI305" i="2"/>
  <c r="AE305" i="2"/>
  <c r="AL305" i="2"/>
  <c r="AH305" i="2"/>
  <c r="AD305" i="2"/>
  <c r="AI309" i="2"/>
  <c r="AE309" i="2"/>
  <c r="AL309" i="2"/>
  <c r="AH309" i="2"/>
  <c r="AD309" i="2"/>
  <c r="AG309" i="2"/>
  <c r="AC309" i="2"/>
  <c r="AJ309" i="2"/>
  <c r="AF309" i="2"/>
  <c r="AK309" i="2" s="1"/>
  <c r="AB309" i="2"/>
  <c r="AG313" i="2"/>
  <c r="AC313" i="2"/>
  <c r="AJ313" i="2"/>
  <c r="AF313" i="2"/>
  <c r="AK313" i="2" s="1"/>
  <c r="AB313" i="2"/>
  <c r="AI313" i="2"/>
  <c r="AE313" i="2"/>
  <c r="AL313" i="2"/>
  <c r="AH313" i="2"/>
  <c r="AD313" i="2"/>
  <c r="AI317" i="2"/>
  <c r="AE317" i="2"/>
  <c r="AL317" i="2"/>
  <c r="AH317" i="2"/>
  <c r="AD317" i="2"/>
  <c r="AG317" i="2"/>
  <c r="AC317" i="2"/>
  <c r="AJ317" i="2"/>
  <c r="AF317" i="2"/>
  <c r="AK317" i="2" s="1"/>
  <c r="AB317" i="2"/>
  <c r="AG321" i="2"/>
  <c r="AC321" i="2"/>
  <c r="AJ321" i="2"/>
  <c r="AF321" i="2"/>
  <c r="AK321" i="2" s="1"/>
  <c r="AB321" i="2"/>
  <c r="AI321" i="2"/>
  <c r="AE321" i="2"/>
  <c r="AL321" i="2"/>
  <c r="AH321" i="2"/>
  <c r="AD321" i="2"/>
  <c r="AI325" i="2"/>
  <c r="AE325" i="2"/>
  <c r="AL325" i="2"/>
  <c r="AH325" i="2"/>
  <c r="AD325" i="2"/>
  <c r="AG325" i="2"/>
  <c r="AC325" i="2"/>
  <c r="AJ325" i="2"/>
  <c r="AF325" i="2"/>
  <c r="AK325" i="2" s="1"/>
  <c r="AB325" i="2"/>
  <c r="AI329" i="2"/>
  <c r="AE329" i="2"/>
  <c r="AH329" i="2"/>
  <c r="AC329" i="2"/>
  <c r="AL329" i="2"/>
  <c r="AG329" i="2"/>
  <c r="AB329" i="2"/>
  <c r="AK329" i="2"/>
  <c r="AF329" i="2"/>
  <c r="AJ329" i="2"/>
  <c r="AD329" i="2"/>
  <c r="AG333" i="2"/>
  <c r="AC333" i="2"/>
  <c r="AI333" i="2"/>
  <c r="AD333" i="2"/>
  <c r="AH333" i="2"/>
  <c r="AB333" i="2"/>
  <c r="AL333" i="2"/>
  <c r="AF333" i="2"/>
  <c r="AK333" i="2" s="1"/>
  <c r="AJ333" i="2"/>
  <c r="AE333" i="2"/>
  <c r="AI337" i="2"/>
  <c r="AE337" i="2"/>
  <c r="AJ337" i="2"/>
  <c r="AD337" i="2"/>
  <c r="AH337" i="2"/>
  <c r="AC337" i="2"/>
  <c r="AL337" i="2"/>
  <c r="AG337" i="2"/>
  <c r="AB337" i="2"/>
  <c r="AK337" i="2"/>
  <c r="AF337" i="2"/>
  <c r="AL341" i="2"/>
  <c r="AH341" i="2"/>
  <c r="AD341" i="2"/>
  <c r="AG341" i="2"/>
  <c r="AC341" i="2"/>
  <c r="AJ341" i="2"/>
  <c r="AF341" i="2"/>
  <c r="AK341" i="2" s="1"/>
  <c r="AB341" i="2"/>
  <c r="AI341" i="2"/>
  <c r="AE341" i="2"/>
  <c r="AJ345" i="2"/>
  <c r="AF345" i="2"/>
  <c r="AK345" i="2" s="1"/>
  <c r="AB345" i="2"/>
  <c r="AI345" i="2"/>
  <c r="AE345" i="2"/>
  <c r="AL345" i="2"/>
  <c r="AH345" i="2"/>
  <c r="AD345" i="2"/>
  <c r="AG345" i="2"/>
  <c r="AC345" i="2"/>
  <c r="AL349" i="2"/>
  <c r="AH349" i="2"/>
  <c r="AD349" i="2"/>
  <c r="AG349" i="2"/>
  <c r="AC349" i="2"/>
  <c r="AJ349" i="2"/>
  <c r="AF349" i="2"/>
  <c r="AK349" i="2" s="1"/>
  <c r="AB349" i="2"/>
  <c r="AI349" i="2"/>
  <c r="AE349" i="2"/>
  <c r="AJ353" i="2"/>
  <c r="AF353" i="2"/>
  <c r="AK353" i="2" s="1"/>
  <c r="AB353" i="2"/>
  <c r="AI353" i="2"/>
  <c r="AE353" i="2"/>
  <c r="AL353" i="2"/>
  <c r="AH353" i="2"/>
  <c r="AD353" i="2"/>
  <c r="AG353" i="2"/>
  <c r="AC353" i="2"/>
  <c r="AL357" i="2"/>
  <c r="AH357" i="2"/>
  <c r="AD357" i="2"/>
  <c r="AG357" i="2"/>
  <c r="AC357" i="2"/>
  <c r="AJ357" i="2"/>
  <c r="AF357" i="2"/>
  <c r="AK357" i="2" s="1"/>
  <c r="AB357" i="2"/>
  <c r="AI357" i="2"/>
  <c r="AE357" i="2"/>
  <c r="AJ361" i="2"/>
  <c r="AF361" i="2"/>
  <c r="AK361" i="2" s="1"/>
  <c r="AB361" i="2"/>
  <c r="AI361" i="2"/>
  <c r="AE361" i="2"/>
  <c r="AL361" i="2"/>
  <c r="AH361" i="2"/>
  <c r="AD361" i="2"/>
  <c r="AG361" i="2"/>
  <c r="AC361" i="2"/>
  <c r="AL365" i="2"/>
  <c r="AH365" i="2"/>
  <c r="AD365" i="2"/>
  <c r="AG365" i="2"/>
  <c r="AC365" i="2"/>
  <c r="AJ365" i="2"/>
  <c r="AF365" i="2"/>
  <c r="AK365" i="2" s="1"/>
  <c r="AB365" i="2"/>
  <c r="AI365" i="2"/>
  <c r="AE365" i="2"/>
  <c r="AJ369" i="2"/>
  <c r="AF369" i="2"/>
  <c r="AK369" i="2" s="1"/>
  <c r="AB369" i="2"/>
  <c r="AI369" i="2"/>
  <c r="AE369" i="2"/>
  <c r="AL369" i="2"/>
  <c r="AH369" i="2"/>
  <c r="AD369" i="2"/>
  <c r="AG369" i="2"/>
  <c r="AC369" i="2"/>
  <c r="AL373" i="2"/>
  <c r="AH373" i="2"/>
  <c r="AD373" i="2"/>
  <c r="AG373" i="2"/>
  <c r="AC373" i="2"/>
  <c r="AJ373" i="2"/>
  <c r="AF373" i="2"/>
  <c r="AK373" i="2" s="1"/>
  <c r="AB373" i="2"/>
  <c r="AI373" i="2"/>
  <c r="AE373" i="2"/>
  <c r="AG377" i="2"/>
  <c r="AC377" i="2"/>
  <c r="AJ377" i="2"/>
  <c r="AF377" i="2"/>
  <c r="AK377" i="2" s="1"/>
  <c r="AB377" i="2"/>
  <c r="AI377" i="2"/>
  <c r="AE377" i="2"/>
  <c r="AL377" i="2"/>
  <c r="AH377" i="2"/>
  <c r="AD377" i="2"/>
  <c r="AI381" i="2"/>
  <c r="AE381" i="2"/>
  <c r="AL381" i="2"/>
  <c r="AH381" i="2"/>
  <c r="AD381" i="2"/>
  <c r="AG381" i="2"/>
  <c r="AC381" i="2"/>
  <c r="AJ381" i="2"/>
  <c r="AF381" i="2"/>
  <c r="AK381" i="2" s="1"/>
  <c r="AB381" i="2"/>
  <c r="AG385" i="2"/>
  <c r="AC385" i="2"/>
  <c r="AJ385" i="2"/>
  <c r="AF385" i="2"/>
  <c r="AK385" i="2" s="1"/>
  <c r="AB385" i="2"/>
  <c r="AI385" i="2"/>
  <c r="AE385" i="2"/>
  <c r="AL385" i="2"/>
  <c r="AH385" i="2"/>
  <c r="AD385" i="2"/>
  <c r="AI389" i="2"/>
  <c r="AE389" i="2"/>
  <c r="AL389" i="2"/>
  <c r="AH389" i="2"/>
  <c r="AD389" i="2"/>
  <c r="AG389" i="2"/>
  <c r="AC389" i="2"/>
  <c r="AJ389" i="2"/>
  <c r="AF389" i="2"/>
  <c r="AK389" i="2" s="1"/>
  <c r="AB389" i="2"/>
  <c r="AL393" i="2"/>
  <c r="AH393" i="2"/>
  <c r="AD393" i="2"/>
  <c r="AI393" i="2"/>
  <c r="AF393" i="2"/>
  <c r="AK393" i="2"/>
  <c r="AE393" i="2"/>
  <c r="AJ393" i="2"/>
  <c r="AC393" i="2"/>
  <c r="AG393" i="2"/>
  <c r="AB393" i="2"/>
  <c r="AJ397" i="2"/>
  <c r="AF397" i="2"/>
  <c r="AB397" i="2"/>
  <c r="AI397" i="2"/>
  <c r="AE397" i="2"/>
  <c r="AL397" i="2"/>
  <c r="AH397" i="2"/>
  <c r="AD397" i="2"/>
  <c r="AK397" i="2"/>
  <c r="AG397" i="2"/>
  <c r="AC397" i="2"/>
  <c r="AL401" i="2"/>
  <c r="AH401" i="2"/>
  <c r="AD401" i="2"/>
  <c r="AG401" i="2"/>
  <c r="AC401" i="2"/>
  <c r="AJ401" i="2"/>
  <c r="AF401" i="2"/>
  <c r="AK401" i="2" s="1"/>
  <c r="AB401" i="2"/>
  <c r="AI401" i="2"/>
  <c r="AE401" i="2"/>
  <c r="AJ405" i="2"/>
  <c r="AF405" i="2"/>
  <c r="AB405" i="2"/>
  <c r="AI405" i="2"/>
  <c r="AE405" i="2"/>
  <c r="AL405" i="2"/>
  <c r="AH405" i="2"/>
  <c r="AD405" i="2"/>
  <c r="AK405" i="2"/>
  <c r="AG405" i="2"/>
  <c r="AC405" i="2"/>
  <c r="AL409" i="2"/>
  <c r="AH409" i="2"/>
  <c r="AD409" i="2"/>
  <c r="AG409" i="2"/>
  <c r="AC409" i="2"/>
  <c r="AJ409" i="2"/>
  <c r="AF409" i="2"/>
  <c r="AK409" i="2" s="1"/>
  <c r="AB409" i="2"/>
  <c r="AI409" i="2"/>
  <c r="AE409" i="2"/>
  <c r="AJ413" i="2"/>
  <c r="AF413" i="2"/>
  <c r="AB413" i="2"/>
  <c r="AI413" i="2"/>
  <c r="AE413" i="2"/>
  <c r="AL413" i="2"/>
  <c r="AH413" i="2"/>
  <c r="AD413" i="2"/>
  <c r="AK413" i="2"/>
  <c r="AG413" i="2"/>
  <c r="AC413" i="2"/>
  <c r="AL417" i="2"/>
  <c r="AH417" i="2"/>
  <c r="AD417" i="2"/>
  <c r="AG417" i="2"/>
  <c r="AC417" i="2"/>
  <c r="AJ417" i="2"/>
  <c r="AF417" i="2"/>
  <c r="AK417" i="2" s="1"/>
  <c r="AB417" i="2"/>
  <c r="AI417" i="2"/>
  <c r="AE417" i="2"/>
  <c r="AJ421" i="2"/>
  <c r="AF421" i="2"/>
  <c r="AB421" i="2"/>
  <c r="AI421" i="2"/>
  <c r="AE421" i="2"/>
  <c r="AL421" i="2"/>
  <c r="AH421" i="2"/>
  <c r="AD421" i="2"/>
  <c r="AK421" i="2"/>
  <c r="AG421" i="2"/>
  <c r="AC421" i="2"/>
  <c r="AG425" i="2"/>
  <c r="AI425" i="2"/>
  <c r="AE425" i="2"/>
  <c r="AF425" i="2"/>
  <c r="AK425" i="2" s="1"/>
  <c r="AL425" i="2"/>
  <c r="AD425" i="2"/>
  <c r="AJ425" i="2"/>
  <c r="AC425" i="2"/>
  <c r="AH425" i="2"/>
  <c r="AB425" i="2"/>
  <c r="AI429" i="2"/>
  <c r="AE429" i="2"/>
  <c r="AG429" i="2"/>
  <c r="AC429" i="2"/>
  <c r="AL429" i="2"/>
  <c r="AD429" i="2"/>
  <c r="AJ429" i="2"/>
  <c r="AB429" i="2"/>
  <c r="AH429" i="2"/>
  <c r="AF429" i="2"/>
  <c r="AK429" i="2" s="1"/>
  <c r="AL433" i="2"/>
  <c r="AH433" i="2"/>
  <c r="AD433" i="2"/>
  <c r="AG433" i="2"/>
  <c r="AC433" i="2"/>
  <c r="AJ433" i="2"/>
  <c r="AF433" i="2"/>
  <c r="AK433" i="2" s="1"/>
  <c r="AB433" i="2"/>
  <c r="AI433" i="2"/>
  <c r="AE433" i="2"/>
  <c r="AJ437" i="2"/>
  <c r="AF437" i="2"/>
  <c r="AB437" i="2"/>
  <c r="AI437" i="2"/>
  <c r="AE437" i="2"/>
  <c r="AL437" i="2"/>
  <c r="AH437" i="2"/>
  <c r="AD437" i="2"/>
  <c r="AK437" i="2"/>
  <c r="AG437" i="2"/>
  <c r="AC437" i="2"/>
  <c r="AL441" i="2"/>
  <c r="AH441" i="2"/>
  <c r="AD441" i="2"/>
  <c r="AG441" i="2"/>
  <c r="AC441" i="2"/>
  <c r="AJ441" i="2"/>
  <c r="AF441" i="2"/>
  <c r="AK441" i="2" s="1"/>
  <c r="AB441" i="2"/>
  <c r="AI441" i="2"/>
  <c r="AE441" i="2"/>
  <c r="AJ445" i="2"/>
  <c r="AF445" i="2"/>
  <c r="AB445" i="2"/>
  <c r="AI445" i="2"/>
  <c r="AE445" i="2"/>
  <c r="AL445" i="2"/>
  <c r="AH445" i="2"/>
  <c r="AD445" i="2"/>
  <c r="AK445" i="2"/>
  <c r="AG445" i="2"/>
  <c r="AC445" i="2"/>
  <c r="AL449" i="2"/>
  <c r="AH449" i="2"/>
  <c r="AD449" i="2"/>
  <c r="AG449" i="2"/>
  <c r="AC449" i="2"/>
  <c r="AJ449" i="2"/>
  <c r="AF449" i="2"/>
  <c r="AK449" i="2" s="1"/>
  <c r="AB449" i="2"/>
  <c r="AI449" i="2"/>
  <c r="AE449" i="2"/>
  <c r="AJ453" i="2"/>
  <c r="AF453" i="2"/>
  <c r="AB453" i="2"/>
  <c r="AL453" i="2"/>
  <c r="AH453" i="2"/>
  <c r="AD453" i="2"/>
  <c r="AK453" i="2"/>
  <c r="AC453" i="2"/>
  <c r="AI453" i="2"/>
  <c r="AG453" i="2"/>
  <c r="AE453" i="2"/>
  <c r="AL457" i="2"/>
  <c r="AH457" i="2"/>
  <c r="AD457" i="2"/>
  <c r="AJ457" i="2"/>
  <c r="AF457" i="2"/>
  <c r="AB457" i="2"/>
  <c r="AI457" i="2"/>
  <c r="AG457" i="2"/>
  <c r="AE457" i="2"/>
  <c r="AK457" i="2"/>
  <c r="AC457" i="2"/>
  <c r="AJ461" i="2"/>
  <c r="AF461" i="2"/>
  <c r="AB461" i="2"/>
  <c r="AI461" i="2"/>
  <c r="AE461" i="2"/>
  <c r="AL461" i="2"/>
  <c r="AH461" i="2"/>
  <c r="AD461" i="2"/>
  <c r="AC461" i="2"/>
  <c r="AK461" i="2"/>
  <c r="AG461" i="2"/>
  <c r="AL465" i="2"/>
  <c r="AH465" i="2"/>
  <c r="AD465" i="2"/>
  <c r="AG465" i="2"/>
  <c r="AC465" i="2"/>
  <c r="AJ465" i="2"/>
  <c r="AF465" i="2"/>
  <c r="AK465" i="2" s="1"/>
  <c r="AB465" i="2"/>
  <c r="AI465" i="2"/>
  <c r="AE465" i="2"/>
  <c r="AJ469" i="2"/>
  <c r="AF469" i="2"/>
  <c r="AB469" i="2"/>
  <c r="AI469" i="2"/>
  <c r="AE469" i="2"/>
  <c r="AL469" i="2"/>
  <c r="AH469" i="2"/>
  <c r="AD469" i="2"/>
  <c r="AK469" i="2"/>
  <c r="AG469" i="2"/>
  <c r="AC469" i="2"/>
  <c r="AL473" i="2"/>
  <c r="AH473" i="2"/>
  <c r="AD473" i="2"/>
  <c r="AG473" i="2"/>
  <c r="AB473" i="2"/>
  <c r="AK473" i="2"/>
  <c r="AF473" i="2"/>
  <c r="AJ473" i="2"/>
  <c r="AE473" i="2"/>
  <c r="AI473" i="2"/>
  <c r="AC473" i="2"/>
  <c r="AJ477" i="2"/>
  <c r="AF477" i="2"/>
  <c r="AK477" i="2" s="1"/>
  <c r="AB477" i="2"/>
  <c r="AH477" i="2"/>
  <c r="AC477" i="2"/>
  <c r="AL477" i="2"/>
  <c r="AG477" i="2"/>
  <c r="AE477" i="2"/>
  <c r="AI477" i="2"/>
  <c r="AD477" i="2"/>
  <c r="AL481" i="2"/>
  <c r="AH481" i="2"/>
  <c r="AD481" i="2"/>
  <c r="AI481" i="2"/>
  <c r="AC481" i="2"/>
  <c r="AG481" i="2"/>
  <c r="AB481" i="2"/>
  <c r="AK481" i="2"/>
  <c r="AF481" i="2"/>
  <c r="AJ481" i="2"/>
  <c r="AE481" i="2"/>
  <c r="AJ485" i="2"/>
  <c r="AF485" i="2"/>
  <c r="AB485" i="2"/>
  <c r="AI485" i="2"/>
  <c r="AE485" i="2"/>
  <c r="AK485" i="2"/>
  <c r="AC485" i="2"/>
  <c r="AH485" i="2"/>
  <c r="AG485" i="2"/>
  <c r="AL485" i="2"/>
  <c r="AD485" i="2"/>
  <c r="AL489" i="2"/>
  <c r="AH489" i="2"/>
  <c r="AD489" i="2"/>
  <c r="AG489" i="2"/>
  <c r="AC489" i="2"/>
  <c r="AJ489" i="2"/>
  <c r="AF489" i="2"/>
  <c r="AK489" i="2" s="1"/>
  <c r="AB489" i="2"/>
  <c r="AI489" i="2"/>
  <c r="AE489" i="2"/>
  <c r="AJ493" i="2"/>
  <c r="AF493" i="2"/>
  <c r="AB493" i="2"/>
  <c r="AI493" i="2"/>
  <c r="AE493" i="2"/>
  <c r="AL493" i="2"/>
  <c r="AH493" i="2"/>
  <c r="AD493" i="2"/>
  <c r="AK493" i="2"/>
  <c r="AG493" i="2"/>
  <c r="AC493" i="2"/>
  <c r="AL497" i="2"/>
  <c r="AH497" i="2"/>
  <c r="AD497" i="2"/>
  <c r="AG497" i="2"/>
  <c r="AC497" i="2"/>
  <c r="AJ497" i="2"/>
  <c r="AF497" i="2"/>
  <c r="AK497" i="2" s="1"/>
  <c r="AB497" i="2"/>
  <c r="AI497" i="2"/>
  <c r="AE497" i="2"/>
  <c r="AJ501" i="2"/>
  <c r="AF501" i="2"/>
  <c r="AB501" i="2"/>
  <c r="AI501" i="2"/>
  <c r="AE501" i="2"/>
  <c r="AL501" i="2"/>
  <c r="AH501" i="2"/>
  <c r="AD501" i="2"/>
  <c r="AK501" i="2"/>
  <c r="AG501" i="2"/>
  <c r="AC501" i="2"/>
  <c r="AB4" i="2"/>
  <c r="AF4" i="2"/>
  <c r="AK4" i="2" s="1"/>
  <c r="AJ4" i="2"/>
  <c r="AD5" i="2"/>
  <c r="AH5" i="2"/>
  <c r="AL5" i="2"/>
  <c r="AE6" i="2"/>
  <c r="AI6" i="2"/>
  <c r="AC7" i="2"/>
  <c r="AG7" i="2"/>
  <c r="AK7" i="2"/>
  <c r="AD8" i="2"/>
  <c r="AH8" i="2"/>
  <c r="AB9" i="2"/>
  <c r="AF9" i="2"/>
  <c r="AJ9" i="2"/>
  <c r="AC10" i="2"/>
  <c r="AG10" i="2"/>
  <c r="AL10" i="2"/>
  <c r="AE11" i="2"/>
  <c r="AI11" i="2"/>
  <c r="AB12" i="2"/>
  <c r="AF12" i="2"/>
  <c r="AK12" i="2" s="1"/>
  <c r="AJ12" i="2"/>
  <c r="AD13" i="2"/>
  <c r="AH13" i="2"/>
  <c r="AL13" i="2"/>
  <c r="AE14" i="2"/>
  <c r="AI14" i="2"/>
  <c r="AC15" i="2"/>
  <c r="AG15" i="2"/>
  <c r="AK15" i="2"/>
  <c r="AD16" i="2"/>
  <c r="AH16" i="2"/>
  <c r="AB17" i="2"/>
  <c r="AF17" i="2"/>
  <c r="AJ17" i="2"/>
  <c r="AC18" i="2"/>
  <c r="AG18" i="2"/>
  <c r="AL18" i="2"/>
  <c r="AE19" i="2"/>
  <c r="AI19" i="2"/>
  <c r="AB20" i="2"/>
  <c r="AF20" i="2"/>
  <c r="AK20" i="2" s="1"/>
  <c r="AL20" i="2"/>
  <c r="AF21" i="2"/>
  <c r="AK21" i="2" s="1"/>
  <c r="AI22" i="2"/>
  <c r="AE22" i="2"/>
  <c r="AJ22" i="2"/>
  <c r="AF22" i="2"/>
  <c r="AK22" i="2" s="1"/>
  <c r="AB22" i="2"/>
  <c r="AL26" i="2"/>
  <c r="AG26" i="2"/>
  <c r="AC26" i="2"/>
  <c r="AJ26" i="2"/>
  <c r="AF26" i="2"/>
  <c r="AK26" i="2" s="1"/>
  <c r="AB26" i="2"/>
  <c r="AI26" i="2"/>
  <c r="AE26" i="2"/>
  <c r="AH26" i="2"/>
  <c r="AD26" i="2"/>
  <c r="AI30" i="2"/>
  <c r="AE30" i="2"/>
  <c r="AH30" i="2"/>
  <c r="AD30" i="2"/>
  <c r="AL30" i="2"/>
  <c r="AG30" i="2"/>
  <c r="AC30" i="2"/>
  <c r="AJ30" i="2"/>
  <c r="AF30" i="2"/>
  <c r="AK30" i="2" s="1"/>
  <c r="AB30" i="2"/>
  <c r="AL34" i="2"/>
  <c r="AG34" i="2"/>
  <c r="AC34" i="2"/>
  <c r="AJ34" i="2"/>
  <c r="AF34" i="2"/>
  <c r="AK34" i="2" s="1"/>
  <c r="AB34" i="2"/>
  <c r="AI34" i="2"/>
  <c r="AE34" i="2"/>
  <c r="AH34" i="2"/>
  <c r="AD34" i="2"/>
  <c r="AI38" i="2"/>
  <c r="AE38" i="2"/>
  <c r="AH38" i="2"/>
  <c r="AD38" i="2"/>
  <c r="AL38" i="2"/>
  <c r="AG38" i="2"/>
  <c r="AC38" i="2"/>
  <c r="AJ38" i="2"/>
  <c r="AF38" i="2"/>
  <c r="AK38" i="2" s="1"/>
  <c r="AB38" i="2"/>
  <c r="AL42" i="2"/>
  <c r="AG42" i="2"/>
  <c r="AC42" i="2"/>
  <c r="AJ42" i="2"/>
  <c r="AF42" i="2"/>
  <c r="AK42" i="2" s="1"/>
  <c r="AB42" i="2"/>
  <c r="AI42" i="2"/>
  <c r="AE42" i="2"/>
  <c r="AH42" i="2"/>
  <c r="AD42" i="2"/>
  <c r="AI46" i="2"/>
  <c r="AE46" i="2"/>
  <c r="AH46" i="2"/>
  <c r="AD46" i="2"/>
  <c r="AL46" i="2"/>
  <c r="AG46" i="2"/>
  <c r="AC46" i="2"/>
  <c r="AJ46" i="2"/>
  <c r="AF46" i="2"/>
  <c r="AK46" i="2" s="1"/>
  <c r="AB46" i="2"/>
  <c r="AL50" i="2"/>
  <c r="AG50" i="2"/>
  <c r="AC50" i="2"/>
  <c r="AJ50" i="2"/>
  <c r="AF50" i="2"/>
  <c r="AK50" i="2" s="1"/>
  <c r="AB50" i="2"/>
  <c r="AI50" i="2"/>
  <c r="AE50" i="2"/>
  <c r="AH50" i="2"/>
  <c r="AD50" i="2"/>
  <c r="AI54" i="2"/>
  <c r="AE54" i="2"/>
  <c r="AH54" i="2"/>
  <c r="AD54" i="2"/>
  <c r="AL54" i="2"/>
  <c r="AG54" i="2"/>
  <c r="AC54" i="2"/>
  <c r="AJ54" i="2"/>
  <c r="AF54" i="2"/>
  <c r="AK54" i="2" s="1"/>
  <c r="AB54" i="2"/>
  <c r="AL58" i="2"/>
  <c r="AG58" i="2"/>
  <c r="AC58" i="2"/>
  <c r="AJ58" i="2"/>
  <c r="AF58" i="2"/>
  <c r="AK58" i="2" s="1"/>
  <c r="AB58" i="2"/>
  <c r="AI58" i="2"/>
  <c r="AE58" i="2"/>
  <c r="AH58" i="2"/>
  <c r="AD58" i="2"/>
  <c r="AI62" i="2"/>
  <c r="AE62" i="2"/>
  <c r="AH62" i="2"/>
  <c r="AD62" i="2"/>
  <c r="AL62" i="2"/>
  <c r="AG62" i="2"/>
  <c r="AC62" i="2"/>
  <c r="AJ62" i="2"/>
  <c r="AF62" i="2"/>
  <c r="AK62" i="2" s="1"/>
  <c r="AB62" i="2"/>
  <c r="AL66" i="2"/>
  <c r="AG66" i="2"/>
  <c r="AC66" i="2"/>
  <c r="AJ66" i="2"/>
  <c r="AF66" i="2"/>
  <c r="AK66" i="2" s="1"/>
  <c r="AB66" i="2"/>
  <c r="AI66" i="2"/>
  <c r="AE66" i="2"/>
  <c r="AH66" i="2"/>
  <c r="AD66" i="2"/>
  <c r="AI70" i="2"/>
  <c r="AE70" i="2"/>
  <c r="AH70" i="2"/>
  <c r="AD70" i="2"/>
  <c r="AL70" i="2"/>
  <c r="AG70" i="2"/>
  <c r="AC70" i="2"/>
  <c r="AJ70" i="2"/>
  <c r="AF70" i="2"/>
  <c r="AK70" i="2" s="1"/>
  <c r="AB70" i="2"/>
  <c r="AL74" i="2"/>
  <c r="AG74" i="2"/>
  <c r="AC74" i="2"/>
  <c r="AJ74" i="2"/>
  <c r="AF74" i="2"/>
  <c r="AK74" i="2" s="1"/>
  <c r="AB74" i="2"/>
  <c r="AI74" i="2"/>
  <c r="AE74" i="2"/>
  <c r="AH74" i="2"/>
  <c r="AD74" i="2"/>
  <c r="AI78" i="2"/>
  <c r="AE78" i="2"/>
  <c r="AH78" i="2"/>
  <c r="AD78" i="2"/>
  <c r="AL78" i="2"/>
  <c r="AG78" i="2"/>
  <c r="AC78" i="2"/>
  <c r="AJ78" i="2"/>
  <c r="AF78" i="2"/>
  <c r="AK78" i="2" s="1"/>
  <c r="AB78" i="2"/>
  <c r="AL82" i="2"/>
  <c r="AG82" i="2"/>
  <c r="AC82" i="2"/>
  <c r="AJ82" i="2"/>
  <c r="AF82" i="2"/>
  <c r="AK82" i="2" s="1"/>
  <c r="AB82" i="2"/>
  <c r="AI82" i="2"/>
  <c r="AE82" i="2"/>
  <c r="AH82" i="2"/>
  <c r="AD82" i="2"/>
  <c r="AI86" i="2"/>
  <c r="AE86" i="2"/>
  <c r="AH86" i="2"/>
  <c r="AD86" i="2"/>
  <c r="AL86" i="2"/>
  <c r="AG86" i="2"/>
  <c r="AC86" i="2"/>
  <c r="AJ86" i="2"/>
  <c r="AF86" i="2"/>
  <c r="AK86" i="2" s="1"/>
  <c r="AB86" i="2"/>
  <c r="AL90" i="2"/>
  <c r="AG90" i="2"/>
  <c r="AC90" i="2"/>
  <c r="AJ90" i="2"/>
  <c r="AF90" i="2"/>
  <c r="AK90" i="2" s="1"/>
  <c r="AB90" i="2"/>
  <c r="AI90" i="2"/>
  <c r="AE90" i="2"/>
  <c r="AH90" i="2"/>
  <c r="AD90" i="2"/>
  <c r="AI94" i="2"/>
  <c r="AE94" i="2"/>
  <c r="AH94" i="2"/>
  <c r="AD94" i="2"/>
  <c r="AL94" i="2"/>
  <c r="AG94" i="2"/>
  <c r="AC94" i="2"/>
  <c r="AJ94" i="2"/>
  <c r="AF94" i="2"/>
  <c r="AK94" i="2" s="1"/>
  <c r="AB94" i="2"/>
  <c r="AL98" i="2"/>
  <c r="AG98" i="2"/>
  <c r="AC98" i="2"/>
  <c r="AJ98" i="2"/>
  <c r="AF98" i="2"/>
  <c r="AK98" i="2" s="1"/>
  <c r="AB98" i="2"/>
  <c r="AI98" i="2"/>
  <c r="AE98" i="2"/>
  <c r="AH98" i="2"/>
  <c r="AD98" i="2"/>
  <c r="AI102" i="2"/>
  <c r="AE102" i="2"/>
  <c r="AH102" i="2"/>
  <c r="AD102" i="2"/>
  <c r="AL102" i="2"/>
  <c r="AG102" i="2"/>
  <c r="AC102" i="2"/>
  <c r="AJ102" i="2"/>
  <c r="AF102" i="2"/>
  <c r="AK102" i="2" s="1"/>
  <c r="AB102" i="2"/>
  <c r="AL106" i="2"/>
  <c r="AG106" i="2"/>
  <c r="AC106" i="2"/>
  <c r="AJ106" i="2"/>
  <c r="AF106" i="2"/>
  <c r="AK106" i="2" s="1"/>
  <c r="AB106" i="2"/>
  <c r="AI106" i="2"/>
  <c r="AE106" i="2"/>
  <c r="AH106" i="2"/>
  <c r="AD106" i="2"/>
  <c r="AI110" i="2"/>
  <c r="AE110" i="2"/>
  <c r="AH110" i="2"/>
  <c r="AD110" i="2"/>
  <c r="AL110" i="2"/>
  <c r="AG110" i="2"/>
  <c r="AC110" i="2"/>
  <c r="AJ110" i="2"/>
  <c r="AF110" i="2"/>
  <c r="AK110" i="2" s="1"/>
  <c r="AB110" i="2"/>
  <c r="AL114" i="2"/>
  <c r="AG114" i="2"/>
  <c r="AC114" i="2"/>
  <c r="AJ114" i="2"/>
  <c r="AF114" i="2"/>
  <c r="AK114" i="2" s="1"/>
  <c r="AB114" i="2"/>
  <c r="AI114" i="2"/>
  <c r="AE114" i="2"/>
  <c r="AH114" i="2"/>
  <c r="AD114" i="2"/>
  <c r="AI118" i="2"/>
  <c r="AE118" i="2"/>
  <c r="AH118" i="2"/>
  <c r="AD118" i="2"/>
  <c r="AL118" i="2"/>
  <c r="AG118" i="2"/>
  <c r="AC118" i="2"/>
  <c r="AJ118" i="2"/>
  <c r="AF118" i="2"/>
  <c r="AK118" i="2" s="1"/>
  <c r="AB118" i="2"/>
  <c r="AL122" i="2"/>
  <c r="AG122" i="2"/>
  <c r="AC122" i="2"/>
  <c r="AJ122" i="2"/>
  <c r="AF122" i="2"/>
  <c r="AK122" i="2" s="1"/>
  <c r="AB122" i="2"/>
  <c r="AI122" i="2"/>
  <c r="AE122" i="2"/>
  <c r="AH122" i="2"/>
  <c r="AD122" i="2"/>
  <c r="AI126" i="2"/>
  <c r="AE126" i="2"/>
  <c r="AH126" i="2"/>
  <c r="AD126" i="2"/>
  <c r="AL126" i="2"/>
  <c r="AG126" i="2"/>
  <c r="AC126" i="2"/>
  <c r="AJ126" i="2"/>
  <c r="AF126" i="2"/>
  <c r="AK126" i="2" s="1"/>
  <c r="AB126" i="2"/>
  <c r="AL130" i="2"/>
  <c r="AG130" i="2"/>
  <c r="AC130" i="2"/>
  <c r="AJ130" i="2"/>
  <c r="AF130" i="2"/>
  <c r="AK130" i="2" s="1"/>
  <c r="AB130" i="2"/>
  <c r="AI130" i="2"/>
  <c r="AE130" i="2"/>
  <c r="AH130" i="2"/>
  <c r="AD130" i="2"/>
  <c r="AI134" i="2"/>
  <c r="AE134" i="2"/>
  <c r="AH134" i="2"/>
  <c r="AD134" i="2"/>
  <c r="AL134" i="2"/>
  <c r="AG134" i="2"/>
  <c r="AC134" i="2"/>
  <c r="AJ134" i="2"/>
  <c r="AF134" i="2"/>
  <c r="AK134" i="2" s="1"/>
  <c r="AB134" i="2"/>
  <c r="AL138" i="2"/>
  <c r="AG138" i="2"/>
  <c r="AC138" i="2"/>
  <c r="AJ138" i="2"/>
  <c r="AF138" i="2"/>
  <c r="AK138" i="2" s="1"/>
  <c r="AB138" i="2"/>
  <c r="AI138" i="2"/>
  <c r="AE138" i="2"/>
  <c r="AH138" i="2"/>
  <c r="AD138" i="2"/>
  <c r="AI142" i="2"/>
  <c r="AE142" i="2"/>
  <c r="AH142" i="2"/>
  <c r="AD142" i="2"/>
  <c r="AL142" i="2"/>
  <c r="AG142" i="2"/>
  <c r="AC142" i="2"/>
  <c r="AJ142" i="2"/>
  <c r="AF142" i="2"/>
  <c r="AK142" i="2" s="1"/>
  <c r="AB142" i="2"/>
  <c r="AL146" i="2"/>
  <c r="AG146" i="2"/>
  <c r="AC146" i="2"/>
  <c r="AJ146" i="2"/>
  <c r="AF146" i="2"/>
  <c r="AK146" i="2" s="1"/>
  <c r="AB146" i="2"/>
  <c r="AI146" i="2"/>
  <c r="AE146" i="2"/>
  <c r="AH146" i="2"/>
  <c r="AD146" i="2"/>
  <c r="AJ150" i="2"/>
  <c r="AF150" i="2"/>
  <c r="AK150" i="2" s="1"/>
  <c r="AB150" i="2"/>
  <c r="AI150" i="2"/>
  <c r="AE150" i="2"/>
  <c r="AD150" i="2"/>
  <c r="AL150" i="2"/>
  <c r="AC150" i="2"/>
  <c r="AH150" i="2"/>
  <c r="AG150" i="2"/>
  <c r="AI154" i="2"/>
  <c r="AE154" i="2"/>
  <c r="AH154" i="2"/>
  <c r="AD154" i="2"/>
  <c r="AL154" i="2"/>
  <c r="AG154" i="2"/>
  <c r="AC154" i="2"/>
  <c r="AJ154" i="2"/>
  <c r="AF154" i="2"/>
  <c r="AK154" i="2" s="1"/>
  <c r="AB154" i="2"/>
  <c r="AL158" i="2"/>
  <c r="AG158" i="2"/>
  <c r="AC158" i="2"/>
  <c r="AJ158" i="2"/>
  <c r="AF158" i="2"/>
  <c r="AK158" i="2" s="1"/>
  <c r="AB158" i="2"/>
  <c r="AI158" i="2"/>
  <c r="AE158" i="2"/>
  <c r="AH158" i="2"/>
  <c r="AD158" i="2"/>
  <c r="AI162" i="2"/>
  <c r="AE162" i="2"/>
  <c r="AH162" i="2"/>
  <c r="AD162" i="2"/>
  <c r="AL162" i="2"/>
  <c r="AG162" i="2"/>
  <c r="AC162" i="2"/>
  <c r="AJ162" i="2"/>
  <c r="AF162" i="2"/>
  <c r="AK162" i="2" s="1"/>
  <c r="AB162" i="2"/>
  <c r="AL166" i="2"/>
  <c r="AG166" i="2"/>
  <c r="AC166" i="2"/>
  <c r="AJ166" i="2"/>
  <c r="AF166" i="2"/>
  <c r="AK166" i="2" s="1"/>
  <c r="AB166" i="2"/>
  <c r="AI166" i="2"/>
  <c r="AE166" i="2"/>
  <c r="AH166" i="2"/>
  <c r="AD166" i="2"/>
  <c r="AI170" i="2"/>
  <c r="AE170" i="2"/>
  <c r="AH170" i="2"/>
  <c r="AD170" i="2"/>
  <c r="AL170" i="2"/>
  <c r="AG170" i="2"/>
  <c r="AC170" i="2"/>
  <c r="AJ170" i="2"/>
  <c r="AF170" i="2"/>
  <c r="AK170" i="2" s="1"/>
  <c r="AB170" i="2"/>
  <c r="AL174" i="2"/>
  <c r="AG174" i="2"/>
  <c r="AC174" i="2"/>
  <c r="AJ174" i="2"/>
  <c r="AF174" i="2"/>
  <c r="AK174" i="2" s="1"/>
  <c r="AB174" i="2"/>
  <c r="AI174" i="2"/>
  <c r="AE174" i="2"/>
  <c r="AH174" i="2"/>
  <c r="AD174" i="2"/>
  <c r="AI178" i="2"/>
  <c r="AE178" i="2"/>
  <c r="AH178" i="2"/>
  <c r="AD178" i="2"/>
  <c r="AL178" i="2"/>
  <c r="AG178" i="2"/>
  <c r="AC178" i="2"/>
  <c r="AJ178" i="2"/>
  <c r="AF178" i="2"/>
  <c r="AK178" i="2" s="1"/>
  <c r="AB178" i="2"/>
  <c r="AL182" i="2"/>
  <c r="AG182" i="2"/>
  <c r="AC182" i="2"/>
  <c r="AJ182" i="2"/>
  <c r="AF182" i="2"/>
  <c r="AK182" i="2" s="1"/>
  <c r="AB182" i="2"/>
  <c r="AI182" i="2"/>
  <c r="AE182" i="2"/>
  <c r="AH182" i="2"/>
  <c r="AD182" i="2"/>
  <c r="AI186" i="2"/>
  <c r="AE186" i="2"/>
  <c r="AH186" i="2"/>
  <c r="AD186" i="2"/>
  <c r="AL186" i="2"/>
  <c r="AG186" i="2"/>
  <c r="AC186" i="2"/>
  <c r="AJ186" i="2"/>
  <c r="AF186" i="2"/>
  <c r="AK186" i="2" s="1"/>
  <c r="AB186" i="2"/>
  <c r="AL190" i="2"/>
  <c r="AG190" i="2"/>
  <c r="AC190" i="2"/>
  <c r="AJ190" i="2"/>
  <c r="AF190" i="2"/>
  <c r="AK190" i="2" s="1"/>
  <c r="AB190" i="2"/>
  <c r="AI190" i="2"/>
  <c r="AE190" i="2"/>
  <c r="AH190" i="2"/>
  <c r="AD190" i="2"/>
  <c r="AI194" i="2"/>
  <c r="AE194" i="2"/>
  <c r="AH194" i="2"/>
  <c r="AD194" i="2"/>
  <c r="AL194" i="2"/>
  <c r="AG194" i="2"/>
  <c r="AC194" i="2"/>
  <c r="AJ194" i="2"/>
  <c r="AF194" i="2"/>
  <c r="AK194" i="2" s="1"/>
  <c r="AB194" i="2"/>
  <c r="AL198" i="2"/>
  <c r="AG198" i="2"/>
  <c r="AC198" i="2"/>
  <c r="AJ198" i="2"/>
  <c r="AF198" i="2"/>
  <c r="AK198" i="2" s="1"/>
  <c r="AB198" i="2"/>
  <c r="AI198" i="2"/>
  <c r="AE198" i="2"/>
  <c r="AH198" i="2"/>
  <c r="AD198" i="2"/>
  <c r="AI202" i="2"/>
  <c r="AE202" i="2"/>
  <c r="AH202" i="2"/>
  <c r="AD202" i="2"/>
  <c r="AL202" i="2"/>
  <c r="AG202" i="2"/>
  <c r="AC202" i="2"/>
  <c r="AJ202" i="2"/>
  <c r="AF202" i="2"/>
  <c r="AK202" i="2" s="1"/>
  <c r="AB202" i="2"/>
  <c r="AL206" i="2"/>
  <c r="AG206" i="2"/>
  <c r="AC206" i="2"/>
  <c r="AJ206" i="2"/>
  <c r="AF206" i="2"/>
  <c r="AK206" i="2" s="1"/>
  <c r="AB206" i="2"/>
  <c r="AI206" i="2"/>
  <c r="AE206" i="2"/>
  <c r="AH206" i="2"/>
  <c r="AD206" i="2"/>
  <c r="AI210" i="2"/>
  <c r="AE210" i="2"/>
  <c r="AH210" i="2"/>
  <c r="AD210" i="2"/>
  <c r="AL210" i="2"/>
  <c r="AG210" i="2"/>
  <c r="AC210" i="2"/>
  <c r="AJ210" i="2"/>
  <c r="AF210" i="2"/>
  <c r="AK210" i="2" s="1"/>
  <c r="AB210" i="2"/>
  <c r="AL214" i="2"/>
  <c r="AG214" i="2"/>
  <c r="AC214" i="2"/>
  <c r="AJ214" i="2"/>
  <c r="AF214" i="2"/>
  <c r="AK214" i="2" s="1"/>
  <c r="AB214" i="2"/>
  <c r="AI214" i="2"/>
  <c r="AE214" i="2"/>
  <c r="AH214" i="2"/>
  <c r="AD214" i="2"/>
  <c r="AI218" i="2"/>
  <c r="AE218" i="2"/>
  <c r="AH218" i="2"/>
  <c r="AD218" i="2"/>
  <c r="AL218" i="2"/>
  <c r="AG218" i="2"/>
  <c r="AC218" i="2"/>
  <c r="AJ218" i="2"/>
  <c r="AF218" i="2"/>
  <c r="AK218" i="2" s="1"/>
  <c r="AB218" i="2"/>
  <c r="AL222" i="2"/>
  <c r="AG222" i="2"/>
  <c r="AC222" i="2"/>
  <c r="AJ222" i="2"/>
  <c r="AF222" i="2"/>
  <c r="AK222" i="2" s="1"/>
  <c r="AB222" i="2"/>
  <c r="AI222" i="2"/>
  <c r="AE222" i="2"/>
  <c r="AH222" i="2"/>
  <c r="AD222" i="2"/>
  <c r="AI226" i="2"/>
  <c r="AE226" i="2"/>
  <c r="AH226" i="2"/>
  <c r="AD226" i="2"/>
  <c r="AL226" i="2"/>
  <c r="AG226" i="2"/>
  <c r="AC226" i="2"/>
  <c r="AJ226" i="2"/>
  <c r="AF226" i="2"/>
  <c r="AK226" i="2" s="1"/>
  <c r="AB226" i="2"/>
  <c r="AL230" i="2"/>
  <c r="AG230" i="2"/>
  <c r="AC230" i="2"/>
  <c r="AJ230" i="2"/>
  <c r="AF230" i="2"/>
  <c r="AK230" i="2" s="1"/>
  <c r="AB230" i="2"/>
  <c r="AI230" i="2"/>
  <c r="AE230" i="2"/>
  <c r="AH230" i="2"/>
  <c r="AD230" i="2"/>
  <c r="AI234" i="2"/>
  <c r="AE234" i="2"/>
  <c r="AH234" i="2"/>
  <c r="AD234" i="2"/>
  <c r="AL234" i="2"/>
  <c r="AG234" i="2"/>
  <c r="AC234" i="2"/>
  <c r="AJ234" i="2"/>
  <c r="AF234" i="2"/>
  <c r="AK234" i="2" s="1"/>
  <c r="AB234" i="2"/>
  <c r="AL238" i="2"/>
  <c r="AG238" i="2"/>
  <c r="AC238" i="2"/>
  <c r="AJ238" i="2"/>
  <c r="AF238" i="2"/>
  <c r="AK238" i="2" s="1"/>
  <c r="AB238" i="2"/>
  <c r="AI238" i="2"/>
  <c r="AE238" i="2"/>
  <c r="AH238" i="2"/>
  <c r="AD238" i="2"/>
  <c r="AI242" i="2"/>
  <c r="AE242" i="2"/>
  <c r="AH242" i="2"/>
  <c r="AD242" i="2"/>
  <c r="AL242" i="2"/>
  <c r="AG242" i="2"/>
  <c r="AC242" i="2"/>
  <c r="AJ242" i="2"/>
  <c r="AF242" i="2"/>
  <c r="AK242" i="2" s="1"/>
  <c r="AB242" i="2"/>
  <c r="AL246" i="2"/>
  <c r="AG246" i="2"/>
  <c r="AC246" i="2"/>
  <c r="AJ246" i="2"/>
  <c r="AF246" i="2"/>
  <c r="AK246" i="2" s="1"/>
  <c r="AB246" i="2"/>
  <c r="AI246" i="2"/>
  <c r="AE246" i="2"/>
  <c r="AH246" i="2"/>
  <c r="AD246" i="2"/>
  <c r="AI250" i="2"/>
  <c r="AE250" i="2"/>
  <c r="AH250" i="2"/>
  <c r="AD250" i="2"/>
  <c r="AL250" i="2"/>
  <c r="AG250" i="2"/>
  <c r="AC250" i="2"/>
  <c r="AJ250" i="2"/>
  <c r="AF250" i="2"/>
  <c r="AK250" i="2" s="1"/>
  <c r="AB250" i="2"/>
  <c r="AL254" i="2"/>
  <c r="AG254" i="2"/>
  <c r="AC254" i="2"/>
  <c r="AJ254" i="2"/>
  <c r="AF254" i="2"/>
  <c r="AK254" i="2" s="1"/>
  <c r="AB254" i="2"/>
  <c r="AI254" i="2"/>
  <c r="AE254" i="2"/>
  <c r="AH254" i="2"/>
  <c r="AD254" i="2"/>
  <c r="AI258" i="2"/>
  <c r="AE258" i="2"/>
  <c r="AH258" i="2"/>
  <c r="AD258" i="2"/>
  <c r="AL258" i="2"/>
  <c r="AG258" i="2"/>
  <c r="AC258" i="2"/>
  <c r="AJ258" i="2"/>
  <c r="AF258" i="2"/>
  <c r="AK258" i="2" s="1"/>
  <c r="AB258" i="2"/>
  <c r="AL262" i="2"/>
  <c r="AG262" i="2"/>
  <c r="AC262" i="2"/>
  <c r="AJ262" i="2"/>
  <c r="AF262" i="2"/>
  <c r="AK262" i="2" s="1"/>
  <c r="AB262" i="2"/>
  <c r="AI262" i="2"/>
  <c r="AE262" i="2"/>
  <c r="AH262" i="2"/>
  <c r="AD262" i="2"/>
  <c r="AI266" i="2"/>
  <c r="AE266" i="2"/>
  <c r="AH266" i="2"/>
  <c r="AD266" i="2"/>
  <c r="AL266" i="2"/>
  <c r="AG266" i="2"/>
  <c r="AC266" i="2"/>
  <c r="AJ266" i="2"/>
  <c r="AF266" i="2"/>
  <c r="AK266" i="2" s="1"/>
  <c r="AB266" i="2"/>
  <c r="AL270" i="2"/>
  <c r="AG270" i="2"/>
  <c r="AC270" i="2"/>
  <c r="AJ270" i="2"/>
  <c r="AF270" i="2"/>
  <c r="AK270" i="2" s="1"/>
  <c r="AB270" i="2"/>
  <c r="AI270" i="2"/>
  <c r="AE270" i="2"/>
  <c r="AH270" i="2"/>
  <c r="AD270" i="2"/>
  <c r="AI274" i="2"/>
  <c r="AE274" i="2"/>
  <c r="AL274" i="2"/>
  <c r="AF274" i="2"/>
  <c r="AK274" i="2" s="1"/>
  <c r="AJ274" i="2"/>
  <c r="AD274" i="2"/>
  <c r="AH274" i="2"/>
  <c r="AC274" i="2"/>
  <c r="AG274" i="2"/>
  <c r="AB274" i="2"/>
  <c r="AL278" i="2"/>
  <c r="AG278" i="2"/>
  <c r="AC278" i="2"/>
  <c r="AF278" i="2"/>
  <c r="AK278" i="2" s="1"/>
  <c r="AJ278" i="2"/>
  <c r="AE278" i="2"/>
  <c r="AI278" i="2"/>
  <c r="AD278" i="2"/>
  <c r="AH278" i="2"/>
  <c r="AB278" i="2"/>
  <c r="AH282" i="2"/>
  <c r="AD282" i="2"/>
  <c r="AI282" i="2"/>
  <c r="AE282" i="2"/>
  <c r="AL282" i="2"/>
  <c r="AC282" i="2"/>
  <c r="AJ282" i="2"/>
  <c r="AB282" i="2"/>
  <c r="AG282" i="2"/>
  <c r="AF282" i="2"/>
  <c r="AK282" i="2" s="1"/>
  <c r="AJ286" i="2"/>
  <c r="AF286" i="2"/>
  <c r="AK286" i="2" s="1"/>
  <c r="AB286" i="2"/>
  <c r="AI286" i="2"/>
  <c r="AE286" i="2"/>
  <c r="AH286" i="2"/>
  <c r="AD286" i="2"/>
  <c r="AL286" i="2"/>
  <c r="AG286" i="2"/>
  <c r="AC286" i="2"/>
  <c r="AH290" i="2"/>
  <c r="AD290" i="2"/>
  <c r="AL290" i="2"/>
  <c r="AG290" i="2"/>
  <c r="AC290" i="2"/>
  <c r="AJ290" i="2"/>
  <c r="AF290" i="2"/>
  <c r="AK290" i="2" s="1"/>
  <c r="AB290" i="2"/>
  <c r="AI290" i="2"/>
  <c r="AE290" i="2"/>
  <c r="AJ294" i="2"/>
  <c r="AF294" i="2"/>
  <c r="AK294" i="2" s="1"/>
  <c r="AB294" i="2"/>
  <c r="AI294" i="2"/>
  <c r="AE294" i="2"/>
  <c r="AH294" i="2"/>
  <c r="AD294" i="2"/>
  <c r="AL294" i="2"/>
  <c r="AG294" i="2"/>
  <c r="AC294" i="2"/>
  <c r="AH298" i="2"/>
  <c r="AD298" i="2"/>
  <c r="AL298" i="2"/>
  <c r="AG298" i="2"/>
  <c r="AC298" i="2"/>
  <c r="AJ298" i="2"/>
  <c r="AF298" i="2"/>
  <c r="AK298" i="2" s="1"/>
  <c r="AB298" i="2"/>
  <c r="AI298" i="2"/>
  <c r="AE298" i="2"/>
  <c r="AJ302" i="2"/>
  <c r="AF302" i="2"/>
  <c r="AK302" i="2" s="1"/>
  <c r="AB302" i="2"/>
  <c r="AI302" i="2"/>
  <c r="AE302" i="2"/>
  <c r="AH302" i="2"/>
  <c r="AD302" i="2"/>
  <c r="AL302" i="2"/>
  <c r="AG302" i="2"/>
  <c r="AC302" i="2"/>
  <c r="AH306" i="2"/>
  <c r="AD306" i="2"/>
  <c r="AL306" i="2"/>
  <c r="AG306" i="2"/>
  <c r="AC306" i="2"/>
  <c r="AJ306" i="2"/>
  <c r="AF306" i="2"/>
  <c r="AK306" i="2" s="1"/>
  <c r="AB306" i="2"/>
  <c r="AI306" i="2"/>
  <c r="AE306" i="2"/>
  <c r="AJ310" i="2"/>
  <c r="AF310" i="2"/>
  <c r="AK310" i="2" s="1"/>
  <c r="AB310" i="2"/>
  <c r="AI310" i="2"/>
  <c r="AE310" i="2"/>
  <c r="AH310" i="2"/>
  <c r="AD310" i="2"/>
  <c r="AL310" i="2"/>
  <c r="AG310" i="2"/>
  <c r="AC310" i="2"/>
  <c r="AH314" i="2"/>
  <c r="AD314" i="2"/>
  <c r="AL314" i="2"/>
  <c r="AG314" i="2"/>
  <c r="AC314" i="2"/>
  <c r="AJ314" i="2"/>
  <c r="AF314" i="2"/>
  <c r="AK314" i="2" s="1"/>
  <c r="AB314" i="2"/>
  <c r="AI314" i="2"/>
  <c r="AE314" i="2"/>
  <c r="AJ318" i="2"/>
  <c r="AF318" i="2"/>
  <c r="AK318" i="2" s="1"/>
  <c r="AB318" i="2"/>
  <c r="AI318" i="2"/>
  <c r="AE318" i="2"/>
  <c r="AH318" i="2"/>
  <c r="AD318" i="2"/>
  <c r="AL318" i="2"/>
  <c r="AG318" i="2"/>
  <c r="AC318" i="2"/>
  <c r="AH322" i="2"/>
  <c r="AD322" i="2"/>
  <c r="AL322" i="2"/>
  <c r="AG322" i="2"/>
  <c r="AC322" i="2"/>
  <c r="AJ322" i="2"/>
  <c r="AF322" i="2"/>
  <c r="AK322" i="2" s="1"/>
  <c r="AB322" i="2"/>
  <c r="AI322" i="2"/>
  <c r="AE322" i="2"/>
  <c r="AJ326" i="2"/>
  <c r="AF326" i="2"/>
  <c r="AK326" i="2" s="1"/>
  <c r="AB326" i="2"/>
  <c r="AI326" i="2"/>
  <c r="AE326" i="2"/>
  <c r="AH326" i="2"/>
  <c r="AD326" i="2"/>
  <c r="AL326" i="2"/>
  <c r="AG326" i="2"/>
  <c r="AC326" i="2"/>
  <c r="AJ330" i="2"/>
  <c r="AF330" i="2"/>
  <c r="AK330" i="2" s="1"/>
  <c r="AB330" i="2"/>
  <c r="AH330" i="2"/>
  <c r="AC330" i="2"/>
  <c r="AG330" i="2"/>
  <c r="AL330" i="2"/>
  <c r="AE330" i="2"/>
  <c r="AI330" i="2"/>
  <c r="AD330" i="2"/>
  <c r="AH334" i="2"/>
  <c r="AD334" i="2"/>
  <c r="AI334" i="2"/>
  <c r="AC334" i="2"/>
  <c r="AG334" i="2"/>
  <c r="AB334" i="2"/>
  <c r="AL334" i="2"/>
  <c r="AF334" i="2"/>
  <c r="AK334" i="2" s="1"/>
  <c r="AJ334" i="2"/>
  <c r="AE334" i="2"/>
  <c r="AJ338" i="2"/>
  <c r="AF338" i="2"/>
  <c r="AK338" i="2" s="1"/>
  <c r="AB338" i="2"/>
  <c r="AI338" i="2"/>
  <c r="AL338" i="2"/>
  <c r="AD338" i="2"/>
  <c r="AH338" i="2"/>
  <c r="AC338" i="2"/>
  <c r="AG338" i="2"/>
  <c r="AE338" i="2"/>
  <c r="AI342" i="2"/>
  <c r="AE342" i="2"/>
  <c r="AH342" i="2"/>
  <c r="AD342" i="2"/>
  <c r="AL342" i="2"/>
  <c r="AG342" i="2"/>
  <c r="AC342" i="2"/>
  <c r="AJ342" i="2"/>
  <c r="AF342" i="2"/>
  <c r="AK342" i="2" s="1"/>
  <c r="AB342" i="2"/>
  <c r="AL346" i="2"/>
  <c r="AG346" i="2"/>
  <c r="AC346" i="2"/>
  <c r="AJ346" i="2"/>
  <c r="AF346" i="2"/>
  <c r="AK346" i="2" s="1"/>
  <c r="AB346" i="2"/>
  <c r="AI346" i="2"/>
  <c r="AE346" i="2"/>
  <c r="AH346" i="2"/>
  <c r="AD346" i="2"/>
  <c r="AI350" i="2"/>
  <c r="AE350" i="2"/>
  <c r="AH350" i="2"/>
  <c r="AD350" i="2"/>
  <c r="AL350" i="2"/>
  <c r="AG350" i="2"/>
  <c r="AC350" i="2"/>
  <c r="AJ350" i="2"/>
  <c r="AF350" i="2"/>
  <c r="AK350" i="2" s="1"/>
  <c r="AB350" i="2"/>
  <c r="AL354" i="2"/>
  <c r="AG354" i="2"/>
  <c r="AC354" i="2"/>
  <c r="AJ354" i="2"/>
  <c r="AF354" i="2"/>
  <c r="AK354" i="2" s="1"/>
  <c r="AB354" i="2"/>
  <c r="AI354" i="2"/>
  <c r="AE354" i="2"/>
  <c r="AH354" i="2"/>
  <c r="AD354" i="2"/>
  <c r="AI358" i="2"/>
  <c r="AE358" i="2"/>
  <c r="AH358" i="2"/>
  <c r="AD358" i="2"/>
  <c r="AL358" i="2"/>
  <c r="AG358" i="2"/>
  <c r="AC358" i="2"/>
  <c r="AJ358" i="2"/>
  <c r="AF358" i="2"/>
  <c r="AK358" i="2" s="1"/>
  <c r="AB358" i="2"/>
  <c r="AL362" i="2"/>
  <c r="AG362" i="2"/>
  <c r="AC362" i="2"/>
  <c r="AJ362" i="2"/>
  <c r="AF362" i="2"/>
  <c r="AK362" i="2" s="1"/>
  <c r="AB362" i="2"/>
  <c r="AI362" i="2"/>
  <c r="AE362" i="2"/>
  <c r="AH362" i="2"/>
  <c r="AD362" i="2"/>
  <c r="AI366" i="2"/>
  <c r="AE366" i="2"/>
  <c r="AH366" i="2"/>
  <c r="AD366" i="2"/>
  <c r="AL366" i="2"/>
  <c r="AG366" i="2"/>
  <c r="AC366" i="2"/>
  <c r="AJ366" i="2"/>
  <c r="AF366" i="2"/>
  <c r="AK366" i="2" s="1"/>
  <c r="AB366" i="2"/>
  <c r="AL370" i="2"/>
  <c r="AG370" i="2"/>
  <c r="AC370" i="2"/>
  <c r="AJ370" i="2"/>
  <c r="AF370" i="2"/>
  <c r="AK370" i="2" s="1"/>
  <c r="AB370" i="2"/>
  <c r="AI370" i="2"/>
  <c r="AE370" i="2"/>
  <c r="AH370" i="2"/>
  <c r="AD370" i="2"/>
  <c r="AI374" i="2"/>
  <c r="AE374" i="2"/>
  <c r="AH374" i="2"/>
  <c r="AD374" i="2"/>
  <c r="AL374" i="2"/>
  <c r="AG374" i="2"/>
  <c r="AC374" i="2"/>
  <c r="AJ374" i="2"/>
  <c r="AF374" i="2"/>
  <c r="AK374" i="2" s="1"/>
  <c r="AB374" i="2"/>
  <c r="AH378" i="2"/>
  <c r="AD378" i="2"/>
  <c r="AL378" i="2"/>
  <c r="AG378" i="2"/>
  <c r="AC378" i="2"/>
  <c r="AJ378" i="2"/>
  <c r="AF378" i="2"/>
  <c r="AK378" i="2" s="1"/>
  <c r="AB378" i="2"/>
  <c r="AI378" i="2"/>
  <c r="AE378" i="2"/>
  <c r="AJ382" i="2"/>
  <c r="AF382" i="2"/>
  <c r="AK382" i="2" s="1"/>
  <c r="AB382" i="2"/>
  <c r="AI382" i="2"/>
  <c r="AE382" i="2"/>
  <c r="AH382" i="2"/>
  <c r="AD382" i="2"/>
  <c r="AL382" i="2"/>
  <c r="AG382" i="2"/>
  <c r="AC382" i="2"/>
  <c r="AH386" i="2"/>
  <c r="AD386" i="2"/>
  <c r="AL386" i="2"/>
  <c r="AG386" i="2"/>
  <c r="AC386" i="2"/>
  <c r="AJ386" i="2"/>
  <c r="AF386" i="2"/>
  <c r="AK386" i="2" s="1"/>
  <c r="AB386" i="2"/>
  <c r="AI386" i="2"/>
  <c r="AE386" i="2"/>
  <c r="AJ390" i="2"/>
  <c r="AF390" i="2"/>
  <c r="AK390" i="2" s="1"/>
  <c r="AB390" i="2"/>
  <c r="AI390" i="2"/>
  <c r="AE390" i="2"/>
  <c r="AH390" i="2"/>
  <c r="AD390" i="2"/>
  <c r="AL390" i="2"/>
  <c r="AG390" i="2"/>
  <c r="AC390" i="2"/>
  <c r="AI394" i="2"/>
  <c r="AE394" i="2"/>
  <c r="AJ394" i="2"/>
  <c r="AF394" i="2"/>
  <c r="AK394" i="2" s="1"/>
  <c r="AB394" i="2"/>
  <c r="AL394" i="2"/>
  <c r="AC394" i="2"/>
  <c r="AH394" i="2"/>
  <c r="AG394" i="2"/>
  <c r="AD394" i="2"/>
  <c r="AL398" i="2"/>
  <c r="AG398" i="2"/>
  <c r="AC398" i="2"/>
  <c r="AJ398" i="2"/>
  <c r="AF398" i="2"/>
  <c r="AK398" i="2" s="1"/>
  <c r="AB398" i="2"/>
  <c r="AI398" i="2"/>
  <c r="AE398" i="2"/>
  <c r="AH398" i="2"/>
  <c r="AD398" i="2"/>
  <c r="AI402" i="2"/>
  <c r="AE402" i="2"/>
  <c r="AH402" i="2"/>
  <c r="AD402" i="2"/>
  <c r="AL402" i="2"/>
  <c r="AG402" i="2"/>
  <c r="AC402" i="2"/>
  <c r="AJ402" i="2"/>
  <c r="AF402" i="2"/>
  <c r="AK402" i="2" s="1"/>
  <c r="AB402" i="2"/>
  <c r="AL406" i="2"/>
  <c r="AG406" i="2"/>
  <c r="AC406" i="2"/>
  <c r="AJ406" i="2"/>
  <c r="AF406" i="2"/>
  <c r="AK406" i="2" s="1"/>
  <c r="AB406" i="2"/>
  <c r="AI406" i="2"/>
  <c r="AE406" i="2"/>
  <c r="AH406" i="2"/>
  <c r="AD406" i="2"/>
  <c r="AI410" i="2"/>
  <c r="AE410" i="2"/>
  <c r="AH410" i="2"/>
  <c r="AD410" i="2"/>
  <c r="AL410" i="2"/>
  <c r="AG410" i="2"/>
  <c r="AC410" i="2"/>
  <c r="AJ410" i="2"/>
  <c r="AF410" i="2"/>
  <c r="AK410" i="2" s="1"/>
  <c r="AB410" i="2"/>
  <c r="AL414" i="2"/>
  <c r="AG414" i="2"/>
  <c r="AC414" i="2"/>
  <c r="AJ414" i="2"/>
  <c r="AF414" i="2"/>
  <c r="AK414" i="2" s="1"/>
  <c r="AB414" i="2"/>
  <c r="AI414" i="2"/>
  <c r="AE414" i="2"/>
  <c r="AH414" i="2"/>
  <c r="AD414" i="2"/>
  <c r="AI418" i="2"/>
  <c r="AE418" i="2"/>
  <c r="AH418" i="2"/>
  <c r="AD418" i="2"/>
  <c r="AL418" i="2"/>
  <c r="AG418" i="2"/>
  <c r="AC418" i="2"/>
  <c r="AJ418" i="2"/>
  <c r="AF418" i="2"/>
  <c r="AK418" i="2" s="1"/>
  <c r="AB418" i="2"/>
  <c r="AL422" i="2"/>
  <c r="AG422" i="2"/>
  <c r="AC422" i="2"/>
  <c r="AJ422" i="2"/>
  <c r="AF422" i="2"/>
  <c r="AK422" i="2" s="1"/>
  <c r="AB422" i="2"/>
  <c r="AI422" i="2"/>
  <c r="AE422" i="2"/>
  <c r="AH422" i="2"/>
  <c r="AD422" i="2"/>
  <c r="AH426" i="2"/>
  <c r="AD426" i="2"/>
  <c r="AJ426" i="2"/>
  <c r="AF426" i="2"/>
  <c r="AK426" i="2" s="1"/>
  <c r="AB426" i="2"/>
  <c r="AL426" i="2"/>
  <c r="AC426" i="2"/>
  <c r="AI426" i="2"/>
  <c r="AG426" i="2"/>
  <c r="AE426" i="2"/>
  <c r="AL430" i="2"/>
  <c r="AG430" i="2"/>
  <c r="AC430" i="2"/>
  <c r="AJ430" i="2"/>
  <c r="AF430" i="2"/>
  <c r="AK430" i="2" s="1"/>
  <c r="AB430" i="2"/>
  <c r="AH430" i="2"/>
  <c r="AD430" i="2"/>
  <c r="AI430" i="2"/>
  <c r="AE430" i="2"/>
  <c r="AI434" i="2"/>
  <c r="AE434" i="2"/>
  <c r="AH434" i="2"/>
  <c r="AD434" i="2"/>
  <c r="AL434" i="2"/>
  <c r="AG434" i="2"/>
  <c r="AC434" i="2"/>
  <c r="AJ434" i="2"/>
  <c r="AF434" i="2"/>
  <c r="AK434" i="2" s="1"/>
  <c r="AB434" i="2"/>
  <c r="AL438" i="2"/>
  <c r="AG438" i="2"/>
  <c r="AC438" i="2"/>
  <c r="AJ438" i="2"/>
  <c r="AF438" i="2"/>
  <c r="AK438" i="2" s="1"/>
  <c r="AB438" i="2"/>
  <c r="AI438" i="2"/>
  <c r="AE438" i="2"/>
  <c r="AH438" i="2"/>
  <c r="AD438" i="2"/>
  <c r="AI442" i="2"/>
  <c r="AE442" i="2"/>
  <c r="AH442" i="2"/>
  <c r="AD442" i="2"/>
  <c r="AL442" i="2"/>
  <c r="AG442" i="2"/>
  <c r="AC442" i="2"/>
  <c r="AJ442" i="2"/>
  <c r="AF442" i="2"/>
  <c r="AK442" i="2" s="1"/>
  <c r="AB442" i="2"/>
  <c r="AL446" i="2"/>
  <c r="AG446" i="2"/>
  <c r="AC446" i="2"/>
  <c r="AJ446" i="2"/>
  <c r="AF446" i="2"/>
  <c r="AK446" i="2" s="1"/>
  <c r="AB446" i="2"/>
  <c r="AI446" i="2"/>
  <c r="AE446" i="2"/>
  <c r="AH446" i="2"/>
  <c r="AD446" i="2"/>
  <c r="AI450" i="2"/>
  <c r="AE450" i="2"/>
  <c r="AL450" i="2"/>
  <c r="AG450" i="2"/>
  <c r="AC450" i="2"/>
  <c r="AJ450" i="2"/>
  <c r="AB450" i="2"/>
  <c r="AH450" i="2"/>
  <c r="AF450" i="2"/>
  <c r="AK450" i="2" s="1"/>
  <c r="AD450" i="2"/>
  <c r="AL454" i="2"/>
  <c r="AG454" i="2"/>
  <c r="AC454" i="2"/>
  <c r="AI454" i="2"/>
  <c r="AE454" i="2"/>
  <c r="AH454" i="2"/>
  <c r="AF454" i="2"/>
  <c r="AK454" i="2" s="1"/>
  <c r="AD454" i="2"/>
  <c r="AJ454" i="2"/>
  <c r="AB454" i="2"/>
  <c r="AI458" i="2"/>
  <c r="AE458" i="2"/>
  <c r="AL458" i="2"/>
  <c r="AG458" i="2"/>
  <c r="AC458" i="2"/>
  <c r="AF458" i="2"/>
  <c r="AK458" i="2" s="1"/>
  <c r="AD458" i="2"/>
  <c r="AJ458" i="2"/>
  <c r="AB458" i="2"/>
  <c r="AH458" i="2"/>
  <c r="AL462" i="2"/>
  <c r="AG462" i="2"/>
  <c r="AC462" i="2"/>
  <c r="AJ462" i="2"/>
  <c r="AF462" i="2"/>
  <c r="AK462" i="2" s="1"/>
  <c r="AB462" i="2"/>
  <c r="AI462" i="2"/>
  <c r="AE462" i="2"/>
  <c r="AH462" i="2"/>
  <c r="AD462" i="2"/>
  <c r="AI466" i="2"/>
  <c r="AE466" i="2"/>
  <c r="AH466" i="2"/>
  <c r="AD466" i="2"/>
  <c r="AL466" i="2"/>
  <c r="AG466" i="2"/>
  <c r="AC466" i="2"/>
  <c r="AJ466" i="2"/>
  <c r="AF466" i="2"/>
  <c r="AK466" i="2" s="1"/>
  <c r="AB466" i="2"/>
  <c r="AL470" i="2"/>
  <c r="AG470" i="2"/>
  <c r="AC470" i="2"/>
  <c r="AJ470" i="2"/>
  <c r="AF470" i="2"/>
  <c r="AK470" i="2" s="1"/>
  <c r="AB470" i="2"/>
  <c r="AI470" i="2"/>
  <c r="AE470" i="2"/>
  <c r="AD470" i="2"/>
  <c r="AH470" i="2"/>
  <c r="AI474" i="2"/>
  <c r="AE474" i="2"/>
  <c r="AG474" i="2"/>
  <c r="AB474" i="2"/>
  <c r="AL474" i="2"/>
  <c r="AF474" i="2"/>
  <c r="AK474" i="2" s="1"/>
  <c r="AJ474" i="2"/>
  <c r="AD474" i="2"/>
  <c r="AH474" i="2"/>
  <c r="AC474" i="2"/>
  <c r="AL478" i="2"/>
  <c r="AG478" i="2"/>
  <c r="AC478" i="2"/>
  <c r="AH478" i="2"/>
  <c r="AB478" i="2"/>
  <c r="AF478" i="2"/>
  <c r="AK478" i="2" s="1"/>
  <c r="AJ478" i="2"/>
  <c r="AE478" i="2"/>
  <c r="AI478" i="2"/>
  <c r="AD478" i="2"/>
  <c r="AI482" i="2"/>
  <c r="AE482" i="2"/>
  <c r="AH482" i="2"/>
  <c r="AJ482" i="2"/>
  <c r="AC482" i="2"/>
  <c r="AG482" i="2"/>
  <c r="AB482" i="2"/>
  <c r="AF482" i="2"/>
  <c r="AK482" i="2" s="1"/>
  <c r="AL482" i="2"/>
  <c r="AD482" i="2"/>
  <c r="AL486" i="2"/>
  <c r="AG486" i="2"/>
  <c r="AC486" i="2"/>
  <c r="AJ486" i="2"/>
  <c r="AF486" i="2"/>
  <c r="AK486" i="2" s="1"/>
  <c r="AB486" i="2"/>
  <c r="AH486" i="2"/>
  <c r="AE486" i="2"/>
  <c r="AD486" i="2"/>
  <c r="AI486" i="2"/>
  <c r="AI490" i="2"/>
  <c r="AE490" i="2"/>
  <c r="AH490" i="2"/>
  <c r="AD490" i="2"/>
  <c r="AL490" i="2"/>
  <c r="AG490" i="2"/>
  <c r="AC490" i="2"/>
  <c r="AJ490" i="2"/>
  <c r="AF490" i="2"/>
  <c r="AK490" i="2" s="1"/>
  <c r="AB490" i="2"/>
  <c r="AL494" i="2"/>
  <c r="AG494" i="2"/>
  <c r="AC494" i="2"/>
  <c r="AJ494" i="2"/>
  <c r="AF494" i="2"/>
  <c r="AK494" i="2" s="1"/>
  <c r="AB494" i="2"/>
  <c r="AI494" i="2"/>
  <c r="AE494" i="2"/>
  <c r="AH494" i="2"/>
  <c r="AD494" i="2"/>
  <c r="AI498" i="2"/>
  <c r="AE498" i="2"/>
  <c r="AH498" i="2"/>
  <c r="AD498" i="2"/>
  <c r="AL498" i="2"/>
  <c r="AG498" i="2"/>
  <c r="AC498" i="2"/>
  <c r="AJ498" i="2"/>
  <c r="AF498" i="2"/>
  <c r="AK498" i="2" s="1"/>
  <c r="AB498" i="2"/>
  <c r="AL502" i="2"/>
  <c r="AG502" i="2"/>
  <c r="AC502" i="2"/>
  <c r="AJ502" i="2"/>
  <c r="AF502" i="2"/>
  <c r="AK502" i="2" s="1"/>
  <c r="AB502" i="2"/>
  <c r="AI502" i="2"/>
  <c r="AE502" i="2"/>
  <c r="AH502" i="2"/>
  <c r="AD502" i="2"/>
  <c r="AC4" i="2"/>
  <c r="AG4" i="2"/>
  <c r="AL4" i="2"/>
  <c r="AE5" i="2"/>
  <c r="AI5" i="2"/>
  <c r="AB6" i="2"/>
  <c r="AF6" i="2"/>
  <c r="AK6" i="2" s="1"/>
  <c r="AJ6" i="2"/>
  <c r="AD7" i="2"/>
  <c r="AH7" i="2"/>
  <c r="AL7" i="2"/>
  <c r="AE8" i="2"/>
  <c r="AI8" i="2"/>
  <c r="AC9" i="2"/>
  <c r="AG9" i="2"/>
  <c r="AK9" i="2"/>
  <c r="AD10" i="2"/>
  <c r="AH10" i="2"/>
  <c r="AB11" i="2"/>
  <c r="AF11" i="2"/>
  <c r="AK11" i="2" s="1"/>
  <c r="AJ11" i="2"/>
  <c r="AC12" i="2"/>
  <c r="AG12" i="2"/>
  <c r="AL12" i="2"/>
  <c r="AE13" i="2"/>
  <c r="AI13" i="2"/>
  <c r="AB14" i="2"/>
  <c r="AF14" i="2"/>
  <c r="AK14" i="2" s="1"/>
  <c r="AJ14" i="2"/>
  <c r="AD15" i="2"/>
  <c r="AH15" i="2"/>
  <c r="AL15" i="2"/>
  <c r="AE16" i="2"/>
  <c r="AI16" i="2"/>
  <c r="AC17" i="2"/>
  <c r="AG17" i="2"/>
  <c r="AK17" i="2"/>
  <c r="AD18" i="2"/>
  <c r="AH18" i="2"/>
  <c r="AB19" i="2"/>
  <c r="AF19" i="2"/>
  <c r="AK19" i="2" s="1"/>
  <c r="AJ19" i="2"/>
  <c r="AC20" i="2"/>
  <c r="AG20" i="2"/>
  <c r="AB21" i="2"/>
  <c r="AG21" i="2"/>
  <c r="AC22" i="2"/>
  <c r="AL22" i="2"/>
  <c r="AG23" i="2"/>
  <c r="AC23" i="2"/>
  <c r="AJ23" i="2"/>
  <c r="AF23" i="2"/>
  <c r="AK23" i="2" s="1"/>
  <c r="AB23" i="2"/>
  <c r="AL23" i="2"/>
  <c r="AH23" i="2"/>
  <c r="AD23" i="2"/>
  <c r="AI27" i="2"/>
  <c r="AE27" i="2"/>
  <c r="AL27" i="2"/>
  <c r="AH27" i="2"/>
  <c r="AD27" i="2"/>
  <c r="AG27" i="2"/>
  <c r="AC27" i="2"/>
  <c r="AJ27" i="2"/>
  <c r="AF27" i="2"/>
  <c r="AK27" i="2" s="1"/>
  <c r="AB27" i="2"/>
  <c r="AG31" i="2"/>
  <c r="AC31" i="2"/>
  <c r="AJ31" i="2"/>
  <c r="AF31" i="2"/>
  <c r="AK31" i="2" s="1"/>
  <c r="AB31" i="2"/>
  <c r="AI31" i="2"/>
  <c r="AE31" i="2"/>
  <c r="AL31" i="2"/>
  <c r="AH31" i="2"/>
  <c r="AD31" i="2"/>
  <c r="AI35" i="2"/>
  <c r="AE35" i="2"/>
  <c r="AL35" i="2"/>
  <c r="AH35" i="2"/>
  <c r="AD35" i="2"/>
  <c r="AG35" i="2"/>
  <c r="AC35" i="2"/>
  <c r="AJ35" i="2"/>
  <c r="AF35" i="2"/>
  <c r="AK35" i="2" s="1"/>
  <c r="AB35" i="2"/>
  <c r="AG39" i="2"/>
  <c r="AC39" i="2"/>
  <c r="AJ39" i="2"/>
  <c r="AF39" i="2"/>
  <c r="AK39" i="2" s="1"/>
  <c r="AB39" i="2"/>
  <c r="AI39" i="2"/>
  <c r="AE39" i="2"/>
  <c r="AL39" i="2"/>
  <c r="AH39" i="2"/>
  <c r="AD39" i="2"/>
  <c r="AI43" i="2"/>
  <c r="AE43" i="2"/>
  <c r="AL43" i="2"/>
  <c r="AH43" i="2"/>
  <c r="AD43" i="2"/>
  <c r="AG43" i="2"/>
  <c r="AC43" i="2"/>
  <c r="AJ43" i="2"/>
  <c r="AF43" i="2"/>
  <c r="AK43" i="2" s="1"/>
  <c r="AB43" i="2"/>
  <c r="AG47" i="2"/>
  <c r="AC47" i="2"/>
  <c r="AJ47" i="2"/>
  <c r="AF47" i="2"/>
  <c r="AK47" i="2" s="1"/>
  <c r="AB47" i="2"/>
  <c r="AI47" i="2"/>
  <c r="AE47" i="2"/>
  <c r="AL47" i="2"/>
  <c r="AH47" i="2"/>
  <c r="AD47" i="2"/>
  <c r="AI51" i="2"/>
  <c r="AE51" i="2"/>
  <c r="AL51" i="2"/>
  <c r="AH51" i="2"/>
  <c r="AD51" i="2"/>
  <c r="AG51" i="2"/>
  <c r="AC51" i="2"/>
  <c r="AJ51" i="2"/>
  <c r="AF51" i="2"/>
  <c r="AK51" i="2" s="1"/>
  <c r="AB51" i="2"/>
  <c r="AG55" i="2"/>
  <c r="AC55" i="2"/>
  <c r="AJ55" i="2"/>
  <c r="AF55" i="2"/>
  <c r="AK55" i="2" s="1"/>
  <c r="AB55" i="2"/>
  <c r="AI55" i="2"/>
  <c r="AE55" i="2"/>
  <c r="AL55" i="2"/>
  <c r="AH55" i="2"/>
  <c r="AD55" i="2"/>
  <c r="AI59" i="2"/>
  <c r="AE59" i="2"/>
  <c r="AL59" i="2"/>
  <c r="AH59" i="2"/>
  <c r="AD59" i="2"/>
  <c r="AG59" i="2"/>
  <c r="AC59" i="2"/>
  <c r="AJ59" i="2"/>
  <c r="AF59" i="2"/>
  <c r="AK59" i="2" s="1"/>
  <c r="AB59" i="2"/>
  <c r="AG63" i="2"/>
  <c r="AC63" i="2"/>
  <c r="AJ63" i="2"/>
  <c r="AF63" i="2"/>
  <c r="AK63" i="2" s="1"/>
  <c r="AB63" i="2"/>
  <c r="AI63" i="2"/>
  <c r="AE63" i="2"/>
  <c r="AL63" i="2"/>
  <c r="AH63" i="2"/>
  <c r="AD63" i="2"/>
  <c r="AI67" i="2"/>
  <c r="AE67" i="2"/>
  <c r="AL67" i="2"/>
  <c r="AH67" i="2"/>
  <c r="AD67" i="2"/>
  <c r="AG67" i="2"/>
  <c r="AC67" i="2"/>
  <c r="AJ67" i="2"/>
  <c r="AF67" i="2"/>
  <c r="AK67" i="2" s="1"/>
  <c r="AB67" i="2"/>
  <c r="AG71" i="2"/>
  <c r="AC71" i="2"/>
  <c r="AJ71" i="2"/>
  <c r="AF71" i="2"/>
  <c r="AK71" i="2" s="1"/>
  <c r="AB71" i="2"/>
  <c r="AI71" i="2"/>
  <c r="AE71" i="2"/>
  <c r="AL71" i="2"/>
  <c r="AH71" i="2"/>
  <c r="AD71" i="2"/>
  <c r="AI75" i="2"/>
  <c r="AE75" i="2"/>
  <c r="AL75" i="2"/>
  <c r="AH75" i="2"/>
  <c r="AD75" i="2"/>
  <c r="AG75" i="2"/>
  <c r="AC75" i="2"/>
  <c r="AJ75" i="2"/>
  <c r="AF75" i="2"/>
  <c r="AK75" i="2" s="1"/>
  <c r="AB75" i="2"/>
  <c r="AG79" i="2"/>
  <c r="AC79" i="2"/>
  <c r="AJ79" i="2"/>
  <c r="AF79" i="2"/>
  <c r="AK79" i="2" s="1"/>
  <c r="AB79" i="2"/>
  <c r="AI79" i="2"/>
  <c r="AE79" i="2"/>
  <c r="AL79" i="2"/>
  <c r="AH79" i="2"/>
  <c r="AD79" i="2"/>
  <c r="AI83" i="2"/>
  <c r="AE83" i="2"/>
  <c r="AL83" i="2"/>
  <c r="AH83" i="2"/>
  <c r="AD83" i="2"/>
  <c r="AG83" i="2"/>
  <c r="AC83" i="2"/>
  <c r="AJ83" i="2"/>
  <c r="AF83" i="2"/>
  <c r="AK83" i="2" s="1"/>
  <c r="AB83" i="2"/>
  <c r="AG87" i="2"/>
  <c r="AC87" i="2"/>
  <c r="AJ87" i="2"/>
  <c r="AF87" i="2"/>
  <c r="AK87" i="2" s="1"/>
  <c r="AB87" i="2"/>
  <c r="AI87" i="2"/>
  <c r="AE87" i="2"/>
  <c r="AL87" i="2"/>
  <c r="AH87" i="2"/>
  <c r="AD87" i="2"/>
  <c r="AI91" i="2"/>
  <c r="AE91" i="2"/>
  <c r="AL91" i="2"/>
  <c r="AH91" i="2"/>
  <c r="AD91" i="2"/>
  <c r="AG91" i="2"/>
  <c r="AC91" i="2"/>
  <c r="AJ91" i="2"/>
  <c r="AF91" i="2"/>
  <c r="AK91" i="2" s="1"/>
  <c r="AB91" i="2"/>
  <c r="AG95" i="2"/>
  <c r="AC95" i="2"/>
  <c r="AJ95" i="2"/>
  <c r="AF95" i="2"/>
  <c r="AK95" i="2" s="1"/>
  <c r="AB95" i="2"/>
  <c r="AI95" i="2"/>
  <c r="AE95" i="2"/>
  <c r="AL95" i="2"/>
  <c r="AH95" i="2"/>
  <c r="AD95" i="2"/>
  <c r="AI99" i="2"/>
  <c r="AE99" i="2"/>
  <c r="AL99" i="2"/>
  <c r="AH99" i="2"/>
  <c r="AD99" i="2"/>
  <c r="AG99" i="2"/>
  <c r="AC99" i="2"/>
  <c r="AJ99" i="2"/>
  <c r="AF99" i="2"/>
  <c r="AK99" i="2" s="1"/>
  <c r="AB99" i="2"/>
  <c r="AG103" i="2"/>
  <c r="AC103" i="2"/>
  <c r="AJ103" i="2"/>
  <c r="AF103" i="2"/>
  <c r="AK103" i="2" s="1"/>
  <c r="AB103" i="2"/>
  <c r="AI103" i="2"/>
  <c r="AE103" i="2"/>
  <c r="AL103" i="2"/>
  <c r="AH103" i="2"/>
  <c r="AD103" i="2"/>
  <c r="AI107" i="2"/>
  <c r="AE107" i="2"/>
  <c r="AL107" i="2"/>
  <c r="AH107" i="2"/>
  <c r="AD107" i="2"/>
  <c r="AG107" i="2"/>
  <c r="AC107" i="2"/>
  <c r="AJ107" i="2"/>
  <c r="AF107" i="2"/>
  <c r="AK107" i="2" s="1"/>
  <c r="AB107" i="2"/>
  <c r="AG111" i="2"/>
  <c r="AC111" i="2"/>
  <c r="AJ111" i="2"/>
  <c r="AF111" i="2"/>
  <c r="AK111" i="2" s="1"/>
  <c r="AB111" i="2"/>
  <c r="AI111" i="2"/>
  <c r="AE111" i="2"/>
  <c r="AL111" i="2"/>
  <c r="AH111" i="2"/>
  <c r="AD111" i="2"/>
  <c r="AI115" i="2"/>
  <c r="AE115" i="2"/>
  <c r="AL115" i="2"/>
  <c r="AH115" i="2"/>
  <c r="AD115" i="2"/>
  <c r="AG115" i="2"/>
  <c r="AC115" i="2"/>
  <c r="AJ115" i="2"/>
  <c r="AF115" i="2"/>
  <c r="AK115" i="2" s="1"/>
  <c r="AB115" i="2"/>
  <c r="AG119" i="2"/>
  <c r="AC119" i="2"/>
  <c r="AJ119" i="2"/>
  <c r="AF119" i="2"/>
  <c r="AK119" i="2" s="1"/>
  <c r="AB119" i="2"/>
  <c r="AI119" i="2"/>
  <c r="AE119" i="2"/>
  <c r="AL119" i="2"/>
  <c r="AH119" i="2"/>
  <c r="AD119" i="2"/>
  <c r="AI123" i="2"/>
  <c r="AE123" i="2"/>
  <c r="AL123" i="2"/>
  <c r="AH123" i="2"/>
  <c r="AD123" i="2"/>
  <c r="AG123" i="2"/>
  <c r="AC123" i="2"/>
  <c r="AJ123" i="2"/>
  <c r="AF123" i="2"/>
  <c r="AK123" i="2" s="1"/>
  <c r="AB123" i="2"/>
  <c r="AG127" i="2"/>
  <c r="AC127" i="2"/>
  <c r="AJ127" i="2"/>
  <c r="AF127" i="2"/>
  <c r="AK127" i="2" s="1"/>
  <c r="AB127" i="2"/>
  <c r="AI127" i="2"/>
  <c r="AE127" i="2"/>
  <c r="AL127" i="2"/>
  <c r="AH127" i="2"/>
  <c r="AD127" i="2"/>
  <c r="AI131" i="2"/>
  <c r="AE131" i="2"/>
  <c r="AL131" i="2"/>
  <c r="AH131" i="2"/>
  <c r="AD131" i="2"/>
  <c r="AG131" i="2"/>
  <c r="AC131" i="2"/>
  <c r="AJ131" i="2"/>
  <c r="AF131" i="2"/>
  <c r="AK131" i="2" s="1"/>
  <c r="AB131" i="2"/>
  <c r="AG135" i="2"/>
  <c r="AC135" i="2"/>
  <c r="AJ135" i="2"/>
  <c r="AF135" i="2"/>
  <c r="AK135" i="2" s="1"/>
  <c r="AB135" i="2"/>
  <c r="AI135" i="2"/>
  <c r="AE135" i="2"/>
  <c r="AL135" i="2"/>
  <c r="AH135" i="2"/>
  <c r="AD135" i="2"/>
  <c r="AI139" i="2"/>
  <c r="AE139" i="2"/>
  <c r="AL139" i="2"/>
  <c r="AH139" i="2"/>
  <c r="AD139" i="2"/>
  <c r="AG139" i="2"/>
  <c r="AC139" i="2"/>
  <c r="AJ139" i="2"/>
  <c r="AF139" i="2"/>
  <c r="AK139" i="2" s="1"/>
  <c r="AB139" i="2"/>
  <c r="AG143" i="2"/>
  <c r="AC143" i="2"/>
  <c r="AJ143" i="2"/>
  <c r="AF143" i="2"/>
  <c r="AK143" i="2" s="1"/>
  <c r="AB143" i="2"/>
  <c r="AI143" i="2"/>
  <c r="AE143" i="2"/>
  <c r="AL143" i="2"/>
  <c r="AH143" i="2"/>
  <c r="AD143" i="2"/>
  <c r="AI147" i="2"/>
  <c r="AE147" i="2"/>
  <c r="AL147" i="2"/>
  <c r="AH147" i="2"/>
  <c r="AD147" i="2"/>
  <c r="AG147" i="2"/>
  <c r="AC147" i="2"/>
  <c r="AJ147" i="2"/>
  <c r="AF147" i="2"/>
  <c r="AK147" i="2" s="1"/>
  <c r="AB147" i="2"/>
  <c r="AI151" i="2"/>
  <c r="AL151" i="2"/>
  <c r="AH151" i="2"/>
  <c r="AD151" i="2"/>
  <c r="AG151" i="2"/>
  <c r="AC151" i="2"/>
  <c r="AJ151" i="2"/>
  <c r="AF151" i="2"/>
  <c r="AK151" i="2" s="1"/>
  <c r="AB151" i="2"/>
  <c r="AE151" i="2"/>
  <c r="AG155" i="2"/>
  <c r="AC155" i="2"/>
  <c r="AJ155" i="2"/>
  <c r="AF155" i="2"/>
  <c r="AK155" i="2" s="1"/>
  <c r="AB155" i="2"/>
  <c r="AI155" i="2"/>
  <c r="AE155" i="2"/>
  <c r="AL155" i="2"/>
  <c r="AH155" i="2"/>
  <c r="AD155" i="2"/>
  <c r="AI159" i="2"/>
  <c r="AE159" i="2"/>
  <c r="AL159" i="2"/>
  <c r="AH159" i="2"/>
  <c r="AD159" i="2"/>
  <c r="AG159" i="2"/>
  <c r="AC159" i="2"/>
  <c r="AJ159" i="2"/>
  <c r="AF159" i="2"/>
  <c r="AK159" i="2" s="1"/>
  <c r="AB159" i="2"/>
  <c r="AG163" i="2"/>
  <c r="AC163" i="2"/>
  <c r="AJ163" i="2"/>
  <c r="AF163" i="2"/>
  <c r="AK163" i="2" s="1"/>
  <c r="AB163" i="2"/>
  <c r="AI163" i="2"/>
  <c r="AE163" i="2"/>
  <c r="AL163" i="2"/>
  <c r="AH163" i="2"/>
  <c r="AD163" i="2"/>
  <c r="AI167" i="2"/>
  <c r="AE167" i="2"/>
  <c r="AL167" i="2"/>
  <c r="AH167" i="2"/>
  <c r="AD167" i="2"/>
  <c r="AG167" i="2"/>
  <c r="AC167" i="2"/>
  <c r="AJ167" i="2"/>
  <c r="AF167" i="2"/>
  <c r="AK167" i="2" s="1"/>
  <c r="AB167" i="2"/>
  <c r="AG171" i="2"/>
  <c r="AC171" i="2"/>
  <c r="AJ171" i="2"/>
  <c r="AF171" i="2"/>
  <c r="AK171" i="2" s="1"/>
  <c r="AB171" i="2"/>
  <c r="AI171" i="2"/>
  <c r="AE171" i="2"/>
  <c r="AL171" i="2"/>
  <c r="AH171" i="2"/>
  <c r="AD171" i="2"/>
  <c r="AI175" i="2"/>
  <c r="AE175" i="2"/>
  <c r="AL175" i="2"/>
  <c r="AH175" i="2"/>
  <c r="AD175" i="2"/>
  <c r="AG175" i="2"/>
  <c r="AC175" i="2"/>
  <c r="AJ175" i="2"/>
  <c r="AF175" i="2"/>
  <c r="AK175" i="2" s="1"/>
  <c r="AB175" i="2"/>
  <c r="AG179" i="2"/>
  <c r="AC179" i="2"/>
  <c r="AJ179" i="2"/>
  <c r="AF179" i="2"/>
  <c r="AK179" i="2" s="1"/>
  <c r="AB179" i="2"/>
  <c r="AI179" i="2"/>
  <c r="AE179" i="2"/>
  <c r="AL179" i="2"/>
  <c r="AH179" i="2"/>
  <c r="AD179" i="2"/>
  <c r="AI183" i="2"/>
  <c r="AE183" i="2"/>
  <c r="AL183" i="2"/>
  <c r="AH183" i="2"/>
  <c r="AD183" i="2"/>
  <c r="AG183" i="2"/>
  <c r="AC183" i="2"/>
  <c r="AJ183" i="2"/>
  <c r="AF183" i="2"/>
  <c r="AK183" i="2" s="1"/>
  <c r="AB183" i="2"/>
  <c r="AG187" i="2"/>
  <c r="AC187" i="2"/>
  <c r="AJ187" i="2"/>
  <c r="AF187" i="2"/>
  <c r="AK187" i="2" s="1"/>
  <c r="AB187" i="2"/>
  <c r="AI187" i="2"/>
  <c r="AE187" i="2"/>
  <c r="AL187" i="2"/>
  <c r="AH187" i="2"/>
  <c r="AD187" i="2"/>
  <c r="AI191" i="2"/>
  <c r="AE191" i="2"/>
  <c r="AL191" i="2"/>
  <c r="AH191" i="2"/>
  <c r="AD191" i="2"/>
  <c r="AG191" i="2"/>
  <c r="AC191" i="2"/>
  <c r="AJ191" i="2"/>
  <c r="AF191" i="2"/>
  <c r="AK191" i="2" s="1"/>
  <c r="AB191" i="2"/>
  <c r="AG195" i="2"/>
  <c r="AC195" i="2"/>
  <c r="AJ195" i="2"/>
  <c r="AF195" i="2"/>
  <c r="AK195" i="2" s="1"/>
  <c r="AB195" i="2"/>
  <c r="AI195" i="2"/>
  <c r="AE195" i="2"/>
  <c r="AL195" i="2"/>
  <c r="AH195" i="2"/>
  <c r="AD195" i="2"/>
  <c r="AI199" i="2"/>
  <c r="AE199" i="2"/>
  <c r="AL199" i="2"/>
  <c r="AH199" i="2"/>
  <c r="AD199" i="2"/>
  <c r="AG199" i="2"/>
  <c r="AC199" i="2"/>
  <c r="AJ199" i="2"/>
  <c r="AF199" i="2"/>
  <c r="AK199" i="2" s="1"/>
  <c r="AB199" i="2"/>
  <c r="AG203" i="2"/>
  <c r="AC203" i="2"/>
  <c r="AJ203" i="2"/>
  <c r="AF203" i="2"/>
  <c r="AK203" i="2" s="1"/>
  <c r="AB203" i="2"/>
  <c r="AI203" i="2"/>
  <c r="AE203" i="2"/>
  <c r="AL203" i="2"/>
  <c r="AH203" i="2"/>
  <c r="AD203" i="2"/>
  <c r="AI207" i="2"/>
  <c r="AE207" i="2"/>
  <c r="AL207" i="2"/>
  <c r="AH207" i="2"/>
  <c r="AD207" i="2"/>
  <c r="AG207" i="2"/>
  <c r="AC207" i="2"/>
  <c r="AJ207" i="2"/>
  <c r="AF207" i="2"/>
  <c r="AK207" i="2" s="1"/>
  <c r="AB207" i="2"/>
  <c r="AG211" i="2"/>
  <c r="AC211" i="2"/>
  <c r="AJ211" i="2"/>
  <c r="AF211" i="2"/>
  <c r="AK211" i="2" s="1"/>
  <c r="AB211" i="2"/>
  <c r="AI211" i="2"/>
  <c r="AE211" i="2"/>
  <c r="AL211" i="2"/>
  <c r="AH211" i="2"/>
  <c r="AD211" i="2"/>
  <c r="AL215" i="2"/>
  <c r="AH215" i="2"/>
  <c r="AD215" i="2"/>
  <c r="AK215" i="2"/>
  <c r="AF215" i="2"/>
  <c r="AJ215" i="2"/>
  <c r="AE215" i="2"/>
  <c r="AI215" i="2"/>
  <c r="AC215" i="2"/>
  <c r="AG215" i="2"/>
  <c r="AB215" i="2"/>
  <c r="AG219" i="2"/>
  <c r="AC219" i="2"/>
  <c r="AJ219" i="2"/>
  <c r="AF219" i="2"/>
  <c r="AK219" i="2" s="1"/>
  <c r="AB219" i="2"/>
  <c r="AI219" i="2"/>
  <c r="AE219" i="2"/>
  <c r="AL219" i="2"/>
  <c r="AH219" i="2"/>
  <c r="AD219" i="2"/>
  <c r="AI223" i="2"/>
  <c r="AE223" i="2"/>
  <c r="AL223" i="2"/>
  <c r="AH223" i="2"/>
  <c r="AD223" i="2"/>
  <c r="AG223" i="2"/>
  <c r="AC223" i="2"/>
  <c r="AJ223" i="2"/>
  <c r="AF223" i="2"/>
  <c r="AK223" i="2" s="1"/>
  <c r="AB223" i="2"/>
  <c r="AG227" i="2"/>
  <c r="AC227" i="2"/>
  <c r="AJ227" i="2"/>
  <c r="AF227" i="2"/>
  <c r="AK227" i="2" s="1"/>
  <c r="AB227" i="2"/>
  <c r="AI227" i="2"/>
  <c r="AE227" i="2"/>
  <c r="AL227" i="2"/>
  <c r="AH227" i="2"/>
  <c r="AD227" i="2"/>
  <c r="AI231" i="2"/>
  <c r="AE231" i="2"/>
  <c r="AL231" i="2"/>
  <c r="AH231" i="2"/>
  <c r="AD231" i="2"/>
  <c r="AG231" i="2"/>
  <c r="AC231" i="2"/>
  <c r="AJ231" i="2"/>
  <c r="AF231" i="2"/>
  <c r="AK231" i="2" s="1"/>
  <c r="AB231" i="2"/>
  <c r="AG235" i="2"/>
  <c r="AC235" i="2"/>
  <c r="AJ235" i="2"/>
  <c r="AF235" i="2"/>
  <c r="AK235" i="2" s="1"/>
  <c r="AB235" i="2"/>
  <c r="AI235" i="2"/>
  <c r="AE235" i="2"/>
  <c r="AL235" i="2"/>
  <c r="AH235" i="2"/>
  <c r="AD235" i="2"/>
  <c r="AI239" i="2"/>
  <c r="AE239" i="2"/>
  <c r="AL239" i="2"/>
  <c r="AH239" i="2"/>
  <c r="AD239" i="2"/>
  <c r="AG239" i="2"/>
  <c r="AC239" i="2"/>
  <c r="AJ239" i="2"/>
  <c r="AF239" i="2"/>
  <c r="AK239" i="2" s="1"/>
  <c r="AB239" i="2"/>
  <c r="AG243" i="2"/>
  <c r="AC243" i="2"/>
  <c r="AJ243" i="2"/>
  <c r="AF243" i="2"/>
  <c r="AK243" i="2" s="1"/>
  <c r="AB243" i="2"/>
  <c r="AI243" i="2"/>
  <c r="AE243" i="2"/>
  <c r="AL243" i="2"/>
  <c r="AH243" i="2"/>
  <c r="AD243" i="2"/>
  <c r="AI247" i="2"/>
  <c r="AE247" i="2"/>
  <c r="AL247" i="2"/>
  <c r="AH247" i="2"/>
  <c r="AD247" i="2"/>
  <c r="AG247" i="2"/>
  <c r="AC247" i="2"/>
  <c r="AJ247" i="2"/>
  <c r="AF247" i="2"/>
  <c r="AK247" i="2" s="1"/>
  <c r="AB247" i="2"/>
  <c r="AG251" i="2"/>
  <c r="AC251" i="2"/>
  <c r="AJ251" i="2"/>
  <c r="AF251" i="2"/>
  <c r="AK251" i="2" s="1"/>
  <c r="AB251" i="2"/>
  <c r="AI251" i="2"/>
  <c r="AE251" i="2"/>
  <c r="AL251" i="2"/>
  <c r="AH251" i="2"/>
  <c r="AD251" i="2"/>
  <c r="AI255" i="2"/>
  <c r="AE255" i="2"/>
  <c r="AL255" i="2"/>
  <c r="AH255" i="2"/>
  <c r="AD255" i="2"/>
  <c r="AG255" i="2"/>
  <c r="AC255" i="2"/>
  <c r="AJ255" i="2"/>
  <c r="AF255" i="2"/>
  <c r="AK255" i="2" s="1"/>
  <c r="AB255" i="2"/>
  <c r="AG259" i="2"/>
  <c r="AC259" i="2"/>
  <c r="AJ259" i="2"/>
  <c r="AF259" i="2"/>
  <c r="AK259" i="2" s="1"/>
  <c r="AB259" i="2"/>
  <c r="AI259" i="2"/>
  <c r="AE259" i="2"/>
  <c r="AL259" i="2"/>
  <c r="AH259" i="2"/>
  <c r="AD259" i="2"/>
  <c r="AI263" i="2"/>
  <c r="AE263" i="2"/>
  <c r="AL263" i="2"/>
  <c r="AH263" i="2"/>
  <c r="AD263" i="2"/>
  <c r="AG263" i="2"/>
  <c r="AC263" i="2"/>
  <c r="AJ263" i="2"/>
  <c r="AF263" i="2"/>
  <c r="AK263" i="2" s="1"/>
  <c r="AB263" i="2"/>
  <c r="AG267" i="2"/>
  <c r="AC267" i="2"/>
  <c r="AJ267" i="2"/>
  <c r="AF267" i="2"/>
  <c r="AK267" i="2" s="1"/>
  <c r="AB267" i="2"/>
  <c r="AI267" i="2"/>
  <c r="AE267" i="2"/>
  <c r="AL267" i="2"/>
  <c r="AH267" i="2"/>
  <c r="AD267" i="2"/>
  <c r="AI271" i="2"/>
  <c r="AE271" i="2"/>
  <c r="AL271" i="2"/>
  <c r="AH271" i="2"/>
  <c r="AD271" i="2"/>
  <c r="AG271" i="2"/>
  <c r="AC271" i="2"/>
  <c r="AJ271" i="2"/>
  <c r="AF271" i="2"/>
  <c r="AK271" i="2" s="1"/>
  <c r="AB271" i="2"/>
  <c r="AG275" i="2"/>
  <c r="AC275" i="2"/>
  <c r="AL275" i="2"/>
  <c r="AF275" i="2"/>
  <c r="AK275" i="2" s="1"/>
  <c r="AJ275" i="2"/>
  <c r="AE275" i="2"/>
  <c r="AI275" i="2"/>
  <c r="AD275" i="2"/>
  <c r="AH275" i="2"/>
  <c r="AB275" i="2"/>
  <c r="AI279" i="2"/>
  <c r="AE279" i="2"/>
  <c r="AL279" i="2"/>
  <c r="AG279" i="2"/>
  <c r="AB279" i="2"/>
  <c r="AK279" i="2"/>
  <c r="AF279" i="2"/>
  <c r="AJ279" i="2"/>
  <c r="AD279" i="2"/>
  <c r="AH279" i="2"/>
  <c r="AC279" i="2"/>
  <c r="AJ283" i="2"/>
  <c r="AF283" i="2"/>
  <c r="AB283" i="2"/>
  <c r="AK283" i="2"/>
  <c r="AG283" i="2"/>
  <c r="AC283" i="2"/>
  <c r="AI283" i="2"/>
  <c r="AH283" i="2"/>
  <c r="AE283" i="2"/>
  <c r="AL283" i="2"/>
  <c r="AD283" i="2"/>
  <c r="AL287" i="2"/>
  <c r="AH287" i="2"/>
  <c r="AD287" i="2"/>
  <c r="AG287" i="2"/>
  <c r="AC287" i="2"/>
  <c r="AJ287" i="2"/>
  <c r="AF287" i="2"/>
  <c r="AK287" i="2" s="1"/>
  <c r="AB287" i="2"/>
  <c r="AI287" i="2"/>
  <c r="AE287" i="2"/>
  <c r="AJ291" i="2"/>
  <c r="AF291" i="2"/>
  <c r="AB291" i="2"/>
  <c r="AI291" i="2"/>
  <c r="AE291" i="2"/>
  <c r="AL291" i="2"/>
  <c r="AH291" i="2"/>
  <c r="AD291" i="2"/>
  <c r="AK291" i="2"/>
  <c r="AG291" i="2"/>
  <c r="AC291" i="2"/>
  <c r="AL295" i="2"/>
  <c r="AH295" i="2"/>
  <c r="AD295" i="2"/>
  <c r="AG295" i="2"/>
  <c r="AC295" i="2"/>
  <c r="AJ295" i="2"/>
  <c r="AF295" i="2"/>
  <c r="AK295" i="2" s="1"/>
  <c r="AB295" i="2"/>
  <c r="AI295" i="2"/>
  <c r="AE295" i="2"/>
  <c r="AJ299" i="2"/>
  <c r="AF299" i="2"/>
  <c r="AB299" i="2"/>
  <c r="AI299" i="2"/>
  <c r="AE299" i="2"/>
  <c r="AL299" i="2"/>
  <c r="AH299" i="2"/>
  <c r="AD299" i="2"/>
  <c r="AK299" i="2"/>
  <c r="AG299" i="2"/>
  <c r="AC299" i="2"/>
  <c r="AL303" i="2"/>
  <c r="AH303" i="2"/>
  <c r="AD303" i="2"/>
  <c r="AG303" i="2"/>
  <c r="AC303" i="2"/>
  <c r="AJ303" i="2"/>
  <c r="AF303" i="2"/>
  <c r="AK303" i="2" s="1"/>
  <c r="AB303" i="2"/>
  <c r="AI303" i="2"/>
  <c r="AE303" i="2"/>
  <c r="AJ307" i="2"/>
  <c r="AF307" i="2"/>
  <c r="AB307" i="2"/>
  <c r="AI307" i="2"/>
  <c r="AE307" i="2"/>
  <c r="AL307" i="2"/>
  <c r="AH307" i="2"/>
  <c r="AD307" i="2"/>
  <c r="AK307" i="2"/>
  <c r="AG307" i="2"/>
  <c r="AC307" i="2"/>
  <c r="AL311" i="2"/>
  <c r="AH311" i="2"/>
  <c r="AD311" i="2"/>
  <c r="AG311" i="2"/>
  <c r="AC311" i="2"/>
  <c r="AJ311" i="2"/>
  <c r="AF311" i="2"/>
  <c r="AK311" i="2" s="1"/>
  <c r="AB311" i="2"/>
  <c r="AI311" i="2"/>
  <c r="AE311" i="2"/>
  <c r="AJ315" i="2"/>
  <c r="AF315" i="2"/>
  <c r="AB315" i="2"/>
  <c r="AI315" i="2"/>
  <c r="AE315" i="2"/>
  <c r="AL315" i="2"/>
  <c r="AH315" i="2"/>
  <c r="AD315" i="2"/>
  <c r="AK315" i="2"/>
  <c r="AG315" i="2"/>
  <c r="AC315" i="2"/>
  <c r="AL319" i="2"/>
  <c r="AH319" i="2"/>
  <c r="AD319" i="2"/>
  <c r="AG319" i="2"/>
  <c r="AC319" i="2"/>
  <c r="AJ319" i="2"/>
  <c r="AF319" i="2"/>
  <c r="AK319" i="2" s="1"/>
  <c r="AB319" i="2"/>
  <c r="AI319" i="2"/>
  <c r="AE319" i="2"/>
  <c r="AJ323" i="2"/>
  <c r="AF323" i="2"/>
  <c r="AB323" i="2"/>
  <c r="AI323" i="2"/>
  <c r="AE323" i="2"/>
  <c r="AL323" i="2"/>
  <c r="AH323" i="2"/>
  <c r="AD323" i="2"/>
  <c r="AK323" i="2"/>
  <c r="AG323" i="2"/>
  <c r="AC323" i="2"/>
  <c r="AL327" i="2"/>
  <c r="AH327" i="2"/>
  <c r="AD327" i="2"/>
  <c r="AG327" i="2"/>
  <c r="AC327" i="2"/>
  <c r="AJ327" i="2"/>
  <c r="AF327" i="2"/>
  <c r="AK327" i="2" s="1"/>
  <c r="AB327" i="2"/>
  <c r="AI327" i="2"/>
  <c r="AE327" i="2"/>
  <c r="AL331" i="2"/>
  <c r="AH331" i="2"/>
  <c r="AD331" i="2"/>
  <c r="AI331" i="2"/>
  <c r="AC331" i="2"/>
  <c r="AG331" i="2"/>
  <c r="AB331" i="2"/>
  <c r="AF331" i="2"/>
  <c r="AK331" i="2" s="1"/>
  <c r="AJ331" i="2"/>
  <c r="AE331" i="2"/>
  <c r="AJ335" i="2"/>
  <c r="AF335" i="2"/>
  <c r="AB335" i="2"/>
  <c r="AI335" i="2"/>
  <c r="AD335" i="2"/>
  <c r="AH335" i="2"/>
  <c r="AC335" i="2"/>
  <c r="AL335" i="2"/>
  <c r="AG335" i="2"/>
  <c r="AK335" i="2"/>
  <c r="AE335" i="2"/>
  <c r="AL339" i="2"/>
  <c r="AH339" i="2"/>
  <c r="AD339" i="2"/>
  <c r="AG339" i="2"/>
  <c r="AC339" i="2"/>
  <c r="AI339" i="2"/>
  <c r="AF339" i="2"/>
  <c r="AK339" i="2" s="1"/>
  <c r="AE339" i="2"/>
  <c r="AJ339" i="2"/>
  <c r="AB339" i="2"/>
  <c r="AG343" i="2"/>
  <c r="AC343" i="2"/>
  <c r="AJ343" i="2"/>
  <c r="AF343" i="2"/>
  <c r="AK343" i="2" s="1"/>
  <c r="AB343" i="2"/>
  <c r="AI343" i="2"/>
  <c r="AE343" i="2"/>
  <c r="AL343" i="2"/>
  <c r="AH343" i="2"/>
  <c r="AD343" i="2"/>
  <c r="AI347" i="2"/>
  <c r="AE347" i="2"/>
  <c r="AL347" i="2"/>
  <c r="AH347" i="2"/>
  <c r="AD347" i="2"/>
  <c r="AG347" i="2"/>
  <c r="AC347" i="2"/>
  <c r="AJ347" i="2"/>
  <c r="AF347" i="2"/>
  <c r="AK347" i="2" s="1"/>
  <c r="AB347" i="2"/>
  <c r="AG351" i="2"/>
  <c r="AC351" i="2"/>
  <c r="AJ351" i="2"/>
  <c r="AF351" i="2"/>
  <c r="AK351" i="2" s="1"/>
  <c r="AB351" i="2"/>
  <c r="AI351" i="2"/>
  <c r="AE351" i="2"/>
  <c r="AL351" i="2"/>
  <c r="AH351" i="2"/>
  <c r="AD351" i="2"/>
  <c r="AI355" i="2"/>
  <c r="AE355" i="2"/>
  <c r="AL355" i="2"/>
  <c r="AH355" i="2"/>
  <c r="AD355" i="2"/>
  <c r="AG355" i="2"/>
  <c r="AC355" i="2"/>
  <c r="AJ355" i="2"/>
  <c r="AF355" i="2"/>
  <c r="AK355" i="2" s="1"/>
  <c r="AB355" i="2"/>
  <c r="AG359" i="2"/>
  <c r="AC359" i="2"/>
  <c r="AJ359" i="2"/>
  <c r="AF359" i="2"/>
  <c r="AK359" i="2" s="1"/>
  <c r="AB359" i="2"/>
  <c r="AI359" i="2"/>
  <c r="AE359" i="2"/>
  <c r="AL359" i="2"/>
  <c r="AH359" i="2"/>
  <c r="AD359" i="2"/>
  <c r="AI363" i="2"/>
  <c r="AE363" i="2"/>
  <c r="AH363" i="2"/>
  <c r="AD363" i="2"/>
  <c r="AL363" i="2"/>
  <c r="AG363" i="2"/>
  <c r="AC363" i="2"/>
  <c r="AJ363" i="2"/>
  <c r="AF363" i="2"/>
  <c r="AK363" i="2" s="1"/>
  <c r="AB363" i="2"/>
  <c r="AG367" i="2"/>
  <c r="AC367" i="2"/>
  <c r="AJ367" i="2"/>
  <c r="AF367" i="2"/>
  <c r="AK367" i="2" s="1"/>
  <c r="AB367" i="2"/>
  <c r="AI367" i="2"/>
  <c r="AE367" i="2"/>
  <c r="AL367" i="2"/>
  <c r="AH367" i="2"/>
  <c r="AD367" i="2"/>
  <c r="AI371" i="2"/>
  <c r="AE371" i="2"/>
  <c r="AH371" i="2"/>
  <c r="AD371" i="2"/>
  <c r="AL371" i="2"/>
  <c r="AG371" i="2"/>
  <c r="AC371" i="2"/>
  <c r="AJ371" i="2"/>
  <c r="AF371" i="2"/>
  <c r="AK371" i="2" s="1"/>
  <c r="AB371" i="2"/>
  <c r="AL375" i="2"/>
  <c r="AG375" i="2"/>
  <c r="AC375" i="2"/>
  <c r="AJ375" i="2"/>
  <c r="AF375" i="2"/>
  <c r="AK375" i="2" s="1"/>
  <c r="AB375" i="2"/>
  <c r="AI375" i="2"/>
  <c r="AE375" i="2"/>
  <c r="AH375" i="2"/>
  <c r="AD375" i="2"/>
  <c r="AJ379" i="2"/>
  <c r="AF379" i="2"/>
  <c r="AK379" i="2" s="1"/>
  <c r="AB379" i="2"/>
  <c r="AI379" i="2"/>
  <c r="AE379" i="2"/>
  <c r="AH379" i="2"/>
  <c r="AD379" i="2"/>
  <c r="AL379" i="2"/>
  <c r="AG379" i="2"/>
  <c r="AC379" i="2"/>
  <c r="AL383" i="2"/>
  <c r="AH383" i="2"/>
  <c r="AD383" i="2"/>
  <c r="AG383" i="2"/>
  <c r="AC383" i="2"/>
  <c r="AJ383" i="2"/>
  <c r="AF383" i="2"/>
  <c r="AK383" i="2" s="1"/>
  <c r="AB383" i="2"/>
  <c r="AI383" i="2"/>
  <c r="AE383" i="2"/>
  <c r="AJ387" i="2"/>
  <c r="AF387" i="2"/>
  <c r="AB387" i="2"/>
  <c r="AI387" i="2"/>
  <c r="AE387" i="2"/>
  <c r="AL387" i="2"/>
  <c r="AH387" i="2"/>
  <c r="AD387" i="2"/>
  <c r="AK387" i="2"/>
  <c r="AG387" i="2"/>
  <c r="AC387" i="2"/>
  <c r="AL391" i="2"/>
  <c r="AH391" i="2"/>
  <c r="AD391" i="2"/>
  <c r="AG391" i="2"/>
  <c r="AC391" i="2"/>
  <c r="AJ391" i="2"/>
  <c r="AF391" i="2"/>
  <c r="AK391" i="2" s="1"/>
  <c r="AB391" i="2"/>
  <c r="AI391" i="2"/>
  <c r="AE391" i="2"/>
  <c r="AG395" i="2"/>
  <c r="AC395" i="2"/>
  <c r="AJ395" i="2"/>
  <c r="AF395" i="2"/>
  <c r="AK395" i="2" s="1"/>
  <c r="AB395" i="2"/>
  <c r="AI395" i="2"/>
  <c r="AL395" i="2"/>
  <c r="AH395" i="2"/>
  <c r="AD395" i="2"/>
  <c r="AE395" i="2"/>
  <c r="AI399" i="2"/>
  <c r="AE399" i="2"/>
  <c r="AL399" i="2"/>
  <c r="AH399" i="2"/>
  <c r="AD399" i="2"/>
  <c r="AG399" i="2"/>
  <c r="AC399" i="2"/>
  <c r="AJ399" i="2"/>
  <c r="AF399" i="2"/>
  <c r="AK399" i="2" s="1"/>
  <c r="AB399" i="2"/>
  <c r="AG403" i="2"/>
  <c r="AC403" i="2"/>
  <c r="AJ403" i="2"/>
  <c r="AF403" i="2"/>
  <c r="AK403" i="2" s="1"/>
  <c r="AB403" i="2"/>
  <c r="AI403" i="2"/>
  <c r="AE403" i="2"/>
  <c r="AL403" i="2"/>
  <c r="AH403" i="2"/>
  <c r="AD403" i="2"/>
  <c r="AI407" i="2"/>
  <c r="AE407" i="2"/>
  <c r="AL407" i="2"/>
  <c r="AH407" i="2"/>
  <c r="AD407" i="2"/>
  <c r="AG407" i="2"/>
  <c r="AC407" i="2"/>
  <c r="AJ407" i="2"/>
  <c r="AF407" i="2"/>
  <c r="AK407" i="2" s="1"/>
  <c r="AB407" i="2"/>
  <c r="AG411" i="2"/>
  <c r="AC411" i="2"/>
  <c r="AJ411" i="2"/>
  <c r="AF411" i="2"/>
  <c r="AK411" i="2" s="1"/>
  <c r="AB411" i="2"/>
  <c r="AI411" i="2"/>
  <c r="AE411" i="2"/>
  <c r="AL411" i="2"/>
  <c r="AH411" i="2"/>
  <c r="AD411" i="2"/>
  <c r="AI415" i="2"/>
  <c r="AE415" i="2"/>
  <c r="AL415" i="2"/>
  <c r="AH415" i="2"/>
  <c r="AD415" i="2"/>
  <c r="AG415" i="2"/>
  <c r="AC415" i="2"/>
  <c r="AJ415" i="2"/>
  <c r="AF415" i="2"/>
  <c r="AK415" i="2" s="1"/>
  <c r="AB415" i="2"/>
  <c r="AG419" i="2"/>
  <c r="AC419" i="2"/>
  <c r="AJ419" i="2"/>
  <c r="AF419" i="2"/>
  <c r="AK419" i="2" s="1"/>
  <c r="AB419" i="2"/>
  <c r="AI419" i="2"/>
  <c r="AE419" i="2"/>
  <c r="AL419" i="2"/>
  <c r="AH419" i="2"/>
  <c r="AD419" i="2"/>
  <c r="AI423" i="2"/>
  <c r="AE423" i="2"/>
  <c r="AL423" i="2"/>
  <c r="AH423" i="2"/>
  <c r="AD423" i="2"/>
  <c r="AG423" i="2"/>
  <c r="AC423" i="2"/>
  <c r="AJ423" i="2"/>
  <c r="AF423" i="2"/>
  <c r="AK423" i="2" s="1"/>
  <c r="AB423" i="2"/>
  <c r="AJ427" i="2"/>
  <c r="AF427" i="2"/>
  <c r="AB427" i="2"/>
  <c r="AL427" i="2"/>
  <c r="AH427" i="2"/>
  <c r="AD427" i="2"/>
  <c r="AI427" i="2"/>
  <c r="AG427" i="2"/>
  <c r="AE427" i="2"/>
  <c r="AK427" i="2"/>
  <c r="AC427" i="2"/>
  <c r="AI431" i="2"/>
  <c r="AE431" i="2"/>
  <c r="AL431" i="2"/>
  <c r="AH431" i="2"/>
  <c r="AD431" i="2"/>
  <c r="AJ431" i="2"/>
  <c r="AF431" i="2"/>
  <c r="AB431" i="2"/>
  <c r="AG431" i="2"/>
  <c r="AC431" i="2"/>
  <c r="AK431" i="2"/>
  <c r="AG435" i="2"/>
  <c r="AC435" i="2"/>
  <c r="AJ435" i="2"/>
  <c r="AF435" i="2"/>
  <c r="AK435" i="2" s="1"/>
  <c r="AB435" i="2"/>
  <c r="AI435" i="2"/>
  <c r="AE435" i="2"/>
  <c r="AL435" i="2"/>
  <c r="AH435" i="2"/>
  <c r="AD435" i="2"/>
  <c r="AI439" i="2"/>
  <c r="AE439" i="2"/>
  <c r="AL439" i="2"/>
  <c r="AH439" i="2"/>
  <c r="AD439" i="2"/>
  <c r="AG439" i="2"/>
  <c r="AC439" i="2"/>
  <c r="AJ439" i="2"/>
  <c r="AF439" i="2"/>
  <c r="AK439" i="2" s="1"/>
  <c r="AB439" i="2"/>
  <c r="AG443" i="2"/>
  <c r="AC443" i="2"/>
  <c r="AJ443" i="2"/>
  <c r="AF443" i="2"/>
  <c r="AK443" i="2" s="1"/>
  <c r="AB443" i="2"/>
  <c r="AI443" i="2"/>
  <c r="AE443" i="2"/>
  <c r="AL443" i="2"/>
  <c r="AH443" i="2"/>
  <c r="AD443" i="2"/>
  <c r="AI447" i="2"/>
  <c r="AE447" i="2"/>
  <c r="AL447" i="2"/>
  <c r="AH447" i="2"/>
  <c r="AD447" i="2"/>
  <c r="AG447" i="2"/>
  <c r="AC447" i="2"/>
  <c r="AJ447" i="2"/>
  <c r="AF447" i="2"/>
  <c r="AK447" i="2" s="1"/>
  <c r="AB447" i="2"/>
  <c r="AG451" i="2"/>
  <c r="AC451" i="2"/>
  <c r="AI451" i="2"/>
  <c r="AE451" i="2"/>
  <c r="AH451" i="2"/>
  <c r="AF451" i="2"/>
  <c r="AK451" i="2" s="1"/>
  <c r="AL451" i="2"/>
  <c r="AD451" i="2"/>
  <c r="AJ451" i="2"/>
  <c r="AB451" i="2"/>
  <c r="AI455" i="2"/>
  <c r="AE455" i="2"/>
  <c r="AG455" i="2"/>
  <c r="AC455" i="2"/>
  <c r="AF455" i="2"/>
  <c r="AK455" i="2" s="1"/>
  <c r="AL455" i="2"/>
  <c r="AD455" i="2"/>
  <c r="AJ455" i="2"/>
  <c r="AB455" i="2"/>
  <c r="AH455" i="2"/>
  <c r="AG459" i="2"/>
  <c r="AC459" i="2"/>
  <c r="AJ459" i="2"/>
  <c r="AF459" i="2"/>
  <c r="AK459" i="2" s="1"/>
  <c r="AB459" i="2"/>
  <c r="AI459" i="2"/>
  <c r="AE459" i="2"/>
  <c r="AH459" i="2"/>
  <c r="AD459" i="2"/>
  <c r="AL459" i="2"/>
  <c r="AI463" i="2"/>
  <c r="AE463" i="2"/>
  <c r="AL463" i="2"/>
  <c r="AH463" i="2"/>
  <c r="AD463" i="2"/>
  <c r="AG463" i="2"/>
  <c r="AC463" i="2"/>
  <c r="AJ463" i="2"/>
  <c r="AF463" i="2"/>
  <c r="AK463" i="2" s="1"/>
  <c r="AB463" i="2"/>
  <c r="AG467" i="2"/>
  <c r="AC467" i="2"/>
  <c r="AJ467" i="2"/>
  <c r="AF467" i="2"/>
  <c r="AK467" i="2" s="1"/>
  <c r="AB467" i="2"/>
  <c r="AI467" i="2"/>
  <c r="AE467" i="2"/>
  <c r="AD467" i="2"/>
  <c r="AL467" i="2"/>
  <c r="AH467" i="2"/>
  <c r="AI471" i="2"/>
  <c r="AE471" i="2"/>
  <c r="AF471" i="2"/>
  <c r="AK471" i="2" s="1"/>
  <c r="AJ471" i="2"/>
  <c r="AD471" i="2"/>
  <c r="AH471" i="2"/>
  <c r="AC471" i="2"/>
  <c r="AL471" i="2"/>
  <c r="AG471" i="2"/>
  <c r="AB471" i="2"/>
  <c r="AK475" i="2"/>
  <c r="AG475" i="2"/>
  <c r="AC475" i="2"/>
  <c r="AH475" i="2"/>
  <c r="AB475" i="2"/>
  <c r="AL475" i="2"/>
  <c r="AF475" i="2"/>
  <c r="AJ475" i="2"/>
  <c r="AE475" i="2"/>
  <c r="AI475" i="2"/>
  <c r="AD475" i="2"/>
  <c r="AI479" i="2"/>
  <c r="AE479" i="2"/>
  <c r="AH479" i="2"/>
  <c r="AC479" i="2"/>
  <c r="AL479" i="2"/>
  <c r="AG479" i="2"/>
  <c r="AB479" i="2"/>
  <c r="AK479" i="2"/>
  <c r="AF479" i="2"/>
  <c r="AJ479" i="2"/>
  <c r="AD479" i="2"/>
  <c r="AG483" i="2"/>
  <c r="AC483" i="2"/>
  <c r="AJ483" i="2"/>
  <c r="AF483" i="2"/>
  <c r="AK483" i="2" s="1"/>
  <c r="AB483" i="2"/>
  <c r="AH483" i="2"/>
  <c r="AE483" i="2"/>
  <c r="AL483" i="2"/>
  <c r="AD483" i="2"/>
  <c r="AI483" i="2"/>
  <c r="AI487" i="2"/>
  <c r="AE487" i="2"/>
  <c r="AL487" i="2"/>
  <c r="AH487" i="2"/>
  <c r="AD487" i="2"/>
  <c r="AJ487" i="2"/>
  <c r="AF487" i="2"/>
  <c r="AK487" i="2" s="1"/>
  <c r="AC487" i="2"/>
  <c r="AB487" i="2"/>
  <c r="AG487" i="2"/>
  <c r="AG491" i="2"/>
  <c r="AC491" i="2"/>
  <c r="AJ491" i="2"/>
  <c r="AF491" i="2"/>
  <c r="AK491" i="2" s="1"/>
  <c r="AB491" i="2"/>
  <c r="AI491" i="2"/>
  <c r="AE491" i="2"/>
  <c r="AL491" i="2"/>
  <c r="AH491" i="2"/>
  <c r="AD491" i="2"/>
  <c r="AI495" i="2"/>
  <c r="AE495" i="2"/>
  <c r="AL495" i="2"/>
  <c r="AH495" i="2"/>
  <c r="AD495" i="2"/>
  <c r="AG495" i="2"/>
  <c r="AC495" i="2"/>
  <c r="AJ495" i="2"/>
  <c r="AF495" i="2"/>
  <c r="AK495" i="2" s="1"/>
  <c r="AB495" i="2"/>
  <c r="AG499" i="2"/>
  <c r="AC499" i="2"/>
  <c r="AJ499" i="2"/>
  <c r="AF499" i="2"/>
  <c r="AK499" i="2" s="1"/>
  <c r="AB499" i="2"/>
  <c r="AI499" i="2"/>
  <c r="AE499" i="2"/>
  <c r="AL499" i="2"/>
  <c r="AH499" i="2"/>
  <c r="AD499" i="2"/>
  <c r="AD4" i="2"/>
  <c r="AB5" i="2"/>
  <c r="AF5" i="2"/>
  <c r="AK5" i="2" s="1"/>
  <c r="AC6" i="2"/>
  <c r="AG6" i="2"/>
  <c r="AE7" i="2"/>
  <c r="AB8" i="2"/>
  <c r="AF8" i="2"/>
  <c r="AK8" i="2" s="1"/>
  <c r="AD9" i="2"/>
  <c r="AH9" i="2"/>
  <c r="AE10" i="2"/>
  <c r="AC11" i="2"/>
  <c r="AG11" i="2"/>
  <c r="AD12" i="2"/>
  <c r="AB13" i="2"/>
  <c r="AF13" i="2"/>
  <c r="AK13" i="2" s="1"/>
  <c r="AC14" i="2"/>
  <c r="AG14" i="2"/>
  <c r="AE15" i="2"/>
  <c r="AB16" i="2"/>
  <c r="AF16" i="2"/>
  <c r="AK16" i="2" s="1"/>
  <c r="AD17" i="2"/>
  <c r="AH17" i="2"/>
  <c r="AE18" i="2"/>
  <c r="AC19" i="2"/>
  <c r="AG19" i="2"/>
  <c r="AD20" i="2"/>
  <c r="AH20" i="2"/>
  <c r="AC21" i="2"/>
  <c r="AI21" i="2"/>
  <c r="AD22" i="2"/>
  <c r="AE23" i="2"/>
  <c r="T39" i="16"/>
  <c r="T7" i="16"/>
  <c r="B70" i="16" s="1"/>
  <c r="B45" i="16"/>
  <c r="V2" i="16" a="1"/>
  <c r="V2" i="16" s="1"/>
  <c r="T35" i="16" a="1"/>
  <c r="T35" i="16" s="1"/>
  <c r="N39" i="16" s="1"/>
  <c r="T40" i="16"/>
  <c r="G7" i="16" s="1"/>
  <c r="F18" i="16"/>
  <c r="M57" i="16"/>
  <c r="P57" i="16" s="1"/>
  <c r="B39" i="16"/>
  <c r="N46" i="16"/>
  <c r="T12" i="16"/>
  <c r="F74" i="16" s="1"/>
  <c r="I48" i="12"/>
  <c r="T10" i="16"/>
  <c r="T31" i="16" a="1"/>
  <c r="T31" i="16" s="1"/>
  <c r="B83" i="16"/>
  <c r="M212" i="4"/>
  <c r="C212" i="4"/>
  <c r="M224" i="4"/>
  <c r="C224" i="4"/>
  <c r="C232" i="4"/>
  <c r="M232" i="4"/>
  <c r="D232" i="4"/>
  <c r="C240" i="4"/>
  <c r="M240" i="4"/>
  <c r="D240" i="4"/>
  <c r="M252" i="4"/>
  <c r="D252" i="4"/>
  <c r="C252" i="4"/>
  <c r="M268" i="4"/>
  <c r="C268" i="4"/>
  <c r="D268" i="4"/>
  <c r="M220" i="4"/>
  <c r="C220" i="4"/>
  <c r="M210" i="4"/>
  <c r="C210" i="4"/>
  <c r="M214" i="4"/>
  <c r="C214" i="4"/>
  <c r="M218" i="4"/>
  <c r="C218" i="4"/>
  <c r="M222" i="4"/>
  <c r="C222" i="4"/>
  <c r="M226" i="4"/>
  <c r="C226" i="4"/>
  <c r="M230" i="4"/>
  <c r="C230" i="4"/>
  <c r="V119" i="12" a="1"/>
  <c r="V119" i="12" s="1"/>
  <c r="D119" i="12" s="1" a="1"/>
  <c r="D119" i="12" s="1"/>
  <c r="U112" i="12" a="1"/>
  <c r="U112" i="12" s="1"/>
  <c r="B112" i="12" s="1" a="1"/>
  <c r="B112" i="12" s="1"/>
  <c r="Y117" i="12" a="1"/>
  <c r="Y104" i="12" a="1"/>
  <c r="Y90" i="12" a="1"/>
  <c r="Y88" i="12" a="1"/>
  <c r="V118" i="12" a="1"/>
  <c r="V118" i="12" s="1"/>
  <c r="D118" i="12" s="1" a="1"/>
  <c r="D118" i="12" s="1"/>
  <c r="U111" i="12" a="1"/>
  <c r="U111" i="12" s="1"/>
  <c r="C111" i="12" s="1" a="1"/>
  <c r="C111" i="12" s="1"/>
  <c r="Y118" i="12" a="1"/>
  <c r="Y110" i="12" a="1"/>
  <c r="Y109" i="12" a="1"/>
  <c r="Y105" i="12" a="1"/>
  <c r="Y91" i="12" a="1"/>
  <c r="Y95" i="12" a="1"/>
  <c r="V117" i="12" a="1"/>
  <c r="V117" i="12" s="1"/>
  <c r="D117" i="12" s="1" a="1"/>
  <c r="D117" i="12" s="1"/>
  <c r="U110" i="12" a="1"/>
  <c r="U110" i="12" s="1"/>
  <c r="D110" i="12" s="1" a="1"/>
  <c r="D110" i="12" s="1"/>
  <c r="I10" i="12"/>
  <c r="Y119" i="12" a="1"/>
  <c r="Y111" i="12" a="1"/>
  <c r="Y102" i="12" a="1"/>
  <c r="Y101" i="12" a="1"/>
  <c r="Y92" i="12" a="1"/>
  <c r="Y96" i="12" a="1"/>
  <c r="V120" i="12" a="1"/>
  <c r="V120" i="12" s="1"/>
  <c r="D120" i="12" s="1" a="1"/>
  <c r="D120" i="12" s="1"/>
  <c r="U113" i="12" a="1"/>
  <c r="U113" i="12" s="1"/>
  <c r="C113" i="12" s="1" a="1"/>
  <c r="C113" i="12" s="1"/>
  <c r="U109" i="12" a="1"/>
  <c r="U109" i="12" s="1"/>
  <c r="B109" i="12" s="1" a="1"/>
  <c r="B109" i="12" s="1"/>
  <c r="Y120" i="12" a="1"/>
  <c r="Y112" i="12" a="1"/>
  <c r="Y103" i="12" a="1"/>
  <c r="Y89" i="12" a="1"/>
  <c r="Y93" i="12" a="1"/>
  <c r="Y97" i="12" a="1"/>
  <c r="Y113" i="12" a="1"/>
  <c r="Y94" i="12" a="1"/>
  <c r="M244" i="4"/>
  <c r="D244" i="4"/>
  <c r="C244" i="4"/>
  <c r="M208" i="4"/>
  <c r="C208" i="4"/>
  <c r="M216" i="4"/>
  <c r="C216" i="4"/>
  <c r="M228" i="4"/>
  <c r="C228" i="4"/>
  <c r="C236" i="4"/>
  <c r="M236" i="4"/>
  <c r="D236" i="4"/>
  <c r="M260" i="4"/>
  <c r="D260" i="4"/>
  <c r="C260" i="4"/>
  <c r="B350" i="3"/>
  <c r="B332" i="11"/>
  <c r="B332" i="9"/>
  <c r="B332" i="10"/>
  <c r="B332" i="8"/>
  <c r="B332" i="7"/>
  <c r="D332" i="7" s="1"/>
  <c r="B332" i="6"/>
  <c r="B332" i="5"/>
  <c r="B332" i="4"/>
  <c r="B227" i="3"/>
  <c r="B209" i="11"/>
  <c r="B209" i="10"/>
  <c r="C209" i="10" s="1"/>
  <c r="B209" i="9"/>
  <c r="B209" i="8"/>
  <c r="D209" i="8" s="1"/>
  <c r="B209" i="7"/>
  <c r="C209" i="7" s="1"/>
  <c r="B209" i="6"/>
  <c r="B209" i="5"/>
  <c r="B231" i="3"/>
  <c r="B213" i="11"/>
  <c r="B213" i="10"/>
  <c r="C213" i="10" s="1"/>
  <c r="B213" i="9"/>
  <c r="B213" i="8"/>
  <c r="D213" i="8" s="1"/>
  <c r="B213" i="7"/>
  <c r="C213" i="7" s="1"/>
  <c r="B213" i="6"/>
  <c r="B213" i="5"/>
  <c r="B235" i="3"/>
  <c r="B217" i="11"/>
  <c r="B217" i="10"/>
  <c r="C217" i="10" s="1"/>
  <c r="B217" i="9"/>
  <c r="B217" i="8"/>
  <c r="D217" i="8" s="1"/>
  <c r="B217" i="7"/>
  <c r="C217" i="7" s="1"/>
  <c r="B217" i="6"/>
  <c r="B217" i="5"/>
  <c r="B239" i="3"/>
  <c r="B221" i="11"/>
  <c r="B221" i="9"/>
  <c r="N221" i="9" s="1"/>
  <c r="B221" i="10"/>
  <c r="D221" i="10" s="1"/>
  <c r="B221" i="8"/>
  <c r="D221" i="8" s="1"/>
  <c r="B221" i="7"/>
  <c r="C221" i="7" s="1"/>
  <c r="B221" i="6"/>
  <c r="B221" i="5"/>
  <c r="B243" i="3"/>
  <c r="B225" i="11"/>
  <c r="B225" i="10"/>
  <c r="B225" i="9"/>
  <c r="B225" i="8"/>
  <c r="D225" i="8" s="1"/>
  <c r="B225" i="7"/>
  <c r="C225" i="7" s="1"/>
  <c r="B225" i="6"/>
  <c r="B225" i="5"/>
  <c r="B247" i="3"/>
  <c r="B229" i="11"/>
  <c r="B229" i="9"/>
  <c r="N229" i="9" s="1"/>
  <c r="B229" i="10"/>
  <c r="B229" i="8"/>
  <c r="D229" i="8" s="1"/>
  <c r="B229" i="7"/>
  <c r="C229" i="7" s="1"/>
  <c r="B229" i="6"/>
  <c r="B229" i="5"/>
  <c r="B251" i="3"/>
  <c r="B233" i="11"/>
  <c r="B233" i="10"/>
  <c r="D233" i="10" s="1"/>
  <c r="B233" i="9"/>
  <c r="B233" i="8"/>
  <c r="D233" i="8" s="1"/>
  <c r="B233" i="7"/>
  <c r="B233" i="6"/>
  <c r="B233" i="5"/>
  <c r="B255" i="3"/>
  <c r="B237" i="11"/>
  <c r="B237" i="9"/>
  <c r="B237" i="10"/>
  <c r="B237" i="8"/>
  <c r="D237" i="8" s="1"/>
  <c r="B237" i="7"/>
  <c r="D237" i="7" s="1"/>
  <c r="B237" i="6"/>
  <c r="B237" i="5"/>
  <c r="B259" i="3"/>
  <c r="B241" i="11"/>
  <c r="B241" i="10"/>
  <c r="D241" i="10" s="1"/>
  <c r="B241" i="9"/>
  <c r="B241" i="8"/>
  <c r="D241" i="8" s="1"/>
  <c r="B241" i="7"/>
  <c r="B241" i="6"/>
  <c r="B241" i="5"/>
  <c r="B263" i="3"/>
  <c r="B245" i="11"/>
  <c r="B245" i="9"/>
  <c r="B245" i="10"/>
  <c r="B245" i="8"/>
  <c r="D245" i="8" s="1"/>
  <c r="B245" i="7"/>
  <c r="C245" i="7" s="1"/>
  <c r="B245" i="6"/>
  <c r="B245" i="5"/>
  <c r="M245" i="5" s="1"/>
  <c r="B267" i="3"/>
  <c r="B249" i="11"/>
  <c r="B249" i="10"/>
  <c r="C249" i="10" s="1"/>
  <c r="B249" i="9"/>
  <c r="B249" i="8"/>
  <c r="D249" i="8" s="1"/>
  <c r="B249" i="7"/>
  <c r="L249" i="7" s="1"/>
  <c r="B249" i="6"/>
  <c r="B249" i="5"/>
  <c r="B271" i="3"/>
  <c r="B253" i="11"/>
  <c r="B253" i="9"/>
  <c r="B253" i="10"/>
  <c r="B253" i="8"/>
  <c r="D253" i="8" s="1"/>
  <c r="B253" i="7"/>
  <c r="B253" i="6"/>
  <c r="B253" i="5"/>
  <c r="M253" i="5" s="1"/>
  <c r="B275" i="3"/>
  <c r="B257" i="11"/>
  <c r="B257" i="10"/>
  <c r="D257" i="10" s="1"/>
  <c r="B257" i="9"/>
  <c r="B257" i="8"/>
  <c r="D257" i="8" s="1"/>
  <c r="B257" i="7"/>
  <c r="C257" i="7" s="1"/>
  <c r="B257" i="6"/>
  <c r="B257" i="5"/>
  <c r="B279" i="3"/>
  <c r="D279" i="3" s="1"/>
  <c r="B261" i="11"/>
  <c r="B261" i="9"/>
  <c r="B261" i="10"/>
  <c r="B261" i="8"/>
  <c r="D261" i="8" s="1"/>
  <c r="B261" i="7"/>
  <c r="D261" i="7" s="1"/>
  <c r="B261" i="6"/>
  <c r="B261" i="5"/>
  <c r="M261" i="5" s="1"/>
  <c r="B283" i="3"/>
  <c r="B265" i="11"/>
  <c r="B265" i="10"/>
  <c r="I265" i="10" s="1"/>
  <c r="B265" i="9"/>
  <c r="B265" i="8"/>
  <c r="B265" i="7"/>
  <c r="L265" i="7" s="1"/>
  <c r="B265" i="6"/>
  <c r="B265" i="5"/>
  <c r="B287" i="3"/>
  <c r="B269" i="11"/>
  <c r="B269" i="9"/>
  <c r="B269" i="10"/>
  <c r="B269" i="8"/>
  <c r="B269" i="7"/>
  <c r="L269" i="7" s="1"/>
  <c r="B269" i="6"/>
  <c r="B269" i="5"/>
  <c r="M269" i="5" s="1"/>
  <c r="B269" i="4"/>
  <c r="B291" i="3"/>
  <c r="B273" i="11"/>
  <c r="K273" i="11" s="1"/>
  <c r="B273" i="10"/>
  <c r="B273" i="9"/>
  <c r="B273" i="8"/>
  <c r="B273" i="7"/>
  <c r="L273" i="7" s="1"/>
  <c r="B273" i="6"/>
  <c r="B273" i="5"/>
  <c r="B295" i="3"/>
  <c r="B277" i="11"/>
  <c r="C277" i="11" s="1"/>
  <c r="B277" i="9"/>
  <c r="B277" i="10"/>
  <c r="B277" i="8"/>
  <c r="J277" i="8" s="1"/>
  <c r="B277" i="7"/>
  <c r="L277" i="7" s="1"/>
  <c r="B277" i="6"/>
  <c r="B277" i="5"/>
  <c r="M277" i="5" s="1"/>
  <c r="B299" i="3"/>
  <c r="B281" i="11"/>
  <c r="C281" i="11" s="1"/>
  <c r="B281" i="10"/>
  <c r="I281" i="10" s="1"/>
  <c r="B281" i="9"/>
  <c r="B281" i="7"/>
  <c r="L281" i="7" s="1"/>
  <c r="B281" i="8"/>
  <c r="C281" i="8" s="1"/>
  <c r="B281" i="6"/>
  <c r="B281" i="5"/>
  <c r="B303" i="3"/>
  <c r="B285" i="11"/>
  <c r="C285" i="11" s="1"/>
  <c r="B285" i="9"/>
  <c r="B285" i="10"/>
  <c r="I285" i="10" s="1"/>
  <c r="B285" i="7"/>
  <c r="L285" i="7" s="1"/>
  <c r="B285" i="8"/>
  <c r="B285" i="6"/>
  <c r="B285" i="4"/>
  <c r="B285" i="5"/>
  <c r="M285" i="5" s="1"/>
  <c r="B307" i="3"/>
  <c r="B289" i="11"/>
  <c r="O289" i="11" s="1"/>
  <c r="B289" i="10"/>
  <c r="I289" i="10" s="1"/>
  <c r="B289" i="9"/>
  <c r="B289" i="8"/>
  <c r="B289" i="7"/>
  <c r="L289" i="7" s="1"/>
  <c r="B289" i="6"/>
  <c r="B289" i="4"/>
  <c r="B289" i="5"/>
  <c r="B311" i="3"/>
  <c r="B293" i="11"/>
  <c r="O293" i="11" s="1"/>
  <c r="B293" i="9"/>
  <c r="B293" i="10"/>
  <c r="D293" i="10" s="1"/>
  <c r="B293" i="8"/>
  <c r="B293" i="7"/>
  <c r="L293" i="7" s="1"/>
  <c r="B293" i="6"/>
  <c r="B293" i="4"/>
  <c r="B293" i="5"/>
  <c r="M293" i="5" s="1"/>
  <c r="B315" i="3"/>
  <c r="L315" i="3" s="1"/>
  <c r="B297" i="11"/>
  <c r="B297" i="10"/>
  <c r="D297" i="10" s="1"/>
  <c r="B297" i="9"/>
  <c r="B297" i="8"/>
  <c r="B297" i="7"/>
  <c r="L297" i="7" s="1"/>
  <c r="B297" i="6"/>
  <c r="B297" i="4"/>
  <c r="B297" i="5"/>
  <c r="C297" i="5" s="1"/>
  <c r="B319" i="3"/>
  <c r="B301" i="11"/>
  <c r="T301" i="11" s="1"/>
  <c r="B301" i="9"/>
  <c r="B301" i="10"/>
  <c r="I301" i="10" s="1"/>
  <c r="B301" i="7"/>
  <c r="L301" i="7" s="1"/>
  <c r="B301" i="8"/>
  <c r="B301" i="6"/>
  <c r="B301" i="4"/>
  <c r="B301" i="5"/>
  <c r="B323" i="3"/>
  <c r="L323" i="3" s="1"/>
  <c r="B305" i="11"/>
  <c r="B305" i="10"/>
  <c r="I305" i="10" s="1"/>
  <c r="B305" i="9"/>
  <c r="B305" i="8"/>
  <c r="B305" i="7"/>
  <c r="B305" i="6"/>
  <c r="B305" i="4"/>
  <c r="B305" i="5"/>
  <c r="C305" i="5" s="1"/>
  <c r="B327" i="3"/>
  <c r="B309" i="11"/>
  <c r="B309" i="9"/>
  <c r="N309" i="9" s="1"/>
  <c r="B309" i="10"/>
  <c r="D309" i="10" s="1"/>
  <c r="B309" i="8"/>
  <c r="B309" i="7"/>
  <c r="B309" i="6"/>
  <c r="B309" i="4"/>
  <c r="B309" i="5"/>
  <c r="B331" i="3"/>
  <c r="B313" i="11"/>
  <c r="B313" i="10"/>
  <c r="B313" i="9"/>
  <c r="B313" i="8"/>
  <c r="B313" i="7"/>
  <c r="B313" i="6"/>
  <c r="B313" i="4"/>
  <c r="B313" i="5"/>
  <c r="C313" i="5" s="1"/>
  <c r="B335" i="3"/>
  <c r="B317" i="11"/>
  <c r="K317" i="11" s="1"/>
  <c r="B317" i="9"/>
  <c r="B317" i="10"/>
  <c r="D317" i="10" s="1"/>
  <c r="B317" i="7"/>
  <c r="B317" i="8"/>
  <c r="B317" i="6"/>
  <c r="B317" i="4"/>
  <c r="B317" i="5"/>
  <c r="B339" i="3"/>
  <c r="H339" i="3" s="1"/>
  <c r="B321" i="11"/>
  <c r="B321" i="10"/>
  <c r="D321" i="10" s="1"/>
  <c r="B321" i="9"/>
  <c r="B321" i="8"/>
  <c r="B321" i="7"/>
  <c r="B321" i="6"/>
  <c r="B321" i="4"/>
  <c r="B321" i="5"/>
  <c r="C321" i="5" s="1"/>
  <c r="B343" i="3"/>
  <c r="B325" i="11"/>
  <c r="B325" i="9"/>
  <c r="N325" i="9" s="1"/>
  <c r="B325" i="10"/>
  <c r="B325" i="8"/>
  <c r="B325" i="7"/>
  <c r="B325" i="6"/>
  <c r="B325" i="4"/>
  <c r="B325" i="5"/>
  <c r="B347" i="3"/>
  <c r="B329" i="11"/>
  <c r="B329" i="10"/>
  <c r="C329" i="10" s="1"/>
  <c r="B329" i="9"/>
  <c r="B329" i="8"/>
  <c r="B329" i="7"/>
  <c r="B329" i="6"/>
  <c r="B329" i="4"/>
  <c r="B329" i="5"/>
  <c r="C329" i="5" s="1"/>
  <c r="B351" i="3"/>
  <c r="B333" i="11"/>
  <c r="C333" i="11" s="1"/>
  <c r="B333" i="9"/>
  <c r="B333" i="10"/>
  <c r="D333" i="10" s="1"/>
  <c r="B333" i="7"/>
  <c r="B333" i="8"/>
  <c r="B333" i="6"/>
  <c r="B333" i="4"/>
  <c r="B333" i="5"/>
  <c r="B355" i="3"/>
  <c r="E355" i="3" s="1"/>
  <c r="B337" i="11"/>
  <c r="B337" i="10"/>
  <c r="D337" i="10" s="1"/>
  <c r="B337" i="9"/>
  <c r="B337" i="8"/>
  <c r="B337" i="7"/>
  <c r="B337" i="6"/>
  <c r="B337" i="4"/>
  <c r="B337" i="5"/>
  <c r="M337" i="5" s="1"/>
  <c r="B359" i="3"/>
  <c r="B341" i="11"/>
  <c r="B341" i="9"/>
  <c r="N341" i="9" s="1"/>
  <c r="B341" i="10"/>
  <c r="D341" i="10" s="1"/>
  <c r="B341" i="8"/>
  <c r="B341" i="7"/>
  <c r="B341" i="6"/>
  <c r="B341" i="4"/>
  <c r="B341" i="5"/>
  <c r="B363" i="3"/>
  <c r="B345" i="11"/>
  <c r="B345" i="10"/>
  <c r="D345" i="10" s="1"/>
  <c r="B345" i="9"/>
  <c r="B345" i="8"/>
  <c r="B345" i="7"/>
  <c r="B345" i="6"/>
  <c r="B345" i="4"/>
  <c r="B345" i="5"/>
  <c r="B367" i="3"/>
  <c r="G367" i="3" s="1"/>
  <c r="B349" i="11"/>
  <c r="T349" i="11" s="1"/>
  <c r="B349" i="9"/>
  <c r="B349" i="10"/>
  <c r="D349" i="10" s="1"/>
  <c r="B349" i="8"/>
  <c r="B349" i="7"/>
  <c r="B349" i="6"/>
  <c r="B349" i="5"/>
  <c r="B349" i="4"/>
  <c r="B371" i="3"/>
  <c r="N371" i="3" s="1"/>
  <c r="B353" i="11"/>
  <c r="B353" i="10"/>
  <c r="D353" i="10" s="1"/>
  <c r="B353" i="9"/>
  <c r="B353" i="8"/>
  <c r="B353" i="6"/>
  <c r="B353" i="7"/>
  <c r="B353" i="4"/>
  <c r="B353" i="5"/>
  <c r="M353" i="5" s="1"/>
  <c r="B375" i="3"/>
  <c r="L375" i="3" s="1"/>
  <c r="B357" i="11"/>
  <c r="B357" i="10"/>
  <c r="B357" i="9"/>
  <c r="N357" i="9" s="1"/>
  <c r="B357" i="8"/>
  <c r="B357" i="7"/>
  <c r="B357" i="6"/>
  <c r="B357" i="5"/>
  <c r="M357" i="5" s="1"/>
  <c r="B357" i="4"/>
  <c r="B379" i="3"/>
  <c r="B361" i="11"/>
  <c r="B361" i="10"/>
  <c r="D361" i="10" s="1"/>
  <c r="B361" i="9"/>
  <c r="B361" i="7"/>
  <c r="B361" i="6"/>
  <c r="B361" i="8"/>
  <c r="B361" i="4"/>
  <c r="B361" i="5"/>
  <c r="B383" i="3"/>
  <c r="B365" i="11"/>
  <c r="K365" i="11" s="1"/>
  <c r="B365" i="10"/>
  <c r="D365" i="10" s="1"/>
  <c r="B365" i="9"/>
  <c r="B365" i="8"/>
  <c r="B365" i="7"/>
  <c r="D365" i="7" s="1"/>
  <c r="B365" i="6"/>
  <c r="B365" i="4"/>
  <c r="B365" i="5"/>
  <c r="B387" i="3"/>
  <c r="F387" i="3" s="1"/>
  <c r="B369" i="11"/>
  <c r="B369" i="10"/>
  <c r="D369" i="10" s="1"/>
  <c r="B369" i="9"/>
  <c r="B369" i="7"/>
  <c r="L369" i="7" s="1"/>
  <c r="B369" i="6"/>
  <c r="B369" i="8"/>
  <c r="B369" i="5"/>
  <c r="B369" i="4"/>
  <c r="B391" i="3"/>
  <c r="B373" i="11"/>
  <c r="B373" i="10"/>
  <c r="B373" i="9"/>
  <c r="C373" i="9" s="1"/>
  <c r="B373" i="7"/>
  <c r="B373" i="6"/>
  <c r="B373" i="8"/>
  <c r="B373" i="4"/>
  <c r="B373" i="5"/>
  <c r="M373" i="5" s="1"/>
  <c r="B395" i="3"/>
  <c r="B377" i="11"/>
  <c r="B377" i="9"/>
  <c r="N377" i="9" s="1"/>
  <c r="B377" i="10"/>
  <c r="D377" i="10" s="1"/>
  <c r="B377" i="7"/>
  <c r="D377" i="7" s="1"/>
  <c r="B377" i="8"/>
  <c r="B377" i="6"/>
  <c r="B377" i="4"/>
  <c r="B377" i="5"/>
  <c r="M377" i="5" s="1"/>
  <c r="B399" i="3"/>
  <c r="B381" i="11"/>
  <c r="T381" i="11" s="1"/>
  <c r="B381" i="10"/>
  <c r="B381" i="9"/>
  <c r="B381" i="7"/>
  <c r="B381" i="6"/>
  <c r="B381" i="8"/>
  <c r="B381" i="5"/>
  <c r="M381" i="5" s="1"/>
  <c r="B381" i="4"/>
  <c r="B403" i="3"/>
  <c r="C403" i="3" s="1"/>
  <c r="B385" i="11"/>
  <c r="B385" i="9"/>
  <c r="B385" i="8"/>
  <c r="B385" i="10"/>
  <c r="D385" i="10" s="1"/>
  <c r="B385" i="7"/>
  <c r="D385" i="7" s="1"/>
  <c r="B385" i="6"/>
  <c r="B385" i="5"/>
  <c r="B385" i="4"/>
  <c r="C385" i="4" s="1"/>
  <c r="B407" i="3"/>
  <c r="B389" i="11"/>
  <c r="B389" i="8"/>
  <c r="B389" i="9"/>
  <c r="C389" i="9" s="1"/>
  <c r="B389" i="10"/>
  <c r="B389" i="7"/>
  <c r="D389" i="7" s="1"/>
  <c r="B389" i="6"/>
  <c r="B389" i="4"/>
  <c r="B389" i="5"/>
  <c r="M389" i="5" s="1"/>
  <c r="B411" i="3"/>
  <c r="B393" i="11"/>
  <c r="K393" i="11" s="1"/>
  <c r="B393" i="9"/>
  <c r="N393" i="9" s="1"/>
  <c r="B393" i="8"/>
  <c r="B393" i="10"/>
  <c r="B393" i="7"/>
  <c r="B393" i="6"/>
  <c r="B393" i="5"/>
  <c r="M393" i="5" s="1"/>
  <c r="B393" i="4"/>
  <c r="B415" i="3"/>
  <c r="B397" i="10"/>
  <c r="D397" i="10" s="1"/>
  <c r="B397" i="11"/>
  <c r="B397" i="9"/>
  <c r="B397" i="8"/>
  <c r="B397" i="7"/>
  <c r="D397" i="7" s="1"/>
  <c r="B397" i="6"/>
  <c r="B397" i="4"/>
  <c r="B397" i="5"/>
  <c r="M397" i="5" s="1"/>
  <c r="B419" i="3"/>
  <c r="B401" i="10"/>
  <c r="B401" i="11"/>
  <c r="B401" i="9"/>
  <c r="B401" i="8"/>
  <c r="B401" i="7"/>
  <c r="D401" i="7" s="1"/>
  <c r="B401" i="6"/>
  <c r="B401" i="5"/>
  <c r="M401" i="5" s="1"/>
  <c r="B401" i="4"/>
  <c r="D401" i="4" s="1"/>
  <c r="B423" i="3"/>
  <c r="B405" i="10"/>
  <c r="B405" i="11"/>
  <c r="K405" i="11" s="1"/>
  <c r="B405" i="9"/>
  <c r="C405" i="9" s="1"/>
  <c r="B405" i="8"/>
  <c r="B405" i="7"/>
  <c r="D405" i="7" s="1"/>
  <c r="B405" i="6"/>
  <c r="B405" i="4"/>
  <c r="B405" i="5"/>
  <c r="M405" i="5" s="1"/>
  <c r="B427" i="3"/>
  <c r="L427" i="3" s="1"/>
  <c r="B409" i="11"/>
  <c r="B409" i="10"/>
  <c r="D409" i="10" s="1"/>
  <c r="B409" i="8"/>
  <c r="B409" i="9"/>
  <c r="N409" i="9" s="1"/>
  <c r="B409" i="7"/>
  <c r="B409" i="6"/>
  <c r="B409" i="5"/>
  <c r="M409" i="5" s="1"/>
  <c r="B409" i="4"/>
  <c r="B431" i="3"/>
  <c r="B413" i="10"/>
  <c r="D413" i="10" s="1"/>
  <c r="B413" i="11"/>
  <c r="O413" i="11" s="1"/>
  <c r="B413" i="9"/>
  <c r="N413" i="9" s="1"/>
  <c r="B413" i="8"/>
  <c r="B413" i="6"/>
  <c r="B413" i="7"/>
  <c r="B413" i="5"/>
  <c r="M413" i="5" s="1"/>
  <c r="B413" i="4"/>
  <c r="B435" i="3"/>
  <c r="B417" i="11"/>
  <c r="O417" i="11" s="1"/>
  <c r="B417" i="10"/>
  <c r="B417" i="9"/>
  <c r="B417" i="8"/>
  <c r="B417" i="6"/>
  <c r="B417" i="7"/>
  <c r="B417" i="5"/>
  <c r="B417" i="4"/>
  <c r="C417" i="4" s="1"/>
  <c r="B439" i="3"/>
  <c r="B421" i="11"/>
  <c r="O421" i="11" s="1"/>
  <c r="B421" i="10"/>
  <c r="C421" i="10" s="1"/>
  <c r="B421" i="9"/>
  <c r="K421" i="9" s="1"/>
  <c r="B421" i="8"/>
  <c r="B421" i="6"/>
  <c r="B421" i="7"/>
  <c r="B421" i="5"/>
  <c r="M421" i="5" s="1"/>
  <c r="B421" i="4"/>
  <c r="B443" i="3"/>
  <c r="B425" i="11"/>
  <c r="B425" i="10"/>
  <c r="D425" i="10" s="1"/>
  <c r="B425" i="8"/>
  <c r="B425" i="9"/>
  <c r="B425" i="7"/>
  <c r="B425" i="6"/>
  <c r="D425" i="6" s="1"/>
  <c r="B425" i="5"/>
  <c r="B425" i="4"/>
  <c r="B447" i="3"/>
  <c r="F447" i="3" s="1"/>
  <c r="B429" i="11"/>
  <c r="T429" i="11" s="1"/>
  <c r="B429" i="10"/>
  <c r="D429" i="10" s="1"/>
  <c r="B429" i="9"/>
  <c r="B429" i="8"/>
  <c r="B429" i="6"/>
  <c r="B429" i="7"/>
  <c r="B429" i="4"/>
  <c r="B429" i="5"/>
  <c r="M429" i="5" s="1"/>
  <c r="B451" i="3"/>
  <c r="F451" i="3" s="1"/>
  <c r="B433" i="11"/>
  <c r="B433" i="10"/>
  <c r="D433" i="10" s="1"/>
  <c r="B433" i="8"/>
  <c r="B433" i="9"/>
  <c r="B433" i="7"/>
  <c r="B433" i="6"/>
  <c r="B433" i="4"/>
  <c r="B433" i="5"/>
  <c r="M433" i="5" s="1"/>
  <c r="B455" i="3"/>
  <c r="B437" i="10"/>
  <c r="B437" i="11"/>
  <c r="B437" i="9"/>
  <c r="B437" i="8"/>
  <c r="B437" i="7"/>
  <c r="B437" i="6"/>
  <c r="D437" i="6" s="1"/>
  <c r="B437" i="4"/>
  <c r="B437" i="5"/>
  <c r="M437" i="5" s="1"/>
  <c r="B459" i="3"/>
  <c r="B441" i="11"/>
  <c r="B441" i="10"/>
  <c r="B441" i="9"/>
  <c r="B441" i="8"/>
  <c r="B441" i="7"/>
  <c r="C441" i="7" s="1"/>
  <c r="B441" i="6"/>
  <c r="B441" i="4"/>
  <c r="B441" i="5"/>
  <c r="B463" i="3"/>
  <c r="B445" i="11"/>
  <c r="T445" i="11" s="1"/>
  <c r="B445" i="10"/>
  <c r="D445" i="10" s="1"/>
  <c r="B445" i="8"/>
  <c r="B445" i="9"/>
  <c r="B445" i="7"/>
  <c r="D445" i="7" s="1"/>
  <c r="B445" i="6"/>
  <c r="B445" i="5"/>
  <c r="M445" i="5" s="1"/>
  <c r="B445" i="4"/>
  <c r="B467" i="3"/>
  <c r="K467" i="3" s="1"/>
  <c r="B449" i="11"/>
  <c r="B449" i="10"/>
  <c r="B449" i="9"/>
  <c r="B449" i="8"/>
  <c r="J449" i="8" s="1"/>
  <c r="B449" i="7"/>
  <c r="B449" i="6"/>
  <c r="C449" i="6" s="1"/>
  <c r="B449" i="4"/>
  <c r="B449" i="5"/>
  <c r="M449" i="5" s="1"/>
  <c r="B471" i="3"/>
  <c r="B453" i="11"/>
  <c r="B453" i="10"/>
  <c r="B453" i="9"/>
  <c r="B453" i="8"/>
  <c r="B453" i="7"/>
  <c r="D453" i="7" s="1"/>
  <c r="B453" i="6"/>
  <c r="B453" i="5"/>
  <c r="B453" i="4"/>
  <c r="B475" i="3"/>
  <c r="B457" i="11"/>
  <c r="T457" i="11" s="1"/>
  <c r="B457" i="10"/>
  <c r="B457" i="9"/>
  <c r="B457" i="8"/>
  <c r="B457" i="6"/>
  <c r="B457" i="7"/>
  <c r="D457" i="7" s="1"/>
  <c r="B457" i="5"/>
  <c r="B457" i="4"/>
  <c r="B479" i="3"/>
  <c r="B461" i="11"/>
  <c r="K461" i="11" s="1"/>
  <c r="B461" i="10"/>
  <c r="I461" i="10" s="1"/>
  <c r="B461" i="9"/>
  <c r="B461" i="8"/>
  <c r="B461" i="6"/>
  <c r="D461" i="6" s="1"/>
  <c r="B461" i="7"/>
  <c r="D461" i="7" s="1"/>
  <c r="B461" i="5"/>
  <c r="M461" i="5" s="1"/>
  <c r="B461" i="4"/>
  <c r="B483" i="3"/>
  <c r="M483" i="3" s="1" a="1"/>
  <c r="M483" i="3" s="1"/>
  <c r="B465" i="11"/>
  <c r="B465" i="10"/>
  <c r="I465" i="10" s="1"/>
  <c r="B465" i="9"/>
  <c r="B465" i="8"/>
  <c r="B465" i="6"/>
  <c r="B465" i="7"/>
  <c r="D465" i="7" s="1"/>
  <c r="B465" i="5"/>
  <c r="M465" i="5" s="1"/>
  <c r="B465" i="4"/>
  <c r="B487" i="3"/>
  <c r="B469" i="11"/>
  <c r="B469" i="10"/>
  <c r="B469" i="8"/>
  <c r="B469" i="9"/>
  <c r="B469" i="6"/>
  <c r="B469" i="7"/>
  <c r="D469" i="7" s="1"/>
  <c r="B469" i="5"/>
  <c r="M469" i="5" s="1"/>
  <c r="B469" i="4"/>
  <c r="B491" i="3"/>
  <c r="F491" i="3" s="1"/>
  <c r="B473" i="11"/>
  <c r="B473" i="10"/>
  <c r="D473" i="10" s="1"/>
  <c r="B473" i="9"/>
  <c r="B473" i="8"/>
  <c r="B473" i="6"/>
  <c r="B473" i="7"/>
  <c r="C473" i="7" s="1"/>
  <c r="B473" i="5"/>
  <c r="B473" i="4"/>
  <c r="B495" i="3"/>
  <c r="B477" i="11"/>
  <c r="T477" i="11" s="1"/>
  <c r="B477" i="10"/>
  <c r="D477" i="10" s="1"/>
  <c r="B477" i="8"/>
  <c r="B477" i="9"/>
  <c r="B477" i="6"/>
  <c r="D477" i="6" s="1"/>
  <c r="B477" i="7"/>
  <c r="B477" i="4"/>
  <c r="B477" i="5"/>
  <c r="M477" i="5" s="1"/>
  <c r="B499" i="3"/>
  <c r="F499" i="3" s="1"/>
  <c r="B481" i="11"/>
  <c r="B481" i="10"/>
  <c r="D481" i="10" s="1"/>
  <c r="B481" i="9"/>
  <c r="B481" i="8"/>
  <c r="B481" i="6"/>
  <c r="B481" i="7"/>
  <c r="B481" i="4"/>
  <c r="B481" i="5"/>
  <c r="C481" i="5" s="1"/>
  <c r="B503" i="3"/>
  <c r="B485" i="11"/>
  <c r="B485" i="10"/>
  <c r="B485" i="9"/>
  <c r="B485" i="8"/>
  <c r="B485" i="6"/>
  <c r="B485" i="7"/>
  <c r="B485" i="4"/>
  <c r="B485" i="5"/>
  <c r="B507" i="3"/>
  <c r="H507" i="3" s="1"/>
  <c r="B489" i="11"/>
  <c r="B489" i="10"/>
  <c r="B489" i="9"/>
  <c r="B489" i="8"/>
  <c r="B489" i="6"/>
  <c r="B489" i="7"/>
  <c r="C489" i="7" s="1"/>
  <c r="B489" i="5"/>
  <c r="M489" i="5" s="1"/>
  <c r="B489" i="4"/>
  <c r="B511" i="3"/>
  <c r="B493" i="11"/>
  <c r="K493" i="11" s="1"/>
  <c r="B493" i="10"/>
  <c r="D493" i="10" s="1"/>
  <c r="B493" i="9"/>
  <c r="B493" i="8"/>
  <c r="B493" i="6"/>
  <c r="J493" i="6" s="1"/>
  <c r="B493" i="7"/>
  <c r="B493" i="4"/>
  <c r="B493" i="5"/>
  <c r="M493" i="5" s="1"/>
  <c r="B515" i="3"/>
  <c r="K515" i="3" s="1"/>
  <c r="B497" i="11"/>
  <c r="B497" i="10"/>
  <c r="D497" i="10" s="1"/>
  <c r="B497" i="9"/>
  <c r="B497" i="8"/>
  <c r="B497" i="6"/>
  <c r="J497" i="6" s="1"/>
  <c r="B497" i="7"/>
  <c r="L497" i="7" s="1"/>
  <c r="B497" i="4"/>
  <c r="B497" i="5"/>
  <c r="B519" i="3"/>
  <c r="B501" i="11"/>
  <c r="B501" i="10"/>
  <c r="B501" i="8"/>
  <c r="B501" i="9"/>
  <c r="B501" i="6"/>
  <c r="J501" i="6" s="1"/>
  <c r="B501" i="7"/>
  <c r="B501" i="5"/>
  <c r="B501" i="4"/>
  <c r="B523" i="3"/>
  <c r="N523" i="3" s="1"/>
  <c r="B505" i="11"/>
  <c r="B505" i="10"/>
  <c r="B505" i="9"/>
  <c r="B505" i="8"/>
  <c r="B505" i="6"/>
  <c r="B505" i="7"/>
  <c r="L505" i="7" s="1"/>
  <c r="B505" i="5"/>
  <c r="M505" i="5" s="1"/>
  <c r="B505" i="4"/>
  <c r="I49" i="12"/>
  <c r="B228" i="3"/>
  <c r="E228" i="3" s="1"/>
  <c r="B210" i="11"/>
  <c r="B210" i="10"/>
  <c r="D210" i="10" s="1"/>
  <c r="B210" i="9"/>
  <c r="N210" i="9" s="1"/>
  <c r="B210" i="7"/>
  <c r="D210" i="7" s="1"/>
  <c r="B210" i="8"/>
  <c r="B210" i="6"/>
  <c r="B210" i="5"/>
  <c r="B232" i="3"/>
  <c r="B214" i="11"/>
  <c r="O214" i="11" s="1"/>
  <c r="B214" i="9"/>
  <c r="B214" i="10"/>
  <c r="B214" i="8"/>
  <c r="D214" i="8" s="1"/>
  <c r="B214" i="7"/>
  <c r="B214" i="6"/>
  <c r="B214" i="5"/>
  <c r="B236" i="3"/>
  <c r="E236" i="3" s="1"/>
  <c r="B218" i="11"/>
  <c r="K218" i="11" s="1"/>
  <c r="B218" i="10"/>
  <c r="D218" i="10" s="1"/>
  <c r="B218" i="9"/>
  <c r="B218" i="8"/>
  <c r="D218" i="8" s="1"/>
  <c r="B218" i="7"/>
  <c r="B218" i="6"/>
  <c r="B218" i="5"/>
  <c r="B240" i="3"/>
  <c r="F240" i="3" s="1"/>
  <c r="B222" i="11"/>
  <c r="K222" i="11" s="1"/>
  <c r="B222" i="9"/>
  <c r="B222" i="10"/>
  <c r="B222" i="7"/>
  <c r="D222" i="7" s="1"/>
  <c r="B222" i="8"/>
  <c r="B222" i="6"/>
  <c r="B222" i="5"/>
  <c r="B244" i="3"/>
  <c r="B226" i="11"/>
  <c r="K226" i="11" s="1"/>
  <c r="B226" i="10"/>
  <c r="D226" i="10" s="1"/>
  <c r="B226" i="9"/>
  <c r="N226" i="9" s="1"/>
  <c r="B226" i="8"/>
  <c r="D226" i="8" s="1"/>
  <c r="B226" i="7"/>
  <c r="B226" i="6"/>
  <c r="B226" i="5"/>
  <c r="B248" i="3"/>
  <c r="F248" i="3" s="1"/>
  <c r="B230" i="11"/>
  <c r="K230" i="11" s="1"/>
  <c r="B230" i="10"/>
  <c r="B230" i="9"/>
  <c r="N230" i="9" s="1"/>
  <c r="B230" i="7"/>
  <c r="L230" i="7" s="1"/>
  <c r="B230" i="8"/>
  <c r="B230" i="6"/>
  <c r="B230" i="5"/>
  <c r="B252" i="3"/>
  <c r="F252" i="3" s="1"/>
  <c r="B234" i="11"/>
  <c r="K234" i="11" s="1"/>
  <c r="B234" i="10"/>
  <c r="B234" i="9"/>
  <c r="B234" i="8"/>
  <c r="D234" i="8" s="1"/>
  <c r="B234" i="7"/>
  <c r="B234" i="6"/>
  <c r="B234" i="5"/>
  <c r="B256" i="3"/>
  <c r="F256" i="3" s="1"/>
  <c r="B238" i="11"/>
  <c r="K238" i="11" s="1"/>
  <c r="B238" i="10"/>
  <c r="B238" i="9"/>
  <c r="B238" i="7"/>
  <c r="D238" i="7" s="1"/>
  <c r="B238" i="8"/>
  <c r="B238" i="6"/>
  <c r="B238" i="5"/>
  <c r="B260" i="3"/>
  <c r="F260" i="3" s="1"/>
  <c r="B242" i="11"/>
  <c r="K242" i="11" s="1"/>
  <c r="B242" i="10"/>
  <c r="B242" i="9"/>
  <c r="K242" i="9" s="1"/>
  <c r="B242" i="8"/>
  <c r="B242" i="7"/>
  <c r="B242" i="6"/>
  <c r="B242" i="5"/>
  <c r="B264" i="3"/>
  <c r="F264" i="3" s="1"/>
  <c r="B246" i="11"/>
  <c r="K246" i="11" s="1"/>
  <c r="B246" i="10"/>
  <c r="B246" i="9"/>
  <c r="B246" i="7"/>
  <c r="L246" i="7" s="1"/>
  <c r="B246" i="8"/>
  <c r="B246" i="6"/>
  <c r="B246" i="5"/>
  <c r="B268" i="3"/>
  <c r="F268" i="3" s="1"/>
  <c r="B250" i="11"/>
  <c r="K250" i="11" s="1"/>
  <c r="B250" i="10"/>
  <c r="B250" i="9"/>
  <c r="K250" i="9" s="1"/>
  <c r="B250" i="8"/>
  <c r="D250" i="8" s="1"/>
  <c r="B250" i="7"/>
  <c r="B250" i="6"/>
  <c r="B250" i="5"/>
  <c r="B272" i="3"/>
  <c r="F272" i="3" s="1"/>
  <c r="B254" i="11"/>
  <c r="K254" i="11" s="1"/>
  <c r="B254" i="10"/>
  <c r="B254" i="9"/>
  <c r="B254" i="7"/>
  <c r="D254" i="7" s="1"/>
  <c r="B254" i="8"/>
  <c r="B254" i="6"/>
  <c r="B254" i="5"/>
  <c r="B276" i="3"/>
  <c r="F276" i="3" s="1"/>
  <c r="B258" i="11"/>
  <c r="K258" i="11" s="1"/>
  <c r="B258" i="10"/>
  <c r="B258" i="9"/>
  <c r="B258" i="8"/>
  <c r="D258" i="8" s="1"/>
  <c r="B258" i="7"/>
  <c r="B258" i="6"/>
  <c r="B258" i="5"/>
  <c r="B280" i="3"/>
  <c r="F280" i="3" s="1"/>
  <c r="B262" i="11"/>
  <c r="C262" i="11" s="1"/>
  <c r="B262" i="10"/>
  <c r="B262" i="9"/>
  <c r="B262" i="7"/>
  <c r="L262" i="7" s="1"/>
  <c r="B262" i="8"/>
  <c r="B262" i="6"/>
  <c r="B262" i="5"/>
  <c r="B284" i="3"/>
  <c r="F284" i="3" s="1"/>
  <c r="B266" i="11"/>
  <c r="B266" i="10"/>
  <c r="B266" i="9"/>
  <c r="N266" i="9" s="1"/>
  <c r="B266" i="7"/>
  <c r="L266" i="7" s="1"/>
  <c r="B266" i="8"/>
  <c r="B266" i="6"/>
  <c r="B266" i="4"/>
  <c r="D266" i="4" s="1"/>
  <c r="B266" i="5"/>
  <c r="B288" i="3"/>
  <c r="B270" i="11"/>
  <c r="C270" i="11" s="1"/>
  <c r="B270" i="10"/>
  <c r="B270" i="9"/>
  <c r="B270" i="8"/>
  <c r="B270" i="7"/>
  <c r="L270" i="7" s="1"/>
  <c r="B270" i="6"/>
  <c r="B270" i="5"/>
  <c r="B292" i="3"/>
  <c r="F292" i="3" s="1"/>
  <c r="B274" i="11"/>
  <c r="B274" i="10"/>
  <c r="B274" i="9"/>
  <c r="N274" i="9" s="1"/>
  <c r="B274" i="7"/>
  <c r="L274" i="7" s="1"/>
  <c r="B274" i="8"/>
  <c r="B274" i="6"/>
  <c r="B274" i="5"/>
  <c r="B274" i="4"/>
  <c r="B296" i="3"/>
  <c r="F296" i="3" s="1"/>
  <c r="B278" i="11"/>
  <c r="B278" i="10"/>
  <c r="I278" i="10" s="1"/>
  <c r="B278" i="9"/>
  <c r="B278" i="7"/>
  <c r="L278" i="7" s="1"/>
  <c r="B278" i="8"/>
  <c r="B278" i="6"/>
  <c r="B278" i="4"/>
  <c r="B278" i="5"/>
  <c r="B300" i="3"/>
  <c r="F300" i="3" s="1"/>
  <c r="B282" i="11"/>
  <c r="T282" i="11" s="1"/>
  <c r="B282" i="10"/>
  <c r="I282" i="10" s="1"/>
  <c r="B282" i="9"/>
  <c r="B282" i="7"/>
  <c r="B282" i="8"/>
  <c r="J282" i="8" s="1"/>
  <c r="B282" i="6"/>
  <c r="B282" i="5"/>
  <c r="B282" i="4"/>
  <c r="B304" i="3"/>
  <c r="F304" i="3" s="1"/>
  <c r="B286" i="11"/>
  <c r="B286" i="10"/>
  <c r="I286" i="10" s="1"/>
  <c r="B286" i="9"/>
  <c r="B286" i="7"/>
  <c r="L286" i="7" s="1"/>
  <c r="B286" i="8"/>
  <c r="C286" i="8" s="1"/>
  <c r="B286" i="6"/>
  <c r="B286" i="4"/>
  <c r="C286" i="4" s="1"/>
  <c r="B286" i="5"/>
  <c r="B308" i="3"/>
  <c r="B290" i="11"/>
  <c r="B290" i="10"/>
  <c r="B290" i="9"/>
  <c r="K290" i="9" s="1"/>
  <c r="B290" i="8"/>
  <c r="B290" i="7"/>
  <c r="L290" i="7" s="1"/>
  <c r="B290" i="6"/>
  <c r="B290" i="4"/>
  <c r="C290" i="4" s="1"/>
  <c r="B290" i="5"/>
  <c r="B312" i="3"/>
  <c r="F312" i="3" s="1"/>
  <c r="B294" i="11"/>
  <c r="K294" i="11" s="1"/>
  <c r="B294" i="10"/>
  <c r="I294" i="10" s="1"/>
  <c r="B294" i="9"/>
  <c r="B294" i="8"/>
  <c r="C294" i="8" s="1"/>
  <c r="B294" i="7"/>
  <c r="B294" i="6"/>
  <c r="B294" i="5"/>
  <c r="B294" i="4"/>
  <c r="B316" i="3"/>
  <c r="F316" i="3" s="1"/>
  <c r="B298" i="11"/>
  <c r="K298" i="11" s="1"/>
  <c r="B298" i="10"/>
  <c r="I298" i="10" s="1"/>
  <c r="B298" i="9"/>
  <c r="B298" i="7"/>
  <c r="B298" i="8"/>
  <c r="C298" i="8" s="1"/>
  <c r="B298" i="6"/>
  <c r="B298" i="4"/>
  <c r="B298" i="5"/>
  <c r="B320" i="3"/>
  <c r="F320" i="3" s="1"/>
  <c r="B302" i="11"/>
  <c r="B302" i="10"/>
  <c r="I302" i="10" s="1"/>
  <c r="B302" i="9"/>
  <c r="B302" i="7"/>
  <c r="L302" i="7" s="1"/>
  <c r="B302" i="8"/>
  <c r="C302" i="8" s="1"/>
  <c r="B302" i="6"/>
  <c r="B302" i="5"/>
  <c r="B302" i="4"/>
  <c r="B324" i="3"/>
  <c r="B306" i="11"/>
  <c r="B306" i="10"/>
  <c r="B306" i="9"/>
  <c r="N306" i="9" s="1"/>
  <c r="B306" i="8"/>
  <c r="B306" i="7"/>
  <c r="B306" i="6"/>
  <c r="B306" i="4"/>
  <c r="C306" i="4" s="1"/>
  <c r="B306" i="5"/>
  <c r="B328" i="3"/>
  <c r="F328" i="3" s="1"/>
  <c r="B310" i="11"/>
  <c r="B310" i="10"/>
  <c r="I310" i="10" s="1"/>
  <c r="B310" i="9"/>
  <c r="B310" i="8"/>
  <c r="B310" i="7"/>
  <c r="B310" i="6"/>
  <c r="B310" i="5"/>
  <c r="B310" i="4"/>
  <c r="B332" i="3"/>
  <c r="F332" i="3" s="1"/>
  <c r="B314" i="11"/>
  <c r="K314" i="11" s="1"/>
  <c r="B314" i="10"/>
  <c r="I314" i="10" s="1"/>
  <c r="B314" i="9"/>
  <c r="B314" i="8"/>
  <c r="B314" i="7"/>
  <c r="B314" i="6"/>
  <c r="B314" i="4"/>
  <c r="B314" i="5"/>
  <c r="B336" i="3"/>
  <c r="F336" i="3" s="1"/>
  <c r="B318" i="11"/>
  <c r="B318" i="9"/>
  <c r="B318" i="10"/>
  <c r="B318" i="8"/>
  <c r="D318" i="8" s="1"/>
  <c r="B318" i="7"/>
  <c r="B318" i="6"/>
  <c r="B318" i="5"/>
  <c r="B318" i="4"/>
  <c r="B340" i="3"/>
  <c r="B322" i="11"/>
  <c r="B322" i="10"/>
  <c r="B322" i="9"/>
  <c r="K322" i="9" s="1"/>
  <c r="B322" i="8"/>
  <c r="B322" i="7"/>
  <c r="B322" i="6"/>
  <c r="B322" i="4"/>
  <c r="C322" i="4" s="1"/>
  <c r="B322" i="5"/>
  <c r="B344" i="3"/>
  <c r="F344" i="3" s="1"/>
  <c r="B326" i="11"/>
  <c r="B326" i="9"/>
  <c r="N326" i="9" s="1"/>
  <c r="B326" i="10"/>
  <c r="D326" i="10" s="1"/>
  <c r="B326" i="8"/>
  <c r="B326" i="7"/>
  <c r="B326" i="6"/>
  <c r="B326" i="5"/>
  <c r="B326" i="4"/>
  <c r="B348" i="3"/>
  <c r="B330" i="11"/>
  <c r="D330" i="11" s="1"/>
  <c r="B330" i="10"/>
  <c r="D330" i="10" s="1"/>
  <c r="B330" i="9"/>
  <c r="B330" i="8"/>
  <c r="B330" i="7"/>
  <c r="B330" i="6"/>
  <c r="B330" i="4"/>
  <c r="B330" i="5"/>
  <c r="B352" i="3"/>
  <c r="G352" i="3" s="1"/>
  <c r="B334" i="11"/>
  <c r="B334" i="9"/>
  <c r="B334" i="10"/>
  <c r="B334" i="8"/>
  <c r="J334" i="8" s="1"/>
  <c r="B334" i="7"/>
  <c r="B334" i="6"/>
  <c r="B334" i="5"/>
  <c r="B334" i="4"/>
  <c r="B356" i="3"/>
  <c r="B338" i="11"/>
  <c r="B338" i="10"/>
  <c r="B338" i="9"/>
  <c r="K338" i="9" s="1"/>
  <c r="B338" i="8"/>
  <c r="J338" i="8" s="1"/>
  <c r="B338" i="7"/>
  <c r="B338" i="6"/>
  <c r="B338" i="4"/>
  <c r="C338" i="4" s="1"/>
  <c r="B338" i="5"/>
  <c r="C338" i="5" s="1"/>
  <c r="B360" i="3"/>
  <c r="B342" i="11"/>
  <c r="B342" i="9"/>
  <c r="K342" i="9" s="1"/>
  <c r="B342" i="10"/>
  <c r="D342" i="10" s="1"/>
  <c r="B342" i="8"/>
  <c r="J342" i="8" s="1"/>
  <c r="B342" i="7"/>
  <c r="B342" i="6"/>
  <c r="B342" i="5"/>
  <c r="C342" i="5" s="1"/>
  <c r="B342" i="4"/>
  <c r="B364" i="3"/>
  <c r="B346" i="11"/>
  <c r="K346" i="11" s="1"/>
  <c r="B346" i="10"/>
  <c r="D346" i="10" s="1"/>
  <c r="B346" i="9"/>
  <c r="B346" i="8"/>
  <c r="B346" i="7"/>
  <c r="B346" i="6"/>
  <c r="B346" i="4"/>
  <c r="B346" i="5"/>
  <c r="B368" i="3"/>
  <c r="E368" i="3" s="1"/>
  <c r="B350" i="11"/>
  <c r="B350" i="9"/>
  <c r="B350" i="10"/>
  <c r="B350" i="6"/>
  <c r="B350" i="8"/>
  <c r="B350" i="7"/>
  <c r="B350" i="4"/>
  <c r="C350" i="4" s="1"/>
  <c r="B350" i="5"/>
  <c r="C350" i="5" s="1"/>
  <c r="B372" i="3"/>
  <c r="N372" i="3" s="1"/>
  <c r="B354" i="11"/>
  <c r="B354" i="10"/>
  <c r="B354" i="9"/>
  <c r="C354" i="9" s="1"/>
  <c r="B354" i="8"/>
  <c r="B354" i="6"/>
  <c r="B354" i="7"/>
  <c r="B354" i="5"/>
  <c r="C354" i="5" s="1"/>
  <c r="B354" i="4"/>
  <c r="B376" i="3"/>
  <c r="B358" i="11"/>
  <c r="B358" i="9"/>
  <c r="N358" i="9" s="1"/>
  <c r="B358" i="10"/>
  <c r="D358" i="10" s="1"/>
  <c r="B358" i="8"/>
  <c r="B358" i="6"/>
  <c r="B358" i="7"/>
  <c r="C358" i="7" s="1"/>
  <c r="B358" i="4"/>
  <c r="B358" i="5"/>
  <c r="B380" i="3"/>
  <c r="B362" i="11"/>
  <c r="T362" i="11" s="1"/>
  <c r="B362" i="10"/>
  <c r="D362" i="10" s="1"/>
  <c r="B362" i="9"/>
  <c r="B362" i="7"/>
  <c r="B362" i="6"/>
  <c r="B362" i="8"/>
  <c r="B362" i="5"/>
  <c r="B362" i="4"/>
  <c r="B384" i="3"/>
  <c r="C384" i="3" s="1"/>
  <c r="B366" i="11"/>
  <c r="B366" i="9"/>
  <c r="B366" i="10"/>
  <c r="B366" i="8"/>
  <c r="B366" i="7"/>
  <c r="B366" i="6"/>
  <c r="B366" i="5"/>
  <c r="M366" i="5" s="1"/>
  <c r="B366" i="4"/>
  <c r="C366" i="4" s="1"/>
  <c r="B388" i="3"/>
  <c r="K388" i="3" s="1"/>
  <c r="B370" i="11"/>
  <c r="B370" i="9"/>
  <c r="B370" i="10"/>
  <c r="I370" i="10" s="1"/>
  <c r="B370" i="6"/>
  <c r="B370" i="8"/>
  <c r="B370" i="7"/>
  <c r="B370" i="4"/>
  <c r="M370" i="4" s="1"/>
  <c r="B370" i="5"/>
  <c r="B392" i="3"/>
  <c r="F392" i="3" s="1"/>
  <c r="B374" i="11"/>
  <c r="B374" i="9"/>
  <c r="N374" i="9" s="1"/>
  <c r="B374" i="10"/>
  <c r="D374" i="10" s="1"/>
  <c r="B374" i="6"/>
  <c r="B374" i="8"/>
  <c r="B374" i="7"/>
  <c r="B374" i="5"/>
  <c r="M374" i="5" s="1"/>
  <c r="B374" i="4"/>
  <c r="M374" i="4" s="1"/>
  <c r="B396" i="3"/>
  <c r="F396" i="3" s="1"/>
  <c r="B378" i="11"/>
  <c r="K378" i="11" s="1"/>
  <c r="B378" i="10"/>
  <c r="D378" i="10" s="1"/>
  <c r="B378" i="9"/>
  <c r="B378" i="8"/>
  <c r="B378" i="6"/>
  <c r="B378" i="7"/>
  <c r="B378" i="4"/>
  <c r="M378" i="4" s="1"/>
  <c r="B378" i="5"/>
  <c r="B400" i="3"/>
  <c r="F400" i="3" s="1"/>
  <c r="B382" i="11"/>
  <c r="B382" i="9"/>
  <c r="B382" i="10"/>
  <c r="B382" i="8"/>
  <c r="B382" i="6"/>
  <c r="B382" i="7"/>
  <c r="B382" i="4"/>
  <c r="B382" i="5"/>
  <c r="M382" i="5" s="1"/>
  <c r="B404" i="3"/>
  <c r="B386" i="11"/>
  <c r="B386" i="8"/>
  <c r="B386" i="10"/>
  <c r="I386" i="10" s="1"/>
  <c r="B386" i="9"/>
  <c r="B386" i="6"/>
  <c r="B386" i="7"/>
  <c r="B386" i="5"/>
  <c r="B386" i="4"/>
  <c r="B408" i="3"/>
  <c r="F408" i="3" s="1"/>
  <c r="B390" i="11"/>
  <c r="B390" i="8"/>
  <c r="B390" i="10"/>
  <c r="B390" i="9"/>
  <c r="B390" i="6"/>
  <c r="B390" i="7"/>
  <c r="B390" i="4"/>
  <c r="B390" i="5"/>
  <c r="M390" i="5" s="1"/>
  <c r="B412" i="3"/>
  <c r="F412" i="3" s="1"/>
  <c r="B394" i="11"/>
  <c r="B394" i="9"/>
  <c r="B394" i="10"/>
  <c r="B394" i="8"/>
  <c r="B394" i="6"/>
  <c r="B394" i="7"/>
  <c r="B394" i="5"/>
  <c r="B394" i="4"/>
  <c r="B416" i="3"/>
  <c r="F416" i="3" s="1"/>
  <c r="B398" i="11"/>
  <c r="B398" i="10"/>
  <c r="B398" i="9"/>
  <c r="B398" i="8"/>
  <c r="B398" i="6"/>
  <c r="B398" i="7"/>
  <c r="B398" i="5"/>
  <c r="M398" i="5" s="1"/>
  <c r="B398" i="4"/>
  <c r="B420" i="3"/>
  <c r="B402" i="10"/>
  <c r="B402" i="11"/>
  <c r="B402" i="8"/>
  <c r="B402" i="9"/>
  <c r="B402" i="6"/>
  <c r="B402" i="7"/>
  <c r="B402" i="4"/>
  <c r="B402" i="5"/>
  <c r="B424" i="3"/>
  <c r="F424" i="3" s="1"/>
  <c r="B406" i="11"/>
  <c r="B406" i="10"/>
  <c r="C406" i="10" s="1"/>
  <c r="B406" i="9"/>
  <c r="B406" i="8"/>
  <c r="B406" i="6"/>
  <c r="B406" i="7"/>
  <c r="B406" i="5"/>
  <c r="M406" i="5" s="1"/>
  <c r="B406" i="4"/>
  <c r="B428" i="3"/>
  <c r="F428" i="3" s="1"/>
  <c r="B410" i="11"/>
  <c r="K410" i="11" s="1"/>
  <c r="B410" i="10"/>
  <c r="B410" i="9"/>
  <c r="B410" i="8"/>
  <c r="B410" i="6"/>
  <c r="B410" i="7"/>
  <c r="B410" i="5"/>
  <c r="M410" i="5" s="1"/>
  <c r="B410" i="4"/>
  <c r="B432" i="3"/>
  <c r="F432" i="3" s="1"/>
  <c r="B414" i="11"/>
  <c r="O414" i="11" s="1"/>
  <c r="B414" i="10"/>
  <c r="D414" i="10" s="1"/>
  <c r="B414" i="9"/>
  <c r="B414" i="8"/>
  <c r="B414" i="6"/>
  <c r="B414" i="7"/>
  <c r="B414" i="4"/>
  <c r="B414" i="5"/>
  <c r="B436" i="3"/>
  <c r="F436" i="3" s="1"/>
  <c r="B418" i="11"/>
  <c r="O418" i="11" s="1"/>
  <c r="B418" i="10"/>
  <c r="D418" i="10" s="1"/>
  <c r="B418" i="9"/>
  <c r="N418" i="9" s="1"/>
  <c r="B418" i="8"/>
  <c r="B418" i="6"/>
  <c r="B418" i="7"/>
  <c r="B418" i="5"/>
  <c r="M418" i="5" s="1"/>
  <c r="B418" i="4"/>
  <c r="B440" i="3"/>
  <c r="F440" i="3" s="1"/>
  <c r="B422" i="11"/>
  <c r="B422" i="10"/>
  <c r="D422" i="10" s="1"/>
  <c r="B422" i="9"/>
  <c r="B422" i="8"/>
  <c r="B422" i="6"/>
  <c r="B422" i="7"/>
  <c r="B422" i="4"/>
  <c r="B422" i="5"/>
  <c r="B444" i="3"/>
  <c r="B426" i="11"/>
  <c r="T426" i="11" s="1"/>
  <c r="B426" i="10"/>
  <c r="B426" i="9"/>
  <c r="B426" i="8"/>
  <c r="B426" i="7"/>
  <c r="C426" i="7" s="1"/>
  <c r="B426" i="6"/>
  <c r="B426" i="4"/>
  <c r="B426" i="5"/>
  <c r="B448" i="3"/>
  <c r="B430" i="11"/>
  <c r="B430" i="10"/>
  <c r="B430" i="9"/>
  <c r="K430" i="9" s="1"/>
  <c r="B430" i="8"/>
  <c r="J430" i="8" s="1"/>
  <c r="B430" i="7"/>
  <c r="B430" i="6"/>
  <c r="B430" i="5"/>
  <c r="B430" i="4"/>
  <c r="M430" i="4" s="1"/>
  <c r="B452" i="3"/>
  <c r="D452" i="3" s="1"/>
  <c r="B434" i="11"/>
  <c r="B434" i="10"/>
  <c r="D434" i="10" s="1"/>
  <c r="B434" i="8"/>
  <c r="C434" i="8" s="1"/>
  <c r="B434" i="9"/>
  <c r="B434" i="6"/>
  <c r="B434" i="7"/>
  <c r="L434" i="7" s="1"/>
  <c r="B434" i="4"/>
  <c r="D434" i="4" s="1"/>
  <c r="B434" i="5"/>
  <c r="B456" i="3"/>
  <c r="L456" i="3" s="1"/>
  <c r="B438" i="11"/>
  <c r="B438" i="10"/>
  <c r="D438" i="10" s="1"/>
  <c r="B438" i="9"/>
  <c r="B438" i="8"/>
  <c r="B438" i="6"/>
  <c r="C438" i="6" s="1"/>
  <c r="B438" i="7"/>
  <c r="D438" i="7" s="1"/>
  <c r="B438" i="5"/>
  <c r="B438" i="4"/>
  <c r="B460" i="3"/>
  <c r="B442" i="11"/>
  <c r="T442" i="11" s="1"/>
  <c r="B442" i="10"/>
  <c r="B442" i="9"/>
  <c r="B442" i="8"/>
  <c r="J442" i="8" s="1"/>
  <c r="B442" i="6"/>
  <c r="C442" i="6" s="1"/>
  <c r="B442" i="7"/>
  <c r="B442" i="5"/>
  <c r="B442" i="4"/>
  <c r="M442" i="4" s="1"/>
  <c r="B464" i="3"/>
  <c r="B446" i="11"/>
  <c r="B446" i="10"/>
  <c r="B446" i="8"/>
  <c r="J446" i="8" s="1"/>
  <c r="B446" i="9"/>
  <c r="K446" i="9" s="1"/>
  <c r="B446" i="6"/>
  <c r="B446" i="7"/>
  <c r="B446" i="5"/>
  <c r="B446" i="4"/>
  <c r="M446" i="4" s="1"/>
  <c r="B468" i="3"/>
  <c r="I468" i="3" s="1"/>
  <c r="B450" i="11"/>
  <c r="B450" i="10"/>
  <c r="D450" i="10" s="1"/>
  <c r="B450" i="9"/>
  <c r="K450" i="9" s="1"/>
  <c r="B450" i="8"/>
  <c r="B450" i="6"/>
  <c r="C450" i="6" s="1"/>
  <c r="B450" i="7"/>
  <c r="L450" i="7" s="1"/>
  <c r="B450" i="5"/>
  <c r="B450" i="4"/>
  <c r="B472" i="3"/>
  <c r="J472" i="3" s="1"/>
  <c r="B454" i="11"/>
  <c r="B454" i="10"/>
  <c r="D454" i="10" s="1"/>
  <c r="B454" i="8"/>
  <c r="B454" i="9"/>
  <c r="B454" i="6"/>
  <c r="C454" i="6" s="1"/>
  <c r="B454" i="7"/>
  <c r="L454" i="7" s="1"/>
  <c r="B454" i="5"/>
  <c r="B454" i="4"/>
  <c r="B476" i="3"/>
  <c r="E476" i="3" s="1"/>
  <c r="B458" i="11"/>
  <c r="K458" i="11" s="1"/>
  <c r="B458" i="10"/>
  <c r="B458" i="9"/>
  <c r="B458" i="8"/>
  <c r="B458" i="6"/>
  <c r="C458" i="6" s="1"/>
  <c r="B458" i="7"/>
  <c r="B458" i="4"/>
  <c r="B458" i="5"/>
  <c r="B480" i="3"/>
  <c r="B462" i="11"/>
  <c r="B462" i="10"/>
  <c r="B462" i="9"/>
  <c r="K462" i="9" s="1"/>
  <c r="B462" i="8"/>
  <c r="J462" i="8" s="1"/>
  <c r="B462" i="6"/>
  <c r="B462" i="7"/>
  <c r="B462" i="4"/>
  <c r="B462" i="5"/>
  <c r="B484" i="3"/>
  <c r="B466" i="11"/>
  <c r="B466" i="10"/>
  <c r="D466" i="10" s="1"/>
  <c r="B466" i="9"/>
  <c r="K466" i="9" s="1"/>
  <c r="B466" i="8"/>
  <c r="B466" i="6"/>
  <c r="B466" i="7"/>
  <c r="C466" i="7" s="1"/>
  <c r="B466" i="4"/>
  <c r="C466" i="4" s="1"/>
  <c r="B466" i="5"/>
  <c r="B488" i="3"/>
  <c r="F488" i="3" s="1"/>
  <c r="B470" i="11"/>
  <c r="T470" i="11" s="1"/>
  <c r="B470" i="10"/>
  <c r="C470" i="10" s="1"/>
  <c r="B470" i="9"/>
  <c r="B470" i="8"/>
  <c r="B470" i="6"/>
  <c r="C470" i="6" s="1"/>
  <c r="B470" i="7"/>
  <c r="L470" i="7" s="1"/>
  <c r="B470" i="5"/>
  <c r="B470" i="4"/>
  <c r="B492" i="3"/>
  <c r="F492" i="3" s="1"/>
  <c r="B474" i="11"/>
  <c r="O474" i="11" s="1"/>
  <c r="B474" i="10"/>
  <c r="B474" i="9"/>
  <c r="B474" i="8"/>
  <c r="J474" i="8" s="1"/>
  <c r="B474" i="6"/>
  <c r="J474" i="6" s="1"/>
  <c r="B474" i="7"/>
  <c r="B474" i="4"/>
  <c r="B474" i="5"/>
  <c r="B496" i="3"/>
  <c r="F496" i="3" s="1"/>
  <c r="B478" i="11"/>
  <c r="B478" i="10"/>
  <c r="B478" i="9"/>
  <c r="K478" i="9" s="1"/>
  <c r="B478" i="8"/>
  <c r="B478" i="6"/>
  <c r="B478" i="7"/>
  <c r="B478" i="4"/>
  <c r="B478" i="5"/>
  <c r="B500" i="3"/>
  <c r="B482" i="11"/>
  <c r="B482" i="10"/>
  <c r="B482" i="8"/>
  <c r="C482" i="8" s="1"/>
  <c r="B482" i="9"/>
  <c r="B482" i="6"/>
  <c r="B482" i="7"/>
  <c r="D482" i="7" s="1"/>
  <c r="B482" i="5"/>
  <c r="B482" i="4"/>
  <c r="B504" i="3"/>
  <c r="E504" i="3" s="1"/>
  <c r="B486" i="11"/>
  <c r="B486" i="10"/>
  <c r="C486" i="10" s="1"/>
  <c r="B486" i="9"/>
  <c r="B486" i="8"/>
  <c r="C486" i="8" s="1"/>
  <c r="B486" i="6"/>
  <c r="J486" i="6" s="1"/>
  <c r="B486" i="7"/>
  <c r="L486" i="7" s="1"/>
  <c r="B486" i="5"/>
  <c r="B486" i="4"/>
  <c r="B508" i="3"/>
  <c r="B490" i="11"/>
  <c r="B490" i="10"/>
  <c r="B490" i="8"/>
  <c r="C490" i="8" s="1"/>
  <c r="B490" i="9"/>
  <c r="B490" i="6"/>
  <c r="J490" i="6" s="1"/>
  <c r="B490" i="7"/>
  <c r="B490" i="4"/>
  <c r="B490" i="5"/>
  <c r="B512" i="3"/>
  <c r="N512" i="3" s="1"/>
  <c r="B494" i="11"/>
  <c r="B494" i="10"/>
  <c r="B494" i="9"/>
  <c r="K494" i="9" s="1"/>
  <c r="B494" i="8"/>
  <c r="J494" i="8" s="1"/>
  <c r="B494" i="6"/>
  <c r="J494" i="6" s="1"/>
  <c r="B494" i="7"/>
  <c r="B494" i="4"/>
  <c r="B494" i="5"/>
  <c r="B516" i="3"/>
  <c r="M516" i="3" s="1" a="1"/>
  <c r="M516" i="3" s="1"/>
  <c r="B498" i="11"/>
  <c r="B498" i="10"/>
  <c r="B498" i="8"/>
  <c r="D498" i="8" s="1"/>
  <c r="B498" i="9"/>
  <c r="B498" i="6"/>
  <c r="J498" i="6" s="1"/>
  <c r="B498" i="7"/>
  <c r="B498" i="5"/>
  <c r="B498" i="4"/>
  <c r="B520" i="3"/>
  <c r="G520" i="3" s="1"/>
  <c r="B502" i="11"/>
  <c r="B502" i="10"/>
  <c r="B502" i="8"/>
  <c r="C502" i="8" s="1"/>
  <c r="B502" i="9"/>
  <c r="B502" i="6"/>
  <c r="J502" i="6" s="1"/>
  <c r="B502" i="7"/>
  <c r="L502" i="7" s="1"/>
  <c r="B502" i="5"/>
  <c r="B502" i="4"/>
  <c r="B524" i="3"/>
  <c r="B506" i="11"/>
  <c r="B506" i="10"/>
  <c r="B506" i="9"/>
  <c r="B506" i="8"/>
  <c r="B506" i="6"/>
  <c r="J506" i="6" s="1"/>
  <c r="B506" i="7"/>
  <c r="L506" i="7" s="1"/>
  <c r="B506" i="5"/>
  <c r="B506" i="4"/>
  <c r="C506" i="4" s="1"/>
  <c r="I46" i="12"/>
  <c r="B242" i="4"/>
  <c r="D242" i="4" s="1"/>
  <c r="B250" i="4"/>
  <c r="D250" i="4" s="1"/>
  <c r="B258" i="4"/>
  <c r="B229" i="3"/>
  <c r="J229" i="3" s="1"/>
  <c r="B211" i="11"/>
  <c r="B211" i="9"/>
  <c r="B211" i="10"/>
  <c r="B211" i="7"/>
  <c r="C211" i="7" s="1"/>
  <c r="B211" i="8"/>
  <c r="B211" i="6"/>
  <c r="B211" i="5"/>
  <c r="M211" i="5" s="1"/>
  <c r="B233" i="3"/>
  <c r="B215" i="11"/>
  <c r="K215" i="11" s="1"/>
  <c r="B215" i="10"/>
  <c r="D215" i="10" s="1"/>
  <c r="B215" i="9"/>
  <c r="B215" i="7"/>
  <c r="C215" i="7" s="1"/>
  <c r="B215" i="8"/>
  <c r="B215" i="6"/>
  <c r="B215" i="5"/>
  <c r="M215" i="5" s="1"/>
  <c r="B237" i="3"/>
  <c r="B219" i="11"/>
  <c r="K219" i="11" s="1"/>
  <c r="B219" i="10"/>
  <c r="D219" i="10" s="1"/>
  <c r="B219" i="9"/>
  <c r="B219" i="7"/>
  <c r="C219" i="7" s="1"/>
  <c r="B219" i="8"/>
  <c r="B219" i="6"/>
  <c r="B219" i="5"/>
  <c r="M219" i="5" s="1"/>
  <c r="B241" i="3"/>
  <c r="B223" i="11"/>
  <c r="K223" i="11" s="1"/>
  <c r="B223" i="10"/>
  <c r="D223" i="10" s="1"/>
  <c r="B223" i="9"/>
  <c r="B223" i="8"/>
  <c r="C223" i="8" s="1"/>
  <c r="B223" i="7"/>
  <c r="C223" i="7" s="1"/>
  <c r="B223" i="6"/>
  <c r="B223" i="5"/>
  <c r="B245" i="3"/>
  <c r="N245" i="3" s="1"/>
  <c r="B227" i="11"/>
  <c r="K227" i="11" s="1"/>
  <c r="B227" i="10"/>
  <c r="D227" i="10" s="1"/>
  <c r="B227" i="9"/>
  <c r="B227" i="7"/>
  <c r="C227" i="7" s="1"/>
  <c r="B227" i="8"/>
  <c r="B227" i="6"/>
  <c r="B227" i="5"/>
  <c r="M227" i="5" s="1"/>
  <c r="B249" i="3"/>
  <c r="B231" i="11"/>
  <c r="K231" i="11" s="1"/>
  <c r="B231" i="10"/>
  <c r="B231" i="9"/>
  <c r="B231" i="8"/>
  <c r="C231" i="8" s="1"/>
  <c r="B231" i="7"/>
  <c r="C231" i="7" s="1"/>
  <c r="B231" i="6"/>
  <c r="B231" i="5"/>
  <c r="M231" i="5" s="1"/>
  <c r="B253" i="3"/>
  <c r="B235" i="11"/>
  <c r="K235" i="11" s="1"/>
  <c r="B235" i="10"/>
  <c r="B235" i="9"/>
  <c r="B235" i="7"/>
  <c r="D235" i="7" s="1"/>
  <c r="B235" i="8"/>
  <c r="B235" i="6"/>
  <c r="B235" i="5"/>
  <c r="M235" i="5" s="1"/>
  <c r="B257" i="3"/>
  <c r="B239" i="11"/>
  <c r="K239" i="11" s="1"/>
  <c r="B239" i="10"/>
  <c r="B239" i="9"/>
  <c r="B239" i="8"/>
  <c r="C239" i="8" s="1"/>
  <c r="B239" i="7"/>
  <c r="B239" i="6"/>
  <c r="B239" i="5"/>
  <c r="B261" i="3"/>
  <c r="D261" i="3" s="1"/>
  <c r="B243" i="11"/>
  <c r="K243" i="11" s="1"/>
  <c r="B243" i="10"/>
  <c r="B243" i="9"/>
  <c r="B243" i="7"/>
  <c r="D243" i="7" s="1"/>
  <c r="B243" i="8"/>
  <c r="B243" i="6"/>
  <c r="B243" i="5"/>
  <c r="C243" i="5" s="1"/>
  <c r="B265" i="3"/>
  <c r="B247" i="11"/>
  <c r="K247" i="11" s="1"/>
  <c r="B247" i="10"/>
  <c r="B247" i="9"/>
  <c r="B247" i="8"/>
  <c r="C247" i="8" s="1"/>
  <c r="B247" i="7"/>
  <c r="B247" i="6"/>
  <c r="B247" i="5"/>
  <c r="B269" i="3"/>
  <c r="B251" i="11"/>
  <c r="K251" i="11" s="1"/>
  <c r="B251" i="10"/>
  <c r="B251" i="9"/>
  <c r="B251" i="7"/>
  <c r="D251" i="7" s="1"/>
  <c r="B251" i="8"/>
  <c r="B251" i="6"/>
  <c r="B251" i="5"/>
  <c r="B273" i="3"/>
  <c r="B255" i="11"/>
  <c r="B255" i="10"/>
  <c r="B255" i="9"/>
  <c r="B255" i="8"/>
  <c r="C255" i="8" s="1"/>
  <c r="B255" i="7"/>
  <c r="B255" i="6"/>
  <c r="B255" i="5"/>
  <c r="C255" i="5" s="1"/>
  <c r="B277" i="3"/>
  <c r="H277" i="3" s="1"/>
  <c r="B259" i="11"/>
  <c r="B259" i="10"/>
  <c r="B259" i="9"/>
  <c r="B259" i="7"/>
  <c r="D259" i="7" s="1"/>
  <c r="B259" i="8"/>
  <c r="B259" i="6"/>
  <c r="B259" i="5"/>
  <c r="C259" i="5" s="1"/>
  <c r="B281" i="3"/>
  <c r="B263" i="11"/>
  <c r="B263" i="10"/>
  <c r="B263" i="9"/>
  <c r="B263" i="8"/>
  <c r="B263" i="7"/>
  <c r="B263" i="6"/>
  <c r="B263" i="5"/>
  <c r="B285" i="3"/>
  <c r="D285" i="3" s="1"/>
  <c r="B267" i="11"/>
  <c r="B267" i="10"/>
  <c r="B267" i="9"/>
  <c r="B267" i="7"/>
  <c r="L267" i="7" s="1"/>
  <c r="B267" i="8"/>
  <c r="B267" i="6"/>
  <c r="B267" i="5"/>
  <c r="C267" i="5" s="1"/>
  <c r="B267" i="4"/>
  <c r="D267" i="4" s="1"/>
  <c r="B289" i="3"/>
  <c r="B271" i="11"/>
  <c r="C271" i="11" s="1"/>
  <c r="B271" i="10"/>
  <c r="B271" i="9"/>
  <c r="B271" i="7"/>
  <c r="L271" i="7" s="1"/>
  <c r="B271" i="8"/>
  <c r="B271" i="6"/>
  <c r="B271" i="5"/>
  <c r="C271" i="5" s="1"/>
  <c r="B271" i="4"/>
  <c r="B293" i="3"/>
  <c r="L293" i="3" s="1"/>
  <c r="B275" i="11"/>
  <c r="B275" i="10"/>
  <c r="C275" i="10" s="1"/>
  <c r="B275" i="9"/>
  <c r="B275" i="8"/>
  <c r="B275" i="7"/>
  <c r="B275" i="6"/>
  <c r="B275" i="5"/>
  <c r="C275" i="5" s="1"/>
  <c r="B275" i="4"/>
  <c r="B297" i="3"/>
  <c r="B279" i="11"/>
  <c r="B279" i="10"/>
  <c r="I279" i="10" s="1"/>
  <c r="B279" i="9"/>
  <c r="B279" i="7"/>
  <c r="B279" i="8"/>
  <c r="B279" i="6"/>
  <c r="B279" i="5"/>
  <c r="C279" i="5" s="1"/>
  <c r="B279" i="4"/>
  <c r="C279" i="4" s="1"/>
  <c r="B301" i="3"/>
  <c r="B283" i="11"/>
  <c r="O283" i="11" s="1"/>
  <c r="B283" i="10"/>
  <c r="I283" i="10" s="1"/>
  <c r="B283" i="9"/>
  <c r="B283" i="7"/>
  <c r="L283" i="7" s="1"/>
  <c r="B283" i="8"/>
  <c r="C283" i="8" s="1"/>
  <c r="B283" i="6"/>
  <c r="B283" i="5"/>
  <c r="B283" i="4"/>
  <c r="M283" i="4" s="1"/>
  <c r="B305" i="3"/>
  <c r="F305" i="3" s="1"/>
  <c r="B287" i="11"/>
  <c r="O287" i="11" s="1"/>
  <c r="B287" i="10"/>
  <c r="B287" i="9"/>
  <c r="B287" i="7"/>
  <c r="L287" i="7" s="1"/>
  <c r="B287" i="8"/>
  <c r="B287" i="6"/>
  <c r="B287" i="5"/>
  <c r="C287" i="5" s="1"/>
  <c r="B287" i="4"/>
  <c r="B309" i="3"/>
  <c r="B291" i="11"/>
  <c r="B291" i="10"/>
  <c r="C291" i="10" s="1"/>
  <c r="B291" i="9"/>
  <c r="B291" i="7"/>
  <c r="L291" i="7" s="1"/>
  <c r="B291" i="8"/>
  <c r="B291" i="6"/>
  <c r="B291" i="5"/>
  <c r="C291" i="5" s="1"/>
  <c r="B291" i="4"/>
  <c r="B313" i="3"/>
  <c r="B295" i="11"/>
  <c r="B295" i="10"/>
  <c r="I295" i="10" s="1"/>
  <c r="B295" i="9"/>
  <c r="B295" i="8"/>
  <c r="B295" i="7"/>
  <c r="L295" i="7" s="1"/>
  <c r="B295" i="6"/>
  <c r="B295" i="5"/>
  <c r="C295" i="5" s="1"/>
  <c r="B295" i="4"/>
  <c r="C295" i="4" s="1"/>
  <c r="B317" i="3"/>
  <c r="B299" i="11"/>
  <c r="B299" i="10"/>
  <c r="I299" i="10" s="1"/>
  <c r="B299" i="9"/>
  <c r="B299" i="7"/>
  <c r="L299" i="7" s="1"/>
  <c r="B299" i="8"/>
  <c r="C299" i="8" s="1"/>
  <c r="B299" i="6"/>
  <c r="B299" i="5"/>
  <c r="B299" i="4"/>
  <c r="M299" i="4" s="1"/>
  <c r="B321" i="3"/>
  <c r="B303" i="11"/>
  <c r="B303" i="10"/>
  <c r="B303" i="9"/>
  <c r="B303" i="7"/>
  <c r="L303" i="7" s="1"/>
  <c r="B303" i="8"/>
  <c r="B303" i="6"/>
  <c r="B303" i="5"/>
  <c r="C303" i="5" s="1"/>
  <c r="B303" i="4"/>
  <c r="B325" i="3"/>
  <c r="B307" i="11"/>
  <c r="B307" i="10"/>
  <c r="B307" i="9"/>
  <c r="B307" i="7"/>
  <c r="D307" i="7" s="1"/>
  <c r="B307" i="8"/>
  <c r="C307" i="8" s="1"/>
  <c r="B307" i="6"/>
  <c r="B307" i="5"/>
  <c r="B307" i="4"/>
  <c r="B329" i="3"/>
  <c r="B311" i="11"/>
  <c r="B311" i="10"/>
  <c r="I311" i="10" s="1"/>
  <c r="B311" i="9"/>
  <c r="B311" i="8"/>
  <c r="B311" i="7"/>
  <c r="D311" i="7" s="1"/>
  <c r="B311" i="6"/>
  <c r="B311" i="5"/>
  <c r="C311" i="5" s="1"/>
  <c r="B311" i="4"/>
  <c r="C311" i="4" s="1"/>
  <c r="B333" i="3"/>
  <c r="H333" i="3" s="1"/>
  <c r="B315" i="11"/>
  <c r="B315" i="10"/>
  <c r="B315" i="9"/>
  <c r="B315" i="7"/>
  <c r="D315" i="7" s="1"/>
  <c r="B315" i="8"/>
  <c r="B315" i="6"/>
  <c r="B315" i="5"/>
  <c r="B315" i="4"/>
  <c r="D315" i="4" s="1"/>
  <c r="B337" i="3"/>
  <c r="B319" i="11"/>
  <c r="B319" i="10"/>
  <c r="B319" i="9"/>
  <c r="B319" i="7"/>
  <c r="D319" i="7" s="1"/>
  <c r="B319" i="8"/>
  <c r="B319" i="6"/>
  <c r="B319" i="5"/>
  <c r="C319" i="5" s="1"/>
  <c r="B319" i="4"/>
  <c r="B341" i="3"/>
  <c r="D341" i="3" s="1"/>
  <c r="B323" i="11"/>
  <c r="B323" i="10"/>
  <c r="B323" i="9"/>
  <c r="B323" i="7"/>
  <c r="D323" i="7" s="1"/>
  <c r="B323" i="8"/>
  <c r="B323" i="6"/>
  <c r="B323" i="5"/>
  <c r="B323" i="4"/>
  <c r="B345" i="3"/>
  <c r="B327" i="11"/>
  <c r="B327" i="10"/>
  <c r="D327" i="10" s="1"/>
  <c r="B327" i="9"/>
  <c r="B327" i="8"/>
  <c r="B327" i="7"/>
  <c r="D327" i="7" s="1"/>
  <c r="B327" i="6"/>
  <c r="B327" i="5"/>
  <c r="C327" i="5" s="1"/>
  <c r="B327" i="4"/>
  <c r="C327" i="4" s="1"/>
  <c r="B349" i="3"/>
  <c r="B331" i="11"/>
  <c r="T331" i="11" s="1"/>
  <c r="B331" i="10"/>
  <c r="D331" i="10" s="1"/>
  <c r="B331" i="9"/>
  <c r="B331" i="7"/>
  <c r="D331" i="7" s="1"/>
  <c r="B331" i="8"/>
  <c r="B331" i="6"/>
  <c r="B331" i="5"/>
  <c r="B331" i="4"/>
  <c r="C331" i="4" s="1"/>
  <c r="B353" i="3"/>
  <c r="B335" i="11"/>
  <c r="T335" i="11" s="1"/>
  <c r="B335" i="10"/>
  <c r="B335" i="9"/>
  <c r="B335" i="7"/>
  <c r="D335" i="7" s="1"/>
  <c r="B335" i="8"/>
  <c r="B335" i="6"/>
  <c r="B335" i="5"/>
  <c r="C335" i="5" s="1"/>
  <c r="B335" i="4"/>
  <c r="B357" i="3"/>
  <c r="G357" i="3" s="1"/>
  <c r="B339" i="11"/>
  <c r="B339" i="10"/>
  <c r="C339" i="10" s="1"/>
  <c r="B339" i="9"/>
  <c r="B339" i="7"/>
  <c r="D339" i="7" s="1"/>
  <c r="B339" i="8"/>
  <c r="D339" i="8" s="1"/>
  <c r="B339" i="6"/>
  <c r="B339" i="5"/>
  <c r="B339" i="4"/>
  <c r="B361" i="3"/>
  <c r="B343" i="11"/>
  <c r="B343" i="10"/>
  <c r="D343" i="10" s="1"/>
  <c r="B343" i="9"/>
  <c r="B343" i="8"/>
  <c r="B343" i="7"/>
  <c r="D343" i="7" s="1"/>
  <c r="B343" i="6"/>
  <c r="B343" i="5"/>
  <c r="B343" i="4"/>
  <c r="C343" i="4" s="1"/>
  <c r="B365" i="3"/>
  <c r="B347" i="11"/>
  <c r="K347" i="11" s="1"/>
  <c r="B347" i="10"/>
  <c r="D347" i="10" s="1"/>
  <c r="B347" i="9"/>
  <c r="B347" i="7"/>
  <c r="D347" i="7" s="1"/>
  <c r="B347" i="8"/>
  <c r="D347" i="8" s="1"/>
  <c r="B347" i="6"/>
  <c r="B347" i="5"/>
  <c r="B347" i="4"/>
  <c r="M347" i="4" s="1"/>
  <c r="B369" i="3"/>
  <c r="B351" i="11"/>
  <c r="K351" i="11" s="1"/>
  <c r="B351" i="10"/>
  <c r="B351" i="9"/>
  <c r="N351" i="9" s="1"/>
  <c r="B351" i="8"/>
  <c r="B351" i="7"/>
  <c r="D351" i="7" s="1"/>
  <c r="B351" i="6"/>
  <c r="B351" i="5"/>
  <c r="B351" i="4"/>
  <c r="B373" i="3"/>
  <c r="M373" i="3" s="1" a="1"/>
  <c r="M373" i="3" s="1"/>
  <c r="B355" i="11"/>
  <c r="B355" i="10"/>
  <c r="B355" i="9"/>
  <c r="B355" i="7"/>
  <c r="D355" i="7" s="1"/>
  <c r="B355" i="6"/>
  <c r="B355" i="8"/>
  <c r="J355" i="8" s="1"/>
  <c r="B355" i="5"/>
  <c r="B355" i="4"/>
  <c r="B377" i="3"/>
  <c r="B359" i="11"/>
  <c r="B359" i="10"/>
  <c r="D359" i="10" s="1"/>
  <c r="B359" i="9"/>
  <c r="B359" i="7"/>
  <c r="D359" i="7" s="1"/>
  <c r="B359" i="6"/>
  <c r="B359" i="8"/>
  <c r="B359" i="5"/>
  <c r="B359" i="4"/>
  <c r="C359" i="4" s="1"/>
  <c r="B381" i="3"/>
  <c r="B363" i="11"/>
  <c r="T363" i="11" s="1"/>
  <c r="B363" i="10"/>
  <c r="D363" i="10" s="1"/>
  <c r="B363" i="9"/>
  <c r="B363" i="8"/>
  <c r="J363" i="8" s="1"/>
  <c r="B363" i="6"/>
  <c r="B363" i="7"/>
  <c r="B363" i="5"/>
  <c r="B363" i="4"/>
  <c r="M363" i="4" s="1"/>
  <c r="B385" i="3"/>
  <c r="B367" i="11"/>
  <c r="T367" i="11" s="1"/>
  <c r="B367" i="10"/>
  <c r="B367" i="9"/>
  <c r="C367" i="9" s="1"/>
  <c r="B367" i="8"/>
  <c r="B367" i="7"/>
  <c r="L367" i="7" s="1"/>
  <c r="B367" i="6"/>
  <c r="B367" i="5"/>
  <c r="B367" i="4"/>
  <c r="B389" i="3"/>
  <c r="H389" i="3" s="1"/>
  <c r="B371" i="11"/>
  <c r="B371" i="10"/>
  <c r="B371" i="9"/>
  <c r="N371" i="9" s="1"/>
  <c r="B371" i="8"/>
  <c r="C371" i="8" s="1"/>
  <c r="B371" i="7"/>
  <c r="B371" i="6"/>
  <c r="B371" i="4"/>
  <c r="B371" i="5"/>
  <c r="B393" i="3"/>
  <c r="B375" i="11"/>
  <c r="K375" i="11" s="1"/>
  <c r="B375" i="10"/>
  <c r="D375" i="10" s="1"/>
  <c r="B375" i="9"/>
  <c r="B375" i="8"/>
  <c r="B375" i="7"/>
  <c r="C375" i="7" s="1"/>
  <c r="B375" i="6"/>
  <c r="B375" i="4"/>
  <c r="B375" i="5"/>
  <c r="B397" i="3"/>
  <c r="N397" i="3" s="1"/>
  <c r="B379" i="11"/>
  <c r="K379" i="11" s="1"/>
  <c r="B379" i="9"/>
  <c r="B379" i="10"/>
  <c r="B379" i="7"/>
  <c r="B379" i="6"/>
  <c r="B379" i="8"/>
  <c r="B379" i="5"/>
  <c r="B379" i="4"/>
  <c r="C379" i="4" s="1"/>
  <c r="B401" i="3"/>
  <c r="B383" i="11"/>
  <c r="K383" i="11" s="1"/>
  <c r="B383" i="10"/>
  <c r="B383" i="9"/>
  <c r="B383" i="8"/>
  <c r="B383" i="7"/>
  <c r="B383" i="6"/>
  <c r="B383" i="5"/>
  <c r="B383" i="4"/>
  <c r="B405" i="3"/>
  <c r="B387" i="10"/>
  <c r="B387" i="11"/>
  <c r="K387" i="11" s="1"/>
  <c r="B387" i="9"/>
  <c r="N387" i="9" s="1"/>
  <c r="B387" i="8"/>
  <c r="B387" i="7"/>
  <c r="B387" i="6"/>
  <c r="B387" i="5"/>
  <c r="B387" i="4"/>
  <c r="M387" i="4" s="1"/>
  <c r="B409" i="3"/>
  <c r="B391" i="11"/>
  <c r="K391" i="11" s="1"/>
  <c r="B391" i="9"/>
  <c r="B391" i="10"/>
  <c r="B391" i="8"/>
  <c r="B391" i="7"/>
  <c r="C391" i="7" s="1"/>
  <c r="B391" i="6"/>
  <c r="B391" i="5"/>
  <c r="B391" i="4"/>
  <c r="C391" i="4" s="1"/>
  <c r="B413" i="3"/>
  <c r="F413" i="3" s="1"/>
  <c r="B395" i="10"/>
  <c r="B395" i="11"/>
  <c r="B395" i="9"/>
  <c r="B395" i="8"/>
  <c r="J395" i="8" s="1"/>
  <c r="B395" i="7"/>
  <c r="B395" i="6"/>
  <c r="B395" i="5"/>
  <c r="B395" i="4"/>
  <c r="M395" i="4" s="1"/>
  <c r="B417" i="3"/>
  <c r="B399" i="11"/>
  <c r="K399" i="11" s="1"/>
  <c r="B399" i="10"/>
  <c r="B399" i="8"/>
  <c r="J399" i="8" s="1"/>
  <c r="B399" i="9"/>
  <c r="B399" i="7"/>
  <c r="B399" i="6"/>
  <c r="B399" i="5"/>
  <c r="B399" i="4"/>
  <c r="B421" i="3"/>
  <c r="B403" i="10"/>
  <c r="B403" i="11"/>
  <c r="K403" i="11" s="1"/>
  <c r="B403" i="9"/>
  <c r="N403" i="9" s="1"/>
  <c r="B403" i="8"/>
  <c r="B403" i="7"/>
  <c r="B403" i="6"/>
  <c r="B403" i="5"/>
  <c r="B403" i="4"/>
  <c r="M403" i="4" s="1"/>
  <c r="B425" i="3"/>
  <c r="B407" i="11"/>
  <c r="B407" i="10"/>
  <c r="B407" i="9"/>
  <c r="B407" i="8"/>
  <c r="B407" i="7"/>
  <c r="C407" i="7" s="1"/>
  <c r="B407" i="6"/>
  <c r="B407" i="4"/>
  <c r="B407" i="5"/>
  <c r="B429" i="3"/>
  <c r="B411" i="10"/>
  <c r="B411" i="11"/>
  <c r="O411" i="11" s="1"/>
  <c r="B411" i="9"/>
  <c r="B411" i="8"/>
  <c r="J411" i="8" s="1"/>
  <c r="B411" i="7"/>
  <c r="B411" i="6"/>
  <c r="B411" i="5"/>
  <c r="B411" i="4"/>
  <c r="M411" i="4" s="1"/>
  <c r="B433" i="3"/>
  <c r="H433" i="3" s="1"/>
  <c r="B415" i="10"/>
  <c r="I415" i="10" s="1"/>
  <c r="B415" i="11"/>
  <c r="B415" i="8"/>
  <c r="B415" i="9"/>
  <c r="B415" i="7"/>
  <c r="B415" i="6"/>
  <c r="B415" i="5"/>
  <c r="B415" i="4"/>
  <c r="B437" i="3"/>
  <c r="D437" i="3" s="1"/>
  <c r="B419" i="11"/>
  <c r="B419" i="10"/>
  <c r="B419" i="9"/>
  <c r="B419" i="8"/>
  <c r="B419" i="7"/>
  <c r="B419" i="6"/>
  <c r="B419" i="5"/>
  <c r="B419" i="4"/>
  <c r="M419" i="4" s="1"/>
  <c r="B441" i="3"/>
  <c r="B423" i="10"/>
  <c r="B423" i="11"/>
  <c r="O423" i="11" s="1"/>
  <c r="B423" i="8"/>
  <c r="B423" i="9"/>
  <c r="C423" i="9" s="1"/>
  <c r="B423" i="7"/>
  <c r="D423" i="7" s="1"/>
  <c r="B423" i="6"/>
  <c r="B423" i="5"/>
  <c r="B423" i="4"/>
  <c r="M423" i="4" s="1"/>
  <c r="B445" i="3"/>
  <c r="F445" i="3" s="1"/>
  <c r="B427" i="11"/>
  <c r="O427" i="11" s="1"/>
  <c r="S427" i="11" s="1"/>
  <c r="B427" i="10"/>
  <c r="D427" i="10" s="1"/>
  <c r="B427" i="9"/>
  <c r="C427" i="9" s="1"/>
  <c r="B427" i="8"/>
  <c r="B427" i="6"/>
  <c r="B427" i="7"/>
  <c r="B427" i="4"/>
  <c r="M427" i="4" s="1"/>
  <c r="B427" i="5"/>
  <c r="B449" i="3"/>
  <c r="F449" i="3" s="1"/>
  <c r="B431" i="11"/>
  <c r="K431" i="11" s="1"/>
  <c r="B431" i="10"/>
  <c r="B431" i="9"/>
  <c r="B431" i="8"/>
  <c r="B431" i="7"/>
  <c r="B431" i="6"/>
  <c r="B431" i="4"/>
  <c r="C431" i="4" s="1"/>
  <c r="B431" i="5"/>
  <c r="B453" i="3"/>
  <c r="F453" i="3" s="1"/>
  <c r="B435" i="10"/>
  <c r="B435" i="11"/>
  <c r="B435" i="9"/>
  <c r="B435" i="8"/>
  <c r="B435" i="7"/>
  <c r="D435" i="7" s="1"/>
  <c r="B435" i="6"/>
  <c r="B435" i="4"/>
  <c r="B435" i="5"/>
  <c r="B457" i="3"/>
  <c r="F457" i="3" s="1"/>
  <c r="B439" i="11"/>
  <c r="B439" i="10"/>
  <c r="I439" i="10" s="1"/>
  <c r="B439" i="9"/>
  <c r="B439" i="8"/>
  <c r="B439" i="7"/>
  <c r="C439" i="7" s="1"/>
  <c r="B439" i="6"/>
  <c r="B439" i="4"/>
  <c r="B439" i="5"/>
  <c r="B461" i="3"/>
  <c r="H461" i="3" s="1"/>
  <c r="B443" i="11"/>
  <c r="B443" i="10"/>
  <c r="D443" i="10" s="1"/>
  <c r="B443" i="8"/>
  <c r="B443" i="9"/>
  <c r="B443" i="7"/>
  <c r="B443" i="6"/>
  <c r="B443" i="4"/>
  <c r="C443" i="4" s="1"/>
  <c r="B443" i="5"/>
  <c r="B465" i="3"/>
  <c r="G465" i="3" s="1"/>
  <c r="B447" i="11"/>
  <c r="K447" i="11" s="1"/>
  <c r="B447" i="10"/>
  <c r="C447" i="10" s="1"/>
  <c r="B447" i="9"/>
  <c r="D447" i="9" s="1"/>
  <c r="B447" i="8"/>
  <c r="B447" i="7"/>
  <c r="B447" i="6"/>
  <c r="B447" i="4"/>
  <c r="C447" i="4" s="1"/>
  <c r="B447" i="5"/>
  <c r="B469" i="3"/>
  <c r="L469" i="3" s="1"/>
  <c r="B451" i="11"/>
  <c r="B451" i="10"/>
  <c r="C451" i="10" s="1"/>
  <c r="B451" i="9"/>
  <c r="B451" i="8"/>
  <c r="B451" i="7"/>
  <c r="B451" i="6"/>
  <c r="C451" i="6" s="1"/>
  <c r="B451" i="4"/>
  <c r="B451" i="5"/>
  <c r="B473" i="3"/>
  <c r="J473" i="3" s="1"/>
  <c r="B455" i="11"/>
  <c r="B455" i="10"/>
  <c r="C455" i="10" s="1"/>
  <c r="B455" i="9"/>
  <c r="B455" i="8"/>
  <c r="B455" i="6"/>
  <c r="J455" i="6" s="1"/>
  <c r="B455" i="7"/>
  <c r="D455" i="7" s="1"/>
  <c r="B455" i="5"/>
  <c r="B455" i="4"/>
  <c r="D455" i="4" s="1"/>
  <c r="B477" i="3"/>
  <c r="H477" i="3" s="1"/>
  <c r="B459" i="11"/>
  <c r="K459" i="11" s="1"/>
  <c r="B459" i="10"/>
  <c r="B459" i="8"/>
  <c r="B459" i="9"/>
  <c r="B459" i="6"/>
  <c r="B459" i="7"/>
  <c r="D459" i="7" s="1"/>
  <c r="B459" i="5"/>
  <c r="B459" i="4"/>
  <c r="D459" i="4" s="1"/>
  <c r="B481" i="3"/>
  <c r="B463" i="11"/>
  <c r="T463" i="11" s="1"/>
  <c r="B463" i="10"/>
  <c r="C463" i="10" s="1"/>
  <c r="B463" i="9"/>
  <c r="K463" i="9" s="1"/>
  <c r="B463" i="8"/>
  <c r="B463" i="6"/>
  <c r="B463" i="7"/>
  <c r="B463" i="5"/>
  <c r="B463" i="4"/>
  <c r="B485" i="3"/>
  <c r="G485" i="3" s="1"/>
  <c r="B467" i="11"/>
  <c r="B467" i="10"/>
  <c r="D467" i="10" s="1"/>
  <c r="B467" i="8"/>
  <c r="B467" i="9"/>
  <c r="B467" i="6"/>
  <c r="C467" i="6" s="1"/>
  <c r="B467" i="7"/>
  <c r="D467" i="7" s="1"/>
  <c r="B467" i="5"/>
  <c r="B467" i="4"/>
  <c r="B489" i="3"/>
  <c r="B471" i="11"/>
  <c r="T471" i="11" s="1"/>
  <c r="B471" i="10"/>
  <c r="D471" i="10" s="1"/>
  <c r="B471" i="9"/>
  <c r="B471" i="8"/>
  <c r="B471" i="6"/>
  <c r="D471" i="6" s="1"/>
  <c r="B471" i="7"/>
  <c r="B471" i="5"/>
  <c r="B471" i="4"/>
  <c r="D471" i="4" s="1"/>
  <c r="B493" i="3"/>
  <c r="B475" i="11"/>
  <c r="C475" i="11" s="1"/>
  <c r="B475" i="10"/>
  <c r="D475" i="10" s="1"/>
  <c r="B475" i="9"/>
  <c r="B475" i="8"/>
  <c r="B475" i="6"/>
  <c r="B475" i="7"/>
  <c r="B475" i="4"/>
  <c r="M475" i="4" s="1"/>
  <c r="B475" i="5"/>
  <c r="B497" i="3"/>
  <c r="B479" i="11"/>
  <c r="D479" i="11" s="1"/>
  <c r="B479" i="10"/>
  <c r="B479" i="8"/>
  <c r="B479" i="9"/>
  <c r="B479" i="6"/>
  <c r="B479" i="7"/>
  <c r="D479" i="7" s="1"/>
  <c r="B479" i="5"/>
  <c r="B479" i="4"/>
  <c r="B501" i="3"/>
  <c r="F501" i="3" s="1"/>
  <c r="B483" i="11"/>
  <c r="B483" i="10"/>
  <c r="D483" i="10" s="1"/>
  <c r="B483" i="9"/>
  <c r="B483" i="8"/>
  <c r="B483" i="6"/>
  <c r="C483" i="6" s="1"/>
  <c r="B483" i="7"/>
  <c r="L483" i="7" s="1"/>
  <c r="B483" i="4"/>
  <c r="B483" i="5"/>
  <c r="B505" i="3"/>
  <c r="B487" i="11"/>
  <c r="C487" i="11" s="1"/>
  <c r="B487" i="10"/>
  <c r="D487" i="10" s="1"/>
  <c r="B487" i="8"/>
  <c r="B487" i="9"/>
  <c r="D487" i="9" s="1"/>
  <c r="B487" i="6"/>
  <c r="J487" i="6" s="1"/>
  <c r="B487" i="7"/>
  <c r="B487" i="4"/>
  <c r="B487" i="5"/>
  <c r="B509" i="3"/>
  <c r="B491" i="11"/>
  <c r="C491" i="11" s="1"/>
  <c r="B491" i="10"/>
  <c r="D491" i="10" s="1"/>
  <c r="B491" i="9"/>
  <c r="D491" i="9" s="1"/>
  <c r="B491" i="8"/>
  <c r="B491" i="6"/>
  <c r="J491" i="6" s="1"/>
  <c r="B491" i="7"/>
  <c r="B491" i="4"/>
  <c r="M491" i="4" s="1"/>
  <c r="B491" i="5"/>
  <c r="B513" i="3"/>
  <c r="B495" i="11"/>
  <c r="K495" i="11" s="1"/>
  <c r="B495" i="10"/>
  <c r="B495" i="9"/>
  <c r="K495" i="9" s="1"/>
  <c r="B495" i="8"/>
  <c r="B495" i="6"/>
  <c r="J495" i="6" s="1"/>
  <c r="B495" i="7"/>
  <c r="L495" i="7" s="1"/>
  <c r="B495" i="5"/>
  <c r="B495" i="4"/>
  <c r="B517" i="3"/>
  <c r="N517" i="3" s="1"/>
  <c r="B499" i="11"/>
  <c r="B499" i="10"/>
  <c r="C499" i="10" s="1"/>
  <c r="B499" i="9"/>
  <c r="B499" i="8"/>
  <c r="B499" i="6"/>
  <c r="B499" i="7"/>
  <c r="L499" i="7" s="1"/>
  <c r="B499" i="4"/>
  <c r="B499" i="5"/>
  <c r="B521" i="3"/>
  <c r="B503" i="11"/>
  <c r="C503" i="11" s="1"/>
  <c r="B503" i="10"/>
  <c r="D503" i="10" s="1"/>
  <c r="B503" i="9"/>
  <c r="B503" i="8"/>
  <c r="B503" i="6"/>
  <c r="J503" i="6" s="1"/>
  <c r="B503" i="7"/>
  <c r="L503" i="7" s="1"/>
  <c r="B503" i="5"/>
  <c r="B503" i="4"/>
  <c r="D503" i="4" s="1"/>
  <c r="B525" i="3"/>
  <c r="L525" i="3" s="1"/>
  <c r="B507" i="11"/>
  <c r="D507" i="11" s="1"/>
  <c r="B507" i="10"/>
  <c r="I507" i="10" s="1"/>
  <c r="B507" i="8"/>
  <c r="B507" i="9"/>
  <c r="K507" i="9" s="1"/>
  <c r="B507" i="6"/>
  <c r="J507" i="6" s="1"/>
  <c r="B507" i="7"/>
  <c r="L507" i="7" s="1"/>
  <c r="B507" i="5"/>
  <c r="B507" i="4"/>
  <c r="D507" i="4" s="1"/>
  <c r="I11" i="12" a="1"/>
  <c r="I11" i="12" s="1"/>
  <c r="I47" i="12"/>
  <c r="B209" i="4"/>
  <c r="D209" i="4" s="1"/>
  <c r="B211" i="4"/>
  <c r="D211" i="4" s="1"/>
  <c r="B213" i="4"/>
  <c r="B215" i="4"/>
  <c r="B217" i="4"/>
  <c r="D217" i="4" s="1"/>
  <c r="B219" i="4"/>
  <c r="B221" i="4"/>
  <c r="B223" i="4"/>
  <c r="B225" i="4"/>
  <c r="D225" i="4" s="1"/>
  <c r="B227" i="4"/>
  <c r="D227" i="4" s="1"/>
  <c r="B229" i="4"/>
  <c r="B231" i="4"/>
  <c r="B233" i="4"/>
  <c r="B234" i="4"/>
  <c r="B235" i="4"/>
  <c r="B237" i="4"/>
  <c r="B238" i="4"/>
  <c r="B239" i="4"/>
  <c r="B241" i="4"/>
  <c r="B246" i="4"/>
  <c r="B249" i="4"/>
  <c r="B254" i="4"/>
  <c r="D254" i="4" s="1"/>
  <c r="B257" i="4"/>
  <c r="B262" i="4"/>
  <c r="B265" i="4"/>
  <c r="B273" i="4"/>
  <c r="B277" i="4"/>
  <c r="B281" i="4"/>
  <c r="B226" i="3"/>
  <c r="B208" i="11"/>
  <c r="K208" i="11" s="1"/>
  <c r="B208" i="10"/>
  <c r="D208" i="10" s="1"/>
  <c r="B208" i="9"/>
  <c r="K208" i="9" s="1"/>
  <c r="B208" i="8"/>
  <c r="B208" i="7"/>
  <c r="L208" i="7" s="1"/>
  <c r="B208" i="6"/>
  <c r="B208" i="5"/>
  <c r="B230" i="3"/>
  <c r="B212" i="11"/>
  <c r="B212" i="9"/>
  <c r="K212" i="9" s="1"/>
  <c r="B212" i="10"/>
  <c r="D212" i="10" s="1"/>
  <c r="B212" i="8"/>
  <c r="B212" i="7"/>
  <c r="D212" i="7" s="1"/>
  <c r="B212" i="6"/>
  <c r="B212" i="5"/>
  <c r="B234" i="3"/>
  <c r="B216" i="11"/>
  <c r="T216" i="11" s="1"/>
  <c r="B216" i="10"/>
  <c r="D216" i="10" s="1"/>
  <c r="B216" i="9"/>
  <c r="K216" i="9" s="1"/>
  <c r="B216" i="8"/>
  <c r="B216" i="7"/>
  <c r="L216" i="7" s="1"/>
  <c r="B216" i="6"/>
  <c r="B216" i="5"/>
  <c r="B238" i="3"/>
  <c r="B220" i="11"/>
  <c r="B220" i="9"/>
  <c r="K220" i="9" s="1"/>
  <c r="B220" i="10"/>
  <c r="D220" i="10" s="1"/>
  <c r="B220" i="8"/>
  <c r="B220" i="7"/>
  <c r="B220" i="6"/>
  <c r="B220" i="5"/>
  <c r="B242" i="3"/>
  <c r="B224" i="11"/>
  <c r="B224" i="10"/>
  <c r="D224" i="10" s="1"/>
  <c r="B224" i="9"/>
  <c r="K224" i="9" s="1"/>
  <c r="B224" i="8"/>
  <c r="B224" i="7"/>
  <c r="L224" i="7" s="1"/>
  <c r="B224" i="6"/>
  <c r="B224" i="5"/>
  <c r="B246" i="3"/>
  <c r="F246" i="3" s="1"/>
  <c r="B228" i="11"/>
  <c r="B228" i="9"/>
  <c r="K228" i="9" s="1"/>
  <c r="B228" i="10"/>
  <c r="I228" i="10" s="1"/>
  <c r="B228" i="8"/>
  <c r="B228" i="7"/>
  <c r="D228" i="7" s="1"/>
  <c r="B228" i="6"/>
  <c r="B228" i="5"/>
  <c r="B250" i="3"/>
  <c r="F250" i="3" s="1"/>
  <c r="B232" i="11"/>
  <c r="B232" i="10"/>
  <c r="D232" i="10" s="1"/>
  <c r="B232" i="9"/>
  <c r="K232" i="9" s="1"/>
  <c r="B232" i="8"/>
  <c r="B232" i="7"/>
  <c r="B232" i="6"/>
  <c r="B232" i="5"/>
  <c r="B254" i="3"/>
  <c r="F254" i="3" s="1"/>
  <c r="B236" i="11"/>
  <c r="B236" i="9"/>
  <c r="K236" i="9" s="1"/>
  <c r="B236" i="10"/>
  <c r="C236" i="10" s="1"/>
  <c r="B236" i="8"/>
  <c r="B236" i="7"/>
  <c r="D236" i="7" s="1"/>
  <c r="B236" i="6"/>
  <c r="B236" i="5"/>
  <c r="B258" i="3"/>
  <c r="F258" i="3" s="1"/>
  <c r="B240" i="11"/>
  <c r="T240" i="11" s="1"/>
  <c r="B240" i="10"/>
  <c r="D240" i="10" s="1"/>
  <c r="B240" i="9"/>
  <c r="K240" i="9" s="1"/>
  <c r="B240" i="8"/>
  <c r="B240" i="7"/>
  <c r="B240" i="6"/>
  <c r="B240" i="5"/>
  <c r="B262" i="3"/>
  <c r="F262" i="3" s="1"/>
  <c r="B244" i="11"/>
  <c r="B244" i="9"/>
  <c r="K244" i="9" s="1"/>
  <c r="B244" i="10"/>
  <c r="I244" i="10" s="1"/>
  <c r="B244" i="8"/>
  <c r="B244" i="7"/>
  <c r="D244" i="7" s="1"/>
  <c r="B244" i="6"/>
  <c r="B244" i="5"/>
  <c r="M244" i="5" s="1"/>
  <c r="B266" i="3"/>
  <c r="F266" i="3" s="1"/>
  <c r="B248" i="11"/>
  <c r="B248" i="10"/>
  <c r="D248" i="10" s="1"/>
  <c r="B248" i="9"/>
  <c r="K248" i="9" s="1"/>
  <c r="B248" i="8"/>
  <c r="B248" i="7"/>
  <c r="B248" i="6"/>
  <c r="B248" i="5"/>
  <c r="M248" i="5" s="1"/>
  <c r="B270" i="3"/>
  <c r="F270" i="3" s="1"/>
  <c r="B252" i="11"/>
  <c r="C252" i="11" s="1"/>
  <c r="B252" i="9"/>
  <c r="K252" i="9" s="1"/>
  <c r="B252" i="10"/>
  <c r="C252" i="10" s="1"/>
  <c r="B252" i="8"/>
  <c r="B252" i="7"/>
  <c r="D252" i="7" s="1"/>
  <c r="B252" i="6"/>
  <c r="B252" i="5"/>
  <c r="M252" i="5" s="1"/>
  <c r="B274" i="3"/>
  <c r="F274" i="3" s="1"/>
  <c r="B256" i="11"/>
  <c r="B256" i="10"/>
  <c r="D256" i="10" s="1"/>
  <c r="B256" i="9"/>
  <c r="K256" i="9" s="1"/>
  <c r="B256" i="8"/>
  <c r="B256" i="7"/>
  <c r="C256" i="7" s="1"/>
  <c r="B256" i="6"/>
  <c r="B256" i="5"/>
  <c r="M256" i="5" s="1"/>
  <c r="B278" i="3"/>
  <c r="F278" i="3" s="1"/>
  <c r="B260" i="11"/>
  <c r="O260" i="11" s="1"/>
  <c r="B260" i="9"/>
  <c r="K260" i="9" s="1"/>
  <c r="B260" i="10"/>
  <c r="I260" i="10" s="1"/>
  <c r="B260" i="8"/>
  <c r="B260" i="7"/>
  <c r="B260" i="6"/>
  <c r="B260" i="5"/>
  <c r="M260" i="5" s="1"/>
  <c r="B282" i="3"/>
  <c r="F282" i="3" s="1"/>
  <c r="B264" i="11"/>
  <c r="B264" i="10"/>
  <c r="D264" i="10" s="1"/>
  <c r="B264" i="9"/>
  <c r="K264" i="9" s="1"/>
  <c r="B264" i="8"/>
  <c r="D264" i="8" s="1"/>
  <c r="B264" i="7"/>
  <c r="L264" i="7" s="1"/>
  <c r="B264" i="6"/>
  <c r="B264" i="5"/>
  <c r="M264" i="5" s="1"/>
  <c r="B286" i="3"/>
  <c r="F286" i="3" s="1"/>
  <c r="B268" i="11"/>
  <c r="B268" i="9"/>
  <c r="K268" i="9" s="1"/>
  <c r="B268" i="10"/>
  <c r="C268" i="10" s="1"/>
  <c r="B268" i="8"/>
  <c r="B268" i="7"/>
  <c r="L268" i="7" s="1"/>
  <c r="B268" i="6"/>
  <c r="B268" i="5"/>
  <c r="M268" i="5" s="1"/>
  <c r="B290" i="3"/>
  <c r="F290" i="3" s="1"/>
  <c r="B272" i="11"/>
  <c r="O272" i="11" s="1"/>
  <c r="B272" i="10"/>
  <c r="D272" i="10" s="1"/>
  <c r="B272" i="9"/>
  <c r="K272" i="9" s="1"/>
  <c r="B272" i="8"/>
  <c r="J272" i="8" s="1"/>
  <c r="B272" i="7"/>
  <c r="L272" i="7" s="1"/>
  <c r="B272" i="6"/>
  <c r="B272" i="5"/>
  <c r="M272" i="5" s="1"/>
  <c r="B294" i="3"/>
  <c r="F294" i="3" s="1"/>
  <c r="B276" i="11"/>
  <c r="B276" i="9"/>
  <c r="K276" i="9" s="1"/>
  <c r="B276" i="10"/>
  <c r="I276" i="10" s="1"/>
  <c r="B276" i="8"/>
  <c r="J276" i="8" s="1"/>
  <c r="B276" i="7"/>
  <c r="L276" i="7" s="1"/>
  <c r="B276" i="6"/>
  <c r="B276" i="5"/>
  <c r="M276" i="5" s="1"/>
  <c r="B298" i="3"/>
  <c r="F298" i="3" s="1"/>
  <c r="B280" i="11"/>
  <c r="B280" i="10"/>
  <c r="I280" i="10" s="1"/>
  <c r="B280" i="9"/>
  <c r="K280" i="9" s="1"/>
  <c r="B280" i="8"/>
  <c r="J280" i="8" s="1"/>
  <c r="B280" i="7"/>
  <c r="L280" i="7" s="1"/>
  <c r="B280" i="6"/>
  <c r="B280" i="5"/>
  <c r="M280" i="5" s="1"/>
  <c r="B302" i="3"/>
  <c r="F302" i="3" s="1"/>
  <c r="B284" i="11"/>
  <c r="B284" i="9"/>
  <c r="K284" i="9" s="1"/>
  <c r="B284" i="10"/>
  <c r="I284" i="10" s="1"/>
  <c r="B284" i="8"/>
  <c r="B284" i="7"/>
  <c r="L284" i="7" s="1"/>
  <c r="B284" i="6"/>
  <c r="B284" i="5"/>
  <c r="M284" i="5" s="1"/>
  <c r="B306" i="3"/>
  <c r="F306" i="3" s="1"/>
  <c r="B288" i="11"/>
  <c r="B288" i="10"/>
  <c r="I288" i="10" s="1"/>
  <c r="B288" i="9"/>
  <c r="K288" i="9" s="1"/>
  <c r="B288" i="8"/>
  <c r="B288" i="7"/>
  <c r="L288" i="7" s="1"/>
  <c r="B288" i="6"/>
  <c r="B288" i="5"/>
  <c r="M288" i="5" s="1"/>
  <c r="B310" i="3"/>
  <c r="F310" i="3" s="1"/>
  <c r="B292" i="11"/>
  <c r="K292" i="11" s="1"/>
  <c r="B292" i="9"/>
  <c r="K292" i="9" s="1"/>
  <c r="B292" i="10"/>
  <c r="I292" i="10" s="1"/>
  <c r="B292" i="8"/>
  <c r="J292" i="8" s="1"/>
  <c r="B292" i="7"/>
  <c r="L292" i="7" s="1"/>
  <c r="B292" i="6"/>
  <c r="B292" i="5"/>
  <c r="M292" i="5" s="1"/>
  <c r="B314" i="3"/>
  <c r="F314" i="3" s="1"/>
  <c r="B296" i="11"/>
  <c r="T296" i="11" s="1"/>
  <c r="B296" i="10"/>
  <c r="I296" i="10" s="1"/>
  <c r="B296" i="9"/>
  <c r="K296" i="9" s="1"/>
  <c r="B296" i="8"/>
  <c r="B296" i="7"/>
  <c r="L296" i="7" s="1"/>
  <c r="B296" i="6"/>
  <c r="B296" i="5"/>
  <c r="B318" i="3"/>
  <c r="F318" i="3" s="1"/>
  <c r="B300" i="11"/>
  <c r="T300" i="11" s="1"/>
  <c r="B300" i="9"/>
  <c r="K300" i="9" s="1"/>
  <c r="B300" i="10"/>
  <c r="I300" i="10" s="1"/>
  <c r="B300" i="8"/>
  <c r="B300" i="7"/>
  <c r="L300" i="7" s="1"/>
  <c r="B300" i="6"/>
  <c r="B300" i="5"/>
  <c r="B322" i="3"/>
  <c r="F322" i="3" s="1"/>
  <c r="B304" i="11"/>
  <c r="B304" i="10"/>
  <c r="I304" i="10" s="1"/>
  <c r="B304" i="9"/>
  <c r="K304" i="9" s="1"/>
  <c r="B304" i="8"/>
  <c r="B304" i="7"/>
  <c r="D304" i="7" s="1"/>
  <c r="B304" i="6"/>
  <c r="B304" i="5"/>
  <c r="B326" i="3"/>
  <c r="F326" i="3" s="1"/>
  <c r="B308" i="11"/>
  <c r="T308" i="11" s="1"/>
  <c r="B308" i="9"/>
  <c r="K308" i="9" s="1"/>
  <c r="B308" i="10"/>
  <c r="I308" i="10" s="1"/>
  <c r="B308" i="8"/>
  <c r="C308" i="8" s="1"/>
  <c r="B308" i="7"/>
  <c r="D308" i="7" s="1"/>
  <c r="B308" i="6"/>
  <c r="B308" i="5"/>
  <c r="B330" i="3"/>
  <c r="F330" i="3" s="1"/>
  <c r="B312" i="11"/>
  <c r="B312" i="10"/>
  <c r="B312" i="9"/>
  <c r="K312" i="9" s="1"/>
  <c r="B312" i="8"/>
  <c r="B312" i="7"/>
  <c r="D312" i="7" s="1"/>
  <c r="B312" i="6"/>
  <c r="B312" i="5"/>
  <c r="B312" i="4"/>
  <c r="B334" i="3"/>
  <c r="B316" i="11"/>
  <c r="T316" i="11" s="1"/>
  <c r="B316" i="9"/>
  <c r="K316" i="9" s="1"/>
  <c r="B316" i="10"/>
  <c r="C316" i="10" s="1"/>
  <c r="B316" i="8"/>
  <c r="D316" i="8" s="1"/>
  <c r="B316" i="7"/>
  <c r="D316" i="7" s="1"/>
  <c r="B316" i="6"/>
  <c r="B316" i="5"/>
  <c r="B316" i="4"/>
  <c r="C316" i="4" s="1"/>
  <c r="B338" i="3"/>
  <c r="F338" i="3" s="1"/>
  <c r="B320" i="11"/>
  <c r="T320" i="11" s="1"/>
  <c r="B320" i="10"/>
  <c r="B320" i="9"/>
  <c r="K320" i="9" s="1"/>
  <c r="B320" i="8"/>
  <c r="C320" i="8" s="1"/>
  <c r="B320" i="7"/>
  <c r="D320" i="7" s="1"/>
  <c r="B320" i="6"/>
  <c r="B320" i="5"/>
  <c r="B320" i="4"/>
  <c r="C320" i="4" s="1"/>
  <c r="B342" i="3"/>
  <c r="F342" i="3" s="1"/>
  <c r="B324" i="11"/>
  <c r="K324" i="11" s="1"/>
  <c r="B324" i="9"/>
  <c r="B324" i="10"/>
  <c r="D324" i="10" s="1"/>
  <c r="B324" i="8"/>
  <c r="J324" i="8" s="1"/>
  <c r="B324" i="7"/>
  <c r="B324" i="6"/>
  <c r="B324" i="5"/>
  <c r="B324" i="4"/>
  <c r="C324" i="4" s="1"/>
  <c r="B346" i="3"/>
  <c r="F346" i="3" s="1"/>
  <c r="B328" i="11"/>
  <c r="O328" i="11" s="1"/>
  <c r="B328" i="10"/>
  <c r="D328" i="10" s="1"/>
  <c r="B328" i="9"/>
  <c r="K328" i="9" s="1"/>
  <c r="B328" i="8"/>
  <c r="C328" i="8" s="1"/>
  <c r="B328" i="7"/>
  <c r="D328" i="7" s="1"/>
  <c r="B328" i="6"/>
  <c r="B328" i="5"/>
  <c r="B328" i="4"/>
  <c r="D328" i="4" s="1"/>
  <c r="B354" i="3"/>
  <c r="C354" i="3" s="1"/>
  <c r="B336" i="11"/>
  <c r="K336" i="11" s="1"/>
  <c r="B336" i="10"/>
  <c r="D336" i="10" s="1"/>
  <c r="B336" i="9"/>
  <c r="B336" i="8"/>
  <c r="B336" i="7"/>
  <c r="D336" i="7" s="1"/>
  <c r="B336" i="6"/>
  <c r="B336" i="5"/>
  <c r="B336" i="4"/>
  <c r="D336" i="4" s="1"/>
  <c r="B358" i="3"/>
  <c r="E358" i="3" s="1"/>
  <c r="B340" i="11"/>
  <c r="C340" i="11" s="1"/>
  <c r="B340" i="9"/>
  <c r="B340" i="10"/>
  <c r="I340" i="10" s="1"/>
  <c r="B340" i="8"/>
  <c r="C340" i="8" s="1"/>
  <c r="B340" i="7"/>
  <c r="D340" i="7" s="1"/>
  <c r="B340" i="6"/>
  <c r="B340" i="5"/>
  <c r="C340" i="5" s="1"/>
  <c r="B340" i="4"/>
  <c r="B362" i="3"/>
  <c r="K362" i="3" s="1"/>
  <c r="B344" i="11"/>
  <c r="B344" i="10"/>
  <c r="I344" i="10" s="1"/>
  <c r="B344" i="9"/>
  <c r="K344" i="9" s="1"/>
  <c r="B344" i="8"/>
  <c r="C344" i="8" s="1"/>
  <c r="B344" i="7"/>
  <c r="D344" i="7" s="1"/>
  <c r="B344" i="6"/>
  <c r="B344" i="5"/>
  <c r="M344" i="5" s="1"/>
  <c r="B344" i="4"/>
  <c r="B366" i="3"/>
  <c r="B348" i="11"/>
  <c r="B348" i="9"/>
  <c r="K348" i="9" s="1"/>
  <c r="B348" i="10"/>
  <c r="D348" i="10" s="1"/>
  <c r="B348" i="8"/>
  <c r="J348" i="8" s="1"/>
  <c r="B348" i="7"/>
  <c r="D348" i="7" s="1"/>
  <c r="B348" i="6"/>
  <c r="B348" i="5"/>
  <c r="B348" i="4"/>
  <c r="B370" i="3"/>
  <c r="C370" i="3" s="1"/>
  <c r="B352" i="11"/>
  <c r="O352" i="11" s="1"/>
  <c r="B352" i="9"/>
  <c r="B352" i="10"/>
  <c r="B352" i="6"/>
  <c r="B352" i="8"/>
  <c r="J352" i="8" s="1"/>
  <c r="B352" i="7"/>
  <c r="D352" i="7" s="1"/>
  <c r="B352" i="4"/>
  <c r="D352" i="4" s="1"/>
  <c r="B352" i="5"/>
  <c r="M352" i="5" s="1"/>
  <c r="B374" i="3"/>
  <c r="N374" i="3" s="1"/>
  <c r="B356" i="11"/>
  <c r="T356" i="11" s="1"/>
  <c r="B356" i="10"/>
  <c r="B356" i="9"/>
  <c r="B356" i="8"/>
  <c r="D356" i="8" s="1"/>
  <c r="B356" i="6"/>
  <c r="B356" i="7"/>
  <c r="L356" i="7" s="1"/>
  <c r="B356" i="5"/>
  <c r="M356" i="5" s="1"/>
  <c r="B356" i="4"/>
  <c r="B378" i="3"/>
  <c r="C378" i="3" s="1"/>
  <c r="B360" i="11"/>
  <c r="B360" i="9"/>
  <c r="B360" i="10"/>
  <c r="D360" i="10" s="1"/>
  <c r="B360" i="8"/>
  <c r="J360" i="8" s="1"/>
  <c r="B360" i="6"/>
  <c r="B360" i="7"/>
  <c r="B360" i="5"/>
  <c r="M360" i="5" s="1"/>
  <c r="B360" i="4"/>
  <c r="B382" i="3"/>
  <c r="B364" i="11"/>
  <c r="T364" i="11" s="1"/>
  <c r="B364" i="10"/>
  <c r="D364" i="10" s="1"/>
  <c r="B364" i="9"/>
  <c r="B364" i="8"/>
  <c r="B364" i="6"/>
  <c r="B364" i="7"/>
  <c r="L364" i="7" s="1"/>
  <c r="B364" i="4"/>
  <c r="B364" i="5"/>
  <c r="B386" i="3"/>
  <c r="B368" i="11"/>
  <c r="K368" i="11" s="1"/>
  <c r="B368" i="10"/>
  <c r="D368" i="10" s="1"/>
  <c r="B368" i="9"/>
  <c r="B368" i="6"/>
  <c r="B368" i="8"/>
  <c r="D368" i="8" s="1"/>
  <c r="B368" i="7"/>
  <c r="L368" i="7" s="1"/>
  <c r="B368" i="5"/>
  <c r="C368" i="5" s="1"/>
  <c r="B368" i="4"/>
  <c r="D368" i="4" s="1"/>
  <c r="B390" i="3"/>
  <c r="F390" i="3" s="1"/>
  <c r="B372" i="11"/>
  <c r="T372" i="11" s="1"/>
  <c r="B372" i="9"/>
  <c r="B372" i="10"/>
  <c r="B372" i="6"/>
  <c r="B372" i="8"/>
  <c r="B372" i="7"/>
  <c r="L372" i="7" s="1"/>
  <c r="B372" i="5"/>
  <c r="C372" i="5" s="1"/>
  <c r="B372" i="4"/>
  <c r="B394" i="3"/>
  <c r="F394" i="3" s="1"/>
  <c r="B376" i="11"/>
  <c r="B376" i="10"/>
  <c r="D376" i="10" s="1"/>
  <c r="B376" i="9"/>
  <c r="B376" i="6"/>
  <c r="B376" i="7"/>
  <c r="B376" i="8"/>
  <c r="J376" i="8" s="1"/>
  <c r="B376" i="5"/>
  <c r="C376" i="5" s="1"/>
  <c r="B376" i="4"/>
  <c r="B398" i="3"/>
  <c r="F398" i="3" s="1"/>
  <c r="B380" i="11"/>
  <c r="B380" i="10"/>
  <c r="D380" i="10" s="1"/>
  <c r="B380" i="9"/>
  <c r="B380" i="8"/>
  <c r="B380" i="6"/>
  <c r="B380" i="7"/>
  <c r="B380" i="5"/>
  <c r="C380" i="5" s="1"/>
  <c r="B380" i="4"/>
  <c r="B402" i="3"/>
  <c r="F402" i="3" s="1"/>
  <c r="B384" i="11"/>
  <c r="T384" i="11" s="1"/>
  <c r="B384" i="10"/>
  <c r="C384" i="10" s="1"/>
  <c r="B384" i="9"/>
  <c r="B384" i="8"/>
  <c r="J384" i="8" s="1"/>
  <c r="B384" i="6"/>
  <c r="B384" i="7"/>
  <c r="B384" i="4"/>
  <c r="B384" i="5"/>
  <c r="C384" i="5" s="1"/>
  <c r="B406" i="3"/>
  <c r="F406" i="3" s="1"/>
  <c r="B388" i="11"/>
  <c r="B388" i="10"/>
  <c r="B388" i="9"/>
  <c r="B388" i="8"/>
  <c r="B388" i="6"/>
  <c r="B388" i="7"/>
  <c r="L388" i="7" s="1"/>
  <c r="B388" i="5"/>
  <c r="C388" i="5" s="1"/>
  <c r="B388" i="4"/>
  <c r="D388" i="4" s="1"/>
  <c r="B410" i="3"/>
  <c r="B392" i="11"/>
  <c r="B392" i="10"/>
  <c r="B392" i="8"/>
  <c r="B392" i="9"/>
  <c r="B392" i="6"/>
  <c r="B392" i="7"/>
  <c r="L392" i="7" s="1"/>
  <c r="B392" i="4"/>
  <c r="C392" i="4" s="1"/>
  <c r="B392" i="5"/>
  <c r="C392" i="5" s="1"/>
  <c r="B414" i="3"/>
  <c r="F414" i="3" s="1"/>
  <c r="B396" i="10"/>
  <c r="B396" i="11"/>
  <c r="B396" i="9"/>
  <c r="B396" i="8"/>
  <c r="B396" i="6"/>
  <c r="B396" i="7"/>
  <c r="L396" i="7" s="1"/>
  <c r="B396" i="4"/>
  <c r="B396" i="5"/>
  <c r="B418" i="3"/>
  <c r="F418" i="3" s="1"/>
  <c r="B400" i="11"/>
  <c r="B400" i="10"/>
  <c r="I400" i="10" s="1"/>
  <c r="B400" i="9"/>
  <c r="B400" i="8"/>
  <c r="B400" i="6"/>
  <c r="B400" i="7"/>
  <c r="B400" i="5"/>
  <c r="C400" i="5" s="1"/>
  <c r="B400" i="4"/>
  <c r="C400" i="4" s="1"/>
  <c r="B422" i="3"/>
  <c r="F422" i="3" s="1"/>
  <c r="B404" i="10"/>
  <c r="I404" i="10" s="1"/>
  <c r="B404" i="11"/>
  <c r="B404" i="8"/>
  <c r="C404" i="8" s="1"/>
  <c r="B404" i="9"/>
  <c r="B404" i="6"/>
  <c r="B404" i="7"/>
  <c r="L404" i="7" s="1"/>
  <c r="B404" i="4"/>
  <c r="C404" i="4" s="1"/>
  <c r="B404" i="5"/>
  <c r="C404" i="5" s="1"/>
  <c r="B426" i="3"/>
  <c r="F426" i="3" s="1"/>
  <c r="B408" i="10"/>
  <c r="B408" i="11"/>
  <c r="B408" i="9"/>
  <c r="B408" i="8"/>
  <c r="C408" i="8" s="1"/>
  <c r="B408" i="6"/>
  <c r="B408" i="7"/>
  <c r="L408" i="7" s="1"/>
  <c r="B408" i="5"/>
  <c r="C408" i="5" s="1"/>
  <c r="B408" i="4"/>
  <c r="C408" i="4" s="1"/>
  <c r="B430" i="3"/>
  <c r="F430" i="3" s="1"/>
  <c r="B412" i="11"/>
  <c r="B412" i="10"/>
  <c r="I412" i="10" s="1"/>
  <c r="B412" i="9"/>
  <c r="B412" i="8"/>
  <c r="D412" i="8" s="1"/>
  <c r="B412" i="7"/>
  <c r="B412" i="6"/>
  <c r="B412" i="4"/>
  <c r="B412" i="5"/>
  <c r="B434" i="3"/>
  <c r="F434" i="3" s="1"/>
  <c r="B416" i="11"/>
  <c r="O416" i="11" s="1"/>
  <c r="S416" i="11" s="1"/>
  <c r="B416" i="10"/>
  <c r="D416" i="10" s="1"/>
  <c r="B416" i="9"/>
  <c r="B416" i="8"/>
  <c r="B416" i="7"/>
  <c r="B416" i="6"/>
  <c r="B416" i="5"/>
  <c r="B416" i="4"/>
  <c r="C416" i="4" s="1"/>
  <c r="B438" i="3"/>
  <c r="F438" i="3" s="1"/>
  <c r="B420" i="11"/>
  <c r="O420" i="11" s="1"/>
  <c r="Q420" i="11" s="1"/>
  <c r="B420" i="10"/>
  <c r="B420" i="8"/>
  <c r="B420" i="9"/>
  <c r="B420" i="7"/>
  <c r="B420" i="6"/>
  <c r="B420" i="4"/>
  <c r="D420" i="4" s="1"/>
  <c r="B420" i="5"/>
  <c r="B442" i="3"/>
  <c r="F442" i="3" s="1"/>
  <c r="B424" i="11"/>
  <c r="B424" i="10"/>
  <c r="B424" i="9"/>
  <c r="B424" i="8"/>
  <c r="B424" i="7"/>
  <c r="L424" i="7" s="1"/>
  <c r="B424" i="6"/>
  <c r="J424" i="6" s="1"/>
  <c r="B424" i="5"/>
  <c r="C424" i="5" s="1"/>
  <c r="B424" i="4"/>
  <c r="D424" i="4" s="1"/>
  <c r="B446" i="3"/>
  <c r="B428" i="11"/>
  <c r="D428" i="11" s="1"/>
  <c r="B428" i="10"/>
  <c r="B428" i="8"/>
  <c r="B428" i="9"/>
  <c r="D428" i="9" s="1"/>
  <c r="B428" i="7"/>
  <c r="D428" i="7" s="1"/>
  <c r="B428" i="6"/>
  <c r="J428" i="6" s="1"/>
  <c r="B428" i="5"/>
  <c r="B428" i="4"/>
  <c r="M428" i="4" s="1"/>
  <c r="B450" i="3"/>
  <c r="L450" i="3" s="1"/>
  <c r="B432" i="10"/>
  <c r="B432" i="11"/>
  <c r="D432" i="11" s="1"/>
  <c r="B432" i="8"/>
  <c r="B432" i="9"/>
  <c r="D432" i="9" s="1"/>
  <c r="B432" i="7"/>
  <c r="C432" i="7" s="1"/>
  <c r="B432" i="6"/>
  <c r="J432" i="6" s="1"/>
  <c r="B432" i="5"/>
  <c r="M432" i="5" s="1"/>
  <c r="B432" i="4"/>
  <c r="B454" i="3"/>
  <c r="B436" i="11"/>
  <c r="D436" i="11" s="1"/>
  <c r="B436" i="10"/>
  <c r="B436" i="9"/>
  <c r="B436" i="8"/>
  <c r="J436" i="8" s="1"/>
  <c r="B436" i="7"/>
  <c r="L436" i="7" s="1"/>
  <c r="B436" i="6"/>
  <c r="J436" i="6" s="1"/>
  <c r="B436" i="5"/>
  <c r="M436" i="5" s="1"/>
  <c r="B436" i="4"/>
  <c r="M436" i="4" s="1"/>
  <c r="B458" i="3"/>
  <c r="D458" i="3" s="1"/>
  <c r="B440" i="11"/>
  <c r="K440" i="11" s="1"/>
  <c r="B440" i="10"/>
  <c r="B440" i="8"/>
  <c r="B440" i="9"/>
  <c r="N440" i="9" s="1"/>
  <c r="B440" i="7"/>
  <c r="C440" i="7" s="1"/>
  <c r="B440" i="6"/>
  <c r="J440" i="6" s="1"/>
  <c r="B440" i="5"/>
  <c r="B440" i="4"/>
  <c r="B462" i="3"/>
  <c r="B444" i="11"/>
  <c r="B444" i="10"/>
  <c r="B444" i="9"/>
  <c r="D444" i="9" s="1"/>
  <c r="B444" i="8"/>
  <c r="D444" i="8" s="1"/>
  <c r="B444" i="7"/>
  <c r="D444" i="7" s="1"/>
  <c r="B444" i="6"/>
  <c r="J444" i="6" s="1"/>
  <c r="B444" i="5"/>
  <c r="B444" i="4"/>
  <c r="C444" i="4" s="1"/>
  <c r="B466" i="3"/>
  <c r="B448" i="11"/>
  <c r="T448" i="11" s="1"/>
  <c r="B448" i="10"/>
  <c r="B448" i="9"/>
  <c r="D448" i="9" s="1"/>
  <c r="B448" i="8"/>
  <c r="D448" i="8" s="1"/>
  <c r="B448" i="7"/>
  <c r="L448" i="7" s="1"/>
  <c r="B448" i="6"/>
  <c r="J448" i="6" s="1"/>
  <c r="B448" i="4"/>
  <c r="B448" i="5"/>
  <c r="M448" i="5" s="1"/>
  <c r="B470" i="3"/>
  <c r="H470" i="3" s="1"/>
  <c r="B452" i="11"/>
  <c r="K452" i="11" s="1"/>
  <c r="B452" i="10"/>
  <c r="B452" i="8"/>
  <c r="D452" i="8" s="1"/>
  <c r="B452" i="9"/>
  <c r="C452" i="9" s="1"/>
  <c r="B452" i="7"/>
  <c r="B452" i="6"/>
  <c r="B452" i="5"/>
  <c r="M452" i="5" s="1"/>
  <c r="B452" i="4"/>
  <c r="C452" i="4" s="1"/>
  <c r="B474" i="3"/>
  <c r="J474" i="3" s="1"/>
  <c r="B456" i="11"/>
  <c r="B456" i="10"/>
  <c r="B456" i="9"/>
  <c r="K456" i="9" s="1"/>
  <c r="B456" i="8"/>
  <c r="C456" i="8" s="1"/>
  <c r="B456" i="7"/>
  <c r="L456" i="7" s="1"/>
  <c r="B456" i="6"/>
  <c r="D456" i="6" s="1"/>
  <c r="B456" i="4"/>
  <c r="M456" i="4" s="1"/>
  <c r="B456" i="5"/>
  <c r="B478" i="3"/>
  <c r="B460" i="11"/>
  <c r="B460" i="10"/>
  <c r="B460" i="8"/>
  <c r="B460" i="9"/>
  <c r="B460" i="7"/>
  <c r="L460" i="7" s="1"/>
  <c r="B460" i="6"/>
  <c r="C460" i="6" s="1"/>
  <c r="B460" i="5"/>
  <c r="B460" i="4"/>
  <c r="M460" i="4" s="1"/>
  <c r="B482" i="3"/>
  <c r="F482" i="3" s="1"/>
  <c r="B464" i="11"/>
  <c r="C464" i="11" s="1"/>
  <c r="B464" i="10"/>
  <c r="B464" i="9"/>
  <c r="B464" i="8"/>
  <c r="C464" i="8" s="1"/>
  <c r="B464" i="7"/>
  <c r="L464" i="7" s="1"/>
  <c r="B464" i="6"/>
  <c r="B464" i="5"/>
  <c r="M464" i="5" s="1"/>
  <c r="B464" i="4"/>
  <c r="M464" i="4" s="1"/>
  <c r="B486" i="3"/>
  <c r="F486" i="3" s="1"/>
  <c r="B468" i="11"/>
  <c r="K468" i="11" s="1"/>
  <c r="B468" i="10"/>
  <c r="B468" i="9"/>
  <c r="K468" i="9" s="1"/>
  <c r="B468" i="8"/>
  <c r="C468" i="8" s="1"/>
  <c r="B468" i="7"/>
  <c r="C468" i="7" s="1"/>
  <c r="B468" i="6"/>
  <c r="C468" i="6" s="1"/>
  <c r="B468" i="5"/>
  <c r="M468" i="5" s="1"/>
  <c r="B468" i="4"/>
  <c r="B490" i="3"/>
  <c r="F490" i="3" s="1"/>
  <c r="B472" i="11"/>
  <c r="K472" i="11" s="1"/>
  <c r="B472" i="10"/>
  <c r="I472" i="10" s="1"/>
  <c r="B472" i="8"/>
  <c r="B472" i="9"/>
  <c r="N472" i="9" s="1"/>
  <c r="B472" i="7"/>
  <c r="C472" i="7" s="1"/>
  <c r="B472" i="6"/>
  <c r="J472" i="6" s="1"/>
  <c r="B472" i="4"/>
  <c r="D472" i="4" s="1"/>
  <c r="B472" i="5"/>
  <c r="B494" i="3"/>
  <c r="F494" i="3" s="1"/>
  <c r="B476" i="11"/>
  <c r="B476" i="10"/>
  <c r="I476" i="10" s="1"/>
  <c r="B476" i="9"/>
  <c r="C476" i="9" s="1"/>
  <c r="B476" i="8"/>
  <c r="B476" i="7"/>
  <c r="D476" i="7" s="1"/>
  <c r="B476" i="6"/>
  <c r="D476" i="6" s="1"/>
  <c r="B476" i="5"/>
  <c r="C476" i="5" s="1"/>
  <c r="B476" i="4"/>
  <c r="C476" i="4" s="1"/>
  <c r="B498" i="3"/>
  <c r="B480" i="11"/>
  <c r="K480" i="11" s="1"/>
  <c r="B480" i="10"/>
  <c r="I480" i="10" s="1"/>
  <c r="B480" i="9"/>
  <c r="B480" i="8"/>
  <c r="C480" i="8" s="1"/>
  <c r="B480" i="7"/>
  <c r="C480" i="7" s="1"/>
  <c r="B480" i="6"/>
  <c r="C480" i="6" s="1"/>
  <c r="B480" i="5"/>
  <c r="M480" i="5" s="1"/>
  <c r="B480" i="4"/>
  <c r="C480" i="4" s="1"/>
  <c r="B502" i="3"/>
  <c r="N502" i="3" s="1"/>
  <c r="B484" i="11"/>
  <c r="D484" i="11" s="1"/>
  <c r="B484" i="10"/>
  <c r="B484" i="9"/>
  <c r="K484" i="9" s="1"/>
  <c r="B484" i="8"/>
  <c r="C484" i="8" s="1"/>
  <c r="B484" i="7"/>
  <c r="C484" i="7" s="1"/>
  <c r="B484" i="6"/>
  <c r="C484" i="6" s="1"/>
  <c r="B484" i="5"/>
  <c r="M484" i="5" s="1"/>
  <c r="B484" i="4"/>
  <c r="D484" i="4" s="1"/>
  <c r="B506" i="3"/>
  <c r="M506" i="3" s="1" a="1"/>
  <c r="M506" i="3" s="1"/>
  <c r="B488" i="11"/>
  <c r="B488" i="10"/>
  <c r="I488" i="10" s="1"/>
  <c r="B488" i="9"/>
  <c r="N488" i="9" s="1"/>
  <c r="B488" i="8"/>
  <c r="B488" i="7"/>
  <c r="C488" i="7" s="1"/>
  <c r="B488" i="6"/>
  <c r="J488" i="6" s="1"/>
  <c r="B488" i="5"/>
  <c r="M488" i="5" s="1"/>
  <c r="B488" i="4"/>
  <c r="B510" i="3"/>
  <c r="K510" i="3" s="1"/>
  <c r="B492" i="11"/>
  <c r="C492" i="11" s="1"/>
  <c r="B492" i="10"/>
  <c r="C492" i="10" s="1"/>
  <c r="B492" i="9"/>
  <c r="C492" i="9" s="1"/>
  <c r="B492" i="8"/>
  <c r="B492" i="7"/>
  <c r="L492" i="7" s="1"/>
  <c r="B492" i="6"/>
  <c r="J492" i="6" s="1"/>
  <c r="B492" i="5"/>
  <c r="M492" i="5" s="1"/>
  <c r="B492" i="4"/>
  <c r="D492" i="4" s="1"/>
  <c r="B514" i="3"/>
  <c r="C514" i="3" s="1"/>
  <c r="B496" i="11"/>
  <c r="K496" i="11" s="1"/>
  <c r="B496" i="10"/>
  <c r="I496" i="10" s="1"/>
  <c r="B496" i="8"/>
  <c r="B496" i="9"/>
  <c r="B496" i="7"/>
  <c r="L496" i="7" s="1"/>
  <c r="B496" i="6"/>
  <c r="J496" i="6" s="1"/>
  <c r="B496" i="5"/>
  <c r="M496" i="5" s="1"/>
  <c r="B496" i="4"/>
  <c r="D496" i="4" s="1"/>
  <c r="B518" i="3"/>
  <c r="J518" i="3" s="1"/>
  <c r="B500" i="11"/>
  <c r="C500" i="11" s="1"/>
  <c r="B500" i="10"/>
  <c r="B500" i="9"/>
  <c r="B500" i="8"/>
  <c r="B500" i="7"/>
  <c r="L500" i="7" s="1"/>
  <c r="B500" i="6"/>
  <c r="J500" i="6" s="1"/>
  <c r="B500" i="5"/>
  <c r="M500" i="5" s="1"/>
  <c r="B500" i="4"/>
  <c r="M500" i="4" s="1"/>
  <c r="B522" i="3"/>
  <c r="J522" i="3" s="1"/>
  <c r="B504" i="11"/>
  <c r="B504" i="10"/>
  <c r="I504" i="10" s="1"/>
  <c r="B504" i="8"/>
  <c r="C504" i="8" s="1"/>
  <c r="B504" i="9"/>
  <c r="C504" i="9" s="1"/>
  <c r="B504" i="7"/>
  <c r="L504" i="7" s="1"/>
  <c r="B504" i="6"/>
  <c r="J504" i="6" s="1"/>
  <c r="B504" i="4"/>
  <c r="C504" i="4" s="1"/>
  <c r="B504" i="5"/>
  <c r="M504" i="5" s="1"/>
  <c r="B243" i="4"/>
  <c r="M243" i="4" s="1"/>
  <c r="B245" i="4"/>
  <c r="B247" i="4"/>
  <c r="C247" i="4" s="1"/>
  <c r="B251" i="4"/>
  <c r="B253" i="4"/>
  <c r="B255" i="4"/>
  <c r="C255" i="4" s="1"/>
  <c r="B259" i="4"/>
  <c r="M259" i="4" s="1"/>
  <c r="B261" i="4"/>
  <c r="B263" i="4"/>
  <c r="C263" i="4" s="1"/>
  <c r="L227" i="3"/>
  <c r="L231" i="3"/>
  <c r="L235" i="3"/>
  <c r="L239" i="3"/>
  <c r="L243" i="3"/>
  <c r="E251" i="3"/>
  <c r="E255" i="3"/>
  <c r="J255" i="3"/>
  <c r="J259" i="3"/>
  <c r="E267" i="3"/>
  <c r="E271" i="3"/>
  <c r="J271" i="3"/>
  <c r="J275" i="3"/>
  <c r="F227" i="3"/>
  <c r="F231" i="3"/>
  <c r="F235" i="3"/>
  <c r="F239" i="3"/>
  <c r="F243" i="3"/>
  <c r="D247" i="3"/>
  <c r="G247" i="3"/>
  <c r="H251" i="3"/>
  <c r="D251" i="3"/>
  <c r="L255" i="3"/>
  <c r="H255" i="3"/>
  <c r="M255" i="3" a="1"/>
  <c r="M255" i="3" s="1"/>
  <c r="L259" i="3"/>
  <c r="G259" i="3"/>
  <c r="M259" i="3" a="1"/>
  <c r="M259" i="3" s="1"/>
  <c r="D263" i="3"/>
  <c r="G263" i="3"/>
  <c r="L267" i="3"/>
  <c r="G267" i="3"/>
  <c r="M267" i="3" a="1"/>
  <c r="M267" i="3" s="1"/>
  <c r="L271" i="3"/>
  <c r="G271" i="3"/>
  <c r="M271" i="3" a="1"/>
  <c r="M271" i="3" s="1"/>
  <c r="L275" i="3"/>
  <c r="G275" i="3"/>
  <c r="M275" i="3" a="1"/>
  <c r="M275" i="3" s="1"/>
  <c r="K227" i="3"/>
  <c r="K231" i="3"/>
  <c r="K235" i="3"/>
  <c r="K239" i="3"/>
  <c r="K243" i="3"/>
  <c r="H279" i="3"/>
  <c r="L279" i="3"/>
  <c r="L283" i="3"/>
  <c r="D287" i="3"/>
  <c r="F288" i="3"/>
  <c r="H289" i="3"/>
  <c r="L291" i="3"/>
  <c r="D305" i="3"/>
  <c r="H305" i="3"/>
  <c r="L305" i="3"/>
  <c r="F308" i="3"/>
  <c r="D311" i="3"/>
  <c r="H311" i="3"/>
  <c r="L311" i="3"/>
  <c r="D315" i="3"/>
  <c r="H315" i="3"/>
  <c r="D321" i="3"/>
  <c r="L321" i="3"/>
  <c r="F324" i="3"/>
  <c r="D327" i="3"/>
  <c r="H327" i="3"/>
  <c r="L327" i="3"/>
  <c r="D331" i="3"/>
  <c r="L339" i="3"/>
  <c r="F340" i="3"/>
  <c r="D343" i="3"/>
  <c r="H343" i="3"/>
  <c r="L343" i="3"/>
  <c r="E347" i="3"/>
  <c r="M350" i="3" a="1"/>
  <c r="M350" i="3" s="1"/>
  <c r="I350" i="3"/>
  <c r="E350" i="3"/>
  <c r="N350" i="3"/>
  <c r="K350" i="3"/>
  <c r="G350" i="3"/>
  <c r="C350" i="3"/>
  <c r="J350" i="3"/>
  <c r="N358" i="3"/>
  <c r="D359" i="3"/>
  <c r="L359" i="3"/>
  <c r="N362" i="3"/>
  <c r="D363" i="3"/>
  <c r="C353" i="3"/>
  <c r="M353" i="3" a="1"/>
  <c r="M353" i="3" s="1"/>
  <c r="J353" i="3"/>
  <c r="K357" i="3"/>
  <c r="K367" i="3"/>
  <c r="L369" i="3"/>
  <c r="H369" i="3"/>
  <c r="G369" i="3"/>
  <c r="E369" i="3"/>
  <c r="K373" i="3"/>
  <c r="F279" i="3"/>
  <c r="F287" i="3"/>
  <c r="F289" i="3"/>
  <c r="F303" i="3"/>
  <c r="F307" i="3"/>
  <c r="F311" i="3"/>
  <c r="F315" i="3"/>
  <c r="F327" i="3"/>
  <c r="F343" i="3"/>
  <c r="N347" i="3"/>
  <c r="C347" i="3"/>
  <c r="H347" i="3"/>
  <c r="L353" i="3"/>
  <c r="I356" i="3"/>
  <c r="E356" i="3"/>
  <c r="N356" i="3"/>
  <c r="G356" i="3"/>
  <c r="C356" i="3"/>
  <c r="J356" i="3"/>
  <c r="K360" i="3"/>
  <c r="G360" i="3"/>
  <c r="E364" i="3"/>
  <c r="F367" i="3"/>
  <c r="F369" i="3"/>
  <c r="H349" i="3"/>
  <c r="F353" i="3"/>
  <c r="N359" i="3"/>
  <c r="K359" i="3"/>
  <c r="G359" i="3"/>
  <c r="C359" i="3"/>
  <c r="M359" i="3" a="1"/>
  <c r="M359" i="3" s="1"/>
  <c r="I359" i="3"/>
  <c r="E359" i="3"/>
  <c r="J359" i="3"/>
  <c r="K363" i="3"/>
  <c r="G363" i="3"/>
  <c r="I363" i="3"/>
  <c r="E363" i="3"/>
  <c r="C372" i="3"/>
  <c r="G372" i="3"/>
  <c r="K372" i="3"/>
  <c r="E375" i="3"/>
  <c r="I375" i="3"/>
  <c r="M375" i="3" a="1"/>
  <c r="M375" i="3" s="1"/>
  <c r="G376" i="3"/>
  <c r="E379" i="3"/>
  <c r="I379" i="3"/>
  <c r="I385" i="3"/>
  <c r="C388" i="3"/>
  <c r="G388" i="3"/>
  <c r="N388" i="3"/>
  <c r="C391" i="3"/>
  <c r="I391" i="3"/>
  <c r="F401" i="3"/>
  <c r="F375" i="3"/>
  <c r="J375" i="3"/>
  <c r="J379" i="3"/>
  <c r="J385" i="3"/>
  <c r="H401" i="3"/>
  <c r="G401" i="3"/>
  <c r="E372" i="3"/>
  <c r="I372" i="3"/>
  <c r="M372" i="3" a="1"/>
  <c r="M372" i="3" s="1"/>
  <c r="I374" i="3"/>
  <c r="M374" i="3" a="1"/>
  <c r="M374" i="3" s="1"/>
  <c r="C375" i="3"/>
  <c r="G375" i="3"/>
  <c r="K375" i="3"/>
  <c r="N375" i="3"/>
  <c r="M376" i="3" a="1"/>
  <c r="M376" i="3" s="1"/>
  <c r="C379" i="3"/>
  <c r="N379" i="3"/>
  <c r="C385" i="3"/>
  <c r="I388" i="3"/>
  <c r="M388" i="3" a="1"/>
  <c r="M388" i="3" s="1"/>
  <c r="C389" i="3"/>
  <c r="F391" i="3"/>
  <c r="F395" i="3"/>
  <c r="I401" i="3"/>
  <c r="F372" i="3"/>
  <c r="D375" i="3"/>
  <c r="H375" i="3"/>
  <c r="F376" i="3"/>
  <c r="F388" i="3"/>
  <c r="L391" i="3"/>
  <c r="H391" i="3"/>
  <c r="D391" i="3"/>
  <c r="G391" i="3"/>
  <c r="M391" i="3" a="1"/>
  <c r="M391" i="3" s="1"/>
  <c r="L395" i="3"/>
  <c r="H395" i="3"/>
  <c r="M395" i="3" a="1"/>
  <c r="M395" i="3" s="1"/>
  <c r="E401" i="3"/>
  <c r="J405" i="3"/>
  <c r="F404" i="3"/>
  <c r="D407" i="3"/>
  <c r="H407" i="3"/>
  <c r="L407" i="3"/>
  <c r="F410" i="3"/>
  <c r="D411" i="3"/>
  <c r="H417" i="3"/>
  <c r="F420" i="3"/>
  <c r="D423" i="3"/>
  <c r="H423" i="3"/>
  <c r="L423" i="3"/>
  <c r="D427" i="3"/>
  <c r="H427" i="3"/>
  <c r="D433" i="3"/>
  <c r="L433" i="3"/>
  <c r="D439" i="3"/>
  <c r="H439" i="3"/>
  <c r="L439" i="3"/>
  <c r="H443" i="3"/>
  <c r="L443" i="3"/>
  <c r="F407" i="3"/>
  <c r="F423" i="3"/>
  <c r="F427" i="3"/>
  <c r="F433" i="3"/>
  <c r="F439" i="3"/>
  <c r="L448" i="3"/>
  <c r="H452" i="3"/>
  <c r="L452" i="3"/>
  <c r="F455" i="3"/>
  <c r="D456" i="3"/>
  <c r="H456" i="3"/>
  <c r="H458" i="3"/>
  <c r="F459" i="3"/>
  <c r="J464" i="3"/>
  <c r="M468" i="3" a="1"/>
  <c r="M468" i="3" s="1"/>
  <c r="E468" i="3"/>
  <c r="G468" i="3"/>
  <c r="L468" i="3"/>
  <c r="D469" i="3"/>
  <c r="N471" i="3"/>
  <c r="K471" i="3"/>
  <c r="G471" i="3"/>
  <c r="C471" i="3"/>
  <c r="H471" i="3"/>
  <c r="M471" i="3" a="1"/>
  <c r="M471" i="3" s="1"/>
  <c r="D472" i="3"/>
  <c r="N465" i="3"/>
  <c r="K465" i="3"/>
  <c r="H465" i="3"/>
  <c r="M465" i="3" a="1"/>
  <c r="M465" i="3" s="1"/>
  <c r="N475" i="3"/>
  <c r="K475" i="3"/>
  <c r="G475" i="3"/>
  <c r="C475" i="3"/>
  <c r="L475" i="3"/>
  <c r="H475" i="3"/>
  <c r="D475" i="3"/>
  <c r="J475" i="3"/>
  <c r="F452" i="3"/>
  <c r="F458" i="3"/>
  <c r="E464" i="3"/>
  <c r="I465" i="3"/>
  <c r="D468" i="3"/>
  <c r="J468" i="3"/>
  <c r="N468" i="3"/>
  <c r="E471" i="3"/>
  <c r="J471" i="3"/>
  <c r="I472" i="3"/>
  <c r="E472" i="3"/>
  <c r="E475" i="3"/>
  <c r="M475" i="3" a="1"/>
  <c r="M475" i="3" s="1"/>
  <c r="G469" i="3"/>
  <c r="N479" i="3"/>
  <c r="F480" i="3"/>
  <c r="M491" i="3" a="1"/>
  <c r="M491" i="3" s="1"/>
  <c r="I491" i="3"/>
  <c r="E491" i="3"/>
  <c r="L491" i="3"/>
  <c r="H491" i="3"/>
  <c r="D491" i="3"/>
  <c r="N491" i="3"/>
  <c r="K491" i="3"/>
  <c r="G491" i="3"/>
  <c r="C491" i="3"/>
  <c r="H481" i="3"/>
  <c r="G481" i="3"/>
  <c r="H485" i="3"/>
  <c r="J491" i="3"/>
  <c r="K495" i="3"/>
  <c r="E481" i="3"/>
  <c r="J485" i="3"/>
  <c r="L487" i="3"/>
  <c r="H487" i="3"/>
  <c r="D487" i="3"/>
  <c r="G487" i="3"/>
  <c r="M487" i="3" a="1"/>
  <c r="M487" i="3" s="1"/>
  <c r="J499" i="3"/>
  <c r="D500" i="3"/>
  <c r="H500" i="3"/>
  <c r="L500" i="3"/>
  <c r="N501" i="3"/>
  <c r="C503" i="3"/>
  <c r="H503" i="3"/>
  <c r="M504" i="3" a="1"/>
  <c r="M504" i="3" s="1"/>
  <c r="I504" i="3"/>
  <c r="K504" i="3"/>
  <c r="G504" i="3"/>
  <c r="D513" i="3"/>
  <c r="I516" i="3"/>
  <c r="E516" i="3"/>
  <c r="N516" i="3"/>
  <c r="G516" i="3"/>
  <c r="C516" i="3"/>
  <c r="J516" i="3"/>
  <c r="D517" i="3"/>
  <c r="G497" i="3"/>
  <c r="K497" i="3"/>
  <c r="N507" i="3"/>
  <c r="K507" i="3"/>
  <c r="G507" i="3"/>
  <c r="C507" i="3"/>
  <c r="M507" i="3" a="1"/>
  <c r="M507" i="3" s="1"/>
  <c r="I507" i="3"/>
  <c r="E507" i="3"/>
  <c r="J507" i="3"/>
  <c r="K511" i="3"/>
  <c r="N519" i="3"/>
  <c r="K519" i="3"/>
  <c r="G519" i="3"/>
  <c r="C519" i="3"/>
  <c r="M519" i="3" a="1"/>
  <c r="M519" i="3" s="1"/>
  <c r="I519" i="3"/>
  <c r="E519" i="3"/>
  <c r="L519" i="3"/>
  <c r="H519" i="3"/>
  <c r="D519" i="3"/>
  <c r="F484" i="3"/>
  <c r="D497" i="3"/>
  <c r="H497" i="3"/>
  <c r="H499" i="3"/>
  <c r="F500" i="3"/>
  <c r="F503" i="3"/>
  <c r="E506" i="3"/>
  <c r="C506" i="3"/>
  <c r="D507" i="3"/>
  <c r="L507" i="3"/>
  <c r="M510" i="3" a="1"/>
  <c r="M510" i="3" s="1"/>
  <c r="E518" i="3"/>
  <c r="F519" i="3"/>
  <c r="I497" i="3"/>
  <c r="J502" i="3"/>
  <c r="N503" i="3"/>
  <c r="K503" i="3"/>
  <c r="M503" i="3" a="1"/>
  <c r="M503" i="3" s="1"/>
  <c r="I503" i="3"/>
  <c r="E503" i="3"/>
  <c r="G503" i="3"/>
  <c r="F507" i="3"/>
  <c r="F511" i="3"/>
  <c r="K513" i="3"/>
  <c r="G513" i="3"/>
  <c r="I513" i="3"/>
  <c r="E513" i="3"/>
  <c r="J513" i="3"/>
  <c r="G517" i="3"/>
  <c r="E517" i="3"/>
  <c r="J519" i="3"/>
  <c r="F520" i="3"/>
  <c r="J520" i="3"/>
  <c r="D523" i="3"/>
  <c r="H523" i="3"/>
  <c r="L523" i="3"/>
  <c r="C520" i="3"/>
  <c r="K520" i="3"/>
  <c r="N520" i="3"/>
  <c r="N522" i="3"/>
  <c r="E523" i="3"/>
  <c r="I523" i="3"/>
  <c r="M523" i="3" a="1"/>
  <c r="M523" i="3" s="1"/>
  <c r="F523" i="3"/>
  <c r="J523" i="3"/>
  <c r="E520" i="3"/>
  <c r="I520" i="3"/>
  <c r="C523" i="3"/>
  <c r="G523" i="3"/>
  <c r="K523" i="3"/>
  <c r="Q214" i="11"/>
  <c r="S214" i="11"/>
  <c r="T210" i="11"/>
  <c r="K210" i="11"/>
  <c r="K214" i="11"/>
  <c r="D215" i="11"/>
  <c r="C221" i="11"/>
  <c r="D221" i="11"/>
  <c r="C237" i="11"/>
  <c r="D237" i="11"/>
  <c r="C253" i="11"/>
  <c r="D253" i="11"/>
  <c r="T263" i="11"/>
  <c r="K263" i="11"/>
  <c r="C263" i="11"/>
  <c r="T271" i="11"/>
  <c r="K271" i="11"/>
  <c r="D271" i="11"/>
  <c r="D210" i="11"/>
  <c r="T211" i="11"/>
  <c r="K211" i="11"/>
  <c r="C219" i="11"/>
  <c r="O219" i="11"/>
  <c r="D219" i="11"/>
  <c r="C223" i="11"/>
  <c r="T223" i="11"/>
  <c r="D223" i="11"/>
  <c r="O227" i="11"/>
  <c r="T227" i="11"/>
  <c r="D227" i="11"/>
  <c r="C231" i="11"/>
  <c r="O231" i="11"/>
  <c r="T231" i="11"/>
  <c r="C235" i="11"/>
  <c r="O235" i="11"/>
  <c r="D235" i="11"/>
  <c r="C239" i="11"/>
  <c r="T239" i="11"/>
  <c r="D239" i="11"/>
  <c r="O243" i="11"/>
  <c r="T243" i="11"/>
  <c r="D243" i="11"/>
  <c r="C247" i="11"/>
  <c r="O247" i="11"/>
  <c r="T247" i="11"/>
  <c r="C251" i="11"/>
  <c r="O251" i="11"/>
  <c r="D251" i="11"/>
  <c r="C255" i="11"/>
  <c r="T255" i="11"/>
  <c r="D255" i="11"/>
  <c r="K259" i="11"/>
  <c r="C259" i="11"/>
  <c r="D259" i="11"/>
  <c r="T267" i="11"/>
  <c r="K267" i="11"/>
  <c r="C267" i="11"/>
  <c r="O271" i="11"/>
  <c r="C214" i="11"/>
  <c r="T214" i="11"/>
  <c r="D214" i="11"/>
  <c r="C215" i="11"/>
  <c r="O215" i="11"/>
  <c r="T215" i="11"/>
  <c r="C218" i="11"/>
  <c r="T218" i="11"/>
  <c r="D218" i="11"/>
  <c r="O218" i="11"/>
  <c r="C222" i="11"/>
  <c r="T222" i="11"/>
  <c r="D222" i="11"/>
  <c r="O222" i="11"/>
  <c r="C226" i="11"/>
  <c r="T226" i="11"/>
  <c r="D226" i="11"/>
  <c r="O226" i="11"/>
  <c r="C230" i="11"/>
  <c r="T230" i="11"/>
  <c r="D230" i="11"/>
  <c r="O230" i="11"/>
  <c r="C234" i="11"/>
  <c r="T234" i="11"/>
  <c r="D234" i="11"/>
  <c r="O234" i="11"/>
  <c r="C238" i="11"/>
  <c r="T238" i="11"/>
  <c r="D238" i="11"/>
  <c r="O238" i="11"/>
  <c r="C242" i="11"/>
  <c r="T242" i="11"/>
  <c r="D242" i="11"/>
  <c r="O242" i="11"/>
  <c r="C246" i="11"/>
  <c r="T246" i="11"/>
  <c r="D246" i="11"/>
  <c r="O246" i="11"/>
  <c r="C250" i="11"/>
  <c r="T250" i="11"/>
  <c r="D250" i="11"/>
  <c r="O250" i="11"/>
  <c r="C254" i="11"/>
  <c r="T254" i="11"/>
  <c r="D254" i="11"/>
  <c r="O254" i="11"/>
  <c r="C258" i="11"/>
  <c r="T258" i="11"/>
  <c r="D258" i="11"/>
  <c r="O258" i="11"/>
  <c r="K261" i="11"/>
  <c r="T262" i="11"/>
  <c r="K262" i="11"/>
  <c r="O262" i="11"/>
  <c r="T270" i="11"/>
  <c r="K270" i="11"/>
  <c r="O270" i="11"/>
  <c r="S283" i="11"/>
  <c r="Q283" i="11"/>
  <c r="S287" i="11"/>
  <c r="Q287" i="11"/>
  <c r="O261" i="11"/>
  <c r="D262" i="11"/>
  <c r="T266" i="11"/>
  <c r="K266" i="11"/>
  <c r="O266" i="11"/>
  <c r="D270" i="11"/>
  <c r="T274" i="11"/>
  <c r="K274" i="11"/>
  <c r="O274" i="11"/>
  <c r="S289" i="11"/>
  <c r="Q289" i="11"/>
  <c r="S293" i="11"/>
  <c r="Q293" i="11"/>
  <c r="C332" i="11"/>
  <c r="T332" i="11"/>
  <c r="K332" i="11"/>
  <c r="O332" i="11"/>
  <c r="D332" i="11"/>
  <c r="C334" i="11"/>
  <c r="T334" i="11"/>
  <c r="K334" i="11"/>
  <c r="O334" i="11"/>
  <c r="D334" i="11"/>
  <c r="T336" i="11"/>
  <c r="C338" i="11"/>
  <c r="T338" i="11"/>
  <c r="K338" i="11"/>
  <c r="O338" i="11"/>
  <c r="D338" i="11"/>
  <c r="K340" i="11"/>
  <c r="K344" i="11"/>
  <c r="T352" i="11"/>
  <c r="D352" i="11"/>
  <c r="T484" i="11"/>
  <c r="O484" i="11"/>
  <c r="O496" i="11"/>
  <c r="K500" i="11"/>
  <c r="T283" i="11"/>
  <c r="K283" i="11"/>
  <c r="T287" i="11"/>
  <c r="K287" i="11"/>
  <c r="T289" i="11"/>
  <c r="K289" i="11"/>
  <c r="T293" i="11"/>
  <c r="K293" i="11"/>
  <c r="K297" i="11"/>
  <c r="O299" i="11"/>
  <c r="T299" i="11"/>
  <c r="C341" i="11"/>
  <c r="T341" i="11"/>
  <c r="K341" i="11"/>
  <c r="O341" i="11"/>
  <c r="D341" i="11"/>
  <c r="O345" i="11"/>
  <c r="O349" i="11"/>
  <c r="C353" i="11"/>
  <c r="T353" i="11"/>
  <c r="K353" i="11"/>
  <c r="O353" i="11"/>
  <c r="D353" i="11"/>
  <c r="C283" i="11"/>
  <c r="C289" i="11"/>
  <c r="C293" i="11"/>
  <c r="C299" i="11"/>
  <c r="C325" i="11"/>
  <c r="T325" i="11"/>
  <c r="K325" i="11"/>
  <c r="O325" i="11"/>
  <c r="D325" i="11"/>
  <c r="K329" i="11"/>
  <c r="D329" i="11"/>
  <c r="C331" i="11"/>
  <c r="K331" i="11"/>
  <c r="O331" i="11"/>
  <c r="D331" i="11"/>
  <c r="C335" i="11"/>
  <c r="K335" i="11"/>
  <c r="O335" i="11"/>
  <c r="D335" i="11"/>
  <c r="C337" i="11"/>
  <c r="T337" i="11"/>
  <c r="K337" i="11"/>
  <c r="O337" i="11"/>
  <c r="D337" i="11"/>
  <c r="D342" i="11"/>
  <c r="C350" i="11"/>
  <c r="T350" i="11"/>
  <c r="K350" i="11"/>
  <c r="O350" i="11"/>
  <c r="D350" i="11"/>
  <c r="C354" i="11"/>
  <c r="T354" i="11"/>
  <c r="K354" i="11"/>
  <c r="O354" i="11"/>
  <c r="D354" i="11"/>
  <c r="D283" i="11"/>
  <c r="T286" i="11"/>
  <c r="K286" i="11"/>
  <c r="D287" i="11"/>
  <c r="D289" i="11"/>
  <c r="T290" i="11"/>
  <c r="K290" i="11"/>
  <c r="D291" i="11"/>
  <c r="D293" i="11"/>
  <c r="T294" i="11"/>
  <c r="T298" i="11"/>
  <c r="C347" i="11"/>
  <c r="T347" i="11"/>
  <c r="O347" i="11"/>
  <c r="D347" i="11"/>
  <c r="C351" i="11"/>
  <c r="T351" i="11"/>
  <c r="O351" i="11"/>
  <c r="D351" i="11"/>
  <c r="K302" i="11"/>
  <c r="T302" i="11"/>
  <c r="K303" i="11"/>
  <c r="T303" i="11"/>
  <c r="K305" i="11"/>
  <c r="T305" i="11"/>
  <c r="K306" i="11"/>
  <c r="T306" i="11"/>
  <c r="K309" i="11"/>
  <c r="T309" i="11"/>
  <c r="K313" i="11"/>
  <c r="T313" i="11"/>
  <c r="K315" i="11"/>
  <c r="T315" i="11"/>
  <c r="K318" i="11"/>
  <c r="T318" i="11"/>
  <c r="K319" i="11"/>
  <c r="T319" i="11"/>
  <c r="T321" i="11"/>
  <c r="S414" i="11"/>
  <c r="Q414" i="11"/>
  <c r="Q416" i="11"/>
  <c r="S418" i="11"/>
  <c r="Q418" i="11"/>
  <c r="S420" i="11"/>
  <c r="T322" i="11"/>
  <c r="K322" i="11"/>
  <c r="T324" i="11"/>
  <c r="S411" i="11"/>
  <c r="Q411" i="11"/>
  <c r="S413" i="11"/>
  <c r="Q413" i="11"/>
  <c r="S417" i="11"/>
  <c r="Q417" i="11"/>
  <c r="S421" i="11"/>
  <c r="Q421" i="11"/>
  <c r="S423" i="11"/>
  <c r="Q423" i="11"/>
  <c r="Q427" i="11"/>
  <c r="K357" i="11"/>
  <c r="T357" i="11"/>
  <c r="K363" i="11"/>
  <c r="K366" i="11"/>
  <c r="T366" i="11"/>
  <c r="K367" i="11"/>
  <c r="K369" i="11"/>
  <c r="T369" i="11"/>
  <c r="K370" i="11"/>
  <c r="T370" i="11"/>
  <c r="K373" i="11"/>
  <c r="T373" i="11"/>
  <c r="K376" i="11"/>
  <c r="T379" i="11"/>
  <c r="K382" i="11"/>
  <c r="T382" i="11"/>
  <c r="T383" i="11"/>
  <c r="K384" i="11"/>
  <c r="K385" i="11"/>
  <c r="T385" i="11"/>
  <c r="K386" i="11"/>
  <c r="T405" i="11"/>
  <c r="D405" i="11"/>
  <c r="O357" i="11"/>
  <c r="O366" i="11"/>
  <c r="O367" i="11"/>
  <c r="O369" i="11"/>
  <c r="O370" i="11"/>
  <c r="O373" i="11"/>
  <c r="O382" i="11"/>
  <c r="O383" i="11"/>
  <c r="O385" i="11"/>
  <c r="O386" i="11"/>
  <c r="T409" i="11"/>
  <c r="K409" i="11"/>
  <c r="K411" i="11"/>
  <c r="D411" i="11"/>
  <c r="T413" i="11"/>
  <c r="K413" i="11"/>
  <c r="D413" i="11"/>
  <c r="T414" i="11"/>
  <c r="K414" i="11"/>
  <c r="D414" i="11"/>
  <c r="T416" i="11"/>
  <c r="K416" i="11"/>
  <c r="T417" i="11"/>
  <c r="K417" i="11"/>
  <c r="D417" i="11"/>
  <c r="T418" i="11"/>
  <c r="K418" i="11"/>
  <c r="D418" i="11"/>
  <c r="K420" i="11"/>
  <c r="T421" i="11"/>
  <c r="K421" i="11"/>
  <c r="D421" i="11"/>
  <c r="T423" i="11"/>
  <c r="D423" i="11"/>
  <c r="T425" i="11"/>
  <c r="T427" i="11"/>
  <c r="K427" i="11"/>
  <c r="K389" i="11"/>
  <c r="K395" i="11"/>
  <c r="K397" i="11"/>
  <c r="K401" i="11"/>
  <c r="C411" i="11"/>
  <c r="C413" i="11"/>
  <c r="C414" i="11"/>
  <c r="C417" i="11"/>
  <c r="C418" i="11"/>
  <c r="C421" i="11"/>
  <c r="C423" i="11"/>
  <c r="C425" i="11"/>
  <c r="D430" i="11"/>
  <c r="D431" i="11"/>
  <c r="D433" i="11"/>
  <c r="D434" i="11"/>
  <c r="T437" i="11"/>
  <c r="K437" i="11"/>
  <c r="D442" i="11"/>
  <c r="T443" i="11"/>
  <c r="K443" i="11"/>
  <c r="T447" i="11"/>
  <c r="T449" i="11"/>
  <c r="K449" i="11"/>
  <c r="T453" i="11"/>
  <c r="K453" i="11"/>
  <c r="K457" i="11"/>
  <c r="T459" i="11"/>
  <c r="K463" i="11"/>
  <c r="K430" i="11"/>
  <c r="T430" i="11"/>
  <c r="T431" i="11"/>
  <c r="K432" i="11"/>
  <c r="K433" i="11"/>
  <c r="T433" i="11"/>
  <c r="K434" i="11"/>
  <c r="T434" i="11"/>
  <c r="T474" i="11"/>
  <c r="T478" i="11"/>
  <c r="K478" i="11"/>
  <c r="D478" i="11"/>
  <c r="C478" i="11"/>
  <c r="O478" i="11"/>
  <c r="T482" i="11"/>
  <c r="K482" i="11"/>
  <c r="D482" i="11"/>
  <c r="C482" i="11"/>
  <c r="O482" i="11"/>
  <c r="K490" i="11"/>
  <c r="T494" i="11"/>
  <c r="K494" i="11"/>
  <c r="D494" i="11"/>
  <c r="C494" i="11"/>
  <c r="O494" i="11"/>
  <c r="T498" i="11"/>
  <c r="K498" i="11"/>
  <c r="D498" i="11"/>
  <c r="C498" i="11"/>
  <c r="O498" i="11"/>
  <c r="D502" i="11"/>
  <c r="K506" i="11"/>
  <c r="T436" i="11"/>
  <c r="K438" i="11"/>
  <c r="T446" i="11"/>
  <c r="K446" i="11"/>
  <c r="T450" i="11"/>
  <c r="K450" i="11"/>
  <c r="T462" i="11"/>
  <c r="K462" i="11"/>
  <c r="T464" i="11"/>
  <c r="T465" i="11"/>
  <c r="C465" i="11"/>
  <c r="K465" i="11"/>
  <c r="T466" i="11"/>
  <c r="K466" i="11"/>
  <c r="T475" i="11"/>
  <c r="K475" i="11"/>
  <c r="D475" i="11"/>
  <c r="T479" i="11"/>
  <c r="K479" i="11"/>
  <c r="C479" i="11"/>
  <c r="T481" i="11"/>
  <c r="K481" i="11"/>
  <c r="D481" i="11"/>
  <c r="C481" i="11"/>
  <c r="T485" i="11"/>
  <c r="K485" i="11"/>
  <c r="D485" i="11"/>
  <c r="C485" i="11"/>
  <c r="K489" i="11"/>
  <c r="T491" i="11"/>
  <c r="K491" i="11"/>
  <c r="D491" i="11"/>
  <c r="D493" i="11"/>
  <c r="T495" i="11"/>
  <c r="D495" i="11"/>
  <c r="C495" i="11"/>
  <c r="T497" i="11"/>
  <c r="K497" i="11"/>
  <c r="D497" i="11"/>
  <c r="C497" i="11"/>
  <c r="T501" i="11"/>
  <c r="K501" i="11"/>
  <c r="D501" i="11"/>
  <c r="C501" i="11"/>
  <c r="K505" i="11"/>
  <c r="D505" i="11"/>
  <c r="T507" i="11"/>
  <c r="K507" i="11"/>
  <c r="C507" i="11"/>
  <c r="T469" i="11"/>
  <c r="K469" i="11"/>
  <c r="O475" i="11"/>
  <c r="O477" i="11"/>
  <c r="O479" i="11"/>
  <c r="O481" i="11"/>
  <c r="O485" i="11"/>
  <c r="O495" i="11"/>
  <c r="O497" i="11"/>
  <c r="O501" i="11"/>
  <c r="O507" i="11"/>
  <c r="I209" i="10"/>
  <c r="I215" i="10"/>
  <c r="C215" i="10"/>
  <c r="I219" i="10"/>
  <c r="C219" i="10"/>
  <c r="I221" i="10"/>
  <c r="C221" i="10"/>
  <c r="I223" i="10"/>
  <c r="C223" i="10"/>
  <c r="C225" i="10"/>
  <c r="I227" i="10"/>
  <c r="C227" i="10"/>
  <c r="I230" i="10"/>
  <c r="D230" i="10"/>
  <c r="C230" i="10"/>
  <c r="I234" i="10"/>
  <c r="D234" i="10"/>
  <c r="C234" i="10"/>
  <c r="I238" i="10"/>
  <c r="D238" i="10"/>
  <c r="C238" i="10"/>
  <c r="I242" i="10"/>
  <c r="D242" i="10"/>
  <c r="C242" i="10"/>
  <c r="I246" i="10"/>
  <c r="D246" i="10"/>
  <c r="C246" i="10"/>
  <c r="I250" i="10"/>
  <c r="D250" i="10"/>
  <c r="C250" i="10"/>
  <c r="I254" i="10"/>
  <c r="D254" i="10"/>
  <c r="C254" i="10"/>
  <c r="I258" i="10"/>
  <c r="D258" i="10"/>
  <c r="C258" i="10"/>
  <c r="I262" i="10"/>
  <c r="D262" i="10"/>
  <c r="C262" i="10"/>
  <c r="I266" i="10"/>
  <c r="D266" i="10"/>
  <c r="C266" i="10"/>
  <c r="D211" i="10"/>
  <c r="I231" i="10"/>
  <c r="D231" i="10"/>
  <c r="C231" i="10"/>
  <c r="I235" i="10"/>
  <c r="D235" i="10"/>
  <c r="C235" i="10"/>
  <c r="I239" i="10"/>
  <c r="D239" i="10"/>
  <c r="C239" i="10"/>
  <c r="I243" i="10"/>
  <c r="D243" i="10"/>
  <c r="C243" i="10"/>
  <c r="I247" i="10"/>
  <c r="D247" i="10"/>
  <c r="C247" i="10"/>
  <c r="I251" i="10"/>
  <c r="D251" i="10"/>
  <c r="C251" i="10"/>
  <c r="I255" i="10"/>
  <c r="D255" i="10"/>
  <c r="C255" i="10"/>
  <c r="I259" i="10"/>
  <c r="D259" i="10"/>
  <c r="C259" i="10"/>
  <c r="I263" i="10"/>
  <c r="D263" i="10"/>
  <c r="C263" i="10"/>
  <c r="I267" i="10"/>
  <c r="D267" i="10"/>
  <c r="C267" i="10"/>
  <c r="I271" i="10"/>
  <c r="C208" i="10"/>
  <c r="I210" i="10"/>
  <c r="C210" i="10"/>
  <c r="I218" i="10"/>
  <c r="C218" i="10"/>
  <c r="C220" i="10"/>
  <c r="I222" i="10"/>
  <c r="I224" i="10"/>
  <c r="C224" i="10"/>
  <c r="I226" i="10"/>
  <c r="C226" i="10"/>
  <c r="C228" i="10"/>
  <c r="I232" i="10"/>
  <c r="C232" i="10"/>
  <c r="I236" i="10"/>
  <c r="I240" i="10"/>
  <c r="C240" i="10"/>
  <c r="C244" i="10"/>
  <c r="C248" i="10"/>
  <c r="I252" i="10"/>
  <c r="I256" i="10"/>
  <c r="C260" i="10"/>
  <c r="I264" i="10"/>
  <c r="C264" i="10"/>
  <c r="I268" i="10"/>
  <c r="I272" i="10"/>
  <c r="C272" i="10"/>
  <c r="C276" i="10"/>
  <c r="I229" i="10"/>
  <c r="D229" i="10"/>
  <c r="C229" i="10"/>
  <c r="I237" i="10"/>
  <c r="D237" i="10"/>
  <c r="C237" i="10"/>
  <c r="C241" i="10"/>
  <c r="I245" i="10"/>
  <c r="D245" i="10"/>
  <c r="C245" i="10"/>
  <c r="I249" i="10"/>
  <c r="I253" i="10"/>
  <c r="D253" i="10"/>
  <c r="C253" i="10"/>
  <c r="I261" i="10"/>
  <c r="D261" i="10"/>
  <c r="C261" i="10"/>
  <c r="D265" i="10"/>
  <c r="I269" i="10"/>
  <c r="D269" i="10"/>
  <c r="C269" i="10"/>
  <c r="I273" i="10"/>
  <c r="D273" i="10"/>
  <c r="C273" i="10"/>
  <c r="I277" i="10"/>
  <c r="D277" i="10"/>
  <c r="C277" i="10"/>
  <c r="C279" i="10"/>
  <c r="C281" i="10"/>
  <c r="C282" i="10"/>
  <c r="C283" i="10"/>
  <c r="C285" i="10"/>
  <c r="C286" i="10"/>
  <c r="C288" i="10"/>
  <c r="C289" i="10"/>
  <c r="C292" i="10"/>
  <c r="C295" i="10"/>
  <c r="C296" i="10"/>
  <c r="C298" i="10"/>
  <c r="C299" i="10"/>
  <c r="C300" i="10"/>
  <c r="C301" i="10"/>
  <c r="C302" i="10"/>
  <c r="C305" i="10"/>
  <c r="C311" i="10"/>
  <c r="C312" i="10"/>
  <c r="C322" i="10"/>
  <c r="C326" i="10"/>
  <c r="I326" i="10"/>
  <c r="I328" i="10"/>
  <c r="C330" i="10"/>
  <c r="I330" i="10"/>
  <c r="C332" i="10"/>
  <c r="C342" i="10"/>
  <c r="I342" i="10"/>
  <c r="C346" i="10"/>
  <c r="I346" i="10"/>
  <c r="C348" i="10"/>
  <c r="C358" i="10"/>
  <c r="I358" i="10"/>
  <c r="C360" i="10"/>
  <c r="C362" i="10"/>
  <c r="I362" i="10"/>
  <c r="C364" i="10"/>
  <c r="C366" i="10"/>
  <c r="I368" i="10"/>
  <c r="C374" i="10"/>
  <c r="I374" i="10"/>
  <c r="C378" i="10"/>
  <c r="I378" i="10"/>
  <c r="I382" i="10"/>
  <c r="D279" i="10"/>
  <c r="D281" i="10"/>
  <c r="D282" i="10"/>
  <c r="D283" i="10"/>
  <c r="D284" i="10"/>
  <c r="D285" i="10"/>
  <c r="D286" i="10"/>
  <c r="D288" i="10"/>
  <c r="D289" i="10"/>
  <c r="D295" i="10"/>
  <c r="D296" i="10"/>
  <c r="D298" i="10"/>
  <c r="D299" i="10"/>
  <c r="D301" i="10"/>
  <c r="D302" i="10"/>
  <c r="D305" i="10"/>
  <c r="D308" i="10"/>
  <c r="D311" i="10"/>
  <c r="I384" i="10"/>
  <c r="C314" i="10"/>
  <c r="D315" i="10"/>
  <c r="C317" i="10"/>
  <c r="I317" i="10"/>
  <c r="C321" i="10"/>
  <c r="I321" i="10"/>
  <c r="C325" i="10"/>
  <c r="C327" i="10"/>
  <c r="I327" i="10"/>
  <c r="C331" i="10"/>
  <c r="I331" i="10"/>
  <c r="C333" i="10"/>
  <c r="I333" i="10"/>
  <c r="C337" i="10"/>
  <c r="I337" i="10"/>
  <c r="I341" i="10"/>
  <c r="C343" i="10"/>
  <c r="I343" i="10"/>
  <c r="I345" i="10"/>
  <c r="C347" i="10"/>
  <c r="I347" i="10"/>
  <c r="C349" i="10"/>
  <c r="I349" i="10"/>
  <c r="C353" i="10"/>
  <c r="I353" i="10"/>
  <c r="I357" i="10"/>
  <c r="C359" i="10"/>
  <c r="I359" i="10"/>
  <c r="C363" i="10"/>
  <c r="I363" i="10"/>
  <c r="C365" i="10"/>
  <c r="I365" i="10"/>
  <c r="C369" i="10"/>
  <c r="I369" i="10"/>
  <c r="C375" i="10"/>
  <c r="I375" i="10"/>
  <c r="C377" i="10"/>
  <c r="I377" i="10"/>
  <c r="D314" i="10"/>
  <c r="C390" i="10"/>
  <c r="C394" i="10"/>
  <c r="C398" i="10"/>
  <c r="C402" i="10"/>
  <c r="C410" i="10"/>
  <c r="I433" i="10"/>
  <c r="C433" i="10"/>
  <c r="I449" i="10"/>
  <c r="D449" i="10"/>
  <c r="C449" i="10"/>
  <c r="D453" i="10"/>
  <c r="C415" i="10"/>
  <c r="I417" i="10"/>
  <c r="C417" i="10"/>
  <c r="I421" i="10"/>
  <c r="I437" i="10"/>
  <c r="C437" i="10"/>
  <c r="C439" i="10"/>
  <c r="D381" i="10"/>
  <c r="D389" i="10"/>
  <c r="D393" i="10"/>
  <c r="C400" i="10"/>
  <c r="D401" i="10"/>
  <c r="D405" i="10"/>
  <c r="D415" i="10"/>
  <c r="D417" i="10"/>
  <c r="D421" i="10"/>
  <c r="C425" i="10"/>
  <c r="C427" i="10"/>
  <c r="D437" i="10"/>
  <c r="D439" i="10"/>
  <c r="I441" i="10"/>
  <c r="I443" i="10"/>
  <c r="C443" i="10"/>
  <c r="I414" i="10"/>
  <c r="C414" i="10"/>
  <c r="C416" i="10"/>
  <c r="I418" i="10"/>
  <c r="C418" i="10"/>
  <c r="I429" i="10"/>
  <c r="C429" i="10"/>
  <c r="I445" i="10"/>
  <c r="C445" i="10"/>
  <c r="C459" i="10"/>
  <c r="I474" i="10"/>
  <c r="C474" i="10"/>
  <c r="I478" i="10"/>
  <c r="C478" i="10"/>
  <c r="I490" i="10"/>
  <c r="C490" i="10"/>
  <c r="I492" i="10"/>
  <c r="I494" i="10"/>
  <c r="C494" i="10"/>
  <c r="I506" i="10"/>
  <c r="C506" i="10"/>
  <c r="D426" i="10"/>
  <c r="D430" i="10"/>
  <c r="D442" i="10"/>
  <c r="D446" i="10"/>
  <c r="C457" i="10"/>
  <c r="D458" i="10"/>
  <c r="C461" i="10"/>
  <c r="D462" i="10"/>
  <c r="C465" i="10"/>
  <c r="D474" i="10"/>
  <c r="D478" i="10"/>
  <c r="D490" i="10"/>
  <c r="D494" i="10"/>
  <c r="D496" i="10"/>
  <c r="D506" i="10"/>
  <c r="D461" i="10"/>
  <c r="D465" i="10"/>
  <c r="I469" i="10"/>
  <c r="I471" i="10"/>
  <c r="C473" i="10"/>
  <c r="C475" i="10"/>
  <c r="I477" i="10"/>
  <c r="C477" i="10"/>
  <c r="I481" i="10"/>
  <c r="C481" i="10"/>
  <c r="C485" i="10"/>
  <c r="I487" i="10"/>
  <c r="C489" i="10"/>
  <c r="I491" i="10"/>
  <c r="C491" i="10"/>
  <c r="I493" i="10"/>
  <c r="C493" i="10"/>
  <c r="I497" i="10"/>
  <c r="C497" i="10"/>
  <c r="I503" i="10"/>
  <c r="I505" i="10"/>
  <c r="C507" i="10"/>
  <c r="D507" i="10"/>
  <c r="N208" i="9"/>
  <c r="N212" i="9"/>
  <c r="N216" i="9"/>
  <c r="N224" i="9"/>
  <c r="N228" i="9"/>
  <c r="N232" i="9"/>
  <c r="N240" i="9"/>
  <c r="N248" i="9"/>
  <c r="N256" i="9"/>
  <c r="N260" i="9"/>
  <c r="N264" i="9"/>
  <c r="N272" i="9"/>
  <c r="N276" i="9"/>
  <c r="N280" i="9"/>
  <c r="N300" i="9"/>
  <c r="N308" i="9"/>
  <c r="N316" i="9"/>
  <c r="N336" i="9"/>
  <c r="N348" i="9"/>
  <c r="K369" i="9"/>
  <c r="C379" i="9"/>
  <c r="K379" i="9"/>
  <c r="K385" i="9"/>
  <c r="C385" i="9"/>
  <c r="K401" i="9"/>
  <c r="C401" i="9"/>
  <c r="N209" i="9"/>
  <c r="K210" i="9"/>
  <c r="C212" i="9"/>
  <c r="N213" i="9"/>
  <c r="K214" i="9"/>
  <c r="C216" i="9"/>
  <c r="N217" i="9"/>
  <c r="K222" i="9"/>
  <c r="C224" i="9"/>
  <c r="N225" i="9"/>
  <c r="K226" i="9"/>
  <c r="K230" i="9"/>
  <c r="C232" i="9"/>
  <c r="N233" i="9"/>
  <c r="C236" i="9"/>
  <c r="N237" i="9"/>
  <c r="C240" i="9"/>
  <c r="N241" i="9"/>
  <c r="C244" i="9"/>
  <c r="N245" i="9"/>
  <c r="C248" i="9"/>
  <c r="N249" i="9"/>
  <c r="C252" i="9"/>
  <c r="N253" i="9"/>
  <c r="C256" i="9"/>
  <c r="N257" i="9"/>
  <c r="C260" i="9"/>
  <c r="N261" i="9"/>
  <c r="C264" i="9"/>
  <c r="N265" i="9"/>
  <c r="K266" i="9"/>
  <c r="N269" i="9"/>
  <c r="C272" i="9"/>
  <c r="N273" i="9"/>
  <c r="C276" i="9"/>
  <c r="N277" i="9"/>
  <c r="K278" i="9"/>
  <c r="C280" i="9"/>
  <c r="N281" i="9"/>
  <c r="K282" i="9"/>
  <c r="N285" i="9"/>
  <c r="C288" i="9"/>
  <c r="N289" i="9"/>
  <c r="C292" i="9"/>
  <c r="N293" i="9"/>
  <c r="K294" i="9"/>
  <c r="N297" i="9"/>
  <c r="K298" i="9"/>
  <c r="N301" i="9"/>
  <c r="N305" i="9"/>
  <c r="K310" i="9"/>
  <c r="C312" i="9"/>
  <c r="N313" i="9"/>
  <c r="K314" i="9"/>
  <c r="N317" i="9"/>
  <c r="K318" i="9"/>
  <c r="N321" i="9"/>
  <c r="N329" i="9"/>
  <c r="K330" i="9"/>
  <c r="C332" i="9"/>
  <c r="N333" i="9"/>
  <c r="K334" i="9"/>
  <c r="N337" i="9"/>
  <c r="C344" i="9"/>
  <c r="N345" i="9"/>
  <c r="K346" i="9"/>
  <c r="C348" i="9"/>
  <c r="N349" i="9"/>
  <c r="N350" i="9"/>
  <c r="N355" i="9"/>
  <c r="N359" i="9"/>
  <c r="N361" i="9"/>
  <c r="N362" i="9"/>
  <c r="N365" i="9"/>
  <c r="D379" i="9"/>
  <c r="D385" i="9"/>
  <c r="C399" i="9"/>
  <c r="K399" i="9"/>
  <c r="C421" i="9"/>
  <c r="D452" i="9"/>
  <c r="N452" i="9"/>
  <c r="K476" i="9"/>
  <c r="D208" i="9"/>
  <c r="N214" i="9"/>
  <c r="D216" i="9"/>
  <c r="D220" i="9"/>
  <c r="N222" i="9"/>
  <c r="D228" i="9"/>
  <c r="D232" i="9"/>
  <c r="D236" i="9"/>
  <c r="D248" i="9"/>
  <c r="N250" i="9"/>
  <c r="D252" i="9"/>
  <c r="D256" i="9"/>
  <c r="D264" i="9"/>
  <c r="D268" i="9"/>
  <c r="D272" i="9"/>
  <c r="D276" i="9"/>
  <c r="N278" i="9"/>
  <c r="D280" i="9"/>
  <c r="N282" i="9"/>
  <c r="D284" i="9"/>
  <c r="D288" i="9"/>
  <c r="N294" i="9"/>
  <c r="D296" i="9"/>
  <c r="N298" i="9"/>
  <c r="N310" i="9"/>
  <c r="N314" i="9"/>
  <c r="D316" i="9"/>
  <c r="N318" i="9"/>
  <c r="D324" i="9"/>
  <c r="N330" i="9"/>
  <c r="D332" i="9"/>
  <c r="N334" i="9"/>
  <c r="N342" i="9"/>
  <c r="D344" i="9"/>
  <c r="N346" i="9"/>
  <c r="C371" i="9"/>
  <c r="K371" i="9"/>
  <c r="N379" i="9"/>
  <c r="N385" i="9"/>
  <c r="C387" i="9"/>
  <c r="K387" i="9"/>
  <c r="C393" i="9"/>
  <c r="C403" i="9"/>
  <c r="K403" i="9"/>
  <c r="K409" i="9"/>
  <c r="C409" i="9"/>
  <c r="C350" i="9"/>
  <c r="D355" i="9"/>
  <c r="C357" i="9"/>
  <c r="D359" i="9"/>
  <c r="C361" i="9"/>
  <c r="C362" i="9"/>
  <c r="C365" i="9"/>
  <c r="D371" i="9"/>
  <c r="C375" i="9"/>
  <c r="K375" i="9"/>
  <c r="K381" i="9"/>
  <c r="C381" i="9"/>
  <c r="D387" i="9"/>
  <c r="C391" i="9"/>
  <c r="K391" i="9"/>
  <c r="K397" i="9"/>
  <c r="C397" i="9"/>
  <c r="D403" i="9"/>
  <c r="C407" i="9"/>
  <c r="K407" i="9"/>
  <c r="D409" i="9"/>
  <c r="K413" i="9"/>
  <c r="D413" i="9"/>
  <c r="C413" i="9"/>
  <c r="N417" i="9"/>
  <c r="K492" i="9"/>
  <c r="N366" i="9"/>
  <c r="N370" i="9"/>
  <c r="N378" i="9"/>
  <c r="N382" i="9"/>
  <c r="N386" i="9"/>
  <c r="N390" i="9"/>
  <c r="N394" i="9"/>
  <c r="N398" i="9"/>
  <c r="N402" i="9"/>
  <c r="N406" i="9"/>
  <c r="N410" i="9"/>
  <c r="N414" i="9"/>
  <c r="K415" i="9"/>
  <c r="K419" i="9"/>
  <c r="N422" i="9"/>
  <c r="N423" i="9"/>
  <c r="N424" i="9"/>
  <c r="N426" i="9"/>
  <c r="N427" i="9"/>
  <c r="K448" i="9"/>
  <c r="C472" i="9"/>
  <c r="D488" i="9"/>
  <c r="K504" i="9"/>
  <c r="N415" i="9"/>
  <c r="N419" i="9"/>
  <c r="D456" i="9"/>
  <c r="C456" i="9"/>
  <c r="N504" i="9"/>
  <c r="D424" i="9"/>
  <c r="C426" i="9"/>
  <c r="K440" i="9"/>
  <c r="K480" i="9"/>
  <c r="K434" i="9"/>
  <c r="D435" i="9"/>
  <c r="K438" i="9"/>
  <c r="D439" i="9"/>
  <c r="K442" i="9"/>
  <c r="D451" i="9"/>
  <c r="N453" i="9"/>
  <c r="K454" i="9"/>
  <c r="D455" i="9"/>
  <c r="N457" i="9"/>
  <c r="K458" i="9"/>
  <c r="D467" i="9"/>
  <c r="K470" i="9"/>
  <c r="D471" i="9"/>
  <c r="K474" i="9"/>
  <c r="D475" i="9"/>
  <c r="D479" i="9"/>
  <c r="K482" i="9"/>
  <c r="D483" i="9"/>
  <c r="K486" i="9"/>
  <c r="K490" i="9"/>
  <c r="D495" i="9"/>
  <c r="K498" i="9"/>
  <c r="D499" i="9"/>
  <c r="K502" i="9"/>
  <c r="D503" i="9"/>
  <c r="K506" i="9"/>
  <c r="K435" i="9"/>
  <c r="K439" i="9"/>
  <c r="K447" i="9"/>
  <c r="K451" i="9"/>
  <c r="K455" i="9"/>
  <c r="K467" i="9"/>
  <c r="K471" i="9"/>
  <c r="K475" i="9"/>
  <c r="K479" i="9"/>
  <c r="K483" i="9"/>
  <c r="K487" i="9"/>
  <c r="K491" i="9"/>
  <c r="K499" i="9"/>
  <c r="K503" i="9"/>
  <c r="J209" i="8"/>
  <c r="D210" i="8"/>
  <c r="C211" i="8"/>
  <c r="J213" i="8"/>
  <c r="C215" i="8"/>
  <c r="J217" i="8"/>
  <c r="C219" i="8"/>
  <c r="J221" i="8"/>
  <c r="D222" i="8"/>
  <c r="J225" i="8"/>
  <c r="C227" i="8"/>
  <c r="J229" i="8"/>
  <c r="D230" i="8"/>
  <c r="J233" i="8"/>
  <c r="C235" i="8"/>
  <c r="J237" i="8"/>
  <c r="D238" i="8"/>
  <c r="J241" i="8"/>
  <c r="D242" i="8"/>
  <c r="C243" i="8"/>
  <c r="J245" i="8"/>
  <c r="D246" i="8"/>
  <c r="J249" i="8"/>
  <c r="C251" i="8"/>
  <c r="J253" i="8"/>
  <c r="D254" i="8"/>
  <c r="J257" i="8"/>
  <c r="C259" i="8"/>
  <c r="J261" i="8"/>
  <c r="J262" i="8"/>
  <c r="J265" i="8"/>
  <c r="J266" i="8"/>
  <c r="D268" i="8"/>
  <c r="J269" i="8"/>
  <c r="J270" i="8"/>
  <c r="D274" i="8"/>
  <c r="C274" i="8"/>
  <c r="J323" i="8"/>
  <c r="D328" i="8"/>
  <c r="C334" i="8"/>
  <c r="J273" i="8"/>
  <c r="D273" i="8"/>
  <c r="D282" i="8"/>
  <c r="J284" i="8"/>
  <c r="D287" i="8"/>
  <c r="J287" i="8"/>
  <c r="J290" i="8"/>
  <c r="D290" i="8"/>
  <c r="C292" i="8"/>
  <c r="J295" i="8"/>
  <c r="J298" i="8"/>
  <c r="J300" i="8"/>
  <c r="D303" i="8"/>
  <c r="J303" i="8"/>
  <c r="J306" i="8"/>
  <c r="D306" i="8"/>
  <c r="J308" i="8"/>
  <c r="D308" i="8"/>
  <c r="C314" i="8"/>
  <c r="D319" i="8"/>
  <c r="J319" i="8"/>
  <c r="C319" i="8"/>
  <c r="C324" i="8"/>
  <c r="D324" i="8"/>
  <c r="C330" i="8"/>
  <c r="D335" i="8"/>
  <c r="J335" i="8"/>
  <c r="C335" i="8"/>
  <c r="C209" i="8"/>
  <c r="C213" i="8"/>
  <c r="J215" i="8"/>
  <c r="C217" i="8"/>
  <c r="J219" i="8"/>
  <c r="C221" i="8"/>
  <c r="C225" i="8"/>
  <c r="J227" i="8"/>
  <c r="C229" i="8"/>
  <c r="C233" i="8"/>
  <c r="J235" i="8"/>
  <c r="C237" i="8"/>
  <c r="C241" i="8"/>
  <c r="J243" i="8"/>
  <c r="C245" i="8"/>
  <c r="C249" i="8"/>
  <c r="J251" i="8"/>
  <c r="C253" i="8"/>
  <c r="C257" i="8"/>
  <c r="J259" i="8"/>
  <c r="C261" i="8"/>
  <c r="C273" i="8"/>
  <c r="D277" i="8"/>
  <c r="C287" i="8"/>
  <c r="C290" i="8"/>
  <c r="D300" i="8"/>
  <c r="C303" i="8"/>
  <c r="C306" i="8"/>
  <c r="J310" i="8"/>
  <c r="D310" i="8"/>
  <c r="C310" i="8"/>
  <c r="D315" i="8"/>
  <c r="J315" i="8"/>
  <c r="C315" i="8"/>
  <c r="J320" i="8"/>
  <c r="D320" i="8"/>
  <c r="J326" i="8"/>
  <c r="D326" i="8"/>
  <c r="C326" i="8"/>
  <c r="D331" i="8"/>
  <c r="J331" i="8"/>
  <c r="C331" i="8"/>
  <c r="J281" i="8"/>
  <c r="D283" i="8"/>
  <c r="J283" i="8"/>
  <c r="J286" i="8"/>
  <c r="D286" i="8"/>
  <c r="J291" i="8"/>
  <c r="J294" i="8"/>
  <c r="D294" i="8"/>
  <c r="D299" i="8"/>
  <c r="J299" i="8"/>
  <c r="J302" i="8"/>
  <c r="D302" i="8"/>
  <c r="D307" i="8"/>
  <c r="J311" i="8"/>
  <c r="C311" i="8"/>
  <c r="J322" i="8"/>
  <c r="D322" i="8"/>
  <c r="C322" i="8"/>
  <c r="C332" i="8"/>
  <c r="J332" i="8"/>
  <c r="D332" i="8"/>
  <c r="C360" i="8"/>
  <c r="D371" i="8"/>
  <c r="J371" i="8"/>
  <c r="C388" i="8"/>
  <c r="J388" i="8"/>
  <c r="C338" i="8"/>
  <c r="C339" i="8"/>
  <c r="C342" i="8"/>
  <c r="D344" i="8"/>
  <c r="C346" i="8"/>
  <c r="C347" i="8"/>
  <c r="D359" i="8"/>
  <c r="J359" i="8"/>
  <c r="C364" i="8"/>
  <c r="J375" i="8"/>
  <c r="D338" i="8"/>
  <c r="J340" i="8"/>
  <c r="D342" i="8"/>
  <c r="J343" i="8"/>
  <c r="J347" i="8"/>
  <c r="D350" i="8"/>
  <c r="J351" i="8"/>
  <c r="D354" i="8"/>
  <c r="C359" i="8"/>
  <c r="D363" i="8"/>
  <c r="C368" i="8"/>
  <c r="D379" i="8"/>
  <c r="J379" i="8"/>
  <c r="C396" i="8"/>
  <c r="J396" i="8"/>
  <c r="C356" i="8"/>
  <c r="D367" i="8"/>
  <c r="J367" i="8"/>
  <c r="C372" i="8"/>
  <c r="D372" i="8"/>
  <c r="C392" i="8"/>
  <c r="D392" i="8"/>
  <c r="J383" i="8"/>
  <c r="J387" i="8"/>
  <c r="J391" i="8"/>
  <c r="J403" i="8"/>
  <c r="J415" i="8"/>
  <c r="J419" i="8"/>
  <c r="J423" i="8"/>
  <c r="C454" i="8"/>
  <c r="J454" i="8"/>
  <c r="J460" i="8"/>
  <c r="C460" i="8"/>
  <c r="J408" i="8"/>
  <c r="D454" i="8"/>
  <c r="J458" i="8"/>
  <c r="D460" i="8"/>
  <c r="C436" i="8"/>
  <c r="C474" i="8"/>
  <c r="D423" i="8"/>
  <c r="D424" i="8"/>
  <c r="J425" i="8"/>
  <c r="D428" i="8"/>
  <c r="J429" i="8"/>
  <c r="J434" i="8"/>
  <c r="D436" i="8"/>
  <c r="J437" i="8"/>
  <c r="J438" i="8"/>
  <c r="D440" i="8"/>
  <c r="J441" i="8"/>
  <c r="J445" i="8"/>
  <c r="J450" i="8"/>
  <c r="J456" i="8"/>
  <c r="C466" i="8"/>
  <c r="J466" i="8"/>
  <c r="C470" i="8"/>
  <c r="J470" i="8"/>
  <c r="D470" i="8"/>
  <c r="D486" i="8"/>
  <c r="D490" i="8"/>
  <c r="D502" i="8"/>
  <c r="J505" i="8"/>
  <c r="C507" i="8"/>
  <c r="C472" i="8"/>
  <c r="C476" i="8"/>
  <c r="J486" i="8"/>
  <c r="C488" i="8"/>
  <c r="J490" i="8"/>
  <c r="C492" i="8"/>
  <c r="C500" i="8"/>
  <c r="J502" i="8"/>
  <c r="J506" i="8"/>
  <c r="D507" i="8"/>
  <c r="L239" i="7"/>
  <c r="D239" i="7"/>
  <c r="C239" i="7"/>
  <c r="L247" i="7"/>
  <c r="D247" i="7"/>
  <c r="C247" i="7"/>
  <c r="L255" i="7"/>
  <c r="D255" i="7"/>
  <c r="C255" i="7"/>
  <c r="L263" i="7"/>
  <c r="D263" i="7"/>
  <c r="C263" i="7"/>
  <c r="L214" i="7"/>
  <c r="D214" i="7"/>
  <c r="L218" i="7"/>
  <c r="D218" i="7"/>
  <c r="L226" i="7"/>
  <c r="D226" i="7"/>
  <c r="D232" i="7"/>
  <c r="C252" i="7"/>
  <c r="C214" i="7"/>
  <c r="C218" i="7"/>
  <c r="C226" i="7"/>
  <c r="C230" i="7"/>
  <c r="C233" i="7"/>
  <c r="L237" i="7"/>
  <c r="C237" i="7"/>
  <c r="D241" i="7"/>
  <c r="L245" i="7"/>
  <c r="D245" i="7"/>
  <c r="D249" i="7"/>
  <c r="C249" i="7"/>
  <c r="L253" i="7"/>
  <c r="L257" i="7"/>
  <c r="D257" i="7"/>
  <c r="L261" i="7"/>
  <c r="C261" i="7"/>
  <c r="L209" i="7"/>
  <c r="D209" i="7"/>
  <c r="L211" i="7"/>
  <c r="L213" i="7"/>
  <c r="D213" i="7"/>
  <c r="L215" i="7"/>
  <c r="L217" i="7"/>
  <c r="D217" i="7"/>
  <c r="L219" i="7"/>
  <c r="L221" i="7"/>
  <c r="D221" i="7"/>
  <c r="L223" i="7"/>
  <c r="D223" i="7"/>
  <c r="L225" i="7"/>
  <c r="D225" i="7"/>
  <c r="L227" i="7"/>
  <c r="L229" i="7"/>
  <c r="D229" i="7"/>
  <c r="L231" i="7"/>
  <c r="D231" i="7"/>
  <c r="L234" i="7"/>
  <c r="D234" i="7"/>
  <c r="C234" i="7"/>
  <c r="L242" i="7"/>
  <c r="D242" i="7"/>
  <c r="C242" i="7"/>
  <c r="D246" i="7"/>
  <c r="L250" i="7"/>
  <c r="D250" i="7"/>
  <c r="C250" i="7"/>
  <c r="L258" i="7"/>
  <c r="D258" i="7"/>
  <c r="C258" i="7"/>
  <c r="D262" i="7"/>
  <c r="D373" i="7"/>
  <c r="L373" i="7"/>
  <c r="C373" i="7"/>
  <c r="C265" i="7"/>
  <c r="C267" i="7"/>
  <c r="C269" i="7"/>
  <c r="C270" i="7"/>
  <c r="C271" i="7"/>
  <c r="C274" i="7"/>
  <c r="C277" i="7"/>
  <c r="C278" i="7"/>
  <c r="C281" i="7"/>
  <c r="C282" i="7"/>
  <c r="C283" i="7"/>
  <c r="C285" i="7"/>
  <c r="C287" i="7"/>
  <c r="C289" i="7"/>
  <c r="C290" i="7"/>
  <c r="C291" i="7"/>
  <c r="C293" i="7"/>
  <c r="C294" i="7"/>
  <c r="C297" i="7"/>
  <c r="C298" i="7"/>
  <c r="C299" i="7"/>
  <c r="C301" i="7"/>
  <c r="C303" i="7"/>
  <c r="C308" i="7"/>
  <c r="C332" i="7"/>
  <c r="C336" i="7"/>
  <c r="C352" i="7"/>
  <c r="D265" i="7"/>
  <c r="D266" i="7"/>
  <c r="D269" i="7"/>
  <c r="D270" i="7"/>
  <c r="D271" i="7"/>
  <c r="D274" i="7"/>
  <c r="D275" i="7"/>
  <c r="D277" i="7"/>
  <c r="D278" i="7"/>
  <c r="D279" i="7"/>
  <c r="D281" i="7"/>
  <c r="D283" i="7"/>
  <c r="D285" i="7"/>
  <c r="D287" i="7"/>
  <c r="D289" i="7"/>
  <c r="D290" i="7"/>
  <c r="D291" i="7"/>
  <c r="D293" i="7"/>
  <c r="D295" i="7"/>
  <c r="D297" i="7"/>
  <c r="D301" i="7"/>
  <c r="D303" i="7"/>
  <c r="C307" i="7"/>
  <c r="C319" i="7"/>
  <c r="C323" i="7"/>
  <c r="L332" i="7"/>
  <c r="C335" i="7"/>
  <c r="C339" i="7"/>
  <c r="L340" i="7"/>
  <c r="C343" i="7"/>
  <c r="C351" i="7"/>
  <c r="L352" i="7"/>
  <c r="C355" i="7"/>
  <c r="C359" i="7"/>
  <c r="C365" i="7"/>
  <c r="L307" i="7"/>
  <c r="L319" i="7"/>
  <c r="L323" i="7"/>
  <c r="L335" i="7"/>
  <c r="L339" i="7"/>
  <c r="L351" i="7"/>
  <c r="L355" i="7"/>
  <c r="L359" i="7"/>
  <c r="L365" i="7"/>
  <c r="D367" i="7"/>
  <c r="C367" i="7"/>
  <c r="C369" i="7"/>
  <c r="C371" i="7"/>
  <c r="L376" i="7"/>
  <c r="C379" i="7"/>
  <c r="L380" i="7"/>
  <c r="C383" i="7"/>
  <c r="L384" i="7"/>
  <c r="C387" i="7"/>
  <c r="C395" i="7"/>
  <c r="C399" i="7"/>
  <c r="L400" i="7"/>
  <c r="C403" i="7"/>
  <c r="C428" i="7"/>
  <c r="L432" i="7"/>
  <c r="D432" i="7"/>
  <c r="C436" i="7"/>
  <c r="D436" i="7"/>
  <c r="C448" i="7"/>
  <c r="D448" i="7"/>
  <c r="L429" i="7"/>
  <c r="C429" i="7"/>
  <c r="D429" i="7"/>
  <c r="L433" i="7"/>
  <c r="C433" i="7"/>
  <c r="D433" i="7"/>
  <c r="L437" i="7"/>
  <c r="C437" i="7"/>
  <c r="D437" i="7"/>
  <c r="L441" i="7"/>
  <c r="D441" i="7"/>
  <c r="L445" i="7"/>
  <c r="L449" i="7"/>
  <c r="C449" i="7"/>
  <c r="D449" i="7"/>
  <c r="C377" i="7"/>
  <c r="C381" i="7"/>
  <c r="C385" i="7"/>
  <c r="C389" i="7"/>
  <c r="C401" i="7"/>
  <c r="C405" i="7"/>
  <c r="L430" i="7"/>
  <c r="C430" i="7"/>
  <c r="D430" i="7"/>
  <c r="D434" i="7"/>
  <c r="L438" i="7"/>
  <c r="L442" i="7"/>
  <c r="C442" i="7"/>
  <c r="D442" i="7"/>
  <c r="L446" i="7"/>
  <c r="C446" i="7"/>
  <c r="D446" i="7"/>
  <c r="C450" i="7"/>
  <c r="L377" i="7"/>
  <c r="L385" i="7"/>
  <c r="L389" i="7"/>
  <c r="L393" i="7"/>
  <c r="L401" i="7"/>
  <c r="L405" i="7"/>
  <c r="L409" i="7"/>
  <c r="L427" i="7"/>
  <c r="C427" i="7"/>
  <c r="D427" i="7"/>
  <c r="L431" i="7"/>
  <c r="C431" i="7"/>
  <c r="D431" i="7"/>
  <c r="L435" i="7"/>
  <c r="L443" i="7"/>
  <c r="C443" i="7"/>
  <c r="D443" i="7"/>
  <c r="L447" i="7"/>
  <c r="C447" i="7"/>
  <c r="D447" i="7"/>
  <c r="L472" i="7"/>
  <c r="D472" i="7"/>
  <c r="L480" i="7"/>
  <c r="D480" i="7"/>
  <c r="L484" i="7"/>
  <c r="D484" i="7"/>
  <c r="D488" i="7"/>
  <c r="L452" i="7"/>
  <c r="C452" i="7"/>
  <c r="C454" i="7"/>
  <c r="C456" i="7"/>
  <c r="L458" i="7"/>
  <c r="C458" i="7"/>
  <c r="L462" i="7"/>
  <c r="C462" i="7"/>
  <c r="C464" i="7"/>
  <c r="L466" i="7"/>
  <c r="L468" i="7"/>
  <c r="L473" i="7"/>
  <c r="L477" i="7"/>
  <c r="D477" i="7"/>
  <c r="C477" i="7"/>
  <c r="L481" i="7"/>
  <c r="D481" i="7"/>
  <c r="C481" i="7"/>
  <c r="L485" i="7"/>
  <c r="D485" i="7"/>
  <c r="C485" i="7"/>
  <c r="L489" i="7"/>
  <c r="L493" i="7"/>
  <c r="D493" i="7"/>
  <c r="C493" i="7"/>
  <c r="D452" i="7"/>
  <c r="D454" i="7"/>
  <c r="D456" i="7"/>
  <c r="D458" i="7"/>
  <c r="D462" i="7"/>
  <c r="D464" i="7"/>
  <c r="D466" i="7"/>
  <c r="D468" i="7"/>
  <c r="L474" i="7"/>
  <c r="D474" i="7"/>
  <c r="C474" i="7"/>
  <c r="L478" i="7"/>
  <c r="D478" i="7"/>
  <c r="C478" i="7"/>
  <c r="C482" i="7"/>
  <c r="D486" i="7"/>
  <c r="L490" i="7"/>
  <c r="D490" i="7"/>
  <c r="C490" i="7"/>
  <c r="L494" i="7"/>
  <c r="D494" i="7"/>
  <c r="C494" i="7"/>
  <c r="L451" i="7"/>
  <c r="L453" i="7"/>
  <c r="C453" i="7"/>
  <c r="L455" i="7"/>
  <c r="C455" i="7"/>
  <c r="L459" i="7"/>
  <c r="C459" i="7"/>
  <c r="L461" i="7"/>
  <c r="C461" i="7"/>
  <c r="L463" i="7"/>
  <c r="L465" i="7"/>
  <c r="C465" i="7"/>
  <c r="L469" i="7"/>
  <c r="C469" i="7"/>
  <c r="L471" i="7"/>
  <c r="D471" i="7"/>
  <c r="C471" i="7"/>
  <c r="L475" i="7"/>
  <c r="D475" i="7"/>
  <c r="C475" i="7"/>
  <c r="L479" i="7"/>
  <c r="C479" i="7"/>
  <c r="C483" i="7"/>
  <c r="L487" i="7"/>
  <c r="D487" i="7"/>
  <c r="C487" i="7"/>
  <c r="L491" i="7"/>
  <c r="D491" i="7"/>
  <c r="C491" i="7"/>
  <c r="C495" i="7"/>
  <c r="C496" i="7"/>
  <c r="C497" i="7"/>
  <c r="C500" i="7"/>
  <c r="C501" i="7"/>
  <c r="C503" i="7"/>
  <c r="C506" i="7"/>
  <c r="C507" i="7"/>
  <c r="D495" i="7"/>
  <c r="D496" i="7"/>
  <c r="D497" i="7"/>
  <c r="D498" i="7"/>
  <c r="D503" i="7"/>
  <c r="D504" i="7"/>
  <c r="D506" i="7"/>
  <c r="D507" i="7"/>
  <c r="C434" i="6"/>
  <c r="C446" i="6"/>
  <c r="J449" i="6"/>
  <c r="D449" i="6"/>
  <c r="J453" i="6"/>
  <c r="J460" i="6"/>
  <c r="J464" i="6"/>
  <c r="D464" i="6"/>
  <c r="C464" i="6"/>
  <c r="C476" i="6"/>
  <c r="J480" i="6"/>
  <c r="D480" i="6"/>
  <c r="J457" i="6"/>
  <c r="D457" i="6"/>
  <c r="C457" i="6"/>
  <c r="J465" i="6"/>
  <c r="D465" i="6"/>
  <c r="C465" i="6"/>
  <c r="J469" i="6"/>
  <c r="D469" i="6"/>
  <c r="C469" i="6"/>
  <c r="J473" i="6"/>
  <c r="D473" i="6"/>
  <c r="C473" i="6"/>
  <c r="J481" i="6"/>
  <c r="D481" i="6"/>
  <c r="C481" i="6"/>
  <c r="J485" i="6"/>
  <c r="D485" i="6"/>
  <c r="C485" i="6"/>
  <c r="C428" i="6"/>
  <c r="D429" i="6"/>
  <c r="C432" i="6"/>
  <c r="D433" i="6"/>
  <c r="C436" i="6"/>
  <c r="D441" i="6"/>
  <c r="C444" i="6"/>
  <c r="D445" i="6"/>
  <c r="C448" i="6"/>
  <c r="J450" i="6"/>
  <c r="D450" i="6"/>
  <c r="D452" i="6"/>
  <c r="D454" i="6"/>
  <c r="J458" i="6"/>
  <c r="J462" i="6"/>
  <c r="D462" i="6"/>
  <c r="C462" i="6"/>
  <c r="J466" i="6"/>
  <c r="D466" i="6"/>
  <c r="C466" i="6"/>
  <c r="J470" i="6"/>
  <c r="C474" i="6"/>
  <c r="J478" i="6"/>
  <c r="D478" i="6"/>
  <c r="C478" i="6"/>
  <c r="J482" i="6"/>
  <c r="D482" i="6"/>
  <c r="C482" i="6"/>
  <c r="D428" i="6"/>
  <c r="D432" i="6"/>
  <c r="D448" i="6"/>
  <c r="C455" i="6"/>
  <c r="J459" i="6"/>
  <c r="D459" i="6"/>
  <c r="C459" i="6"/>
  <c r="J463" i="6"/>
  <c r="D463" i="6"/>
  <c r="C463" i="6"/>
  <c r="J467" i="6"/>
  <c r="D467" i="6"/>
  <c r="J475" i="6"/>
  <c r="D475" i="6"/>
  <c r="C475" i="6"/>
  <c r="J479" i="6"/>
  <c r="D479" i="6"/>
  <c r="C479" i="6"/>
  <c r="J483" i="6"/>
  <c r="D483" i="6"/>
  <c r="C486" i="6"/>
  <c r="C491" i="6"/>
  <c r="C492" i="6"/>
  <c r="C494" i="6"/>
  <c r="C495" i="6"/>
  <c r="C496" i="6"/>
  <c r="C497" i="6"/>
  <c r="C498" i="6"/>
  <c r="C499" i="6"/>
  <c r="C501" i="6"/>
  <c r="C502" i="6"/>
  <c r="C507" i="6"/>
  <c r="D486" i="6"/>
  <c r="D489" i="6"/>
  <c r="D490" i="6"/>
  <c r="D491" i="6"/>
  <c r="D494" i="6"/>
  <c r="D495" i="6"/>
  <c r="D496" i="6"/>
  <c r="D497" i="6"/>
  <c r="D498" i="6"/>
  <c r="D501" i="6"/>
  <c r="D502" i="6"/>
  <c r="D505" i="6"/>
  <c r="D507" i="6"/>
  <c r="C215" i="5"/>
  <c r="C219" i="5"/>
  <c r="C227" i="5"/>
  <c r="C235" i="5"/>
  <c r="M243" i="5"/>
  <c r="C245" i="5"/>
  <c r="C248" i="5"/>
  <c r="C253" i="5"/>
  <c r="C256" i="5"/>
  <c r="M259" i="5"/>
  <c r="C261" i="5"/>
  <c r="C264" i="5"/>
  <c r="M267" i="5"/>
  <c r="C269" i="5"/>
  <c r="C272" i="5"/>
  <c r="M275" i="5"/>
  <c r="C277" i="5"/>
  <c r="C280" i="5"/>
  <c r="C285" i="5"/>
  <c r="C288" i="5"/>
  <c r="M291" i="5"/>
  <c r="C293" i="5"/>
  <c r="M321" i="5"/>
  <c r="M342" i="5"/>
  <c r="C344" i="5"/>
  <c r="M349" i="5"/>
  <c r="C349" i="5"/>
  <c r="M365" i="5"/>
  <c r="C365" i="5"/>
  <c r="M338" i="5"/>
  <c r="M345" i="5"/>
  <c r="C345" i="5"/>
  <c r="M361" i="5"/>
  <c r="C361" i="5"/>
  <c r="C366" i="5"/>
  <c r="C244" i="5"/>
  <c r="C252" i="5"/>
  <c r="C260" i="5"/>
  <c r="C268" i="5"/>
  <c r="C276" i="5"/>
  <c r="M279" i="5"/>
  <c r="C284" i="5"/>
  <c r="C292" i="5"/>
  <c r="M295" i="5"/>
  <c r="M297" i="5"/>
  <c r="M311" i="5"/>
  <c r="M313" i="5"/>
  <c r="M327" i="5"/>
  <c r="M329" i="5"/>
  <c r="M341" i="5"/>
  <c r="C341" i="5"/>
  <c r="C357" i="5"/>
  <c r="M369" i="5"/>
  <c r="C369" i="5"/>
  <c r="C337" i="5"/>
  <c r="C348" i="5"/>
  <c r="M348" i="5"/>
  <c r="C353" i="5"/>
  <c r="C364" i="5"/>
  <c r="M364" i="5"/>
  <c r="C373" i="5"/>
  <c r="C381" i="5"/>
  <c r="C389" i="5"/>
  <c r="M392" i="5"/>
  <c r="C397" i="5"/>
  <c r="C405" i="5"/>
  <c r="C410" i="5"/>
  <c r="C413" i="5"/>
  <c r="M440" i="5"/>
  <c r="C440" i="5"/>
  <c r="M456" i="5"/>
  <c r="C456" i="5"/>
  <c r="C465" i="5"/>
  <c r="M472" i="5"/>
  <c r="C472" i="5"/>
  <c r="M428" i="5"/>
  <c r="C428" i="5"/>
  <c r="C437" i="5"/>
  <c r="M444" i="5"/>
  <c r="C444" i="5"/>
  <c r="M460" i="5"/>
  <c r="C460" i="5"/>
  <c r="M476" i="5"/>
  <c r="C374" i="5"/>
  <c r="C377" i="5"/>
  <c r="M380" i="5"/>
  <c r="C390" i="5"/>
  <c r="C393" i="5"/>
  <c r="C398" i="5"/>
  <c r="C401" i="5"/>
  <c r="C406" i="5"/>
  <c r="C409" i="5"/>
  <c r="C432" i="5"/>
  <c r="C464" i="5"/>
  <c r="C480" i="5"/>
  <c r="C429" i="5"/>
  <c r="C445" i="5"/>
  <c r="C461" i="5"/>
  <c r="C477" i="5"/>
  <c r="M481" i="5"/>
  <c r="M485" i="5"/>
  <c r="C485" i="5"/>
  <c r="C489" i="5"/>
  <c r="C493" i="5"/>
  <c r="C505" i="5"/>
  <c r="C488" i="5"/>
  <c r="C492" i="5"/>
  <c r="C496" i="5"/>
  <c r="C504" i="5"/>
  <c r="D243" i="4"/>
  <c r="M246" i="4"/>
  <c r="C246" i="4"/>
  <c r="M251" i="4"/>
  <c r="D251" i="4"/>
  <c r="M254" i="4"/>
  <c r="M262" i="4"/>
  <c r="C262" i="4"/>
  <c r="M270" i="4"/>
  <c r="C270" i="4"/>
  <c r="M388" i="4"/>
  <c r="D396" i="4"/>
  <c r="M396" i="4"/>
  <c r="C396" i="4"/>
  <c r="D412" i="4"/>
  <c r="M412" i="4"/>
  <c r="C412" i="4"/>
  <c r="C434" i="4"/>
  <c r="C460" i="4"/>
  <c r="D476" i="4"/>
  <c r="M476" i="4"/>
  <c r="M492" i="4"/>
  <c r="C492" i="4"/>
  <c r="D208" i="4"/>
  <c r="D210" i="4"/>
  <c r="D212" i="4"/>
  <c r="D213" i="4"/>
  <c r="D214" i="4"/>
  <c r="D215" i="4"/>
  <c r="D216" i="4"/>
  <c r="D218" i="4"/>
  <c r="D219" i="4"/>
  <c r="D220" i="4"/>
  <c r="D221" i="4"/>
  <c r="D222" i="4"/>
  <c r="D223" i="4"/>
  <c r="D224" i="4"/>
  <c r="D226" i="4"/>
  <c r="D228" i="4"/>
  <c r="D229" i="4"/>
  <c r="D230" i="4"/>
  <c r="C243" i="4"/>
  <c r="D246" i="4"/>
  <c r="C248" i="4"/>
  <c r="C251" i="4"/>
  <c r="C256" i="4"/>
  <c r="C259" i="4"/>
  <c r="D262" i="4"/>
  <c r="C264" i="4"/>
  <c r="C267" i="4"/>
  <c r="D270" i="4"/>
  <c r="M371" i="4"/>
  <c r="D371" i="4"/>
  <c r="C371" i="4"/>
  <c r="M375" i="4"/>
  <c r="D375" i="4"/>
  <c r="C375" i="4"/>
  <c r="M379" i="4"/>
  <c r="D427" i="4"/>
  <c r="C427" i="4"/>
  <c r="D456" i="4"/>
  <c r="C456" i="4"/>
  <c r="M472" i="4"/>
  <c r="C472" i="4"/>
  <c r="D488" i="4"/>
  <c r="M488" i="4"/>
  <c r="C488" i="4"/>
  <c r="D504" i="4"/>
  <c r="M242" i="4"/>
  <c r="C242" i="4"/>
  <c r="M247" i="4"/>
  <c r="D248" i="4"/>
  <c r="M250" i="4"/>
  <c r="C250" i="4"/>
  <c r="D256" i="4"/>
  <c r="C258" i="4"/>
  <c r="M263" i="4"/>
  <c r="D264" i="4"/>
  <c r="M266" i="4"/>
  <c r="C266" i="4"/>
  <c r="M271" i="4"/>
  <c r="D271" i="4"/>
  <c r="C271" i="4"/>
  <c r="M275" i="4"/>
  <c r="D275" i="4"/>
  <c r="C275" i="4"/>
  <c r="M279" i="4"/>
  <c r="D279" i="4"/>
  <c r="D283" i="4"/>
  <c r="M287" i="4"/>
  <c r="D287" i="4"/>
  <c r="C287" i="4"/>
  <c r="M291" i="4"/>
  <c r="D291" i="4"/>
  <c r="C291" i="4"/>
  <c r="M295" i="4"/>
  <c r="D295" i="4"/>
  <c r="C299" i="4"/>
  <c r="M303" i="4"/>
  <c r="D303" i="4"/>
  <c r="C303" i="4"/>
  <c r="M307" i="4"/>
  <c r="D307" i="4"/>
  <c r="C307" i="4"/>
  <c r="M311" i="4"/>
  <c r="D311" i="4"/>
  <c r="M319" i="4"/>
  <c r="D319" i="4"/>
  <c r="C319" i="4"/>
  <c r="M323" i="4"/>
  <c r="D323" i="4"/>
  <c r="C323" i="4"/>
  <c r="M327" i="4"/>
  <c r="D327" i="4"/>
  <c r="M331" i="4"/>
  <c r="M335" i="4"/>
  <c r="D335" i="4"/>
  <c r="C335" i="4"/>
  <c r="M339" i="4"/>
  <c r="D339" i="4"/>
  <c r="C339" i="4"/>
  <c r="M343" i="4"/>
  <c r="D343" i="4"/>
  <c r="D347" i="4"/>
  <c r="M351" i="4"/>
  <c r="D351" i="4"/>
  <c r="C351" i="4"/>
  <c r="M355" i="4"/>
  <c r="D355" i="4"/>
  <c r="C355" i="4"/>
  <c r="M359" i="4"/>
  <c r="D359" i="4"/>
  <c r="C363" i="4"/>
  <c r="M367" i="4"/>
  <c r="D367" i="4"/>
  <c r="C367" i="4"/>
  <c r="D385" i="4"/>
  <c r="D393" i="4"/>
  <c r="M393" i="4"/>
  <c r="C393" i="4"/>
  <c r="C401" i="4"/>
  <c r="D409" i="4"/>
  <c r="M409" i="4"/>
  <c r="C409" i="4"/>
  <c r="D417" i="4"/>
  <c r="D444" i="4"/>
  <c r="M444" i="4"/>
  <c r="D452" i="4"/>
  <c r="D468" i="4"/>
  <c r="M468" i="4"/>
  <c r="C468" i="4"/>
  <c r="C484" i="4"/>
  <c r="D500" i="4"/>
  <c r="C500" i="4"/>
  <c r="M272" i="4"/>
  <c r="D272" i="4"/>
  <c r="M276" i="4"/>
  <c r="D276" i="4"/>
  <c r="M280" i="4"/>
  <c r="D280" i="4"/>
  <c r="M284" i="4"/>
  <c r="D284" i="4"/>
  <c r="M288" i="4"/>
  <c r="D288" i="4"/>
  <c r="M292" i="4"/>
  <c r="D292" i="4"/>
  <c r="M296" i="4"/>
  <c r="D296" i="4"/>
  <c r="M300" i="4"/>
  <c r="D300" i="4"/>
  <c r="M304" i="4"/>
  <c r="D304" i="4"/>
  <c r="M308" i="4"/>
  <c r="D308" i="4"/>
  <c r="D312" i="4"/>
  <c r="D316" i="4"/>
  <c r="M320" i="4"/>
  <c r="D320" i="4"/>
  <c r="M324" i="4"/>
  <c r="D324" i="4"/>
  <c r="D383" i="4"/>
  <c r="C383" i="4"/>
  <c r="M383" i="4"/>
  <c r="D391" i="4"/>
  <c r="D399" i="4"/>
  <c r="C399" i="4"/>
  <c r="M399" i="4"/>
  <c r="D407" i="4"/>
  <c r="C407" i="4"/>
  <c r="M407" i="4"/>
  <c r="D415" i="4"/>
  <c r="C415" i="4"/>
  <c r="M415" i="4"/>
  <c r="D423" i="4"/>
  <c r="C423" i="4"/>
  <c r="D438" i="4"/>
  <c r="C438" i="4"/>
  <c r="M438" i="4"/>
  <c r="D480" i="4"/>
  <c r="D332" i="4"/>
  <c r="D340" i="4"/>
  <c r="D344" i="4"/>
  <c r="D348" i="4"/>
  <c r="D356" i="4"/>
  <c r="D360" i="4"/>
  <c r="D364" i="4"/>
  <c r="D431" i="4"/>
  <c r="D435" i="4"/>
  <c r="M435" i="4"/>
  <c r="D442" i="4"/>
  <c r="C274" i="4"/>
  <c r="C278" i="4"/>
  <c r="C282" i="4"/>
  <c r="C294" i="4"/>
  <c r="C298" i="4"/>
  <c r="C302" i="4"/>
  <c r="C310" i="4"/>
  <c r="C314" i="4"/>
  <c r="C318" i="4"/>
  <c r="C326" i="4"/>
  <c r="C330" i="4"/>
  <c r="C334" i="4"/>
  <c r="C342" i="4"/>
  <c r="C346" i="4"/>
  <c r="C354" i="4"/>
  <c r="C358" i="4"/>
  <c r="C362" i="4"/>
  <c r="C370" i="4"/>
  <c r="C374" i="4"/>
  <c r="C378" i="4"/>
  <c r="M384" i="4"/>
  <c r="D387" i="4"/>
  <c r="C387" i="4"/>
  <c r="D392" i="4"/>
  <c r="C395" i="4"/>
  <c r="D403" i="4"/>
  <c r="C403" i="4"/>
  <c r="D408" i="4"/>
  <c r="M408" i="4"/>
  <c r="C411" i="4"/>
  <c r="D419" i="4"/>
  <c r="C419" i="4"/>
  <c r="C424" i="4"/>
  <c r="D428" i="4"/>
  <c r="C428" i="4"/>
  <c r="C435" i="4"/>
  <c r="D439" i="4"/>
  <c r="M439" i="4"/>
  <c r="C439" i="4"/>
  <c r="D447" i="4"/>
  <c r="D374" i="4"/>
  <c r="D378" i="4"/>
  <c r="M424" i="4"/>
  <c r="D426" i="4"/>
  <c r="C426" i="4"/>
  <c r="M426" i="4"/>
  <c r="D436" i="4"/>
  <c r="C436" i="4"/>
  <c r="D443" i="4"/>
  <c r="M443" i="4"/>
  <c r="D446" i="4"/>
  <c r="D451" i="4"/>
  <c r="M451" i="4"/>
  <c r="C451" i="4"/>
  <c r="M455" i="4"/>
  <c r="C455" i="4"/>
  <c r="M459" i="4"/>
  <c r="D463" i="4"/>
  <c r="M463" i="4"/>
  <c r="C463" i="4"/>
  <c r="D467" i="4"/>
  <c r="M467" i="4"/>
  <c r="C467" i="4"/>
  <c r="C471" i="4"/>
  <c r="D475" i="4"/>
  <c r="C475" i="4"/>
  <c r="D479" i="4"/>
  <c r="M479" i="4"/>
  <c r="C479" i="4"/>
  <c r="D483" i="4"/>
  <c r="M483" i="4"/>
  <c r="C483" i="4"/>
  <c r="D487" i="4"/>
  <c r="M487" i="4"/>
  <c r="C487" i="4"/>
  <c r="D491" i="4"/>
  <c r="C491" i="4"/>
  <c r="D495" i="4"/>
  <c r="M495" i="4"/>
  <c r="C495" i="4"/>
  <c r="D499" i="4"/>
  <c r="M499" i="4"/>
  <c r="C499" i="4"/>
  <c r="M503" i="4"/>
  <c r="C503" i="4"/>
  <c r="C507" i="4"/>
  <c r="C450" i="4"/>
  <c r="C454" i="4"/>
  <c r="C458" i="4"/>
  <c r="C462" i="4"/>
  <c r="C470" i="4"/>
  <c r="C474" i="4"/>
  <c r="C478" i="4"/>
  <c r="C482" i="4"/>
  <c r="C486" i="4"/>
  <c r="C490" i="4"/>
  <c r="C494" i="4"/>
  <c r="C498" i="4"/>
  <c r="C502" i="4"/>
  <c r="C112" i="12" a="1"/>
  <c r="C112" i="12" s="1"/>
  <c r="B110" i="12" a="1"/>
  <c r="B110" i="12" s="1"/>
  <c r="B118" i="12" a="1"/>
  <c r="B118" i="12" s="1"/>
  <c r="B119" i="12" a="1"/>
  <c r="B119" i="12" s="1"/>
  <c r="D112" i="12" a="1"/>
  <c r="D112" i="12" s="1"/>
  <c r="D113" i="12" a="1"/>
  <c r="D113" i="12" s="1"/>
  <c r="C118" i="12" a="1"/>
  <c r="C118" i="12" s="1"/>
  <c r="C119" i="12" a="1"/>
  <c r="C119" i="12" s="1"/>
  <c r="C109" i="12" a="1"/>
  <c r="C109" i="12" s="1"/>
  <c r="B113" i="12" a="1"/>
  <c r="B113" i="12" s="1"/>
  <c r="C117" i="12" a="1"/>
  <c r="C117" i="12" s="1"/>
  <c r="C120" i="12" a="1"/>
  <c r="C120" i="12" s="1"/>
  <c r="D109" i="12" a="1"/>
  <c r="D109" i="12" s="1"/>
  <c r="E49" i="12"/>
  <c r="D49" i="12"/>
  <c r="AJ3" i="2"/>
  <c r="AF3" i="2"/>
  <c r="AI3" i="2"/>
  <c r="B8" i="9"/>
  <c r="B8" i="8"/>
  <c r="B8" i="4"/>
  <c r="B9" i="9"/>
  <c r="B9" i="8"/>
  <c r="B9" i="4"/>
  <c r="B10" i="9"/>
  <c r="B10" i="8"/>
  <c r="B10" i="4"/>
  <c r="C10" i="4" s="1"/>
  <c r="B11" i="9"/>
  <c r="B11" i="8"/>
  <c r="B11" i="4"/>
  <c r="B12" i="9"/>
  <c r="B12" i="8"/>
  <c r="B12" i="4"/>
  <c r="C12" i="4" s="1"/>
  <c r="B13" i="9"/>
  <c r="B13" i="8"/>
  <c r="B13" i="4"/>
  <c r="C13" i="4" s="1"/>
  <c r="B14" i="9"/>
  <c r="B14" i="8"/>
  <c r="B14" i="4"/>
  <c r="B15" i="9"/>
  <c r="B15" i="8"/>
  <c r="B15" i="4"/>
  <c r="C15" i="4" s="1"/>
  <c r="B16" i="9"/>
  <c r="B16" i="8"/>
  <c r="B16" i="4"/>
  <c r="C16" i="4" s="1"/>
  <c r="B17" i="9"/>
  <c r="B17" i="8"/>
  <c r="B17" i="4"/>
  <c r="B18" i="9"/>
  <c r="B18" i="8"/>
  <c r="B18" i="4"/>
  <c r="B19" i="9"/>
  <c r="B19" i="8"/>
  <c r="B19" i="4"/>
  <c r="B20" i="9"/>
  <c r="B20" i="8"/>
  <c r="B20" i="4"/>
  <c r="B21" i="9"/>
  <c r="B21" i="8"/>
  <c r="B21" i="4"/>
  <c r="B22" i="9"/>
  <c r="B22" i="8"/>
  <c r="B22" i="4"/>
  <c r="B23" i="9"/>
  <c r="B23" i="8"/>
  <c r="B23" i="4"/>
  <c r="B24" i="9"/>
  <c r="B24" i="8"/>
  <c r="B24" i="4"/>
  <c r="B25" i="9"/>
  <c r="B25" i="8"/>
  <c r="B25" i="4"/>
  <c r="B26" i="9"/>
  <c r="B26" i="8"/>
  <c r="B26" i="4"/>
  <c r="B27" i="9"/>
  <c r="B27" i="8"/>
  <c r="B27" i="4"/>
  <c r="B28" i="9"/>
  <c r="B28" i="8"/>
  <c r="B28" i="4"/>
  <c r="B29" i="9"/>
  <c r="B29" i="8"/>
  <c r="B29" i="4"/>
  <c r="B30" i="9"/>
  <c r="B30" i="8"/>
  <c r="B30" i="4"/>
  <c r="B31" i="9"/>
  <c r="B31" i="8"/>
  <c r="B31" i="4"/>
  <c r="B32" i="9"/>
  <c r="B32" i="8"/>
  <c r="B32" i="4"/>
  <c r="B33" i="9"/>
  <c r="B33" i="8"/>
  <c r="B33" i="4"/>
  <c r="B34" i="9"/>
  <c r="B34" i="8"/>
  <c r="B34" i="4"/>
  <c r="B35" i="9"/>
  <c r="B35" i="8"/>
  <c r="B35" i="4"/>
  <c r="B36" i="9"/>
  <c r="B36" i="8"/>
  <c r="B36" i="4"/>
  <c r="B37" i="9"/>
  <c r="B37" i="8"/>
  <c r="B37" i="4"/>
  <c r="B38" i="9"/>
  <c r="B38" i="8"/>
  <c r="B38" i="4"/>
  <c r="B39" i="9"/>
  <c r="B39" i="8"/>
  <c r="B39" i="4"/>
  <c r="B40" i="9"/>
  <c r="B40" i="8"/>
  <c r="B40" i="4"/>
  <c r="B41" i="9"/>
  <c r="B41" i="8"/>
  <c r="B41" i="4"/>
  <c r="B42" i="9"/>
  <c r="B42" i="8"/>
  <c r="B42" i="4"/>
  <c r="B43" i="9"/>
  <c r="B43" i="8"/>
  <c r="B43" i="4"/>
  <c r="B44" i="9"/>
  <c r="B44" i="8"/>
  <c r="B44" i="4"/>
  <c r="B45" i="9"/>
  <c r="B45" i="8"/>
  <c r="B45" i="4"/>
  <c r="B46" i="9"/>
  <c r="B46" i="8"/>
  <c r="B46" i="4"/>
  <c r="B47" i="9"/>
  <c r="B47" i="8"/>
  <c r="B47" i="4"/>
  <c r="B48" i="9"/>
  <c r="B48" i="8"/>
  <c r="B48" i="4"/>
  <c r="B49" i="9"/>
  <c r="B49" i="8"/>
  <c r="B49" i="4"/>
  <c r="B50" i="9"/>
  <c r="B50" i="8"/>
  <c r="B50" i="4"/>
  <c r="B51" i="9"/>
  <c r="B51" i="8"/>
  <c r="B51" i="4"/>
  <c r="B52" i="9"/>
  <c r="B52" i="8"/>
  <c r="B52" i="4"/>
  <c r="B53" i="9"/>
  <c r="B53" i="8"/>
  <c r="B53" i="4"/>
  <c r="B54" i="9"/>
  <c r="B54" i="8"/>
  <c r="B54" i="4"/>
  <c r="B55" i="9"/>
  <c r="B55" i="8"/>
  <c r="B55" i="4"/>
  <c r="B56" i="9"/>
  <c r="B56" i="8"/>
  <c r="B56" i="4"/>
  <c r="B57" i="9"/>
  <c r="B57" i="8"/>
  <c r="B57" i="4"/>
  <c r="B58" i="9"/>
  <c r="B58" i="8"/>
  <c r="B58" i="4"/>
  <c r="B59" i="9"/>
  <c r="B59" i="8"/>
  <c r="B59" i="4"/>
  <c r="B60" i="9"/>
  <c r="B60" i="8"/>
  <c r="B60" i="4"/>
  <c r="B61" i="9"/>
  <c r="B61" i="8"/>
  <c r="B61" i="4"/>
  <c r="B62" i="9"/>
  <c r="B62" i="8"/>
  <c r="B62" i="4"/>
  <c r="B63" i="9"/>
  <c r="B63" i="8"/>
  <c r="B63" i="4"/>
  <c r="B64" i="9"/>
  <c r="B64" i="8"/>
  <c r="B64" i="4"/>
  <c r="B65" i="9"/>
  <c r="B65" i="8"/>
  <c r="B65" i="4"/>
  <c r="B66" i="9"/>
  <c r="B66" i="8"/>
  <c r="B66" i="4"/>
  <c r="B67" i="9"/>
  <c r="B67" i="8"/>
  <c r="B67" i="4"/>
  <c r="B68" i="9"/>
  <c r="B68" i="8"/>
  <c r="B68" i="4"/>
  <c r="B69" i="9"/>
  <c r="B69" i="8"/>
  <c r="B69" i="4"/>
  <c r="B70" i="9"/>
  <c r="B70" i="8"/>
  <c r="B70" i="4"/>
  <c r="B71" i="9"/>
  <c r="B71" i="8"/>
  <c r="B71" i="4"/>
  <c r="B72" i="9"/>
  <c r="B72" i="8"/>
  <c r="B72" i="4"/>
  <c r="B73" i="9"/>
  <c r="B73" i="8"/>
  <c r="B73" i="4"/>
  <c r="B74" i="9"/>
  <c r="B74" i="8"/>
  <c r="B74" i="4"/>
  <c r="B75" i="9"/>
  <c r="B75" i="8"/>
  <c r="B75" i="4"/>
  <c r="B76" i="9"/>
  <c r="B76" i="8"/>
  <c r="B76" i="4"/>
  <c r="B77" i="9"/>
  <c r="B77" i="8"/>
  <c r="B77" i="4"/>
  <c r="B78" i="9"/>
  <c r="B78" i="8"/>
  <c r="B78" i="4"/>
  <c r="B79" i="9"/>
  <c r="B79" i="8"/>
  <c r="B79" i="4"/>
  <c r="B80" i="9"/>
  <c r="B80" i="8"/>
  <c r="B80" i="4"/>
  <c r="B81" i="9"/>
  <c r="B81" i="8"/>
  <c r="B81" i="4"/>
  <c r="B82" i="9"/>
  <c r="B82" i="8"/>
  <c r="B82" i="4"/>
  <c r="B83" i="9"/>
  <c r="B83" i="8"/>
  <c r="B83" i="4"/>
  <c r="B84" i="9"/>
  <c r="B84" i="8"/>
  <c r="B84" i="4"/>
  <c r="B85" i="9"/>
  <c r="B85" i="8"/>
  <c r="B85" i="4"/>
  <c r="B86" i="9"/>
  <c r="B86" i="8"/>
  <c r="B86" i="4"/>
  <c r="B87" i="9"/>
  <c r="B87" i="8"/>
  <c r="B87" i="4"/>
  <c r="B88" i="9"/>
  <c r="B88" i="8"/>
  <c r="B88" i="4"/>
  <c r="B89" i="9"/>
  <c r="B89" i="8"/>
  <c r="B89" i="4"/>
  <c r="B90" i="9"/>
  <c r="B90" i="8"/>
  <c r="B90" i="4"/>
  <c r="B91" i="9"/>
  <c r="B91" i="8"/>
  <c r="B91" i="4"/>
  <c r="B92" i="9"/>
  <c r="B92" i="8"/>
  <c r="B92" i="4"/>
  <c r="B93" i="9"/>
  <c r="B93" i="8"/>
  <c r="B93" i="4"/>
  <c r="B94" i="9"/>
  <c r="B94" i="8"/>
  <c r="B94" i="4"/>
  <c r="B95" i="9"/>
  <c r="B95" i="8"/>
  <c r="B95" i="4"/>
  <c r="B96" i="9"/>
  <c r="B96" i="8"/>
  <c r="B96" i="4"/>
  <c r="B97" i="9"/>
  <c r="B97" i="8"/>
  <c r="B97" i="4"/>
  <c r="B98" i="9"/>
  <c r="B98" i="8"/>
  <c r="B98" i="4"/>
  <c r="B99" i="9"/>
  <c r="B99" i="8"/>
  <c r="B99" i="4"/>
  <c r="B100" i="9"/>
  <c r="B100" i="8"/>
  <c r="B100" i="4"/>
  <c r="B101" i="9"/>
  <c r="B101" i="8"/>
  <c r="B101" i="4"/>
  <c r="B102" i="9"/>
  <c r="B102" i="8"/>
  <c r="B102" i="4"/>
  <c r="B103" i="9"/>
  <c r="B103" i="8"/>
  <c r="B103" i="4"/>
  <c r="B104" i="9"/>
  <c r="B104" i="8"/>
  <c r="B104" i="4"/>
  <c r="B105" i="9"/>
  <c r="B105" i="8"/>
  <c r="B105" i="4"/>
  <c r="B106" i="9"/>
  <c r="B106" i="8"/>
  <c r="B106" i="4"/>
  <c r="B107" i="9"/>
  <c r="B107" i="8"/>
  <c r="B107" i="4"/>
  <c r="B108" i="9"/>
  <c r="B108" i="8"/>
  <c r="B108" i="4"/>
  <c r="B109" i="9"/>
  <c r="B109" i="8"/>
  <c r="B109" i="4"/>
  <c r="B110" i="9"/>
  <c r="B110" i="8"/>
  <c r="B110" i="4"/>
  <c r="B111" i="9"/>
  <c r="B111" i="8"/>
  <c r="B111" i="4"/>
  <c r="B112" i="9"/>
  <c r="B112" i="8"/>
  <c r="B112" i="4"/>
  <c r="B113" i="9"/>
  <c r="B113" i="8"/>
  <c r="B113" i="4"/>
  <c r="B114" i="9"/>
  <c r="B114" i="8"/>
  <c r="B114" i="4"/>
  <c r="B115" i="9"/>
  <c r="B115" i="8"/>
  <c r="B115" i="4"/>
  <c r="B116" i="9"/>
  <c r="B116" i="8"/>
  <c r="B116" i="4"/>
  <c r="B117" i="9"/>
  <c r="B117" i="8"/>
  <c r="B117" i="4"/>
  <c r="B118" i="9"/>
  <c r="B118" i="8"/>
  <c r="B118" i="4"/>
  <c r="B119" i="9"/>
  <c r="B119" i="8"/>
  <c r="B119" i="4"/>
  <c r="B120" i="9"/>
  <c r="B120" i="8"/>
  <c r="B120" i="4"/>
  <c r="B121" i="9"/>
  <c r="B121" i="8"/>
  <c r="B121" i="4"/>
  <c r="B122" i="9"/>
  <c r="B122" i="8"/>
  <c r="B122" i="4"/>
  <c r="B123" i="9"/>
  <c r="B123" i="8"/>
  <c r="B123" i="4"/>
  <c r="B124" i="9"/>
  <c r="B124" i="8"/>
  <c r="B124" i="4"/>
  <c r="B125" i="9"/>
  <c r="B125" i="8"/>
  <c r="B125" i="4"/>
  <c r="B126" i="9"/>
  <c r="B126" i="8"/>
  <c r="B126" i="4"/>
  <c r="B127" i="9"/>
  <c r="B127" i="8"/>
  <c r="B127" i="4"/>
  <c r="B128" i="9"/>
  <c r="B128" i="8"/>
  <c r="B128" i="4"/>
  <c r="B129" i="9"/>
  <c r="B129" i="8"/>
  <c r="B129" i="4"/>
  <c r="B130" i="9"/>
  <c r="B130" i="8"/>
  <c r="B130" i="4"/>
  <c r="B131" i="9"/>
  <c r="B131" i="8"/>
  <c r="B131" i="4"/>
  <c r="B132" i="9"/>
  <c r="B132" i="8"/>
  <c r="B132" i="4"/>
  <c r="B133" i="9"/>
  <c r="B133" i="8"/>
  <c r="B133" i="4"/>
  <c r="B134" i="9"/>
  <c r="B134" i="8"/>
  <c r="B134" i="4"/>
  <c r="B135" i="9"/>
  <c r="B135" i="8"/>
  <c r="B135" i="4"/>
  <c r="B136" i="9"/>
  <c r="B136" i="8"/>
  <c r="B136" i="4"/>
  <c r="B137" i="9"/>
  <c r="B137" i="8"/>
  <c r="B137" i="4"/>
  <c r="B138" i="9"/>
  <c r="B138" i="8"/>
  <c r="B138" i="4"/>
  <c r="B139" i="9"/>
  <c r="B139" i="8"/>
  <c r="B139" i="4"/>
  <c r="B140" i="10"/>
  <c r="B140" i="9"/>
  <c r="B140" i="8"/>
  <c r="B140" i="4"/>
  <c r="B141" i="10"/>
  <c r="B141" i="9"/>
  <c r="B141" i="8"/>
  <c r="B141" i="4"/>
  <c r="B142" i="10"/>
  <c r="B142" i="9"/>
  <c r="B142" i="8"/>
  <c r="B142" i="4"/>
  <c r="B143" i="10"/>
  <c r="B143" i="9"/>
  <c r="B143" i="8"/>
  <c r="B143" i="4"/>
  <c r="B144" i="10"/>
  <c r="B144" i="9"/>
  <c r="B144" i="8"/>
  <c r="B144" i="4"/>
  <c r="B145" i="10"/>
  <c r="B145" i="9"/>
  <c r="B145" i="8"/>
  <c r="B145" i="4"/>
  <c r="B146" i="10"/>
  <c r="B146" i="9"/>
  <c r="B146" i="8"/>
  <c r="B146" i="4"/>
  <c r="B147" i="10"/>
  <c r="B147" i="9"/>
  <c r="B147" i="8"/>
  <c r="B147" i="4"/>
  <c r="B148" i="10"/>
  <c r="B148" i="9"/>
  <c r="B148" i="8"/>
  <c r="B148" i="4"/>
  <c r="B149" i="10"/>
  <c r="B149" i="9"/>
  <c r="B149" i="8"/>
  <c r="B149" i="4"/>
  <c r="B150" i="10"/>
  <c r="B150" i="9"/>
  <c r="B150" i="8"/>
  <c r="B150" i="4"/>
  <c r="B151" i="10"/>
  <c r="B151" i="9"/>
  <c r="B151" i="8"/>
  <c r="B151" i="4"/>
  <c r="B152" i="10"/>
  <c r="B152" i="9"/>
  <c r="B152" i="8"/>
  <c r="B152" i="4"/>
  <c r="B153" i="10"/>
  <c r="B153" i="9"/>
  <c r="B153" i="8"/>
  <c r="B153" i="4"/>
  <c r="B154" i="10"/>
  <c r="B154" i="9"/>
  <c r="B154" i="8"/>
  <c r="B154" i="4"/>
  <c r="B155" i="10"/>
  <c r="B155" i="9"/>
  <c r="B155" i="8"/>
  <c r="B155" i="4"/>
  <c r="B156" i="10"/>
  <c r="B156" i="9"/>
  <c r="B156" i="8"/>
  <c r="B156" i="4"/>
  <c r="B157" i="10"/>
  <c r="B157" i="9"/>
  <c r="B157" i="8"/>
  <c r="B157" i="4"/>
  <c r="B158" i="10"/>
  <c r="B158" i="9"/>
  <c r="B158" i="8"/>
  <c r="B158" i="4"/>
  <c r="B159" i="10"/>
  <c r="B159" i="9"/>
  <c r="B159" i="8"/>
  <c r="B159" i="4"/>
  <c r="B160" i="10"/>
  <c r="B160" i="9"/>
  <c r="B160" i="8"/>
  <c r="B160" i="4"/>
  <c r="B161" i="10"/>
  <c r="B161" i="9"/>
  <c r="B161" i="8"/>
  <c r="B161" i="4"/>
  <c r="B162" i="10"/>
  <c r="B162" i="9"/>
  <c r="B162" i="8"/>
  <c r="B162" i="4"/>
  <c r="B163" i="10"/>
  <c r="B163" i="9"/>
  <c r="B163" i="8"/>
  <c r="B163" i="4"/>
  <c r="B164" i="10"/>
  <c r="B164" i="9"/>
  <c r="B164" i="8"/>
  <c r="B164" i="4"/>
  <c r="B165" i="10"/>
  <c r="B165" i="9"/>
  <c r="B165" i="8"/>
  <c r="B165" i="4"/>
  <c r="B166" i="10"/>
  <c r="B166" i="9"/>
  <c r="B166" i="8"/>
  <c r="B166" i="4"/>
  <c r="B167" i="10"/>
  <c r="B167" i="9"/>
  <c r="B167" i="8"/>
  <c r="B167" i="4"/>
  <c r="B168" i="10"/>
  <c r="B168" i="9"/>
  <c r="B168" i="8"/>
  <c r="B168" i="4"/>
  <c r="B169" i="9"/>
  <c r="B169" i="8"/>
  <c r="B169" i="4"/>
  <c r="B170" i="11"/>
  <c r="B170" i="9"/>
  <c r="B170" i="8"/>
  <c r="B170" i="4"/>
  <c r="B171" i="11"/>
  <c r="B171" i="9"/>
  <c r="B171" i="8"/>
  <c r="B171" i="4"/>
  <c r="B172" i="11"/>
  <c r="B172" i="9"/>
  <c r="B172" i="8"/>
  <c r="B172" i="4"/>
  <c r="B173" i="11"/>
  <c r="B173" i="9"/>
  <c r="B173" i="8"/>
  <c r="B173" i="4"/>
  <c r="B174" i="11"/>
  <c r="B174" i="9"/>
  <c r="B174" i="8"/>
  <c r="B174" i="4"/>
  <c r="B175" i="11"/>
  <c r="B175" i="9"/>
  <c r="B175" i="8"/>
  <c r="B175" i="4"/>
  <c r="B176" i="11"/>
  <c r="B176" i="9"/>
  <c r="B176" i="8"/>
  <c r="B176" i="4"/>
  <c r="B177" i="11"/>
  <c r="B177" i="9"/>
  <c r="B177" i="8"/>
  <c r="B177" i="4"/>
  <c r="B178" i="11"/>
  <c r="B178" i="9"/>
  <c r="B178" i="8"/>
  <c r="B178" i="4"/>
  <c r="B179" i="11"/>
  <c r="B179" i="9"/>
  <c r="B179" i="8"/>
  <c r="B179" i="4"/>
  <c r="B180" i="11"/>
  <c r="B180" i="9"/>
  <c r="B180" i="8"/>
  <c r="B180" i="4"/>
  <c r="B181" i="11"/>
  <c r="B181" i="9"/>
  <c r="B181" i="8"/>
  <c r="B181" i="4"/>
  <c r="B182" i="11"/>
  <c r="B182" i="9"/>
  <c r="B182" i="8"/>
  <c r="B182" i="4"/>
  <c r="B183" i="11"/>
  <c r="B183" i="9"/>
  <c r="B183" i="8"/>
  <c r="B183" i="4"/>
  <c r="B184" i="11"/>
  <c r="B184" i="9"/>
  <c r="B184" i="8"/>
  <c r="B184" i="4"/>
  <c r="B185" i="11"/>
  <c r="B185" i="9"/>
  <c r="B185" i="8"/>
  <c r="B185" i="4"/>
  <c r="B186" i="11"/>
  <c r="B186" i="9"/>
  <c r="B186" i="8"/>
  <c r="B186" i="4"/>
  <c r="B187" i="11"/>
  <c r="B187" i="9"/>
  <c r="B187" i="8"/>
  <c r="B187" i="4"/>
  <c r="B188" i="11"/>
  <c r="B188" i="9"/>
  <c r="B188" i="8"/>
  <c r="B188" i="4"/>
  <c r="B189" i="11"/>
  <c r="B189" i="9"/>
  <c r="B189" i="8"/>
  <c r="B189" i="4"/>
  <c r="B190" i="11"/>
  <c r="B190" i="9"/>
  <c r="B190" i="8"/>
  <c r="B190" i="4"/>
  <c r="B191" i="11"/>
  <c r="B191" i="9"/>
  <c r="B191" i="8"/>
  <c r="B191" i="4"/>
  <c r="B192" i="11"/>
  <c r="B192" i="9"/>
  <c r="B192" i="8"/>
  <c r="B192" i="4"/>
  <c r="B193" i="11"/>
  <c r="B193" i="9"/>
  <c r="B193" i="8"/>
  <c r="B193" i="4"/>
  <c r="B194" i="11"/>
  <c r="B194" i="9"/>
  <c r="B194" i="8"/>
  <c r="B194" i="4"/>
  <c r="B195" i="11"/>
  <c r="B195" i="9"/>
  <c r="B195" i="8"/>
  <c r="B195" i="4"/>
  <c r="B196" i="11"/>
  <c r="B196" i="9"/>
  <c r="B196" i="8"/>
  <c r="B196" i="4"/>
  <c r="B197" i="11"/>
  <c r="B197" i="9"/>
  <c r="B197" i="8"/>
  <c r="B197" i="4"/>
  <c r="B198" i="11"/>
  <c r="B198" i="9"/>
  <c r="B198" i="8"/>
  <c r="B198" i="4"/>
  <c r="B199" i="11"/>
  <c r="B199" i="9"/>
  <c r="B199" i="8"/>
  <c r="B199" i="4"/>
  <c r="B200" i="11"/>
  <c r="B200" i="9"/>
  <c r="B200" i="8"/>
  <c r="B200" i="4"/>
  <c r="B201" i="9"/>
  <c r="B201" i="8"/>
  <c r="B201" i="4"/>
  <c r="B202" i="9"/>
  <c r="B202" i="8"/>
  <c r="B202" i="4"/>
  <c r="B203" i="9"/>
  <c r="B203" i="8"/>
  <c r="B203" i="4"/>
  <c r="B204" i="9"/>
  <c r="B204" i="8"/>
  <c r="B204" i="4"/>
  <c r="B205" i="9"/>
  <c r="B205" i="8"/>
  <c r="B205" i="4"/>
  <c r="B206" i="9"/>
  <c r="B206" i="8"/>
  <c r="B206" i="4"/>
  <c r="B207" i="9"/>
  <c r="B207" i="8"/>
  <c r="B207" i="4"/>
  <c r="B207" i="11"/>
  <c r="B207" i="10"/>
  <c r="B207" i="5"/>
  <c r="B206" i="11"/>
  <c r="B206" i="10"/>
  <c r="B206" i="5"/>
  <c r="B205" i="11"/>
  <c r="B205" i="10"/>
  <c r="B205" i="5"/>
  <c r="B204" i="11"/>
  <c r="B204" i="5"/>
  <c r="B203" i="11"/>
  <c r="B203" i="5"/>
  <c r="B202" i="11"/>
  <c r="B202" i="5"/>
  <c r="B201" i="11"/>
  <c r="B201" i="5"/>
  <c r="B169" i="10"/>
  <c r="B169" i="5"/>
  <c r="B139" i="11"/>
  <c r="B139" i="10"/>
  <c r="B138" i="11"/>
  <c r="B138" i="10"/>
  <c r="B137" i="11"/>
  <c r="B137" i="10"/>
  <c r="B136" i="11"/>
  <c r="B136" i="10"/>
  <c r="B135" i="11"/>
  <c r="B135" i="10"/>
  <c r="B134" i="11"/>
  <c r="B134" i="10"/>
  <c r="B133" i="11"/>
  <c r="B133" i="10"/>
  <c r="B132" i="11"/>
  <c r="B132" i="10"/>
  <c r="B131" i="11"/>
  <c r="B131" i="10"/>
  <c r="B130" i="11"/>
  <c r="B130" i="10"/>
  <c r="B129" i="11"/>
  <c r="B129" i="10"/>
  <c r="B128" i="11"/>
  <c r="B128" i="10"/>
  <c r="B127" i="11"/>
  <c r="B127" i="10"/>
  <c r="B126" i="11"/>
  <c r="B126" i="10"/>
  <c r="B125" i="11"/>
  <c r="B125" i="10"/>
  <c r="B124" i="11"/>
  <c r="B124" i="10"/>
  <c r="B123" i="11"/>
  <c r="B123" i="10"/>
  <c r="B122" i="11"/>
  <c r="B122" i="10"/>
  <c r="B121" i="11"/>
  <c r="B121" i="10"/>
  <c r="B120" i="11"/>
  <c r="B120" i="10"/>
  <c r="B119" i="11"/>
  <c r="B119" i="10"/>
  <c r="B118" i="11"/>
  <c r="B118" i="10"/>
  <c r="B117" i="11"/>
  <c r="B117" i="10"/>
  <c r="B116" i="11"/>
  <c r="B116" i="10"/>
  <c r="B115" i="11"/>
  <c r="B115" i="10"/>
  <c r="B114" i="11"/>
  <c r="B114" i="10"/>
  <c r="B113" i="11"/>
  <c r="B113" i="10"/>
  <c r="B112" i="11"/>
  <c r="B112" i="10"/>
  <c r="B111" i="11"/>
  <c r="B111" i="10"/>
  <c r="B110" i="11"/>
  <c r="B110" i="10"/>
  <c r="B109" i="11"/>
  <c r="B109" i="10"/>
  <c r="B108" i="11"/>
  <c r="B108" i="10"/>
  <c r="B107" i="11"/>
  <c r="B107" i="10"/>
  <c r="B106" i="11"/>
  <c r="B106" i="10"/>
  <c r="B105" i="11"/>
  <c r="B105" i="10"/>
  <c r="B104" i="11"/>
  <c r="B104" i="10"/>
  <c r="B103" i="11"/>
  <c r="B103" i="10"/>
  <c r="B102" i="11"/>
  <c r="B102" i="10"/>
  <c r="B101" i="11"/>
  <c r="B101" i="10"/>
  <c r="B100" i="11"/>
  <c r="B100" i="10"/>
  <c r="B99" i="11"/>
  <c r="B99" i="10"/>
  <c r="B98" i="11"/>
  <c r="B98" i="10"/>
  <c r="B97" i="11"/>
  <c r="B97" i="10"/>
  <c r="B96" i="11"/>
  <c r="B96" i="10"/>
  <c r="B95" i="11"/>
  <c r="B95" i="10"/>
  <c r="B94" i="11"/>
  <c r="B94" i="10"/>
  <c r="B93" i="11"/>
  <c r="B93" i="10"/>
  <c r="B92" i="11"/>
  <c r="B92" i="10"/>
  <c r="B91" i="11"/>
  <c r="B91" i="10"/>
  <c r="B90" i="11"/>
  <c r="B90" i="10"/>
  <c r="B89" i="11"/>
  <c r="B89" i="10"/>
  <c r="B88" i="11"/>
  <c r="B88" i="10"/>
  <c r="B87" i="11"/>
  <c r="B87" i="10"/>
  <c r="B86" i="11"/>
  <c r="B86" i="10"/>
  <c r="B85" i="11"/>
  <c r="B85" i="10"/>
  <c r="B84" i="11"/>
  <c r="B84" i="10"/>
  <c r="B83" i="11"/>
  <c r="B83" i="10"/>
  <c r="B82" i="11"/>
  <c r="B82" i="10"/>
  <c r="B81" i="11"/>
  <c r="B81" i="10"/>
  <c r="B80" i="11"/>
  <c r="B80" i="10"/>
  <c r="B169" i="11"/>
  <c r="B168" i="11"/>
  <c r="B167" i="11"/>
  <c r="B166" i="11"/>
  <c r="B165" i="11"/>
  <c r="B164" i="11"/>
  <c r="B163" i="11"/>
  <c r="B162" i="11"/>
  <c r="B161" i="11"/>
  <c r="B160" i="11"/>
  <c r="B159" i="11"/>
  <c r="B158" i="11"/>
  <c r="B157" i="11"/>
  <c r="B156" i="11"/>
  <c r="B155" i="11"/>
  <c r="B154" i="11"/>
  <c r="B153" i="11"/>
  <c r="B152" i="11"/>
  <c r="B151" i="11"/>
  <c r="B150" i="11"/>
  <c r="B149" i="11"/>
  <c r="B148" i="11"/>
  <c r="B147" i="11"/>
  <c r="B146" i="11"/>
  <c r="B145" i="11"/>
  <c r="B144" i="11"/>
  <c r="B143" i="11"/>
  <c r="B142" i="11"/>
  <c r="B141" i="11"/>
  <c r="B140" i="11"/>
  <c r="B79" i="10"/>
  <c r="B79" i="11"/>
  <c r="B78" i="10"/>
  <c r="B78" i="11"/>
  <c r="B77" i="10"/>
  <c r="B77" i="11"/>
  <c r="B76" i="10"/>
  <c r="B76" i="11"/>
  <c r="B75" i="10"/>
  <c r="B75" i="11"/>
  <c r="B74" i="10"/>
  <c r="B74" i="11"/>
  <c r="B73" i="10"/>
  <c r="B73" i="11"/>
  <c r="B72" i="10"/>
  <c r="B72" i="11"/>
  <c r="B71" i="10"/>
  <c r="B71" i="11"/>
  <c r="B70" i="10"/>
  <c r="B70" i="11"/>
  <c r="B69" i="10"/>
  <c r="B69" i="11"/>
  <c r="B68" i="10"/>
  <c r="B68" i="11"/>
  <c r="B67" i="10"/>
  <c r="B67" i="11"/>
  <c r="B66" i="10"/>
  <c r="B66" i="11"/>
  <c r="B65" i="10"/>
  <c r="B65" i="11"/>
  <c r="B64" i="10"/>
  <c r="B64" i="11"/>
  <c r="B63" i="10"/>
  <c r="B63" i="11"/>
  <c r="B62" i="10"/>
  <c r="B62" i="11"/>
  <c r="B61" i="10"/>
  <c r="B61" i="11"/>
  <c r="B60" i="10"/>
  <c r="B60" i="11"/>
  <c r="B59" i="10"/>
  <c r="B59" i="11"/>
  <c r="B58" i="10"/>
  <c r="B58" i="11"/>
  <c r="B57" i="10"/>
  <c r="B57" i="11"/>
  <c r="B56" i="10"/>
  <c r="B56" i="11"/>
  <c r="B55" i="10"/>
  <c r="B55" i="11"/>
  <c r="B54" i="10"/>
  <c r="B54" i="11"/>
  <c r="B53" i="10"/>
  <c r="B53" i="11"/>
  <c r="B52" i="10"/>
  <c r="B52" i="11"/>
  <c r="B51" i="10"/>
  <c r="B51" i="11"/>
  <c r="B50" i="10"/>
  <c r="B50" i="11"/>
  <c r="B49" i="10"/>
  <c r="B49" i="11"/>
  <c r="B48" i="10"/>
  <c r="B48" i="11"/>
  <c r="B47" i="10"/>
  <c r="B47" i="11"/>
  <c r="B46" i="10"/>
  <c r="B46" i="11"/>
  <c r="B45" i="10"/>
  <c r="B45" i="11"/>
  <c r="B44" i="10"/>
  <c r="B44" i="11"/>
  <c r="B43" i="10"/>
  <c r="B43" i="11"/>
  <c r="B42" i="10"/>
  <c r="B42" i="11"/>
  <c r="B41" i="10"/>
  <c r="B41" i="11"/>
  <c r="B40" i="10"/>
  <c r="B40" i="11"/>
  <c r="B39" i="10"/>
  <c r="B39" i="11"/>
  <c r="B38" i="10"/>
  <c r="B38" i="11"/>
  <c r="B37" i="10"/>
  <c r="B37" i="11"/>
  <c r="B36" i="10"/>
  <c r="B36" i="11"/>
  <c r="B35" i="10"/>
  <c r="B35" i="11"/>
  <c r="B34" i="10"/>
  <c r="B34" i="11"/>
  <c r="B33" i="10"/>
  <c r="B33" i="11"/>
  <c r="B32" i="10"/>
  <c r="B32" i="11"/>
  <c r="B31" i="10"/>
  <c r="B31" i="11"/>
  <c r="B30" i="10"/>
  <c r="B30" i="11"/>
  <c r="B29" i="10"/>
  <c r="B29" i="11"/>
  <c r="B28" i="10"/>
  <c r="B28" i="11"/>
  <c r="B27" i="10"/>
  <c r="B27" i="11"/>
  <c r="B26" i="10"/>
  <c r="B26" i="11"/>
  <c r="B25" i="10"/>
  <c r="B25" i="11"/>
  <c r="B24" i="10"/>
  <c r="B24" i="11"/>
  <c r="B23" i="10"/>
  <c r="B23" i="11"/>
  <c r="B22" i="10"/>
  <c r="B22" i="11"/>
  <c r="B21" i="10"/>
  <c r="B21" i="11"/>
  <c r="B20" i="10"/>
  <c r="B20" i="11"/>
  <c r="B19" i="10"/>
  <c r="B19" i="11"/>
  <c r="B18" i="10"/>
  <c r="B18" i="11"/>
  <c r="B17" i="10"/>
  <c r="B17" i="11"/>
  <c r="B16" i="10"/>
  <c r="B16" i="11"/>
  <c r="B15" i="10"/>
  <c r="B15" i="11"/>
  <c r="B14" i="10"/>
  <c r="B14" i="11"/>
  <c r="B13" i="10"/>
  <c r="B13" i="11"/>
  <c r="B12" i="10"/>
  <c r="B12" i="11"/>
  <c r="B11" i="10"/>
  <c r="B11" i="11"/>
  <c r="B10" i="10"/>
  <c r="B10" i="11"/>
  <c r="B9" i="10"/>
  <c r="B9" i="11"/>
  <c r="B8" i="10"/>
  <c r="D46" i="12"/>
  <c r="D47" i="12"/>
  <c r="E47" i="12"/>
  <c r="D48" i="12"/>
  <c r="E48" i="12"/>
  <c r="E46" i="12"/>
  <c r="B8" i="11"/>
  <c r="B225" i="3"/>
  <c r="B207" i="7"/>
  <c r="D207" i="7" s="1"/>
  <c r="B206" i="7"/>
  <c r="D206" i="7" s="1"/>
  <c r="B224" i="3"/>
  <c r="B205" i="7"/>
  <c r="D205" i="7" s="1"/>
  <c r="B223" i="3"/>
  <c r="B204" i="7"/>
  <c r="D204" i="7" s="1"/>
  <c r="B222" i="3"/>
  <c r="B221" i="3"/>
  <c r="B203" i="7"/>
  <c r="D203" i="7" s="1"/>
  <c r="B220" i="3"/>
  <c r="B202" i="7"/>
  <c r="D202" i="7" s="1"/>
  <c r="B219" i="3"/>
  <c r="B201" i="7"/>
  <c r="D201" i="7" s="1"/>
  <c r="B218" i="3"/>
  <c r="B200" i="7"/>
  <c r="D200" i="7" s="1"/>
  <c r="B217" i="3"/>
  <c r="B199" i="7"/>
  <c r="D199" i="7" s="1"/>
  <c r="B216" i="3"/>
  <c r="B198" i="7"/>
  <c r="D198" i="7" s="1"/>
  <c r="B215" i="3"/>
  <c r="B197" i="7"/>
  <c r="D197" i="7" s="1"/>
  <c r="B214" i="3"/>
  <c r="B196" i="7"/>
  <c r="D196" i="7" s="1"/>
  <c r="B213" i="3"/>
  <c r="B195" i="7"/>
  <c r="D195" i="7" s="1"/>
  <c r="B194" i="7"/>
  <c r="D194" i="7" s="1"/>
  <c r="B212" i="3"/>
  <c r="B193" i="7"/>
  <c r="D193" i="7" s="1"/>
  <c r="B211" i="3"/>
  <c r="B210" i="3"/>
  <c r="B192" i="7"/>
  <c r="D192" i="7" s="1"/>
  <c r="B191" i="7"/>
  <c r="D191" i="7" s="1"/>
  <c r="B209" i="3"/>
  <c r="B190" i="7"/>
  <c r="D190" i="7" s="1"/>
  <c r="B208" i="3"/>
  <c r="B189" i="7"/>
  <c r="D189" i="7" s="1"/>
  <c r="B207" i="3"/>
  <c r="B188" i="7"/>
  <c r="D188" i="7" s="1"/>
  <c r="B206" i="3"/>
  <c r="B187" i="7"/>
  <c r="D187" i="7" s="1"/>
  <c r="B205" i="3"/>
  <c r="B186" i="7"/>
  <c r="D186" i="7" s="1"/>
  <c r="B204" i="3"/>
  <c r="B185" i="7"/>
  <c r="D185" i="7" s="1"/>
  <c r="B203" i="3"/>
  <c r="B202" i="3"/>
  <c r="B184" i="7"/>
  <c r="D184" i="7" s="1"/>
  <c r="B201" i="3"/>
  <c r="B183" i="7"/>
  <c r="D183" i="7" s="1"/>
  <c r="B200" i="3"/>
  <c r="B182" i="7"/>
  <c r="D182" i="7" s="1"/>
  <c r="B199" i="3"/>
  <c r="B181" i="7"/>
  <c r="D181" i="7" s="1"/>
  <c r="B198" i="3"/>
  <c r="B180" i="7"/>
  <c r="D180" i="7" s="1"/>
  <c r="B179" i="7"/>
  <c r="D179" i="7" s="1"/>
  <c r="B197" i="3"/>
  <c r="B196" i="3"/>
  <c r="B178" i="7"/>
  <c r="D178" i="7" s="1"/>
  <c r="B195" i="3"/>
  <c r="B177" i="7"/>
  <c r="D177" i="7" s="1"/>
  <c r="B194" i="3"/>
  <c r="B176" i="7"/>
  <c r="D176" i="7" s="1"/>
  <c r="B193" i="3"/>
  <c r="B175" i="7"/>
  <c r="D175" i="7" s="1"/>
  <c r="B192" i="3"/>
  <c r="B174" i="7"/>
  <c r="D174" i="7" s="1"/>
  <c r="B173" i="7"/>
  <c r="D173" i="7" s="1"/>
  <c r="B191" i="3"/>
  <c r="B190" i="3"/>
  <c r="B172" i="7"/>
  <c r="D172" i="7" s="1"/>
  <c r="B189" i="3"/>
  <c r="B171" i="7"/>
  <c r="D171" i="7" s="1"/>
  <c r="B170" i="7"/>
  <c r="D170" i="7" s="1"/>
  <c r="B188" i="3"/>
  <c r="B169" i="7"/>
  <c r="D169" i="7" s="1"/>
  <c r="B187" i="3"/>
  <c r="B169" i="6"/>
  <c r="B186" i="3"/>
  <c r="B168" i="6"/>
  <c r="B168" i="7"/>
  <c r="D168" i="7" s="1"/>
  <c r="B168" i="5"/>
  <c r="B185" i="3"/>
  <c r="B167" i="6"/>
  <c r="B167" i="7"/>
  <c r="D167" i="7" s="1"/>
  <c r="B167" i="5"/>
  <c r="B166" i="6"/>
  <c r="B166" i="7"/>
  <c r="D166" i="7" s="1"/>
  <c r="B184" i="3"/>
  <c r="B166" i="5"/>
  <c r="B165" i="6"/>
  <c r="B165" i="7"/>
  <c r="D165" i="7" s="1"/>
  <c r="B165" i="5"/>
  <c r="B183" i="3"/>
  <c r="B164" i="5"/>
  <c r="B164" i="7"/>
  <c r="D164" i="7" s="1"/>
  <c r="B164" i="6"/>
  <c r="B182" i="3"/>
  <c r="B163" i="7"/>
  <c r="D163" i="7" s="1"/>
  <c r="B163" i="5"/>
  <c r="B181" i="3"/>
  <c r="B163" i="6"/>
  <c r="B162" i="5"/>
  <c r="B162" i="7"/>
  <c r="D162" i="7" s="1"/>
  <c r="B180" i="3"/>
  <c r="B162" i="6"/>
  <c r="B161" i="6"/>
  <c r="B161" i="7"/>
  <c r="D161" i="7" s="1"/>
  <c r="B161" i="5"/>
  <c r="B179" i="3"/>
  <c r="B160" i="7"/>
  <c r="D160" i="7" s="1"/>
  <c r="B160" i="5"/>
  <c r="B178" i="3"/>
  <c r="B160" i="6"/>
  <c r="B177" i="3"/>
  <c r="B159" i="7"/>
  <c r="D159" i="7" s="1"/>
  <c r="B159" i="5"/>
  <c r="B159" i="6"/>
  <c r="B176" i="3"/>
  <c r="B158" i="7"/>
  <c r="D158" i="7" s="1"/>
  <c r="B158" i="5"/>
  <c r="B158" i="6"/>
  <c r="B157" i="7"/>
  <c r="D157" i="7" s="1"/>
  <c r="B157" i="5"/>
  <c r="B175" i="3"/>
  <c r="B157" i="6"/>
  <c r="B174" i="3"/>
  <c r="B156" i="6"/>
  <c r="B156" i="5"/>
  <c r="B156" i="7"/>
  <c r="D156" i="7" s="1"/>
  <c r="B155" i="6"/>
  <c r="B173" i="3"/>
  <c r="B155" i="7"/>
  <c r="D155" i="7" s="1"/>
  <c r="B155" i="5"/>
  <c r="B154" i="7"/>
  <c r="D154" i="7" s="1"/>
  <c r="B172" i="3"/>
  <c r="B154" i="6"/>
  <c r="B154" i="5"/>
  <c r="B153" i="6"/>
  <c r="B171" i="3"/>
  <c r="B153" i="7"/>
  <c r="D153" i="7" s="1"/>
  <c r="B153" i="5"/>
  <c r="B152" i="6"/>
  <c r="B152" i="5"/>
  <c r="B152" i="7"/>
  <c r="D152" i="7" s="1"/>
  <c r="B170" i="3"/>
  <c r="B151" i="6"/>
  <c r="B151" i="7"/>
  <c r="D151" i="7" s="1"/>
  <c r="B151" i="5"/>
  <c r="B169" i="3"/>
  <c r="B150" i="6"/>
  <c r="B150" i="7"/>
  <c r="D150" i="7" s="1"/>
  <c r="B168" i="3"/>
  <c r="B150" i="5"/>
  <c r="B149" i="6"/>
  <c r="B149" i="7"/>
  <c r="D149" i="7" s="1"/>
  <c r="B167" i="3"/>
  <c r="B149" i="5"/>
  <c r="B148" i="5"/>
  <c r="B148" i="6"/>
  <c r="B148" i="7"/>
  <c r="D148" i="7" s="1"/>
  <c r="B166" i="3"/>
  <c r="B147" i="6"/>
  <c r="B165" i="3"/>
  <c r="B147" i="5"/>
  <c r="B147" i="7"/>
  <c r="D147" i="7" s="1"/>
  <c r="B146" i="6"/>
  <c r="B146" i="5"/>
  <c r="B164" i="3"/>
  <c r="B146" i="7"/>
  <c r="D146" i="7" s="1"/>
  <c r="B145" i="6"/>
  <c r="B163" i="3"/>
  <c r="B145" i="5"/>
  <c r="B145" i="7"/>
  <c r="D145" i="7" s="1"/>
  <c r="B144" i="6"/>
  <c r="B144" i="5"/>
  <c r="B162" i="3"/>
  <c r="B144" i="7"/>
  <c r="D144" i="7" s="1"/>
  <c r="B143" i="6"/>
  <c r="B161" i="3"/>
  <c r="B143" i="7"/>
  <c r="D143" i="7" s="1"/>
  <c r="B143" i="5"/>
  <c r="B160" i="3"/>
  <c r="B142" i="7"/>
  <c r="D142" i="7" s="1"/>
  <c r="B142" i="6"/>
  <c r="B142" i="5"/>
  <c r="B159" i="3"/>
  <c r="B141" i="5"/>
  <c r="B141" i="6"/>
  <c r="B141" i="7"/>
  <c r="D141" i="7" s="1"/>
  <c r="B140" i="5"/>
  <c r="B140" i="6"/>
  <c r="B140" i="7"/>
  <c r="D140" i="7" s="1"/>
  <c r="B158" i="3"/>
  <c r="B157" i="3"/>
  <c r="B139" i="6"/>
  <c r="B139" i="7"/>
  <c r="D139" i="7" s="1"/>
  <c r="B139" i="5"/>
  <c r="B138" i="7"/>
  <c r="D138" i="7" s="1"/>
  <c r="B156" i="3"/>
  <c r="B138" i="5"/>
  <c r="B138" i="6"/>
  <c r="B155" i="3"/>
  <c r="B137" i="7"/>
  <c r="D137" i="7" s="1"/>
  <c r="B137" i="6"/>
  <c r="B137" i="5"/>
  <c r="B154" i="3"/>
  <c r="B136" i="5"/>
  <c r="B136" i="7"/>
  <c r="D136" i="7" s="1"/>
  <c r="B136" i="6"/>
  <c r="B135" i="7"/>
  <c r="D135" i="7" s="1"/>
  <c r="B135" i="5"/>
  <c r="B153" i="3"/>
  <c r="B135" i="6"/>
  <c r="B134" i="7"/>
  <c r="D134" i="7" s="1"/>
  <c r="B134" i="6"/>
  <c r="B152" i="3"/>
  <c r="B134" i="5"/>
  <c r="B133" i="6"/>
  <c r="B133" i="7"/>
  <c r="D133" i="7" s="1"/>
  <c r="B133" i="5"/>
  <c r="B151" i="3"/>
  <c r="B132" i="6"/>
  <c r="B132" i="7"/>
  <c r="D132" i="7" s="1"/>
  <c r="B132" i="5"/>
  <c r="B150" i="3"/>
  <c r="B131" i="5"/>
  <c r="B131" i="7"/>
  <c r="D131" i="7" s="1"/>
  <c r="B149" i="3"/>
  <c r="B131" i="6"/>
  <c r="B130" i="5"/>
  <c r="B130" i="6"/>
  <c r="B148" i="3"/>
  <c r="B130" i="7"/>
  <c r="D130" i="7" s="1"/>
  <c r="B129" i="5"/>
  <c r="B147" i="3"/>
  <c r="B129" i="6"/>
  <c r="B129" i="7"/>
  <c r="D129" i="7" s="1"/>
  <c r="B128" i="5"/>
  <c r="B146" i="3"/>
  <c r="B128" i="6"/>
  <c r="B128" i="7"/>
  <c r="D128" i="7" s="1"/>
  <c r="B127" i="5"/>
  <c r="B145" i="3"/>
  <c r="B127" i="6"/>
  <c r="B127" i="7"/>
  <c r="D127" i="7" s="1"/>
  <c r="B126" i="5"/>
  <c r="B126" i="7"/>
  <c r="D126" i="7" s="1"/>
  <c r="B144" i="3"/>
  <c r="B126" i="6"/>
  <c r="B125" i="6"/>
  <c r="B125" i="7"/>
  <c r="D125" i="7" s="1"/>
  <c r="B125" i="5"/>
  <c r="B143" i="3"/>
  <c r="B124" i="6"/>
  <c r="B142" i="3"/>
  <c r="B124" i="5"/>
  <c r="B124" i="7"/>
  <c r="D124" i="7" s="1"/>
  <c r="B123" i="7"/>
  <c r="D123" i="7" s="1"/>
  <c r="B123" i="5"/>
  <c r="B141" i="3"/>
  <c r="B123" i="6"/>
  <c r="B122" i="5"/>
  <c r="B140" i="3"/>
  <c r="B122" i="6"/>
  <c r="B122" i="7"/>
  <c r="D122" i="7" s="1"/>
  <c r="B121" i="5"/>
  <c r="B139" i="3"/>
  <c r="B121" i="6"/>
  <c r="B121" i="7"/>
  <c r="D121" i="7" s="1"/>
  <c r="B120" i="5"/>
  <c r="B120" i="7"/>
  <c r="D120" i="7" s="1"/>
  <c r="B120" i="6"/>
  <c r="B138" i="3"/>
  <c r="B137" i="3"/>
  <c r="B119" i="5"/>
  <c r="B119" i="6"/>
  <c r="B119" i="7"/>
  <c r="D119" i="7" s="1"/>
  <c r="B118" i="5"/>
  <c r="B118" i="7"/>
  <c r="D118" i="7" s="1"/>
  <c r="B118" i="6"/>
  <c r="B136" i="3"/>
  <c r="B117" i="5"/>
  <c r="B117" i="6"/>
  <c r="B117" i="7"/>
  <c r="D117" i="7" s="1"/>
  <c r="B135" i="3"/>
  <c r="B116" i="6"/>
  <c r="B134" i="3"/>
  <c r="B116" i="5"/>
  <c r="B116" i="7"/>
  <c r="D116" i="7" s="1"/>
  <c r="B115" i="6"/>
  <c r="B133" i="3"/>
  <c r="B115" i="5"/>
  <c r="B115" i="7"/>
  <c r="D115" i="7" s="1"/>
  <c r="B114" i="7"/>
  <c r="D114" i="7" s="1"/>
  <c r="B114" i="6"/>
  <c r="B132" i="3"/>
  <c r="B114" i="5"/>
  <c r="B113" i="7"/>
  <c r="D113" i="7" s="1"/>
  <c r="B131" i="3"/>
  <c r="B113" i="6"/>
  <c r="B113" i="5"/>
  <c r="B112" i="5"/>
  <c r="B112" i="7"/>
  <c r="D112" i="7" s="1"/>
  <c r="B130" i="3"/>
  <c r="B112" i="6"/>
  <c r="B111" i="7"/>
  <c r="D111" i="7" s="1"/>
  <c r="B111" i="5"/>
  <c r="B111" i="6"/>
  <c r="B129" i="3"/>
  <c r="B110" i="5"/>
  <c r="B128" i="3"/>
  <c r="B110" i="6"/>
  <c r="B110" i="7"/>
  <c r="D110" i="7" s="1"/>
  <c r="B109" i="7"/>
  <c r="D109" i="7" s="1"/>
  <c r="B109" i="5"/>
  <c r="B127" i="3"/>
  <c r="B109" i="6"/>
  <c r="B108" i="5"/>
  <c r="B108" i="7"/>
  <c r="D108" i="7" s="1"/>
  <c r="B108" i="6"/>
  <c r="B126" i="3"/>
  <c r="B107" i="5"/>
  <c r="B107" i="6"/>
  <c r="B107" i="7"/>
  <c r="D107" i="7" s="1"/>
  <c r="B125" i="3"/>
  <c r="B106" i="7"/>
  <c r="D106" i="7" s="1"/>
  <c r="B106" i="6"/>
  <c r="B106" i="5"/>
  <c r="B124" i="3"/>
  <c r="B105" i="6"/>
  <c r="B123" i="3"/>
  <c r="B105" i="5"/>
  <c r="B105" i="7"/>
  <c r="D105" i="7" s="1"/>
  <c r="B122" i="3"/>
  <c r="B104" i="5"/>
  <c r="B104" i="7"/>
  <c r="D104" i="7" s="1"/>
  <c r="B104" i="6"/>
  <c r="B121" i="3"/>
  <c r="B103" i="5"/>
  <c r="B103" i="7"/>
  <c r="D103" i="7" s="1"/>
  <c r="B103" i="6"/>
  <c r="B102" i="5"/>
  <c r="B120" i="3"/>
  <c r="B102" i="6"/>
  <c r="B102" i="7"/>
  <c r="D102" i="7" s="1"/>
  <c r="B101" i="5"/>
  <c r="B119" i="3"/>
  <c r="B101" i="6"/>
  <c r="B101" i="7"/>
  <c r="D101" i="7" s="1"/>
  <c r="B100" i="6"/>
  <c r="B118" i="3"/>
  <c r="B100" i="5"/>
  <c r="B100" i="7"/>
  <c r="D100" i="7" s="1"/>
  <c r="B117" i="3"/>
  <c r="B99" i="5"/>
  <c r="B99" i="6"/>
  <c r="B99" i="7"/>
  <c r="D99" i="7" s="1"/>
  <c r="B116" i="3"/>
  <c r="B98" i="6"/>
  <c r="B98" i="7"/>
  <c r="D98" i="7" s="1"/>
  <c r="B98" i="5"/>
  <c r="B97" i="6"/>
  <c r="B115" i="3"/>
  <c r="B97" i="7"/>
  <c r="D97" i="7" s="1"/>
  <c r="B97" i="5"/>
  <c r="B96" i="5"/>
  <c r="B96" i="6"/>
  <c r="B96" i="7"/>
  <c r="D96" i="7" s="1"/>
  <c r="B114" i="3"/>
  <c r="B113" i="3"/>
  <c r="B95" i="5"/>
  <c r="B95" i="7"/>
  <c r="D95" i="7" s="1"/>
  <c r="B95" i="6"/>
  <c r="B94" i="7"/>
  <c r="D94" i="7" s="1"/>
  <c r="B94" i="6"/>
  <c r="B94" i="5"/>
  <c r="B112" i="3"/>
  <c r="B93" i="7"/>
  <c r="D93" i="7" s="1"/>
  <c r="B93" i="6"/>
  <c r="B111" i="3"/>
  <c r="B93" i="5"/>
  <c r="B110" i="3"/>
  <c r="B92" i="6"/>
  <c r="B92" i="7"/>
  <c r="D92" i="7" s="1"/>
  <c r="B92" i="5"/>
  <c r="B91" i="7"/>
  <c r="D91" i="7" s="1"/>
  <c r="B91" i="5"/>
  <c r="B91" i="6"/>
  <c r="B109" i="3"/>
  <c r="B90" i="7"/>
  <c r="D90" i="7" s="1"/>
  <c r="B90" i="5"/>
  <c r="B90" i="6"/>
  <c r="B108" i="3"/>
  <c r="B89" i="7"/>
  <c r="D89" i="7" s="1"/>
  <c r="B89" i="6"/>
  <c r="B89" i="5"/>
  <c r="B107" i="3"/>
  <c r="B88" i="7"/>
  <c r="D88" i="7" s="1"/>
  <c r="B88" i="5"/>
  <c r="B106" i="3"/>
  <c r="B88" i="6"/>
  <c r="B105" i="3"/>
  <c r="B87" i="6"/>
  <c r="B87" i="5"/>
  <c r="B87" i="7"/>
  <c r="D87" i="7" s="1"/>
  <c r="B86" i="7"/>
  <c r="D86" i="7" s="1"/>
  <c r="B104" i="3"/>
  <c r="B86" i="6"/>
  <c r="B86" i="5"/>
  <c r="B85" i="7"/>
  <c r="D85" i="7" s="1"/>
  <c r="B103" i="3"/>
  <c r="B85" i="5"/>
  <c r="B85" i="6"/>
  <c r="B102" i="3"/>
  <c r="B84" i="5"/>
  <c r="B84" i="6"/>
  <c r="B84" i="7"/>
  <c r="D84" i="7" s="1"/>
  <c r="B83" i="6"/>
  <c r="B83" i="5"/>
  <c r="B83" i="7"/>
  <c r="D83" i="7" s="1"/>
  <c r="B101" i="3"/>
  <c r="B100" i="3"/>
  <c r="B82" i="5"/>
  <c r="B82" i="7"/>
  <c r="D82" i="7" s="1"/>
  <c r="B82" i="6"/>
  <c r="B99" i="3"/>
  <c r="B81" i="5"/>
  <c r="B81" i="6"/>
  <c r="B81" i="7"/>
  <c r="D81" i="7" s="1"/>
  <c r="B80" i="7"/>
  <c r="D80" i="7" s="1"/>
  <c r="B80" i="6"/>
  <c r="B80" i="5"/>
  <c r="B98" i="3"/>
  <c r="B79" i="5"/>
  <c r="B79" i="6"/>
  <c r="B97" i="3"/>
  <c r="B79" i="7"/>
  <c r="D79" i="7" s="1"/>
  <c r="B78" i="6"/>
  <c r="B78" i="5"/>
  <c r="B96" i="3"/>
  <c r="B78" i="7"/>
  <c r="D78" i="7" s="1"/>
  <c r="B77" i="6"/>
  <c r="B95" i="3"/>
  <c r="B77" i="5"/>
  <c r="B77" i="7"/>
  <c r="D77" i="7" s="1"/>
  <c r="B76" i="6"/>
  <c r="B76" i="7"/>
  <c r="D76" i="7" s="1"/>
  <c r="B94" i="3"/>
  <c r="B76" i="5"/>
  <c r="B75" i="6"/>
  <c r="B93" i="3"/>
  <c r="B75" i="7"/>
  <c r="D75" i="7" s="1"/>
  <c r="B75" i="5"/>
  <c r="B74" i="7"/>
  <c r="D74" i="7" s="1"/>
  <c r="B74" i="6"/>
  <c r="B74" i="5"/>
  <c r="B92" i="3"/>
  <c r="B73" i="6"/>
  <c r="B73" i="7"/>
  <c r="D73" i="7" s="1"/>
  <c r="B91" i="3"/>
  <c r="B73" i="5"/>
  <c r="B72" i="6"/>
  <c r="B72" i="7"/>
  <c r="D72" i="7" s="1"/>
  <c r="B90" i="3"/>
  <c r="B72" i="5"/>
  <c r="B71" i="7"/>
  <c r="D71" i="7" s="1"/>
  <c r="B89" i="3"/>
  <c r="B71" i="5"/>
  <c r="B71" i="6"/>
  <c r="B88" i="3"/>
  <c r="B70" i="5"/>
  <c r="B70" i="6"/>
  <c r="B70" i="7"/>
  <c r="D70" i="7" s="1"/>
  <c r="B69" i="7"/>
  <c r="D69" i="7" s="1"/>
  <c r="B69" i="5"/>
  <c r="B69" i="6"/>
  <c r="B87" i="3"/>
  <c r="B68" i="5"/>
  <c r="B68" i="7"/>
  <c r="D68" i="7" s="1"/>
  <c r="B68" i="6"/>
  <c r="B86" i="3"/>
  <c r="B67" i="7"/>
  <c r="D67" i="7" s="1"/>
  <c r="B67" i="6"/>
  <c r="B67" i="5"/>
  <c r="B85" i="3"/>
  <c r="B66" i="5"/>
  <c r="B66" i="7"/>
  <c r="D66" i="7" s="1"/>
  <c r="B66" i="6"/>
  <c r="B84" i="3"/>
  <c r="B65" i="5"/>
  <c r="B83" i="3"/>
  <c r="B65" i="7"/>
  <c r="D65" i="7" s="1"/>
  <c r="B65" i="6"/>
  <c r="B64" i="6"/>
  <c r="B64" i="5"/>
  <c r="B82" i="3"/>
  <c r="B64" i="7"/>
  <c r="D64" i="7" s="1"/>
  <c r="B63" i="6"/>
  <c r="B81" i="3"/>
  <c r="B63" i="5"/>
  <c r="B63" i="7"/>
  <c r="D63" i="7" s="1"/>
  <c r="B62" i="7"/>
  <c r="D62" i="7" s="1"/>
  <c r="B62" i="6"/>
  <c r="B62" i="5"/>
  <c r="B80" i="3"/>
  <c r="B79" i="3"/>
  <c r="B61" i="7"/>
  <c r="D61" i="7" s="1"/>
  <c r="B61" i="6"/>
  <c r="B61" i="5"/>
  <c r="B60" i="7"/>
  <c r="D60" i="7" s="1"/>
  <c r="B60" i="6"/>
  <c r="B60" i="5"/>
  <c r="B78" i="3"/>
  <c r="B59" i="6"/>
  <c r="B59" i="5"/>
  <c r="B59" i="7"/>
  <c r="D59" i="7" s="1"/>
  <c r="B77" i="3"/>
  <c r="B58" i="7"/>
  <c r="D58" i="7" s="1"/>
  <c r="B58" i="5"/>
  <c r="B76" i="3"/>
  <c r="B58" i="6"/>
  <c r="B57" i="6"/>
  <c r="B57" i="5"/>
  <c r="B57" i="7"/>
  <c r="D57" i="7" s="1"/>
  <c r="B75" i="3"/>
  <c r="B56" i="7"/>
  <c r="D56" i="7" s="1"/>
  <c r="B56" i="5"/>
  <c r="B74" i="3"/>
  <c r="B56" i="6"/>
  <c r="B55" i="5"/>
  <c r="B73" i="3"/>
  <c r="B55" i="6"/>
  <c r="B55" i="7"/>
  <c r="D55" i="7" s="1"/>
  <c r="B72" i="3"/>
  <c r="B54" i="6"/>
  <c r="B54" i="5"/>
  <c r="B54" i="7"/>
  <c r="D54" i="7" s="1"/>
  <c r="B53" i="6"/>
  <c r="B53" i="5"/>
  <c r="B71" i="3"/>
  <c r="B53" i="7"/>
  <c r="D53" i="7" s="1"/>
  <c r="B52" i="7"/>
  <c r="D52" i="7" s="1"/>
  <c r="B52" i="6"/>
  <c r="B52" i="5"/>
  <c r="B70" i="3"/>
  <c r="B51" i="7"/>
  <c r="D51" i="7" s="1"/>
  <c r="B51" i="6"/>
  <c r="B69" i="3"/>
  <c r="B51" i="5"/>
  <c r="B50" i="7"/>
  <c r="D50" i="7" s="1"/>
  <c r="B50" i="5"/>
  <c r="B50" i="6"/>
  <c r="B68" i="3"/>
  <c r="B49" i="5"/>
  <c r="B49" i="6"/>
  <c r="B49" i="7"/>
  <c r="D49" i="7" s="1"/>
  <c r="B67" i="3"/>
  <c r="B66" i="3"/>
  <c r="B48" i="5"/>
  <c r="B48" i="7"/>
  <c r="D48" i="7" s="1"/>
  <c r="B48" i="6"/>
  <c r="B47" i="7"/>
  <c r="D47" i="7" s="1"/>
  <c r="B65" i="3"/>
  <c r="B47" i="5"/>
  <c r="B47" i="6"/>
  <c r="B46" i="5"/>
  <c r="B46" i="7"/>
  <c r="D46" i="7" s="1"/>
  <c r="B46" i="6"/>
  <c r="B64" i="3"/>
  <c r="B45" i="7"/>
  <c r="D45" i="7" s="1"/>
  <c r="B45" i="5"/>
  <c r="B45" i="6"/>
  <c r="B63" i="3"/>
  <c r="B44" i="7"/>
  <c r="D44" i="7" s="1"/>
  <c r="B44" i="5"/>
  <c r="B62" i="3"/>
  <c r="B44" i="6"/>
  <c r="B61" i="3"/>
  <c r="B43" i="5"/>
  <c r="B43" i="6"/>
  <c r="B43" i="7"/>
  <c r="D43" i="7" s="1"/>
  <c r="B60" i="3"/>
  <c r="B42" i="7"/>
  <c r="D42" i="7" s="1"/>
  <c r="B42" i="6"/>
  <c r="B42" i="5"/>
  <c r="B41" i="5"/>
  <c r="B41" i="6"/>
  <c r="B41" i="7"/>
  <c r="D41" i="7" s="1"/>
  <c r="B59" i="3"/>
  <c r="B40" i="6"/>
  <c r="B40" i="7"/>
  <c r="D40" i="7" s="1"/>
  <c r="B40" i="5"/>
  <c r="B58" i="3"/>
  <c r="B39" i="5"/>
  <c r="B57" i="3"/>
  <c r="B39" i="7"/>
  <c r="D39" i="7" s="1"/>
  <c r="B39" i="6"/>
  <c r="B38" i="5"/>
  <c r="B56" i="3"/>
  <c r="B38" i="6"/>
  <c r="B38" i="7"/>
  <c r="D38" i="7" s="1"/>
  <c r="B37" i="7"/>
  <c r="D37" i="7" s="1"/>
  <c r="B37" i="6"/>
  <c r="B55" i="3"/>
  <c r="B37" i="5"/>
  <c r="B36" i="5"/>
  <c r="B36" i="7"/>
  <c r="D36" i="7" s="1"/>
  <c r="B54" i="3"/>
  <c r="B36" i="6"/>
  <c r="B35" i="7"/>
  <c r="D35" i="7" s="1"/>
  <c r="B35" i="5"/>
  <c r="B35" i="6"/>
  <c r="B53" i="3"/>
  <c r="B34" i="7"/>
  <c r="D34" i="7" s="1"/>
  <c r="B52" i="3"/>
  <c r="B34" i="5"/>
  <c r="B34" i="6"/>
  <c r="B33" i="6"/>
  <c r="B33" i="5"/>
  <c r="B51" i="3"/>
  <c r="B33" i="7"/>
  <c r="D33" i="7" s="1"/>
  <c r="B32" i="5"/>
  <c r="B32" i="6"/>
  <c r="B50" i="3"/>
  <c r="B32" i="7"/>
  <c r="D32" i="7" s="1"/>
  <c r="B31" i="7"/>
  <c r="D31" i="7" s="1"/>
  <c r="B31" i="6"/>
  <c r="B49" i="3"/>
  <c r="B31" i="5"/>
  <c r="B48" i="3"/>
  <c r="B30" i="7"/>
  <c r="D30" i="7" s="1"/>
  <c r="B30" i="5"/>
  <c r="B30" i="6"/>
  <c r="B29" i="5"/>
  <c r="B29" i="7"/>
  <c r="D29" i="7" s="1"/>
  <c r="B29" i="6"/>
  <c r="B47" i="3"/>
  <c r="B28" i="5"/>
  <c r="B46" i="3"/>
  <c r="B28" i="7"/>
  <c r="D28" i="7" s="1"/>
  <c r="B28" i="6"/>
  <c r="B27" i="5"/>
  <c r="B45" i="3"/>
  <c r="B27" i="7"/>
  <c r="D27" i="7" s="1"/>
  <c r="B27" i="6"/>
  <c r="B26" i="6"/>
  <c r="B26" i="5"/>
  <c r="B44" i="3"/>
  <c r="B26" i="7"/>
  <c r="D26" i="7" s="1"/>
  <c r="B25" i="7"/>
  <c r="D25" i="7" s="1"/>
  <c r="B25" i="6"/>
  <c r="B25" i="5"/>
  <c r="B43" i="3"/>
  <c r="B24" i="5"/>
  <c r="B24" i="7"/>
  <c r="D24" i="7" s="1"/>
  <c r="B42" i="3"/>
  <c r="B24" i="6"/>
  <c r="B23" i="7"/>
  <c r="D23" i="7" s="1"/>
  <c r="B23" i="5"/>
  <c r="B41" i="3"/>
  <c r="B23" i="6"/>
  <c r="B22" i="5"/>
  <c r="B22" i="7"/>
  <c r="D22" i="7" s="1"/>
  <c r="B40" i="3"/>
  <c r="B22" i="6"/>
  <c r="B39" i="3"/>
  <c r="B21" i="7"/>
  <c r="D21" i="7" s="1"/>
  <c r="B21" i="6"/>
  <c r="B21" i="5"/>
  <c r="B20" i="6"/>
  <c r="B20" i="5"/>
  <c r="B20" i="7"/>
  <c r="D20" i="7" s="1"/>
  <c r="B38" i="3"/>
  <c r="B37" i="3"/>
  <c r="B19" i="7"/>
  <c r="D19" i="7" s="1"/>
  <c r="B19" i="5"/>
  <c r="B19" i="6"/>
  <c r="B36" i="3"/>
  <c r="B18" i="5"/>
  <c r="B18" i="7"/>
  <c r="D18" i="7" s="1"/>
  <c r="B18" i="6"/>
  <c r="B35" i="3"/>
  <c r="B17" i="6"/>
  <c r="B17" i="5"/>
  <c r="B17" i="7"/>
  <c r="B34" i="3"/>
  <c r="B16" i="6"/>
  <c r="B16" i="5"/>
  <c r="B16" i="7"/>
  <c r="B33" i="3"/>
  <c r="B15" i="5"/>
  <c r="B15" i="7"/>
  <c r="B15" i="6"/>
  <c r="B32" i="3"/>
  <c r="B14" i="6"/>
  <c r="B14" i="5"/>
  <c r="B14" i="7"/>
  <c r="B31" i="3"/>
  <c r="B13" i="5"/>
  <c r="B13" i="6"/>
  <c r="B13" i="7"/>
  <c r="B30" i="3"/>
  <c r="B12" i="6"/>
  <c r="B12" i="7"/>
  <c r="B12" i="5"/>
  <c r="B29" i="3"/>
  <c r="B11" i="7"/>
  <c r="B11" i="6"/>
  <c r="B11" i="5"/>
  <c r="B28" i="3"/>
  <c r="B10" i="7"/>
  <c r="B10" i="6"/>
  <c r="B10" i="5"/>
  <c r="B27" i="3"/>
  <c r="B9" i="7"/>
  <c r="B9" i="5"/>
  <c r="B9" i="6"/>
  <c r="B26" i="3"/>
  <c r="B8" i="6"/>
  <c r="B8" i="7"/>
  <c r="D8" i="7" s="1"/>
  <c r="B8" i="5"/>
  <c r="B207" i="6"/>
  <c r="B206" i="6"/>
  <c r="B205" i="6"/>
  <c r="B204" i="10"/>
  <c r="B204" i="6"/>
  <c r="B203" i="10"/>
  <c r="B203" i="6"/>
  <c r="B202" i="6"/>
  <c r="B202" i="10"/>
  <c r="B201" i="10"/>
  <c r="B201" i="6"/>
  <c r="B200" i="10"/>
  <c r="B200" i="5"/>
  <c r="B200" i="6"/>
  <c r="B199" i="10"/>
  <c r="B199" i="6"/>
  <c r="B199" i="5"/>
  <c r="B198" i="10"/>
  <c r="B198" i="5"/>
  <c r="B198" i="6"/>
  <c r="B197" i="10"/>
  <c r="B197" i="5"/>
  <c r="B197" i="6"/>
  <c r="B196" i="10"/>
  <c r="B196" i="5"/>
  <c r="B196" i="6"/>
  <c r="B195" i="10"/>
  <c r="B195" i="5"/>
  <c r="B195" i="6"/>
  <c r="B194" i="10"/>
  <c r="B194" i="5"/>
  <c r="B194" i="6"/>
  <c r="B193" i="10"/>
  <c r="B193" i="6"/>
  <c r="B193" i="5"/>
  <c r="B192" i="10"/>
  <c r="B192" i="5"/>
  <c r="B192" i="6"/>
  <c r="B191" i="5"/>
  <c r="B191" i="6"/>
  <c r="B191" i="10"/>
  <c r="B190" i="10"/>
  <c r="B190" i="5"/>
  <c r="B190" i="6"/>
  <c r="B189" i="5"/>
  <c r="B189" i="6"/>
  <c r="B189" i="10"/>
  <c r="B188" i="5"/>
  <c r="B188" i="10"/>
  <c r="B188" i="6"/>
  <c r="B187" i="5"/>
  <c r="B187" i="10"/>
  <c r="B187" i="6"/>
  <c r="B186" i="6"/>
  <c r="B186" i="5"/>
  <c r="B186" i="10"/>
  <c r="B185" i="5"/>
  <c r="B185" i="10"/>
  <c r="B185" i="6"/>
  <c r="B184" i="6"/>
  <c r="B184" i="5"/>
  <c r="B184" i="10"/>
  <c r="B183" i="6"/>
  <c r="B183" i="5"/>
  <c r="B183" i="10"/>
  <c r="B182" i="6"/>
  <c r="B182" i="5"/>
  <c r="B182" i="10"/>
  <c r="B181" i="5"/>
  <c r="B181" i="6"/>
  <c r="B181" i="10"/>
  <c r="B180" i="10"/>
  <c r="B180" i="5"/>
  <c r="B180" i="6"/>
  <c r="B179" i="10"/>
  <c r="B179" i="5"/>
  <c r="B179" i="6"/>
  <c r="B178" i="10"/>
  <c r="B178" i="6"/>
  <c r="B178" i="5"/>
  <c r="B177" i="10"/>
  <c r="B177" i="5"/>
  <c r="B177" i="6"/>
  <c r="B176" i="10"/>
  <c r="B176" i="5"/>
  <c r="B176" i="6"/>
  <c r="B175" i="10"/>
  <c r="B175" i="6"/>
  <c r="B175" i="5"/>
  <c r="B174" i="10"/>
  <c r="B174" i="6"/>
  <c r="B174" i="5"/>
  <c r="B173" i="5"/>
  <c r="B173" i="10"/>
  <c r="B173" i="6"/>
  <c r="B172" i="5"/>
  <c r="B172" i="10"/>
  <c r="B172" i="6"/>
  <c r="B171" i="10"/>
  <c r="B171" i="6"/>
  <c r="B171" i="5"/>
  <c r="B170" i="10"/>
  <c r="B170" i="6"/>
  <c r="B170" i="5"/>
  <c r="C459" i="4" l="1"/>
  <c r="C446" i="4"/>
  <c r="M447" i="4"/>
  <c r="D416" i="4"/>
  <c r="D400" i="4"/>
  <c r="M431" i="4"/>
  <c r="M480" i="4"/>
  <c r="M417" i="4"/>
  <c r="M385" i="4"/>
  <c r="C347" i="4"/>
  <c r="D331" i="4"/>
  <c r="M315" i="4"/>
  <c r="C283" i="4"/>
  <c r="D379" i="4"/>
  <c r="M434" i="4"/>
  <c r="M267" i="4"/>
  <c r="C254" i="4"/>
  <c r="C452" i="5"/>
  <c r="C382" i="5"/>
  <c r="M372" i="5"/>
  <c r="C418" i="5"/>
  <c r="M384" i="5"/>
  <c r="M350" i="5"/>
  <c r="M335" i="5"/>
  <c r="M303" i="5"/>
  <c r="D506" i="6"/>
  <c r="C493" i="6"/>
  <c r="C487" i="6"/>
  <c r="J471" i="6"/>
  <c r="D458" i="6"/>
  <c r="J477" i="6"/>
  <c r="J461" i="6"/>
  <c r="C502" i="7"/>
  <c r="L457" i="7"/>
  <c r="C486" i="7"/>
  <c r="D489" i="7"/>
  <c r="D473" i="7"/>
  <c r="L439" i="7"/>
  <c r="C438" i="7"/>
  <c r="L426" i="7"/>
  <c r="C445" i="7"/>
  <c r="C347" i="7"/>
  <c r="C311" i="7"/>
  <c r="D302" i="7"/>
  <c r="D273" i="7"/>
  <c r="D267" i="7"/>
  <c r="C348" i="7"/>
  <c r="C312" i="7"/>
  <c r="C295" i="7"/>
  <c r="C272" i="7"/>
  <c r="C268" i="7"/>
  <c r="C264" i="7"/>
  <c r="C262" i="7"/>
  <c r="L254" i="7"/>
  <c r="C246" i="7"/>
  <c r="L238" i="7"/>
  <c r="D227" i="7"/>
  <c r="D219" i="7"/>
  <c r="D215" i="7"/>
  <c r="D211" i="7"/>
  <c r="C222" i="7"/>
  <c r="L236" i="7"/>
  <c r="L222" i="7"/>
  <c r="L210" i="7"/>
  <c r="J482" i="8"/>
  <c r="D281" i="8"/>
  <c r="J255" i="8"/>
  <c r="J247" i="8"/>
  <c r="J239" i="8"/>
  <c r="J231" i="8"/>
  <c r="J223" i="8"/>
  <c r="D298" i="8"/>
  <c r="J318" i="8"/>
  <c r="D463" i="9"/>
  <c r="D377" i="9"/>
  <c r="C358" i="9"/>
  <c r="K377" i="9"/>
  <c r="N290" i="9"/>
  <c r="K405" i="9"/>
  <c r="K389" i="9"/>
  <c r="K306" i="9"/>
  <c r="D486" i="10"/>
  <c r="D470" i="10"/>
  <c r="I486" i="10"/>
  <c r="I422" i="10"/>
  <c r="C386" i="10"/>
  <c r="C294" i="10"/>
  <c r="C265" i="10"/>
  <c r="D249" i="10"/>
  <c r="I233" i="10"/>
  <c r="D209" i="10"/>
  <c r="C426" i="11"/>
  <c r="O365" i="11"/>
  <c r="K381" i="11"/>
  <c r="T317" i="11"/>
  <c r="K301" i="11"/>
  <c r="K282" i="11"/>
  <c r="K277" i="11"/>
  <c r="N515" i="3"/>
  <c r="M403" i="3" a="1"/>
  <c r="M403" i="3" s="1"/>
  <c r="E384" i="3"/>
  <c r="H323" i="3"/>
  <c r="M507" i="4"/>
  <c r="C430" i="4"/>
  <c r="D370" i="4"/>
  <c r="D411" i="4"/>
  <c r="D395" i="4"/>
  <c r="C496" i="4"/>
  <c r="D464" i="4"/>
  <c r="M316" i="4"/>
  <c r="M401" i="4"/>
  <c r="D363" i="4"/>
  <c r="C315" i="4"/>
  <c r="D299" i="4"/>
  <c r="M404" i="4"/>
  <c r="C436" i="5"/>
  <c r="C469" i="5"/>
  <c r="C433" i="5"/>
  <c r="M287" i="5"/>
  <c r="M271" i="5"/>
  <c r="C356" i="5"/>
  <c r="M340" i="5"/>
  <c r="M319" i="5"/>
  <c r="D503" i="6"/>
  <c r="D493" i="6"/>
  <c r="C506" i="6"/>
  <c r="C471" i="6"/>
  <c r="D455" i="6"/>
  <c r="D474" i="6"/>
  <c r="C477" i="6"/>
  <c r="C461" i="6"/>
  <c r="D451" i="6"/>
  <c r="D502" i="7"/>
  <c r="C505" i="7"/>
  <c r="D483" i="7"/>
  <c r="C467" i="7"/>
  <c r="D470" i="7"/>
  <c r="C470" i="7"/>
  <c r="D439" i="7"/>
  <c r="D426" i="7"/>
  <c r="D369" i="7"/>
  <c r="L347" i="7"/>
  <c r="L331" i="7"/>
  <c r="L315" i="7"/>
  <c r="C331" i="7"/>
  <c r="C315" i="7"/>
  <c r="L304" i="7"/>
  <c r="D300" i="7"/>
  <c r="C266" i="7"/>
  <c r="C254" i="7"/>
  <c r="C238" i="7"/>
  <c r="C244" i="7"/>
  <c r="D230" i="7"/>
  <c r="D482" i="8"/>
  <c r="D404" i="8"/>
  <c r="C282" i="8"/>
  <c r="D334" i="8"/>
  <c r="C318" i="8"/>
  <c r="D393" i="9"/>
  <c r="K393" i="9"/>
  <c r="N354" i="9"/>
  <c r="K274" i="9"/>
  <c r="I473" i="10"/>
  <c r="D492" i="10"/>
  <c r="D476" i="10"/>
  <c r="I470" i="10"/>
  <c r="D412" i="10"/>
  <c r="I425" i="10"/>
  <c r="C412" i="10"/>
  <c r="I361" i="10"/>
  <c r="C345" i="10"/>
  <c r="C341" i="10"/>
  <c r="C257" i="10"/>
  <c r="I241" i="10"/>
  <c r="C233" i="10"/>
  <c r="K477" i="11"/>
  <c r="K448" i="11"/>
  <c r="K442" i="11"/>
  <c r="K445" i="11"/>
  <c r="C416" i="11"/>
  <c r="C410" i="11"/>
  <c r="O381" i="11"/>
  <c r="T365" i="11"/>
  <c r="D333" i="11"/>
  <c r="C496" i="11"/>
  <c r="D480" i="11"/>
  <c r="C352" i="11"/>
  <c r="O336" i="11"/>
  <c r="M502" i="3" a="1"/>
  <c r="M502" i="3" s="1"/>
  <c r="C387" i="3"/>
  <c r="E387" i="3"/>
  <c r="G368" i="3"/>
  <c r="D430" i="4"/>
  <c r="M416" i="4"/>
  <c r="M400" i="4"/>
  <c r="M496" i="4"/>
  <c r="M484" i="4"/>
  <c r="M452" i="4"/>
  <c r="M504" i="4"/>
  <c r="D404" i="4"/>
  <c r="C388" i="4"/>
  <c r="D259" i="4"/>
  <c r="C448" i="5"/>
  <c r="M404" i="5"/>
  <c r="C449" i="5"/>
  <c r="C421" i="5"/>
  <c r="M408" i="5"/>
  <c r="C352" i="5"/>
  <c r="M354" i="5"/>
  <c r="C360" i="5"/>
  <c r="M305" i="5"/>
  <c r="D492" i="6"/>
  <c r="D487" i="6"/>
  <c r="C503" i="6"/>
  <c r="C490" i="6"/>
  <c r="J476" i="6"/>
  <c r="D460" i="6"/>
  <c r="J451" i="6"/>
  <c r="D505" i="7"/>
  <c r="D499" i="7"/>
  <c r="C499" i="7"/>
  <c r="L467" i="7"/>
  <c r="C457" i="7"/>
  <c r="L397" i="7"/>
  <c r="C397" i="7"/>
  <c r="L343" i="7"/>
  <c r="L327" i="7"/>
  <c r="L311" i="7"/>
  <c r="L348" i="7"/>
  <c r="C327" i="7"/>
  <c r="L312" i="7"/>
  <c r="D299" i="7"/>
  <c r="D286" i="7"/>
  <c r="C316" i="7"/>
  <c r="C302" i="7"/>
  <c r="C286" i="7"/>
  <c r="C273" i="7"/>
  <c r="C224" i="7"/>
  <c r="C210" i="7"/>
  <c r="L244" i="7"/>
  <c r="D216" i="7"/>
  <c r="D376" i="8"/>
  <c r="N456" i="9"/>
  <c r="K488" i="9"/>
  <c r="D351" i="9"/>
  <c r="C377" i="9"/>
  <c r="D300" i="9"/>
  <c r="D292" i="9"/>
  <c r="D260" i="9"/>
  <c r="K452" i="9"/>
  <c r="K373" i="9"/>
  <c r="K326" i="9"/>
  <c r="C308" i="9"/>
  <c r="C300" i="9"/>
  <c r="C228" i="9"/>
  <c r="N292" i="9"/>
  <c r="N244" i="9"/>
  <c r="C476" i="10"/>
  <c r="D386" i="10"/>
  <c r="C361" i="10"/>
  <c r="D310" i="10"/>
  <c r="D304" i="10"/>
  <c r="D294" i="10"/>
  <c r="I380" i="10"/>
  <c r="I364" i="10"/>
  <c r="I360" i="10"/>
  <c r="I324" i="10"/>
  <c r="C310" i="10"/>
  <c r="I257" i="10"/>
  <c r="C256" i="10"/>
  <c r="I248" i="10"/>
  <c r="C216" i="10"/>
  <c r="K464" i="11"/>
  <c r="T458" i="11"/>
  <c r="O384" i="11"/>
  <c r="T314" i="11"/>
  <c r="D346" i="11"/>
  <c r="T480" i="11"/>
  <c r="I502" i="3"/>
  <c r="I515" i="3"/>
  <c r="D387" i="3"/>
  <c r="C355" i="3"/>
  <c r="K371" i="3"/>
  <c r="K354" i="3"/>
  <c r="D504" i="6"/>
  <c r="C488" i="6"/>
  <c r="D472" i="6"/>
  <c r="D492" i="7"/>
  <c r="C384" i="8"/>
  <c r="C320" i="9"/>
  <c r="N320" i="9"/>
  <c r="C467" i="10"/>
  <c r="D504" i="10"/>
  <c r="C472" i="10"/>
  <c r="C376" i="10"/>
  <c r="K471" i="11"/>
  <c r="K308" i="11"/>
  <c r="K272" i="11"/>
  <c r="T260" i="11"/>
  <c r="E525" i="3"/>
  <c r="N500" i="9"/>
  <c r="D500" i="9"/>
  <c r="N496" i="9"/>
  <c r="C496" i="9"/>
  <c r="K496" i="9"/>
  <c r="K514" i="3"/>
  <c r="I514" i="3"/>
  <c r="G514" i="3"/>
  <c r="M514" i="3" a="1"/>
  <c r="M514" i="3" s="1"/>
  <c r="D492" i="11"/>
  <c r="K492" i="11"/>
  <c r="O492" i="11"/>
  <c r="C488" i="10"/>
  <c r="D488" i="10"/>
  <c r="C484" i="9"/>
  <c r="D484" i="9"/>
  <c r="F498" i="3"/>
  <c r="D498" i="3"/>
  <c r="L498" i="3"/>
  <c r="D476" i="11"/>
  <c r="K476" i="11"/>
  <c r="O476" i="11"/>
  <c r="T476" i="11"/>
  <c r="D468" i="9"/>
  <c r="C468" i="9"/>
  <c r="N468" i="9"/>
  <c r="D464" i="8"/>
  <c r="J464" i="8"/>
  <c r="T460" i="11"/>
  <c r="K460" i="11"/>
  <c r="N466" i="3"/>
  <c r="E466" i="3"/>
  <c r="L466" i="3"/>
  <c r="H466" i="3"/>
  <c r="G466" i="3"/>
  <c r="D444" i="11"/>
  <c r="K444" i="11"/>
  <c r="T444" i="11"/>
  <c r="C436" i="9"/>
  <c r="D436" i="9"/>
  <c r="N432" i="9"/>
  <c r="K432" i="9"/>
  <c r="C432" i="9"/>
  <c r="O428" i="11"/>
  <c r="Q428" i="11" s="1"/>
  <c r="T428" i="11"/>
  <c r="K428" i="11"/>
  <c r="C428" i="11"/>
  <c r="C420" i="8"/>
  <c r="D420" i="8"/>
  <c r="J420" i="8"/>
  <c r="C416" i="8"/>
  <c r="D416" i="8"/>
  <c r="O412" i="11"/>
  <c r="K412" i="11"/>
  <c r="D412" i="11"/>
  <c r="C412" i="11"/>
  <c r="T412" i="11"/>
  <c r="O408" i="11"/>
  <c r="S408" i="11" s="1"/>
  <c r="T408" i="11"/>
  <c r="C408" i="11"/>
  <c r="C400" i="8"/>
  <c r="J400" i="8"/>
  <c r="D396" i="10"/>
  <c r="I396" i="10"/>
  <c r="I392" i="10"/>
  <c r="D392" i="10"/>
  <c r="T380" i="11"/>
  <c r="O380" i="11"/>
  <c r="D372" i="10"/>
  <c r="C372" i="10"/>
  <c r="E386" i="3"/>
  <c r="K386" i="3"/>
  <c r="M386" i="3" a="1"/>
  <c r="M386" i="3" s="1"/>
  <c r="T348" i="11"/>
  <c r="O348" i="11"/>
  <c r="D344" i="10"/>
  <c r="C344" i="10"/>
  <c r="D340" i="10"/>
  <c r="C340" i="10"/>
  <c r="C336" i="8"/>
  <c r="D336" i="8"/>
  <c r="K324" i="9"/>
  <c r="N324" i="9"/>
  <c r="J316" i="8"/>
  <c r="C316" i="8"/>
  <c r="T312" i="11"/>
  <c r="K312" i="11"/>
  <c r="T304" i="11"/>
  <c r="K304" i="11"/>
  <c r="T288" i="11"/>
  <c r="K288" i="11"/>
  <c r="K284" i="11"/>
  <c r="T284" i="11"/>
  <c r="T280" i="11"/>
  <c r="K280" i="11"/>
  <c r="K276" i="11"/>
  <c r="T276" i="11"/>
  <c r="O276" i="11"/>
  <c r="K268" i="11"/>
  <c r="T268" i="11"/>
  <c r="T264" i="11"/>
  <c r="K264" i="11"/>
  <c r="C264" i="11"/>
  <c r="D260" i="7"/>
  <c r="L260" i="7"/>
  <c r="L256" i="7"/>
  <c r="D256" i="7"/>
  <c r="O256" i="11"/>
  <c r="T256" i="11"/>
  <c r="D256" i="11"/>
  <c r="O252" i="11"/>
  <c r="D252" i="11"/>
  <c r="T252" i="11"/>
  <c r="L248" i="7"/>
  <c r="C248" i="7"/>
  <c r="O248" i="11"/>
  <c r="T248" i="11"/>
  <c r="C248" i="11"/>
  <c r="D244" i="11"/>
  <c r="C244" i="11"/>
  <c r="C240" i="7"/>
  <c r="L240" i="7"/>
  <c r="O240" i="11"/>
  <c r="D240" i="11"/>
  <c r="K240" i="11"/>
  <c r="O236" i="11"/>
  <c r="C236" i="11"/>
  <c r="T236" i="11"/>
  <c r="D236" i="11"/>
  <c r="K236" i="11"/>
  <c r="L232" i="7"/>
  <c r="C232" i="7"/>
  <c r="O232" i="11"/>
  <c r="K232" i="11"/>
  <c r="T232" i="11"/>
  <c r="L228" i="7"/>
  <c r="C228" i="7"/>
  <c r="C228" i="11"/>
  <c r="D228" i="11"/>
  <c r="O224" i="11"/>
  <c r="D224" i="11"/>
  <c r="T224" i="11"/>
  <c r="L220" i="7"/>
  <c r="C220" i="7"/>
  <c r="O220" i="11"/>
  <c r="T220" i="11"/>
  <c r="C220" i="11"/>
  <c r="L212" i="7"/>
  <c r="C212" i="7"/>
  <c r="D525" i="3"/>
  <c r="K525" i="3"/>
  <c r="C525" i="3"/>
  <c r="H525" i="3"/>
  <c r="J525" i="3"/>
  <c r="T503" i="11"/>
  <c r="D503" i="11"/>
  <c r="O503" i="11"/>
  <c r="K503" i="11"/>
  <c r="D499" i="10"/>
  <c r="I499" i="10"/>
  <c r="E509" i="3"/>
  <c r="N509" i="3"/>
  <c r="C509" i="3"/>
  <c r="T487" i="11"/>
  <c r="D487" i="11"/>
  <c r="I493" i="3"/>
  <c r="G493" i="3"/>
  <c r="C493" i="3"/>
  <c r="E493" i="3"/>
  <c r="H493" i="3"/>
  <c r="D459" i="9"/>
  <c r="K459" i="9"/>
  <c r="K477" i="3"/>
  <c r="F477" i="3"/>
  <c r="L477" i="3"/>
  <c r="T455" i="11"/>
  <c r="K455" i="11"/>
  <c r="D443" i="9"/>
  <c r="K443" i="9"/>
  <c r="D461" i="3"/>
  <c r="K461" i="3"/>
  <c r="C461" i="3"/>
  <c r="J461" i="3"/>
  <c r="T439" i="11"/>
  <c r="K439" i="11"/>
  <c r="K435" i="11"/>
  <c r="D435" i="11"/>
  <c r="T435" i="11"/>
  <c r="C431" i="9"/>
  <c r="K431" i="9"/>
  <c r="I423" i="10"/>
  <c r="C423" i="10"/>
  <c r="D423" i="10"/>
  <c r="C419" i="10"/>
  <c r="D419" i="10"/>
  <c r="I419" i="10"/>
  <c r="D429" i="3"/>
  <c r="H429" i="3"/>
  <c r="O407" i="11"/>
  <c r="S407" i="11" s="1"/>
  <c r="K407" i="11"/>
  <c r="D407" i="11"/>
  <c r="C407" i="11"/>
  <c r="D383" i="9"/>
  <c r="C383" i="9"/>
  <c r="N383" i="9"/>
  <c r="I397" i="3"/>
  <c r="M397" i="3" a="1"/>
  <c r="M397" i="3" s="1"/>
  <c r="D371" i="10"/>
  <c r="I371" i="10"/>
  <c r="H381" i="3"/>
  <c r="C381" i="3"/>
  <c r="I381" i="3"/>
  <c r="K359" i="11"/>
  <c r="O359" i="11"/>
  <c r="T359" i="11"/>
  <c r="C355" i="8"/>
  <c r="D355" i="8"/>
  <c r="D355" i="10"/>
  <c r="C355" i="10"/>
  <c r="C365" i="3"/>
  <c r="D365" i="3"/>
  <c r="F365" i="3"/>
  <c r="M365" i="3" a="1"/>
  <c r="M365" i="3" s="1"/>
  <c r="O343" i="11"/>
  <c r="C343" i="11"/>
  <c r="K343" i="11"/>
  <c r="D343" i="11"/>
  <c r="D339" i="10"/>
  <c r="I339" i="10"/>
  <c r="F349" i="3"/>
  <c r="I349" i="3"/>
  <c r="K349" i="3"/>
  <c r="K327" i="11"/>
  <c r="T327" i="11"/>
  <c r="D323" i="10"/>
  <c r="C323" i="10"/>
  <c r="T311" i="11"/>
  <c r="K311" i="11"/>
  <c r="I307" i="10"/>
  <c r="D307" i="10"/>
  <c r="C307" i="10"/>
  <c r="T295" i="11"/>
  <c r="C295" i="11"/>
  <c r="D295" i="11"/>
  <c r="I291" i="10"/>
  <c r="D291" i="10"/>
  <c r="T279" i="11"/>
  <c r="D279" i="11"/>
  <c r="C279" i="11"/>
  <c r="O279" i="11"/>
  <c r="K279" i="11"/>
  <c r="I275" i="10"/>
  <c r="D275" i="10"/>
  <c r="C259" i="7"/>
  <c r="L259" i="7"/>
  <c r="M273" i="3" a="1"/>
  <c r="M273" i="3" s="1"/>
  <c r="D273" i="3"/>
  <c r="K273" i="3"/>
  <c r="E273" i="3"/>
  <c r="H273" i="3"/>
  <c r="L251" i="7"/>
  <c r="C251" i="7"/>
  <c r="K269" i="3"/>
  <c r="M269" i="3" a="1"/>
  <c r="M269" i="3" s="1"/>
  <c r="H269" i="3"/>
  <c r="N269" i="3"/>
  <c r="D265" i="3"/>
  <c r="F265" i="3"/>
  <c r="H265" i="3"/>
  <c r="C243" i="7"/>
  <c r="L243" i="7"/>
  <c r="H257" i="3"/>
  <c r="L257" i="3"/>
  <c r="L235" i="7"/>
  <c r="C235" i="7"/>
  <c r="M253" i="3" a="1"/>
  <c r="M253" i="3" s="1"/>
  <c r="K253" i="3"/>
  <c r="H249" i="3"/>
  <c r="F249" i="3"/>
  <c r="G249" i="3"/>
  <c r="K249" i="3"/>
  <c r="G241" i="3"/>
  <c r="L241" i="3"/>
  <c r="H237" i="3"/>
  <c r="C237" i="3"/>
  <c r="F237" i="3"/>
  <c r="L233" i="3"/>
  <c r="C233" i="3"/>
  <c r="D506" i="11"/>
  <c r="C506" i="11"/>
  <c r="T506" i="11"/>
  <c r="O506" i="11"/>
  <c r="C502" i="10"/>
  <c r="I502" i="10"/>
  <c r="D502" i="10"/>
  <c r="C498" i="8"/>
  <c r="J498" i="8"/>
  <c r="C494" i="8"/>
  <c r="D494" i="8"/>
  <c r="M512" i="3" a="1"/>
  <c r="M512" i="3" s="1"/>
  <c r="J512" i="3"/>
  <c r="G512" i="3"/>
  <c r="I512" i="3"/>
  <c r="D490" i="11"/>
  <c r="C490" i="11"/>
  <c r="O490" i="11"/>
  <c r="T490" i="11"/>
  <c r="C478" i="8"/>
  <c r="D478" i="8"/>
  <c r="J478" i="8"/>
  <c r="K474" i="11"/>
  <c r="D474" i="11"/>
  <c r="C474" i="11"/>
  <c r="C462" i="8"/>
  <c r="D462" i="8"/>
  <c r="N480" i="3"/>
  <c r="J480" i="3"/>
  <c r="E480" i="3"/>
  <c r="I480" i="3"/>
  <c r="C464" i="4"/>
  <c r="C420" i="4"/>
  <c r="C500" i="5"/>
  <c r="C484" i="5"/>
  <c r="D488" i="6"/>
  <c r="D440" i="6"/>
  <c r="C424" i="6"/>
  <c r="C456" i="6"/>
  <c r="D460" i="7"/>
  <c r="C460" i="7"/>
  <c r="C476" i="7"/>
  <c r="C444" i="7"/>
  <c r="L428" i="7"/>
  <c r="D280" i="7"/>
  <c r="D276" i="7"/>
  <c r="D272" i="7"/>
  <c r="D268" i="7"/>
  <c r="D264" i="7"/>
  <c r="C276" i="7"/>
  <c r="C208" i="7"/>
  <c r="L252" i="7"/>
  <c r="D240" i="7"/>
  <c r="D220" i="7"/>
  <c r="D496" i="9"/>
  <c r="N431" i="9"/>
  <c r="C500" i="9"/>
  <c r="N436" i="9"/>
  <c r="D320" i="9"/>
  <c r="K367" i="9"/>
  <c r="C483" i="10"/>
  <c r="C504" i="10"/>
  <c r="C396" i="10"/>
  <c r="O487" i="11"/>
  <c r="K487" i="11"/>
  <c r="D408" i="11"/>
  <c r="K300" i="11"/>
  <c r="K328" i="11"/>
  <c r="K256" i="11"/>
  <c r="K252" i="11"/>
  <c r="K248" i="11"/>
  <c r="C232" i="11"/>
  <c r="N493" i="3"/>
  <c r="L413" i="3"/>
  <c r="F333" i="3"/>
  <c r="N365" i="3"/>
  <c r="D255" i="4"/>
  <c r="M420" i="4"/>
  <c r="C468" i="5"/>
  <c r="M388" i="5"/>
  <c r="C472" i="6"/>
  <c r="J456" i="6"/>
  <c r="C492" i="7"/>
  <c r="L476" i="7"/>
  <c r="L444" i="7"/>
  <c r="D296" i="7"/>
  <c r="C216" i="7"/>
  <c r="C260" i="7"/>
  <c r="D248" i="7"/>
  <c r="C236" i="7"/>
  <c r="D224" i="7"/>
  <c r="D208" i="7"/>
  <c r="D400" i="8"/>
  <c r="D384" i="8"/>
  <c r="D507" i="9"/>
  <c r="K500" i="9"/>
  <c r="D431" i="9"/>
  <c r="K436" i="9"/>
  <c r="K383" i="9"/>
  <c r="C392" i="10"/>
  <c r="K380" i="11"/>
  <c r="D220" i="11"/>
  <c r="M509" i="3" a="1"/>
  <c r="M509" i="3" s="1"/>
  <c r="E381" i="3"/>
  <c r="J237" i="3"/>
  <c r="G253" i="3"/>
  <c r="D434" i="8"/>
  <c r="N338" i="9"/>
  <c r="C422" i="10"/>
  <c r="T461" i="11"/>
  <c r="D515" i="3"/>
  <c r="F384" i="3"/>
  <c r="I464" i="3"/>
  <c r="G464" i="3"/>
  <c r="D448" i="3"/>
  <c r="F448" i="3"/>
  <c r="H448" i="3"/>
  <c r="O426" i="11"/>
  <c r="K426" i="11"/>
  <c r="D426" i="11"/>
  <c r="O410" i="11"/>
  <c r="D410" i="11"/>
  <c r="T378" i="11"/>
  <c r="O378" i="11"/>
  <c r="D370" i="10"/>
  <c r="C370" i="10"/>
  <c r="K362" i="11"/>
  <c r="O362" i="11"/>
  <c r="M368" i="3" a="1"/>
  <c r="M368" i="3" s="1"/>
  <c r="I368" i="3"/>
  <c r="F368" i="3"/>
  <c r="T346" i="11"/>
  <c r="O346" i="11"/>
  <c r="C346" i="11"/>
  <c r="I352" i="3"/>
  <c r="K352" i="3"/>
  <c r="O330" i="11"/>
  <c r="C330" i="11"/>
  <c r="T330" i="11"/>
  <c r="K330" i="11"/>
  <c r="K270" i="9"/>
  <c r="N270" i="9"/>
  <c r="J244" i="3"/>
  <c r="F244" i="3"/>
  <c r="E244" i="3"/>
  <c r="I244" i="3"/>
  <c r="J232" i="3"/>
  <c r="E232" i="3"/>
  <c r="J228" i="3"/>
  <c r="F228" i="3"/>
  <c r="I228" i="3"/>
  <c r="D505" i="10"/>
  <c r="C505" i="10"/>
  <c r="H515" i="3"/>
  <c r="G515" i="3"/>
  <c r="E515" i="3"/>
  <c r="L515" i="3"/>
  <c r="C515" i="3"/>
  <c r="M515" i="3" a="1"/>
  <c r="M515" i="3" s="1"/>
  <c r="F515" i="3"/>
  <c r="T493" i="11"/>
  <c r="O493" i="11"/>
  <c r="D489" i="10"/>
  <c r="I489" i="10"/>
  <c r="D477" i="11"/>
  <c r="C477" i="11"/>
  <c r="G483" i="3"/>
  <c r="H483" i="3"/>
  <c r="D483" i="3"/>
  <c r="I457" i="10"/>
  <c r="D457" i="10"/>
  <c r="N467" i="3"/>
  <c r="H467" i="3"/>
  <c r="E467" i="3"/>
  <c r="C467" i="3"/>
  <c r="M467" i="3" a="1"/>
  <c r="M467" i="3" s="1"/>
  <c r="D441" i="10"/>
  <c r="C441" i="10"/>
  <c r="O429" i="11"/>
  <c r="K429" i="11"/>
  <c r="C429" i="11"/>
  <c r="D429" i="11"/>
  <c r="N421" i="9"/>
  <c r="D421" i="9"/>
  <c r="L435" i="3"/>
  <c r="F435" i="3"/>
  <c r="D435" i="3"/>
  <c r="H435" i="3"/>
  <c r="D419" i="3"/>
  <c r="F419" i="3"/>
  <c r="H419" i="3"/>
  <c r="L419" i="3"/>
  <c r="I403" i="3"/>
  <c r="H403" i="3"/>
  <c r="F403" i="3"/>
  <c r="L403" i="3"/>
  <c r="G403" i="3"/>
  <c r="G387" i="3"/>
  <c r="K387" i="3"/>
  <c r="H387" i="3"/>
  <c r="N387" i="3"/>
  <c r="D371" i="3"/>
  <c r="M371" i="3" a="1"/>
  <c r="M371" i="3" s="1"/>
  <c r="J371" i="3"/>
  <c r="C371" i="3"/>
  <c r="F371" i="3"/>
  <c r="L371" i="3"/>
  <c r="I371" i="3"/>
  <c r="K349" i="11"/>
  <c r="D349" i="11"/>
  <c r="C349" i="11"/>
  <c r="L355" i="3"/>
  <c r="M355" i="3" a="1"/>
  <c r="M355" i="3" s="1"/>
  <c r="N355" i="3"/>
  <c r="J355" i="3"/>
  <c r="G355" i="3"/>
  <c r="T333" i="11"/>
  <c r="K333" i="11"/>
  <c r="O333" i="11"/>
  <c r="D329" i="10"/>
  <c r="I329" i="10"/>
  <c r="D325" i="10"/>
  <c r="I325" i="10"/>
  <c r="I309" i="10"/>
  <c r="C309" i="10"/>
  <c r="I297" i="10"/>
  <c r="C297" i="10"/>
  <c r="I293" i="10"/>
  <c r="C293" i="10"/>
  <c r="D307" i="3"/>
  <c r="L307" i="3"/>
  <c r="H307" i="3"/>
  <c r="O285" i="11"/>
  <c r="T285" i="11"/>
  <c r="K285" i="11"/>
  <c r="D285" i="11"/>
  <c r="O281" i="11"/>
  <c r="K281" i="11"/>
  <c r="T281" i="11"/>
  <c r="D281" i="11"/>
  <c r="D277" i="11"/>
  <c r="T277" i="11"/>
  <c r="O277" i="11"/>
  <c r="T273" i="11"/>
  <c r="C273" i="11"/>
  <c r="D225" i="10"/>
  <c r="I225" i="10"/>
  <c r="D217" i="10"/>
  <c r="I217" i="10"/>
  <c r="I213" i="10"/>
  <c r="D213" i="10"/>
  <c r="D332" i="10"/>
  <c r="I332" i="10"/>
  <c r="N322" i="9"/>
  <c r="D278" i="10"/>
  <c r="C278" i="10"/>
  <c r="C493" i="11"/>
  <c r="T410" i="11"/>
  <c r="J515" i="3"/>
  <c r="L483" i="3"/>
  <c r="G467" i="3"/>
  <c r="M384" i="3" a="1"/>
  <c r="M384" i="3" s="1"/>
  <c r="F236" i="3"/>
  <c r="L45" i="16"/>
  <c r="P45" i="16" s="1"/>
  <c r="N14" i="16"/>
  <c r="N36" i="16"/>
  <c r="I518" i="3"/>
  <c r="G518" i="3"/>
  <c r="L502" i="3"/>
  <c r="C502" i="3"/>
  <c r="D502" i="3"/>
  <c r="G470" i="3"/>
  <c r="E470" i="3"/>
  <c r="C470" i="3"/>
  <c r="H454" i="3"/>
  <c r="D454" i="3"/>
  <c r="T368" i="11"/>
  <c r="O368" i="11"/>
  <c r="G374" i="3"/>
  <c r="E374" i="3"/>
  <c r="I358" i="3"/>
  <c r="G358" i="3"/>
  <c r="C336" i="11"/>
  <c r="D336" i="11"/>
  <c r="N513" i="3"/>
  <c r="M513" i="3" a="1"/>
  <c r="M513" i="3" s="1"/>
  <c r="M497" i="3" a="1"/>
  <c r="M497" i="3" s="1"/>
  <c r="J497" i="3"/>
  <c r="N497" i="3"/>
  <c r="L497" i="3"/>
  <c r="E497" i="3"/>
  <c r="L481" i="3"/>
  <c r="M481" i="3" a="1"/>
  <c r="M481" i="3" s="1"/>
  <c r="J481" i="3"/>
  <c r="D417" i="3"/>
  <c r="F417" i="3"/>
  <c r="L417" i="3"/>
  <c r="K401" i="3"/>
  <c r="D401" i="3"/>
  <c r="L401" i="3"/>
  <c r="C401" i="3"/>
  <c r="J401" i="3"/>
  <c r="M401" i="3" a="1"/>
  <c r="M401" i="3" s="1"/>
  <c r="L385" i="3"/>
  <c r="M385" i="3" a="1"/>
  <c r="M385" i="3" s="1"/>
  <c r="K385" i="3"/>
  <c r="H385" i="3"/>
  <c r="F385" i="3"/>
  <c r="G385" i="3"/>
  <c r="D385" i="3"/>
  <c r="N369" i="3"/>
  <c r="M369" i="3" a="1"/>
  <c r="M369" i="3" s="1"/>
  <c r="J369" i="3"/>
  <c r="D369" i="3"/>
  <c r="I369" i="3"/>
  <c r="K369" i="3"/>
  <c r="H353" i="3"/>
  <c r="G353" i="3"/>
  <c r="E353" i="3"/>
  <c r="N353" i="3"/>
  <c r="I353" i="3"/>
  <c r="D353" i="3"/>
  <c r="K353" i="3"/>
  <c r="D337" i="3"/>
  <c r="H337" i="3"/>
  <c r="F337" i="3"/>
  <c r="H321" i="3"/>
  <c r="F321" i="3"/>
  <c r="K299" i="11"/>
  <c r="D299" i="11"/>
  <c r="D289" i="3"/>
  <c r="L289" i="3"/>
  <c r="O267" i="11"/>
  <c r="D267" i="11"/>
  <c r="D263" i="11"/>
  <c r="O263" i="11"/>
  <c r="O259" i="11"/>
  <c r="T259" i="11"/>
  <c r="K255" i="11"/>
  <c r="O255" i="11"/>
  <c r="E502" i="3"/>
  <c r="C518" i="3"/>
  <c r="M518" i="3" a="1"/>
  <c r="M518" i="3" s="1"/>
  <c r="H502" i="3"/>
  <c r="F454" i="3"/>
  <c r="L470" i="3"/>
  <c r="N514" i="3"/>
  <c r="J514" i="3"/>
  <c r="K466" i="3"/>
  <c r="C466" i="3"/>
  <c r="D466" i="3"/>
  <c r="M466" i="3" a="1"/>
  <c r="M466" i="3" s="1"/>
  <c r="G386" i="3"/>
  <c r="N386" i="3"/>
  <c r="K364" i="11"/>
  <c r="O364" i="11"/>
  <c r="N370" i="3"/>
  <c r="G370" i="3"/>
  <c r="E370" i="3"/>
  <c r="M370" i="3" a="1"/>
  <c r="M370" i="3" s="1"/>
  <c r="C348" i="11"/>
  <c r="D348" i="11"/>
  <c r="N354" i="3"/>
  <c r="E354" i="3"/>
  <c r="M354" i="3" a="1"/>
  <c r="M354" i="3" s="1"/>
  <c r="C328" i="11"/>
  <c r="D328" i="11"/>
  <c r="D272" i="11"/>
  <c r="T272" i="11"/>
  <c r="D268" i="11"/>
  <c r="C268" i="11"/>
  <c r="D264" i="11"/>
  <c r="O264" i="11"/>
  <c r="D260" i="11"/>
  <c r="C260" i="11"/>
  <c r="O244" i="11"/>
  <c r="K244" i="11"/>
  <c r="O228" i="11"/>
  <c r="K228" i="11"/>
  <c r="K216" i="11"/>
  <c r="C216" i="11"/>
  <c r="T212" i="11"/>
  <c r="D212" i="11"/>
  <c r="T208" i="11"/>
  <c r="D208" i="11"/>
  <c r="N525" i="3"/>
  <c r="I525" i="3"/>
  <c r="F525" i="3"/>
  <c r="G525" i="3"/>
  <c r="D509" i="3"/>
  <c r="K509" i="3"/>
  <c r="I509" i="3"/>
  <c r="L493" i="3"/>
  <c r="K493" i="3"/>
  <c r="C477" i="3"/>
  <c r="J477" i="3"/>
  <c r="G477" i="3"/>
  <c r="L461" i="3"/>
  <c r="I461" i="3"/>
  <c r="E461" i="3"/>
  <c r="G461" i="3"/>
  <c r="F429" i="3"/>
  <c r="L429" i="3"/>
  <c r="D413" i="3"/>
  <c r="H413" i="3"/>
  <c r="K397" i="3"/>
  <c r="F397" i="3"/>
  <c r="G397" i="3"/>
  <c r="L397" i="3"/>
  <c r="E397" i="3"/>
  <c r="D397" i="3"/>
  <c r="J397" i="3"/>
  <c r="T375" i="11"/>
  <c r="O375" i="11"/>
  <c r="L381" i="3"/>
  <c r="M381" i="3" a="1"/>
  <c r="M381" i="3" s="1"/>
  <c r="J381" i="3"/>
  <c r="F381" i="3"/>
  <c r="G381" i="3"/>
  <c r="D381" i="3"/>
  <c r="N381" i="3"/>
  <c r="H365" i="3"/>
  <c r="K365" i="3"/>
  <c r="I365" i="3"/>
  <c r="L365" i="3"/>
  <c r="G365" i="3"/>
  <c r="J365" i="3"/>
  <c r="E365" i="3"/>
  <c r="D349" i="3"/>
  <c r="N349" i="3"/>
  <c r="M349" i="3" a="1"/>
  <c r="M349" i="3" s="1"/>
  <c r="G349" i="3"/>
  <c r="C349" i="3"/>
  <c r="C327" i="11"/>
  <c r="D327" i="11"/>
  <c r="D333" i="3"/>
  <c r="L333" i="3"/>
  <c r="D317" i="3"/>
  <c r="F317" i="3"/>
  <c r="H317" i="3"/>
  <c r="O295" i="11"/>
  <c r="K295" i="11"/>
  <c r="F301" i="3"/>
  <c r="L301" i="3"/>
  <c r="H301" i="3"/>
  <c r="H285" i="3"/>
  <c r="L285" i="3"/>
  <c r="F285" i="3"/>
  <c r="L281" i="3"/>
  <c r="F281" i="3"/>
  <c r="H281" i="3"/>
  <c r="D277" i="3"/>
  <c r="F277" i="3"/>
  <c r="G273" i="3"/>
  <c r="N273" i="3"/>
  <c r="L273" i="3"/>
  <c r="J273" i="3"/>
  <c r="F273" i="3"/>
  <c r="D269" i="3"/>
  <c r="E269" i="3"/>
  <c r="F269" i="3"/>
  <c r="G269" i="3"/>
  <c r="L269" i="3"/>
  <c r="J269" i="3"/>
  <c r="L265" i="3"/>
  <c r="M265" i="3" a="1"/>
  <c r="M265" i="3" s="1"/>
  <c r="N265" i="3"/>
  <c r="G265" i="3"/>
  <c r="K265" i="3"/>
  <c r="J265" i="3"/>
  <c r="H261" i="3"/>
  <c r="F261" i="3"/>
  <c r="G261" i="3"/>
  <c r="M261" i="3" a="1"/>
  <c r="M261" i="3" s="1"/>
  <c r="G257" i="3"/>
  <c r="M257" i="3" a="1"/>
  <c r="M257" i="3" s="1"/>
  <c r="F257" i="3"/>
  <c r="D257" i="3"/>
  <c r="K257" i="3"/>
  <c r="D253" i="3"/>
  <c r="F253" i="3"/>
  <c r="H253" i="3"/>
  <c r="L249" i="3"/>
  <c r="M249" i="3" a="1"/>
  <c r="M249" i="3" s="1"/>
  <c r="D249" i="3"/>
  <c r="F245" i="3"/>
  <c r="G245" i="3"/>
  <c r="D245" i="3"/>
  <c r="J245" i="3"/>
  <c r="K245" i="3"/>
  <c r="H245" i="3"/>
  <c r="C245" i="3"/>
  <c r="H241" i="3"/>
  <c r="D241" i="3"/>
  <c r="F241" i="3"/>
  <c r="K241" i="3"/>
  <c r="G237" i="3"/>
  <c r="L237" i="3"/>
  <c r="D237" i="3"/>
  <c r="K237" i="3"/>
  <c r="H233" i="3"/>
  <c r="J233" i="3"/>
  <c r="F233" i="3"/>
  <c r="G233" i="3"/>
  <c r="D233" i="3"/>
  <c r="K233" i="3"/>
  <c r="F229" i="3"/>
  <c r="G229" i="3"/>
  <c r="D229" i="3"/>
  <c r="K229" i="3"/>
  <c r="H229" i="3"/>
  <c r="C229" i="3"/>
  <c r="E512" i="3"/>
  <c r="C512" i="3"/>
  <c r="D464" i="3"/>
  <c r="M464" i="3" a="1"/>
  <c r="M464" i="3" s="1"/>
  <c r="L464" i="3"/>
  <c r="N384" i="3"/>
  <c r="G384" i="3"/>
  <c r="I384" i="3"/>
  <c r="K384" i="3"/>
  <c r="K368" i="3"/>
  <c r="C368" i="3"/>
  <c r="N368" i="3"/>
  <c r="D496" i="11"/>
  <c r="O480" i="11"/>
  <c r="K518" i="3"/>
  <c r="G502" i="3"/>
  <c r="F502" i="3"/>
  <c r="I470" i="3"/>
  <c r="K374" i="3"/>
  <c r="M392" i="4"/>
  <c r="M255" i="4"/>
  <c r="D247" i="4"/>
  <c r="M424" i="5"/>
  <c r="M376" i="5"/>
  <c r="C504" i="6"/>
  <c r="D444" i="6"/>
  <c r="D424" i="6"/>
  <c r="C440" i="6"/>
  <c r="J484" i="6"/>
  <c r="C504" i="7"/>
  <c r="L336" i="7"/>
  <c r="L328" i="7"/>
  <c r="L316" i="7"/>
  <c r="L308" i="7"/>
  <c r="D292" i="7"/>
  <c r="D288" i="7"/>
  <c r="D284" i="7"/>
  <c r="C328" i="7"/>
  <c r="C304" i="7"/>
  <c r="C300" i="7"/>
  <c r="C296" i="7"/>
  <c r="C292" i="7"/>
  <c r="C288" i="7"/>
  <c r="C284" i="7"/>
  <c r="C280" i="7"/>
  <c r="C496" i="8"/>
  <c r="J416" i="8"/>
  <c r="J404" i="8"/>
  <c r="J392" i="8"/>
  <c r="J336" i="8"/>
  <c r="D340" i="8"/>
  <c r="D388" i="8"/>
  <c r="C376" i="8"/>
  <c r="N484" i="9"/>
  <c r="C488" i="9"/>
  <c r="N428" i="9"/>
  <c r="D348" i="9"/>
  <c r="D308" i="9"/>
  <c r="D244" i="9"/>
  <c r="D212" i="9"/>
  <c r="C324" i="9"/>
  <c r="C284" i="9"/>
  <c r="C268" i="9"/>
  <c r="C220" i="9"/>
  <c r="N344" i="9"/>
  <c r="N284" i="9"/>
  <c r="N268" i="9"/>
  <c r="N252" i="9"/>
  <c r="N236" i="9"/>
  <c r="N220" i="9"/>
  <c r="C503" i="10"/>
  <c r="C487" i="10"/>
  <c r="I483" i="10"/>
  <c r="C471" i="10"/>
  <c r="I467" i="10"/>
  <c r="D472" i="10"/>
  <c r="C371" i="10"/>
  <c r="I355" i="10"/>
  <c r="I323" i="10"/>
  <c r="D280" i="10"/>
  <c r="C380" i="10"/>
  <c r="I376" i="10"/>
  <c r="I372" i="10"/>
  <c r="C328" i="10"/>
  <c r="C324" i="10"/>
  <c r="C304" i="10"/>
  <c r="C280" i="10"/>
  <c r="I216" i="10"/>
  <c r="I208" i="10"/>
  <c r="O491" i="11"/>
  <c r="T472" i="11"/>
  <c r="D440" i="11"/>
  <c r="C427" i="11"/>
  <c r="D427" i="11"/>
  <c r="K423" i="11"/>
  <c r="D416" i="11"/>
  <c r="K408" i="11"/>
  <c r="T407" i="11"/>
  <c r="O379" i="11"/>
  <c r="O363" i="11"/>
  <c r="Q407" i="11"/>
  <c r="S428" i="11"/>
  <c r="Q408" i="11"/>
  <c r="K316" i="11"/>
  <c r="T343" i="11"/>
  <c r="K296" i="11"/>
  <c r="T292" i="11"/>
  <c r="O327" i="11"/>
  <c r="T496" i="11"/>
  <c r="T492" i="11"/>
  <c r="C480" i="11"/>
  <c r="C476" i="11"/>
  <c r="K352" i="11"/>
  <c r="K348" i="11"/>
  <c r="T328" i="11"/>
  <c r="C272" i="11"/>
  <c r="K224" i="11"/>
  <c r="K220" i="11"/>
  <c r="O216" i="11"/>
  <c r="C256" i="11"/>
  <c r="D248" i="11"/>
  <c r="T244" i="11"/>
  <c r="C240" i="11"/>
  <c r="D232" i="11"/>
  <c r="T228" i="11"/>
  <c r="C224" i="11"/>
  <c r="O268" i="11"/>
  <c r="K260" i="11"/>
  <c r="D216" i="11"/>
  <c r="K212" i="11"/>
  <c r="M525" i="3" a="1"/>
  <c r="M525" i="3" s="1"/>
  <c r="C513" i="3"/>
  <c r="J509" i="3"/>
  <c r="G509" i="3"/>
  <c r="N518" i="3"/>
  <c r="E514" i="3"/>
  <c r="K502" i="3"/>
  <c r="C497" i="3"/>
  <c r="L513" i="3"/>
  <c r="K512" i="3"/>
  <c r="L509" i="3"/>
  <c r="F497" i="3"/>
  <c r="D493" i="3"/>
  <c r="M493" i="3" a="1"/>
  <c r="M493" i="3" s="1"/>
  <c r="N481" i="3"/>
  <c r="D481" i="3"/>
  <c r="F481" i="3"/>
  <c r="M461" i="3" a="1"/>
  <c r="M461" i="3" s="1"/>
  <c r="N461" i="3"/>
  <c r="D465" i="3"/>
  <c r="F461" i="3"/>
  <c r="F450" i="3"/>
  <c r="M470" i="3" a="1"/>
  <c r="M470" i="3" s="1"/>
  <c r="C465" i="3"/>
  <c r="D477" i="3"/>
  <c r="N477" i="3"/>
  <c r="F470" i="3"/>
  <c r="F465" i="3"/>
  <c r="L454" i="3"/>
  <c r="D450" i="3"/>
  <c r="N401" i="3"/>
  <c r="C397" i="3"/>
  <c r="N385" i="3"/>
  <c r="K381" i="3"/>
  <c r="H397" i="3"/>
  <c r="E385" i="3"/>
  <c r="C369" i="3"/>
  <c r="J358" i="3"/>
  <c r="J354" i="3"/>
  <c r="L337" i="3"/>
  <c r="L317" i="3"/>
  <c r="D301" i="3"/>
  <c r="D281" i="3"/>
  <c r="L277" i="3"/>
  <c r="K261" i="3"/>
  <c r="C241" i="3"/>
  <c r="J241" i="3"/>
  <c r="L261" i="3"/>
  <c r="L253" i="3"/>
  <c r="M245" i="3" a="1"/>
  <c r="M245" i="3" s="1"/>
  <c r="L229" i="3"/>
  <c r="E352" i="3"/>
  <c r="C352" i="3"/>
  <c r="N352" i="3"/>
  <c r="I240" i="3"/>
  <c r="E240" i="3"/>
  <c r="J236" i="3"/>
  <c r="I236" i="3"/>
  <c r="I232" i="3"/>
  <c r="F232" i="3"/>
  <c r="T251" i="11"/>
  <c r="D247" i="11"/>
  <c r="C243" i="11"/>
  <c r="O239" i="11"/>
  <c r="T235" i="11"/>
  <c r="D231" i="11"/>
  <c r="C227" i="11"/>
  <c r="O223" i="11"/>
  <c r="T219" i="11"/>
  <c r="K516" i="3"/>
  <c r="J352" i="3"/>
  <c r="M352" i="3" a="1"/>
  <c r="M352" i="3" s="1"/>
  <c r="J240" i="3"/>
  <c r="M356" i="3" a="1"/>
  <c r="M356" i="3" s="1"/>
  <c r="K356" i="3"/>
  <c r="L387" i="3"/>
  <c r="I387" i="3"/>
  <c r="J387" i="3"/>
  <c r="H371" i="3"/>
  <c r="G371" i="3"/>
  <c r="E371" i="3"/>
  <c r="D355" i="3"/>
  <c r="K355" i="3"/>
  <c r="I355" i="3"/>
  <c r="D339" i="3"/>
  <c r="F339" i="3"/>
  <c r="D323" i="3"/>
  <c r="F323" i="3"/>
  <c r="D403" i="3"/>
  <c r="E388" i="3"/>
  <c r="N403" i="3"/>
  <c r="M387" i="3" a="1"/>
  <c r="M387" i="3" s="1"/>
  <c r="B49" i="16"/>
  <c r="L49" i="16"/>
  <c r="P49" i="16" s="1"/>
  <c r="H49" i="16"/>
  <c r="H46" i="16"/>
  <c r="L48" i="16"/>
  <c r="P48" i="16" s="1"/>
  <c r="B120" i="12" a="1"/>
  <c r="B120" i="12" s="1"/>
  <c r="D111" i="12" a="1"/>
  <c r="D111" i="12" s="1"/>
  <c r="B28" i="16"/>
  <c r="Q28" i="16" s="1"/>
  <c r="B111" i="12" a="1"/>
  <c r="B111" i="12" s="1"/>
  <c r="C110" i="12" a="1"/>
  <c r="C110" i="12" s="1"/>
  <c r="N28" i="16"/>
  <c r="N30" i="16"/>
  <c r="G31" i="16"/>
  <c r="B34" i="16"/>
  <c r="Q34" i="16" s="1"/>
  <c r="G33" i="16"/>
  <c r="G29" i="16"/>
  <c r="B32" i="16"/>
  <c r="Q32" i="16" s="1"/>
  <c r="N34" i="16"/>
  <c r="G27" i="16"/>
  <c r="B30" i="16"/>
  <c r="Q30" i="16" s="1"/>
  <c r="N32" i="16"/>
  <c r="G35" i="16"/>
  <c r="B36" i="16"/>
  <c r="Q36" i="16" s="1"/>
  <c r="N27" i="16"/>
  <c r="B29" i="16"/>
  <c r="Q29" i="16" s="1"/>
  <c r="G30" i="16"/>
  <c r="N31" i="16"/>
  <c r="B33" i="16"/>
  <c r="Q33" i="16" s="1"/>
  <c r="G34" i="16"/>
  <c r="N35" i="16"/>
  <c r="B27" i="16"/>
  <c r="Q27" i="16" s="1"/>
  <c r="G28" i="16"/>
  <c r="N29" i="16"/>
  <c r="B31" i="16"/>
  <c r="Q31" i="16" s="1"/>
  <c r="G32" i="16"/>
  <c r="N33" i="16"/>
  <c r="B35" i="16"/>
  <c r="Q35" i="16" s="1"/>
  <c r="G36" i="16"/>
  <c r="K27" i="16"/>
  <c r="K28" i="16"/>
  <c r="K29" i="16"/>
  <c r="K30" i="16"/>
  <c r="K31" i="16"/>
  <c r="K32" i="16"/>
  <c r="K33" i="16"/>
  <c r="K34" i="16"/>
  <c r="K35" i="16"/>
  <c r="K36" i="16"/>
  <c r="H47" i="16"/>
  <c r="N49" i="16"/>
  <c r="B47" i="16"/>
  <c r="H45" i="16"/>
  <c r="C48" i="16"/>
  <c r="C47" i="16"/>
  <c r="N48" i="16"/>
  <c r="B46" i="16"/>
  <c r="H48" i="16"/>
  <c r="N45" i="16"/>
  <c r="C46" i="16"/>
  <c r="C45" i="16"/>
  <c r="C49" i="16"/>
  <c r="B48" i="16"/>
  <c r="N47" i="16"/>
  <c r="L47" i="16"/>
  <c r="P47" i="16" s="1"/>
  <c r="L46" i="16"/>
  <c r="P46" i="16" s="1"/>
  <c r="I27" i="16"/>
  <c r="O27" i="16"/>
  <c r="I28" i="16"/>
  <c r="O28" i="16"/>
  <c r="I29" i="16"/>
  <c r="O29" i="16"/>
  <c r="I30" i="16"/>
  <c r="O30" i="16"/>
  <c r="I31" i="16"/>
  <c r="O31" i="16"/>
  <c r="I32" i="16"/>
  <c r="O32" i="16"/>
  <c r="I33" i="16"/>
  <c r="O33" i="16"/>
  <c r="I34" i="16"/>
  <c r="O34" i="16"/>
  <c r="I35" i="16"/>
  <c r="O35" i="16"/>
  <c r="I36" i="16"/>
  <c r="C27" i="16"/>
  <c r="M27" i="16"/>
  <c r="C28" i="16"/>
  <c r="M28" i="16"/>
  <c r="C29" i="16"/>
  <c r="M29" i="16"/>
  <c r="C30" i="16"/>
  <c r="M30" i="16"/>
  <c r="C31" i="16"/>
  <c r="M31" i="16"/>
  <c r="C32" i="16"/>
  <c r="M32" i="16"/>
  <c r="C33" i="16"/>
  <c r="M33" i="16"/>
  <c r="C34" i="16"/>
  <c r="M34" i="16"/>
  <c r="C35" i="16"/>
  <c r="M35" i="16"/>
  <c r="C36" i="16"/>
  <c r="M36" i="16"/>
  <c r="D440" i="9"/>
  <c r="K444" i="9"/>
  <c r="D504" i="9"/>
  <c r="D492" i="9"/>
  <c r="D476" i="9"/>
  <c r="N304" i="9"/>
  <c r="N288" i="9"/>
  <c r="D384" i="10"/>
  <c r="I348" i="10"/>
  <c r="D268" i="10"/>
  <c r="D252" i="10"/>
  <c r="D236" i="10"/>
  <c r="I212" i="10"/>
  <c r="T468" i="11"/>
  <c r="T452" i="11"/>
  <c r="K436" i="11"/>
  <c r="T432" i="11"/>
  <c r="D420" i="11"/>
  <c r="K372" i="11"/>
  <c r="K356" i="11"/>
  <c r="K320" i="11"/>
  <c r="D500" i="11"/>
  <c r="K484" i="11"/>
  <c r="O340" i="11"/>
  <c r="E522" i="3"/>
  <c r="C522" i="3"/>
  <c r="F522" i="3"/>
  <c r="J517" i="3"/>
  <c r="C517" i="3"/>
  <c r="J506" i="3"/>
  <c r="N506" i="3"/>
  <c r="L517" i="3"/>
  <c r="N485" i="3"/>
  <c r="D485" i="3"/>
  <c r="F474" i="3"/>
  <c r="C469" i="3"/>
  <c r="E469" i="3"/>
  <c r="I469" i="3"/>
  <c r="L458" i="3"/>
  <c r="H437" i="3"/>
  <c r="F378" i="3"/>
  <c r="M378" i="3" a="1"/>
  <c r="M378" i="3" s="1"/>
  <c r="K378" i="3"/>
  <c r="E378" i="3"/>
  <c r="N378" i="3"/>
  <c r="I378" i="3"/>
  <c r="I362" i="3"/>
  <c r="G362" i="3"/>
  <c r="E362" i="3"/>
  <c r="C362" i="3"/>
  <c r="L421" i="3"/>
  <c r="F421" i="3"/>
  <c r="K405" i="3"/>
  <c r="G405" i="3"/>
  <c r="C405" i="3"/>
  <c r="N405" i="3"/>
  <c r="L405" i="3"/>
  <c r="M405" i="3" a="1"/>
  <c r="M405" i="3" s="1"/>
  <c r="I405" i="3"/>
  <c r="K389" i="3"/>
  <c r="G389" i="3"/>
  <c r="I389" i="3"/>
  <c r="N389" i="3"/>
  <c r="F389" i="3"/>
  <c r="L389" i="3"/>
  <c r="M389" i="3" a="1"/>
  <c r="M389" i="3" s="1"/>
  <c r="H373" i="3"/>
  <c r="G373" i="3"/>
  <c r="E373" i="3"/>
  <c r="F373" i="3"/>
  <c r="J373" i="3"/>
  <c r="D373" i="3"/>
  <c r="C373" i="3"/>
  <c r="H357" i="3"/>
  <c r="C357" i="3"/>
  <c r="J357" i="3"/>
  <c r="D357" i="3"/>
  <c r="F357" i="3"/>
  <c r="N357" i="3"/>
  <c r="M357" i="3" a="1"/>
  <c r="M357" i="3" s="1"/>
  <c r="L357" i="3"/>
  <c r="L341" i="3"/>
  <c r="F341" i="3"/>
  <c r="D325" i="3"/>
  <c r="H325" i="3"/>
  <c r="H309" i="3"/>
  <c r="L309" i="3"/>
  <c r="F309" i="3"/>
  <c r="D293" i="3"/>
  <c r="F293" i="3"/>
  <c r="H293" i="3"/>
  <c r="K376" i="3"/>
  <c r="N376" i="3"/>
  <c r="E376" i="3"/>
  <c r="E360" i="3"/>
  <c r="C360" i="3"/>
  <c r="N360" i="3"/>
  <c r="J360" i="3"/>
  <c r="D443" i="3"/>
  <c r="F443" i="3"/>
  <c r="H411" i="3"/>
  <c r="L411" i="3"/>
  <c r="F411" i="3"/>
  <c r="C395" i="3"/>
  <c r="D395" i="3"/>
  <c r="I395" i="3"/>
  <c r="G395" i="3"/>
  <c r="L379" i="3"/>
  <c r="M379" i="3" a="1"/>
  <c r="M379" i="3" s="1"/>
  <c r="G379" i="3"/>
  <c r="D379" i="3"/>
  <c r="F379" i="3"/>
  <c r="K379" i="3"/>
  <c r="H379" i="3"/>
  <c r="L363" i="3"/>
  <c r="C363" i="3"/>
  <c r="J363" i="3"/>
  <c r="N363" i="3"/>
  <c r="M363" i="3" a="1"/>
  <c r="M363" i="3" s="1"/>
  <c r="K347" i="3"/>
  <c r="M347" i="3" a="1"/>
  <c r="M347" i="3" s="1"/>
  <c r="G347" i="3"/>
  <c r="H331" i="3"/>
  <c r="L331" i="3"/>
  <c r="F331" i="3"/>
  <c r="H287" i="3"/>
  <c r="L287" i="3"/>
  <c r="D283" i="3"/>
  <c r="F283" i="3"/>
  <c r="H283" i="3"/>
  <c r="H275" i="3"/>
  <c r="C275" i="3"/>
  <c r="E275" i="3"/>
  <c r="D275" i="3"/>
  <c r="I275" i="3"/>
  <c r="H271" i="3"/>
  <c r="C271" i="3"/>
  <c r="D271" i="3"/>
  <c r="I271" i="3"/>
  <c r="J267" i="3"/>
  <c r="H267" i="3"/>
  <c r="C267" i="3"/>
  <c r="D267" i="3"/>
  <c r="I267" i="3"/>
  <c r="E263" i="3"/>
  <c r="L263" i="3"/>
  <c r="M263" i="3" a="1"/>
  <c r="M263" i="3" s="1"/>
  <c r="C263" i="3"/>
  <c r="J263" i="3"/>
  <c r="H263" i="3"/>
  <c r="I263" i="3"/>
  <c r="H259" i="3"/>
  <c r="C259" i="3"/>
  <c r="E259" i="3"/>
  <c r="D259" i="3"/>
  <c r="I259" i="3"/>
  <c r="D255" i="3"/>
  <c r="C255" i="3"/>
  <c r="G255" i="3"/>
  <c r="I255" i="3"/>
  <c r="J251" i="3"/>
  <c r="G251" i="3"/>
  <c r="C251" i="3"/>
  <c r="L251" i="3"/>
  <c r="M251" i="3" a="1"/>
  <c r="M251" i="3" s="1"/>
  <c r="I251" i="3"/>
  <c r="E247" i="3"/>
  <c r="L247" i="3"/>
  <c r="M247" i="3" a="1"/>
  <c r="M247" i="3" s="1"/>
  <c r="C247" i="3"/>
  <c r="J247" i="3"/>
  <c r="H247" i="3"/>
  <c r="I247" i="3"/>
  <c r="D243" i="3"/>
  <c r="J243" i="3"/>
  <c r="C243" i="3"/>
  <c r="H243" i="3"/>
  <c r="G243" i="3"/>
  <c r="D239" i="3"/>
  <c r="J239" i="3"/>
  <c r="C239" i="3"/>
  <c r="H239" i="3"/>
  <c r="G239" i="3"/>
  <c r="D235" i="3"/>
  <c r="J235" i="3"/>
  <c r="C235" i="3"/>
  <c r="H235" i="3"/>
  <c r="G235" i="3"/>
  <c r="D231" i="3"/>
  <c r="J231" i="3"/>
  <c r="C231" i="3"/>
  <c r="H231" i="3"/>
  <c r="G231" i="3"/>
  <c r="D227" i="3"/>
  <c r="J227" i="3"/>
  <c r="C227" i="3"/>
  <c r="H227" i="3"/>
  <c r="G227" i="3"/>
  <c r="N444" i="9"/>
  <c r="C444" i="9"/>
  <c r="D472" i="9"/>
  <c r="N492" i="9"/>
  <c r="N476" i="9"/>
  <c r="C328" i="9"/>
  <c r="C316" i="9"/>
  <c r="C304" i="9"/>
  <c r="N328" i="9"/>
  <c r="N312" i="9"/>
  <c r="N296" i="9"/>
  <c r="C496" i="10"/>
  <c r="C480" i="10"/>
  <c r="I416" i="10"/>
  <c r="D404" i="10"/>
  <c r="C368" i="10"/>
  <c r="I336" i="10"/>
  <c r="D276" i="10"/>
  <c r="D260" i="10"/>
  <c r="D244" i="10"/>
  <c r="D228" i="10"/>
  <c r="I220" i="10"/>
  <c r="C420" i="11"/>
  <c r="T420" i="11"/>
  <c r="O372" i="11"/>
  <c r="O356" i="11"/>
  <c r="O500" i="11"/>
  <c r="T500" i="11"/>
  <c r="C484" i="11"/>
  <c r="T340" i="11"/>
  <c r="K522" i="3"/>
  <c r="I517" i="3"/>
  <c r="K517" i="3"/>
  <c r="G506" i="3"/>
  <c r="I506" i="3"/>
  <c r="J504" i="3"/>
  <c r="N504" i="3"/>
  <c r="J501" i="3"/>
  <c r="E485" i="3"/>
  <c r="I474" i="3"/>
  <c r="M485" i="3" a="1"/>
  <c r="M485" i="3" s="1"/>
  <c r="L485" i="3"/>
  <c r="F485" i="3"/>
  <c r="M469" i="3" a="1"/>
  <c r="M469" i="3" s="1"/>
  <c r="K469" i="3"/>
  <c r="L472" i="3"/>
  <c r="M472" i="3" a="1"/>
  <c r="M472" i="3" s="1"/>
  <c r="F456" i="3"/>
  <c r="H421" i="3"/>
  <c r="E405" i="3"/>
  <c r="J389" i="3"/>
  <c r="I376" i="3"/>
  <c r="D405" i="3"/>
  <c r="F405" i="3"/>
  <c r="C376" i="3"/>
  <c r="I360" i="3"/>
  <c r="N373" i="3"/>
  <c r="E357" i="3"/>
  <c r="M362" i="3" a="1"/>
  <c r="M362" i="3" s="1"/>
  <c r="L325" i="3"/>
  <c r="D500" i="7"/>
  <c r="L320" i="7"/>
  <c r="C340" i="7"/>
  <c r="C320" i="7"/>
  <c r="D408" i="8"/>
  <c r="J344" i="8"/>
  <c r="D360" i="8"/>
  <c r="C440" i="9"/>
  <c r="K472" i="9"/>
  <c r="D328" i="9"/>
  <c r="D312" i="9"/>
  <c r="D304" i="9"/>
  <c r="D240" i="9"/>
  <c r="D224" i="9"/>
  <c r="C296" i="9"/>
  <c r="C208" i="9"/>
  <c r="I475" i="10"/>
  <c r="D480" i="10"/>
  <c r="D400" i="10"/>
  <c r="I427" i="10"/>
  <c r="C404" i="10"/>
  <c r="D300" i="10"/>
  <c r="D292" i="10"/>
  <c r="C336" i="10"/>
  <c r="C308" i="10"/>
  <c r="C284" i="10"/>
  <c r="C212" i="10"/>
  <c r="T411" i="11"/>
  <c r="C287" i="11"/>
  <c r="D340" i="11"/>
  <c r="I522" i="3"/>
  <c r="G522" i="3"/>
  <c r="M517" i="3" a="1"/>
  <c r="M517" i="3" s="1"/>
  <c r="K506" i="3"/>
  <c r="C504" i="3"/>
  <c r="E474" i="3"/>
  <c r="H469" i="3"/>
  <c r="N469" i="3"/>
  <c r="G472" i="3"/>
  <c r="F469" i="3"/>
  <c r="J469" i="3"/>
  <c r="F437" i="3"/>
  <c r="L437" i="3"/>
  <c r="D421" i="3"/>
  <c r="E389" i="3"/>
  <c r="H405" i="3"/>
  <c r="D389" i="3"/>
  <c r="G378" i="3"/>
  <c r="M360" i="3" a="1"/>
  <c r="M360" i="3" s="1"/>
  <c r="F325" i="3"/>
  <c r="I373" i="3"/>
  <c r="L373" i="3"/>
  <c r="I357" i="3"/>
  <c r="J362" i="3"/>
  <c r="H341" i="3"/>
  <c r="D309" i="3"/>
  <c r="I57" i="16"/>
  <c r="B62" i="16"/>
  <c r="B60" i="16"/>
  <c r="O36" i="16"/>
  <c r="I56" i="16"/>
  <c r="B63" i="16"/>
  <c r="O62" i="16"/>
  <c r="I62" i="16"/>
  <c r="G60" i="16"/>
  <c r="M65" i="16"/>
  <c r="P65" i="16" s="1"/>
  <c r="G59" i="16"/>
  <c r="G57" i="16"/>
  <c r="K60" i="16"/>
  <c r="T104" i="12" a="1"/>
  <c r="T104" i="12" s="1"/>
  <c r="B104" i="12" s="1" a="1"/>
  <c r="B104" i="12" s="1"/>
  <c r="I64" i="16"/>
  <c r="G65" i="16"/>
  <c r="I65" i="16"/>
  <c r="AK3" i="2"/>
  <c r="K504" i="11"/>
  <c r="O504" i="11"/>
  <c r="T504" i="11"/>
  <c r="D504" i="11"/>
  <c r="C500" i="10"/>
  <c r="D500" i="10"/>
  <c r="I500" i="10"/>
  <c r="E510" i="3"/>
  <c r="C510" i="3"/>
  <c r="I510" i="3"/>
  <c r="J510" i="3"/>
  <c r="N510" i="3"/>
  <c r="G510" i="3"/>
  <c r="K488" i="11"/>
  <c r="C488" i="11"/>
  <c r="O488" i="11"/>
  <c r="T488" i="11"/>
  <c r="D488" i="11"/>
  <c r="C484" i="10"/>
  <c r="D484" i="10"/>
  <c r="N480" i="9"/>
  <c r="D480" i="9"/>
  <c r="C480" i="9"/>
  <c r="C468" i="10"/>
  <c r="D468" i="10"/>
  <c r="I468" i="10"/>
  <c r="N464" i="9"/>
  <c r="D464" i="9"/>
  <c r="K464" i="9"/>
  <c r="C460" i="9"/>
  <c r="D460" i="9"/>
  <c r="N460" i="9"/>
  <c r="J478" i="3"/>
  <c r="E478" i="3"/>
  <c r="I478" i="3"/>
  <c r="F478" i="3"/>
  <c r="K456" i="11"/>
  <c r="T456" i="11"/>
  <c r="C452" i="6"/>
  <c r="J452" i="6"/>
  <c r="N448" i="9"/>
  <c r="C448" i="9"/>
  <c r="E462" i="3"/>
  <c r="H462" i="3"/>
  <c r="F462" i="3"/>
  <c r="G462" i="3"/>
  <c r="L462" i="3"/>
  <c r="M462" i="3" a="1"/>
  <c r="M462" i="3" s="1"/>
  <c r="C462" i="3"/>
  <c r="I462" i="3"/>
  <c r="J432" i="8"/>
  <c r="K446" i="3"/>
  <c r="C446" i="3"/>
  <c r="E446" i="3"/>
  <c r="H446" i="3"/>
  <c r="J446" i="3"/>
  <c r="D446" i="3"/>
  <c r="N446" i="3"/>
  <c r="G446" i="3"/>
  <c r="F446" i="3"/>
  <c r="O424" i="11"/>
  <c r="D424" i="11"/>
  <c r="T424" i="11"/>
  <c r="K424" i="11"/>
  <c r="C424" i="11"/>
  <c r="D420" i="10"/>
  <c r="I420" i="10"/>
  <c r="C420" i="10"/>
  <c r="C416" i="5"/>
  <c r="M416" i="5"/>
  <c r="C412" i="8"/>
  <c r="J412" i="8"/>
  <c r="I408" i="10"/>
  <c r="D408" i="10"/>
  <c r="C408" i="10"/>
  <c r="C396" i="5"/>
  <c r="M396" i="5"/>
  <c r="D396" i="8"/>
  <c r="D388" i="10"/>
  <c r="C388" i="10"/>
  <c r="I388" i="10"/>
  <c r="C384" i="4"/>
  <c r="D384" i="4"/>
  <c r="J380" i="8"/>
  <c r="T376" i="11"/>
  <c r="O376" i="11"/>
  <c r="J364" i="8"/>
  <c r="D364" i="8"/>
  <c r="C382" i="3"/>
  <c r="F382" i="3"/>
  <c r="M382" i="3" a="1"/>
  <c r="M382" i="3" s="1"/>
  <c r="G382" i="3"/>
  <c r="K382" i="3"/>
  <c r="N382" i="3"/>
  <c r="I382" i="3"/>
  <c r="K360" i="11"/>
  <c r="O360" i="11"/>
  <c r="Q360" i="11" s="1"/>
  <c r="T360" i="11"/>
  <c r="D356" i="10"/>
  <c r="C356" i="10"/>
  <c r="D352" i="10"/>
  <c r="C352" i="10"/>
  <c r="I352" i="10"/>
  <c r="J366" i="3"/>
  <c r="N366" i="3"/>
  <c r="L366" i="3"/>
  <c r="E366" i="3"/>
  <c r="I366" i="3"/>
  <c r="K366" i="3"/>
  <c r="M366" i="3" a="1"/>
  <c r="M366" i="3" s="1"/>
  <c r="G366" i="3"/>
  <c r="C366" i="3"/>
  <c r="O344" i="11"/>
  <c r="Q344" i="11" s="1"/>
  <c r="D344" i="11"/>
  <c r="C344" i="11"/>
  <c r="T344" i="11"/>
  <c r="K340" i="9"/>
  <c r="C340" i="9"/>
  <c r="N340" i="9"/>
  <c r="K336" i="9"/>
  <c r="C336" i="9"/>
  <c r="D336" i="9"/>
  <c r="D324" i="7"/>
  <c r="L324" i="7"/>
  <c r="D320" i="10"/>
  <c r="C320" i="10"/>
  <c r="I320" i="10"/>
  <c r="C312" i="4"/>
  <c r="M312" i="4"/>
  <c r="C312" i="8"/>
  <c r="J312" i="8"/>
  <c r="D304" i="8"/>
  <c r="J304" i="8"/>
  <c r="D296" i="8"/>
  <c r="J296" i="8"/>
  <c r="D288" i="8"/>
  <c r="C288" i="8"/>
  <c r="J288" i="8"/>
  <c r="D284" i="8"/>
  <c r="C284" i="8"/>
  <c r="I242" i="3"/>
  <c r="J242" i="3"/>
  <c r="F242" i="3"/>
  <c r="E242" i="3"/>
  <c r="J238" i="3"/>
  <c r="F238" i="3"/>
  <c r="E238" i="3"/>
  <c r="I238" i="3"/>
  <c r="I234" i="3"/>
  <c r="F234" i="3"/>
  <c r="E234" i="3"/>
  <c r="J234" i="3"/>
  <c r="J230" i="3"/>
  <c r="I230" i="3"/>
  <c r="F230" i="3"/>
  <c r="E230" i="3"/>
  <c r="I226" i="3"/>
  <c r="F226" i="3"/>
  <c r="J226" i="3"/>
  <c r="E226" i="3"/>
  <c r="N521" i="3"/>
  <c r="H521" i="3"/>
  <c r="E521" i="3"/>
  <c r="D521" i="3"/>
  <c r="M521" i="3" a="1"/>
  <c r="M521" i="3" s="1"/>
  <c r="K521" i="3"/>
  <c r="L521" i="3"/>
  <c r="I521" i="3"/>
  <c r="F521" i="3"/>
  <c r="C521" i="3"/>
  <c r="J521" i="3"/>
  <c r="G521" i="3"/>
  <c r="J499" i="6"/>
  <c r="D499" i="6"/>
  <c r="C499" i="11"/>
  <c r="T499" i="11"/>
  <c r="O499" i="11"/>
  <c r="K499" i="11"/>
  <c r="D499" i="11"/>
  <c r="D495" i="10"/>
  <c r="C495" i="10"/>
  <c r="L505" i="3"/>
  <c r="C505" i="3"/>
  <c r="J505" i="3"/>
  <c r="N505" i="3"/>
  <c r="I505" i="3"/>
  <c r="K505" i="3"/>
  <c r="E505" i="3"/>
  <c r="M505" i="3" a="1"/>
  <c r="M505" i="3" s="1"/>
  <c r="D505" i="3"/>
  <c r="G505" i="3"/>
  <c r="C483" i="11"/>
  <c r="T483" i="11"/>
  <c r="O483" i="11"/>
  <c r="K483" i="11"/>
  <c r="D483" i="11"/>
  <c r="D479" i="10"/>
  <c r="I479" i="10"/>
  <c r="C479" i="10"/>
  <c r="E489" i="3"/>
  <c r="N489" i="3"/>
  <c r="F489" i="3"/>
  <c r="J489" i="3"/>
  <c r="M489" i="3" a="1"/>
  <c r="M489" i="3" s="1"/>
  <c r="D489" i="3"/>
  <c r="I489" i="3"/>
  <c r="K489" i="3"/>
  <c r="H489" i="3"/>
  <c r="G489" i="3"/>
  <c r="L489" i="3"/>
  <c r="C489" i="3"/>
  <c r="T467" i="11"/>
  <c r="K467" i="11"/>
  <c r="D463" i="7"/>
  <c r="C463" i="7"/>
  <c r="G473" i="3"/>
  <c r="I473" i="3"/>
  <c r="D473" i="3"/>
  <c r="N473" i="3"/>
  <c r="H473" i="3"/>
  <c r="K473" i="3"/>
  <c r="C473" i="3"/>
  <c r="L473" i="3"/>
  <c r="D451" i="7"/>
  <c r="C451" i="7"/>
  <c r="T451" i="11"/>
  <c r="K451" i="11"/>
  <c r="D435" i="10"/>
  <c r="I435" i="10"/>
  <c r="C435" i="10"/>
  <c r="D431" i="10"/>
  <c r="I431" i="10"/>
  <c r="C431" i="10"/>
  <c r="F441" i="3"/>
  <c r="L441" i="3"/>
  <c r="H441" i="3"/>
  <c r="O419" i="11"/>
  <c r="K419" i="11"/>
  <c r="D419" i="11"/>
  <c r="C419" i="11"/>
  <c r="T419" i="11"/>
  <c r="O415" i="11"/>
  <c r="K415" i="11"/>
  <c r="T415" i="11"/>
  <c r="C415" i="11"/>
  <c r="D415" i="11"/>
  <c r="K411" i="9"/>
  <c r="C411" i="9"/>
  <c r="D411" i="9"/>
  <c r="D425" i="3"/>
  <c r="F425" i="3"/>
  <c r="L425" i="3"/>
  <c r="K395" i="9"/>
  <c r="C395" i="9"/>
  <c r="H409" i="3"/>
  <c r="F409" i="3"/>
  <c r="L409" i="3"/>
  <c r="D409" i="3"/>
  <c r="D379" i="10"/>
  <c r="I379" i="10"/>
  <c r="C379" i="10"/>
  <c r="D375" i="8"/>
  <c r="C375" i="8"/>
  <c r="K393" i="3"/>
  <c r="L393" i="3"/>
  <c r="M393" i="3" a="1"/>
  <c r="M393" i="3" s="1"/>
  <c r="I393" i="3"/>
  <c r="E393" i="3"/>
  <c r="F393" i="3"/>
  <c r="D393" i="3"/>
  <c r="G393" i="3"/>
  <c r="N393" i="3"/>
  <c r="H393" i="3"/>
  <c r="C393" i="3"/>
  <c r="T371" i="11"/>
  <c r="O371" i="11"/>
  <c r="K371" i="11"/>
  <c r="D367" i="10"/>
  <c r="I367" i="10"/>
  <c r="D363" i="9"/>
  <c r="N363" i="9"/>
  <c r="L377" i="3"/>
  <c r="I377" i="3"/>
  <c r="J377" i="3"/>
  <c r="G377" i="3"/>
  <c r="D377" i="3"/>
  <c r="N377" i="3"/>
  <c r="C377" i="3"/>
  <c r="H377" i="3"/>
  <c r="K377" i="3"/>
  <c r="M377" i="3" a="1"/>
  <c r="M377" i="3" s="1"/>
  <c r="E377" i="3"/>
  <c r="F377" i="3"/>
  <c r="T355" i="11"/>
  <c r="O355" i="11"/>
  <c r="Q355" i="11" s="1"/>
  <c r="K355" i="11"/>
  <c r="D351" i="10"/>
  <c r="I351" i="10"/>
  <c r="C351" i="10"/>
  <c r="D343" i="8"/>
  <c r="C343" i="8"/>
  <c r="H361" i="3"/>
  <c r="C361" i="3"/>
  <c r="J361" i="3"/>
  <c r="L361" i="3"/>
  <c r="N361" i="3"/>
  <c r="I361" i="3"/>
  <c r="D361" i="3"/>
  <c r="K361" i="3"/>
  <c r="G361" i="3"/>
  <c r="M361" i="3" a="1"/>
  <c r="M361" i="3" s="1"/>
  <c r="E361" i="3"/>
  <c r="F361" i="3"/>
  <c r="K339" i="11"/>
  <c r="C339" i="11"/>
  <c r="T339" i="11"/>
  <c r="O339" i="11"/>
  <c r="D339" i="11"/>
  <c r="D335" i="10"/>
  <c r="I335" i="10"/>
  <c r="D327" i="8"/>
  <c r="J327" i="8"/>
  <c r="L345" i="3"/>
  <c r="D345" i="3"/>
  <c r="F345" i="3"/>
  <c r="H345" i="3"/>
  <c r="D323" i="8"/>
  <c r="C323" i="8"/>
  <c r="O323" i="11"/>
  <c r="K323" i="11"/>
  <c r="D323" i="11"/>
  <c r="C323" i="11"/>
  <c r="D319" i="10"/>
  <c r="I319" i="10"/>
  <c r="D311" i="8"/>
  <c r="H329" i="3"/>
  <c r="L329" i="3"/>
  <c r="F329" i="3"/>
  <c r="D329" i="3"/>
  <c r="T307" i="11"/>
  <c r="K307" i="11"/>
  <c r="I303" i="10"/>
  <c r="C303" i="10"/>
  <c r="C295" i="8"/>
  <c r="H313" i="3"/>
  <c r="F313" i="3"/>
  <c r="D313" i="3"/>
  <c r="L313" i="3"/>
  <c r="C291" i="8"/>
  <c r="O291" i="11"/>
  <c r="K291" i="11"/>
  <c r="T291" i="11"/>
  <c r="I287" i="10"/>
  <c r="C287" i="10"/>
  <c r="D287" i="10"/>
  <c r="C283" i="5"/>
  <c r="M283" i="5"/>
  <c r="L279" i="7"/>
  <c r="C279" i="7"/>
  <c r="H297" i="3"/>
  <c r="D297" i="3"/>
  <c r="F297" i="3"/>
  <c r="L297" i="3"/>
  <c r="L275" i="7"/>
  <c r="C275" i="7"/>
  <c r="C275" i="11"/>
  <c r="O275" i="11"/>
  <c r="Q275" i="11" s="1"/>
  <c r="D275" i="11"/>
  <c r="K275" i="11"/>
  <c r="D271" i="10"/>
  <c r="C271" i="10"/>
  <c r="C263" i="5"/>
  <c r="M263" i="5"/>
  <c r="C251" i="5"/>
  <c r="M251" i="5"/>
  <c r="C247" i="5"/>
  <c r="M247" i="5"/>
  <c r="M239" i="5"/>
  <c r="C239" i="5"/>
  <c r="M223" i="5"/>
  <c r="C223" i="5"/>
  <c r="I211" i="10"/>
  <c r="C211" i="10"/>
  <c r="D258" i="4"/>
  <c r="M258" i="4"/>
  <c r="C506" i="8"/>
  <c r="D506" i="8"/>
  <c r="J524" i="3"/>
  <c r="K524" i="3"/>
  <c r="C524" i="3"/>
  <c r="G524" i="3"/>
  <c r="F524" i="3"/>
  <c r="N524" i="3"/>
  <c r="I524" i="3"/>
  <c r="E524" i="3"/>
  <c r="C502" i="11"/>
  <c r="T502" i="11"/>
  <c r="O502" i="11"/>
  <c r="K502" i="11"/>
  <c r="L498" i="7"/>
  <c r="C498" i="7"/>
  <c r="D498" i="10"/>
  <c r="I498" i="10"/>
  <c r="C498" i="10"/>
  <c r="N508" i="3"/>
  <c r="J508" i="3"/>
  <c r="I508" i="3"/>
  <c r="C508" i="3"/>
  <c r="E508" i="3"/>
  <c r="M508" i="3" a="1"/>
  <c r="M508" i="3" s="1"/>
  <c r="K508" i="3"/>
  <c r="G508" i="3"/>
  <c r="C486" i="11"/>
  <c r="T486" i="11"/>
  <c r="O486" i="11"/>
  <c r="S486" i="11" s="1"/>
  <c r="K486" i="11"/>
  <c r="D486" i="11"/>
  <c r="D482" i="10"/>
  <c r="I482" i="10"/>
  <c r="D458" i="8"/>
  <c r="C458" i="8"/>
  <c r="F476" i="3"/>
  <c r="I476" i="3"/>
  <c r="J476" i="3"/>
  <c r="T454" i="11"/>
  <c r="K454" i="11"/>
  <c r="J460" i="3"/>
  <c r="H460" i="3"/>
  <c r="N460" i="3"/>
  <c r="L460" i="3"/>
  <c r="F460" i="3"/>
  <c r="D438" i="11"/>
  <c r="T438" i="11"/>
  <c r="L444" i="3"/>
  <c r="H444" i="3"/>
  <c r="F444" i="3"/>
  <c r="K444" i="3"/>
  <c r="O422" i="11"/>
  <c r="T422" i="11"/>
  <c r="D422" i="11"/>
  <c r="C422" i="11"/>
  <c r="O406" i="11"/>
  <c r="T406" i="11"/>
  <c r="D382" i="10"/>
  <c r="C382" i="10"/>
  <c r="O374" i="11"/>
  <c r="T374" i="11"/>
  <c r="D366" i="10"/>
  <c r="I366" i="10"/>
  <c r="N380" i="3"/>
  <c r="M380" i="3" a="1"/>
  <c r="M380" i="3" s="1"/>
  <c r="G380" i="3"/>
  <c r="E380" i="3"/>
  <c r="K380" i="3"/>
  <c r="F380" i="3"/>
  <c r="I380" i="3"/>
  <c r="C380" i="3"/>
  <c r="K358" i="11"/>
  <c r="T358" i="11"/>
  <c r="D354" i="10"/>
  <c r="I354" i="10"/>
  <c r="C354" i="10"/>
  <c r="D350" i="10"/>
  <c r="I350" i="10"/>
  <c r="J346" i="8"/>
  <c r="D346" i="8"/>
  <c r="N364" i="3"/>
  <c r="J364" i="3"/>
  <c r="K364" i="3"/>
  <c r="M364" i="3" a="1"/>
  <c r="M364" i="3" s="1"/>
  <c r="C364" i="3"/>
  <c r="I364" i="3"/>
  <c r="G364" i="3"/>
  <c r="T342" i="11"/>
  <c r="C342" i="11"/>
  <c r="K342" i="11"/>
  <c r="D338" i="10"/>
  <c r="I338" i="10"/>
  <c r="C338" i="10"/>
  <c r="D334" i="10"/>
  <c r="I334" i="10"/>
  <c r="C334" i="10"/>
  <c r="J330" i="8"/>
  <c r="D330" i="8"/>
  <c r="I348" i="3"/>
  <c r="M348" i="3" a="1"/>
  <c r="M348" i="3" s="1"/>
  <c r="E348" i="3"/>
  <c r="G348" i="3"/>
  <c r="L348" i="3"/>
  <c r="O326" i="11"/>
  <c r="Q326" i="11" s="1"/>
  <c r="K326" i="11"/>
  <c r="D326" i="11"/>
  <c r="C326" i="11"/>
  <c r="T326" i="11"/>
  <c r="D322" i="10"/>
  <c r="I322" i="10"/>
  <c r="D318" i="10"/>
  <c r="I318" i="10"/>
  <c r="C318" i="10"/>
  <c r="J314" i="8"/>
  <c r="K310" i="11"/>
  <c r="T310" i="11"/>
  <c r="I306" i="10"/>
  <c r="D306" i="10"/>
  <c r="C306" i="10"/>
  <c r="K302" i="9"/>
  <c r="N302" i="9"/>
  <c r="L298" i="7"/>
  <c r="D298" i="7"/>
  <c r="L294" i="7"/>
  <c r="D294" i="7"/>
  <c r="I290" i="10"/>
  <c r="D290" i="10"/>
  <c r="C290" i="10"/>
  <c r="K286" i="9"/>
  <c r="N286" i="9"/>
  <c r="L282" i="7"/>
  <c r="D282" i="7"/>
  <c r="D278" i="8"/>
  <c r="C278" i="8"/>
  <c r="C278" i="11"/>
  <c r="T278" i="11"/>
  <c r="D278" i="11"/>
  <c r="K278" i="11"/>
  <c r="D274" i="10"/>
  <c r="C274" i="10"/>
  <c r="I274" i="10"/>
  <c r="I270" i="10"/>
  <c r="D270" i="10"/>
  <c r="N262" i="9"/>
  <c r="K262" i="9"/>
  <c r="K258" i="9"/>
  <c r="N258" i="9"/>
  <c r="K254" i="9"/>
  <c r="N254" i="9"/>
  <c r="N246" i="9"/>
  <c r="K246" i="9"/>
  <c r="K238" i="9"/>
  <c r="N238" i="9"/>
  <c r="N234" i="9"/>
  <c r="K234" i="9"/>
  <c r="D222" i="10"/>
  <c r="C222" i="10"/>
  <c r="K218" i="9"/>
  <c r="N218" i="9"/>
  <c r="D214" i="10"/>
  <c r="C214" i="10"/>
  <c r="I214" i="10"/>
  <c r="T105" i="12" a="1"/>
  <c r="T105" i="12" s="1"/>
  <c r="T102" i="12" a="1"/>
  <c r="T102" i="12" s="1"/>
  <c r="T101" i="12" a="1"/>
  <c r="T101" i="12" s="1"/>
  <c r="B101" i="12" s="1" a="1"/>
  <c r="B101" i="12" s="1"/>
  <c r="J505" i="6"/>
  <c r="C505" i="6"/>
  <c r="C505" i="11"/>
  <c r="O505" i="11"/>
  <c r="T505" i="11"/>
  <c r="L501" i="7"/>
  <c r="D501" i="7"/>
  <c r="D501" i="10"/>
  <c r="I501" i="10"/>
  <c r="C501" i="10"/>
  <c r="H511" i="3"/>
  <c r="C511" i="3"/>
  <c r="J511" i="3"/>
  <c r="M511" i="3" a="1"/>
  <c r="M511" i="3" s="1"/>
  <c r="N511" i="3"/>
  <c r="I511" i="3"/>
  <c r="D511" i="3"/>
  <c r="G511" i="3"/>
  <c r="E511" i="3"/>
  <c r="L511" i="3"/>
  <c r="J489" i="6"/>
  <c r="C489" i="6"/>
  <c r="C489" i="11"/>
  <c r="O489" i="11"/>
  <c r="T489" i="11"/>
  <c r="D485" i="10"/>
  <c r="I485" i="10"/>
  <c r="J495" i="3"/>
  <c r="E495" i="3"/>
  <c r="N495" i="3"/>
  <c r="H495" i="3"/>
  <c r="C495" i="3"/>
  <c r="M495" i="3" a="1"/>
  <c r="M495" i="3" s="1"/>
  <c r="D495" i="3"/>
  <c r="I495" i="3"/>
  <c r="L495" i="3"/>
  <c r="G495" i="3"/>
  <c r="F495" i="3"/>
  <c r="K473" i="11"/>
  <c r="T473" i="11"/>
  <c r="D469" i="10"/>
  <c r="C469" i="10"/>
  <c r="J479" i="3"/>
  <c r="C479" i="3"/>
  <c r="L479" i="3"/>
  <c r="G479" i="3"/>
  <c r="H479" i="3"/>
  <c r="M479" i="3" a="1"/>
  <c r="M479" i="3" s="1"/>
  <c r="D479" i="3"/>
  <c r="K479" i="3"/>
  <c r="I479" i="3"/>
  <c r="E479" i="3"/>
  <c r="C453" i="6"/>
  <c r="D453" i="6"/>
  <c r="I453" i="10"/>
  <c r="C453" i="10"/>
  <c r="K463" i="3"/>
  <c r="M463" i="3" a="1"/>
  <c r="M463" i="3" s="1"/>
  <c r="H463" i="3"/>
  <c r="N463" i="3"/>
  <c r="J463" i="3"/>
  <c r="T441" i="11"/>
  <c r="K441" i="11"/>
  <c r="D433" i="8"/>
  <c r="J433" i="8"/>
  <c r="C433" i="8"/>
  <c r="O425" i="11"/>
  <c r="D425" i="11"/>
  <c r="K425" i="11"/>
  <c r="C417" i="9"/>
  <c r="K417" i="9"/>
  <c r="D417" i="9"/>
  <c r="L431" i="3"/>
  <c r="D431" i="3"/>
  <c r="F431" i="3"/>
  <c r="H431" i="3"/>
  <c r="D409" i="7"/>
  <c r="C409" i="7"/>
  <c r="O409" i="11"/>
  <c r="D409" i="11"/>
  <c r="C409" i="11"/>
  <c r="N401" i="9"/>
  <c r="D401" i="9"/>
  <c r="D415" i="3"/>
  <c r="H415" i="3"/>
  <c r="F415" i="3"/>
  <c r="L415" i="3"/>
  <c r="D393" i="7"/>
  <c r="C393" i="7"/>
  <c r="M385" i="5"/>
  <c r="C385" i="5"/>
  <c r="D381" i="7"/>
  <c r="L381" i="7"/>
  <c r="I399" i="3"/>
  <c r="F399" i="3"/>
  <c r="L399" i="3"/>
  <c r="M399" i="3" a="1"/>
  <c r="M399" i="3" s="1"/>
  <c r="D399" i="3"/>
  <c r="C399" i="3"/>
  <c r="H399" i="3"/>
  <c r="G399" i="3"/>
  <c r="T377" i="11"/>
  <c r="K377" i="11"/>
  <c r="O377" i="11"/>
  <c r="D373" i="10"/>
  <c r="C373" i="10"/>
  <c r="I373" i="10"/>
  <c r="N369" i="9"/>
  <c r="C369" i="9"/>
  <c r="D369" i="9"/>
  <c r="L383" i="3"/>
  <c r="E383" i="3"/>
  <c r="C383" i="3"/>
  <c r="I383" i="3"/>
  <c r="D383" i="3"/>
  <c r="F383" i="3"/>
  <c r="G383" i="3"/>
  <c r="J383" i="3"/>
  <c r="K383" i="3"/>
  <c r="H383" i="3"/>
  <c r="M383" i="3" a="1"/>
  <c r="M383" i="3" s="1"/>
  <c r="N383" i="3"/>
  <c r="T361" i="11"/>
  <c r="O361" i="11"/>
  <c r="K361" i="11"/>
  <c r="D357" i="10"/>
  <c r="C357" i="10"/>
  <c r="C353" i="9"/>
  <c r="N353" i="9"/>
  <c r="N367" i="3"/>
  <c r="M367" i="3" a="1"/>
  <c r="M367" i="3" s="1"/>
  <c r="D367" i="3"/>
  <c r="I367" i="3"/>
  <c r="L367" i="3"/>
  <c r="C367" i="3"/>
  <c r="H367" i="3"/>
  <c r="E367" i="3"/>
  <c r="J367" i="3"/>
  <c r="T345" i="11"/>
  <c r="C345" i="11"/>
  <c r="K345" i="11"/>
  <c r="D345" i="11"/>
  <c r="C351" i="3"/>
  <c r="J351" i="3"/>
  <c r="K351" i="3"/>
  <c r="E351" i="3"/>
  <c r="I351" i="3"/>
  <c r="D351" i="3"/>
  <c r="N351" i="3"/>
  <c r="L351" i="3"/>
  <c r="G351" i="3"/>
  <c r="M351" i="3" a="1"/>
  <c r="M351" i="3" s="1"/>
  <c r="O329" i="11"/>
  <c r="S329" i="11" s="1"/>
  <c r="C329" i="11"/>
  <c r="T329" i="11"/>
  <c r="L335" i="3"/>
  <c r="F335" i="3"/>
  <c r="D335" i="3"/>
  <c r="H335" i="3"/>
  <c r="H319" i="3"/>
  <c r="D319" i="3"/>
  <c r="F319" i="3"/>
  <c r="L319" i="3"/>
  <c r="O297" i="11"/>
  <c r="D297" i="11"/>
  <c r="C297" i="11"/>
  <c r="T297" i="11"/>
  <c r="H303" i="3"/>
  <c r="L303" i="3"/>
  <c r="D303" i="3"/>
  <c r="H299" i="3"/>
  <c r="F299" i="3"/>
  <c r="L299" i="3"/>
  <c r="D299" i="3"/>
  <c r="H295" i="3"/>
  <c r="F295" i="3"/>
  <c r="D295" i="3"/>
  <c r="L295" i="3"/>
  <c r="H291" i="3"/>
  <c r="F291" i="3"/>
  <c r="D291" i="3"/>
  <c r="D269" i="11"/>
  <c r="K269" i="11"/>
  <c r="C269" i="11"/>
  <c r="O269" i="11"/>
  <c r="S269" i="11" s="1"/>
  <c r="T269" i="11"/>
  <c r="T265" i="11"/>
  <c r="K265" i="11"/>
  <c r="C265" i="11"/>
  <c r="D261" i="11"/>
  <c r="T261" i="11"/>
  <c r="C261" i="11"/>
  <c r="K257" i="11"/>
  <c r="O257" i="11"/>
  <c r="T257" i="11"/>
  <c r="C257" i="11"/>
  <c r="D257" i="11"/>
  <c r="D253" i="7"/>
  <c r="C253" i="7"/>
  <c r="K253" i="11"/>
  <c r="O253" i="11"/>
  <c r="S253" i="11" s="1"/>
  <c r="T253" i="11"/>
  <c r="K249" i="11"/>
  <c r="O249" i="11"/>
  <c r="T249" i="11"/>
  <c r="C249" i="11"/>
  <c r="D249" i="11"/>
  <c r="K245" i="11"/>
  <c r="O245" i="11"/>
  <c r="S245" i="11" s="1"/>
  <c r="T245" i="11"/>
  <c r="C245" i="11"/>
  <c r="D245" i="11"/>
  <c r="C241" i="7"/>
  <c r="L241" i="7"/>
  <c r="K241" i="11"/>
  <c r="O241" i="11"/>
  <c r="T241" i="11"/>
  <c r="C241" i="11"/>
  <c r="D241" i="11"/>
  <c r="K237" i="11"/>
  <c r="O237" i="11"/>
  <c r="S237" i="11" s="1"/>
  <c r="T237" i="11"/>
  <c r="L233" i="7"/>
  <c r="D233" i="7"/>
  <c r="K233" i="11"/>
  <c r="O233" i="11"/>
  <c r="T233" i="11"/>
  <c r="C233" i="11"/>
  <c r="D233" i="11"/>
  <c r="K229" i="11"/>
  <c r="O229" i="11"/>
  <c r="T229" i="11"/>
  <c r="C229" i="11"/>
  <c r="D229" i="11"/>
  <c r="K225" i="11"/>
  <c r="O225" i="11"/>
  <c r="T225" i="11"/>
  <c r="C225" i="11"/>
  <c r="D225" i="11"/>
  <c r="K221" i="11"/>
  <c r="O221" i="11"/>
  <c r="S221" i="11" s="1"/>
  <c r="T221" i="11"/>
  <c r="K217" i="11"/>
  <c r="O217" i="11"/>
  <c r="C217" i="11"/>
  <c r="T217" i="11"/>
  <c r="D217" i="11"/>
  <c r="T213" i="11"/>
  <c r="O213" i="11"/>
  <c r="Q213" i="11" s="1"/>
  <c r="C213" i="11"/>
  <c r="T209" i="11"/>
  <c r="K209" i="11"/>
  <c r="K332" i="9"/>
  <c r="N332" i="9"/>
  <c r="T24" i="16" a="1"/>
  <c r="T24" i="16" s="1"/>
  <c r="D436" i="6"/>
  <c r="D468" i="6"/>
  <c r="L488" i="7"/>
  <c r="D424" i="7"/>
  <c r="D440" i="7"/>
  <c r="C344" i="7"/>
  <c r="D380" i="8"/>
  <c r="C304" i="8"/>
  <c r="C296" i="8"/>
  <c r="C300" i="8"/>
  <c r="J328" i="8"/>
  <c r="D312" i="8"/>
  <c r="K460" i="9"/>
  <c r="N411" i="9"/>
  <c r="D340" i="9"/>
  <c r="D395" i="9"/>
  <c r="I495" i="10"/>
  <c r="I484" i="10"/>
  <c r="C319" i="10"/>
  <c r="D303" i="10"/>
  <c r="I356" i="10"/>
  <c r="K470" i="11"/>
  <c r="C406" i="11"/>
  <c r="D406" i="11"/>
  <c r="O358" i="11"/>
  <c r="O342" i="11"/>
  <c r="S342" i="11" s="1"/>
  <c r="O278" i="11"/>
  <c r="C463" i="3"/>
  <c r="D460" i="3"/>
  <c r="M446" i="3" a="1"/>
  <c r="M446" i="3" s="1"/>
  <c r="I446" i="3"/>
  <c r="M471" i="4"/>
  <c r="C442" i="4"/>
  <c r="M391" i="4"/>
  <c r="D263" i="4"/>
  <c r="D460" i="4"/>
  <c r="M400" i="5"/>
  <c r="M368" i="5"/>
  <c r="M255" i="5"/>
  <c r="C231" i="5"/>
  <c r="C211" i="5"/>
  <c r="D500" i="6"/>
  <c r="C500" i="6"/>
  <c r="D470" i="6"/>
  <c r="J454" i="6"/>
  <c r="D484" i="6"/>
  <c r="J468" i="6"/>
  <c r="L482" i="7"/>
  <c r="C435" i="7"/>
  <c r="D450" i="7"/>
  <c r="C434" i="7"/>
  <c r="C424" i="7"/>
  <c r="L440" i="7"/>
  <c r="L344" i="7"/>
  <c r="C324" i="7"/>
  <c r="J507" i="8"/>
  <c r="D432" i="8"/>
  <c r="J426" i="8"/>
  <c r="D474" i="8"/>
  <c r="C432" i="8"/>
  <c r="J407" i="8"/>
  <c r="J339" i="8"/>
  <c r="C380" i="8"/>
  <c r="C327" i="8"/>
  <c r="J307" i="8"/>
  <c r="D291" i="8"/>
  <c r="D292" i="8"/>
  <c r="J278" i="8"/>
  <c r="D314" i="8"/>
  <c r="D295" i="8"/>
  <c r="C464" i="9"/>
  <c r="N395" i="9"/>
  <c r="N242" i="9"/>
  <c r="C482" i="10"/>
  <c r="C367" i="10"/>
  <c r="C335" i="10"/>
  <c r="C350" i="10"/>
  <c r="C270" i="10"/>
  <c r="D489" i="11"/>
  <c r="T440" i="11"/>
  <c r="K422" i="11"/>
  <c r="K406" i="11"/>
  <c r="K374" i="11"/>
  <c r="C504" i="11"/>
  <c r="T323" i="11"/>
  <c r="C291" i="11"/>
  <c r="T275" i="11"/>
  <c r="F479" i="3"/>
  <c r="G463" i="3"/>
  <c r="L446" i="3"/>
  <c r="D441" i="3"/>
  <c r="H425" i="3"/>
  <c r="J393" i="3"/>
  <c r="E382" i="3"/>
  <c r="C358" i="3"/>
  <c r="T103" i="12" a="1"/>
  <c r="T103" i="12" s="1"/>
  <c r="B103" i="12" s="1" a="1"/>
  <c r="B103" i="12" s="1"/>
  <c r="I63" i="16"/>
  <c r="B61" i="16"/>
  <c r="G58" i="16"/>
  <c r="I55" i="16"/>
  <c r="O56" i="16"/>
  <c r="M59" i="16"/>
  <c r="P59" i="16" s="1"/>
  <c r="K62" i="16"/>
  <c r="O64" i="16"/>
  <c r="M56" i="16"/>
  <c r="P56" i="16" s="1"/>
  <c r="K59" i="16"/>
  <c r="O61" i="16"/>
  <c r="M64" i="16"/>
  <c r="P64" i="16" s="1"/>
  <c r="O55" i="16"/>
  <c r="M58" i="16"/>
  <c r="P58" i="16" s="1"/>
  <c r="K61" i="16"/>
  <c r="O63" i="16"/>
  <c r="B55" i="16"/>
  <c r="B65" i="16"/>
  <c r="G62" i="16"/>
  <c r="I59" i="16"/>
  <c r="B57" i="16"/>
  <c r="M55" i="16"/>
  <c r="P55" i="16" s="1"/>
  <c r="K58" i="16"/>
  <c r="O60" i="16"/>
  <c r="M63" i="16"/>
  <c r="P63" i="16" s="1"/>
  <c r="K55" i="16"/>
  <c r="O57" i="16"/>
  <c r="M60" i="16"/>
  <c r="P60" i="16" s="1"/>
  <c r="K63" i="16"/>
  <c r="O65" i="16"/>
  <c r="K57" i="16"/>
  <c r="O59" i="16"/>
  <c r="M62" i="16"/>
  <c r="P62" i="16" s="1"/>
  <c r="K65" i="16"/>
  <c r="C374" i="3"/>
  <c r="F374" i="3"/>
  <c r="M358" i="3" a="1"/>
  <c r="M358" i="3" s="1"/>
  <c r="K358" i="3"/>
  <c r="G63" i="16"/>
  <c r="I60" i="16"/>
  <c r="B58" i="16"/>
  <c r="G55" i="16"/>
  <c r="B64" i="16"/>
  <c r="G61" i="16"/>
  <c r="I58" i="16"/>
  <c r="B56" i="16"/>
  <c r="G64" i="16"/>
  <c r="I61" i="16"/>
  <c r="B59" i="16"/>
  <c r="G56" i="16"/>
  <c r="K56" i="16"/>
  <c r="O58" i="16"/>
  <c r="M61" i="16"/>
  <c r="P61" i="16" s="1"/>
  <c r="K64" i="16"/>
  <c r="B66" i="16"/>
  <c r="H39" i="16"/>
  <c r="J18" i="16"/>
  <c r="J170" i="6"/>
  <c r="D170" i="6"/>
  <c r="C170" i="6"/>
  <c r="J178" i="6"/>
  <c r="D178" i="6"/>
  <c r="C178" i="6"/>
  <c r="M186" i="5"/>
  <c r="C186" i="5"/>
  <c r="I189" i="10"/>
  <c r="D189" i="10"/>
  <c r="C189" i="10"/>
  <c r="M194" i="5"/>
  <c r="C194" i="5"/>
  <c r="J197" i="6"/>
  <c r="D197" i="6"/>
  <c r="C197" i="6"/>
  <c r="J203" i="6"/>
  <c r="D203" i="6"/>
  <c r="C203" i="6"/>
  <c r="D12" i="7"/>
  <c r="M30" i="5"/>
  <c r="C30" i="5"/>
  <c r="J43" i="6"/>
  <c r="D43" i="6"/>
  <c r="C43" i="6"/>
  <c r="I170" i="10"/>
  <c r="D170" i="10"/>
  <c r="C170" i="10"/>
  <c r="J172" i="6"/>
  <c r="D172" i="6"/>
  <c r="C172" i="6"/>
  <c r="I173" i="10"/>
  <c r="D173" i="10"/>
  <c r="C173" i="10"/>
  <c r="I174" i="10"/>
  <c r="D174" i="10"/>
  <c r="C174" i="10"/>
  <c r="J176" i="6"/>
  <c r="D176" i="6"/>
  <c r="C176" i="6"/>
  <c r="M177" i="5"/>
  <c r="C177" i="5"/>
  <c r="I178" i="10"/>
  <c r="D178" i="10"/>
  <c r="C178" i="10"/>
  <c r="J180" i="6"/>
  <c r="D180" i="6"/>
  <c r="C180" i="6"/>
  <c r="J181" i="6"/>
  <c r="D181" i="6"/>
  <c r="C181" i="6"/>
  <c r="J182" i="6"/>
  <c r="D182" i="6"/>
  <c r="C182" i="6"/>
  <c r="I184" i="10"/>
  <c r="D184" i="10"/>
  <c r="C184" i="10"/>
  <c r="I185" i="10"/>
  <c r="D185" i="10"/>
  <c r="C185" i="10"/>
  <c r="J186" i="6"/>
  <c r="D186" i="6"/>
  <c r="C186" i="6"/>
  <c r="J188" i="6"/>
  <c r="D188" i="6"/>
  <c r="C188" i="6"/>
  <c r="J189" i="6"/>
  <c r="D189" i="6"/>
  <c r="C189" i="6"/>
  <c r="I190" i="10"/>
  <c r="D190" i="10"/>
  <c r="C190" i="10"/>
  <c r="J192" i="6"/>
  <c r="D192" i="6"/>
  <c r="C192" i="6"/>
  <c r="J193" i="6"/>
  <c r="D193" i="6"/>
  <c r="C193" i="6"/>
  <c r="I194" i="10"/>
  <c r="D194" i="10"/>
  <c r="C194" i="10"/>
  <c r="J196" i="6"/>
  <c r="D196" i="6"/>
  <c r="C196" i="6"/>
  <c r="M197" i="5"/>
  <c r="C197" i="5"/>
  <c r="I198" i="10"/>
  <c r="D198" i="10"/>
  <c r="C198" i="10"/>
  <c r="J200" i="6"/>
  <c r="D200" i="6"/>
  <c r="C200" i="6"/>
  <c r="I201" i="10"/>
  <c r="D201" i="10"/>
  <c r="C201" i="10"/>
  <c r="I203" i="10"/>
  <c r="D203" i="10"/>
  <c r="C203" i="10"/>
  <c r="J206" i="6"/>
  <c r="D206" i="6"/>
  <c r="C206" i="6"/>
  <c r="J8" i="6"/>
  <c r="D8" i="6"/>
  <c r="C8" i="6"/>
  <c r="D9" i="7"/>
  <c r="D10" i="7"/>
  <c r="D11" i="7"/>
  <c r="J12" i="6"/>
  <c r="D12" i="6"/>
  <c r="C12" i="6"/>
  <c r="M13" i="5"/>
  <c r="C13" i="5"/>
  <c r="J14" i="6"/>
  <c r="D14" i="6"/>
  <c r="C14" i="6"/>
  <c r="M15" i="5"/>
  <c r="C15" i="5"/>
  <c r="J16" i="6"/>
  <c r="D16" i="6"/>
  <c r="C16" i="6"/>
  <c r="J17" i="6"/>
  <c r="D17" i="6"/>
  <c r="C17" i="6"/>
  <c r="M18" i="5"/>
  <c r="C18" i="5"/>
  <c r="M20" i="5"/>
  <c r="C20" i="5"/>
  <c r="M23" i="5"/>
  <c r="C23" i="5"/>
  <c r="J25" i="6"/>
  <c r="D25" i="6"/>
  <c r="C25" i="6"/>
  <c r="M26" i="5"/>
  <c r="C26" i="5"/>
  <c r="J31" i="6"/>
  <c r="D31" i="6"/>
  <c r="C31" i="6"/>
  <c r="J32" i="6"/>
  <c r="D32" i="6"/>
  <c r="C32" i="6"/>
  <c r="M33" i="5"/>
  <c r="C33" i="5"/>
  <c r="M35" i="5"/>
  <c r="C35" i="5"/>
  <c r="J37" i="6"/>
  <c r="D37" i="6"/>
  <c r="C37" i="6"/>
  <c r="J41" i="6"/>
  <c r="D41" i="6"/>
  <c r="C41" i="6"/>
  <c r="M43" i="5"/>
  <c r="C43" i="5"/>
  <c r="M44" i="5"/>
  <c r="C44" i="5"/>
  <c r="M45" i="5"/>
  <c r="C45" i="5"/>
  <c r="M48" i="5"/>
  <c r="C48" i="5"/>
  <c r="J49" i="6"/>
  <c r="D49" i="6"/>
  <c r="C49" i="6"/>
  <c r="M50" i="5"/>
  <c r="C50" i="5"/>
  <c r="J51" i="6"/>
  <c r="D51" i="6"/>
  <c r="C51" i="6"/>
  <c r="J52" i="6"/>
  <c r="D52" i="6"/>
  <c r="C52" i="6"/>
  <c r="M53" i="5"/>
  <c r="C53" i="5"/>
  <c r="J54" i="6"/>
  <c r="D54" i="6"/>
  <c r="C54" i="6"/>
  <c r="M56" i="5"/>
  <c r="C56" i="5"/>
  <c r="M57" i="5"/>
  <c r="C57" i="5"/>
  <c r="M58" i="5"/>
  <c r="C58" i="5"/>
  <c r="M59" i="5"/>
  <c r="C59" i="5"/>
  <c r="J60" i="6"/>
  <c r="D60" i="6"/>
  <c r="C60" i="6"/>
  <c r="J62" i="6"/>
  <c r="D62" i="6"/>
  <c r="C62" i="6"/>
  <c r="M64" i="5"/>
  <c r="C64" i="5"/>
  <c r="J67" i="6"/>
  <c r="D67" i="6"/>
  <c r="C67" i="6"/>
  <c r="M69" i="5"/>
  <c r="C69" i="5"/>
  <c r="M70" i="5"/>
  <c r="C70" i="5"/>
  <c r="J74" i="6"/>
  <c r="D74" i="6"/>
  <c r="C74" i="6"/>
  <c r="M78" i="5"/>
  <c r="C78" i="5"/>
  <c r="J79" i="6"/>
  <c r="D79" i="6"/>
  <c r="C79" i="6"/>
  <c r="J80" i="6"/>
  <c r="D80" i="6"/>
  <c r="C80" i="6"/>
  <c r="M81" i="5"/>
  <c r="C81" i="5"/>
  <c r="M82" i="5"/>
  <c r="C82" i="5"/>
  <c r="M83" i="5"/>
  <c r="C83" i="5"/>
  <c r="M84" i="5"/>
  <c r="C84" i="5"/>
  <c r="J87" i="6"/>
  <c r="D87" i="6"/>
  <c r="C87" i="6"/>
  <c r="M88" i="5"/>
  <c r="C88" i="5"/>
  <c r="J89" i="6"/>
  <c r="D89" i="6"/>
  <c r="C89" i="6"/>
  <c r="M90" i="5"/>
  <c r="C90" i="5"/>
  <c r="M91" i="5"/>
  <c r="C91" i="5"/>
  <c r="J92" i="6"/>
  <c r="D92" i="6"/>
  <c r="C92" i="6"/>
  <c r="J93" i="6"/>
  <c r="D93" i="6"/>
  <c r="C93" i="6"/>
  <c r="J94" i="6"/>
  <c r="D94" i="6"/>
  <c r="C94" i="6"/>
  <c r="M95" i="5"/>
  <c r="C95" i="5"/>
  <c r="J96" i="6"/>
  <c r="D96" i="6"/>
  <c r="C96" i="6"/>
  <c r="J98" i="6"/>
  <c r="D98" i="6"/>
  <c r="C98" i="6"/>
  <c r="M99" i="5"/>
  <c r="C99" i="5"/>
  <c r="M103" i="5"/>
  <c r="C103" i="5"/>
  <c r="M104" i="5"/>
  <c r="C104" i="5"/>
  <c r="J106" i="6"/>
  <c r="D106" i="6"/>
  <c r="C106" i="6"/>
  <c r="J107" i="6"/>
  <c r="D107" i="6"/>
  <c r="C107" i="6"/>
  <c r="M109" i="5"/>
  <c r="C109" i="5"/>
  <c r="M111" i="5"/>
  <c r="C111" i="5"/>
  <c r="J114" i="6"/>
  <c r="D114" i="6"/>
  <c r="C114" i="6"/>
  <c r="J117" i="6"/>
  <c r="D117" i="6"/>
  <c r="C117" i="6"/>
  <c r="M119" i="5"/>
  <c r="C119" i="5"/>
  <c r="M123" i="5"/>
  <c r="C123" i="5"/>
  <c r="J130" i="6"/>
  <c r="D130" i="6"/>
  <c r="C130" i="6"/>
  <c r="J134" i="6"/>
  <c r="D134" i="6"/>
  <c r="C134" i="6"/>
  <c r="M135" i="5"/>
  <c r="C135" i="5"/>
  <c r="M136" i="5"/>
  <c r="C136" i="5"/>
  <c r="J139" i="6"/>
  <c r="D139" i="6"/>
  <c r="C139" i="6"/>
  <c r="J140" i="6"/>
  <c r="D140" i="6"/>
  <c r="C140" i="6"/>
  <c r="M141" i="5"/>
  <c r="C141" i="5"/>
  <c r="M144" i="5"/>
  <c r="C144" i="5"/>
  <c r="M146" i="5"/>
  <c r="C146" i="5"/>
  <c r="J148" i="6"/>
  <c r="D148" i="6"/>
  <c r="C148" i="6"/>
  <c r="M152" i="5"/>
  <c r="C152" i="5"/>
  <c r="J156" i="6"/>
  <c r="D156" i="6"/>
  <c r="C156" i="6"/>
  <c r="M157" i="5"/>
  <c r="C157" i="5"/>
  <c r="M160" i="5"/>
  <c r="C160" i="5"/>
  <c r="M163" i="5"/>
  <c r="C163" i="5"/>
  <c r="J167" i="6"/>
  <c r="D167" i="6"/>
  <c r="C167" i="6"/>
  <c r="J168" i="6"/>
  <c r="D168" i="6"/>
  <c r="C168" i="6"/>
  <c r="I8" i="10"/>
  <c r="D8" i="10"/>
  <c r="C8" i="10"/>
  <c r="I10" i="10"/>
  <c r="D10" i="10"/>
  <c r="C10" i="10"/>
  <c r="I12" i="10"/>
  <c r="D12" i="10"/>
  <c r="C12" i="10"/>
  <c r="I14" i="10"/>
  <c r="D14" i="10"/>
  <c r="C14" i="10"/>
  <c r="I16" i="10"/>
  <c r="D16" i="10"/>
  <c r="C16" i="10"/>
  <c r="I18" i="10"/>
  <c r="D18" i="10"/>
  <c r="C18" i="10"/>
  <c r="I20" i="10"/>
  <c r="D20" i="10"/>
  <c r="C20" i="10"/>
  <c r="I22" i="10"/>
  <c r="D22" i="10"/>
  <c r="C22" i="10"/>
  <c r="I24" i="10"/>
  <c r="D24" i="10"/>
  <c r="C24" i="10"/>
  <c r="I26" i="10"/>
  <c r="D26" i="10"/>
  <c r="C26" i="10"/>
  <c r="I28" i="10"/>
  <c r="D28" i="10"/>
  <c r="C28" i="10"/>
  <c r="I30" i="10"/>
  <c r="D30" i="10"/>
  <c r="C30" i="10"/>
  <c r="I32" i="10"/>
  <c r="D32" i="10"/>
  <c r="C32" i="10"/>
  <c r="I34" i="10"/>
  <c r="D34" i="10"/>
  <c r="C34" i="10"/>
  <c r="I36" i="10"/>
  <c r="D36" i="10"/>
  <c r="C36" i="10"/>
  <c r="I38" i="10"/>
  <c r="D38" i="10"/>
  <c r="C38" i="10"/>
  <c r="I40" i="10"/>
  <c r="D40" i="10"/>
  <c r="C40" i="10"/>
  <c r="I42" i="10"/>
  <c r="D42" i="10"/>
  <c r="C42" i="10"/>
  <c r="I44" i="10"/>
  <c r="D44" i="10"/>
  <c r="C44" i="10"/>
  <c r="I46" i="10"/>
  <c r="D46" i="10"/>
  <c r="C46" i="10"/>
  <c r="I48" i="10"/>
  <c r="D48" i="10"/>
  <c r="C48" i="10"/>
  <c r="I50" i="10"/>
  <c r="D50" i="10"/>
  <c r="C50" i="10"/>
  <c r="I52" i="10"/>
  <c r="D52" i="10"/>
  <c r="C52" i="10"/>
  <c r="I54" i="10"/>
  <c r="D54" i="10"/>
  <c r="C54" i="10"/>
  <c r="I56" i="10"/>
  <c r="D56" i="10"/>
  <c r="C56" i="10"/>
  <c r="I58" i="10"/>
  <c r="D58" i="10"/>
  <c r="C58" i="10"/>
  <c r="I60" i="10"/>
  <c r="D60" i="10"/>
  <c r="C60" i="10"/>
  <c r="I62" i="10"/>
  <c r="D62" i="10"/>
  <c r="C62" i="10"/>
  <c r="I64" i="10"/>
  <c r="D64" i="10"/>
  <c r="C64" i="10"/>
  <c r="I66" i="10"/>
  <c r="D66" i="10"/>
  <c r="C66" i="10"/>
  <c r="I68" i="10"/>
  <c r="D68" i="10"/>
  <c r="C68" i="10"/>
  <c r="I70" i="10"/>
  <c r="D70" i="10"/>
  <c r="C70" i="10"/>
  <c r="I72" i="10"/>
  <c r="D72" i="10"/>
  <c r="C72" i="10"/>
  <c r="I74" i="10"/>
  <c r="D74" i="10"/>
  <c r="C74" i="10"/>
  <c r="I76" i="10"/>
  <c r="D76" i="10"/>
  <c r="C76" i="10"/>
  <c r="I78" i="10"/>
  <c r="D78" i="10"/>
  <c r="C78" i="10"/>
  <c r="D141" i="11"/>
  <c r="C141" i="11"/>
  <c r="D145" i="11"/>
  <c r="C145" i="11"/>
  <c r="D149" i="11"/>
  <c r="C149" i="11"/>
  <c r="D153" i="11"/>
  <c r="C153" i="11"/>
  <c r="D157" i="11"/>
  <c r="C157" i="11"/>
  <c r="D161" i="11"/>
  <c r="C161" i="11"/>
  <c r="D165" i="11"/>
  <c r="C165" i="11"/>
  <c r="D169" i="11"/>
  <c r="C169" i="11"/>
  <c r="D81" i="11"/>
  <c r="C81" i="11"/>
  <c r="D83" i="11"/>
  <c r="C83" i="11"/>
  <c r="D85" i="11"/>
  <c r="C85" i="11"/>
  <c r="D87" i="11"/>
  <c r="C87" i="11"/>
  <c r="D89" i="11"/>
  <c r="C89" i="11"/>
  <c r="D91" i="11"/>
  <c r="C91" i="11"/>
  <c r="D93" i="11"/>
  <c r="C93" i="11"/>
  <c r="D95" i="11"/>
  <c r="C95" i="11"/>
  <c r="D97" i="11"/>
  <c r="C97" i="11"/>
  <c r="D99" i="11"/>
  <c r="C99" i="11"/>
  <c r="D101" i="11"/>
  <c r="C101" i="11"/>
  <c r="D103" i="11"/>
  <c r="C103" i="11"/>
  <c r="D105" i="11"/>
  <c r="C105" i="11"/>
  <c r="D107" i="11"/>
  <c r="C107" i="11"/>
  <c r="D109" i="11"/>
  <c r="C109" i="11"/>
  <c r="D111" i="11"/>
  <c r="C111" i="11"/>
  <c r="D113" i="11"/>
  <c r="C113" i="11"/>
  <c r="D115" i="11"/>
  <c r="C115" i="11"/>
  <c r="D117" i="11"/>
  <c r="C117" i="11"/>
  <c r="D119" i="11"/>
  <c r="C119" i="11"/>
  <c r="D121" i="11"/>
  <c r="C121" i="11"/>
  <c r="D123" i="11"/>
  <c r="C123" i="11"/>
  <c r="D125" i="11"/>
  <c r="C125" i="11"/>
  <c r="D127" i="11"/>
  <c r="C127" i="11"/>
  <c r="D129" i="11"/>
  <c r="C129" i="11"/>
  <c r="D131" i="11"/>
  <c r="C131" i="11"/>
  <c r="D133" i="11"/>
  <c r="C133" i="11"/>
  <c r="D135" i="11"/>
  <c r="C135" i="11"/>
  <c r="D137" i="11"/>
  <c r="C137" i="11"/>
  <c r="D139" i="11"/>
  <c r="C139" i="11"/>
  <c r="D201" i="11"/>
  <c r="C201" i="11"/>
  <c r="D203" i="11"/>
  <c r="C203" i="11"/>
  <c r="I205" i="10"/>
  <c r="D205" i="10"/>
  <c r="C205" i="10"/>
  <c r="D206" i="11"/>
  <c r="C206" i="11"/>
  <c r="C207" i="4"/>
  <c r="D207" i="4"/>
  <c r="D205" i="9"/>
  <c r="C205" i="9"/>
  <c r="J204" i="8"/>
  <c r="D204" i="8"/>
  <c r="C204" i="8"/>
  <c r="C203" i="4"/>
  <c r="D203" i="4"/>
  <c r="D201" i="9"/>
  <c r="C201" i="9"/>
  <c r="J200" i="8"/>
  <c r="D200" i="8"/>
  <c r="C200" i="8"/>
  <c r="D200" i="11"/>
  <c r="C200" i="11"/>
  <c r="J198" i="8"/>
  <c r="D198" i="8"/>
  <c r="C198" i="8"/>
  <c r="D198" i="11"/>
  <c r="C198" i="11"/>
  <c r="J196" i="8"/>
  <c r="D196" i="8"/>
  <c r="C196" i="8"/>
  <c r="D196" i="11"/>
  <c r="C196" i="11"/>
  <c r="J194" i="8"/>
  <c r="D194" i="8"/>
  <c r="C194" i="8"/>
  <c r="D194" i="11"/>
  <c r="C194" i="11"/>
  <c r="J192" i="8"/>
  <c r="D192" i="8"/>
  <c r="C192" i="8"/>
  <c r="D192" i="11"/>
  <c r="C192" i="11"/>
  <c r="J190" i="8"/>
  <c r="D190" i="8"/>
  <c r="C190" i="8"/>
  <c r="D190" i="11"/>
  <c r="C190" i="11"/>
  <c r="J188" i="8"/>
  <c r="D188" i="8"/>
  <c r="C188" i="8"/>
  <c r="D188" i="11"/>
  <c r="C188" i="11"/>
  <c r="J186" i="8"/>
  <c r="D186" i="8"/>
  <c r="C186" i="8"/>
  <c r="D186" i="11"/>
  <c r="C186" i="11"/>
  <c r="J184" i="8"/>
  <c r="D184" i="8"/>
  <c r="C184" i="8"/>
  <c r="D184" i="11"/>
  <c r="C184" i="11"/>
  <c r="J182" i="8"/>
  <c r="D182" i="8"/>
  <c r="C182" i="8"/>
  <c r="D182" i="11"/>
  <c r="C182" i="11"/>
  <c r="J180" i="8"/>
  <c r="D180" i="8"/>
  <c r="C180" i="8"/>
  <c r="D180" i="11"/>
  <c r="C180" i="11"/>
  <c r="J178" i="8"/>
  <c r="D178" i="8"/>
  <c r="C178" i="8"/>
  <c r="D178" i="11"/>
  <c r="C178" i="11"/>
  <c r="J176" i="8"/>
  <c r="D176" i="8"/>
  <c r="C176" i="8"/>
  <c r="D176" i="11"/>
  <c r="C176" i="11"/>
  <c r="J174" i="8"/>
  <c r="D174" i="8"/>
  <c r="C174" i="8"/>
  <c r="D174" i="11"/>
  <c r="C174" i="11"/>
  <c r="J172" i="8"/>
  <c r="D172" i="8"/>
  <c r="C172" i="8"/>
  <c r="D172" i="11"/>
  <c r="C172" i="11"/>
  <c r="J170" i="8"/>
  <c r="D170" i="8"/>
  <c r="C170" i="8"/>
  <c r="D170" i="11"/>
  <c r="C170" i="11"/>
  <c r="D168" i="9"/>
  <c r="C168" i="9"/>
  <c r="C167" i="4"/>
  <c r="D167" i="4"/>
  <c r="D166" i="9"/>
  <c r="C166" i="9"/>
  <c r="C165" i="4"/>
  <c r="D165" i="4"/>
  <c r="D164" i="9"/>
  <c r="C164" i="9"/>
  <c r="C163" i="4"/>
  <c r="D163" i="4"/>
  <c r="D162" i="9"/>
  <c r="C162" i="9"/>
  <c r="C161" i="4"/>
  <c r="D161" i="4"/>
  <c r="D160" i="9"/>
  <c r="C160" i="9"/>
  <c r="C159" i="4"/>
  <c r="D159" i="4"/>
  <c r="D158" i="9"/>
  <c r="C158" i="9"/>
  <c r="C157" i="4"/>
  <c r="D157" i="4"/>
  <c r="D156" i="9"/>
  <c r="C156" i="9"/>
  <c r="C155" i="4"/>
  <c r="D155" i="4"/>
  <c r="D154" i="9"/>
  <c r="C154" i="9"/>
  <c r="C153" i="4"/>
  <c r="D153" i="4"/>
  <c r="D152" i="9"/>
  <c r="C152" i="9"/>
  <c r="C151" i="4"/>
  <c r="D151" i="4"/>
  <c r="D150" i="9"/>
  <c r="C150" i="9"/>
  <c r="C149" i="4"/>
  <c r="D149" i="4"/>
  <c r="D148" i="9"/>
  <c r="C148" i="9"/>
  <c r="C147" i="4"/>
  <c r="D147" i="4"/>
  <c r="D146" i="9"/>
  <c r="C146" i="9"/>
  <c r="C145" i="4"/>
  <c r="D145" i="4"/>
  <c r="D144" i="9"/>
  <c r="C144" i="9"/>
  <c r="C143" i="4"/>
  <c r="D143" i="4"/>
  <c r="D142" i="9"/>
  <c r="C142" i="9"/>
  <c r="C141" i="4"/>
  <c r="D141" i="4"/>
  <c r="D140" i="9"/>
  <c r="C140" i="9"/>
  <c r="C139" i="4"/>
  <c r="D139" i="4"/>
  <c r="D137" i="9"/>
  <c r="C137" i="9"/>
  <c r="D136" i="8"/>
  <c r="C136" i="8"/>
  <c r="C135" i="4"/>
  <c r="D135" i="4"/>
  <c r="D133" i="9"/>
  <c r="C133" i="9"/>
  <c r="J132" i="8"/>
  <c r="D132" i="8"/>
  <c r="C132" i="8"/>
  <c r="C131" i="4"/>
  <c r="D131" i="4"/>
  <c r="D129" i="9"/>
  <c r="C129" i="9"/>
  <c r="D128" i="8"/>
  <c r="C128" i="8"/>
  <c r="M127" i="4"/>
  <c r="C127" i="4"/>
  <c r="D127" i="4"/>
  <c r="D125" i="9"/>
  <c r="C125" i="9"/>
  <c r="D124" i="8"/>
  <c r="C124" i="8"/>
  <c r="M123" i="4"/>
  <c r="C123" i="4"/>
  <c r="D123" i="4"/>
  <c r="N121" i="9"/>
  <c r="D121" i="9"/>
  <c r="C121" i="9"/>
  <c r="D120" i="8"/>
  <c r="C120" i="8"/>
  <c r="C119" i="4"/>
  <c r="D119" i="4"/>
  <c r="D117" i="9"/>
  <c r="C117" i="9"/>
  <c r="D116" i="8"/>
  <c r="C116" i="8"/>
  <c r="M115" i="4"/>
  <c r="C115" i="4"/>
  <c r="D115" i="4"/>
  <c r="D113" i="9"/>
  <c r="C113" i="9"/>
  <c r="D112" i="8"/>
  <c r="C112" i="8"/>
  <c r="C111" i="4"/>
  <c r="D111" i="4"/>
  <c r="D109" i="9"/>
  <c r="C109" i="9"/>
  <c r="D108" i="8"/>
  <c r="C108" i="8"/>
  <c r="C107" i="4"/>
  <c r="D107" i="4"/>
  <c r="D105" i="9"/>
  <c r="C105" i="9"/>
  <c r="J104" i="8"/>
  <c r="D104" i="8"/>
  <c r="C104" i="8"/>
  <c r="C103" i="4"/>
  <c r="D103" i="4"/>
  <c r="D101" i="9"/>
  <c r="C101" i="9"/>
  <c r="D100" i="8"/>
  <c r="C100" i="8"/>
  <c r="M99" i="4"/>
  <c r="C99" i="4"/>
  <c r="D99" i="4"/>
  <c r="D97" i="9"/>
  <c r="C97" i="9"/>
  <c r="D96" i="8"/>
  <c r="C96" i="8"/>
  <c r="C95" i="4"/>
  <c r="D95" i="4"/>
  <c r="D93" i="9"/>
  <c r="C93" i="9"/>
  <c r="D92" i="8"/>
  <c r="C92" i="8"/>
  <c r="M91" i="4"/>
  <c r="C91" i="4"/>
  <c r="D91" i="4"/>
  <c r="D89" i="9"/>
  <c r="C89" i="9"/>
  <c r="D88" i="8"/>
  <c r="C88" i="8"/>
  <c r="C87" i="4"/>
  <c r="D87" i="4"/>
  <c r="D85" i="9"/>
  <c r="C85" i="9"/>
  <c r="D84" i="8"/>
  <c r="C84" i="8"/>
  <c r="M83" i="4"/>
  <c r="C83" i="4"/>
  <c r="D83" i="4"/>
  <c r="D81" i="9"/>
  <c r="C81" i="9"/>
  <c r="D80" i="8"/>
  <c r="C80" i="8"/>
  <c r="M79" i="4"/>
  <c r="C79" i="4"/>
  <c r="D79" i="4"/>
  <c r="D77" i="9"/>
  <c r="C77" i="9"/>
  <c r="D76" i="8"/>
  <c r="C76" i="8"/>
  <c r="C75" i="4"/>
  <c r="D75" i="4"/>
  <c r="D73" i="9"/>
  <c r="C73" i="9"/>
  <c r="D72" i="8"/>
  <c r="C72" i="8"/>
  <c r="M71" i="4"/>
  <c r="C71" i="4"/>
  <c r="D71" i="4"/>
  <c r="D69" i="9"/>
  <c r="C69" i="9"/>
  <c r="D68" i="8"/>
  <c r="C68" i="8"/>
  <c r="M67" i="4"/>
  <c r="C67" i="4"/>
  <c r="D67" i="4"/>
  <c r="D65" i="9"/>
  <c r="C65" i="9"/>
  <c r="J64" i="8"/>
  <c r="D64" i="8"/>
  <c r="C64" i="8"/>
  <c r="M63" i="4"/>
  <c r="C63" i="4"/>
  <c r="D63" i="4"/>
  <c r="D61" i="9"/>
  <c r="C61" i="9"/>
  <c r="D60" i="8"/>
  <c r="C60" i="8"/>
  <c r="M59" i="4"/>
  <c r="C59" i="4"/>
  <c r="D59" i="4"/>
  <c r="D57" i="9"/>
  <c r="C57" i="9"/>
  <c r="D56" i="8"/>
  <c r="C56" i="8"/>
  <c r="M55" i="4"/>
  <c r="C55" i="4"/>
  <c r="D55" i="4"/>
  <c r="D53" i="9"/>
  <c r="C53" i="9"/>
  <c r="D52" i="8"/>
  <c r="C52" i="8"/>
  <c r="M51" i="4"/>
  <c r="C51" i="4"/>
  <c r="D51" i="4"/>
  <c r="D49" i="9"/>
  <c r="C49" i="9"/>
  <c r="D48" i="8"/>
  <c r="C48" i="8"/>
  <c r="C47" i="4"/>
  <c r="D47" i="4"/>
  <c r="D45" i="9"/>
  <c r="C45" i="9"/>
  <c r="D44" i="8"/>
  <c r="C44" i="8"/>
  <c r="M43" i="4"/>
  <c r="C43" i="4"/>
  <c r="D43" i="4"/>
  <c r="D41" i="9"/>
  <c r="C41" i="9"/>
  <c r="J40" i="8"/>
  <c r="D40" i="8"/>
  <c r="C40" i="8"/>
  <c r="M39" i="4"/>
  <c r="C39" i="4"/>
  <c r="D39" i="4"/>
  <c r="D37" i="9"/>
  <c r="C37" i="9"/>
  <c r="J36" i="8"/>
  <c r="D36" i="8"/>
  <c r="C36" i="8"/>
  <c r="M35" i="4"/>
  <c r="C35" i="4"/>
  <c r="D35" i="4"/>
  <c r="D33" i="9"/>
  <c r="C33" i="9"/>
  <c r="J32" i="8"/>
  <c r="D32" i="8"/>
  <c r="C32" i="8"/>
  <c r="C31" i="4"/>
  <c r="D31" i="4"/>
  <c r="D29" i="9"/>
  <c r="C29" i="9"/>
  <c r="J28" i="8"/>
  <c r="D28" i="8"/>
  <c r="C28" i="8"/>
  <c r="C27" i="4"/>
  <c r="D27" i="4"/>
  <c r="D25" i="9"/>
  <c r="C25" i="9"/>
  <c r="J24" i="8"/>
  <c r="D24" i="8"/>
  <c r="C24" i="8"/>
  <c r="C23" i="4"/>
  <c r="D23" i="4"/>
  <c r="D21" i="9"/>
  <c r="C21" i="9"/>
  <c r="J20" i="8"/>
  <c r="D20" i="8"/>
  <c r="C20" i="8"/>
  <c r="C19" i="4"/>
  <c r="D19" i="4"/>
  <c r="D17" i="9"/>
  <c r="C17" i="9"/>
  <c r="D15" i="9"/>
  <c r="C15" i="9"/>
  <c r="M14" i="4"/>
  <c r="C14" i="4"/>
  <c r="D13" i="9"/>
  <c r="C13" i="9"/>
  <c r="D11" i="9"/>
  <c r="C11" i="9"/>
  <c r="D9" i="9"/>
  <c r="C9" i="9"/>
  <c r="M8" i="4"/>
  <c r="C8" i="4"/>
  <c r="J504" i="8"/>
  <c r="D504" i="8"/>
  <c r="J500" i="8"/>
  <c r="D500" i="8"/>
  <c r="F518" i="3"/>
  <c r="D518" i="3"/>
  <c r="H518" i="3"/>
  <c r="L518" i="3"/>
  <c r="J484" i="8"/>
  <c r="D484" i="8"/>
  <c r="J472" i="8"/>
  <c r="D472" i="8"/>
  <c r="J468" i="8"/>
  <c r="D468" i="8"/>
  <c r="J486" i="3"/>
  <c r="M486" i="3" a="1"/>
  <c r="M486" i="3" s="1"/>
  <c r="H486" i="3"/>
  <c r="C486" i="3"/>
  <c r="L486" i="3"/>
  <c r="G486" i="3"/>
  <c r="N486" i="3"/>
  <c r="I486" i="3"/>
  <c r="D486" i="3"/>
  <c r="K486" i="3"/>
  <c r="E486" i="3"/>
  <c r="O464" i="11"/>
  <c r="D464" i="11"/>
  <c r="I460" i="10"/>
  <c r="D460" i="10"/>
  <c r="C460" i="10"/>
  <c r="K470" i="3"/>
  <c r="N470" i="3"/>
  <c r="D470" i="3"/>
  <c r="J470" i="3"/>
  <c r="D448" i="11"/>
  <c r="C448" i="11"/>
  <c r="O448" i="11"/>
  <c r="I444" i="10"/>
  <c r="D444" i="10"/>
  <c r="C444" i="10"/>
  <c r="J440" i="8"/>
  <c r="C440" i="8"/>
  <c r="J454" i="3"/>
  <c r="I454" i="3"/>
  <c r="N454" i="3"/>
  <c r="G454" i="3"/>
  <c r="M454" i="3" a="1"/>
  <c r="M454" i="3" s="1"/>
  <c r="E454" i="3"/>
  <c r="K454" i="3"/>
  <c r="C454" i="3"/>
  <c r="I432" i="10"/>
  <c r="D432" i="10"/>
  <c r="C432" i="10"/>
  <c r="I428" i="10"/>
  <c r="D428" i="10"/>
  <c r="C428" i="10"/>
  <c r="C424" i="9"/>
  <c r="K424" i="9"/>
  <c r="C420" i="5"/>
  <c r="M420" i="5"/>
  <c r="N420" i="9"/>
  <c r="K420" i="9"/>
  <c r="D420" i="9"/>
  <c r="C420" i="9"/>
  <c r="J438" i="3"/>
  <c r="N438" i="3"/>
  <c r="I438" i="3"/>
  <c r="D438" i="3"/>
  <c r="M438" i="3" a="1"/>
  <c r="M438" i="3" s="1"/>
  <c r="H438" i="3"/>
  <c r="C438" i="3"/>
  <c r="L438" i="3"/>
  <c r="G438" i="3"/>
  <c r="K438" i="3"/>
  <c r="E438" i="3"/>
  <c r="D416" i="7"/>
  <c r="C416" i="7"/>
  <c r="L416" i="7"/>
  <c r="C412" i="6"/>
  <c r="J412" i="6"/>
  <c r="D412" i="6"/>
  <c r="N408" i="9"/>
  <c r="D408" i="9"/>
  <c r="C408" i="9"/>
  <c r="K408" i="9"/>
  <c r="N404" i="9"/>
  <c r="D404" i="9"/>
  <c r="C404" i="9"/>
  <c r="K404" i="9"/>
  <c r="J422" i="3"/>
  <c r="K422" i="3"/>
  <c r="E422" i="3"/>
  <c r="N422" i="3"/>
  <c r="I422" i="3"/>
  <c r="D422" i="3"/>
  <c r="M422" i="3" a="1"/>
  <c r="M422" i="3" s="1"/>
  <c r="H422" i="3"/>
  <c r="C422" i="3"/>
  <c r="L422" i="3"/>
  <c r="G422" i="3"/>
  <c r="C400" i="6"/>
  <c r="J400" i="6"/>
  <c r="D400" i="6"/>
  <c r="D400" i="11"/>
  <c r="T400" i="11"/>
  <c r="O400" i="11"/>
  <c r="K400" i="11"/>
  <c r="C400" i="11"/>
  <c r="D396" i="7"/>
  <c r="C396" i="7"/>
  <c r="D396" i="11"/>
  <c r="K396" i="11"/>
  <c r="C396" i="11"/>
  <c r="T396" i="11"/>
  <c r="O396" i="11"/>
  <c r="J406" i="3"/>
  <c r="K406" i="3"/>
  <c r="E406" i="3"/>
  <c r="N406" i="3"/>
  <c r="I406" i="3"/>
  <c r="D406" i="3"/>
  <c r="M406" i="3" a="1"/>
  <c r="M406" i="3" s="1"/>
  <c r="H406" i="3"/>
  <c r="C406" i="3"/>
  <c r="L406" i="3"/>
  <c r="G406" i="3"/>
  <c r="C384" i="6"/>
  <c r="J384" i="6"/>
  <c r="D384" i="6"/>
  <c r="C384" i="11"/>
  <c r="D384" i="11"/>
  <c r="D380" i="7"/>
  <c r="C380" i="7"/>
  <c r="N376" i="9"/>
  <c r="C376" i="9"/>
  <c r="K376" i="9"/>
  <c r="D376" i="9"/>
  <c r="M372" i="4"/>
  <c r="D372" i="4"/>
  <c r="C372" i="4"/>
  <c r="C372" i="6"/>
  <c r="J372" i="6"/>
  <c r="D372" i="6"/>
  <c r="J390" i="3"/>
  <c r="N390" i="3"/>
  <c r="I390" i="3"/>
  <c r="D390" i="3"/>
  <c r="M390" i="3" a="1"/>
  <c r="M390" i="3" s="1"/>
  <c r="H390" i="3"/>
  <c r="C390" i="3"/>
  <c r="L390" i="3"/>
  <c r="G390" i="3"/>
  <c r="K390" i="3"/>
  <c r="E390" i="3"/>
  <c r="J368" i="8"/>
  <c r="C368" i="11"/>
  <c r="D368" i="11"/>
  <c r="D364" i="7"/>
  <c r="C364" i="7"/>
  <c r="M356" i="4"/>
  <c r="C356" i="4"/>
  <c r="J356" i="8"/>
  <c r="J374" i="3"/>
  <c r="D374" i="3"/>
  <c r="L374" i="3"/>
  <c r="H374" i="3"/>
  <c r="C352" i="8"/>
  <c r="D352" i="8"/>
  <c r="C348" i="6"/>
  <c r="J348" i="6"/>
  <c r="D348" i="6"/>
  <c r="M340" i="4"/>
  <c r="C340" i="4"/>
  <c r="D358" i="3"/>
  <c r="H358" i="3"/>
  <c r="L358" i="3"/>
  <c r="F358" i="3"/>
  <c r="J328" i="6"/>
  <c r="C328" i="6"/>
  <c r="D328" i="6"/>
  <c r="M324" i="5"/>
  <c r="C324" i="5"/>
  <c r="J338" i="3"/>
  <c r="N338" i="3"/>
  <c r="I338" i="3"/>
  <c r="D338" i="3"/>
  <c r="M338" i="3" a="1"/>
  <c r="M338" i="3" s="1"/>
  <c r="H338" i="3"/>
  <c r="C338" i="3"/>
  <c r="L338" i="3"/>
  <c r="G338" i="3"/>
  <c r="K338" i="3"/>
  <c r="E338" i="3"/>
  <c r="O316" i="11"/>
  <c r="C316" i="11"/>
  <c r="D316" i="11"/>
  <c r="C312" i="6"/>
  <c r="J312" i="6"/>
  <c r="D312" i="6"/>
  <c r="I312" i="10"/>
  <c r="D312" i="10"/>
  <c r="C308" i="6"/>
  <c r="J308" i="6"/>
  <c r="D308" i="6"/>
  <c r="C304" i="6"/>
  <c r="J304" i="6"/>
  <c r="D304" i="6"/>
  <c r="C300" i="6"/>
  <c r="J300" i="6"/>
  <c r="D300" i="6"/>
  <c r="C296" i="6"/>
  <c r="J296" i="6"/>
  <c r="D296" i="6"/>
  <c r="C292" i="6"/>
  <c r="J292" i="6"/>
  <c r="D292" i="6"/>
  <c r="C288" i="6"/>
  <c r="J288" i="6"/>
  <c r="D288" i="6"/>
  <c r="C284" i="6"/>
  <c r="J284" i="6"/>
  <c r="D284" i="6"/>
  <c r="C280" i="6"/>
  <c r="J280" i="6"/>
  <c r="D280" i="6"/>
  <c r="C276" i="6"/>
  <c r="J276" i="6"/>
  <c r="D276" i="6"/>
  <c r="C272" i="6"/>
  <c r="J272" i="6"/>
  <c r="D272" i="6"/>
  <c r="C268" i="6"/>
  <c r="J268" i="6"/>
  <c r="D268" i="6"/>
  <c r="C264" i="6"/>
  <c r="J264" i="6"/>
  <c r="D264" i="6"/>
  <c r="C260" i="6"/>
  <c r="J260" i="6"/>
  <c r="D260" i="6"/>
  <c r="C256" i="6"/>
  <c r="J256" i="6"/>
  <c r="D256" i="6"/>
  <c r="C252" i="6"/>
  <c r="J252" i="6"/>
  <c r="D252" i="6"/>
  <c r="C248" i="6"/>
  <c r="J248" i="6"/>
  <c r="D248" i="6"/>
  <c r="C244" i="6"/>
  <c r="J244" i="6"/>
  <c r="D244" i="6"/>
  <c r="C240" i="6"/>
  <c r="J240" i="6"/>
  <c r="D240" i="6"/>
  <c r="C236" i="6"/>
  <c r="J236" i="6"/>
  <c r="D236" i="6"/>
  <c r="C232" i="6"/>
  <c r="J232" i="6"/>
  <c r="D232" i="6"/>
  <c r="C228" i="6"/>
  <c r="J228" i="6"/>
  <c r="D228" i="6"/>
  <c r="C224" i="6"/>
  <c r="J224" i="6"/>
  <c r="D224" i="6"/>
  <c r="C220" i="6"/>
  <c r="J220" i="6"/>
  <c r="D220" i="6"/>
  <c r="C216" i="6"/>
  <c r="J216" i="6"/>
  <c r="D216" i="6"/>
  <c r="C212" i="6"/>
  <c r="J212" i="6"/>
  <c r="D212" i="6"/>
  <c r="C208" i="6"/>
  <c r="J208" i="6"/>
  <c r="D208" i="6"/>
  <c r="M277" i="4"/>
  <c r="C277" i="4"/>
  <c r="D277" i="4"/>
  <c r="M257" i="4"/>
  <c r="C257" i="4"/>
  <c r="D257" i="4"/>
  <c r="M241" i="4"/>
  <c r="C241" i="4"/>
  <c r="D241" i="4"/>
  <c r="C235" i="4"/>
  <c r="M235" i="4"/>
  <c r="D235" i="4"/>
  <c r="M229" i="4"/>
  <c r="C229" i="4"/>
  <c r="M221" i="4"/>
  <c r="C221" i="4"/>
  <c r="M213" i="4"/>
  <c r="C213" i="4"/>
  <c r="C503" i="5"/>
  <c r="M503" i="5"/>
  <c r="N503" i="9"/>
  <c r="C503" i="9"/>
  <c r="M499" i="5"/>
  <c r="C499" i="5"/>
  <c r="J499" i="8"/>
  <c r="D499" i="8"/>
  <c r="C499" i="8"/>
  <c r="H517" i="3"/>
  <c r="F517" i="3"/>
  <c r="C487" i="8"/>
  <c r="J487" i="8"/>
  <c r="D487" i="8"/>
  <c r="M483" i="5"/>
  <c r="C483" i="5"/>
  <c r="J483" i="8"/>
  <c r="D483" i="8"/>
  <c r="C483" i="8"/>
  <c r="M501" i="3" a="1"/>
  <c r="M501" i="3" s="1"/>
  <c r="I501" i="3"/>
  <c r="D501" i="3"/>
  <c r="H501" i="3"/>
  <c r="C501" i="3"/>
  <c r="K501" i="3"/>
  <c r="E501" i="3"/>
  <c r="G501" i="3"/>
  <c r="L501" i="3"/>
  <c r="M471" i="5"/>
  <c r="C471" i="5"/>
  <c r="N471" i="9"/>
  <c r="C471" i="9"/>
  <c r="N467" i="9"/>
  <c r="C467" i="9"/>
  <c r="K485" i="3"/>
  <c r="C485" i="3"/>
  <c r="I485" i="3"/>
  <c r="D463" i="11"/>
  <c r="C463" i="11"/>
  <c r="O463" i="11"/>
  <c r="I459" i="10"/>
  <c r="D459" i="10"/>
  <c r="C455" i="5"/>
  <c r="M455" i="5"/>
  <c r="N455" i="9"/>
  <c r="C455" i="9"/>
  <c r="M451" i="5"/>
  <c r="C451" i="5"/>
  <c r="D451" i="8"/>
  <c r="C451" i="8"/>
  <c r="J451" i="8"/>
  <c r="C447" i="11"/>
  <c r="O447" i="11"/>
  <c r="D447" i="11"/>
  <c r="J443" i="6"/>
  <c r="D443" i="6"/>
  <c r="C443" i="6"/>
  <c r="N439" i="9"/>
  <c r="C439" i="9"/>
  <c r="M435" i="5"/>
  <c r="C435" i="5"/>
  <c r="J435" i="8"/>
  <c r="D435" i="8"/>
  <c r="C435" i="8"/>
  <c r="J453" i="3"/>
  <c r="K453" i="3"/>
  <c r="E453" i="3"/>
  <c r="N453" i="3"/>
  <c r="I453" i="3"/>
  <c r="D453" i="3"/>
  <c r="M453" i="3" a="1"/>
  <c r="M453" i="3" s="1"/>
  <c r="H453" i="3"/>
  <c r="C453" i="3"/>
  <c r="L453" i="3"/>
  <c r="G453" i="3"/>
  <c r="O431" i="11"/>
  <c r="C431" i="11"/>
  <c r="M423" i="5"/>
  <c r="C423" i="5"/>
  <c r="C423" i="8"/>
  <c r="D419" i="8"/>
  <c r="C419" i="8"/>
  <c r="J437" i="3"/>
  <c r="M437" i="3" a="1"/>
  <c r="M437" i="3" s="1"/>
  <c r="E437" i="3"/>
  <c r="K437" i="3"/>
  <c r="C437" i="3"/>
  <c r="I437" i="3"/>
  <c r="N437" i="3"/>
  <c r="G437" i="3"/>
  <c r="D415" i="7"/>
  <c r="L415" i="7"/>
  <c r="C415" i="7"/>
  <c r="C411" i="6"/>
  <c r="J411" i="6"/>
  <c r="D411" i="6"/>
  <c r="N407" i="9"/>
  <c r="D407" i="9"/>
  <c r="D403" i="8"/>
  <c r="C403" i="8"/>
  <c r="J421" i="3"/>
  <c r="N421" i="3"/>
  <c r="G421" i="3"/>
  <c r="M421" i="3" a="1"/>
  <c r="M421" i="3" s="1"/>
  <c r="E421" i="3"/>
  <c r="K421" i="3"/>
  <c r="C421" i="3"/>
  <c r="I421" i="3"/>
  <c r="D399" i="7"/>
  <c r="L399" i="7"/>
  <c r="D399" i="11"/>
  <c r="T399" i="11"/>
  <c r="O399" i="11"/>
  <c r="C399" i="11"/>
  <c r="C395" i="6"/>
  <c r="J395" i="6"/>
  <c r="D395" i="6"/>
  <c r="D395" i="11"/>
  <c r="O395" i="11"/>
  <c r="C395" i="11"/>
  <c r="T395" i="11"/>
  <c r="C391" i="5"/>
  <c r="M391" i="5"/>
  <c r="I391" i="10"/>
  <c r="C391" i="10"/>
  <c r="D391" i="10"/>
  <c r="D387" i="8"/>
  <c r="C387" i="8"/>
  <c r="D383" i="7"/>
  <c r="L383" i="7"/>
  <c r="C383" i="11"/>
  <c r="D383" i="11"/>
  <c r="C379" i="8"/>
  <c r="N375" i="9"/>
  <c r="D375" i="9"/>
  <c r="C371" i="5"/>
  <c r="M371" i="5"/>
  <c r="C367" i="11"/>
  <c r="D367" i="11"/>
  <c r="D363" i="7"/>
  <c r="L363" i="7"/>
  <c r="C363" i="7"/>
  <c r="C359" i="5"/>
  <c r="M359" i="5"/>
  <c r="C359" i="9"/>
  <c r="K359" i="9"/>
  <c r="C347" i="6"/>
  <c r="J347" i="6"/>
  <c r="D347" i="6"/>
  <c r="M343" i="5"/>
  <c r="C343" i="5"/>
  <c r="N343" i="9"/>
  <c r="K343" i="9"/>
  <c r="D343" i="9"/>
  <c r="C343" i="9"/>
  <c r="J331" i="6"/>
  <c r="D331" i="6"/>
  <c r="C331" i="6"/>
  <c r="N327" i="9"/>
  <c r="K327" i="9"/>
  <c r="D327" i="9"/>
  <c r="C327" i="9"/>
  <c r="J341" i="3"/>
  <c r="I341" i="3"/>
  <c r="N341" i="3"/>
  <c r="G341" i="3"/>
  <c r="M341" i="3" a="1"/>
  <c r="M341" i="3" s="1"/>
  <c r="E341" i="3"/>
  <c r="K341" i="3"/>
  <c r="C341" i="3"/>
  <c r="O319" i="11"/>
  <c r="D319" i="11"/>
  <c r="C319" i="11"/>
  <c r="C315" i="6"/>
  <c r="J315" i="6"/>
  <c r="D315" i="6"/>
  <c r="I315" i="10"/>
  <c r="C315" i="10"/>
  <c r="N311" i="9"/>
  <c r="K311" i="9"/>
  <c r="D311" i="9"/>
  <c r="C311" i="9"/>
  <c r="J325" i="3"/>
  <c r="I325" i="3"/>
  <c r="N325" i="3"/>
  <c r="G325" i="3"/>
  <c r="M325" i="3" a="1"/>
  <c r="M325" i="3" s="1"/>
  <c r="E325" i="3"/>
  <c r="K325" i="3"/>
  <c r="C325" i="3"/>
  <c r="O303" i="11"/>
  <c r="D303" i="11"/>
  <c r="C303" i="11"/>
  <c r="C299" i="6"/>
  <c r="J299" i="6"/>
  <c r="D299" i="6"/>
  <c r="N295" i="9"/>
  <c r="K295" i="9"/>
  <c r="D295" i="9"/>
  <c r="C295" i="9"/>
  <c r="J309" i="3"/>
  <c r="I309" i="3"/>
  <c r="N309" i="3"/>
  <c r="G309" i="3"/>
  <c r="M309" i="3" a="1"/>
  <c r="M309" i="3" s="1"/>
  <c r="E309" i="3"/>
  <c r="K309" i="3"/>
  <c r="C309" i="3"/>
  <c r="C283" i="6"/>
  <c r="J283" i="6"/>
  <c r="D283" i="6"/>
  <c r="N279" i="9"/>
  <c r="K279" i="9"/>
  <c r="D279" i="9"/>
  <c r="C279" i="9"/>
  <c r="J275" i="8"/>
  <c r="D275" i="8"/>
  <c r="C275" i="8"/>
  <c r="J293" i="3"/>
  <c r="I293" i="3"/>
  <c r="N293" i="3"/>
  <c r="G293" i="3"/>
  <c r="M293" i="3" a="1"/>
  <c r="M293" i="3" s="1"/>
  <c r="E293" i="3"/>
  <c r="K293" i="3"/>
  <c r="C293" i="3"/>
  <c r="D271" i="8"/>
  <c r="C271" i="8"/>
  <c r="J271" i="8"/>
  <c r="C267" i="6"/>
  <c r="J267" i="6"/>
  <c r="D267" i="6"/>
  <c r="C263" i="6"/>
  <c r="J263" i="6"/>
  <c r="D263" i="6"/>
  <c r="C259" i="6"/>
  <c r="J259" i="6"/>
  <c r="D259" i="6"/>
  <c r="C255" i="6"/>
  <c r="J255" i="6"/>
  <c r="D255" i="6"/>
  <c r="C251" i="6"/>
  <c r="J251" i="6"/>
  <c r="D251" i="6"/>
  <c r="C247" i="6"/>
  <c r="J247" i="6"/>
  <c r="D247" i="6"/>
  <c r="C243" i="6"/>
  <c r="J243" i="6"/>
  <c r="D243" i="6"/>
  <c r="C239" i="6"/>
  <c r="J239" i="6"/>
  <c r="D239" i="6"/>
  <c r="C235" i="6"/>
  <c r="J235" i="6"/>
  <c r="D235" i="6"/>
  <c r="C231" i="6"/>
  <c r="J231" i="6"/>
  <c r="D231" i="6"/>
  <c r="C227" i="6"/>
  <c r="J227" i="6"/>
  <c r="D227" i="6"/>
  <c r="C223" i="6"/>
  <c r="J223" i="6"/>
  <c r="D223" i="6"/>
  <c r="C219" i="6"/>
  <c r="J219" i="6"/>
  <c r="D219" i="6"/>
  <c r="C215" i="6"/>
  <c r="J215" i="6"/>
  <c r="D215" i="6"/>
  <c r="C211" i="6"/>
  <c r="J211" i="6"/>
  <c r="D211" i="6"/>
  <c r="N211" i="9"/>
  <c r="C211" i="9"/>
  <c r="K211" i="9"/>
  <c r="D211" i="9"/>
  <c r="M502" i="5"/>
  <c r="C502" i="5"/>
  <c r="D498" i="4"/>
  <c r="M498" i="4"/>
  <c r="N498" i="9"/>
  <c r="C498" i="9"/>
  <c r="D498" i="9"/>
  <c r="L516" i="3"/>
  <c r="H516" i="3"/>
  <c r="D516" i="3"/>
  <c r="F516" i="3"/>
  <c r="M486" i="5"/>
  <c r="C486" i="5"/>
  <c r="N486" i="9"/>
  <c r="C486" i="9"/>
  <c r="D486" i="9"/>
  <c r="D482" i="4"/>
  <c r="M482" i="4"/>
  <c r="N482" i="9"/>
  <c r="D482" i="9"/>
  <c r="C482" i="9"/>
  <c r="J500" i="3"/>
  <c r="M500" i="3" a="1"/>
  <c r="M500" i="3" s="1"/>
  <c r="E500" i="3"/>
  <c r="K500" i="3"/>
  <c r="C500" i="3"/>
  <c r="N500" i="3"/>
  <c r="G500" i="3"/>
  <c r="I500" i="3"/>
  <c r="M470" i="5"/>
  <c r="C470" i="5"/>
  <c r="N470" i="9"/>
  <c r="D470" i="9"/>
  <c r="C470" i="9"/>
  <c r="M466" i="5"/>
  <c r="C466" i="5"/>
  <c r="D466" i="8"/>
  <c r="J484" i="3"/>
  <c r="K484" i="3"/>
  <c r="E484" i="3"/>
  <c r="N484" i="3"/>
  <c r="I484" i="3"/>
  <c r="D484" i="3"/>
  <c r="L484" i="3"/>
  <c r="G484" i="3"/>
  <c r="M484" i="3" a="1"/>
  <c r="M484" i="3" s="1"/>
  <c r="H484" i="3"/>
  <c r="C484" i="3"/>
  <c r="D462" i="11"/>
  <c r="O462" i="11"/>
  <c r="C462" i="11"/>
  <c r="I458" i="10"/>
  <c r="C458" i="10"/>
  <c r="M454" i="5"/>
  <c r="C454" i="5"/>
  <c r="D450" i="4"/>
  <c r="M450" i="4"/>
  <c r="C450" i="8"/>
  <c r="D450" i="8"/>
  <c r="F468" i="3"/>
  <c r="C468" i="3"/>
  <c r="H468" i="3"/>
  <c r="K468" i="3"/>
  <c r="J446" i="6"/>
  <c r="D446" i="6"/>
  <c r="D446" i="11"/>
  <c r="C446" i="11"/>
  <c r="O446" i="11"/>
  <c r="I442" i="10"/>
  <c r="C442" i="10"/>
  <c r="M438" i="5"/>
  <c r="C438" i="5"/>
  <c r="N438" i="9"/>
  <c r="D438" i="9"/>
  <c r="C438" i="9"/>
  <c r="M434" i="5"/>
  <c r="C434" i="5"/>
  <c r="N434" i="9"/>
  <c r="D434" i="9"/>
  <c r="C434" i="9"/>
  <c r="J452" i="3"/>
  <c r="N452" i="3"/>
  <c r="G452" i="3"/>
  <c r="M452" i="3" a="1"/>
  <c r="M452" i="3" s="1"/>
  <c r="E452" i="3"/>
  <c r="K452" i="3"/>
  <c r="C452" i="3"/>
  <c r="I452" i="3"/>
  <c r="O430" i="11"/>
  <c r="C430" i="11"/>
  <c r="J426" i="6"/>
  <c r="D426" i="6"/>
  <c r="C426" i="6"/>
  <c r="I426" i="10"/>
  <c r="C426" i="10"/>
  <c r="D422" i="4"/>
  <c r="C422" i="4"/>
  <c r="M422" i="4"/>
  <c r="D422" i="9"/>
  <c r="C422" i="9"/>
  <c r="K422" i="9"/>
  <c r="D418" i="4"/>
  <c r="M418" i="4"/>
  <c r="C418" i="4"/>
  <c r="J418" i="8"/>
  <c r="C418" i="8"/>
  <c r="D418" i="8"/>
  <c r="J436" i="3"/>
  <c r="M436" i="3" a="1"/>
  <c r="M436" i="3" s="1"/>
  <c r="H436" i="3"/>
  <c r="C436" i="3"/>
  <c r="L436" i="3"/>
  <c r="G436" i="3"/>
  <c r="K436" i="3"/>
  <c r="E436" i="3"/>
  <c r="N436" i="3"/>
  <c r="I436" i="3"/>
  <c r="D436" i="3"/>
  <c r="C414" i="6"/>
  <c r="J414" i="6"/>
  <c r="D414" i="6"/>
  <c r="D410" i="7"/>
  <c r="L410" i="7"/>
  <c r="C410" i="7"/>
  <c r="I410" i="10"/>
  <c r="D410" i="10"/>
  <c r="D406" i="9"/>
  <c r="K406" i="9"/>
  <c r="C406" i="9"/>
  <c r="C402" i="5"/>
  <c r="M402" i="5"/>
  <c r="D402" i="9"/>
  <c r="K402" i="9"/>
  <c r="C402" i="9"/>
  <c r="J420" i="3"/>
  <c r="N420" i="3"/>
  <c r="I420" i="3"/>
  <c r="D420" i="3"/>
  <c r="M420" i="3" a="1"/>
  <c r="M420" i="3" s="1"/>
  <c r="H420" i="3"/>
  <c r="C420" i="3"/>
  <c r="L420" i="3"/>
  <c r="G420" i="3"/>
  <c r="K420" i="3"/>
  <c r="E420" i="3"/>
  <c r="C398" i="6"/>
  <c r="J398" i="6"/>
  <c r="D398" i="6"/>
  <c r="D398" i="11"/>
  <c r="C398" i="11"/>
  <c r="T398" i="11"/>
  <c r="O398" i="11"/>
  <c r="K398" i="11"/>
  <c r="D394" i="7"/>
  <c r="L394" i="7"/>
  <c r="C394" i="7"/>
  <c r="D394" i="9"/>
  <c r="K394" i="9"/>
  <c r="C394" i="9"/>
  <c r="D390" i="4"/>
  <c r="C390" i="4"/>
  <c r="M390" i="4"/>
  <c r="I390" i="10"/>
  <c r="D390" i="10"/>
  <c r="D386" i="4"/>
  <c r="M386" i="4"/>
  <c r="C386" i="4"/>
  <c r="D386" i="9"/>
  <c r="K386" i="9"/>
  <c r="C386" i="9"/>
  <c r="J404" i="3"/>
  <c r="K404" i="3"/>
  <c r="E404" i="3"/>
  <c r="N404" i="3"/>
  <c r="I404" i="3"/>
  <c r="D404" i="3"/>
  <c r="M404" i="3" a="1"/>
  <c r="M404" i="3" s="1"/>
  <c r="H404" i="3"/>
  <c r="C404" i="3"/>
  <c r="L404" i="3"/>
  <c r="G404" i="3"/>
  <c r="C382" i="6"/>
  <c r="J382" i="6"/>
  <c r="D382" i="6"/>
  <c r="C382" i="11"/>
  <c r="D382" i="11"/>
  <c r="D378" i="7"/>
  <c r="L378" i="7"/>
  <c r="C378" i="7"/>
  <c r="C370" i="5"/>
  <c r="M370" i="5"/>
  <c r="C370" i="6"/>
  <c r="J370" i="6"/>
  <c r="D370" i="6"/>
  <c r="J388" i="3"/>
  <c r="L388" i="3"/>
  <c r="H388" i="3"/>
  <c r="D388" i="3"/>
  <c r="D366" i="7"/>
  <c r="L366" i="7"/>
  <c r="C366" i="7"/>
  <c r="C366" i="11"/>
  <c r="D366" i="11"/>
  <c r="J362" i="8"/>
  <c r="D362" i="8"/>
  <c r="C362" i="8"/>
  <c r="M358" i="4"/>
  <c r="D358" i="4"/>
  <c r="M354" i="4"/>
  <c r="D354" i="4"/>
  <c r="J354" i="8"/>
  <c r="C354" i="8"/>
  <c r="J372" i="3"/>
  <c r="H372" i="3"/>
  <c r="L372" i="3"/>
  <c r="D372" i="3"/>
  <c r="J350" i="8"/>
  <c r="C350" i="8"/>
  <c r="C346" i="6"/>
  <c r="J346" i="6"/>
  <c r="D346" i="6"/>
  <c r="F356" i="3"/>
  <c r="H356" i="3"/>
  <c r="D356" i="3"/>
  <c r="L356" i="3"/>
  <c r="D334" i="7"/>
  <c r="L334" i="7"/>
  <c r="C334" i="7"/>
  <c r="J330" i="6"/>
  <c r="D330" i="6"/>
  <c r="C330" i="6"/>
  <c r="C326" i="5"/>
  <c r="M326" i="5"/>
  <c r="M322" i="5"/>
  <c r="C322" i="5"/>
  <c r="J340" i="3"/>
  <c r="K340" i="3"/>
  <c r="E340" i="3"/>
  <c r="N340" i="3"/>
  <c r="I340" i="3"/>
  <c r="D340" i="3"/>
  <c r="M340" i="3" a="1"/>
  <c r="M340" i="3" s="1"/>
  <c r="H340" i="3"/>
  <c r="C340" i="3"/>
  <c r="L340" i="3"/>
  <c r="G340" i="3"/>
  <c r="D318" i="7"/>
  <c r="L318" i="7"/>
  <c r="C318" i="7"/>
  <c r="O318" i="11"/>
  <c r="D318" i="11"/>
  <c r="C318" i="11"/>
  <c r="C314" i="6"/>
  <c r="J314" i="6"/>
  <c r="D314" i="6"/>
  <c r="C310" i="5"/>
  <c r="M310" i="5"/>
  <c r="C310" i="9"/>
  <c r="D310" i="9"/>
  <c r="M306" i="5"/>
  <c r="C306" i="5"/>
  <c r="J324" i="3"/>
  <c r="K324" i="3"/>
  <c r="E324" i="3"/>
  <c r="N324" i="3"/>
  <c r="I324" i="3"/>
  <c r="D324" i="3"/>
  <c r="M324" i="3" a="1"/>
  <c r="M324" i="3" s="1"/>
  <c r="H324" i="3"/>
  <c r="C324" i="3"/>
  <c r="L324" i="3"/>
  <c r="G324" i="3"/>
  <c r="O302" i="11"/>
  <c r="D302" i="11"/>
  <c r="C302" i="11"/>
  <c r="C298" i="6"/>
  <c r="J298" i="6"/>
  <c r="D298" i="6"/>
  <c r="C294" i="5"/>
  <c r="M294" i="5"/>
  <c r="C294" i="9"/>
  <c r="D294" i="9"/>
  <c r="M290" i="5"/>
  <c r="C290" i="5"/>
  <c r="J308" i="3"/>
  <c r="K308" i="3"/>
  <c r="E308" i="3"/>
  <c r="N308" i="3"/>
  <c r="I308" i="3"/>
  <c r="D308" i="3"/>
  <c r="M308" i="3" a="1"/>
  <c r="M308" i="3" s="1"/>
  <c r="H308" i="3"/>
  <c r="C308" i="3"/>
  <c r="L308" i="3"/>
  <c r="G308" i="3"/>
  <c r="O286" i="11"/>
  <c r="D286" i="11"/>
  <c r="C286" i="11"/>
  <c r="C282" i="6"/>
  <c r="J282" i="6"/>
  <c r="D282" i="6"/>
  <c r="M278" i="4"/>
  <c r="D278" i="4"/>
  <c r="C278" i="9"/>
  <c r="D278" i="9"/>
  <c r="M274" i="4"/>
  <c r="D274" i="4"/>
  <c r="J292" i="3"/>
  <c r="K292" i="3"/>
  <c r="E292" i="3"/>
  <c r="N292" i="3"/>
  <c r="I292" i="3"/>
  <c r="D292" i="3"/>
  <c r="M292" i="3" a="1"/>
  <c r="M292" i="3" s="1"/>
  <c r="H292" i="3"/>
  <c r="C292" i="3"/>
  <c r="L292" i="3"/>
  <c r="G292" i="3"/>
  <c r="C270" i="8"/>
  <c r="D270" i="8"/>
  <c r="J288" i="3"/>
  <c r="K288" i="3"/>
  <c r="E288" i="3"/>
  <c r="N288" i="3"/>
  <c r="I288" i="3"/>
  <c r="D288" i="3"/>
  <c r="M288" i="3" a="1"/>
  <c r="M288" i="3" s="1"/>
  <c r="C288" i="3"/>
  <c r="L288" i="3"/>
  <c r="H288" i="3"/>
  <c r="G288" i="3"/>
  <c r="C266" i="8"/>
  <c r="D266" i="8"/>
  <c r="D266" i="11"/>
  <c r="C266" i="11"/>
  <c r="C262" i="8"/>
  <c r="D262" i="8"/>
  <c r="J254" i="8"/>
  <c r="C254" i="8"/>
  <c r="J246" i="8"/>
  <c r="C246" i="8"/>
  <c r="J238" i="8"/>
  <c r="C238" i="8"/>
  <c r="J230" i="8"/>
  <c r="C230" i="8"/>
  <c r="J222" i="8"/>
  <c r="C222" i="8"/>
  <c r="C210" i="8"/>
  <c r="J210" i="8"/>
  <c r="C210" i="11"/>
  <c r="O210" i="11"/>
  <c r="D497" i="4"/>
  <c r="C497" i="4"/>
  <c r="M497" i="4"/>
  <c r="N497" i="9"/>
  <c r="C497" i="9"/>
  <c r="K497" i="9"/>
  <c r="D497" i="9"/>
  <c r="D493" i="8"/>
  <c r="C493" i="8"/>
  <c r="J493" i="8"/>
  <c r="D481" i="4"/>
  <c r="C481" i="4"/>
  <c r="M481" i="4"/>
  <c r="N481" i="9"/>
  <c r="K481" i="9"/>
  <c r="D481" i="9"/>
  <c r="C481" i="9"/>
  <c r="N477" i="9"/>
  <c r="D477" i="9"/>
  <c r="C477" i="9"/>
  <c r="K477" i="9"/>
  <c r="D473" i="11"/>
  <c r="O473" i="11"/>
  <c r="C473" i="11"/>
  <c r="N465" i="9"/>
  <c r="C465" i="9"/>
  <c r="K465" i="9"/>
  <c r="D465" i="9"/>
  <c r="D461" i="4"/>
  <c r="M461" i="4"/>
  <c r="C461" i="4"/>
  <c r="D461" i="8"/>
  <c r="J461" i="8"/>
  <c r="C461" i="8"/>
  <c r="D457" i="11"/>
  <c r="C457" i="11"/>
  <c r="O457" i="11"/>
  <c r="D449" i="4"/>
  <c r="C449" i="4"/>
  <c r="M449" i="4"/>
  <c r="N449" i="9"/>
  <c r="K449" i="9"/>
  <c r="D449" i="9"/>
  <c r="C449" i="9"/>
  <c r="D445" i="4"/>
  <c r="M445" i="4"/>
  <c r="C445" i="4"/>
  <c r="N445" i="9"/>
  <c r="K445" i="9"/>
  <c r="D445" i="9"/>
  <c r="C445" i="9"/>
  <c r="L463" i="3"/>
  <c r="D463" i="3"/>
  <c r="F463" i="3"/>
  <c r="I463" i="3"/>
  <c r="E463" i="3"/>
  <c r="C441" i="11"/>
  <c r="O441" i="11"/>
  <c r="D441" i="11"/>
  <c r="J437" i="6"/>
  <c r="C437" i="6"/>
  <c r="O437" i="11"/>
  <c r="D437" i="11"/>
  <c r="C437" i="11"/>
  <c r="D433" i="4"/>
  <c r="M433" i="4"/>
  <c r="C433" i="4"/>
  <c r="D429" i="8"/>
  <c r="C429" i="8"/>
  <c r="J447" i="3"/>
  <c r="L447" i="3"/>
  <c r="G447" i="3"/>
  <c r="K447" i="3"/>
  <c r="E447" i="3"/>
  <c r="N447" i="3"/>
  <c r="I447" i="3"/>
  <c r="D447" i="3"/>
  <c r="M447" i="3" a="1"/>
  <c r="M447" i="3" s="1"/>
  <c r="H447" i="3"/>
  <c r="C447" i="3"/>
  <c r="L425" i="7"/>
  <c r="C425" i="7"/>
  <c r="D425" i="7"/>
  <c r="D421" i="7"/>
  <c r="L421" i="7"/>
  <c r="C421" i="7"/>
  <c r="M417" i="5"/>
  <c r="C417" i="5"/>
  <c r="D413" i="4"/>
  <c r="M413" i="4"/>
  <c r="C413" i="4"/>
  <c r="J413" i="8"/>
  <c r="D413" i="8"/>
  <c r="C413" i="8"/>
  <c r="J431" i="3"/>
  <c r="M431" i="3" a="1"/>
  <c r="M431" i="3" s="1"/>
  <c r="E431" i="3"/>
  <c r="I431" i="3"/>
  <c r="K431" i="3"/>
  <c r="G431" i="3"/>
  <c r="C431" i="3"/>
  <c r="N431" i="3"/>
  <c r="C405" i="6"/>
  <c r="J405" i="6"/>
  <c r="D405" i="6"/>
  <c r="C405" i="11"/>
  <c r="O405" i="11"/>
  <c r="J397" i="8"/>
  <c r="D397" i="8"/>
  <c r="C397" i="8"/>
  <c r="J415" i="3"/>
  <c r="I415" i="3"/>
  <c r="N415" i="3"/>
  <c r="G415" i="3"/>
  <c r="M415" i="3" a="1"/>
  <c r="M415" i="3" s="1"/>
  <c r="E415" i="3"/>
  <c r="K415" i="3"/>
  <c r="C415" i="3"/>
  <c r="D393" i="11"/>
  <c r="T393" i="11"/>
  <c r="O393" i="11"/>
  <c r="C393" i="11"/>
  <c r="C389" i="6"/>
  <c r="J389" i="6"/>
  <c r="D389" i="6"/>
  <c r="C389" i="8"/>
  <c r="J389" i="8"/>
  <c r="D389" i="8"/>
  <c r="J385" i="8"/>
  <c r="D385" i="8"/>
  <c r="C385" i="8"/>
  <c r="D381" i="4"/>
  <c r="M381" i="4"/>
  <c r="C381" i="4"/>
  <c r="K399" i="3"/>
  <c r="E399" i="3"/>
  <c r="N399" i="3"/>
  <c r="J399" i="3"/>
  <c r="C377" i="8"/>
  <c r="J377" i="8"/>
  <c r="D377" i="8"/>
  <c r="C377" i="11"/>
  <c r="D377" i="11"/>
  <c r="J373" i="8"/>
  <c r="D373" i="8"/>
  <c r="C373" i="8"/>
  <c r="J365" i="8"/>
  <c r="D365" i="8"/>
  <c r="C365" i="8"/>
  <c r="C361" i="6"/>
  <c r="J361" i="6"/>
  <c r="D361" i="6"/>
  <c r="C361" i="11"/>
  <c r="D361" i="11"/>
  <c r="C357" i="6"/>
  <c r="J357" i="6"/>
  <c r="D357" i="6"/>
  <c r="M353" i="4"/>
  <c r="D353" i="4"/>
  <c r="C353" i="4"/>
  <c r="K353" i="9"/>
  <c r="D353" i="9"/>
  <c r="M349" i="4"/>
  <c r="D349" i="4"/>
  <c r="C349" i="4"/>
  <c r="D349" i="8"/>
  <c r="C349" i="8"/>
  <c r="J349" i="8"/>
  <c r="D345" i="7"/>
  <c r="L345" i="7"/>
  <c r="C345" i="7"/>
  <c r="J341" i="6"/>
  <c r="D341" i="6"/>
  <c r="C341" i="6"/>
  <c r="D341" i="9"/>
  <c r="K341" i="9"/>
  <c r="C341" i="9"/>
  <c r="M337" i="4"/>
  <c r="D337" i="4"/>
  <c r="C337" i="4"/>
  <c r="D337" i="9"/>
  <c r="K337" i="9"/>
  <c r="C337" i="9"/>
  <c r="C333" i="5"/>
  <c r="M333" i="5"/>
  <c r="D333" i="7"/>
  <c r="L333" i="7"/>
  <c r="C333" i="7"/>
  <c r="H351" i="3"/>
  <c r="F351" i="3"/>
  <c r="D329" i="7"/>
  <c r="L329" i="7"/>
  <c r="C329" i="7"/>
  <c r="J325" i="6"/>
  <c r="D325" i="6"/>
  <c r="C325" i="6"/>
  <c r="D325" i="9"/>
  <c r="K325" i="9"/>
  <c r="C325" i="9"/>
  <c r="M321" i="4"/>
  <c r="D321" i="4"/>
  <c r="C321" i="4"/>
  <c r="D321" i="9"/>
  <c r="K321" i="9"/>
  <c r="C321" i="9"/>
  <c r="C317" i="5"/>
  <c r="M317" i="5"/>
  <c r="D317" i="7"/>
  <c r="L317" i="7"/>
  <c r="C317" i="7"/>
  <c r="J335" i="3"/>
  <c r="K335" i="3"/>
  <c r="C335" i="3"/>
  <c r="I335" i="3"/>
  <c r="N335" i="3"/>
  <c r="G335" i="3"/>
  <c r="M335" i="3" a="1"/>
  <c r="M335" i="3" s="1"/>
  <c r="E335" i="3"/>
  <c r="D313" i="7"/>
  <c r="L313" i="7"/>
  <c r="C313" i="7"/>
  <c r="O313" i="11"/>
  <c r="D313" i="11"/>
  <c r="C313" i="11"/>
  <c r="C309" i="6"/>
  <c r="J309" i="6"/>
  <c r="D309" i="6"/>
  <c r="D309" i="9"/>
  <c r="K309" i="9"/>
  <c r="C309" i="9"/>
  <c r="M305" i="4"/>
  <c r="C305" i="4"/>
  <c r="D305" i="4"/>
  <c r="D305" i="9"/>
  <c r="K305" i="9"/>
  <c r="C305" i="9"/>
  <c r="C301" i="5"/>
  <c r="M301" i="5"/>
  <c r="J319" i="3"/>
  <c r="K319" i="3"/>
  <c r="C319" i="3"/>
  <c r="I319" i="3"/>
  <c r="N319" i="3"/>
  <c r="G319" i="3"/>
  <c r="M319" i="3" a="1"/>
  <c r="M319" i="3" s="1"/>
  <c r="E319" i="3"/>
  <c r="C293" i="6"/>
  <c r="J293" i="6"/>
  <c r="D293" i="6"/>
  <c r="D293" i="9"/>
  <c r="K293" i="9"/>
  <c r="C293" i="9"/>
  <c r="M289" i="4"/>
  <c r="C289" i="4"/>
  <c r="D289" i="4"/>
  <c r="D289" i="9"/>
  <c r="K289" i="9"/>
  <c r="C289" i="9"/>
  <c r="J303" i="3"/>
  <c r="K303" i="3"/>
  <c r="C303" i="3"/>
  <c r="I303" i="3"/>
  <c r="N303" i="3"/>
  <c r="G303" i="3"/>
  <c r="M303" i="3" a="1"/>
  <c r="M303" i="3" s="1"/>
  <c r="E303" i="3"/>
  <c r="J299" i="3"/>
  <c r="N299" i="3"/>
  <c r="G299" i="3"/>
  <c r="M299" i="3" a="1"/>
  <c r="M299" i="3" s="1"/>
  <c r="E299" i="3"/>
  <c r="K299" i="3"/>
  <c r="C299" i="3"/>
  <c r="I299" i="3"/>
  <c r="C277" i="8"/>
  <c r="J295" i="3"/>
  <c r="K295" i="3"/>
  <c r="C295" i="3"/>
  <c r="I295" i="3"/>
  <c r="N295" i="3"/>
  <c r="G295" i="3"/>
  <c r="M295" i="3" a="1"/>
  <c r="M295" i="3" s="1"/>
  <c r="E295" i="3"/>
  <c r="J291" i="3"/>
  <c r="K291" i="3"/>
  <c r="C291" i="3"/>
  <c r="I291" i="3"/>
  <c r="G291" i="3"/>
  <c r="E291" i="3"/>
  <c r="N291" i="3"/>
  <c r="M291" i="3" a="1"/>
  <c r="M291" i="3" s="1"/>
  <c r="O265" i="11"/>
  <c r="D265" i="11"/>
  <c r="K213" i="11"/>
  <c r="D213" i="11"/>
  <c r="C209" i="11"/>
  <c r="O209" i="11"/>
  <c r="D209" i="11"/>
  <c r="J332" i="6"/>
  <c r="C332" i="6"/>
  <c r="D332" i="6"/>
  <c r="J177" i="6"/>
  <c r="D177" i="6"/>
  <c r="C177" i="6"/>
  <c r="I181" i="10"/>
  <c r="D181" i="10"/>
  <c r="C181" i="10"/>
  <c r="M182" i="5"/>
  <c r="C182" i="5"/>
  <c r="M190" i="5"/>
  <c r="C190" i="5"/>
  <c r="I195" i="10"/>
  <c r="D195" i="10"/>
  <c r="C195" i="10"/>
  <c r="I199" i="10"/>
  <c r="D199" i="10"/>
  <c r="C199" i="10"/>
  <c r="J201" i="6"/>
  <c r="D201" i="6"/>
  <c r="C201" i="6"/>
  <c r="M9" i="5"/>
  <c r="C9" i="5"/>
  <c r="J11" i="6"/>
  <c r="D11" i="6"/>
  <c r="C11" i="6"/>
  <c r="M14" i="5"/>
  <c r="C14" i="5"/>
  <c r="M19" i="5"/>
  <c r="C19" i="5"/>
  <c r="M25" i="5"/>
  <c r="C25" i="5"/>
  <c r="J29" i="6"/>
  <c r="D29" i="6"/>
  <c r="C29" i="6"/>
  <c r="J42" i="6"/>
  <c r="D42" i="6"/>
  <c r="C42" i="6"/>
  <c r="J45" i="6"/>
  <c r="D45" i="6"/>
  <c r="C45" i="6"/>
  <c r="M54" i="5"/>
  <c r="C54" i="5"/>
  <c r="J55" i="6"/>
  <c r="D55" i="6"/>
  <c r="C55" i="6"/>
  <c r="M60" i="5"/>
  <c r="C60" i="5"/>
  <c r="M63" i="5"/>
  <c r="C63" i="5"/>
  <c r="J69" i="6"/>
  <c r="D69" i="6"/>
  <c r="C69" i="6"/>
  <c r="M171" i="5"/>
  <c r="C171" i="5"/>
  <c r="I177" i="10"/>
  <c r="D177" i="10"/>
  <c r="C177" i="10"/>
  <c r="M180" i="5"/>
  <c r="C180" i="5"/>
  <c r="M181" i="5"/>
  <c r="C181" i="5"/>
  <c r="M184" i="5"/>
  <c r="C184" i="5"/>
  <c r="I191" i="10"/>
  <c r="D191" i="10"/>
  <c r="C191" i="10"/>
  <c r="J195" i="6"/>
  <c r="D195" i="6"/>
  <c r="C195" i="6"/>
  <c r="M196" i="5"/>
  <c r="C196" i="5"/>
  <c r="M200" i="5"/>
  <c r="C200" i="5"/>
  <c r="J207" i="6"/>
  <c r="D207" i="6"/>
  <c r="C207" i="6"/>
  <c r="M22" i="5"/>
  <c r="C22" i="5"/>
  <c r="M24" i="5"/>
  <c r="C24" i="5"/>
  <c r="J26" i="6"/>
  <c r="D26" i="6"/>
  <c r="C26" i="6"/>
  <c r="M27" i="5"/>
  <c r="C27" i="5"/>
  <c r="M28" i="5"/>
  <c r="C28" i="5"/>
  <c r="M29" i="5"/>
  <c r="C29" i="5"/>
  <c r="M32" i="5"/>
  <c r="C32" i="5"/>
  <c r="J33" i="6"/>
  <c r="D33" i="6"/>
  <c r="C33" i="6"/>
  <c r="M36" i="5"/>
  <c r="C36" i="5"/>
  <c r="M38" i="5"/>
  <c r="C38" i="5"/>
  <c r="M39" i="5"/>
  <c r="C39" i="5"/>
  <c r="J40" i="6"/>
  <c r="D40" i="6"/>
  <c r="C40" i="6"/>
  <c r="J59" i="6"/>
  <c r="D59" i="6"/>
  <c r="C59" i="6"/>
  <c r="J63" i="6"/>
  <c r="D63" i="6"/>
  <c r="C63" i="6"/>
  <c r="M65" i="5"/>
  <c r="C65" i="5"/>
  <c r="M68" i="5"/>
  <c r="C68" i="5"/>
  <c r="J72" i="6"/>
  <c r="D72" i="6"/>
  <c r="C72" i="6"/>
  <c r="J73" i="6"/>
  <c r="D73" i="6"/>
  <c r="C73" i="6"/>
  <c r="J75" i="6"/>
  <c r="D75" i="6"/>
  <c r="C75" i="6"/>
  <c r="J76" i="6"/>
  <c r="D76" i="6"/>
  <c r="C76" i="6"/>
  <c r="J78" i="6"/>
  <c r="D78" i="6"/>
  <c r="C78" i="6"/>
  <c r="M96" i="5"/>
  <c r="C96" i="5"/>
  <c r="J100" i="6"/>
  <c r="D100" i="6"/>
  <c r="C100" i="6"/>
  <c r="M102" i="5"/>
  <c r="C102" i="5"/>
  <c r="M108" i="5"/>
  <c r="C108" i="5"/>
  <c r="J115" i="6"/>
  <c r="D115" i="6"/>
  <c r="C115" i="6"/>
  <c r="M121" i="5"/>
  <c r="C121" i="5"/>
  <c r="J124" i="6"/>
  <c r="D124" i="6"/>
  <c r="C124" i="6"/>
  <c r="J125" i="6"/>
  <c r="D125" i="6"/>
  <c r="C125" i="6"/>
  <c r="M126" i="5"/>
  <c r="C126" i="5"/>
  <c r="M127" i="5"/>
  <c r="C127" i="5"/>
  <c r="M128" i="5"/>
  <c r="C128" i="5"/>
  <c r="M129" i="5"/>
  <c r="C129" i="5"/>
  <c r="M131" i="5"/>
  <c r="C131" i="5"/>
  <c r="J133" i="6"/>
  <c r="D133" i="6"/>
  <c r="C133" i="6"/>
  <c r="J143" i="6"/>
  <c r="D143" i="6"/>
  <c r="C143" i="6"/>
  <c r="J145" i="6"/>
  <c r="D145" i="6"/>
  <c r="C145" i="6"/>
  <c r="J146" i="6"/>
  <c r="D146" i="6"/>
  <c r="C146" i="6"/>
  <c r="M148" i="5"/>
  <c r="C148" i="5"/>
  <c r="J149" i="6"/>
  <c r="D149" i="6"/>
  <c r="C149" i="6"/>
  <c r="J150" i="6"/>
  <c r="D150" i="6"/>
  <c r="C150" i="6"/>
  <c r="J152" i="6"/>
  <c r="D152" i="6"/>
  <c r="C152" i="6"/>
  <c r="J153" i="6"/>
  <c r="D153" i="6"/>
  <c r="C153" i="6"/>
  <c r="J155" i="6"/>
  <c r="D155" i="6"/>
  <c r="C155" i="6"/>
  <c r="J165" i="6"/>
  <c r="D165" i="6"/>
  <c r="C165" i="6"/>
  <c r="D9" i="11"/>
  <c r="C9" i="11"/>
  <c r="D11" i="11"/>
  <c r="C11" i="11"/>
  <c r="D13" i="11"/>
  <c r="C13" i="11"/>
  <c r="D15" i="11"/>
  <c r="C15" i="11"/>
  <c r="D17" i="11"/>
  <c r="C17" i="11"/>
  <c r="D21" i="11"/>
  <c r="C21" i="11"/>
  <c r="D23" i="11"/>
  <c r="C23" i="11"/>
  <c r="D25" i="11"/>
  <c r="C25" i="11"/>
  <c r="D27" i="11"/>
  <c r="C27" i="11"/>
  <c r="D29" i="11"/>
  <c r="C29" i="11"/>
  <c r="D31" i="11"/>
  <c r="C31" i="11"/>
  <c r="D33" i="11"/>
  <c r="C33" i="11"/>
  <c r="D35" i="11"/>
  <c r="C35" i="11"/>
  <c r="D37" i="11"/>
  <c r="C37" i="11"/>
  <c r="D39" i="11"/>
  <c r="C39" i="11"/>
  <c r="D41" i="11"/>
  <c r="C41" i="11"/>
  <c r="D43" i="11"/>
  <c r="C43" i="11"/>
  <c r="D45" i="11"/>
  <c r="C45" i="11"/>
  <c r="D47" i="11"/>
  <c r="C47" i="11"/>
  <c r="D49" i="11"/>
  <c r="C49" i="11"/>
  <c r="D51" i="11"/>
  <c r="C51" i="11"/>
  <c r="D53" i="11"/>
  <c r="C53" i="11"/>
  <c r="D55" i="11"/>
  <c r="C55" i="11"/>
  <c r="D57" i="11"/>
  <c r="C57" i="11"/>
  <c r="D59" i="11"/>
  <c r="C59" i="11"/>
  <c r="D61" i="11"/>
  <c r="C61" i="11"/>
  <c r="D63" i="11"/>
  <c r="C63" i="11"/>
  <c r="D65" i="11"/>
  <c r="C65" i="11"/>
  <c r="D67" i="11"/>
  <c r="C67" i="11"/>
  <c r="D69" i="11"/>
  <c r="C69" i="11"/>
  <c r="D71" i="11"/>
  <c r="C71" i="11"/>
  <c r="D73" i="11"/>
  <c r="C73" i="11"/>
  <c r="D75" i="11"/>
  <c r="C75" i="11"/>
  <c r="D77" i="11"/>
  <c r="C77" i="11"/>
  <c r="D79" i="11"/>
  <c r="C79" i="11"/>
  <c r="D146" i="11"/>
  <c r="C146" i="11"/>
  <c r="D150" i="11"/>
  <c r="C150" i="11"/>
  <c r="D154" i="11"/>
  <c r="C154" i="11"/>
  <c r="D158" i="11"/>
  <c r="C158" i="11"/>
  <c r="D162" i="11"/>
  <c r="C162" i="11"/>
  <c r="D166" i="11"/>
  <c r="C166" i="11"/>
  <c r="I80" i="10"/>
  <c r="D80" i="10"/>
  <c r="C80" i="10"/>
  <c r="I82" i="10"/>
  <c r="D82" i="10"/>
  <c r="C82" i="10"/>
  <c r="I84" i="10"/>
  <c r="D84" i="10"/>
  <c r="C84" i="10"/>
  <c r="I86" i="10"/>
  <c r="D86" i="10"/>
  <c r="C86" i="10"/>
  <c r="I88" i="10"/>
  <c r="D88" i="10"/>
  <c r="C88" i="10"/>
  <c r="I90" i="10"/>
  <c r="D90" i="10"/>
  <c r="C90" i="10"/>
  <c r="I92" i="10"/>
  <c r="D92" i="10"/>
  <c r="C92" i="10"/>
  <c r="I94" i="10"/>
  <c r="D94" i="10"/>
  <c r="C94" i="10"/>
  <c r="I96" i="10"/>
  <c r="D96" i="10"/>
  <c r="C96" i="10"/>
  <c r="I98" i="10"/>
  <c r="D98" i="10"/>
  <c r="C98" i="10"/>
  <c r="I100" i="10"/>
  <c r="D100" i="10"/>
  <c r="C100" i="10"/>
  <c r="I102" i="10"/>
  <c r="D102" i="10"/>
  <c r="C102" i="10"/>
  <c r="I104" i="10"/>
  <c r="D104" i="10"/>
  <c r="C104" i="10"/>
  <c r="I106" i="10"/>
  <c r="D106" i="10"/>
  <c r="C106" i="10"/>
  <c r="I108" i="10"/>
  <c r="D108" i="10"/>
  <c r="C108" i="10"/>
  <c r="I110" i="10"/>
  <c r="D110" i="10"/>
  <c r="C110" i="10"/>
  <c r="I112" i="10"/>
  <c r="D112" i="10"/>
  <c r="C112" i="10"/>
  <c r="I114" i="10"/>
  <c r="D114" i="10"/>
  <c r="C114" i="10"/>
  <c r="I116" i="10"/>
  <c r="D116" i="10"/>
  <c r="C116" i="10"/>
  <c r="I118" i="10"/>
  <c r="D118" i="10"/>
  <c r="C118" i="10"/>
  <c r="I120" i="10"/>
  <c r="D120" i="10"/>
  <c r="C120" i="10"/>
  <c r="I122" i="10"/>
  <c r="D122" i="10"/>
  <c r="C122" i="10"/>
  <c r="I124" i="10"/>
  <c r="D124" i="10"/>
  <c r="C124" i="10"/>
  <c r="I126" i="10"/>
  <c r="D126" i="10"/>
  <c r="C126" i="10"/>
  <c r="I128" i="10"/>
  <c r="D128" i="10"/>
  <c r="C128" i="10"/>
  <c r="I130" i="10"/>
  <c r="D130" i="10"/>
  <c r="C130" i="10"/>
  <c r="I132" i="10"/>
  <c r="D132" i="10"/>
  <c r="C132" i="10"/>
  <c r="I134" i="10"/>
  <c r="D134" i="10"/>
  <c r="C134" i="10"/>
  <c r="I136" i="10"/>
  <c r="D136" i="10"/>
  <c r="C136" i="10"/>
  <c r="I138" i="10"/>
  <c r="D138" i="10"/>
  <c r="C138" i="10"/>
  <c r="M169" i="5"/>
  <c r="C169" i="5"/>
  <c r="M202" i="5"/>
  <c r="C202" i="5"/>
  <c r="M204" i="5"/>
  <c r="C204" i="5"/>
  <c r="D205" i="11"/>
  <c r="C205" i="11"/>
  <c r="M207" i="5"/>
  <c r="C207" i="5"/>
  <c r="J207" i="8"/>
  <c r="D207" i="8"/>
  <c r="C207" i="8"/>
  <c r="C206" i="4"/>
  <c r="D206" i="4"/>
  <c r="D204" i="9"/>
  <c r="C204" i="9"/>
  <c r="J203" i="8"/>
  <c r="D203" i="8"/>
  <c r="C203" i="8"/>
  <c r="C202" i="4"/>
  <c r="D202" i="4"/>
  <c r="D200" i="9"/>
  <c r="C200" i="9"/>
  <c r="C199" i="4"/>
  <c r="D199" i="4"/>
  <c r="D198" i="9"/>
  <c r="C198" i="9"/>
  <c r="C197" i="4"/>
  <c r="D197" i="4"/>
  <c r="D196" i="9"/>
  <c r="C196" i="9"/>
  <c r="C195" i="4"/>
  <c r="D195" i="4"/>
  <c r="D194" i="9"/>
  <c r="C194" i="9"/>
  <c r="C193" i="4"/>
  <c r="D193" i="4"/>
  <c r="D192" i="9"/>
  <c r="C192" i="9"/>
  <c r="C191" i="4"/>
  <c r="D191" i="4"/>
  <c r="D190" i="9"/>
  <c r="C190" i="9"/>
  <c r="C189" i="4"/>
  <c r="D189" i="4"/>
  <c r="N188" i="9"/>
  <c r="D188" i="9"/>
  <c r="C188" i="9"/>
  <c r="C187" i="4"/>
  <c r="D187" i="4"/>
  <c r="D186" i="9"/>
  <c r="C186" i="9"/>
  <c r="M185" i="4"/>
  <c r="C185" i="4"/>
  <c r="D185" i="4"/>
  <c r="D184" i="9"/>
  <c r="C184" i="9"/>
  <c r="M183" i="4"/>
  <c r="C183" i="4"/>
  <c r="D183" i="4"/>
  <c r="D182" i="9"/>
  <c r="C182" i="9"/>
  <c r="M181" i="4"/>
  <c r="C181" i="4"/>
  <c r="D181" i="4"/>
  <c r="D180" i="9"/>
  <c r="C180" i="9"/>
  <c r="C179" i="4"/>
  <c r="D179" i="4"/>
  <c r="D178" i="9"/>
  <c r="C178" i="9"/>
  <c r="C177" i="4"/>
  <c r="D177" i="4"/>
  <c r="N176" i="9"/>
  <c r="D176" i="9"/>
  <c r="C176" i="9"/>
  <c r="C175" i="4"/>
  <c r="D175" i="4"/>
  <c r="D174" i="9"/>
  <c r="C174" i="9"/>
  <c r="M173" i="4"/>
  <c r="C173" i="4"/>
  <c r="D173" i="4"/>
  <c r="D172" i="9"/>
  <c r="C172" i="9"/>
  <c r="M171" i="4"/>
  <c r="C171" i="4"/>
  <c r="D171" i="4"/>
  <c r="D170" i="9"/>
  <c r="C170" i="9"/>
  <c r="C169" i="4"/>
  <c r="D169" i="4"/>
  <c r="J167" i="8"/>
  <c r="D167" i="8"/>
  <c r="C167" i="8"/>
  <c r="D167" i="10"/>
  <c r="C167" i="10"/>
  <c r="J165" i="8"/>
  <c r="D165" i="8"/>
  <c r="C165" i="8"/>
  <c r="D165" i="10"/>
  <c r="C165" i="10"/>
  <c r="J163" i="8"/>
  <c r="D163" i="8"/>
  <c r="C163" i="8"/>
  <c r="D163" i="10"/>
  <c r="C163" i="10"/>
  <c r="J161" i="8"/>
  <c r="D161" i="8"/>
  <c r="C161" i="8"/>
  <c r="D161" i="10"/>
  <c r="C161" i="10"/>
  <c r="J159" i="8"/>
  <c r="D159" i="8"/>
  <c r="C159" i="8"/>
  <c r="D159" i="10"/>
  <c r="C159" i="10"/>
  <c r="J157" i="8"/>
  <c r="D157" i="8"/>
  <c r="C157" i="8"/>
  <c r="D157" i="10"/>
  <c r="C157" i="10"/>
  <c r="J155" i="8"/>
  <c r="D155" i="8"/>
  <c r="C155" i="8"/>
  <c r="D155" i="10"/>
  <c r="C155" i="10"/>
  <c r="J153" i="8"/>
  <c r="D153" i="8"/>
  <c r="C153" i="8"/>
  <c r="D153" i="10"/>
  <c r="C153" i="10"/>
  <c r="J151" i="8"/>
  <c r="D151" i="8"/>
  <c r="C151" i="8"/>
  <c r="I151" i="10"/>
  <c r="D151" i="10"/>
  <c r="C151" i="10"/>
  <c r="J149" i="8"/>
  <c r="D149" i="8"/>
  <c r="C149" i="8"/>
  <c r="I149" i="10"/>
  <c r="D149" i="10"/>
  <c r="C149" i="10"/>
  <c r="J147" i="8"/>
  <c r="D147" i="8"/>
  <c r="C147" i="8"/>
  <c r="I147" i="10"/>
  <c r="D147" i="10"/>
  <c r="C147" i="10"/>
  <c r="J145" i="8"/>
  <c r="D145" i="8"/>
  <c r="C145" i="8"/>
  <c r="I145" i="10"/>
  <c r="D145" i="10"/>
  <c r="C145" i="10"/>
  <c r="J143" i="8"/>
  <c r="D143" i="8"/>
  <c r="C143" i="8"/>
  <c r="I143" i="10"/>
  <c r="D143" i="10"/>
  <c r="C143" i="10"/>
  <c r="J141" i="8"/>
  <c r="D141" i="8"/>
  <c r="C141" i="8"/>
  <c r="I141" i="10"/>
  <c r="D141" i="10"/>
  <c r="C141" i="10"/>
  <c r="J139" i="8"/>
  <c r="D139" i="8"/>
  <c r="C139" i="8"/>
  <c r="M138" i="4"/>
  <c r="C138" i="4"/>
  <c r="D138" i="4"/>
  <c r="D136" i="9"/>
  <c r="C136" i="9"/>
  <c r="J135" i="8"/>
  <c r="D135" i="8"/>
  <c r="C135" i="8"/>
  <c r="C134" i="4"/>
  <c r="D134" i="4"/>
  <c r="D132" i="9"/>
  <c r="C132" i="9"/>
  <c r="D131" i="8"/>
  <c r="C131" i="8"/>
  <c r="C130" i="4"/>
  <c r="D130" i="4"/>
  <c r="D128" i="9"/>
  <c r="C128" i="9"/>
  <c r="J127" i="8"/>
  <c r="D127" i="8"/>
  <c r="C127" i="8"/>
  <c r="C126" i="4"/>
  <c r="D126" i="4"/>
  <c r="N124" i="9"/>
  <c r="D124" i="9"/>
  <c r="C124" i="9"/>
  <c r="D123" i="8"/>
  <c r="C123" i="8"/>
  <c r="M122" i="4"/>
  <c r="C122" i="4"/>
  <c r="D122" i="4"/>
  <c r="D120" i="9"/>
  <c r="C120" i="9"/>
  <c r="D119" i="8"/>
  <c r="C119" i="8"/>
  <c r="C118" i="4"/>
  <c r="D118" i="4"/>
  <c r="D116" i="9"/>
  <c r="C116" i="9"/>
  <c r="D115" i="8"/>
  <c r="C115" i="8"/>
  <c r="M114" i="4"/>
  <c r="C114" i="4"/>
  <c r="D114" i="4"/>
  <c r="D112" i="9"/>
  <c r="C112" i="9"/>
  <c r="D111" i="8"/>
  <c r="C111" i="8"/>
  <c r="C110" i="4"/>
  <c r="D110" i="4"/>
  <c r="D108" i="9"/>
  <c r="C108" i="9"/>
  <c r="J107" i="8"/>
  <c r="D107" i="8"/>
  <c r="C107" i="8"/>
  <c r="C106" i="4"/>
  <c r="D106" i="4"/>
  <c r="D104" i="9"/>
  <c r="C104" i="9"/>
  <c r="J103" i="8"/>
  <c r="D103" i="8"/>
  <c r="C103" i="8"/>
  <c r="M102" i="4"/>
  <c r="C102" i="4"/>
  <c r="D102" i="4"/>
  <c r="D100" i="9"/>
  <c r="C100" i="9"/>
  <c r="J99" i="8"/>
  <c r="D99" i="8"/>
  <c r="C99" i="8"/>
  <c r="C98" i="4"/>
  <c r="D98" i="4"/>
  <c r="D96" i="9"/>
  <c r="C96" i="9"/>
  <c r="D95" i="8"/>
  <c r="C95" i="8"/>
  <c r="C94" i="4"/>
  <c r="D94" i="4"/>
  <c r="D92" i="9"/>
  <c r="C92" i="9"/>
  <c r="D91" i="8"/>
  <c r="C91" i="8"/>
  <c r="M90" i="4"/>
  <c r="C90" i="4"/>
  <c r="D90" i="4"/>
  <c r="D88" i="9"/>
  <c r="C88" i="9"/>
  <c r="D87" i="8"/>
  <c r="C87" i="8"/>
  <c r="C86" i="4"/>
  <c r="D86" i="4"/>
  <c r="D84" i="9"/>
  <c r="C84" i="9"/>
  <c r="J83" i="8"/>
  <c r="D83" i="8"/>
  <c r="C83" i="8"/>
  <c r="M82" i="4"/>
  <c r="C82" i="4"/>
  <c r="D82" i="4"/>
  <c r="D80" i="9"/>
  <c r="C80" i="9"/>
  <c r="D79" i="8"/>
  <c r="C79" i="8"/>
  <c r="C78" i="4"/>
  <c r="D78" i="4"/>
  <c r="D76" i="9"/>
  <c r="C76" i="9"/>
  <c r="D75" i="8"/>
  <c r="C75" i="8"/>
  <c r="C74" i="4"/>
  <c r="D74" i="4"/>
  <c r="D72" i="9"/>
  <c r="C72" i="9"/>
  <c r="D71" i="8"/>
  <c r="C71" i="8"/>
  <c r="C70" i="4"/>
  <c r="D70" i="4"/>
  <c r="D68" i="9"/>
  <c r="C68" i="9"/>
  <c r="D67" i="8"/>
  <c r="C67" i="8"/>
  <c r="C66" i="4"/>
  <c r="D66" i="4"/>
  <c r="D64" i="9"/>
  <c r="C64" i="9"/>
  <c r="D63" i="8"/>
  <c r="C63" i="8"/>
  <c r="C62" i="4"/>
  <c r="D62" i="4"/>
  <c r="D60" i="9"/>
  <c r="C60" i="9"/>
  <c r="D59" i="8"/>
  <c r="C59" i="8"/>
  <c r="M58" i="4"/>
  <c r="C58" i="4"/>
  <c r="D58" i="4"/>
  <c r="D56" i="9"/>
  <c r="C56" i="9"/>
  <c r="D55" i="8"/>
  <c r="C55" i="8"/>
  <c r="C54" i="4"/>
  <c r="D54" i="4"/>
  <c r="D52" i="9"/>
  <c r="C52" i="9"/>
  <c r="D51" i="8"/>
  <c r="C51" i="8"/>
  <c r="C50" i="4"/>
  <c r="D50" i="4"/>
  <c r="D48" i="9"/>
  <c r="C48" i="9"/>
  <c r="D47" i="8"/>
  <c r="C47" i="8"/>
  <c r="C46" i="4"/>
  <c r="D46" i="4"/>
  <c r="D44" i="9"/>
  <c r="C44" i="9"/>
  <c r="D43" i="8"/>
  <c r="C43" i="8"/>
  <c r="C42" i="4"/>
  <c r="D42" i="4"/>
  <c r="D40" i="9"/>
  <c r="C40" i="9"/>
  <c r="D39" i="8"/>
  <c r="C39" i="8"/>
  <c r="M38" i="4"/>
  <c r="C38" i="4"/>
  <c r="D38" i="4"/>
  <c r="D36" i="9"/>
  <c r="C36" i="9"/>
  <c r="J35" i="8"/>
  <c r="D35" i="8"/>
  <c r="C35" i="8"/>
  <c r="C34" i="4"/>
  <c r="D34" i="4"/>
  <c r="D32" i="9"/>
  <c r="C32" i="9"/>
  <c r="J31" i="8"/>
  <c r="D31" i="8"/>
  <c r="C31" i="8"/>
  <c r="C30" i="4"/>
  <c r="D30" i="4"/>
  <c r="D28" i="9"/>
  <c r="C28" i="9"/>
  <c r="J27" i="8"/>
  <c r="D27" i="8"/>
  <c r="C27" i="8"/>
  <c r="C26" i="4"/>
  <c r="D26" i="4"/>
  <c r="D24" i="9"/>
  <c r="C24" i="9"/>
  <c r="J23" i="8"/>
  <c r="D23" i="8"/>
  <c r="C23" i="8"/>
  <c r="M22" i="4"/>
  <c r="C22" i="4"/>
  <c r="D22" i="4"/>
  <c r="D20" i="9"/>
  <c r="C20" i="9"/>
  <c r="J19" i="8"/>
  <c r="D19" i="8"/>
  <c r="C19" i="8"/>
  <c r="C18" i="4"/>
  <c r="D18" i="4"/>
  <c r="J16" i="8"/>
  <c r="D16" i="8"/>
  <c r="C16" i="8"/>
  <c r="D14" i="8"/>
  <c r="C14" i="8"/>
  <c r="J12" i="8"/>
  <c r="D12" i="8"/>
  <c r="C12" i="8"/>
  <c r="D10" i="8"/>
  <c r="C10" i="8"/>
  <c r="J8" i="8"/>
  <c r="D8" i="8"/>
  <c r="C8" i="8"/>
  <c r="M245" i="4"/>
  <c r="D245" i="4"/>
  <c r="C245" i="4"/>
  <c r="F514" i="3"/>
  <c r="D514" i="3"/>
  <c r="H514" i="3"/>
  <c r="L514" i="3"/>
  <c r="J480" i="8"/>
  <c r="D480" i="8"/>
  <c r="J498" i="3"/>
  <c r="N498" i="3"/>
  <c r="G498" i="3"/>
  <c r="M498" i="3" a="1"/>
  <c r="M498" i="3" s="1"/>
  <c r="E498" i="3"/>
  <c r="I498" i="3"/>
  <c r="K498" i="3"/>
  <c r="C498" i="3"/>
  <c r="J482" i="3"/>
  <c r="N482" i="3"/>
  <c r="I482" i="3"/>
  <c r="D482" i="3"/>
  <c r="M482" i="3" a="1"/>
  <c r="M482" i="3" s="1"/>
  <c r="H482" i="3"/>
  <c r="C482" i="3"/>
  <c r="K482" i="3"/>
  <c r="E482" i="3"/>
  <c r="L482" i="3"/>
  <c r="G482" i="3"/>
  <c r="D460" i="11"/>
  <c r="O460" i="11"/>
  <c r="C460" i="11"/>
  <c r="I456" i="10"/>
  <c r="D456" i="10"/>
  <c r="C456" i="10"/>
  <c r="J452" i="8"/>
  <c r="C452" i="8"/>
  <c r="J448" i="8"/>
  <c r="C448" i="8"/>
  <c r="O444" i="11"/>
  <c r="C444" i="11"/>
  <c r="I440" i="10"/>
  <c r="D440" i="10"/>
  <c r="C440" i="10"/>
  <c r="D432" i="4"/>
  <c r="M432" i="4"/>
  <c r="C432" i="4"/>
  <c r="J450" i="3"/>
  <c r="M450" i="3" a="1"/>
  <c r="M450" i="3" s="1"/>
  <c r="E450" i="3"/>
  <c r="K450" i="3"/>
  <c r="C450" i="3"/>
  <c r="I450" i="3"/>
  <c r="N450" i="3"/>
  <c r="G450" i="3"/>
  <c r="I424" i="10"/>
  <c r="D424" i="10"/>
  <c r="C424" i="10"/>
  <c r="J434" i="3"/>
  <c r="L434" i="3"/>
  <c r="G434" i="3"/>
  <c r="K434" i="3"/>
  <c r="E434" i="3"/>
  <c r="N434" i="3"/>
  <c r="I434" i="3"/>
  <c r="D434" i="3"/>
  <c r="M434" i="3" a="1"/>
  <c r="M434" i="3" s="1"/>
  <c r="H434" i="3"/>
  <c r="C434" i="3"/>
  <c r="D412" i="7"/>
  <c r="C412" i="7"/>
  <c r="L412" i="7"/>
  <c r="D408" i="7"/>
  <c r="C408" i="7"/>
  <c r="J418" i="3"/>
  <c r="M418" i="3" a="1"/>
  <c r="M418" i="3" s="1"/>
  <c r="H418" i="3"/>
  <c r="C418" i="3"/>
  <c r="L418" i="3"/>
  <c r="G418" i="3"/>
  <c r="K418" i="3"/>
  <c r="E418" i="3"/>
  <c r="N418" i="3"/>
  <c r="I418" i="3"/>
  <c r="D418" i="3"/>
  <c r="C396" i="6"/>
  <c r="J396" i="6"/>
  <c r="D396" i="6"/>
  <c r="D392" i="7"/>
  <c r="C392" i="7"/>
  <c r="N388" i="9"/>
  <c r="D388" i="9"/>
  <c r="C388" i="9"/>
  <c r="K388" i="9"/>
  <c r="J402" i="3"/>
  <c r="M402" i="3" a="1"/>
  <c r="M402" i="3" s="1"/>
  <c r="H402" i="3"/>
  <c r="C402" i="3"/>
  <c r="L402" i="3"/>
  <c r="G402" i="3"/>
  <c r="K402" i="3"/>
  <c r="E402" i="3"/>
  <c r="N402" i="3"/>
  <c r="I402" i="3"/>
  <c r="D402" i="3"/>
  <c r="C380" i="6"/>
  <c r="J380" i="6"/>
  <c r="D380" i="6"/>
  <c r="C380" i="11"/>
  <c r="D380" i="11"/>
  <c r="M368" i="4"/>
  <c r="C368" i="4"/>
  <c r="C368" i="6"/>
  <c r="J368" i="6"/>
  <c r="D368" i="6"/>
  <c r="J386" i="3"/>
  <c r="L386" i="3"/>
  <c r="D386" i="3"/>
  <c r="H386" i="3"/>
  <c r="C364" i="6"/>
  <c r="J364" i="6"/>
  <c r="D364" i="6"/>
  <c r="C364" i="11"/>
  <c r="D364" i="11"/>
  <c r="D360" i="7"/>
  <c r="L360" i="7"/>
  <c r="C360" i="7"/>
  <c r="N360" i="9"/>
  <c r="C360" i="9"/>
  <c r="K360" i="9"/>
  <c r="D360" i="9"/>
  <c r="N356" i="9"/>
  <c r="K356" i="9"/>
  <c r="D356" i="9"/>
  <c r="C356" i="9"/>
  <c r="C352" i="6"/>
  <c r="J352" i="6"/>
  <c r="D352" i="6"/>
  <c r="J370" i="3"/>
  <c r="L370" i="3"/>
  <c r="D370" i="3"/>
  <c r="H370" i="3"/>
  <c r="J344" i="6"/>
  <c r="C344" i="6"/>
  <c r="D344" i="6"/>
  <c r="M336" i="4"/>
  <c r="C336" i="4"/>
  <c r="D354" i="3"/>
  <c r="H354" i="3"/>
  <c r="L354" i="3"/>
  <c r="F354" i="3"/>
  <c r="J324" i="6"/>
  <c r="C324" i="6"/>
  <c r="D324" i="6"/>
  <c r="M320" i="5"/>
  <c r="C320" i="5"/>
  <c r="J334" i="3"/>
  <c r="L334" i="3"/>
  <c r="G334" i="3"/>
  <c r="K334" i="3"/>
  <c r="E334" i="3"/>
  <c r="N334" i="3"/>
  <c r="I334" i="3"/>
  <c r="D334" i="3"/>
  <c r="M334" i="3" a="1"/>
  <c r="M334" i="3" s="1"/>
  <c r="H334" i="3"/>
  <c r="C334" i="3"/>
  <c r="O312" i="11"/>
  <c r="D312" i="11"/>
  <c r="C312" i="11"/>
  <c r="O308" i="11"/>
  <c r="C308" i="11"/>
  <c r="D308" i="11"/>
  <c r="O304" i="11"/>
  <c r="D304" i="11"/>
  <c r="C304" i="11"/>
  <c r="O300" i="11"/>
  <c r="C300" i="11"/>
  <c r="D300" i="11"/>
  <c r="O296" i="11"/>
  <c r="D296" i="11"/>
  <c r="C296" i="11"/>
  <c r="O292" i="11"/>
  <c r="D292" i="11"/>
  <c r="C292" i="11"/>
  <c r="O288" i="11"/>
  <c r="D288" i="11"/>
  <c r="C288" i="11"/>
  <c r="O284" i="11"/>
  <c r="D284" i="11"/>
  <c r="C284" i="11"/>
  <c r="O280" i="11"/>
  <c r="D280" i="11"/>
  <c r="C280" i="11"/>
  <c r="C276" i="11"/>
  <c r="D276" i="11"/>
  <c r="O212" i="11"/>
  <c r="C212" i="11"/>
  <c r="O208" i="11"/>
  <c r="C208" i="11"/>
  <c r="M273" i="4"/>
  <c r="C273" i="4"/>
  <c r="D273" i="4"/>
  <c r="C239" i="4"/>
  <c r="M239" i="4"/>
  <c r="D239" i="4"/>
  <c r="C234" i="4"/>
  <c r="M234" i="4"/>
  <c r="D234" i="4"/>
  <c r="M227" i="4"/>
  <c r="C227" i="4"/>
  <c r="M219" i="4"/>
  <c r="C219" i="4"/>
  <c r="M211" i="4"/>
  <c r="C211" i="4"/>
  <c r="N499" i="9"/>
  <c r="C499" i="9"/>
  <c r="C495" i="8"/>
  <c r="J495" i="8"/>
  <c r="D495" i="8"/>
  <c r="H513" i="3"/>
  <c r="F513" i="3"/>
  <c r="N483" i="9"/>
  <c r="C483" i="9"/>
  <c r="N479" i="9"/>
  <c r="C479" i="9"/>
  <c r="M467" i="5"/>
  <c r="C467" i="5"/>
  <c r="J467" i="8"/>
  <c r="D467" i="8"/>
  <c r="C467" i="8"/>
  <c r="J463" i="8"/>
  <c r="D463" i="8"/>
  <c r="C463" i="8"/>
  <c r="K481" i="3"/>
  <c r="C481" i="3"/>
  <c r="I481" i="3"/>
  <c r="D459" i="11"/>
  <c r="C459" i="11"/>
  <c r="O459" i="11"/>
  <c r="I455" i="10"/>
  <c r="D455" i="10"/>
  <c r="N451" i="9"/>
  <c r="C451" i="9"/>
  <c r="M447" i="5"/>
  <c r="C447" i="5"/>
  <c r="J447" i="8"/>
  <c r="D447" i="8"/>
  <c r="C447" i="8"/>
  <c r="L465" i="3"/>
  <c r="J465" i="3"/>
  <c r="E465" i="3"/>
  <c r="O443" i="11"/>
  <c r="D443" i="11"/>
  <c r="C443" i="11"/>
  <c r="J439" i="6"/>
  <c r="D439" i="6"/>
  <c r="C439" i="6"/>
  <c r="N435" i="9"/>
  <c r="C435" i="9"/>
  <c r="M431" i="5"/>
  <c r="C431" i="5"/>
  <c r="D431" i="8"/>
  <c r="C431" i="8"/>
  <c r="J431" i="8"/>
  <c r="J449" i="3"/>
  <c r="M449" i="3" a="1"/>
  <c r="M449" i="3" s="1"/>
  <c r="H449" i="3"/>
  <c r="C449" i="3"/>
  <c r="L449" i="3"/>
  <c r="G449" i="3"/>
  <c r="K449" i="3"/>
  <c r="E449" i="3"/>
  <c r="N449" i="3"/>
  <c r="I449" i="3"/>
  <c r="D449" i="3"/>
  <c r="J427" i="6"/>
  <c r="D427" i="6"/>
  <c r="C427" i="6"/>
  <c r="J423" i="6"/>
  <c r="C423" i="6"/>
  <c r="D423" i="6"/>
  <c r="C419" i="5"/>
  <c r="M419" i="5"/>
  <c r="C419" i="9"/>
  <c r="D419" i="9"/>
  <c r="C415" i="9"/>
  <c r="D415" i="9"/>
  <c r="J433" i="3"/>
  <c r="I433" i="3"/>
  <c r="N433" i="3"/>
  <c r="G433" i="3"/>
  <c r="M433" i="3" a="1"/>
  <c r="M433" i="3" s="1"/>
  <c r="E433" i="3"/>
  <c r="K433" i="3"/>
  <c r="C433" i="3"/>
  <c r="D411" i="7"/>
  <c r="L411" i="7"/>
  <c r="C411" i="7"/>
  <c r="I411" i="10"/>
  <c r="D411" i="10"/>
  <c r="C411" i="10"/>
  <c r="C407" i="6"/>
  <c r="J407" i="6"/>
  <c r="D407" i="6"/>
  <c r="I407" i="10"/>
  <c r="D407" i="10"/>
  <c r="C407" i="10"/>
  <c r="C403" i="5"/>
  <c r="M403" i="5"/>
  <c r="N399" i="9"/>
  <c r="D399" i="9"/>
  <c r="J417" i="3"/>
  <c r="K417" i="3"/>
  <c r="C417" i="3"/>
  <c r="I417" i="3"/>
  <c r="N417" i="3"/>
  <c r="G417" i="3"/>
  <c r="M417" i="3" a="1"/>
  <c r="M417" i="3" s="1"/>
  <c r="E417" i="3"/>
  <c r="D395" i="7"/>
  <c r="L395" i="7"/>
  <c r="I395" i="10"/>
  <c r="D395" i="10"/>
  <c r="C395" i="10"/>
  <c r="C391" i="6"/>
  <c r="J391" i="6"/>
  <c r="D391" i="6"/>
  <c r="N391" i="9"/>
  <c r="D391" i="9"/>
  <c r="M387" i="5"/>
  <c r="C387" i="5"/>
  <c r="D383" i="8"/>
  <c r="C383" i="8"/>
  <c r="C379" i="6"/>
  <c r="J379" i="6"/>
  <c r="D379" i="6"/>
  <c r="C379" i="11"/>
  <c r="D379" i="11"/>
  <c r="C375" i="6"/>
  <c r="J375" i="6"/>
  <c r="D375" i="6"/>
  <c r="C367" i="8"/>
  <c r="C363" i="6"/>
  <c r="J363" i="6"/>
  <c r="D363" i="6"/>
  <c r="C363" i="11"/>
  <c r="D363" i="11"/>
  <c r="M355" i="5"/>
  <c r="C355" i="5"/>
  <c r="C355" i="9"/>
  <c r="K355" i="9"/>
  <c r="D351" i="8"/>
  <c r="C351" i="8"/>
  <c r="J343" i="6"/>
  <c r="D343" i="6"/>
  <c r="C343" i="6"/>
  <c r="C339" i="5"/>
  <c r="M339" i="5"/>
  <c r="N339" i="9"/>
  <c r="C339" i="9"/>
  <c r="K339" i="9"/>
  <c r="D339" i="9"/>
  <c r="J327" i="6"/>
  <c r="D327" i="6"/>
  <c r="C327" i="6"/>
  <c r="C323" i="5"/>
  <c r="M323" i="5"/>
  <c r="N323" i="9"/>
  <c r="C323" i="9"/>
  <c r="K323" i="9"/>
  <c r="D323" i="9"/>
  <c r="J337" i="3"/>
  <c r="M337" i="3" a="1"/>
  <c r="M337" i="3" s="1"/>
  <c r="E337" i="3"/>
  <c r="K337" i="3"/>
  <c r="C337" i="3"/>
  <c r="I337" i="3"/>
  <c r="N337" i="3"/>
  <c r="G337" i="3"/>
  <c r="O315" i="11"/>
  <c r="C315" i="11"/>
  <c r="D315" i="11"/>
  <c r="C311" i="6"/>
  <c r="J311" i="6"/>
  <c r="D311" i="6"/>
  <c r="C307" i="5"/>
  <c r="M307" i="5"/>
  <c r="N307" i="9"/>
  <c r="C307" i="9"/>
  <c r="K307" i="9"/>
  <c r="D307" i="9"/>
  <c r="J321" i="3"/>
  <c r="M321" i="3" a="1"/>
  <c r="M321" i="3" s="1"/>
  <c r="E321" i="3"/>
  <c r="K321" i="3"/>
  <c r="C321" i="3"/>
  <c r="I321" i="3"/>
  <c r="N321" i="3"/>
  <c r="G321" i="3"/>
  <c r="C295" i="6"/>
  <c r="J295" i="6"/>
  <c r="D295" i="6"/>
  <c r="N291" i="9"/>
  <c r="C291" i="9"/>
  <c r="K291" i="9"/>
  <c r="D291" i="9"/>
  <c r="J305" i="3"/>
  <c r="M305" i="3" a="1"/>
  <c r="M305" i="3" s="1"/>
  <c r="E305" i="3"/>
  <c r="K305" i="3"/>
  <c r="C305" i="3"/>
  <c r="I305" i="3"/>
  <c r="N305" i="3"/>
  <c r="G305" i="3"/>
  <c r="C279" i="6"/>
  <c r="J279" i="6"/>
  <c r="D279" i="6"/>
  <c r="N275" i="9"/>
  <c r="C275" i="9"/>
  <c r="K275" i="9"/>
  <c r="D275" i="9"/>
  <c r="J289" i="3"/>
  <c r="I289" i="3"/>
  <c r="N289" i="3"/>
  <c r="G289" i="3"/>
  <c r="M289" i="3" a="1"/>
  <c r="M289" i="3" s="1"/>
  <c r="K289" i="3"/>
  <c r="E289" i="3"/>
  <c r="C289" i="3"/>
  <c r="J267" i="8"/>
  <c r="D267" i="8"/>
  <c r="C267" i="8"/>
  <c r="D259" i="8"/>
  <c r="D251" i="8"/>
  <c r="D243" i="8"/>
  <c r="D235" i="8"/>
  <c r="D227" i="8"/>
  <c r="D219" i="8"/>
  <c r="D215" i="8"/>
  <c r="D211" i="8"/>
  <c r="J211" i="8"/>
  <c r="D211" i="11"/>
  <c r="C211" i="11"/>
  <c r="O211" i="11"/>
  <c r="C498" i="5"/>
  <c r="M498" i="5"/>
  <c r="M494" i="5"/>
  <c r="C494" i="5"/>
  <c r="L512" i="3"/>
  <c r="H512" i="3"/>
  <c r="D512" i="3"/>
  <c r="F512" i="3"/>
  <c r="M482" i="5"/>
  <c r="C482" i="5"/>
  <c r="M478" i="5"/>
  <c r="C478" i="5"/>
  <c r="J496" i="3"/>
  <c r="K496" i="3"/>
  <c r="E496" i="3"/>
  <c r="N496" i="3"/>
  <c r="I496" i="3"/>
  <c r="D496" i="3"/>
  <c r="L496" i="3"/>
  <c r="G496" i="3"/>
  <c r="M496" i="3" a="1"/>
  <c r="M496" i="3" s="1"/>
  <c r="H496" i="3"/>
  <c r="C496" i="3"/>
  <c r="D466" i="4"/>
  <c r="M466" i="4"/>
  <c r="N466" i="9"/>
  <c r="C466" i="9"/>
  <c r="D466" i="9"/>
  <c r="M462" i="5"/>
  <c r="C462" i="5"/>
  <c r="M480" i="3" a="1"/>
  <c r="M480" i="3" s="1"/>
  <c r="H480" i="3"/>
  <c r="G480" i="3"/>
  <c r="K480" i="3"/>
  <c r="C480" i="3"/>
  <c r="L480" i="3"/>
  <c r="D480" i="3"/>
  <c r="D458" i="11"/>
  <c r="O458" i="11"/>
  <c r="C458" i="11"/>
  <c r="I454" i="10"/>
  <c r="C454" i="10"/>
  <c r="C450" i="5"/>
  <c r="M450" i="5"/>
  <c r="N450" i="9"/>
  <c r="D450" i="9"/>
  <c r="C450" i="9"/>
  <c r="N446" i="9"/>
  <c r="D446" i="9"/>
  <c r="C446" i="9"/>
  <c r="N464" i="3"/>
  <c r="H464" i="3"/>
  <c r="C464" i="3"/>
  <c r="K464" i="3"/>
  <c r="F464" i="3"/>
  <c r="J442" i="6"/>
  <c r="D442" i="6"/>
  <c r="O442" i="11"/>
  <c r="C442" i="11"/>
  <c r="I438" i="10"/>
  <c r="C438" i="10"/>
  <c r="C430" i="8"/>
  <c r="D430" i="8"/>
  <c r="J448" i="3"/>
  <c r="K448" i="3"/>
  <c r="C448" i="3"/>
  <c r="I448" i="3"/>
  <c r="N448" i="3"/>
  <c r="G448" i="3"/>
  <c r="M448" i="3" a="1"/>
  <c r="M448" i="3" s="1"/>
  <c r="E448" i="3"/>
  <c r="D422" i="7"/>
  <c r="L422" i="7"/>
  <c r="C422" i="7"/>
  <c r="D418" i="9"/>
  <c r="K418" i="9"/>
  <c r="C418" i="9"/>
  <c r="M414" i="5"/>
  <c r="C414" i="5"/>
  <c r="J414" i="8"/>
  <c r="D414" i="8"/>
  <c r="C414" i="8"/>
  <c r="J432" i="3"/>
  <c r="K432" i="3"/>
  <c r="E432" i="3"/>
  <c r="N432" i="3"/>
  <c r="I432" i="3"/>
  <c r="D432" i="3"/>
  <c r="M432" i="3" a="1"/>
  <c r="M432" i="3" s="1"/>
  <c r="H432" i="3"/>
  <c r="L432" i="3"/>
  <c r="G432" i="3"/>
  <c r="C432" i="3"/>
  <c r="C410" i="6"/>
  <c r="J410" i="6"/>
  <c r="D410" i="6"/>
  <c r="D406" i="7"/>
  <c r="L406" i="7"/>
  <c r="C406" i="7"/>
  <c r="I406" i="10"/>
  <c r="D406" i="10"/>
  <c r="D402" i="4"/>
  <c r="M402" i="4"/>
  <c r="C402" i="4"/>
  <c r="J402" i="8"/>
  <c r="C402" i="8"/>
  <c r="D402" i="8"/>
  <c r="D398" i="4"/>
  <c r="C398" i="4"/>
  <c r="M398" i="4"/>
  <c r="J398" i="8"/>
  <c r="D398" i="8"/>
  <c r="C398" i="8"/>
  <c r="J416" i="3"/>
  <c r="L416" i="3"/>
  <c r="G416" i="3"/>
  <c r="K416" i="3"/>
  <c r="E416" i="3"/>
  <c r="N416" i="3"/>
  <c r="I416" i="3"/>
  <c r="D416" i="3"/>
  <c r="M416" i="3" a="1"/>
  <c r="M416" i="3" s="1"/>
  <c r="H416" i="3"/>
  <c r="C416" i="3"/>
  <c r="C394" i="6"/>
  <c r="J394" i="6"/>
  <c r="D394" i="6"/>
  <c r="D394" i="11"/>
  <c r="O394" i="11"/>
  <c r="K394" i="11"/>
  <c r="C394" i="11"/>
  <c r="T394" i="11"/>
  <c r="D390" i="7"/>
  <c r="L390" i="7"/>
  <c r="C390" i="7"/>
  <c r="J390" i="8"/>
  <c r="C390" i="8"/>
  <c r="D390" i="8"/>
  <c r="C386" i="5"/>
  <c r="M386" i="5"/>
  <c r="J382" i="8"/>
  <c r="D382" i="8"/>
  <c r="C382" i="8"/>
  <c r="J400" i="3"/>
  <c r="M400" i="3" a="1"/>
  <c r="M400" i="3" s="1"/>
  <c r="H400" i="3"/>
  <c r="C400" i="3"/>
  <c r="L400" i="3"/>
  <c r="G400" i="3"/>
  <c r="K400" i="3"/>
  <c r="E400" i="3"/>
  <c r="N400" i="3"/>
  <c r="I400" i="3"/>
  <c r="D400" i="3"/>
  <c r="C378" i="6"/>
  <c r="J378" i="6"/>
  <c r="D378" i="6"/>
  <c r="C378" i="11"/>
  <c r="D378" i="11"/>
  <c r="D374" i="7"/>
  <c r="L374" i="7"/>
  <c r="C374" i="7"/>
  <c r="D374" i="9"/>
  <c r="K374" i="9"/>
  <c r="C374" i="9"/>
  <c r="M366" i="4"/>
  <c r="D366" i="4"/>
  <c r="J366" i="8"/>
  <c r="D366" i="8"/>
  <c r="C366" i="8"/>
  <c r="J384" i="3"/>
  <c r="H384" i="3"/>
  <c r="L384" i="3"/>
  <c r="D384" i="3"/>
  <c r="C362" i="6"/>
  <c r="J362" i="6"/>
  <c r="D362" i="6"/>
  <c r="C362" i="11"/>
  <c r="D362" i="11"/>
  <c r="D358" i="7"/>
  <c r="L358" i="7"/>
  <c r="D358" i="9"/>
  <c r="K358" i="9"/>
  <c r="D354" i="9"/>
  <c r="K354" i="9"/>
  <c r="C350" i="6"/>
  <c r="J350" i="6"/>
  <c r="D350" i="6"/>
  <c r="J368" i="3"/>
  <c r="H368" i="3"/>
  <c r="L368" i="3"/>
  <c r="D368" i="3"/>
  <c r="D346" i="7"/>
  <c r="L346" i="7"/>
  <c r="C346" i="7"/>
  <c r="J342" i="6"/>
  <c r="D342" i="6"/>
  <c r="C342" i="6"/>
  <c r="C342" i="9"/>
  <c r="D342" i="9"/>
  <c r="M338" i="4"/>
  <c r="D338" i="4"/>
  <c r="C338" i="9"/>
  <c r="D338" i="9"/>
  <c r="M334" i="4"/>
  <c r="D334" i="4"/>
  <c r="F352" i="3"/>
  <c r="H352" i="3"/>
  <c r="L352" i="3"/>
  <c r="D352" i="3"/>
  <c r="D330" i="7"/>
  <c r="L330" i="7"/>
  <c r="C330" i="7"/>
  <c r="J326" i="6"/>
  <c r="D326" i="6"/>
  <c r="C326" i="6"/>
  <c r="C326" i="9"/>
  <c r="D326" i="9"/>
  <c r="M322" i="4"/>
  <c r="D322" i="4"/>
  <c r="C322" i="9"/>
  <c r="D322" i="9"/>
  <c r="M318" i="4"/>
  <c r="D318" i="4"/>
  <c r="J336" i="3"/>
  <c r="M336" i="3" a="1"/>
  <c r="M336" i="3" s="1"/>
  <c r="H336" i="3"/>
  <c r="C336" i="3"/>
  <c r="L336" i="3"/>
  <c r="G336" i="3"/>
  <c r="K336" i="3"/>
  <c r="E336" i="3"/>
  <c r="N336" i="3"/>
  <c r="I336" i="3"/>
  <c r="D336" i="3"/>
  <c r="D314" i="7"/>
  <c r="L314" i="7"/>
  <c r="C314" i="7"/>
  <c r="O314" i="11"/>
  <c r="D314" i="11"/>
  <c r="C314" i="11"/>
  <c r="C310" i="6"/>
  <c r="J310" i="6"/>
  <c r="D310" i="6"/>
  <c r="M306" i="4"/>
  <c r="D306" i="4"/>
  <c r="C306" i="9"/>
  <c r="D306" i="9"/>
  <c r="M302" i="4"/>
  <c r="D302" i="4"/>
  <c r="J320" i="3"/>
  <c r="M320" i="3" a="1"/>
  <c r="M320" i="3" s="1"/>
  <c r="H320" i="3"/>
  <c r="C320" i="3"/>
  <c r="L320" i="3"/>
  <c r="G320" i="3"/>
  <c r="K320" i="3"/>
  <c r="E320" i="3"/>
  <c r="N320" i="3"/>
  <c r="I320" i="3"/>
  <c r="D320" i="3"/>
  <c r="O298" i="11"/>
  <c r="C298" i="11"/>
  <c r="D298" i="11"/>
  <c r="C294" i="6"/>
  <c r="J294" i="6"/>
  <c r="D294" i="6"/>
  <c r="M290" i="4"/>
  <c r="D290" i="4"/>
  <c r="C290" i="9"/>
  <c r="D290" i="9"/>
  <c r="M286" i="5"/>
  <c r="C286" i="5"/>
  <c r="J304" i="3"/>
  <c r="M304" i="3" a="1"/>
  <c r="M304" i="3" s="1"/>
  <c r="H304" i="3"/>
  <c r="C304" i="3"/>
  <c r="L304" i="3"/>
  <c r="G304" i="3"/>
  <c r="K304" i="3"/>
  <c r="E304" i="3"/>
  <c r="N304" i="3"/>
  <c r="I304" i="3"/>
  <c r="D304" i="3"/>
  <c r="O282" i="11"/>
  <c r="C282" i="11"/>
  <c r="D282" i="11"/>
  <c r="C278" i="6"/>
  <c r="J278" i="6"/>
  <c r="D278" i="6"/>
  <c r="C274" i="5"/>
  <c r="M274" i="5"/>
  <c r="C274" i="9"/>
  <c r="D274" i="9"/>
  <c r="M270" i="5"/>
  <c r="C270" i="5"/>
  <c r="C270" i="9"/>
  <c r="D270" i="9"/>
  <c r="M266" i="5"/>
  <c r="C266" i="5"/>
  <c r="J284" i="3"/>
  <c r="M284" i="3" a="1"/>
  <c r="M284" i="3" s="1"/>
  <c r="H284" i="3"/>
  <c r="C284" i="3"/>
  <c r="L284" i="3"/>
  <c r="G284" i="3"/>
  <c r="K284" i="3"/>
  <c r="I284" i="3"/>
  <c r="E284" i="3"/>
  <c r="N284" i="3"/>
  <c r="D284" i="3"/>
  <c r="J280" i="3"/>
  <c r="M280" i="3" a="1"/>
  <c r="M280" i="3" s="1"/>
  <c r="H280" i="3"/>
  <c r="C280" i="3"/>
  <c r="L280" i="3"/>
  <c r="G280" i="3"/>
  <c r="K280" i="3"/>
  <c r="E280" i="3"/>
  <c r="N280" i="3"/>
  <c r="I280" i="3"/>
  <c r="D280" i="3"/>
  <c r="C258" i="8"/>
  <c r="J258" i="8"/>
  <c r="J276" i="3"/>
  <c r="K276" i="3"/>
  <c r="E276" i="3"/>
  <c r="N276" i="3"/>
  <c r="I276" i="3"/>
  <c r="D276" i="3"/>
  <c r="M276" i="3" a="1"/>
  <c r="M276" i="3" s="1"/>
  <c r="H276" i="3"/>
  <c r="C276" i="3"/>
  <c r="L276" i="3"/>
  <c r="G276" i="3"/>
  <c r="J272" i="3"/>
  <c r="K272" i="3"/>
  <c r="E272" i="3"/>
  <c r="N272" i="3"/>
  <c r="I272" i="3"/>
  <c r="D272" i="3"/>
  <c r="M272" i="3" a="1"/>
  <c r="M272" i="3" s="1"/>
  <c r="H272" i="3"/>
  <c r="C272" i="3"/>
  <c r="L272" i="3"/>
  <c r="G272" i="3"/>
  <c r="C250" i="8"/>
  <c r="J250" i="8"/>
  <c r="J268" i="3"/>
  <c r="K268" i="3"/>
  <c r="E268" i="3"/>
  <c r="N268" i="3"/>
  <c r="I268" i="3"/>
  <c r="D268" i="3"/>
  <c r="M268" i="3" a="1"/>
  <c r="M268" i="3" s="1"/>
  <c r="H268" i="3"/>
  <c r="C268" i="3"/>
  <c r="L268" i="3"/>
  <c r="G268" i="3"/>
  <c r="J264" i="3"/>
  <c r="L264" i="3"/>
  <c r="G264" i="3"/>
  <c r="K264" i="3"/>
  <c r="E264" i="3"/>
  <c r="N264" i="3"/>
  <c r="I264" i="3"/>
  <c r="D264" i="3"/>
  <c r="M264" i="3" a="1"/>
  <c r="M264" i="3" s="1"/>
  <c r="H264" i="3"/>
  <c r="C264" i="3"/>
  <c r="C242" i="8"/>
  <c r="J242" i="8"/>
  <c r="J260" i="3"/>
  <c r="K260" i="3"/>
  <c r="E260" i="3"/>
  <c r="N260" i="3"/>
  <c r="I260" i="3"/>
  <c r="D260" i="3"/>
  <c r="M260" i="3" a="1"/>
  <c r="M260" i="3" s="1"/>
  <c r="H260" i="3"/>
  <c r="C260" i="3"/>
  <c r="L260" i="3"/>
  <c r="G260" i="3"/>
  <c r="J256" i="3"/>
  <c r="N256" i="3"/>
  <c r="I256" i="3"/>
  <c r="D256" i="3"/>
  <c r="M256" i="3" a="1"/>
  <c r="M256" i="3" s="1"/>
  <c r="H256" i="3"/>
  <c r="C256" i="3"/>
  <c r="L256" i="3"/>
  <c r="G256" i="3"/>
  <c r="K256" i="3"/>
  <c r="E256" i="3"/>
  <c r="C234" i="8"/>
  <c r="J234" i="8"/>
  <c r="J252" i="3"/>
  <c r="M252" i="3" a="1"/>
  <c r="M252" i="3" s="1"/>
  <c r="H252" i="3"/>
  <c r="C252" i="3"/>
  <c r="L252" i="3"/>
  <c r="G252" i="3"/>
  <c r="K252" i="3"/>
  <c r="E252" i="3"/>
  <c r="N252" i="3"/>
  <c r="I252" i="3"/>
  <c r="D252" i="3"/>
  <c r="J248" i="3"/>
  <c r="L248" i="3"/>
  <c r="G248" i="3"/>
  <c r="K248" i="3"/>
  <c r="E248" i="3"/>
  <c r="N248" i="3"/>
  <c r="I248" i="3"/>
  <c r="D248" i="3"/>
  <c r="M248" i="3" a="1"/>
  <c r="M248" i="3" s="1"/>
  <c r="H248" i="3"/>
  <c r="C248" i="3"/>
  <c r="C226" i="8"/>
  <c r="J226" i="8"/>
  <c r="M244" i="3" a="1"/>
  <c r="M244" i="3" s="1"/>
  <c r="K244" i="3"/>
  <c r="C244" i="3"/>
  <c r="H244" i="3"/>
  <c r="N244" i="3"/>
  <c r="G244" i="3"/>
  <c r="L244" i="3"/>
  <c r="D244" i="3"/>
  <c r="M240" i="3" a="1"/>
  <c r="M240" i="3" s="1"/>
  <c r="K240" i="3"/>
  <c r="C240" i="3"/>
  <c r="H240" i="3"/>
  <c r="N240" i="3"/>
  <c r="G240" i="3"/>
  <c r="L240" i="3"/>
  <c r="D240" i="3"/>
  <c r="C218" i="8"/>
  <c r="J218" i="8"/>
  <c r="M236" i="3" a="1"/>
  <c r="M236" i="3" s="1"/>
  <c r="K236" i="3"/>
  <c r="C236" i="3"/>
  <c r="H236" i="3"/>
  <c r="N236" i="3"/>
  <c r="G236" i="3"/>
  <c r="L236" i="3"/>
  <c r="D236" i="3"/>
  <c r="C214" i="8"/>
  <c r="J214" i="8"/>
  <c r="M232" i="3" a="1"/>
  <c r="M232" i="3" s="1"/>
  <c r="K232" i="3"/>
  <c r="C232" i="3"/>
  <c r="H232" i="3"/>
  <c r="N232" i="3"/>
  <c r="G232" i="3"/>
  <c r="L232" i="3"/>
  <c r="D232" i="3"/>
  <c r="M228" i="3" a="1"/>
  <c r="M228" i="3" s="1"/>
  <c r="K228" i="3"/>
  <c r="C228" i="3"/>
  <c r="H228" i="3"/>
  <c r="N228" i="3"/>
  <c r="G228" i="3"/>
  <c r="L228" i="3"/>
  <c r="D228" i="3"/>
  <c r="D505" i="4"/>
  <c r="M505" i="4"/>
  <c r="C505" i="4"/>
  <c r="D505" i="8"/>
  <c r="C505" i="8"/>
  <c r="D493" i="4"/>
  <c r="M493" i="4"/>
  <c r="C493" i="4"/>
  <c r="N493" i="9"/>
  <c r="K493" i="9"/>
  <c r="D493" i="9"/>
  <c r="C493" i="9"/>
  <c r="D489" i="4"/>
  <c r="M489" i="4"/>
  <c r="C489" i="4"/>
  <c r="D489" i="8"/>
  <c r="J489" i="8"/>
  <c r="C489" i="8"/>
  <c r="D477" i="4"/>
  <c r="M477" i="4"/>
  <c r="C477" i="4"/>
  <c r="D477" i="8"/>
  <c r="C477" i="8"/>
  <c r="J477" i="8"/>
  <c r="D473" i="4"/>
  <c r="M473" i="4"/>
  <c r="C473" i="4"/>
  <c r="D473" i="8"/>
  <c r="J473" i="8"/>
  <c r="C473" i="8"/>
  <c r="D469" i="11"/>
  <c r="O469" i="11"/>
  <c r="C469" i="11"/>
  <c r="N461" i="9"/>
  <c r="K461" i="9"/>
  <c r="D461" i="9"/>
  <c r="C461" i="9"/>
  <c r="D457" i="4"/>
  <c r="M457" i="4"/>
  <c r="C457" i="4"/>
  <c r="D457" i="8"/>
  <c r="C457" i="8"/>
  <c r="J457" i="8"/>
  <c r="I475" i="3"/>
  <c r="F475" i="3"/>
  <c r="D453" i="11"/>
  <c r="C453" i="11"/>
  <c r="O453" i="11"/>
  <c r="D445" i="8"/>
  <c r="C445" i="8"/>
  <c r="M441" i="5"/>
  <c r="C441" i="5"/>
  <c r="D441" i="8"/>
  <c r="C441" i="8"/>
  <c r="J459" i="3"/>
  <c r="L459" i="3"/>
  <c r="G459" i="3"/>
  <c r="N459" i="3"/>
  <c r="I459" i="3"/>
  <c r="D459" i="3"/>
  <c r="E459" i="3"/>
  <c r="M459" i="3" a="1"/>
  <c r="M459" i="3" s="1"/>
  <c r="C459" i="3"/>
  <c r="K459" i="3"/>
  <c r="H459" i="3"/>
  <c r="J433" i="6"/>
  <c r="C433" i="6"/>
  <c r="D429" i="4"/>
  <c r="C429" i="4"/>
  <c r="M429" i="4"/>
  <c r="N429" i="9"/>
  <c r="K429" i="9"/>
  <c r="D429" i="9"/>
  <c r="C429" i="9"/>
  <c r="D425" i="4"/>
  <c r="M425" i="4"/>
  <c r="C425" i="4"/>
  <c r="N425" i="9"/>
  <c r="D425" i="9"/>
  <c r="C425" i="9"/>
  <c r="K425" i="9"/>
  <c r="J443" i="3"/>
  <c r="K443" i="3"/>
  <c r="C443" i="3"/>
  <c r="I443" i="3"/>
  <c r="N443" i="3"/>
  <c r="G443" i="3"/>
  <c r="M443" i="3" a="1"/>
  <c r="M443" i="3" s="1"/>
  <c r="E443" i="3"/>
  <c r="C421" i="6"/>
  <c r="J421" i="6"/>
  <c r="D421" i="6"/>
  <c r="D417" i="7"/>
  <c r="L417" i="7"/>
  <c r="C417" i="7"/>
  <c r="J427" i="3"/>
  <c r="M427" i="3" a="1"/>
  <c r="M427" i="3" s="1"/>
  <c r="E427" i="3"/>
  <c r="K427" i="3"/>
  <c r="C427" i="3"/>
  <c r="I427" i="3"/>
  <c r="N427" i="3"/>
  <c r="G427" i="3"/>
  <c r="I405" i="10"/>
  <c r="C405" i="10"/>
  <c r="C401" i="6"/>
  <c r="J401" i="6"/>
  <c r="D401" i="6"/>
  <c r="D401" i="11"/>
  <c r="T401" i="11"/>
  <c r="O401" i="11"/>
  <c r="C401" i="11"/>
  <c r="D397" i="4"/>
  <c r="M397" i="4"/>
  <c r="C397" i="4"/>
  <c r="N397" i="9"/>
  <c r="D397" i="9"/>
  <c r="I393" i="10"/>
  <c r="C393" i="10"/>
  <c r="J411" i="3"/>
  <c r="M411" i="3" a="1"/>
  <c r="M411" i="3" s="1"/>
  <c r="E411" i="3"/>
  <c r="K411" i="3"/>
  <c r="C411" i="3"/>
  <c r="I411" i="3"/>
  <c r="N411" i="3"/>
  <c r="G411" i="3"/>
  <c r="D389" i="11"/>
  <c r="C389" i="11"/>
  <c r="T389" i="11"/>
  <c r="O389" i="11"/>
  <c r="C385" i="6"/>
  <c r="J385" i="6"/>
  <c r="D385" i="6"/>
  <c r="N381" i="9"/>
  <c r="D381" i="9"/>
  <c r="K395" i="3"/>
  <c r="N395" i="3"/>
  <c r="J395" i="3"/>
  <c r="E395" i="3"/>
  <c r="C373" i="6"/>
  <c r="J373" i="6"/>
  <c r="D373" i="6"/>
  <c r="C373" i="11"/>
  <c r="D373" i="11"/>
  <c r="J369" i="8"/>
  <c r="D369" i="8"/>
  <c r="C369" i="8"/>
  <c r="M365" i="4"/>
  <c r="D365" i="4"/>
  <c r="C365" i="4"/>
  <c r="K365" i="9"/>
  <c r="D365" i="9"/>
  <c r="D361" i="7"/>
  <c r="L361" i="7"/>
  <c r="C361" i="7"/>
  <c r="D357" i="7"/>
  <c r="C357" i="7"/>
  <c r="L357" i="7"/>
  <c r="C357" i="11"/>
  <c r="D357" i="11"/>
  <c r="D353" i="7"/>
  <c r="L353" i="7"/>
  <c r="C353" i="7"/>
  <c r="D345" i="8"/>
  <c r="C345" i="8"/>
  <c r="J345" i="8"/>
  <c r="H363" i="3"/>
  <c r="F363" i="3"/>
  <c r="D341" i="7"/>
  <c r="L341" i="7"/>
  <c r="C341" i="7"/>
  <c r="J337" i="6"/>
  <c r="D337" i="6"/>
  <c r="C337" i="6"/>
  <c r="M333" i="4"/>
  <c r="D333" i="4"/>
  <c r="C333" i="4"/>
  <c r="D329" i="8"/>
  <c r="C329" i="8"/>
  <c r="J329" i="8"/>
  <c r="J347" i="3"/>
  <c r="I347" i="3"/>
  <c r="F347" i="3"/>
  <c r="D347" i="3"/>
  <c r="L347" i="3"/>
  <c r="D325" i="7"/>
  <c r="L325" i="7"/>
  <c r="C325" i="7"/>
  <c r="J321" i="6"/>
  <c r="D321" i="6"/>
  <c r="C321" i="6"/>
  <c r="M317" i="4"/>
  <c r="D317" i="4"/>
  <c r="C317" i="4"/>
  <c r="D313" i="8"/>
  <c r="C313" i="8"/>
  <c r="J313" i="8"/>
  <c r="J331" i="3"/>
  <c r="N331" i="3"/>
  <c r="G331" i="3"/>
  <c r="M331" i="3" a="1"/>
  <c r="M331" i="3" s="1"/>
  <c r="E331" i="3"/>
  <c r="K331" i="3"/>
  <c r="C331" i="3"/>
  <c r="I331" i="3"/>
  <c r="D309" i="7"/>
  <c r="L309" i="7"/>
  <c r="C309" i="7"/>
  <c r="O309" i="11"/>
  <c r="C309" i="11"/>
  <c r="D309" i="11"/>
  <c r="C305" i="6"/>
  <c r="J305" i="6"/>
  <c r="D305" i="6"/>
  <c r="M301" i="4"/>
  <c r="C301" i="4"/>
  <c r="D301" i="4"/>
  <c r="D297" i="8"/>
  <c r="C297" i="8"/>
  <c r="J297" i="8"/>
  <c r="J315" i="3"/>
  <c r="N315" i="3"/>
  <c r="G315" i="3"/>
  <c r="M315" i="3" a="1"/>
  <c r="M315" i="3" s="1"/>
  <c r="E315" i="3"/>
  <c r="K315" i="3"/>
  <c r="C315" i="3"/>
  <c r="I315" i="3"/>
  <c r="C289" i="6"/>
  <c r="J289" i="6"/>
  <c r="D289" i="6"/>
  <c r="M285" i="4"/>
  <c r="C285" i="4"/>
  <c r="D285" i="4"/>
  <c r="C281" i="5"/>
  <c r="M281" i="5"/>
  <c r="D281" i="9"/>
  <c r="K281" i="9"/>
  <c r="C281" i="9"/>
  <c r="C273" i="5"/>
  <c r="M273" i="5"/>
  <c r="D273" i="9"/>
  <c r="K273" i="9"/>
  <c r="C273" i="9"/>
  <c r="M269" i="4"/>
  <c r="D269" i="4"/>
  <c r="C269" i="4"/>
  <c r="D269" i="8"/>
  <c r="C269" i="8"/>
  <c r="J287" i="3"/>
  <c r="N287" i="3"/>
  <c r="G287" i="3"/>
  <c r="M287" i="3" a="1"/>
  <c r="M287" i="3" s="1"/>
  <c r="E287" i="3"/>
  <c r="C287" i="3"/>
  <c r="K287" i="3"/>
  <c r="I287" i="3"/>
  <c r="D265" i="8"/>
  <c r="C265" i="8"/>
  <c r="J283" i="3"/>
  <c r="K283" i="3"/>
  <c r="I283" i="3"/>
  <c r="N283" i="3"/>
  <c r="C283" i="3"/>
  <c r="M283" i="3" a="1"/>
  <c r="M283" i="3" s="1"/>
  <c r="G283" i="3"/>
  <c r="E283" i="3"/>
  <c r="J279" i="3"/>
  <c r="K279" i="3"/>
  <c r="C279" i="3"/>
  <c r="I279" i="3"/>
  <c r="N279" i="3"/>
  <c r="G279" i="3"/>
  <c r="M279" i="3" a="1"/>
  <c r="M279" i="3" s="1"/>
  <c r="E279" i="3"/>
  <c r="N275" i="3"/>
  <c r="K275" i="3"/>
  <c r="F275" i="3"/>
  <c r="N271" i="3"/>
  <c r="K271" i="3"/>
  <c r="F271" i="3"/>
  <c r="N267" i="3"/>
  <c r="K267" i="3"/>
  <c r="F267" i="3"/>
  <c r="N263" i="3"/>
  <c r="K263" i="3"/>
  <c r="F263" i="3"/>
  <c r="N259" i="3"/>
  <c r="K259" i="3"/>
  <c r="F259" i="3"/>
  <c r="N255" i="3"/>
  <c r="F255" i="3"/>
  <c r="K255" i="3"/>
  <c r="N251" i="3"/>
  <c r="K251" i="3"/>
  <c r="F251" i="3"/>
  <c r="N247" i="3"/>
  <c r="K247" i="3"/>
  <c r="F247" i="3"/>
  <c r="N243" i="3"/>
  <c r="E243" i="3"/>
  <c r="M243" i="3" a="1"/>
  <c r="M243" i="3" s="1"/>
  <c r="I243" i="3"/>
  <c r="N239" i="3"/>
  <c r="E239" i="3"/>
  <c r="M239" i="3" a="1"/>
  <c r="M239" i="3" s="1"/>
  <c r="I239" i="3"/>
  <c r="N235" i="3"/>
  <c r="E235" i="3"/>
  <c r="M235" i="3" a="1"/>
  <c r="M235" i="3" s="1"/>
  <c r="I235" i="3"/>
  <c r="N231" i="3"/>
  <c r="E231" i="3"/>
  <c r="M231" i="3" a="1"/>
  <c r="M231" i="3" s="1"/>
  <c r="I231" i="3"/>
  <c r="N227" i="3"/>
  <c r="E227" i="3"/>
  <c r="M227" i="3" a="1"/>
  <c r="M227" i="3" s="1"/>
  <c r="I227" i="3"/>
  <c r="I171" i="10"/>
  <c r="D171" i="10"/>
  <c r="C171" i="10"/>
  <c r="I175" i="10"/>
  <c r="D175" i="10"/>
  <c r="C175" i="10"/>
  <c r="J183" i="6"/>
  <c r="D183" i="6"/>
  <c r="C183" i="6"/>
  <c r="M193" i="5"/>
  <c r="C193" i="5"/>
  <c r="J10" i="6"/>
  <c r="D10" i="6"/>
  <c r="C10" i="6"/>
  <c r="J13" i="6"/>
  <c r="D13" i="6"/>
  <c r="C13" i="6"/>
  <c r="M16" i="5"/>
  <c r="C16" i="5"/>
  <c r="M17" i="5"/>
  <c r="C17" i="5"/>
  <c r="J21" i="6"/>
  <c r="D21" i="6"/>
  <c r="C21" i="6"/>
  <c r="J35" i="6"/>
  <c r="D35" i="6"/>
  <c r="C35" i="6"/>
  <c r="J38" i="6"/>
  <c r="D38" i="6"/>
  <c r="C38" i="6"/>
  <c r="M40" i="5"/>
  <c r="C40" i="5"/>
  <c r="J50" i="6"/>
  <c r="D50" i="6"/>
  <c r="C50" i="6"/>
  <c r="J61" i="6"/>
  <c r="D61" i="6"/>
  <c r="C61" i="6"/>
  <c r="M67" i="5"/>
  <c r="C67" i="5"/>
  <c r="J68" i="6"/>
  <c r="D68" i="6"/>
  <c r="C68" i="6"/>
  <c r="J70" i="6"/>
  <c r="D70" i="6"/>
  <c r="C70" i="6"/>
  <c r="M74" i="5"/>
  <c r="C74" i="5"/>
  <c r="J81" i="6"/>
  <c r="D81" i="6"/>
  <c r="C81" i="6"/>
  <c r="I172" i="10"/>
  <c r="D172" i="10"/>
  <c r="C172" i="10"/>
  <c r="M173" i="5"/>
  <c r="C173" i="5"/>
  <c r="M175" i="5"/>
  <c r="C175" i="5"/>
  <c r="M176" i="5"/>
  <c r="C176" i="5"/>
  <c r="J179" i="6"/>
  <c r="D179" i="6"/>
  <c r="C179" i="6"/>
  <c r="I183" i="10"/>
  <c r="D183" i="10"/>
  <c r="C183" i="10"/>
  <c r="M185" i="5"/>
  <c r="C185" i="5"/>
  <c r="J187" i="6"/>
  <c r="D187" i="6"/>
  <c r="C187" i="6"/>
  <c r="I188" i="10"/>
  <c r="D188" i="10"/>
  <c r="C188" i="10"/>
  <c r="M189" i="5"/>
  <c r="C189" i="5"/>
  <c r="M192" i="5"/>
  <c r="C192" i="5"/>
  <c r="I193" i="10"/>
  <c r="D193" i="10"/>
  <c r="C193" i="10"/>
  <c r="I197" i="10"/>
  <c r="D197" i="10"/>
  <c r="C197" i="10"/>
  <c r="M199" i="5"/>
  <c r="C199" i="5"/>
  <c r="I202" i="10"/>
  <c r="D202" i="10"/>
  <c r="C202" i="10"/>
  <c r="J204" i="6"/>
  <c r="D204" i="6"/>
  <c r="C204" i="6"/>
  <c r="J20" i="6"/>
  <c r="D20" i="6"/>
  <c r="C20" i="6"/>
  <c r="M41" i="5"/>
  <c r="C41" i="5"/>
  <c r="M46" i="5"/>
  <c r="C46" i="5"/>
  <c r="M49" i="5"/>
  <c r="C49" i="5"/>
  <c r="J53" i="6"/>
  <c r="D53" i="6"/>
  <c r="C53" i="6"/>
  <c r="M55" i="5"/>
  <c r="C55" i="5"/>
  <c r="J57" i="6"/>
  <c r="D57" i="6"/>
  <c r="C57" i="6"/>
  <c r="J64" i="6"/>
  <c r="D64" i="6"/>
  <c r="C64" i="6"/>
  <c r="M66" i="5"/>
  <c r="C66" i="5"/>
  <c r="J77" i="6"/>
  <c r="D77" i="6"/>
  <c r="C77" i="6"/>
  <c r="M79" i="5"/>
  <c r="C79" i="5"/>
  <c r="J83" i="6"/>
  <c r="D83" i="6"/>
  <c r="C83" i="6"/>
  <c r="J97" i="6"/>
  <c r="D97" i="6"/>
  <c r="C97" i="6"/>
  <c r="M101" i="5"/>
  <c r="C101" i="5"/>
  <c r="J105" i="6"/>
  <c r="D105" i="6"/>
  <c r="C105" i="6"/>
  <c r="M107" i="5"/>
  <c r="C107" i="5"/>
  <c r="M110" i="5"/>
  <c r="C110" i="5"/>
  <c r="M112" i="5"/>
  <c r="C112" i="5"/>
  <c r="J116" i="6"/>
  <c r="D116" i="6"/>
  <c r="C116" i="6"/>
  <c r="M117" i="5"/>
  <c r="C117" i="5"/>
  <c r="M118" i="5"/>
  <c r="C118" i="5"/>
  <c r="M120" i="5"/>
  <c r="C120" i="5"/>
  <c r="M122" i="5"/>
  <c r="C122" i="5"/>
  <c r="M130" i="5"/>
  <c r="C130" i="5"/>
  <c r="J132" i="6"/>
  <c r="D132" i="6"/>
  <c r="C132" i="6"/>
  <c r="M140" i="5"/>
  <c r="C140" i="5"/>
  <c r="J144" i="6"/>
  <c r="D144" i="6"/>
  <c r="C144" i="6"/>
  <c r="J147" i="6"/>
  <c r="D147" i="6"/>
  <c r="C147" i="6"/>
  <c r="J151" i="6"/>
  <c r="D151" i="6"/>
  <c r="C151" i="6"/>
  <c r="J161" i="6"/>
  <c r="D161" i="6"/>
  <c r="C161" i="6"/>
  <c r="M162" i="5"/>
  <c r="C162" i="5"/>
  <c r="M164" i="5"/>
  <c r="C164" i="5"/>
  <c r="J166" i="6"/>
  <c r="D166" i="6"/>
  <c r="C166" i="6"/>
  <c r="D8" i="11"/>
  <c r="C8" i="11"/>
  <c r="D19" i="11"/>
  <c r="C19" i="11"/>
  <c r="D142" i="11"/>
  <c r="C142" i="11"/>
  <c r="M170" i="5"/>
  <c r="C170" i="5"/>
  <c r="J171" i="6"/>
  <c r="D171" i="6"/>
  <c r="C171" i="6"/>
  <c r="M172" i="5"/>
  <c r="C172" i="5"/>
  <c r="M174" i="5"/>
  <c r="C174" i="5"/>
  <c r="J175" i="6"/>
  <c r="D175" i="6"/>
  <c r="C175" i="6"/>
  <c r="I176" i="10"/>
  <c r="D176" i="10"/>
  <c r="C176" i="10"/>
  <c r="M178" i="5"/>
  <c r="C178" i="5"/>
  <c r="M179" i="5"/>
  <c r="C179" i="5"/>
  <c r="I180" i="10"/>
  <c r="D180" i="10"/>
  <c r="C180" i="10"/>
  <c r="I182" i="10"/>
  <c r="D182" i="10"/>
  <c r="C182" i="10"/>
  <c r="M183" i="5"/>
  <c r="C183" i="5"/>
  <c r="J184" i="6"/>
  <c r="D184" i="6"/>
  <c r="C184" i="6"/>
  <c r="I186" i="10"/>
  <c r="D186" i="10"/>
  <c r="C186" i="10"/>
  <c r="I187" i="10"/>
  <c r="D187" i="10"/>
  <c r="C187" i="10"/>
  <c r="M188" i="5"/>
  <c r="C188" i="5"/>
  <c r="J190" i="6"/>
  <c r="D190" i="6"/>
  <c r="C190" i="6"/>
  <c r="J191" i="6"/>
  <c r="D191" i="6"/>
  <c r="C191" i="6"/>
  <c r="I192" i="10"/>
  <c r="D192" i="10"/>
  <c r="C192" i="10"/>
  <c r="J194" i="6"/>
  <c r="D194" i="6"/>
  <c r="C194" i="6"/>
  <c r="M195" i="5"/>
  <c r="C195" i="5"/>
  <c r="I196" i="10"/>
  <c r="D196" i="10"/>
  <c r="C196" i="10"/>
  <c r="J198" i="6"/>
  <c r="D198" i="6"/>
  <c r="C198" i="6"/>
  <c r="J199" i="6"/>
  <c r="D199" i="6"/>
  <c r="C199" i="6"/>
  <c r="I200" i="10"/>
  <c r="D200" i="10"/>
  <c r="C200" i="10"/>
  <c r="J202" i="6"/>
  <c r="D202" i="6"/>
  <c r="C202" i="6"/>
  <c r="I204" i="10"/>
  <c r="D204" i="10"/>
  <c r="C204" i="10"/>
  <c r="M8" i="5"/>
  <c r="C8" i="5"/>
  <c r="J9" i="6"/>
  <c r="D9" i="6"/>
  <c r="C9" i="6"/>
  <c r="M10" i="5"/>
  <c r="C10" i="5"/>
  <c r="M11" i="5"/>
  <c r="C11" i="5"/>
  <c r="M12" i="5"/>
  <c r="C12" i="5"/>
  <c r="D13" i="7"/>
  <c r="D14" i="7"/>
  <c r="J15" i="6"/>
  <c r="D15" i="6"/>
  <c r="C15" i="6"/>
  <c r="D16" i="7"/>
  <c r="D17" i="7"/>
  <c r="J18" i="6"/>
  <c r="D18" i="6"/>
  <c r="C18" i="6"/>
  <c r="J19" i="6"/>
  <c r="D19" i="6"/>
  <c r="C19" i="6"/>
  <c r="M21" i="5"/>
  <c r="C21" i="5"/>
  <c r="J22" i="6"/>
  <c r="D22" i="6"/>
  <c r="C22" i="6"/>
  <c r="J23" i="6"/>
  <c r="D23" i="6"/>
  <c r="C23" i="6"/>
  <c r="J24" i="6"/>
  <c r="D24" i="6"/>
  <c r="C24" i="6"/>
  <c r="J27" i="6"/>
  <c r="D27" i="6"/>
  <c r="C27" i="6"/>
  <c r="J28" i="6"/>
  <c r="D28" i="6"/>
  <c r="C28" i="6"/>
  <c r="J30" i="6"/>
  <c r="D30" i="6"/>
  <c r="C30" i="6"/>
  <c r="M31" i="5"/>
  <c r="C31" i="5"/>
  <c r="J34" i="6"/>
  <c r="D34" i="6"/>
  <c r="C34" i="6"/>
  <c r="J36" i="6"/>
  <c r="D36" i="6"/>
  <c r="C36" i="6"/>
  <c r="M37" i="5"/>
  <c r="C37" i="5"/>
  <c r="J39" i="6"/>
  <c r="D39" i="6"/>
  <c r="C39" i="6"/>
  <c r="M42" i="5"/>
  <c r="C42" i="5"/>
  <c r="J44" i="6"/>
  <c r="D44" i="6"/>
  <c r="C44" i="6"/>
  <c r="J47" i="6"/>
  <c r="D47" i="6"/>
  <c r="C47" i="6"/>
  <c r="J48" i="6"/>
  <c r="D48" i="6"/>
  <c r="C48" i="6"/>
  <c r="M51" i="5"/>
  <c r="C51" i="5"/>
  <c r="J56" i="6"/>
  <c r="D56" i="6"/>
  <c r="C56" i="6"/>
  <c r="J58" i="6"/>
  <c r="D58" i="6"/>
  <c r="C58" i="6"/>
  <c r="M61" i="5"/>
  <c r="C61" i="5"/>
  <c r="J65" i="6"/>
  <c r="D65" i="6"/>
  <c r="C65" i="6"/>
  <c r="J71" i="6"/>
  <c r="D71" i="6"/>
  <c r="C71" i="6"/>
  <c r="M72" i="5"/>
  <c r="C72" i="5"/>
  <c r="M73" i="5"/>
  <c r="C73" i="5"/>
  <c r="M75" i="5"/>
  <c r="C75" i="5"/>
  <c r="M76" i="5"/>
  <c r="C76" i="5"/>
  <c r="J82" i="6"/>
  <c r="D82" i="6"/>
  <c r="C82" i="6"/>
  <c r="J85" i="6"/>
  <c r="D85" i="6"/>
  <c r="C85" i="6"/>
  <c r="M86" i="5"/>
  <c r="C86" i="5"/>
  <c r="J88" i="6"/>
  <c r="D88" i="6"/>
  <c r="C88" i="6"/>
  <c r="M92" i="5"/>
  <c r="C92" i="5"/>
  <c r="M93" i="5"/>
  <c r="C93" i="5"/>
  <c r="J95" i="6"/>
  <c r="D95" i="6"/>
  <c r="C95" i="6"/>
  <c r="M97" i="5"/>
  <c r="C97" i="5"/>
  <c r="M98" i="5"/>
  <c r="C98" i="5"/>
  <c r="J103" i="6"/>
  <c r="D103" i="6"/>
  <c r="C103" i="6"/>
  <c r="J104" i="6"/>
  <c r="D104" i="6"/>
  <c r="C104" i="6"/>
  <c r="J109" i="6"/>
  <c r="D109" i="6"/>
  <c r="C109" i="6"/>
  <c r="J112" i="6"/>
  <c r="D112" i="6"/>
  <c r="C112" i="6"/>
  <c r="M113" i="5"/>
  <c r="C113" i="5"/>
  <c r="M114" i="5"/>
  <c r="C114" i="5"/>
  <c r="J123" i="6"/>
  <c r="D123" i="6"/>
  <c r="C123" i="6"/>
  <c r="J126" i="6"/>
  <c r="D126" i="6"/>
  <c r="C126" i="6"/>
  <c r="J131" i="6"/>
  <c r="D131" i="6"/>
  <c r="C131" i="6"/>
  <c r="M134" i="5"/>
  <c r="C134" i="5"/>
  <c r="J135" i="6"/>
  <c r="D135" i="6"/>
  <c r="C135" i="6"/>
  <c r="J136" i="6"/>
  <c r="D136" i="6"/>
  <c r="C136" i="6"/>
  <c r="M137" i="5"/>
  <c r="C137" i="5"/>
  <c r="J138" i="6"/>
  <c r="D138" i="6"/>
  <c r="C138" i="6"/>
  <c r="M139" i="5"/>
  <c r="C139" i="5"/>
  <c r="M142" i="5"/>
  <c r="C142" i="5"/>
  <c r="M143" i="5"/>
  <c r="C143" i="5"/>
  <c r="M149" i="5"/>
  <c r="C149" i="5"/>
  <c r="M150" i="5"/>
  <c r="C150" i="5"/>
  <c r="M153" i="5"/>
  <c r="C153" i="5"/>
  <c r="M154" i="5"/>
  <c r="C154" i="5"/>
  <c r="M155" i="5"/>
  <c r="C155" i="5"/>
  <c r="J157" i="6"/>
  <c r="D157" i="6"/>
  <c r="C157" i="6"/>
  <c r="J158" i="6"/>
  <c r="D158" i="6"/>
  <c r="C158" i="6"/>
  <c r="J159" i="6"/>
  <c r="D159" i="6"/>
  <c r="C159" i="6"/>
  <c r="J160" i="6"/>
  <c r="D160" i="6"/>
  <c r="C160" i="6"/>
  <c r="J162" i="6"/>
  <c r="D162" i="6"/>
  <c r="C162" i="6"/>
  <c r="J163" i="6"/>
  <c r="D163" i="6"/>
  <c r="C163" i="6"/>
  <c r="M166" i="5"/>
  <c r="C166" i="5"/>
  <c r="M167" i="5"/>
  <c r="C167" i="5"/>
  <c r="M168" i="5"/>
  <c r="C168" i="5"/>
  <c r="J169" i="6"/>
  <c r="D169" i="6"/>
  <c r="C169" i="6"/>
  <c r="I9" i="10"/>
  <c r="D9" i="10"/>
  <c r="C9" i="10"/>
  <c r="I11" i="10"/>
  <c r="D11" i="10"/>
  <c r="C11" i="10"/>
  <c r="I13" i="10"/>
  <c r="D13" i="10"/>
  <c r="C13" i="10"/>
  <c r="I15" i="10"/>
  <c r="D15" i="10"/>
  <c r="C15" i="10"/>
  <c r="I17" i="10"/>
  <c r="D17" i="10"/>
  <c r="C17" i="10"/>
  <c r="I19" i="10"/>
  <c r="D19" i="10"/>
  <c r="C19" i="10"/>
  <c r="I21" i="10"/>
  <c r="D21" i="10"/>
  <c r="C21" i="10"/>
  <c r="I23" i="10"/>
  <c r="D23" i="10"/>
  <c r="C23" i="10"/>
  <c r="I25" i="10"/>
  <c r="D25" i="10"/>
  <c r="C25" i="10"/>
  <c r="I27" i="10"/>
  <c r="D27" i="10"/>
  <c r="C27" i="10"/>
  <c r="I29" i="10"/>
  <c r="D29" i="10"/>
  <c r="C29" i="10"/>
  <c r="I31" i="10"/>
  <c r="D31" i="10"/>
  <c r="C31" i="10"/>
  <c r="I33" i="10"/>
  <c r="D33" i="10"/>
  <c r="C33" i="10"/>
  <c r="I35" i="10"/>
  <c r="D35" i="10"/>
  <c r="C35" i="10"/>
  <c r="I37" i="10"/>
  <c r="D37" i="10"/>
  <c r="C37" i="10"/>
  <c r="I39" i="10"/>
  <c r="D39" i="10"/>
  <c r="C39" i="10"/>
  <c r="I41" i="10"/>
  <c r="D41" i="10"/>
  <c r="C41" i="10"/>
  <c r="I43" i="10"/>
  <c r="D43" i="10"/>
  <c r="C43" i="10"/>
  <c r="I45" i="10"/>
  <c r="D45" i="10"/>
  <c r="C45" i="10"/>
  <c r="I47" i="10"/>
  <c r="D47" i="10"/>
  <c r="C47" i="10"/>
  <c r="I49" i="10"/>
  <c r="D49" i="10"/>
  <c r="C49" i="10"/>
  <c r="I51" i="10"/>
  <c r="D51" i="10"/>
  <c r="C51" i="10"/>
  <c r="I53" i="10"/>
  <c r="D53" i="10"/>
  <c r="C53" i="10"/>
  <c r="I55" i="10"/>
  <c r="D55" i="10"/>
  <c r="C55" i="10"/>
  <c r="I57" i="10"/>
  <c r="D57" i="10"/>
  <c r="C57" i="10"/>
  <c r="I59" i="10"/>
  <c r="D59" i="10"/>
  <c r="C59" i="10"/>
  <c r="I61" i="10"/>
  <c r="D61" i="10"/>
  <c r="C61" i="10"/>
  <c r="I63" i="10"/>
  <c r="D63" i="10"/>
  <c r="C63" i="10"/>
  <c r="I65" i="10"/>
  <c r="D65" i="10"/>
  <c r="C65" i="10"/>
  <c r="I67" i="10"/>
  <c r="D67" i="10"/>
  <c r="C67" i="10"/>
  <c r="I69" i="10"/>
  <c r="D69" i="10"/>
  <c r="C69" i="10"/>
  <c r="I71" i="10"/>
  <c r="D71" i="10"/>
  <c r="C71" i="10"/>
  <c r="I73" i="10"/>
  <c r="D73" i="10"/>
  <c r="C73" i="10"/>
  <c r="I75" i="10"/>
  <c r="D75" i="10"/>
  <c r="C75" i="10"/>
  <c r="I77" i="10"/>
  <c r="D77" i="10"/>
  <c r="C77" i="10"/>
  <c r="I79" i="10"/>
  <c r="D79" i="10"/>
  <c r="C79" i="10"/>
  <c r="D143" i="11"/>
  <c r="C143" i="11"/>
  <c r="D147" i="11"/>
  <c r="C147" i="11"/>
  <c r="D151" i="11"/>
  <c r="C151" i="11"/>
  <c r="D155" i="11"/>
  <c r="C155" i="11"/>
  <c r="D159" i="11"/>
  <c r="C159" i="11"/>
  <c r="D163" i="11"/>
  <c r="C163" i="11"/>
  <c r="D167" i="11"/>
  <c r="C167" i="11"/>
  <c r="D80" i="11"/>
  <c r="C80" i="11"/>
  <c r="D82" i="11"/>
  <c r="C82" i="11"/>
  <c r="D84" i="11"/>
  <c r="C84" i="11"/>
  <c r="D86" i="11"/>
  <c r="C86" i="11"/>
  <c r="D88" i="11"/>
  <c r="C88" i="11"/>
  <c r="D90" i="11"/>
  <c r="C90" i="11"/>
  <c r="D92" i="11"/>
  <c r="C92" i="11"/>
  <c r="D94" i="11"/>
  <c r="C94" i="11"/>
  <c r="D96" i="11"/>
  <c r="C96" i="11"/>
  <c r="D98" i="11"/>
  <c r="C98" i="11"/>
  <c r="D100" i="11"/>
  <c r="C100" i="11"/>
  <c r="D102" i="11"/>
  <c r="C102" i="11"/>
  <c r="D104" i="11"/>
  <c r="C104" i="11"/>
  <c r="D106" i="11"/>
  <c r="C106" i="11"/>
  <c r="D108" i="11"/>
  <c r="C108" i="11"/>
  <c r="D110" i="11"/>
  <c r="C110" i="11"/>
  <c r="D112" i="11"/>
  <c r="C112" i="11"/>
  <c r="D114" i="11"/>
  <c r="C114" i="11"/>
  <c r="D116" i="11"/>
  <c r="C116" i="11"/>
  <c r="D118" i="11"/>
  <c r="C118" i="11"/>
  <c r="D120" i="11"/>
  <c r="C120" i="11"/>
  <c r="D122" i="11"/>
  <c r="C122" i="11"/>
  <c r="D124" i="11"/>
  <c r="C124" i="11"/>
  <c r="D126" i="11"/>
  <c r="C126" i="11"/>
  <c r="D128" i="11"/>
  <c r="C128" i="11"/>
  <c r="D130" i="11"/>
  <c r="C130" i="11"/>
  <c r="D132" i="11"/>
  <c r="C132" i="11"/>
  <c r="D134" i="11"/>
  <c r="C134" i="11"/>
  <c r="D136" i="11"/>
  <c r="C136" i="11"/>
  <c r="D138" i="11"/>
  <c r="C138" i="11"/>
  <c r="I169" i="10"/>
  <c r="D169" i="10"/>
  <c r="C169" i="10"/>
  <c r="D202" i="11"/>
  <c r="C202" i="11"/>
  <c r="D204" i="11"/>
  <c r="C204" i="11"/>
  <c r="M206" i="5"/>
  <c r="C206" i="5"/>
  <c r="I207" i="10"/>
  <c r="D207" i="10"/>
  <c r="C207" i="10"/>
  <c r="D207" i="9"/>
  <c r="C207" i="9"/>
  <c r="J206" i="8"/>
  <c r="D206" i="8"/>
  <c r="C206" i="8"/>
  <c r="C205" i="4"/>
  <c r="D205" i="4"/>
  <c r="D203" i="9"/>
  <c r="C203" i="9"/>
  <c r="J202" i="8"/>
  <c r="D202" i="8"/>
  <c r="C202" i="8"/>
  <c r="C201" i="4"/>
  <c r="D201" i="4"/>
  <c r="J199" i="8"/>
  <c r="D199" i="8"/>
  <c r="C199" i="8"/>
  <c r="D199" i="11"/>
  <c r="C199" i="11"/>
  <c r="J197" i="8"/>
  <c r="D197" i="8"/>
  <c r="C197" i="8"/>
  <c r="D197" i="11"/>
  <c r="C197" i="11"/>
  <c r="J195" i="8"/>
  <c r="D195" i="8"/>
  <c r="C195" i="8"/>
  <c r="D195" i="11"/>
  <c r="C195" i="11"/>
  <c r="J193" i="8"/>
  <c r="D193" i="8"/>
  <c r="C193" i="8"/>
  <c r="D193" i="11"/>
  <c r="C193" i="11"/>
  <c r="J191" i="8"/>
  <c r="D191" i="8"/>
  <c r="C191" i="8"/>
  <c r="D191" i="11"/>
  <c r="C191" i="11"/>
  <c r="J189" i="8"/>
  <c r="D189" i="8"/>
  <c r="C189" i="8"/>
  <c r="D189" i="11"/>
  <c r="C189" i="11"/>
  <c r="J187" i="8"/>
  <c r="D187" i="8"/>
  <c r="C187" i="8"/>
  <c r="D187" i="11"/>
  <c r="C187" i="11"/>
  <c r="J185" i="8"/>
  <c r="D185" i="8"/>
  <c r="C185" i="8"/>
  <c r="D185" i="11"/>
  <c r="C185" i="11"/>
  <c r="J183" i="8"/>
  <c r="D183" i="8"/>
  <c r="C183" i="8"/>
  <c r="D183" i="11"/>
  <c r="C183" i="11"/>
  <c r="J181" i="8"/>
  <c r="D181" i="8"/>
  <c r="C181" i="8"/>
  <c r="D181" i="11"/>
  <c r="C181" i="11"/>
  <c r="J179" i="8"/>
  <c r="D179" i="8"/>
  <c r="C179" i="8"/>
  <c r="D179" i="11"/>
  <c r="C179" i="11"/>
  <c r="J177" i="8"/>
  <c r="D177" i="8"/>
  <c r="C177" i="8"/>
  <c r="D177" i="11"/>
  <c r="C177" i="11"/>
  <c r="J175" i="8"/>
  <c r="D175" i="8"/>
  <c r="C175" i="8"/>
  <c r="D175" i="11"/>
  <c r="C175" i="11"/>
  <c r="J173" i="8"/>
  <c r="D173" i="8"/>
  <c r="C173" i="8"/>
  <c r="D173" i="11"/>
  <c r="C173" i="11"/>
  <c r="J171" i="8"/>
  <c r="D171" i="8"/>
  <c r="C171" i="8"/>
  <c r="D171" i="11"/>
  <c r="C171" i="11"/>
  <c r="J169" i="8"/>
  <c r="D169" i="8"/>
  <c r="C169" i="8"/>
  <c r="C168" i="4"/>
  <c r="D168" i="4"/>
  <c r="K167" i="9"/>
  <c r="D167" i="9"/>
  <c r="C167" i="9"/>
  <c r="C166" i="4"/>
  <c r="D166" i="4"/>
  <c r="K165" i="9"/>
  <c r="D165" i="9"/>
  <c r="C165" i="9"/>
  <c r="C164" i="4"/>
  <c r="D164" i="4"/>
  <c r="K163" i="9"/>
  <c r="D163" i="9"/>
  <c r="C163" i="9"/>
  <c r="C162" i="4"/>
  <c r="D162" i="4"/>
  <c r="K161" i="9"/>
  <c r="D161" i="9"/>
  <c r="C161" i="9"/>
  <c r="M160" i="4"/>
  <c r="C160" i="4"/>
  <c r="D160" i="4"/>
  <c r="K159" i="9"/>
  <c r="D159" i="9"/>
  <c r="C159" i="9"/>
  <c r="C158" i="4"/>
  <c r="D158" i="4"/>
  <c r="K157" i="9"/>
  <c r="D157" i="9"/>
  <c r="C157" i="9"/>
  <c r="C156" i="4"/>
  <c r="D156" i="4"/>
  <c r="K155" i="9"/>
  <c r="D155" i="9"/>
  <c r="C155" i="9"/>
  <c r="C154" i="4"/>
  <c r="D154" i="4"/>
  <c r="K153" i="9"/>
  <c r="D153" i="9"/>
  <c r="C153" i="9"/>
  <c r="M152" i="4"/>
  <c r="C152" i="4"/>
  <c r="D152" i="4"/>
  <c r="K151" i="9"/>
  <c r="D151" i="9"/>
  <c r="C151" i="9"/>
  <c r="C150" i="4"/>
  <c r="D150" i="4"/>
  <c r="D149" i="9"/>
  <c r="C149" i="9"/>
  <c r="C148" i="4"/>
  <c r="D148" i="4"/>
  <c r="K147" i="9"/>
  <c r="D147" i="9"/>
  <c r="C147" i="9"/>
  <c r="C146" i="4"/>
  <c r="D146" i="4"/>
  <c r="K145" i="9"/>
  <c r="D145" i="9"/>
  <c r="C145" i="9"/>
  <c r="M144" i="4"/>
  <c r="C144" i="4"/>
  <c r="D144" i="4"/>
  <c r="K143" i="9"/>
  <c r="D143" i="9"/>
  <c r="C143" i="9"/>
  <c r="M142" i="4"/>
  <c r="C142" i="4"/>
  <c r="D142" i="4"/>
  <c r="K141" i="9"/>
  <c r="D141" i="9"/>
  <c r="C141" i="9"/>
  <c r="C140" i="4"/>
  <c r="D140" i="4"/>
  <c r="K139" i="9"/>
  <c r="D139" i="9"/>
  <c r="C139" i="9"/>
  <c r="D138" i="8"/>
  <c r="C138" i="8"/>
  <c r="C137" i="4"/>
  <c r="D137" i="4"/>
  <c r="K135" i="9"/>
  <c r="D135" i="9"/>
  <c r="C135" i="9"/>
  <c r="D134" i="8"/>
  <c r="C134" i="8"/>
  <c r="C133" i="4"/>
  <c r="D133" i="4"/>
  <c r="K131" i="9"/>
  <c r="D131" i="9"/>
  <c r="C131" i="9"/>
  <c r="D130" i="8"/>
  <c r="C130" i="8"/>
  <c r="C129" i="4"/>
  <c r="D129" i="4"/>
  <c r="K127" i="9"/>
  <c r="D127" i="9"/>
  <c r="C127" i="9"/>
  <c r="D126" i="8"/>
  <c r="C126" i="8"/>
  <c r="M125" i="4"/>
  <c r="C125" i="4"/>
  <c r="D125" i="4"/>
  <c r="K123" i="9"/>
  <c r="D123" i="9"/>
  <c r="C123" i="9"/>
  <c r="D122" i="8"/>
  <c r="C122" i="8"/>
  <c r="C121" i="4"/>
  <c r="D121" i="4"/>
  <c r="K119" i="9"/>
  <c r="D119" i="9"/>
  <c r="C119" i="9"/>
  <c r="D118" i="8"/>
  <c r="C118" i="8"/>
  <c r="M117" i="4"/>
  <c r="C117" i="4"/>
  <c r="D117" i="4"/>
  <c r="K115" i="9"/>
  <c r="D115" i="9"/>
  <c r="C115" i="9"/>
  <c r="D114" i="8"/>
  <c r="C114" i="8"/>
  <c r="C113" i="4"/>
  <c r="D113" i="4"/>
  <c r="K111" i="9"/>
  <c r="D111" i="9"/>
  <c r="C111" i="9"/>
  <c r="D110" i="8"/>
  <c r="C110" i="8"/>
  <c r="C109" i="4"/>
  <c r="D109" i="4"/>
  <c r="D107" i="9"/>
  <c r="C107" i="9"/>
  <c r="D106" i="8"/>
  <c r="C106" i="8"/>
  <c r="C105" i="4"/>
  <c r="D105" i="4"/>
  <c r="D103" i="9"/>
  <c r="C103" i="9"/>
  <c r="D102" i="8"/>
  <c r="C102" i="8"/>
  <c r="C101" i="4"/>
  <c r="D101" i="4"/>
  <c r="D99" i="9"/>
  <c r="C99" i="9"/>
  <c r="D98" i="8"/>
  <c r="C98" i="8"/>
  <c r="C97" i="4"/>
  <c r="D97" i="4"/>
  <c r="D95" i="9"/>
  <c r="C95" i="9"/>
  <c r="D94" i="8"/>
  <c r="C94" i="8"/>
  <c r="M93" i="4"/>
  <c r="C93" i="4"/>
  <c r="D93" i="4"/>
  <c r="D91" i="9"/>
  <c r="C91" i="9"/>
  <c r="D90" i="8"/>
  <c r="C90" i="8"/>
  <c r="M89" i="4"/>
  <c r="C89" i="4"/>
  <c r="D89" i="4"/>
  <c r="D87" i="9"/>
  <c r="C87" i="9"/>
  <c r="D86" i="8"/>
  <c r="C86" i="8"/>
  <c r="C85" i="4"/>
  <c r="D85" i="4"/>
  <c r="D83" i="9"/>
  <c r="C83" i="9"/>
  <c r="D82" i="8"/>
  <c r="C82" i="8"/>
  <c r="M81" i="4"/>
  <c r="C81" i="4"/>
  <c r="D81" i="4"/>
  <c r="D79" i="9"/>
  <c r="C79" i="9"/>
  <c r="D78" i="8"/>
  <c r="C78" i="8"/>
  <c r="M77" i="4"/>
  <c r="C77" i="4"/>
  <c r="D77" i="4"/>
  <c r="D75" i="9"/>
  <c r="C75" i="9"/>
  <c r="D74" i="8"/>
  <c r="C74" i="8"/>
  <c r="M73" i="4"/>
  <c r="C73" i="4"/>
  <c r="D73" i="4"/>
  <c r="D71" i="9"/>
  <c r="C71" i="9"/>
  <c r="D70" i="8"/>
  <c r="C70" i="8"/>
  <c r="C69" i="4"/>
  <c r="D69" i="4"/>
  <c r="D67" i="9"/>
  <c r="C67" i="9"/>
  <c r="D66" i="8"/>
  <c r="C66" i="8"/>
  <c r="C65" i="4"/>
  <c r="D65" i="4"/>
  <c r="D63" i="9"/>
  <c r="C63" i="9"/>
  <c r="D62" i="8"/>
  <c r="C62" i="8"/>
  <c r="M61" i="4"/>
  <c r="C61" i="4"/>
  <c r="D61" i="4"/>
  <c r="D59" i="9"/>
  <c r="C59" i="9"/>
  <c r="J58" i="8"/>
  <c r="D58" i="8"/>
  <c r="C58" i="8"/>
  <c r="M57" i="4"/>
  <c r="C57" i="4"/>
  <c r="D57" i="4"/>
  <c r="D55" i="9"/>
  <c r="C55" i="9"/>
  <c r="D54" i="8"/>
  <c r="C54" i="8"/>
  <c r="M53" i="4"/>
  <c r="C53" i="4"/>
  <c r="D53" i="4"/>
  <c r="D51" i="9"/>
  <c r="C51" i="9"/>
  <c r="D50" i="8"/>
  <c r="C50" i="8"/>
  <c r="M49" i="4"/>
  <c r="C49" i="4"/>
  <c r="D49" i="4"/>
  <c r="D47" i="9"/>
  <c r="C47" i="9"/>
  <c r="D46" i="8"/>
  <c r="C46" i="8"/>
  <c r="C45" i="4"/>
  <c r="D45" i="4"/>
  <c r="D43" i="9"/>
  <c r="C43" i="9"/>
  <c r="D42" i="8"/>
  <c r="C42" i="8"/>
  <c r="M41" i="4"/>
  <c r="C41" i="4"/>
  <c r="D41" i="4"/>
  <c r="D39" i="9"/>
  <c r="C39" i="9"/>
  <c r="D38" i="8"/>
  <c r="C38" i="8"/>
  <c r="C37" i="4"/>
  <c r="D37" i="4"/>
  <c r="D35" i="9"/>
  <c r="C35" i="9"/>
  <c r="J34" i="8"/>
  <c r="D34" i="8"/>
  <c r="C34" i="8"/>
  <c r="C33" i="4"/>
  <c r="D33" i="4"/>
  <c r="D31" i="9"/>
  <c r="C31" i="9"/>
  <c r="J30" i="8"/>
  <c r="D30" i="8"/>
  <c r="C30" i="8"/>
  <c r="C29" i="4"/>
  <c r="D29" i="4"/>
  <c r="D27" i="9"/>
  <c r="C27" i="9"/>
  <c r="D26" i="8"/>
  <c r="C26" i="8"/>
  <c r="M25" i="4"/>
  <c r="C25" i="4"/>
  <c r="D25" i="4"/>
  <c r="D23" i="9"/>
  <c r="C23" i="9"/>
  <c r="J22" i="8"/>
  <c r="D22" i="8"/>
  <c r="C22" i="8"/>
  <c r="C21" i="4"/>
  <c r="D21" i="4"/>
  <c r="D19" i="9"/>
  <c r="C19" i="9"/>
  <c r="J18" i="8"/>
  <c r="D18" i="8"/>
  <c r="C18" i="8"/>
  <c r="M17" i="4"/>
  <c r="C17" i="4"/>
  <c r="D17" i="4"/>
  <c r="D16" i="9"/>
  <c r="C16" i="9"/>
  <c r="D14" i="9"/>
  <c r="C14" i="9"/>
  <c r="D12" i="9"/>
  <c r="C12" i="9"/>
  <c r="D11" i="4"/>
  <c r="C11" i="4"/>
  <c r="D10" i="9"/>
  <c r="C10" i="9"/>
  <c r="M9" i="4"/>
  <c r="C9" i="4"/>
  <c r="D8" i="9"/>
  <c r="C8" i="9"/>
  <c r="H498" i="3"/>
  <c r="I466" i="3"/>
  <c r="F466" i="3"/>
  <c r="J466" i="3"/>
  <c r="H450" i="3"/>
  <c r="F386" i="3"/>
  <c r="F370" i="3"/>
  <c r="I386" i="3"/>
  <c r="I370" i="3"/>
  <c r="C386" i="3"/>
  <c r="K370" i="3"/>
  <c r="G354" i="3"/>
  <c r="I354" i="3"/>
  <c r="F334" i="3"/>
  <c r="M253" i="4"/>
  <c r="D253" i="4"/>
  <c r="C253" i="4"/>
  <c r="J496" i="8"/>
  <c r="D496" i="8"/>
  <c r="J492" i="8"/>
  <c r="D492" i="8"/>
  <c r="F510" i="3"/>
  <c r="D510" i="3"/>
  <c r="H510" i="3"/>
  <c r="L510" i="3"/>
  <c r="J476" i="8"/>
  <c r="D476" i="8"/>
  <c r="J494" i="3"/>
  <c r="K494" i="3"/>
  <c r="E494" i="3"/>
  <c r="N494" i="3"/>
  <c r="I494" i="3"/>
  <c r="D494" i="3"/>
  <c r="L494" i="3"/>
  <c r="G494" i="3"/>
  <c r="H494" i="3"/>
  <c r="C494" i="3"/>
  <c r="M494" i="3" a="1"/>
  <c r="M494" i="3" s="1"/>
  <c r="O472" i="11"/>
  <c r="D472" i="11"/>
  <c r="C472" i="11"/>
  <c r="M478" i="3" a="1"/>
  <c r="M478" i="3" s="1"/>
  <c r="K478" i="3"/>
  <c r="C478" i="3"/>
  <c r="H478" i="3"/>
  <c r="L478" i="3"/>
  <c r="D478" i="3"/>
  <c r="G478" i="3"/>
  <c r="N478" i="3"/>
  <c r="D456" i="11"/>
  <c r="O456" i="11"/>
  <c r="C456" i="11"/>
  <c r="I452" i="10"/>
  <c r="D452" i="10"/>
  <c r="C452" i="10"/>
  <c r="D448" i="4"/>
  <c r="M448" i="4"/>
  <c r="C448" i="4"/>
  <c r="J444" i="8"/>
  <c r="C444" i="8"/>
  <c r="K462" i="3"/>
  <c r="D462" i="3"/>
  <c r="N462" i="3"/>
  <c r="J462" i="3"/>
  <c r="O440" i="11"/>
  <c r="C440" i="11"/>
  <c r="I436" i="10"/>
  <c r="D436" i="10"/>
  <c r="C436" i="10"/>
  <c r="C428" i="9"/>
  <c r="K428" i="9"/>
  <c r="C420" i="6"/>
  <c r="J420" i="6"/>
  <c r="D420" i="6"/>
  <c r="N416" i="9"/>
  <c r="C416" i="9"/>
  <c r="K416" i="9"/>
  <c r="D416" i="9"/>
  <c r="C412" i="5"/>
  <c r="M412" i="5"/>
  <c r="J430" i="3"/>
  <c r="M430" i="3" a="1"/>
  <c r="M430" i="3" s="1"/>
  <c r="H430" i="3"/>
  <c r="C430" i="3"/>
  <c r="K430" i="3"/>
  <c r="E430" i="3"/>
  <c r="L430" i="3"/>
  <c r="I430" i="3"/>
  <c r="G430" i="3"/>
  <c r="N430" i="3"/>
  <c r="D430" i="3"/>
  <c r="C408" i="6"/>
  <c r="J408" i="6"/>
  <c r="D408" i="6"/>
  <c r="D404" i="7"/>
  <c r="C404" i="7"/>
  <c r="D404" i="11"/>
  <c r="K404" i="11"/>
  <c r="C404" i="11"/>
  <c r="T404" i="11"/>
  <c r="O404" i="11"/>
  <c r="N400" i="9"/>
  <c r="K400" i="9"/>
  <c r="D400" i="9"/>
  <c r="C400" i="9"/>
  <c r="J414" i="3"/>
  <c r="K414" i="3"/>
  <c r="E414" i="3"/>
  <c r="N414" i="3"/>
  <c r="I414" i="3"/>
  <c r="D414" i="3"/>
  <c r="M414" i="3" a="1"/>
  <c r="M414" i="3" s="1"/>
  <c r="H414" i="3"/>
  <c r="C414" i="3"/>
  <c r="L414" i="3"/>
  <c r="G414" i="3"/>
  <c r="C392" i="6"/>
  <c r="J392" i="6"/>
  <c r="D392" i="6"/>
  <c r="D392" i="11"/>
  <c r="T392" i="11"/>
  <c r="O392" i="11"/>
  <c r="K392" i="11"/>
  <c r="C392" i="11"/>
  <c r="D388" i="7"/>
  <c r="C388" i="7"/>
  <c r="N384" i="9"/>
  <c r="K384" i="9"/>
  <c r="D384" i="9"/>
  <c r="C384" i="9"/>
  <c r="M380" i="4"/>
  <c r="D380" i="4"/>
  <c r="C380" i="4"/>
  <c r="J398" i="3"/>
  <c r="L398" i="3"/>
  <c r="G398" i="3"/>
  <c r="K398" i="3"/>
  <c r="E398" i="3"/>
  <c r="N398" i="3"/>
  <c r="I398" i="3"/>
  <c r="D398" i="3"/>
  <c r="M398" i="3" a="1"/>
  <c r="M398" i="3" s="1"/>
  <c r="H398" i="3"/>
  <c r="C398" i="3"/>
  <c r="D376" i="7"/>
  <c r="C376" i="7"/>
  <c r="C376" i="11"/>
  <c r="D376" i="11"/>
  <c r="D372" i="7"/>
  <c r="C372" i="7"/>
  <c r="N372" i="9"/>
  <c r="C372" i="9"/>
  <c r="K372" i="9"/>
  <c r="D372" i="9"/>
  <c r="N368" i="9"/>
  <c r="K368" i="9"/>
  <c r="D368" i="9"/>
  <c r="C368" i="9"/>
  <c r="J382" i="3"/>
  <c r="D382" i="3"/>
  <c r="L382" i="3"/>
  <c r="H382" i="3"/>
  <c r="C360" i="6"/>
  <c r="J360" i="6"/>
  <c r="D360" i="6"/>
  <c r="C360" i="11"/>
  <c r="D360" i="11"/>
  <c r="D356" i="7"/>
  <c r="C356" i="7"/>
  <c r="M352" i="4"/>
  <c r="C352" i="4"/>
  <c r="M348" i="4"/>
  <c r="C348" i="4"/>
  <c r="C348" i="8"/>
  <c r="D348" i="8"/>
  <c r="D366" i="3"/>
  <c r="H366" i="3"/>
  <c r="F366" i="3"/>
  <c r="J340" i="6"/>
  <c r="C340" i="6"/>
  <c r="D340" i="6"/>
  <c r="M336" i="5"/>
  <c r="C336" i="5"/>
  <c r="M328" i="4"/>
  <c r="C328" i="4"/>
  <c r="J346" i="3"/>
  <c r="N346" i="3"/>
  <c r="I346" i="3"/>
  <c r="D346" i="3"/>
  <c r="M346" i="3" a="1"/>
  <c r="M346" i="3" s="1"/>
  <c r="H346" i="3"/>
  <c r="C346" i="3"/>
  <c r="L346" i="3"/>
  <c r="G346" i="3"/>
  <c r="K346" i="3"/>
  <c r="E346" i="3"/>
  <c r="D324" i="11"/>
  <c r="C324" i="11"/>
  <c r="O324" i="11"/>
  <c r="J320" i="6"/>
  <c r="C320" i="6"/>
  <c r="D320" i="6"/>
  <c r="M316" i="5"/>
  <c r="C316" i="5"/>
  <c r="I316" i="10"/>
  <c r="D316" i="10"/>
  <c r="J330" i="3"/>
  <c r="N330" i="3"/>
  <c r="I330" i="3"/>
  <c r="D330" i="3"/>
  <c r="M330" i="3" a="1"/>
  <c r="M330" i="3" s="1"/>
  <c r="H330" i="3"/>
  <c r="C330" i="3"/>
  <c r="L330" i="3"/>
  <c r="G330" i="3"/>
  <c r="K330" i="3"/>
  <c r="E330" i="3"/>
  <c r="J326" i="3"/>
  <c r="L326" i="3"/>
  <c r="G326" i="3"/>
  <c r="K326" i="3"/>
  <c r="E326" i="3"/>
  <c r="N326" i="3"/>
  <c r="I326" i="3"/>
  <c r="D326" i="3"/>
  <c r="M326" i="3" a="1"/>
  <c r="M326" i="3" s="1"/>
  <c r="H326" i="3"/>
  <c r="C326" i="3"/>
  <c r="J322" i="3"/>
  <c r="N322" i="3"/>
  <c r="I322" i="3"/>
  <c r="D322" i="3"/>
  <c r="M322" i="3" a="1"/>
  <c r="M322" i="3" s="1"/>
  <c r="H322" i="3"/>
  <c r="C322" i="3"/>
  <c r="L322" i="3"/>
  <c r="G322" i="3"/>
  <c r="K322" i="3"/>
  <c r="E322" i="3"/>
  <c r="J318" i="3"/>
  <c r="L318" i="3"/>
  <c r="G318" i="3"/>
  <c r="K318" i="3"/>
  <c r="E318" i="3"/>
  <c r="N318" i="3"/>
  <c r="I318" i="3"/>
  <c r="D318" i="3"/>
  <c r="M318" i="3" a="1"/>
  <c r="M318" i="3" s="1"/>
  <c r="H318" i="3"/>
  <c r="C318" i="3"/>
  <c r="J314" i="3"/>
  <c r="N314" i="3"/>
  <c r="I314" i="3"/>
  <c r="D314" i="3"/>
  <c r="M314" i="3" a="1"/>
  <c r="M314" i="3" s="1"/>
  <c r="H314" i="3"/>
  <c r="C314" i="3"/>
  <c r="L314" i="3"/>
  <c r="G314" i="3"/>
  <c r="K314" i="3"/>
  <c r="E314" i="3"/>
  <c r="J310" i="3"/>
  <c r="L310" i="3"/>
  <c r="G310" i="3"/>
  <c r="K310" i="3"/>
  <c r="E310" i="3"/>
  <c r="N310" i="3"/>
  <c r="I310" i="3"/>
  <c r="D310" i="3"/>
  <c r="M310" i="3" a="1"/>
  <c r="M310" i="3" s="1"/>
  <c r="H310" i="3"/>
  <c r="C310" i="3"/>
  <c r="J306" i="3"/>
  <c r="N306" i="3"/>
  <c r="I306" i="3"/>
  <c r="D306" i="3"/>
  <c r="M306" i="3" a="1"/>
  <c r="M306" i="3" s="1"/>
  <c r="H306" i="3"/>
  <c r="C306" i="3"/>
  <c r="L306" i="3"/>
  <c r="G306" i="3"/>
  <c r="K306" i="3"/>
  <c r="E306" i="3"/>
  <c r="J302" i="3"/>
  <c r="L302" i="3"/>
  <c r="G302" i="3"/>
  <c r="K302" i="3"/>
  <c r="E302" i="3"/>
  <c r="N302" i="3"/>
  <c r="I302" i="3"/>
  <c r="D302" i="3"/>
  <c r="M302" i="3" a="1"/>
  <c r="M302" i="3" s="1"/>
  <c r="H302" i="3"/>
  <c r="C302" i="3"/>
  <c r="D280" i="8"/>
  <c r="C280" i="8"/>
  <c r="J298" i="3"/>
  <c r="N298" i="3"/>
  <c r="I298" i="3"/>
  <c r="D298" i="3"/>
  <c r="M298" i="3" a="1"/>
  <c r="M298" i="3" s="1"/>
  <c r="H298" i="3"/>
  <c r="C298" i="3"/>
  <c r="L298" i="3"/>
  <c r="G298" i="3"/>
  <c r="K298" i="3"/>
  <c r="E298" i="3"/>
  <c r="D276" i="8"/>
  <c r="C276" i="8"/>
  <c r="J294" i="3"/>
  <c r="L294" i="3"/>
  <c r="G294" i="3"/>
  <c r="K294" i="3"/>
  <c r="E294" i="3"/>
  <c r="N294" i="3"/>
  <c r="I294" i="3"/>
  <c r="D294" i="3"/>
  <c r="M294" i="3" a="1"/>
  <c r="M294" i="3" s="1"/>
  <c r="H294" i="3"/>
  <c r="C294" i="3"/>
  <c r="D272" i="8"/>
  <c r="C272" i="8"/>
  <c r="J290" i="3"/>
  <c r="L290" i="3"/>
  <c r="G290" i="3"/>
  <c r="K290" i="3"/>
  <c r="E290" i="3"/>
  <c r="I290" i="3"/>
  <c r="H290" i="3"/>
  <c r="N290" i="3"/>
  <c r="D290" i="3"/>
  <c r="M290" i="3" a="1"/>
  <c r="M290" i="3" s="1"/>
  <c r="C290" i="3"/>
  <c r="J268" i="8"/>
  <c r="C268" i="8"/>
  <c r="J286" i="3"/>
  <c r="N286" i="3"/>
  <c r="I286" i="3"/>
  <c r="D286" i="3"/>
  <c r="M286" i="3" a="1"/>
  <c r="M286" i="3" s="1"/>
  <c r="H286" i="3"/>
  <c r="C286" i="3"/>
  <c r="G286" i="3"/>
  <c r="E286" i="3"/>
  <c r="L286" i="3"/>
  <c r="K286" i="3"/>
  <c r="J264" i="8"/>
  <c r="C264" i="8"/>
  <c r="J282" i="3"/>
  <c r="K282" i="3"/>
  <c r="I282" i="3"/>
  <c r="D282" i="3"/>
  <c r="N282" i="3"/>
  <c r="H282" i="3"/>
  <c r="C282" i="3"/>
  <c r="M282" i="3" a="1"/>
  <c r="M282" i="3" s="1"/>
  <c r="G282" i="3"/>
  <c r="L282" i="3"/>
  <c r="E282" i="3"/>
  <c r="J260" i="8"/>
  <c r="D260" i="8"/>
  <c r="C260" i="8"/>
  <c r="J278" i="3"/>
  <c r="L278" i="3"/>
  <c r="G278" i="3"/>
  <c r="K278" i="3"/>
  <c r="E278" i="3"/>
  <c r="N278" i="3"/>
  <c r="I278" i="3"/>
  <c r="D278" i="3"/>
  <c r="M278" i="3" a="1"/>
  <c r="M278" i="3" s="1"/>
  <c r="H278" i="3"/>
  <c r="C278" i="3"/>
  <c r="D256" i="8"/>
  <c r="C256" i="8"/>
  <c r="J256" i="8"/>
  <c r="J274" i="3"/>
  <c r="M274" i="3" a="1"/>
  <c r="M274" i="3" s="1"/>
  <c r="H274" i="3"/>
  <c r="C274" i="3"/>
  <c r="L274" i="3"/>
  <c r="G274" i="3"/>
  <c r="K274" i="3"/>
  <c r="E274" i="3"/>
  <c r="N274" i="3"/>
  <c r="I274" i="3"/>
  <c r="D274" i="3"/>
  <c r="J252" i="8"/>
  <c r="D252" i="8"/>
  <c r="C252" i="8"/>
  <c r="J270" i="3"/>
  <c r="M270" i="3" a="1"/>
  <c r="M270" i="3" s="1"/>
  <c r="H270" i="3"/>
  <c r="C270" i="3"/>
  <c r="L270" i="3"/>
  <c r="G270" i="3"/>
  <c r="K270" i="3"/>
  <c r="E270" i="3"/>
  <c r="N270" i="3"/>
  <c r="I270" i="3"/>
  <c r="D270" i="3"/>
  <c r="D248" i="8"/>
  <c r="C248" i="8"/>
  <c r="J248" i="8"/>
  <c r="J266" i="3"/>
  <c r="M266" i="3" a="1"/>
  <c r="M266" i="3" s="1"/>
  <c r="H266" i="3"/>
  <c r="C266" i="3"/>
  <c r="L266" i="3"/>
  <c r="G266" i="3"/>
  <c r="K266" i="3"/>
  <c r="E266" i="3"/>
  <c r="N266" i="3"/>
  <c r="I266" i="3"/>
  <c r="D266" i="3"/>
  <c r="J244" i="8"/>
  <c r="D244" i="8"/>
  <c r="C244" i="8"/>
  <c r="J262" i="3"/>
  <c r="N262" i="3"/>
  <c r="I262" i="3"/>
  <c r="D262" i="3"/>
  <c r="M262" i="3" a="1"/>
  <c r="M262" i="3" s="1"/>
  <c r="H262" i="3"/>
  <c r="C262" i="3"/>
  <c r="L262" i="3"/>
  <c r="G262" i="3"/>
  <c r="K262" i="3"/>
  <c r="E262" i="3"/>
  <c r="D240" i="8"/>
  <c r="C240" i="8"/>
  <c r="J240" i="8"/>
  <c r="J258" i="3"/>
  <c r="M258" i="3" a="1"/>
  <c r="M258" i="3" s="1"/>
  <c r="H258" i="3"/>
  <c r="C258" i="3"/>
  <c r="L258" i="3"/>
  <c r="G258" i="3"/>
  <c r="K258" i="3"/>
  <c r="E258" i="3"/>
  <c r="N258" i="3"/>
  <c r="I258" i="3"/>
  <c r="D258" i="3"/>
  <c r="J236" i="8"/>
  <c r="D236" i="8"/>
  <c r="C236" i="8"/>
  <c r="J254" i="3"/>
  <c r="L254" i="3"/>
  <c r="G254" i="3"/>
  <c r="K254" i="3"/>
  <c r="E254" i="3"/>
  <c r="N254" i="3"/>
  <c r="I254" i="3"/>
  <c r="D254" i="3"/>
  <c r="M254" i="3" a="1"/>
  <c r="M254" i="3" s="1"/>
  <c r="H254" i="3"/>
  <c r="C254" i="3"/>
  <c r="D232" i="8"/>
  <c r="C232" i="8"/>
  <c r="J232" i="8"/>
  <c r="J250" i="3"/>
  <c r="K250" i="3"/>
  <c r="E250" i="3"/>
  <c r="N250" i="3"/>
  <c r="I250" i="3"/>
  <c r="D250" i="3"/>
  <c r="M250" i="3" a="1"/>
  <c r="M250" i="3" s="1"/>
  <c r="H250" i="3"/>
  <c r="C250" i="3"/>
  <c r="L250" i="3"/>
  <c r="G250" i="3"/>
  <c r="J228" i="8"/>
  <c r="D228" i="8"/>
  <c r="C228" i="8"/>
  <c r="J246" i="3"/>
  <c r="N246" i="3"/>
  <c r="I246" i="3"/>
  <c r="D246" i="3"/>
  <c r="M246" i="3" a="1"/>
  <c r="M246" i="3" s="1"/>
  <c r="H246" i="3"/>
  <c r="C246" i="3"/>
  <c r="L246" i="3"/>
  <c r="G246" i="3"/>
  <c r="K246" i="3"/>
  <c r="E246" i="3"/>
  <c r="D224" i="8"/>
  <c r="C224" i="8"/>
  <c r="J224" i="8"/>
  <c r="M242" i="3" a="1"/>
  <c r="M242" i="3" s="1"/>
  <c r="K242" i="3"/>
  <c r="C242" i="3"/>
  <c r="H242" i="3"/>
  <c r="N242" i="3"/>
  <c r="G242" i="3"/>
  <c r="L242" i="3"/>
  <c r="D242" i="3"/>
  <c r="J220" i="8"/>
  <c r="D220" i="8"/>
  <c r="C220" i="8"/>
  <c r="M238" i="3" a="1"/>
  <c r="M238" i="3" s="1"/>
  <c r="K238" i="3"/>
  <c r="C238" i="3"/>
  <c r="H238" i="3"/>
  <c r="N238" i="3"/>
  <c r="G238" i="3"/>
  <c r="L238" i="3"/>
  <c r="D238" i="3"/>
  <c r="C216" i="8"/>
  <c r="J216" i="8"/>
  <c r="D216" i="8"/>
  <c r="M234" i="3" a="1"/>
  <c r="M234" i="3" s="1"/>
  <c r="K234" i="3"/>
  <c r="C234" i="3"/>
  <c r="H234" i="3"/>
  <c r="N234" i="3"/>
  <c r="G234" i="3"/>
  <c r="L234" i="3"/>
  <c r="D234" i="3"/>
  <c r="D212" i="8"/>
  <c r="C212" i="8"/>
  <c r="J212" i="8"/>
  <c r="M230" i="3" a="1"/>
  <c r="M230" i="3" s="1"/>
  <c r="K230" i="3"/>
  <c r="C230" i="3"/>
  <c r="H230" i="3"/>
  <c r="N230" i="3"/>
  <c r="G230" i="3"/>
  <c r="L230" i="3"/>
  <c r="D230" i="3"/>
  <c r="J208" i="8"/>
  <c r="D208" i="8"/>
  <c r="C208" i="8"/>
  <c r="M226" i="3" a="1"/>
  <c r="M226" i="3" s="1"/>
  <c r="K226" i="3"/>
  <c r="C226" i="3"/>
  <c r="H226" i="3"/>
  <c r="N226" i="3"/>
  <c r="G226" i="3"/>
  <c r="L226" i="3"/>
  <c r="D226" i="3"/>
  <c r="M265" i="4"/>
  <c r="C265" i="4"/>
  <c r="D265" i="4"/>
  <c r="M249" i="4"/>
  <c r="C249" i="4"/>
  <c r="D249" i="4"/>
  <c r="C238" i="4"/>
  <c r="M238" i="4"/>
  <c r="D238" i="4"/>
  <c r="C233" i="4"/>
  <c r="M233" i="4"/>
  <c r="D233" i="4"/>
  <c r="M225" i="4"/>
  <c r="C225" i="4"/>
  <c r="M217" i="4"/>
  <c r="C217" i="4"/>
  <c r="M209" i="4"/>
  <c r="C209" i="4"/>
  <c r="N507" i="9"/>
  <c r="C507" i="9"/>
  <c r="M495" i="5"/>
  <c r="C495" i="5"/>
  <c r="N495" i="9"/>
  <c r="C495" i="9"/>
  <c r="M491" i="5"/>
  <c r="C491" i="5"/>
  <c r="J491" i="8"/>
  <c r="D491" i="8"/>
  <c r="C491" i="8"/>
  <c r="H509" i="3"/>
  <c r="F509" i="3"/>
  <c r="M479" i="5"/>
  <c r="C479" i="5"/>
  <c r="C479" i="8"/>
  <c r="J479" i="8"/>
  <c r="D479" i="8"/>
  <c r="M475" i="5"/>
  <c r="C475" i="5"/>
  <c r="J475" i="8"/>
  <c r="D475" i="8"/>
  <c r="C475" i="8"/>
  <c r="J493" i="3"/>
  <c r="F493" i="3"/>
  <c r="D471" i="11"/>
  <c r="O471" i="11"/>
  <c r="C471" i="11"/>
  <c r="M463" i="5"/>
  <c r="C463" i="5"/>
  <c r="N463" i="9"/>
  <c r="C463" i="9"/>
  <c r="N459" i="9"/>
  <c r="C459" i="9"/>
  <c r="E477" i="3"/>
  <c r="I477" i="3"/>
  <c r="M477" i="3" a="1"/>
  <c r="M477" i="3" s="1"/>
  <c r="D455" i="11"/>
  <c r="C455" i="11"/>
  <c r="O455" i="11"/>
  <c r="I451" i="10"/>
  <c r="D451" i="10"/>
  <c r="N447" i="9"/>
  <c r="C447" i="9"/>
  <c r="M443" i="5"/>
  <c r="C443" i="5"/>
  <c r="N443" i="9"/>
  <c r="C443" i="9"/>
  <c r="O439" i="11"/>
  <c r="D439" i="11"/>
  <c r="C439" i="11"/>
  <c r="J435" i="6"/>
  <c r="D435" i="6"/>
  <c r="C435" i="6"/>
  <c r="O435" i="11"/>
  <c r="C435" i="11"/>
  <c r="M427" i="5"/>
  <c r="C427" i="5"/>
  <c r="J427" i="8"/>
  <c r="D427" i="8"/>
  <c r="C427" i="8"/>
  <c r="J445" i="3"/>
  <c r="L445" i="3"/>
  <c r="G445" i="3"/>
  <c r="K445" i="3"/>
  <c r="E445" i="3"/>
  <c r="N445" i="3"/>
  <c r="I445" i="3"/>
  <c r="D445" i="3"/>
  <c r="M445" i="3" a="1"/>
  <c r="M445" i="3" s="1"/>
  <c r="H445" i="3"/>
  <c r="C445" i="3"/>
  <c r="L423" i="7"/>
  <c r="C423" i="7"/>
  <c r="C419" i="6"/>
  <c r="J419" i="6"/>
  <c r="D419" i="6"/>
  <c r="M415" i="5"/>
  <c r="C415" i="5"/>
  <c r="D415" i="8"/>
  <c r="C415" i="8"/>
  <c r="D411" i="8"/>
  <c r="C411" i="8"/>
  <c r="J429" i="3"/>
  <c r="K429" i="3"/>
  <c r="C429" i="3"/>
  <c r="N429" i="3"/>
  <c r="G429" i="3"/>
  <c r="M429" i="3" a="1"/>
  <c r="M429" i="3" s="1"/>
  <c r="I429" i="3"/>
  <c r="E429" i="3"/>
  <c r="D407" i="7"/>
  <c r="L407" i="7"/>
  <c r="C403" i="6"/>
  <c r="J403" i="6"/>
  <c r="D403" i="6"/>
  <c r="D403" i="11"/>
  <c r="O403" i="11"/>
  <c r="C403" i="11"/>
  <c r="T403" i="11"/>
  <c r="M399" i="5"/>
  <c r="C399" i="5"/>
  <c r="D399" i="8"/>
  <c r="C399" i="8"/>
  <c r="D395" i="8"/>
  <c r="C395" i="8"/>
  <c r="J413" i="3"/>
  <c r="N413" i="3"/>
  <c r="G413" i="3"/>
  <c r="M413" i="3" a="1"/>
  <c r="M413" i="3" s="1"/>
  <c r="E413" i="3"/>
  <c r="K413" i="3"/>
  <c r="C413" i="3"/>
  <c r="I413" i="3"/>
  <c r="D391" i="7"/>
  <c r="L391" i="7"/>
  <c r="D391" i="11"/>
  <c r="T391" i="11"/>
  <c r="O391" i="11"/>
  <c r="C391" i="11"/>
  <c r="C387" i="6"/>
  <c r="J387" i="6"/>
  <c r="D387" i="6"/>
  <c r="D387" i="11"/>
  <c r="O387" i="11"/>
  <c r="C387" i="11"/>
  <c r="T387" i="11"/>
  <c r="M383" i="5"/>
  <c r="C383" i="5"/>
  <c r="D379" i="7"/>
  <c r="L379" i="7"/>
  <c r="D375" i="7"/>
  <c r="L375" i="7"/>
  <c r="C375" i="11"/>
  <c r="D375" i="11"/>
  <c r="C371" i="6"/>
  <c r="J371" i="6"/>
  <c r="D371" i="6"/>
  <c r="M367" i="5"/>
  <c r="C367" i="5"/>
  <c r="N367" i="9"/>
  <c r="D367" i="9"/>
  <c r="C363" i="8"/>
  <c r="C359" i="6"/>
  <c r="J359" i="6"/>
  <c r="D359" i="6"/>
  <c r="C359" i="11"/>
  <c r="D359" i="11"/>
  <c r="M351" i="5"/>
  <c r="C351" i="5"/>
  <c r="C351" i="9"/>
  <c r="K351" i="9"/>
  <c r="J339" i="6"/>
  <c r="D339" i="6"/>
  <c r="C339" i="6"/>
  <c r="N335" i="9"/>
  <c r="K335" i="9"/>
  <c r="D335" i="9"/>
  <c r="C335" i="9"/>
  <c r="L349" i="3"/>
  <c r="J349" i="3"/>
  <c r="E349" i="3"/>
  <c r="J323" i="6"/>
  <c r="D323" i="6"/>
  <c r="C323" i="6"/>
  <c r="N319" i="9"/>
  <c r="K319" i="9"/>
  <c r="D319" i="9"/>
  <c r="C319" i="9"/>
  <c r="J333" i="3"/>
  <c r="I333" i="3"/>
  <c r="N333" i="3"/>
  <c r="G333" i="3"/>
  <c r="M333" i="3" a="1"/>
  <c r="M333" i="3" s="1"/>
  <c r="E333" i="3"/>
  <c r="K333" i="3"/>
  <c r="C333" i="3"/>
  <c r="O311" i="11"/>
  <c r="D311" i="11"/>
  <c r="C311" i="11"/>
  <c r="C307" i="6"/>
  <c r="J307" i="6"/>
  <c r="D307" i="6"/>
  <c r="N303" i="9"/>
  <c r="K303" i="9"/>
  <c r="D303" i="9"/>
  <c r="C303" i="9"/>
  <c r="J317" i="3"/>
  <c r="I317" i="3"/>
  <c r="N317" i="3"/>
  <c r="G317" i="3"/>
  <c r="M317" i="3" a="1"/>
  <c r="M317" i="3" s="1"/>
  <c r="E317" i="3"/>
  <c r="K317" i="3"/>
  <c r="C317" i="3"/>
  <c r="C291" i="6"/>
  <c r="J291" i="6"/>
  <c r="D291" i="6"/>
  <c r="N287" i="9"/>
  <c r="K287" i="9"/>
  <c r="D287" i="9"/>
  <c r="C287" i="9"/>
  <c r="J301" i="3"/>
  <c r="I301" i="3"/>
  <c r="N301" i="3"/>
  <c r="G301" i="3"/>
  <c r="M301" i="3" a="1"/>
  <c r="M301" i="3" s="1"/>
  <c r="E301" i="3"/>
  <c r="K301" i="3"/>
  <c r="C301" i="3"/>
  <c r="D279" i="8"/>
  <c r="C279" i="8"/>
  <c r="J279" i="8"/>
  <c r="C275" i="6"/>
  <c r="J275" i="6"/>
  <c r="D275" i="6"/>
  <c r="N271" i="9"/>
  <c r="K271" i="9"/>
  <c r="D271" i="9"/>
  <c r="C271" i="9"/>
  <c r="J285" i="3"/>
  <c r="M285" i="3" a="1"/>
  <c r="M285" i="3" s="1"/>
  <c r="E285" i="3"/>
  <c r="K285" i="3"/>
  <c r="C285" i="3"/>
  <c r="I285" i="3"/>
  <c r="G285" i="3"/>
  <c r="N285" i="3"/>
  <c r="J263" i="8"/>
  <c r="D263" i="8"/>
  <c r="C263" i="8"/>
  <c r="J281" i="3"/>
  <c r="M281" i="3" a="1"/>
  <c r="M281" i="3" s="1"/>
  <c r="E281" i="3"/>
  <c r="K281" i="3"/>
  <c r="C281" i="3"/>
  <c r="I281" i="3"/>
  <c r="N281" i="3"/>
  <c r="G281" i="3"/>
  <c r="J277" i="3"/>
  <c r="I277" i="3"/>
  <c r="N277" i="3"/>
  <c r="G277" i="3"/>
  <c r="M277" i="3" a="1"/>
  <c r="M277" i="3" s="1"/>
  <c r="E277" i="3"/>
  <c r="K277" i="3"/>
  <c r="C277" i="3"/>
  <c r="D255" i="8"/>
  <c r="I273" i="3"/>
  <c r="C273" i="3"/>
  <c r="I269" i="3"/>
  <c r="C269" i="3"/>
  <c r="D247" i="8"/>
  <c r="C265" i="3"/>
  <c r="I265" i="3"/>
  <c r="E265" i="3"/>
  <c r="J261" i="3"/>
  <c r="I261" i="3"/>
  <c r="E261" i="3"/>
  <c r="N261" i="3"/>
  <c r="C261" i="3"/>
  <c r="D239" i="8"/>
  <c r="I257" i="3"/>
  <c r="E257" i="3"/>
  <c r="N257" i="3"/>
  <c r="C257" i="3"/>
  <c r="J257" i="3"/>
  <c r="E253" i="3"/>
  <c r="N253" i="3"/>
  <c r="C253" i="3"/>
  <c r="J253" i="3"/>
  <c r="I253" i="3"/>
  <c r="D231" i="8"/>
  <c r="N249" i="3"/>
  <c r="C249" i="3"/>
  <c r="J249" i="3"/>
  <c r="I249" i="3"/>
  <c r="E249" i="3"/>
  <c r="L245" i="3"/>
  <c r="E245" i="3"/>
  <c r="I245" i="3"/>
  <c r="D223" i="8"/>
  <c r="N241" i="3"/>
  <c r="E241" i="3"/>
  <c r="M241" i="3" a="1"/>
  <c r="M241" i="3" s="1"/>
  <c r="I241" i="3"/>
  <c r="N237" i="3"/>
  <c r="E237" i="3"/>
  <c r="M237" i="3" a="1"/>
  <c r="M237" i="3" s="1"/>
  <c r="I237" i="3"/>
  <c r="N233" i="3"/>
  <c r="E233" i="3"/>
  <c r="M233" i="3" a="1"/>
  <c r="M233" i="3" s="1"/>
  <c r="I233" i="3"/>
  <c r="N229" i="3"/>
  <c r="E229" i="3"/>
  <c r="M229" i="3" a="1"/>
  <c r="M229" i="3" s="1"/>
  <c r="I229" i="3"/>
  <c r="D506" i="4"/>
  <c r="M506" i="4"/>
  <c r="M524" i="3" a="1"/>
  <c r="M524" i="3" s="1"/>
  <c r="H524" i="3"/>
  <c r="D524" i="3"/>
  <c r="L524" i="3"/>
  <c r="D494" i="4"/>
  <c r="M494" i="4"/>
  <c r="N494" i="9"/>
  <c r="D494" i="9"/>
  <c r="C494" i="9"/>
  <c r="M490" i="5"/>
  <c r="C490" i="5"/>
  <c r="N490" i="9"/>
  <c r="D490" i="9"/>
  <c r="C490" i="9"/>
  <c r="L508" i="3"/>
  <c r="H508" i="3"/>
  <c r="D508" i="3"/>
  <c r="F508" i="3"/>
  <c r="D478" i="4"/>
  <c r="M478" i="4"/>
  <c r="N478" i="9"/>
  <c r="D478" i="9"/>
  <c r="C478" i="9"/>
  <c r="M474" i="5"/>
  <c r="C474" i="5"/>
  <c r="J492" i="3"/>
  <c r="M492" i="3" a="1"/>
  <c r="M492" i="3" s="1"/>
  <c r="H492" i="3"/>
  <c r="C492" i="3"/>
  <c r="L492" i="3"/>
  <c r="G492" i="3"/>
  <c r="N492" i="3"/>
  <c r="I492" i="3"/>
  <c r="D492" i="3"/>
  <c r="E492" i="3"/>
  <c r="K492" i="3"/>
  <c r="D470" i="11"/>
  <c r="C470" i="11"/>
  <c r="O470" i="11"/>
  <c r="I466" i="10"/>
  <c r="C466" i="10"/>
  <c r="D462" i="4"/>
  <c r="M462" i="4"/>
  <c r="N462" i="9"/>
  <c r="D462" i="9"/>
  <c r="C462" i="9"/>
  <c r="M458" i="5"/>
  <c r="C458" i="5"/>
  <c r="M476" i="3" a="1"/>
  <c r="M476" i="3" s="1"/>
  <c r="K476" i="3"/>
  <c r="C476" i="3"/>
  <c r="H476" i="3"/>
  <c r="L476" i="3"/>
  <c r="D476" i="3"/>
  <c r="N476" i="3"/>
  <c r="G476" i="3"/>
  <c r="D454" i="11"/>
  <c r="O454" i="11"/>
  <c r="C454" i="11"/>
  <c r="I450" i="10"/>
  <c r="C450" i="10"/>
  <c r="C446" i="5"/>
  <c r="M446" i="5"/>
  <c r="C446" i="8"/>
  <c r="D446" i="8"/>
  <c r="C442" i="8"/>
  <c r="D442" i="8"/>
  <c r="M460" i="3" a="1"/>
  <c r="M460" i="3" s="1"/>
  <c r="K460" i="3"/>
  <c r="C460" i="3"/>
  <c r="G460" i="3"/>
  <c r="I460" i="3"/>
  <c r="E460" i="3"/>
  <c r="J438" i="6"/>
  <c r="D438" i="6"/>
  <c r="O438" i="11"/>
  <c r="C438" i="11"/>
  <c r="I434" i="10"/>
  <c r="C434" i="10"/>
  <c r="M430" i="5"/>
  <c r="C430" i="5"/>
  <c r="N430" i="9"/>
  <c r="D430" i="9"/>
  <c r="C430" i="9"/>
  <c r="M426" i="5"/>
  <c r="C426" i="5"/>
  <c r="C426" i="8"/>
  <c r="D426" i="8"/>
  <c r="I444" i="3"/>
  <c r="C444" i="3"/>
  <c r="N444" i="3"/>
  <c r="G444" i="3"/>
  <c r="M444" i="3" a="1"/>
  <c r="M444" i="3" s="1"/>
  <c r="E444" i="3"/>
  <c r="J444" i="3"/>
  <c r="D444" i="3"/>
  <c r="C422" i="6"/>
  <c r="J422" i="6"/>
  <c r="D422" i="6"/>
  <c r="D418" i="7"/>
  <c r="L418" i="7"/>
  <c r="C418" i="7"/>
  <c r="D414" i="4"/>
  <c r="C414" i="4"/>
  <c r="M414" i="4"/>
  <c r="D414" i="9"/>
  <c r="K414" i="9"/>
  <c r="C414" i="9"/>
  <c r="D410" i="4"/>
  <c r="M410" i="4"/>
  <c r="C410" i="4"/>
  <c r="J410" i="8"/>
  <c r="C410" i="8"/>
  <c r="D410" i="8"/>
  <c r="J428" i="3"/>
  <c r="L428" i="3"/>
  <c r="G428" i="3"/>
  <c r="N428" i="3"/>
  <c r="I428" i="3"/>
  <c r="D428" i="3"/>
  <c r="E428" i="3"/>
  <c r="M428" i="3" a="1"/>
  <c r="M428" i="3" s="1"/>
  <c r="C428" i="3"/>
  <c r="K428" i="3"/>
  <c r="H428" i="3"/>
  <c r="C406" i="6"/>
  <c r="J406" i="6"/>
  <c r="D406" i="6"/>
  <c r="D402" i="7"/>
  <c r="L402" i="7"/>
  <c r="C402" i="7"/>
  <c r="D402" i="11"/>
  <c r="O402" i="11"/>
  <c r="K402" i="11"/>
  <c r="C402" i="11"/>
  <c r="T402" i="11"/>
  <c r="D398" i="9"/>
  <c r="K398" i="9"/>
  <c r="C398" i="9"/>
  <c r="D394" i="4"/>
  <c r="M394" i="4"/>
  <c r="C394" i="4"/>
  <c r="J394" i="8"/>
  <c r="D394" i="8"/>
  <c r="C394" i="8"/>
  <c r="J412" i="3"/>
  <c r="N412" i="3"/>
  <c r="I412" i="3"/>
  <c r="D412" i="3"/>
  <c r="M412" i="3" a="1"/>
  <c r="M412" i="3" s="1"/>
  <c r="H412" i="3"/>
  <c r="C412" i="3"/>
  <c r="L412" i="3"/>
  <c r="G412" i="3"/>
  <c r="K412" i="3"/>
  <c r="E412" i="3"/>
  <c r="C390" i="6"/>
  <c r="J390" i="6"/>
  <c r="D390" i="6"/>
  <c r="D390" i="11"/>
  <c r="C390" i="11"/>
  <c r="T390" i="11"/>
  <c r="O390" i="11"/>
  <c r="K390" i="11"/>
  <c r="D386" i="7"/>
  <c r="L386" i="7"/>
  <c r="C386" i="7"/>
  <c r="J386" i="8"/>
  <c r="D386" i="8"/>
  <c r="C386" i="8"/>
  <c r="D382" i="4"/>
  <c r="C382" i="4"/>
  <c r="M382" i="4"/>
  <c r="C378" i="5"/>
  <c r="M378" i="5"/>
  <c r="J378" i="8"/>
  <c r="C378" i="8"/>
  <c r="D378" i="8"/>
  <c r="J396" i="3"/>
  <c r="L396" i="3"/>
  <c r="G396" i="3"/>
  <c r="K396" i="3"/>
  <c r="E396" i="3"/>
  <c r="N396" i="3"/>
  <c r="I396" i="3"/>
  <c r="D396" i="3"/>
  <c r="M396" i="3" a="1"/>
  <c r="M396" i="3" s="1"/>
  <c r="H396" i="3"/>
  <c r="C396" i="3"/>
  <c r="J374" i="8"/>
  <c r="D374" i="8"/>
  <c r="C374" i="8"/>
  <c r="C374" i="11"/>
  <c r="D374" i="11"/>
  <c r="D370" i="7"/>
  <c r="L370" i="7"/>
  <c r="C370" i="7"/>
  <c r="D370" i="9"/>
  <c r="K370" i="9"/>
  <c r="C370" i="9"/>
  <c r="M362" i="4"/>
  <c r="D362" i="4"/>
  <c r="D362" i="7"/>
  <c r="C362" i="7"/>
  <c r="L362" i="7"/>
  <c r="J380" i="3"/>
  <c r="H380" i="3"/>
  <c r="D380" i="3"/>
  <c r="L380" i="3"/>
  <c r="C358" i="6"/>
  <c r="J358" i="6"/>
  <c r="D358" i="6"/>
  <c r="C358" i="11"/>
  <c r="D358" i="11"/>
  <c r="D354" i="7"/>
  <c r="L354" i="7"/>
  <c r="C354" i="7"/>
  <c r="M350" i="4"/>
  <c r="D350" i="4"/>
  <c r="C346" i="5"/>
  <c r="M346" i="5"/>
  <c r="F364" i="3"/>
  <c r="H364" i="3"/>
  <c r="D364" i="3"/>
  <c r="L364" i="3"/>
  <c r="D342" i="7"/>
  <c r="L342" i="7"/>
  <c r="C342" i="7"/>
  <c r="J338" i="6"/>
  <c r="D338" i="6"/>
  <c r="C338" i="6"/>
  <c r="C334" i="5"/>
  <c r="M334" i="5"/>
  <c r="M330" i="5"/>
  <c r="C330" i="5"/>
  <c r="K348" i="3"/>
  <c r="N348" i="3"/>
  <c r="D348" i="3"/>
  <c r="J348" i="3"/>
  <c r="C348" i="3"/>
  <c r="H348" i="3"/>
  <c r="F348" i="3"/>
  <c r="D326" i="7"/>
  <c r="L326" i="7"/>
  <c r="C326" i="7"/>
  <c r="J322" i="6"/>
  <c r="D322" i="6"/>
  <c r="C322" i="6"/>
  <c r="C318" i="5"/>
  <c r="M318" i="5"/>
  <c r="M314" i="5"/>
  <c r="C314" i="5"/>
  <c r="J332" i="3"/>
  <c r="K332" i="3"/>
  <c r="E332" i="3"/>
  <c r="N332" i="3"/>
  <c r="I332" i="3"/>
  <c r="D332" i="3"/>
  <c r="M332" i="3" a="1"/>
  <c r="M332" i="3" s="1"/>
  <c r="H332" i="3"/>
  <c r="C332" i="3"/>
  <c r="L332" i="3"/>
  <c r="G332" i="3"/>
  <c r="D310" i="7"/>
  <c r="L310" i="7"/>
  <c r="C310" i="7"/>
  <c r="O310" i="11"/>
  <c r="D310" i="11"/>
  <c r="C310" i="11"/>
  <c r="C306" i="6"/>
  <c r="J306" i="6"/>
  <c r="D306" i="6"/>
  <c r="C302" i="5"/>
  <c r="M302" i="5"/>
  <c r="C302" i="9"/>
  <c r="D302" i="9"/>
  <c r="M298" i="5"/>
  <c r="C298" i="5"/>
  <c r="J316" i="3"/>
  <c r="K316" i="3"/>
  <c r="E316" i="3"/>
  <c r="N316" i="3"/>
  <c r="I316" i="3"/>
  <c r="D316" i="3"/>
  <c r="M316" i="3" a="1"/>
  <c r="M316" i="3" s="1"/>
  <c r="H316" i="3"/>
  <c r="C316" i="3"/>
  <c r="L316" i="3"/>
  <c r="G316" i="3"/>
  <c r="O294" i="11"/>
  <c r="D294" i="11"/>
  <c r="C294" i="11"/>
  <c r="C290" i="6"/>
  <c r="J290" i="6"/>
  <c r="D290" i="6"/>
  <c r="M286" i="4"/>
  <c r="D286" i="4"/>
  <c r="C286" i="9"/>
  <c r="D286" i="9"/>
  <c r="M282" i="4"/>
  <c r="D282" i="4"/>
  <c r="J300" i="3"/>
  <c r="K300" i="3"/>
  <c r="E300" i="3"/>
  <c r="N300" i="3"/>
  <c r="I300" i="3"/>
  <c r="D300" i="3"/>
  <c r="M300" i="3" a="1"/>
  <c r="M300" i="3" s="1"/>
  <c r="H300" i="3"/>
  <c r="C300" i="3"/>
  <c r="L300" i="3"/>
  <c r="G300" i="3"/>
  <c r="C274" i="6"/>
  <c r="J274" i="6"/>
  <c r="D274" i="6"/>
  <c r="C270" i="6"/>
  <c r="J270" i="6"/>
  <c r="D270" i="6"/>
  <c r="C266" i="9"/>
  <c r="D266" i="9"/>
  <c r="C262" i="5"/>
  <c r="M262" i="5"/>
  <c r="C262" i="9"/>
  <c r="D262" i="9"/>
  <c r="M258" i="5"/>
  <c r="C258" i="5"/>
  <c r="C258" i="9"/>
  <c r="D258" i="9"/>
  <c r="M254" i="5"/>
  <c r="C254" i="5"/>
  <c r="C254" i="9"/>
  <c r="D254" i="9"/>
  <c r="M250" i="5"/>
  <c r="C250" i="5"/>
  <c r="C250" i="9"/>
  <c r="D250" i="9"/>
  <c r="M246" i="5"/>
  <c r="C246" i="5"/>
  <c r="C246" i="9"/>
  <c r="D246" i="9"/>
  <c r="M242" i="5"/>
  <c r="C242" i="5"/>
  <c r="C242" i="9"/>
  <c r="D242" i="9"/>
  <c r="M238" i="5"/>
  <c r="C238" i="5"/>
  <c r="C238" i="9"/>
  <c r="D238" i="9"/>
  <c r="M234" i="5"/>
  <c r="C234" i="5"/>
  <c r="C234" i="9"/>
  <c r="D234" i="9"/>
  <c r="M230" i="5"/>
  <c r="C230" i="5"/>
  <c r="C230" i="9"/>
  <c r="D230" i="9"/>
  <c r="M226" i="5"/>
  <c r="C226" i="5"/>
  <c r="C226" i="9"/>
  <c r="D226" i="9"/>
  <c r="M222" i="5"/>
  <c r="C222" i="5"/>
  <c r="M218" i="5"/>
  <c r="C218" i="5"/>
  <c r="C218" i="9"/>
  <c r="D218" i="9"/>
  <c r="M214" i="5"/>
  <c r="C214" i="5"/>
  <c r="M210" i="5"/>
  <c r="C210" i="5"/>
  <c r="C210" i="9"/>
  <c r="D210" i="9"/>
  <c r="N505" i="9"/>
  <c r="C505" i="9"/>
  <c r="K505" i="9"/>
  <c r="D505" i="9"/>
  <c r="D501" i="4"/>
  <c r="M501" i="4"/>
  <c r="C501" i="4"/>
  <c r="N501" i="9"/>
  <c r="K501" i="9"/>
  <c r="D501" i="9"/>
  <c r="C501" i="9"/>
  <c r="N489" i="9"/>
  <c r="D489" i="9"/>
  <c r="C489" i="9"/>
  <c r="K489" i="9"/>
  <c r="D485" i="8"/>
  <c r="C485" i="8"/>
  <c r="J485" i="8"/>
  <c r="L503" i="3"/>
  <c r="J503" i="3"/>
  <c r="D503" i="3"/>
  <c r="M473" i="5"/>
  <c r="C473" i="5"/>
  <c r="N473" i="9"/>
  <c r="K473" i="9"/>
  <c r="D473" i="9"/>
  <c r="C473" i="9"/>
  <c r="D469" i="4"/>
  <c r="M469" i="4"/>
  <c r="C469" i="4"/>
  <c r="N469" i="9"/>
  <c r="K469" i="9"/>
  <c r="D469" i="9"/>
  <c r="C469" i="9"/>
  <c r="K487" i="3"/>
  <c r="E487" i="3"/>
  <c r="J487" i="3"/>
  <c r="C487" i="3"/>
  <c r="N487" i="3"/>
  <c r="F487" i="3"/>
  <c r="I487" i="3"/>
  <c r="O465" i="11"/>
  <c r="D465" i="11"/>
  <c r="M457" i="5"/>
  <c r="C457" i="5"/>
  <c r="C457" i="9"/>
  <c r="D457" i="9"/>
  <c r="K457" i="9"/>
  <c r="D453" i="4"/>
  <c r="M453" i="4"/>
  <c r="C453" i="4"/>
  <c r="D453" i="8"/>
  <c r="J453" i="8"/>
  <c r="C453" i="8"/>
  <c r="L471" i="3"/>
  <c r="I471" i="3"/>
  <c r="D471" i="3"/>
  <c r="F471" i="3"/>
  <c r="C449" i="11"/>
  <c r="O449" i="11"/>
  <c r="D449" i="11"/>
  <c r="J445" i="6"/>
  <c r="C445" i="6"/>
  <c r="D441" i="4"/>
  <c r="C441" i="4"/>
  <c r="M441" i="4"/>
  <c r="N441" i="9"/>
  <c r="C441" i="9"/>
  <c r="K441" i="9"/>
  <c r="D441" i="9"/>
  <c r="D437" i="8"/>
  <c r="C437" i="8"/>
  <c r="J455" i="3"/>
  <c r="L455" i="3"/>
  <c r="G455" i="3"/>
  <c r="K455" i="3"/>
  <c r="E455" i="3"/>
  <c r="N455" i="3"/>
  <c r="I455" i="3"/>
  <c r="D455" i="3"/>
  <c r="M455" i="3" a="1"/>
  <c r="M455" i="3" s="1"/>
  <c r="H455" i="3"/>
  <c r="C455" i="3"/>
  <c r="O433" i="11"/>
  <c r="C433" i="11"/>
  <c r="M425" i="5"/>
  <c r="C425" i="5"/>
  <c r="D425" i="8"/>
  <c r="C425" i="8"/>
  <c r="D421" i="4"/>
  <c r="M421" i="4"/>
  <c r="C421" i="4"/>
  <c r="J421" i="8"/>
  <c r="D421" i="8"/>
  <c r="C421" i="8"/>
  <c r="J439" i="3"/>
  <c r="N439" i="3"/>
  <c r="G439" i="3"/>
  <c r="M439" i="3" a="1"/>
  <c r="M439" i="3" s="1"/>
  <c r="E439" i="3"/>
  <c r="K439" i="3"/>
  <c r="C439" i="3"/>
  <c r="I439" i="3"/>
  <c r="C417" i="6"/>
  <c r="J417" i="6"/>
  <c r="D417" i="6"/>
  <c r="D413" i="7"/>
  <c r="L413" i="7"/>
  <c r="C413" i="7"/>
  <c r="C409" i="8"/>
  <c r="J409" i="8"/>
  <c r="D409" i="8"/>
  <c r="J405" i="8"/>
  <c r="D405" i="8"/>
  <c r="C405" i="8"/>
  <c r="J423" i="3"/>
  <c r="I423" i="3"/>
  <c r="N423" i="3"/>
  <c r="G423" i="3"/>
  <c r="M423" i="3" a="1"/>
  <c r="M423" i="3" s="1"/>
  <c r="E423" i="3"/>
  <c r="K423" i="3"/>
  <c r="C423" i="3"/>
  <c r="I401" i="10"/>
  <c r="C401" i="10"/>
  <c r="C397" i="6"/>
  <c r="J397" i="6"/>
  <c r="D397" i="6"/>
  <c r="D397" i="11"/>
  <c r="C397" i="11"/>
  <c r="T397" i="11"/>
  <c r="O397" i="11"/>
  <c r="D393" i="8"/>
  <c r="C393" i="8"/>
  <c r="J393" i="8"/>
  <c r="I389" i="10"/>
  <c r="C389" i="10"/>
  <c r="J407" i="3"/>
  <c r="I407" i="3"/>
  <c r="N407" i="3"/>
  <c r="G407" i="3"/>
  <c r="M407" i="3" a="1"/>
  <c r="M407" i="3" s="1"/>
  <c r="E407" i="3"/>
  <c r="K407" i="3"/>
  <c r="C407" i="3"/>
  <c r="C385" i="11"/>
  <c r="D385" i="11"/>
  <c r="D381" i="8"/>
  <c r="J381" i="8"/>
  <c r="C381" i="8"/>
  <c r="I381" i="10"/>
  <c r="C381" i="10"/>
  <c r="M377" i="4"/>
  <c r="D377" i="4"/>
  <c r="C377" i="4"/>
  <c r="K391" i="3"/>
  <c r="N391" i="3"/>
  <c r="J391" i="3"/>
  <c r="E391" i="3"/>
  <c r="C369" i="6"/>
  <c r="J369" i="6"/>
  <c r="D369" i="6"/>
  <c r="C369" i="11"/>
  <c r="D369" i="11"/>
  <c r="C365" i="6"/>
  <c r="J365" i="6"/>
  <c r="D365" i="6"/>
  <c r="M361" i="4"/>
  <c r="D361" i="4"/>
  <c r="C361" i="4"/>
  <c r="K361" i="9"/>
  <c r="D361" i="9"/>
  <c r="M357" i="4"/>
  <c r="D357" i="4"/>
  <c r="C357" i="4"/>
  <c r="C357" i="8"/>
  <c r="J357" i="8"/>
  <c r="D357" i="8"/>
  <c r="C353" i="6"/>
  <c r="J353" i="6"/>
  <c r="D353" i="6"/>
  <c r="C349" i="6"/>
  <c r="J349" i="6"/>
  <c r="D349" i="6"/>
  <c r="D349" i="9"/>
  <c r="K349" i="9"/>
  <c r="C349" i="9"/>
  <c r="M345" i="4"/>
  <c r="D345" i="4"/>
  <c r="C345" i="4"/>
  <c r="D345" i="9"/>
  <c r="K345" i="9"/>
  <c r="C345" i="9"/>
  <c r="C341" i="8"/>
  <c r="J341" i="8"/>
  <c r="D341" i="8"/>
  <c r="H359" i="3"/>
  <c r="F359" i="3"/>
  <c r="D337" i="7"/>
  <c r="L337" i="7"/>
  <c r="C337" i="7"/>
  <c r="J333" i="6"/>
  <c r="D333" i="6"/>
  <c r="C333" i="6"/>
  <c r="D333" i="9"/>
  <c r="K333" i="9"/>
  <c r="C333" i="9"/>
  <c r="M329" i="4"/>
  <c r="D329" i="4"/>
  <c r="C329" i="4"/>
  <c r="D329" i="9"/>
  <c r="K329" i="9"/>
  <c r="C329" i="9"/>
  <c r="C325" i="5"/>
  <c r="M325" i="5"/>
  <c r="C325" i="8"/>
  <c r="J325" i="8"/>
  <c r="D325" i="8"/>
  <c r="J343" i="3"/>
  <c r="K343" i="3"/>
  <c r="C343" i="3"/>
  <c r="I343" i="3"/>
  <c r="N343" i="3"/>
  <c r="G343" i="3"/>
  <c r="M343" i="3" a="1"/>
  <c r="M343" i="3" s="1"/>
  <c r="E343" i="3"/>
  <c r="D321" i="7"/>
  <c r="L321" i="7"/>
  <c r="C321" i="7"/>
  <c r="O321" i="11"/>
  <c r="K321" i="11"/>
  <c r="D321" i="11"/>
  <c r="C321" i="11"/>
  <c r="C317" i="6"/>
  <c r="J317" i="6"/>
  <c r="D317" i="6"/>
  <c r="D317" i="9"/>
  <c r="K317" i="9"/>
  <c r="C317" i="9"/>
  <c r="M313" i="4"/>
  <c r="D313" i="4"/>
  <c r="C313" i="4"/>
  <c r="D313" i="9"/>
  <c r="K313" i="9"/>
  <c r="C313" i="9"/>
  <c r="C309" i="5"/>
  <c r="M309" i="5"/>
  <c r="C309" i="8"/>
  <c r="J309" i="8"/>
  <c r="D309" i="8"/>
  <c r="J327" i="3"/>
  <c r="K327" i="3"/>
  <c r="C327" i="3"/>
  <c r="I327" i="3"/>
  <c r="N327" i="3"/>
  <c r="G327" i="3"/>
  <c r="M327" i="3" a="1"/>
  <c r="M327" i="3" s="1"/>
  <c r="E327" i="3"/>
  <c r="D305" i="7"/>
  <c r="L305" i="7"/>
  <c r="C305" i="7"/>
  <c r="O305" i="11"/>
  <c r="D305" i="11"/>
  <c r="C305" i="11"/>
  <c r="C301" i="6"/>
  <c r="J301" i="6"/>
  <c r="D301" i="6"/>
  <c r="D301" i="9"/>
  <c r="K301" i="9"/>
  <c r="C301" i="9"/>
  <c r="M297" i="4"/>
  <c r="C297" i="4"/>
  <c r="D297" i="4"/>
  <c r="D297" i="9"/>
  <c r="K297" i="9"/>
  <c r="C297" i="9"/>
  <c r="C293" i="8"/>
  <c r="J293" i="8"/>
  <c r="D293" i="8"/>
  <c r="J311" i="3"/>
  <c r="K311" i="3"/>
  <c r="C311" i="3"/>
  <c r="I311" i="3"/>
  <c r="N311" i="3"/>
  <c r="G311" i="3"/>
  <c r="M311" i="3" a="1"/>
  <c r="M311" i="3" s="1"/>
  <c r="E311" i="3"/>
  <c r="C285" i="6"/>
  <c r="J285" i="6"/>
  <c r="D285" i="6"/>
  <c r="D285" i="9"/>
  <c r="K285" i="9"/>
  <c r="C285" i="9"/>
  <c r="C281" i="6"/>
  <c r="J281" i="6"/>
  <c r="D281" i="6"/>
  <c r="C277" i="6"/>
  <c r="J277" i="6"/>
  <c r="D277" i="6"/>
  <c r="D277" i="9"/>
  <c r="K277" i="9"/>
  <c r="C277" i="9"/>
  <c r="C273" i="6"/>
  <c r="J273" i="6"/>
  <c r="D273" i="6"/>
  <c r="C265" i="5"/>
  <c r="M265" i="5"/>
  <c r="D265" i="9"/>
  <c r="K265" i="9"/>
  <c r="C265" i="9"/>
  <c r="C257" i="5"/>
  <c r="M257" i="5"/>
  <c r="D257" i="9"/>
  <c r="K257" i="9"/>
  <c r="C257" i="9"/>
  <c r="C249" i="5"/>
  <c r="M249" i="5"/>
  <c r="D249" i="9"/>
  <c r="K249" i="9"/>
  <c r="C249" i="9"/>
  <c r="C241" i="5"/>
  <c r="M241" i="5"/>
  <c r="D241" i="9"/>
  <c r="K241" i="9"/>
  <c r="C241" i="9"/>
  <c r="C237" i="5"/>
  <c r="M237" i="5"/>
  <c r="C233" i="5"/>
  <c r="M233" i="5"/>
  <c r="D233" i="9"/>
  <c r="K233" i="9"/>
  <c r="C233" i="9"/>
  <c r="C229" i="5"/>
  <c r="M229" i="5"/>
  <c r="C225" i="5"/>
  <c r="M225" i="5"/>
  <c r="D225" i="9"/>
  <c r="K225" i="9"/>
  <c r="C225" i="9"/>
  <c r="C221" i="5"/>
  <c r="M221" i="5"/>
  <c r="C217" i="5"/>
  <c r="M217" i="5"/>
  <c r="D217" i="9"/>
  <c r="K217" i="9"/>
  <c r="C217" i="9"/>
  <c r="C213" i="5"/>
  <c r="M213" i="5"/>
  <c r="D213" i="9"/>
  <c r="K213" i="9"/>
  <c r="C213" i="9"/>
  <c r="C209" i="5"/>
  <c r="M209" i="5"/>
  <c r="D209" i="9"/>
  <c r="K209" i="9"/>
  <c r="C209" i="9"/>
  <c r="M332" i="4"/>
  <c r="C332" i="4"/>
  <c r="D350" i="3"/>
  <c r="H350" i="3"/>
  <c r="L350" i="3"/>
  <c r="F350" i="3"/>
  <c r="J173" i="6"/>
  <c r="D173" i="6"/>
  <c r="C173" i="6"/>
  <c r="J174" i="6"/>
  <c r="D174" i="6"/>
  <c r="C174" i="6"/>
  <c r="I179" i="10"/>
  <c r="D179" i="10"/>
  <c r="C179" i="10"/>
  <c r="J185" i="6"/>
  <c r="D185" i="6"/>
  <c r="C185" i="6"/>
  <c r="M187" i="5"/>
  <c r="C187" i="5"/>
  <c r="M191" i="5"/>
  <c r="C191" i="5"/>
  <c r="M198" i="5"/>
  <c r="C198" i="5"/>
  <c r="J205" i="6"/>
  <c r="D205" i="6"/>
  <c r="C205" i="6"/>
  <c r="D15" i="7"/>
  <c r="M34" i="5"/>
  <c r="C34" i="5"/>
  <c r="J46" i="6"/>
  <c r="D46" i="6"/>
  <c r="C46" i="6"/>
  <c r="M47" i="5"/>
  <c r="C47" i="5"/>
  <c r="M52" i="5"/>
  <c r="C52" i="5"/>
  <c r="M62" i="5"/>
  <c r="C62" i="5"/>
  <c r="J66" i="6"/>
  <c r="D66" i="6"/>
  <c r="C66" i="6"/>
  <c r="M71" i="5"/>
  <c r="C71" i="5"/>
  <c r="M77" i="5"/>
  <c r="C77" i="5"/>
  <c r="M80" i="5"/>
  <c r="C80" i="5"/>
  <c r="J84" i="6"/>
  <c r="D84" i="6"/>
  <c r="C84" i="6"/>
  <c r="M85" i="5"/>
  <c r="C85" i="5"/>
  <c r="J86" i="6"/>
  <c r="D86" i="6"/>
  <c r="C86" i="6"/>
  <c r="M87" i="5"/>
  <c r="C87" i="5"/>
  <c r="M89" i="5"/>
  <c r="C89" i="5"/>
  <c r="J90" i="6"/>
  <c r="D90" i="6"/>
  <c r="C90" i="6"/>
  <c r="J91" i="6"/>
  <c r="D91" i="6"/>
  <c r="C91" i="6"/>
  <c r="M94" i="5"/>
  <c r="C94" i="5"/>
  <c r="J99" i="6"/>
  <c r="D99" i="6"/>
  <c r="C99" i="6"/>
  <c r="M100" i="5"/>
  <c r="C100" i="5"/>
  <c r="J101" i="6"/>
  <c r="D101" i="6"/>
  <c r="C101" i="6"/>
  <c r="J102" i="6"/>
  <c r="D102" i="6"/>
  <c r="C102" i="6"/>
  <c r="M105" i="5"/>
  <c r="C105" i="5"/>
  <c r="M106" i="5"/>
  <c r="C106" i="5"/>
  <c r="J108" i="6"/>
  <c r="D108" i="6"/>
  <c r="C108" i="6"/>
  <c r="J110" i="6"/>
  <c r="D110" i="6"/>
  <c r="C110" i="6"/>
  <c r="J111" i="6"/>
  <c r="D111" i="6"/>
  <c r="C111" i="6"/>
  <c r="J113" i="6"/>
  <c r="D113" i="6"/>
  <c r="C113" i="6"/>
  <c r="M115" i="5"/>
  <c r="C115" i="5"/>
  <c r="M116" i="5"/>
  <c r="C116" i="5"/>
  <c r="J118" i="6"/>
  <c r="D118" i="6"/>
  <c r="C118" i="6"/>
  <c r="J119" i="6"/>
  <c r="D119" i="6"/>
  <c r="C119" i="6"/>
  <c r="J120" i="6"/>
  <c r="D120" i="6"/>
  <c r="C120" i="6"/>
  <c r="J121" i="6"/>
  <c r="D121" i="6"/>
  <c r="C121" i="6"/>
  <c r="J122" i="6"/>
  <c r="D122" i="6"/>
  <c r="C122" i="6"/>
  <c r="M124" i="5"/>
  <c r="C124" i="5"/>
  <c r="M125" i="5"/>
  <c r="C125" i="5"/>
  <c r="J127" i="6"/>
  <c r="D127" i="6"/>
  <c r="C127" i="6"/>
  <c r="J128" i="6"/>
  <c r="D128" i="6"/>
  <c r="C128" i="6"/>
  <c r="J129" i="6"/>
  <c r="D129" i="6"/>
  <c r="C129" i="6"/>
  <c r="M132" i="5"/>
  <c r="C132" i="5"/>
  <c r="M133" i="5"/>
  <c r="C133" i="5"/>
  <c r="J137" i="6"/>
  <c r="D137" i="6"/>
  <c r="C137" i="6"/>
  <c r="M138" i="5"/>
  <c r="C138" i="5"/>
  <c r="J141" i="6"/>
  <c r="D141" i="6"/>
  <c r="C141" i="6"/>
  <c r="J142" i="6"/>
  <c r="D142" i="6"/>
  <c r="C142" i="6"/>
  <c r="M145" i="5"/>
  <c r="C145" i="5"/>
  <c r="M147" i="5"/>
  <c r="C147" i="5"/>
  <c r="M151" i="5"/>
  <c r="C151" i="5"/>
  <c r="J154" i="6"/>
  <c r="D154" i="6"/>
  <c r="C154" i="6"/>
  <c r="M156" i="5"/>
  <c r="C156" i="5"/>
  <c r="M158" i="5"/>
  <c r="C158" i="5"/>
  <c r="M159" i="5"/>
  <c r="C159" i="5"/>
  <c r="M161" i="5"/>
  <c r="C161" i="5"/>
  <c r="J164" i="6"/>
  <c r="D164" i="6"/>
  <c r="C164" i="6"/>
  <c r="M165" i="5"/>
  <c r="C165" i="5"/>
  <c r="D10" i="11"/>
  <c r="C10" i="11"/>
  <c r="D12" i="11"/>
  <c r="C12" i="11"/>
  <c r="D14" i="11"/>
  <c r="C14" i="11"/>
  <c r="D16" i="11"/>
  <c r="C16" i="11"/>
  <c r="D18" i="11"/>
  <c r="C18" i="11"/>
  <c r="D20" i="11"/>
  <c r="C20" i="11"/>
  <c r="D22" i="11"/>
  <c r="C22" i="11"/>
  <c r="D24" i="11"/>
  <c r="C24" i="11"/>
  <c r="D26" i="11"/>
  <c r="C26" i="11"/>
  <c r="D28" i="11"/>
  <c r="C28" i="11"/>
  <c r="D30" i="11"/>
  <c r="C30" i="11"/>
  <c r="D32" i="11"/>
  <c r="C32" i="11"/>
  <c r="D34" i="11"/>
  <c r="C34" i="11"/>
  <c r="D36" i="11"/>
  <c r="C36" i="11"/>
  <c r="D38" i="11"/>
  <c r="C38" i="11"/>
  <c r="D40" i="11"/>
  <c r="C40" i="11"/>
  <c r="D42" i="11"/>
  <c r="C42" i="11"/>
  <c r="D44" i="11"/>
  <c r="C44" i="11"/>
  <c r="D46" i="11"/>
  <c r="C46" i="11"/>
  <c r="D48" i="11"/>
  <c r="C48" i="11"/>
  <c r="D50" i="11"/>
  <c r="C50" i="11"/>
  <c r="D52" i="11"/>
  <c r="C52" i="11"/>
  <c r="D54" i="11"/>
  <c r="C54" i="11"/>
  <c r="D56" i="11"/>
  <c r="C56" i="11"/>
  <c r="D58" i="11"/>
  <c r="C58" i="11"/>
  <c r="D60" i="11"/>
  <c r="C60" i="11"/>
  <c r="D62" i="11"/>
  <c r="C62" i="11"/>
  <c r="D64" i="11"/>
  <c r="C64" i="11"/>
  <c r="D66" i="11"/>
  <c r="C66" i="11"/>
  <c r="D68" i="11"/>
  <c r="C68" i="11"/>
  <c r="D70" i="11"/>
  <c r="C70" i="11"/>
  <c r="D72" i="11"/>
  <c r="C72" i="11"/>
  <c r="D74" i="11"/>
  <c r="C74" i="11"/>
  <c r="D76" i="11"/>
  <c r="C76" i="11"/>
  <c r="D78" i="11"/>
  <c r="C78" i="11"/>
  <c r="D140" i="11"/>
  <c r="C140" i="11"/>
  <c r="D144" i="11"/>
  <c r="C144" i="11"/>
  <c r="D148" i="11"/>
  <c r="C148" i="11"/>
  <c r="D152" i="11"/>
  <c r="C152" i="11"/>
  <c r="D156" i="11"/>
  <c r="C156" i="11"/>
  <c r="D160" i="11"/>
  <c r="C160" i="11"/>
  <c r="D164" i="11"/>
  <c r="C164" i="11"/>
  <c r="D168" i="11"/>
  <c r="C168" i="11"/>
  <c r="I81" i="10"/>
  <c r="D81" i="10"/>
  <c r="C81" i="10"/>
  <c r="I83" i="10"/>
  <c r="D83" i="10"/>
  <c r="C83" i="10"/>
  <c r="I85" i="10"/>
  <c r="D85" i="10"/>
  <c r="C85" i="10"/>
  <c r="I87" i="10"/>
  <c r="D87" i="10"/>
  <c r="C87" i="10"/>
  <c r="I89" i="10"/>
  <c r="D89" i="10"/>
  <c r="C89" i="10"/>
  <c r="I91" i="10"/>
  <c r="D91" i="10"/>
  <c r="C91" i="10"/>
  <c r="I93" i="10"/>
  <c r="D93" i="10"/>
  <c r="C93" i="10"/>
  <c r="I95" i="10"/>
  <c r="D95" i="10"/>
  <c r="C95" i="10"/>
  <c r="I97" i="10"/>
  <c r="D97" i="10"/>
  <c r="C97" i="10"/>
  <c r="I99" i="10"/>
  <c r="D99" i="10"/>
  <c r="C99" i="10"/>
  <c r="I101" i="10"/>
  <c r="D101" i="10"/>
  <c r="C101" i="10"/>
  <c r="I103" i="10"/>
  <c r="D103" i="10"/>
  <c r="C103" i="10"/>
  <c r="I105" i="10"/>
  <c r="D105" i="10"/>
  <c r="C105" i="10"/>
  <c r="I107" i="10"/>
  <c r="D107" i="10"/>
  <c r="C107" i="10"/>
  <c r="I109" i="10"/>
  <c r="D109" i="10"/>
  <c r="C109" i="10"/>
  <c r="I111" i="10"/>
  <c r="D111" i="10"/>
  <c r="C111" i="10"/>
  <c r="I113" i="10"/>
  <c r="D113" i="10"/>
  <c r="C113" i="10"/>
  <c r="I115" i="10"/>
  <c r="D115" i="10"/>
  <c r="C115" i="10"/>
  <c r="I117" i="10"/>
  <c r="D117" i="10"/>
  <c r="C117" i="10"/>
  <c r="I119" i="10"/>
  <c r="D119" i="10"/>
  <c r="C119" i="10"/>
  <c r="I121" i="10"/>
  <c r="D121" i="10"/>
  <c r="C121" i="10"/>
  <c r="I123" i="10"/>
  <c r="D123" i="10"/>
  <c r="C123" i="10"/>
  <c r="I125" i="10"/>
  <c r="D125" i="10"/>
  <c r="C125" i="10"/>
  <c r="I127" i="10"/>
  <c r="D127" i="10"/>
  <c r="C127" i="10"/>
  <c r="I129" i="10"/>
  <c r="D129" i="10"/>
  <c r="C129" i="10"/>
  <c r="I131" i="10"/>
  <c r="D131" i="10"/>
  <c r="C131" i="10"/>
  <c r="I133" i="10"/>
  <c r="D133" i="10"/>
  <c r="C133" i="10"/>
  <c r="I135" i="10"/>
  <c r="D135" i="10"/>
  <c r="C135" i="10"/>
  <c r="I137" i="10"/>
  <c r="D137" i="10"/>
  <c r="C137" i="10"/>
  <c r="I139" i="10"/>
  <c r="D139" i="10"/>
  <c r="C139" i="10"/>
  <c r="M201" i="5"/>
  <c r="C201" i="5"/>
  <c r="M203" i="5"/>
  <c r="C203" i="5"/>
  <c r="M205" i="5"/>
  <c r="C205" i="5"/>
  <c r="I206" i="10"/>
  <c r="D206" i="10"/>
  <c r="C206" i="10"/>
  <c r="D207" i="11"/>
  <c r="C207" i="11"/>
  <c r="D206" i="9"/>
  <c r="C206" i="9"/>
  <c r="J205" i="8"/>
  <c r="D205" i="8"/>
  <c r="C205" i="8"/>
  <c r="C204" i="4"/>
  <c r="D204" i="4"/>
  <c r="D202" i="9"/>
  <c r="C202" i="9"/>
  <c r="J201" i="8"/>
  <c r="D201" i="8"/>
  <c r="C201" i="8"/>
  <c r="M200" i="4"/>
  <c r="C200" i="4"/>
  <c r="D200" i="4"/>
  <c r="D199" i="9"/>
  <c r="C199" i="9"/>
  <c r="C198" i="4"/>
  <c r="D198" i="4"/>
  <c r="D197" i="9"/>
  <c r="C197" i="9"/>
  <c r="M196" i="4"/>
  <c r="C196" i="4"/>
  <c r="D196" i="4"/>
  <c r="D195" i="9"/>
  <c r="C195" i="9"/>
  <c r="C194" i="4"/>
  <c r="D194" i="4"/>
  <c r="D193" i="9"/>
  <c r="C193" i="9"/>
  <c r="M192" i="4"/>
  <c r="C192" i="4"/>
  <c r="D192" i="4"/>
  <c r="D191" i="9"/>
  <c r="C191" i="9"/>
  <c r="C190" i="4"/>
  <c r="D190" i="4"/>
  <c r="D189" i="9"/>
  <c r="C189" i="9"/>
  <c r="C188" i="4"/>
  <c r="D188" i="4"/>
  <c r="D187" i="9"/>
  <c r="C187" i="9"/>
  <c r="C186" i="4"/>
  <c r="D186" i="4"/>
  <c r="D185" i="9"/>
  <c r="C185" i="9"/>
  <c r="M184" i="4"/>
  <c r="C184" i="4"/>
  <c r="D184" i="4"/>
  <c r="D183" i="9"/>
  <c r="C183" i="9"/>
  <c r="C182" i="4"/>
  <c r="D182" i="4"/>
  <c r="D181" i="9"/>
  <c r="C181" i="9"/>
  <c r="C180" i="4"/>
  <c r="D180" i="4"/>
  <c r="D179" i="9"/>
  <c r="C179" i="9"/>
  <c r="C178" i="4"/>
  <c r="D178" i="4"/>
  <c r="D177" i="9"/>
  <c r="C177" i="9"/>
  <c r="C176" i="4"/>
  <c r="D176" i="4"/>
  <c r="D175" i="9"/>
  <c r="C175" i="9"/>
  <c r="C174" i="4"/>
  <c r="D174" i="4"/>
  <c r="D173" i="9"/>
  <c r="C173" i="9"/>
  <c r="C172" i="4"/>
  <c r="D172" i="4"/>
  <c r="D171" i="9"/>
  <c r="C171" i="9"/>
  <c r="C170" i="4"/>
  <c r="D170" i="4"/>
  <c r="D169" i="9"/>
  <c r="C169" i="9"/>
  <c r="J168" i="8"/>
  <c r="D168" i="8"/>
  <c r="C168" i="8"/>
  <c r="D168" i="10"/>
  <c r="C168" i="10"/>
  <c r="J166" i="8"/>
  <c r="D166" i="8"/>
  <c r="C166" i="8"/>
  <c r="D166" i="10"/>
  <c r="C166" i="10"/>
  <c r="J164" i="8"/>
  <c r="D164" i="8"/>
  <c r="C164" i="8"/>
  <c r="D164" i="10"/>
  <c r="C164" i="10"/>
  <c r="J162" i="8"/>
  <c r="D162" i="8"/>
  <c r="C162" i="8"/>
  <c r="D162" i="10"/>
  <c r="C162" i="10"/>
  <c r="J160" i="8"/>
  <c r="D160" i="8"/>
  <c r="C160" i="8"/>
  <c r="D160" i="10"/>
  <c r="C160" i="10"/>
  <c r="J158" i="8"/>
  <c r="D158" i="8"/>
  <c r="C158" i="8"/>
  <c r="D158" i="10"/>
  <c r="C158" i="10"/>
  <c r="J156" i="8"/>
  <c r="D156" i="8"/>
  <c r="C156" i="8"/>
  <c r="D156" i="10"/>
  <c r="C156" i="10"/>
  <c r="J154" i="8"/>
  <c r="D154" i="8"/>
  <c r="C154" i="8"/>
  <c r="D154" i="10"/>
  <c r="C154" i="10"/>
  <c r="J152" i="8"/>
  <c r="D152" i="8"/>
  <c r="C152" i="8"/>
  <c r="D152" i="10"/>
  <c r="C152" i="10"/>
  <c r="J150" i="8"/>
  <c r="D150" i="8"/>
  <c r="C150" i="8"/>
  <c r="D150" i="10"/>
  <c r="C150" i="10"/>
  <c r="J148" i="8"/>
  <c r="D148" i="8"/>
  <c r="C148" i="8"/>
  <c r="D148" i="10"/>
  <c r="C148" i="10"/>
  <c r="J146" i="8"/>
  <c r="D146" i="8"/>
  <c r="C146" i="8"/>
  <c r="D146" i="10"/>
  <c r="C146" i="10"/>
  <c r="J144" i="8"/>
  <c r="D144" i="8"/>
  <c r="C144" i="8"/>
  <c r="D144" i="10"/>
  <c r="C144" i="10"/>
  <c r="J142" i="8"/>
  <c r="D142" i="8"/>
  <c r="C142" i="8"/>
  <c r="D142" i="10"/>
  <c r="C142" i="10"/>
  <c r="J140" i="8"/>
  <c r="D140" i="8"/>
  <c r="C140" i="8"/>
  <c r="D140" i="10"/>
  <c r="C140" i="10"/>
  <c r="D138" i="9"/>
  <c r="C138" i="9"/>
  <c r="D137" i="8"/>
  <c r="C137" i="8"/>
  <c r="C136" i="4"/>
  <c r="D136" i="4"/>
  <c r="D134" i="9"/>
  <c r="C134" i="9"/>
  <c r="J133" i="8"/>
  <c r="D133" i="8"/>
  <c r="C133" i="8"/>
  <c r="C132" i="4"/>
  <c r="D132" i="4"/>
  <c r="D130" i="9"/>
  <c r="C130" i="9"/>
  <c r="D129" i="8"/>
  <c r="C129" i="8"/>
  <c r="C128" i="4"/>
  <c r="D128" i="4"/>
  <c r="D126" i="9"/>
  <c r="C126" i="9"/>
  <c r="J125" i="8"/>
  <c r="D125" i="8"/>
  <c r="C125" i="8"/>
  <c r="C124" i="4"/>
  <c r="D124" i="4"/>
  <c r="D122" i="9"/>
  <c r="C122" i="9"/>
  <c r="J121" i="8"/>
  <c r="D121" i="8"/>
  <c r="C121" i="8"/>
  <c r="C120" i="4"/>
  <c r="D120" i="4"/>
  <c r="D118" i="9"/>
  <c r="C118" i="9"/>
  <c r="D117" i="8"/>
  <c r="C117" i="8"/>
  <c r="M116" i="4"/>
  <c r="C116" i="4"/>
  <c r="D116" i="4"/>
  <c r="D114" i="9"/>
  <c r="C114" i="9"/>
  <c r="J113" i="8"/>
  <c r="D113" i="8"/>
  <c r="C113" i="8"/>
  <c r="C112" i="4"/>
  <c r="D112" i="4"/>
  <c r="D110" i="9"/>
  <c r="C110" i="9"/>
  <c r="J109" i="8"/>
  <c r="D109" i="8"/>
  <c r="C109" i="8"/>
  <c r="C108" i="4"/>
  <c r="D108" i="4"/>
  <c r="D106" i="9"/>
  <c r="C106" i="9"/>
  <c r="J105" i="8"/>
  <c r="D105" i="8"/>
  <c r="C105" i="8"/>
  <c r="C104" i="4"/>
  <c r="D104" i="4"/>
  <c r="D102" i="9"/>
  <c r="C102" i="9"/>
  <c r="J101" i="8"/>
  <c r="D101" i="8"/>
  <c r="C101" i="8"/>
  <c r="C100" i="4"/>
  <c r="D100" i="4"/>
  <c r="D98" i="9"/>
  <c r="C98" i="9"/>
  <c r="J97" i="8"/>
  <c r="D97" i="8"/>
  <c r="C97" i="8"/>
  <c r="C96" i="4"/>
  <c r="D96" i="4"/>
  <c r="D94" i="9"/>
  <c r="C94" i="9"/>
  <c r="J93" i="8"/>
  <c r="D93" i="8"/>
  <c r="C93" i="8"/>
  <c r="M92" i="4"/>
  <c r="C92" i="4"/>
  <c r="D92" i="4"/>
  <c r="D90" i="9"/>
  <c r="C90" i="9"/>
  <c r="D89" i="8"/>
  <c r="C89" i="8"/>
  <c r="C88" i="4"/>
  <c r="D88" i="4"/>
  <c r="D86" i="9"/>
  <c r="C86" i="9"/>
  <c r="J85" i="8"/>
  <c r="D85" i="8"/>
  <c r="C85" i="8"/>
  <c r="C84" i="4"/>
  <c r="D84" i="4"/>
  <c r="D82" i="9"/>
  <c r="C82" i="9"/>
  <c r="J81" i="8"/>
  <c r="D81" i="8"/>
  <c r="C81" i="8"/>
  <c r="C80" i="4"/>
  <c r="D80" i="4"/>
  <c r="D78" i="9"/>
  <c r="C78" i="9"/>
  <c r="J77" i="8"/>
  <c r="D77" i="8"/>
  <c r="C77" i="8"/>
  <c r="C76" i="4"/>
  <c r="D76" i="4"/>
  <c r="D74" i="9"/>
  <c r="C74" i="9"/>
  <c r="J73" i="8"/>
  <c r="D73" i="8"/>
  <c r="C73" i="8"/>
  <c r="C72" i="4"/>
  <c r="D72" i="4"/>
  <c r="D70" i="9"/>
  <c r="C70" i="9"/>
  <c r="J69" i="8"/>
  <c r="D69" i="8"/>
  <c r="C69" i="8"/>
  <c r="C68" i="4"/>
  <c r="D68" i="4"/>
  <c r="D66" i="9"/>
  <c r="C66" i="9"/>
  <c r="J65" i="8"/>
  <c r="D65" i="8"/>
  <c r="C65" i="8"/>
  <c r="C64" i="4"/>
  <c r="D64" i="4"/>
  <c r="D62" i="9"/>
  <c r="C62" i="9"/>
  <c r="J61" i="8"/>
  <c r="D61" i="8"/>
  <c r="C61" i="8"/>
  <c r="C60" i="4"/>
  <c r="D60" i="4"/>
  <c r="D58" i="9"/>
  <c r="C58" i="9"/>
  <c r="J57" i="8"/>
  <c r="D57" i="8"/>
  <c r="C57" i="8"/>
  <c r="C56" i="4"/>
  <c r="D56" i="4"/>
  <c r="D54" i="9"/>
  <c r="C54" i="9"/>
  <c r="J53" i="8"/>
  <c r="D53" i="8"/>
  <c r="C53" i="8"/>
  <c r="C52" i="4"/>
  <c r="D52" i="4"/>
  <c r="D50" i="9"/>
  <c r="C50" i="9"/>
  <c r="J49" i="8"/>
  <c r="D49" i="8"/>
  <c r="C49" i="8"/>
  <c r="C48" i="4"/>
  <c r="D48" i="4"/>
  <c r="D46" i="9"/>
  <c r="C46" i="9"/>
  <c r="J45" i="8"/>
  <c r="D45" i="8"/>
  <c r="C45" i="8"/>
  <c r="C44" i="4"/>
  <c r="D44" i="4"/>
  <c r="D42" i="9"/>
  <c r="C42" i="9"/>
  <c r="J41" i="8"/>
  <c r="D41" i="8"/>
  <c r="C41" i="8"/>
  <c r="C40" i="4"/>
  <c r="D40" i="4"/>
  <c r="D38" i="9"/>
  <c r="C38" i="9"/>
  <c r="J37" i="8"/>
  <c r="D37" i="8"/>
  <c r="C37" i="8"/>
  <c r="C36" i="4"/>
  <c r="D36" i="4"/>
  <c r="D34" i="9"/>
  <c r="C34" i="9"/>
  <c r="J33" i="8"/>
  <c r="D33" i="8"/>
  <c r="C33" i="8"/>
  <c r="C32" i="4"/>
  <c r="D32" i="4"/>
  <c r="D30" i="9"/>
  <c r="C30" i="9"/>
  <c r="D29" i="8"/>
  <c r="C29" i="8"/>
  <c r="C28" i="4"/>
  <c r="D28" i="4"/>
  <c r="D26" i="9"/>
  <c r="C26" i="9"/>
  <c r="J25" i="8"/>
  <c r="D25" i="8"/>
  <c r="C25" i="8"/>
  <c r="C24" i="4"/>
  <c r="D24" i="4"/>
  <c r="D22" i="9"/>
  <c r="C22" i="9"/>
  <c r="J21" i="8"/>
  <c r="D21" i="8"/>
  <c r="C21" i="8"/>
  <c r="C20" i="4"/>
  <c r="D20" i="4"/>
  <c r="D18" i="9"/>
  <c r="C18" i="9"/>
  <c r="J17" i="8"/>
  <c r="D17" i="8"/>
  <c r="C17" i="8"/>
  <c r="D15" i="8"/>
  <c r="C15" i="8"/>
  <c r="J13" i="8"/>
  <c r="D13" i="8"/>
  <c r="C13" i="8"/>
  <c r="J11" i="8"/>
  <c r="D11" i="8"/>
  <c r="C11" i="8"/>
  <c r="D9" i="8"/>
  <c r="C9" i="8"/>
  <c r="M261" i="4"/>
  <c r="D261" i="4"/>
  <c r="C261" i="4"/>
  <c r="M522" i="3" a="1"/>
  <c r="M522" i="3" s="1"/>
  <c r="L522" i="3"/>
  <c r="H522" i="3"/>
  <c r="D522" i="3"/>
  <c r="J488" i="8"/>
  <c r="D488" i="8"/>
  <c r="F506" i="3"/>
  <c r="D506" i="3"/>
  <c r="H506" i="3"/>
  <c r="L506" i="3"/>
  <c r="J490" i="3"/>
  <c r="N490" i="3"/>
  <c r="I490" i="3"/>
  <c r="D490" i="3"/>
  <c r="M490" i="3" a="1"/>
  <c r="M490" i="3" s="1"/>
  <c r="H490" i="3"/>
  <c r="C490" i="3"/>
  <c r="K490" i="3"/>
  <c r="E490" i="3"/>
  <c r="L490" i="3"/>
  <c r="G490" i="3"/>
  <c r="O468" i="11"/>
  <c r="D468" i="11"/>
  <c r="C468" i="11"/>
  <c r="I464" i="10"/>
  <c r="D464" i="10"/>
  <c r="C464" i="10"/>
  <c r="D456" i="8"/>
  <c r="M474" i="3" a="1"/>
  <c r="M474" i="3" s="1"/>
  <c r="N474" i="3"/>
  <c r="G474" i="3"/>
  <c r="L474" i="3"/>
  <c r="D474" i="3"/>
  <c r="H474" i="3"/>
  <c r="K474" i="3"/>
  <c r="C474" i="3"/>
  <c r="D452" i="11"/>
  <c r="O452" i="11"/>
  <c r="C452" i="11"/>
  <c r="I448" i="10"/>
  <c r="D448" i="10"/>
  <c r="C448" i="10"/>
  <c r="D440" i="4"/>
  <c r="M440" i="4"/>
  <c r="C440" i="4"/>
  <c r="J458" i="3"/>
  <c r="M458" i="3" a="1"/>
  <c r="M458" i="3" s="1"/>
  <c r="E458" i="3"/>
  <c r="K458" i="3"/>
  <c r="C458" i="3"/>
  <c r="I458" i="3"/>
  <c r="N458" i="3"/>
  <c r="G458" i="3"/>
  <c r="O436" i="11"/>
  <c r="C436" i="11"/>
  <c r="O432" i="11"/>
  <c r="C432" i="11"/>
  <c r="J428" i="8"/>
  <c r="C428" i="8"/>
  <c r="J424" i="8"/>
  <c r="C424" i="8"/>
  <c r="J442" i="3"/>
  <c r="L442" i="3"/>
  <c r="G442" i="3"/>
  <c r="K442" i="3"/>
  <c r="E442" i="3"/>
  <c r="N442" i="3"/>
  <c r="I442" i="3"/>
  <c r="D442" i="3"/>
  <c r="M442" i="3" a="1"/>
  <c r="M442" i="3" s="1"/>
  <c r="H442" i="3"/>
  <c r="C442" i="3"/>
  <c r="D420" i="7"/>
  <c r="C420" i="7"/>
  <c r="L420" i="7"/>
  <c r="C416" i="6"/>
  <c r="J416" i="6"/>
  <c r="D416" i="6"/>
  <c r="N412" i="9"/>
  <c r="K412" i="9"/>
  <c r="D412" i="9"/>
  <c r="C412" i="9"/>
  <c r="J426" i="3"/>
  <c r="M426" i="3" a="1"/>
  <c r="M426" i="3" s="1"/>
  <c r="H426" i="3"/>
  <c r="C426" i="3"/>
  <c r="L426" i="3"/>
  <c r="G426" i="3"/>
  <c r="K426" i="3"/>
  <c r="E426" i="3"/>
  <c r="N426" i="3"/>
  <c r="I426" i="3"/>
  <c r="D426" i="3"/>
  <c r="C404" i="6"/>
  <c r="J404" i="6"/>
  <c r="D404" i="6"/>
  <c r="D400" i="7"/>
  <c r="C400" i="7"/>
  <c r="N396" i="9"/>
  <c r="K396" i="9"/>
  <c r="D396" i="9"/>
  <c r="C396" i="9"/>
  <c r="N392" i="9"/>
  <c r="D392" i="9"/>
  <c r="C392" i="9"/>
  <c r="K392" i="9"/>
  <c r="J410" i="3"/>
  <c r="M410" i="3" a="1"/>
  <c r="M410" i="3" s="1"/>
  <c r="H410" i="3"/>
  <c r="C410" i="3"/>
  <c r="L410" i="3"/>
  <c r="G410" i="3"/>
  <c r="K410" i="3"/>
  <c r="E410" i="3"/>
  <c r="N410" i="3"/>
  <c r="I410" i="3"/>
  <c r="D410" i="3"/>
  <c r="C388" i="6"/>
  <c r="J388" i="6"/>
  <c r="D388" i="6"/>
  <c r="D388" i="11"/>
  <c r="K388" i="11"/>
  <c r="C388" i="11"/>
  <c r="T388" i="11"/>
  <c r="O388" i="11"/>
  <c r="D384" i="7"/>
  <c r="C384" i="7"/>
  <c r="N380" i="9"/>
  <c r="K380" i="9"/>
  <c r="D380" i="9"/>
  <c r="C380" i="9"/>
  <c r="M376" i="4"/>
  <c r="D376" i="4"/>
  <c r="C376" i="4"/>
  <c r="C376" i="6"/>
  <c r="J376" i="6"/>
  <c r="D376" i="6"/>
  <c r="J394" i="3"/>
  <c r="K394" i="3"/>
  <c r="E394" i="3"/>
  <c r="N394" i="3"/>
  <c r="I394" i="3"/>
  <c r="D394" i="3"/>
  <c r="M394" i="3" a="1"/>
  <c r="M394" i="3" s="1"/>
  <c r="H394" i="3"/>
  <c r="C394" i="3"/>
  <c r="L394" i="3"/>
  <c r="G394" i="3"/>
  <c r="J372" i="8"/>
  <c r="C372" i="11"/>
  <c r="D372" i="11"/>
  <c r="D368" i="7"/>
  <c r="C368" i="7"/>
  <c r="M364" i="4"/>
  <c r="C364" i="4"/>
  <c r="N364" i="9"/>
  <c r="K364" i="9"/>
  <c r="D364" i="9"/>
  <c r="C364" i="9"/>
  <c r="M360" i="4"/>
  <c r="C360" i="4"/>
  <c r="J378" i="3"/>
  <c r="L378" i="3"/>
  <c r="D378" i="3"/>
  <c r="H378" i="3"/>
  <c r="C356" i="6"/>
  <c r="J356" i="6"/>
  <c r="D356" i="6"/>
  <c r="C356" i="11"/>
  <c r="D356" i="11"/>
  <c r="N352" i="9"/>
  <c r="C352" i="9"/>
  <c r="K352" i="9"/>
  <c r="D352" i="9"/>
  <c r="M344" i="4"/>
  <c r="C344" i="4"/>
  <c r="D362" i="3"/>
  <c r="H362" i="3"/>
  <c r="L362" i="3"/>
  <c r="F362" i="3"/>
  <c r="J336" i="6"/>
  <c r="C336" i="6"/>
  <c r="D336" i="6"/>
  <c r="M328" i="5"/>
  <c r="C328" i="5"/>
  <c r="J342" i="3"/>
  <c r="L342" i="3"/>
  <c r="G342" i="3"/>
  <c r="K342" i="3"/>
  <c r="E342" i="3"/>
  <c r="N342" i="3"/>
  <c r="I342" i="3"/>
  <c r="D342" i="3"/>
  <c r="M342" i="3" a="1"/>
  <c r="M342" i="3" s="1"/>
  <c r="H342" i="3"/>
  <c r="C342" i="3"/>
  <c r="O320" i="11"/>
  <c r="D320" i="11"/>
  <c r="C320" i="11"/>
  <c r="C316" i="6"/>
  <c r="J316" i="6"/>
  <c r="D316" i="6"/>
  <c r="M312" i="5"/>
  <c r="C312" i="5"/>
  <c r="M308" i="5"/>
  <c r="C308" i="5"/>
  <c r="M304" i="5"/>
  <c r="C304" i="5"/>
  <c r="M300" i="5"/>
  <c r="C300" i="5"/>
  <c r="M296" i="5"/>
  <c r="C296" i="5"/>
  <c r="C240" i="5"/>
  <c r="M240" i="5"/>
  <c r="C236" i="5"/>
  <c r="M236" i="5"/>
  <c r="C232" i="5"/>
  <c r="M232" i="5"/>
  <c r="C228" i="5"/>
  <c r="M228" i="5"/>
  <c r="C224" i="5"/>
  <c r="M224" i="5"/>
  <c r="C220" i="5"/>
  <c r="M220" i="5"/>
  <c r="C216" i="5"/>
  <c r="M216" i="5"/>
  <c r="C212" i="5"/>
  <c r="M212" i="5"/>
  <c r="C208" i="5"/>
  <c r="M208" i="5"/>
  <c r="M281" i="4"/>
  <c r="C281" i="4"/>
  <c r="D281" i="4"/>
  <c r="C237" i="4"/>
  <c r="M237" i="4"/>
  <c r="D237" i="4"/>
  <c r="C231" i="4"/>
  <c r="M231" i="4"/>
  <c r="D231" i="4"/>
  <c r="M223" i="4"/>
  <c r="C223" i="4"/>
  <c r="M215" i="4"/>
  <c r="C215" i="4"/>
  <c r="C507" i="5"/>
  <c r="M507" i="5"/>
  <c r="C503" i="8"/>
  <c r="J503" i="8"/>
  <c r="D503" i="8"/>
  <c r="N491" i="9"/>
  <c r="C491" i="9"/>
  <c r="M487" i="5"/>
  <c r="C487" i="5"/>
  <c r="N487" i="9"/>
  <c r="C487" i="9"/>
  <c r="H505" i="3"/>
  <c r="F505" i="3"/>
  <c r="N475" i="9"/>
  <c r="C475" i="9"/>
  <c r="C471" i="8"/>
  <c r="J471" i="8"/>
  <c r="D471" i="8"/>
  <c r="D467" i="11"/>
  <c r="O467" i="11"/>
  <c r="C467" i="11"/>
  <c r="I463" i="10"/>
  <c r="D463" i="10"/>
  <c r="M459" i="5"/>
  <c r="C459" i="5"/>
  <c r="J459" i="8"/>
  <c r="D459" i="8"/>
  <c r="C459" i="8"/>
  <c r="J455" i="8"/>
  <c r="D455" i="8"/>
  <c r="C455" i="8"/>
  <c r="F473" i="3"/>
  <c r="M473" i="3" a="1"/>
  <c r="M473" i="3" s="1"/>
  <c r="E473" i="3"/>
  <c r="D451" i="11"/>
  <c r="C451" i="11"/>
  <c r="O451" i="11"/>
  <c r="J447" i="6"/>
  <c r="D447" i="6"/>
  <c r="C447" i="6"/>
  <c r="I447" i="10"/>
  <c r="D447" i="10"/>
  <c r="J443" i="8"/>
  <c r="D443" i="8"/>
  <c r="C443" i="8"/>
  <c r="M439" i="5"/>
  <c r="C439" i="5"/>
  <c r="C439" i="8"/>
  <c r="J439" i="8"/>
  <c r="D439" i="8"/>
  <c r="J457" i="3"/>
  <c r="M457" i="3" a="1"/>
  <c r="M457" i="3" s="1"/>
  <c r="H457" i="3"/>
  <c r="C457" i="3"/>
  <c r="L457" i="3"/>
  <c r="G457" i="3"/>
  <c r="K457" i="3"/>
  <c r="E457" i="3"/>
  <c r="N457" i="3"/>
  <c r="I457" i="3"/>
  <c r="D457" i="3"/>
  <c r="J431" i="6"/>
  <c r="D431" i="6"/>
  <c r="C431" i="6"/>
  <c r="D427" i="9"/>
  <c r="K427" i="9"/>
  <c r="D423" i="9"/>
  <c r="K423" i="9"/>
  <c r="J441" i="3"/>
  <c r="I441" i="3"/>
  <c r="N441" i="3"/>
  <c r="G441" i="3"/>
  <c r="M441" i="3" a="1"/>
  <c r="M441" i="3" s="1"/>
  <c r="E441" i="3"/>
  <c r="K441" i="3"/>
  <c r="C441" i="3"/>
  <c r="D419" i="7"/>
  <c r="L419" i="7"/>
  <c r="C419" i="7"/>
  <c r="C415" i="6"/>
  <c r="J415" i="6"/>
  <c r="D415" i="6"/>
  <c r="C411" i="5"/>
  <c r="M411" i="5"/>
  <c r="M407" i="5"/>
  <c r="C407" i="5"/>
  <c r="D407" i="8"/>
  <c r="C407" i="8"/>
  <c r="J425" i="3"/>
  <c r="K425" i="3"/>
  <c r="C425" i="3"/>
  <c r="I425" i="3"/>
  <c r="N425" i="3"/>
  <c r="G425" i="3"/>
  <c r="M425" i="3" a="1"/>
  <c r="M425" i="3" s="1"/>
  <c r="E425" i="3"/>
  <c r="D403" i="7"/>
  <c r="L403" i="7"/>
  <c r="I403" i="10"/>
  <c r="D403" i="10"/>
  <c r="C403" i="10"/>
  <c r="C399" i="6"/>
  <c r="J399" i="6"/>
  <c r="D399" i="6"/>
  <c r="I399" i="10"/>
  <c r="D399" i="10"/>
  <c r="C399" i="10"/>
  <c r="M395" i="5"/>
  <c r="C395" i="5"/>
  <c r="D391" i="8"/>
  <c r="C391" i="8"/>
  <c r="J409" i="3"/>
  <c r="K409" i="3"/>
  <c r="C409" i="3"/>
  <c r="I409" i="3"/>
  <c r="N409" i="3"/>
  <c r="G409" i="3"/>
  <c r="M409" i="3" a="1"/>
  <c r="M409" i="3" s="1"/>
  <c r="E409" i="3"/>
  <c r="D387" i="7"/>
  <c r="L387" i="7"/>
  <c r="I387" i="10"/>
  <c r="D387" i="10"/>
  <c r="C387" i="10"/>
  <c r="C383" i="6"/>
  <c r="J383" i="6"/>
  <c r="D383" i="6"/>
  <c r="I383" i="10"/>
  <c r="C383" i="10"/>
  <c r="D383" i="10"/>
  <c r="M379" i="5"/>
  <c r="C379" i="5"/>
  <c r="M375" i="5"/>
  <c r="C375" i="5"/>
  <c r="D371" i="7"/>
  <c r="L371" i="7"/>
  <c r="C371" i="11"/>
  <c r="D371" i="11"/>
  <c r="C367" i="6"/>
  <c r="J367" i="6"/>
  <c r="D367" i="6"/>
  <c r="M363" i="5"/>
  <c r="C363" i="5"/>
  <c r="C363" i="9"/>
  <c r="K363" i="9"/>
  <c r="C355" i="6"/>
  <c r="J355" i="6"/>
  <c r="D355" i="6"/>
  <c r="C355" i="11"/>
  <c r="D355" i="11"/>
  <c r="C351" i="6"/>
  <c r="J351" i="6"/>
  <c r="D351" i="6"/>
  <c r="M347" i="5"/>
  <c r="C347" i="5"/>
  <c r="N347" i="9"/>
  <c r="C347" i="9"/>
  <c r="K347" i="9"/>
  <c r="D347" i="9"/>
  <c r="J335" i="6"/>
  <c r="D335" i="6"/>
  <c r="C335" i="6"/>
  <c r="C331" i="5"/>
  <c r="M331" i="5"/>
  <c r="N331" i="9"/>
  <c r="C331" i="9"/>
  <c r="K331" i="9"/>
  <c r="D331" i="9"/>
  <c r="J345" i="3"/>
  <c r="M345" i="3" a="1"/>
  <c r="M345" i="3" s="1"/>
  <c r="E345" i="3"/>
  <c r="K345" i="3"/>
  <c r="C345" i="3"/>
  <c r="I345" i="3"/>
  <c r="N345" i="3"/>
  <c r="G345" i="3"/>
  <c r="S323" i="11"/>
  <c r="Q323" i="11"/>
  <c r="C319" i="6"/>
  <c r="J319" i="6"/>
  <c r="D319" i="6"/>
  <c r="C315" i="5"/>
  <c r="M315" i="5"/>
  <c r="N315" i="9"/>
  <c r="C315" i="9"/>
  <c r="K315" i="9"/>
  <c r="D315" i="9"/>
  <c r="J329" i="3"/>
  <c r="M329" i="3" a="1"/>
  <c r="M329" i="3" s="1"/>
  <c r="E329" i="3"/>
  <c r="K329" i="3"/>
  <c r="C329" i="3"/>
  <c r="I329" i="3"/>
  <c r="N329" i="3"/>
  <c r="G329" i="3"/>
  <c r="O307" i="11"/>
  <c r="C307" i="11"/>
  <c r="D307" i="11"/>
  <c r="C303" i="6"/>
  <c r="J303" i="6"/>
  <c r="D303" i="6"/>
  <c r="C299" i="5"/>
  <c r="M299" i="5"/>
  <c r="N299" i="9"/>
  <c r="C299" i="9"/>
  <c r="K299" i="9"/>
  <c r="D299" i="9"/>
  <c r="J313" i="3"/>
  <c r="M313" i="3" a="1"/>
  <c r="M313" i="3" s="1"/>
  <c r="E313" i="3"/>
  <c r="K313" i="3"/>
  <c r="C313" i="3"/>
  <c r="I313" i="3"/>
  <c r="N313" i="3"/>
  <c r="G313" i="3"/>
  <c r="C287" i="6"/>
  <c r="J287" i="6"/>
  <c r="D287" i="6"/>
  <c r="N283" i="9"/>
  <c r="C283" i="9"/>
  <c r="K283" i="9"/>
  <c r="D283" i="9"/>
  <c r="J297" i="3"/>
  <c r="M297" i="3" a="1"/>
  <c r="M297" i="3" s="1"/>
  <c r="E297" i="3"/>
  <c r="K297" i="3"/>
  <c r="C297" i="3"/>
  <c r="I297" i="3"/>
  <c r="N297" i="3"/>
  <c r="G297" i="3"/>
  <c r="C271" i="6"/>
  <c r="J271" i="6"/>
  <c r="D271" i="6"/>
  <c r="N267" i="9"/>
  <c r="C267" i="9"/>
  <c r="K267" i="9"/>
  <c r="D267" i="9"/>
  <c r="N263" i="9"/>
  <c r="K263" i="9"/>
  <c r="D263" i="9"/>
  <c r="C263" i="9"/>
  <c r="N259" i="9"/>
  <c r="C259" i="9"/>
  <c r="K259" i="9"/>
  <c r="D259" i="9"/>
  <c r="N255" i="9"/>
  <c r="K255" i="9"/>
  <c r="D255" i="9"/>
  <c r="C255" i="9"/>
  <c r="N251" i="9"/>
  <c r="C251" i="9"/>
  <c r="K251" i="9"/>
  <c r="D251" i="9"/>
  <c r="N247" i="9"/>
  <c r="K247" i="9"/>
  <c r="D247" i="9"/>
  <c r="C247" i="9"/>
  <c r="N243" i="9"/>
  <c r="C243" i="9"/>
  <c r="K243" i="9"/>
  <c r="D243" i="9"/>
  <c r="N239" i="9"/>
  <c r="K239" i="9"/>
  <c r="D239" i="9"/>
  <c r="C239" i="9"/>
  <c r="N235" i="9"/>
  <c r="C235" i="9"/>
  <c r="K235" i="9"/>
  <c r="D235" i="9"/>
  <c r="N231" i="9"/>
  <c r="K231" i="9"/>
  <c r="D231" i="9"/>
  <c r="C231" i="9"/>
  <c r="N227" i="9"/>
  <c r="C227" i="9"/>
  <c r="K227" i="9"/>
  <c r="D227" i="9"/>
  <c r="N223" i="9"/>
  <c r="K223" i="9"/>
  <c r="D223" i="9"/>
  <c r="C223" i="9"/>
  <c r="N219" i="9"/>
  <c r="C219" i="9"/>
  <c r="K219" i="9"/>
  <c r="D219" i="9"/>
  <c r="N215" i="9"/>
  <c r="K215" i="9"/>
  <c r="D215" i="9"/>
  <c r="C215" i="9"/>
  <c r="M506" i="5"/>
  <c r="C506" i="5"/>
  <c r="N506" i="9"/>
  <c r="C506" i="9"/>
  <c r="D506" i="9"/>
  <c r="D502" i="4"/>
  <c r="M502" i="4"/>
  <c r="N502" i="9"/>
  <c r="D502" i="9"/>
  <c r="C502" i="9"/>
  <c r="M520" i="3" a="1"/>
  <c r="M520" i="3" s="1"/>
  <c r="L520" i="3"/>
  <c r="D520" i="3"/>
  <c r="H520" i="3"/>
  <c r="D490" i="4"/>
  <c r="M490" i="4"/>
  <c r="D486" i="4"/>
  <c r="M486" i="4"/>
  <c r="L504" i="3"/>
  <c r="H504" i="3"/>
  <c r="D504" i="3"/>
  <c r="F504" i="3"/>
  <c r="D474" i="4"/>
  <c r="M474" i="4"/>
  <c r="N474" i="9"/>
  <c r="D474" i="9"/>
  <c r="C474" i="9"/>
  <c r="D470" i="4"/>
  <c r="M470" i="4"/>
  <c r="J488" i="3"/>
  <c r="N488" i="3"/>
  <c r="I488" i="3"/>
  <c r="D488" i="3"/>
  <c r="M488" i="3" a="1"/>
  <c r="M488" i="3" s="1"/>
  <c r="H488" i="3"/>
  <c r="C488" i="3"/>
  <c r="K488" i="3"/>
  <c r="E488" i="3"/>
  <c r="L488" i="3"/>
  <c r="G488" i="3"/>
  <c r="D466" i="11"/>
  <c r="C466" i="11"/>
  <c r="O466" i="11"/>
  <c r="I462" i="10"/>
  <c r="C462" i="10"/>
  <c r="D458" i="4"/>
  <c r="M458" i="4"/>
  <c r="N458" i="9"/>
  <c r="D458" i="9"/>
  <c r="C458" i="9"/>
  <c r="D454" i="4"/>
  <c r="M454" i="4"/>
  <c r="N454" i="9"/>
  <c r="D454" i="9"/>
  <c r="C454" i="9"/>
  <c r="N472" i="3"/>
  <c r="H472" i="3"/>
  <c r="F472" i="3"/>
  <c r="K472" i="3"/>
  <c r="C472" i="3"/>
  <c r="D450" i="11"/>
  <c r="C450" i="11"/>
  <c r="O450" i="11"/>
  <c r="I446" i="10"/>
  <c r="C446" i="10"/>
  <c r="C442" i="5"/>
  <c r="M442" i="5"/>
  <c r="N442" i="9"/>
  <c r="C442" i="9"/>
  <c r="D442" i="9"/>
  <c r="C438" i="8"/>
  <c r="D438" i="8"/>
  <c r="J456" i="3"/>
  <c r="K456" i="3"/>
  <c r="C456" i="3"/>
  <c r="I456" i="3"/>
  <c r="N456" i="3"/>
  <c r="G456" i="3"/>
  <c r="M456" i="3" a="1"/>
  <c r="M456" i="3" s="1"/>
  <c r="E456" i="3"/>
  <c r="J434" i="6"/>
  <c r="D434" i="6"/>
  <c r="O434" i="11"/>
  <c r="C434" i="11"/>
  <c r="J430" i="6"/>
  <c r="D430" i="6"/>
  <c r="C430" i="6"/>
  <c r="I430" i="10"/>
  <c r="C430" i="10"/>
  <c r="K426" i="9"/>
  <c r="D426" i="9"/>
  <c r="M422" i="5"/>
  <c r="C422" i="5"/>
  <c r="J422" i="8"/>
  <c r="D422" i="8"/>
  <c r="C422" i="8"/>
  <c r="J440" i="3"/>
  <c r="K440" i="3"/>
  <c r="E440" i="3"/>
  <c r="N440" i="3"/>
  <c r="I440" i="3"/>
  <c r="D440" i="3"/>
  <c r="M440" i="3" a="1"/>
  <c r="M440" i="3" s="1"/>
  <c r="H440" i="3"/>
  <c r="C440" i="3"/>
  <c r="L440" i="3"/>
  <c r="G440" i="3"/>
  <c r="C418" i="6"/>
  <c r="J418" i="6"/>
  <c r="D418" i="6"/>
  <c r="D414" i="7"/>
  <c r="L414" i="7"/>
  <c r="C414" i="7"/>
  <c r="D410" i="9"/>
  <c r="K410" i="9"/>
  <c r="C410" i="9"/>
  <c r="D406" i="4"/>
  <c r="C406" i="4"/>
  <c r="M406" i="4"/>
  <c r="J406" i="8"/>
  <c r="D406" i="8"/>
  <c r="C406" i="8"/>
  <c r="J424" i="3"/>
  <c r="L424" i="3"/>
  <c r="G424" i="3"/>
  <c r="K424" i="3"/>
  <c r="E424" i="3"/>
  <c r="N424" i="3"/>
  <c r="I424" i="3"/>
  <c r="D424" i="3"/>
  <c r="M424" i="3" a="1"/>
  <c r="M424" i="3" s="1"/>
  <c r="H424" i="3"/>
  <c r="C424" i="3"/>
  <c r="C402" i="6"/>
  <c r="J402" i="6"/>
  <c r="D402" i="6"/>
  <c r="I402" i="10"/>
  <c r="D402" i="10"/>
  <c r="D398" i="7"/>
  <c r="L398" i="7"/>
  <c r="C398" i="7"/>
  <c r="I398" i="10"/>
  <c r="D398" i="10"/>
  <c r="C394" i="5"/>
  <c r="M394" i="5"/>
  <c r="I394" i="10"/>
  <c r="D394" i="10"/>
  <c r="D390" i="9"/>
  <c r="K390" i="9"/>
  <c r="C390" i="9"/>
  <c r="J408" i="3"/>
  <c r="L408" i="3"/>
  <c r="G408" i="3"/>
  <c r="K408" i="3"/>
  <c r="E408" i="3"/>
  <c r="N408" i="3"/>
  <c r="I408" i="3"/>
  <c r="D408" i="3"/>
  <c r="M408" i="3" a="1"/>
  <c r="M408" i="3" s="1"/>
  <c r="H408" i="3"/>
  <c r="C408" i="3"/>
  <c r="C386" i="6"/>
  <c r="J386" i="6"/>
  <c r="D386" i="6"/>
  <c r="C386" i="11"/>
  <c r="D386" i="11"/>
  <c r="T386" i="11"/>
  <c r="D382" i="7"/>
  <c r="L382" i="7"/>
  <c r="C382" i="7"/>
  <c r="D382" i="9"/>
  <c r="C382" i="9"/>
  <c r="K382" i="9"/>
  <c r="D378" i="9"/>
  <c r="K378" i="9"/>
  <c r="C378" i="9"/>
  <c r="C374" i="6"/>
  <c r="J374" i="6"/>
  <c r="D374" i="6"/>
  <c r="J392" i="3"/>
  <c r="K392" i="3"/>
  <c r="E392" i="3"/>
  <c r="N392" i="3"/>
  <c r="I392" i="3"/>
  <c r="D392" i="3"/>
  <c r="M392" i="3" a="1"/>
  <c r="M392" i="3" s="1"/>
  <c r="H392" i="3"/>
  <c r="C392" i="3"/>
  <c r="L392" i="3"/>
  <c r="G392" i="3"/>
  <c r="J370" i="8"/>
  <c r="D370" i="8"/>
  <c r="C370" i="8"/>
  <c r="C370" i="11"/>
  <c r="D370" i="11"/>
  <c r="C366" i="6"/>
  <c r="J366" i="6"/>
  <c r="D366" i="6"/>
  <c r="D366" i="9"/>
  <c r="C366" i="9"/>
  <c r="K366" i="9"/>
  <c r="C362" i="5"/>
  <c r="M362" i="5"/>
  <c r="D362" i="9"/>
  <c r="K362" i="9"/>
  <c r="C358" i="5"/>
  <c r="M358" i="5"/>
  <c r="J358" i="8"/>
  <c r="C358" i="8"/>
  <c r="D358" i="8"/>
  <c r="J376" i="3"/>
  <c r="H376" i="3"/>
  <c r="L376" i="3"/>
  <c r="D376" i="3"/>
  <c r="C354" i="6"/>
  <c r="J354" i="6"/>
  <c r="D354" i="6"/>
  <c r="D350" i="7"/>
  <c r="L350" i="7"/>
  <c r="C350" i="7"/>
  <c r="D350" i="9"/>
  <c r="K350" i="9"/>
  <c r="M346" i="4"/>
  <c r="D346" i="4"/>
  <c r="C346" i="9"/>
  <c r="D346" i="9"/>
  <c r="M342" i="4"/>
  <c r="D342" i="4"/>
  <c r="F360" i="3"/>
  <c r="H360" i="3"/>
  <c r="L360" i="3"/>
  <c r="D360" i="3"/>
  <c r="D338" i="7"/>
  <c r="L338" i="7"/>
  <c r="C338" i="7"/>
  <c r="J334" i="6"/>
  <c r="D334" i="6"/>
  <c r="C334" i="6"/>
  <c r="C334" i="9"/>
  <c r="D334" i="9"/>
  <c r="M330" i="4"/>
  <c r="D330" i="4"/>
  <c r="C330" i="9"/>
  <c r="D330" i="9"/>
  <c r="M326" i="4"/>
  <c r="D326" i="4"/>
  <c r="J344" i="3"/>
  <c r="M344" i="3" a="1"/>
  <c r="M344" i="3" s="1"/>
  <c r="H344" i="3"/>
  <c r="C344" i="3"/>
  <c r="L344" i="3"/>
  <c r="G344" i="3"/>
  <c r="K344" i="3"/>
  <c r="E344" i="3"/>
  <c r="N344" i="3"/>
  <c r="I344" i="3"/>
  <c r="D344" i="3"/>
  <c r="D322" i="7"/>
  <c r="L322" i="7"/>
  <c r="C322" i="7"/>
  <c r="D322" i="11"/>
  <c r="C322" i="11"/>
  <c r="O322" i="11"/>
  <c r="C318" i="6"/>
  <c r="J318" i="6"/>
  <c r="D318" i="6"/>
  <c r="C318" i="9"/>
  <c r="D318" i="9"/>
  <c r="M314" i="4"/>
  <c r="D314" i="4"/>
  <c r="C314" i="9"/>
  <c r="D314" i="9"/>
  <c r="M310" i="4"/>
  <c r="D310" i="4"/>
  <c r="J328" i="3"/>
  <c r="M328" i="3" a="1"/>
  <c r="M328" i="3" s="1"/>
  <c r="H328" i="3"/>
  <c r="C328" i="3"/>
  <c r="L328" i="3"/>
  <c r="G328" i="3"/>
  <c r="K328" i="3"/>
  <c r="E328" i="3"/>
  <c r="N328" i="3"/>
  <c r="I328" i="3"/>
  <c r="D328" i="3"/>
  <c r="D306" i="7"/>
  <c r="L306" i="7"/>
  <c r="C306" i="7"/>
  <c r="O306" i="11"/>
  <c r="D306" i="11"/>
  <c r="C306" i="11"/>
  <c r="C302" i="6"/>
  <c r="J302" i="6"/>
  <c r="D302" i="6"/>
  <c r="M298" i="4"/>
  <c r="D298" i="4"/>
  <c r="C298" i="9"/>
  <c r="D298" i="9"/>
  <c r="M294" i="4"/>
  <c r="D294" i="4"/>
  <c r="J312" i="3"/>
  <c r="M312" i="3" a="1"/>
  <c r="M312" i="3" s="1"/>
  <c r="H312" i="3"/>
  <c r="C312" i="3"/>
  <c r="L312" i="3"/>
  <c r="G312" i="3"/>
  <c r="K312" i="3"/>
  <c r="E312" i="3"/>
  <c r="N312" i="3"/>
  <c r="I312" i="3"/>
  <c r="D312" i="3"/>
  <c r="O290" i="11"/>
  <c r="C290" i="11"/>
  <c r="D290" i="11"/>
  <c r="C286" i="6"/>
  <c r="J286" i="6"/>
  <c r="D286" i="6"/>
  <c r="M282" i="5"/>
  <c r="C282" i="5"/>
  <c r="C282" i="9"/>
  <c r="D282" i="9"/>
  <c r="M278" i="5"/>
  <c r="C278" i="5"/>
  <c r="J296" i="3"/>
  <c r="M296" i="3" a="1"/>
  <c r="M296" i="3" s="1"/>
  <c r="H296" i="3"/>
  <c r="C296" i="3"/>
  <c r="L296" i="3"/>
  <c r="G296" i="3"/>
  <c r="K296" i="3"/>
  <c r="E296" i="3"/>
  <c r="N296" i="3"/>
  <c r="I296" i="3"/>
  <c r="D296" i="3"/>
  <c r="J274" i="8"/>
  <c r="D274" i="11"/>
  <c r="C274" i="11"/>
  <c r="C266" i="6"/>
  <c r="J266" i="6"/>
  <c r="D266" i="6"/>
  <c r="C262" i="6"/>
  <c r="J262" i="6"/>
  <c r="D262" i="6"/>
  <c r="C258" i="6"/>
  <c r="J258" i="6"/>
  <c r="D258" i="6"/>
  <c r="C254" i="6"/>
  <c r="J254" i="6"/>
  <c r="D254" i="6"/>
  <c r="C250" i="6"/>
  <c r="J250" i="6"/>
  <c r="D250" i="6"/>
  <c r="C246" i="6"/>
  <c r="J246" i="6"/>
  <c r="D246" i="6"/>
  <c r="C242" i="6"/>
  <c r="J242" i="6"/>
  <c r="D242" i="6"/>
  <c r="C238" i="6"/>
  <c r="J238" i="6"/>
  <c r="D238" i="6"/>
  <c r="C234" i="6"/>
  <c r="J234" i="6"/>
  <c r="D234" i="6"/>
  <c r="C230" i="6"/>
  <c r="J230" i="6"/>
  <c r="D230" i="6"/>
  <c r="C226" i="6"/>
  <c r="J226" i="6"/>
  <c r="D226" i="6"/>
  <c r="C222" i="6"/>
  <c r="J222" i="6"/>
  <c r="D222" i="6"/>
  <c r="C222" i="9"/>
  <c r="D222" i="9"/>
  <c r="C218" i="6"/>
  <c r="J218" i="6"/>
  <c r="D218" i="6"/>
  <c r="C214" i="6"/>
  <c r="J214" i="6"/>
  <c r="D214" i="6"/>
  <c r="C214" i="9"/>
  <c r="D214" i="9"/>
  <c r="C210" i="6"/>
  <c r="J210" i="6"/>
  <c r="D210" i="6"/>
  <c r="M501" i="5"/>
  <c r="C501" i="5"/>
  <c r="D501" i="8"/>
  <c r="C501" i="8"/>
  <c r="J501" i="8"/>
  <c r="M497" i="5"/>
  <c r="C497" i="5"/>
  <c r="D497" i="8"/>
  <c r="J497" i="8"/>
  <c r="C497" i="8"/>
  <c r="D485" i="4"/>
  <c r="M485" i="4"/>
  <c r="C485" i="4"/>
  <c r="N485" i="9"/>
  <c r="C485" i="9"/>
  <c r="K485" i="9"/>
  <c r="D485" i="9"/>
  <c r="D481" i="8"/>
  <c r="J481" i="8"/>
  <c r="C481" i="8"/>
  <c r="L499" i="3"/>
  <c r="M499" i="3" a="1"/>
  <c r="M499" i="3" s="1"/>
  <c r="E499" i="3"/>
  <c r="K499" i="3"/>
  <c r="D499" i="3"/>
  <c r="N499" i="3"/>
  <c r="G499" i="3"/>
  <c r="I499" i="3"/>
  <c r="C499" i="3"/>
  <c r="D469" i="8"/>
  <c r="J469" i="8"/>
  <c r="C469" i="8"/>
  <c r="D465" i="4"/>
  <c r="C465" i="4"/>
  <c r="M465" i="4"/>
  <c r="D465" i="8"/>
  <c r="C465" i="8"/>
  <c r="J465" i="8"/>
  <c r="N483" i="3"/>
  <c r="F483" i="3"/>
  <c r="K483" i="3"/>
  <c r="E483" i="3"/>
  <c r="I483" i="3"/>
  <c r="J483" i="3"/>
  <c r="C483" i="3"/>
  <c r="D461" i="11"/>
  <c r="C461" i="11"/>
  <c r="O461" i="11"/>
  <c r="M453" i="5"/>
  <c r="C453" i="5"/>
  <c r="C453" i="9"/>
  <c r="K453" i="9"/>
  <c r="D453" i="9"/>
  <c r="D449" i="8"/>
  <c r="C449" i="8"/>
  <c r="J467" i="3"/>
  <c r="F467" i="3"/>
  <c r="L467" i="3"/>
  <c r="I467" i="3"/>
  <c r="D467" i="3"/>
  <c r="C445" i="11"/>
  <c r="O445" i="11"/>
  <c r="D445" i="11"/>
  <c r="J441" i="6"/>
  <c r="C441" i="6"/>
  <c r="D437" i="4"/>
  <c r="C437" i="4"/>
  <c r="M437" i="4"/>
  <c r="N437" i="9"/>
  <c r="K437" i="9"/>
  <c r="D437" i="9"/>
  <c r="C437" i="9"/>
  <c r="N433" i="9"/>
  <c r="D433" i="9"/>
  <c r="C433" i="9"/>
  <c r="K433" i="9"/>
  <c r="J451" i="3"/>
  <c r="N451" i="3"/>
  <c r="I451" i="3"/>
  <c r="D451" i="3"/>
  <c r="M451" i="3" a="1"/>
  <c r="M451" i="3" s="1"/>
  <c r="H451" i="3"/>
  <c r="C451" i="3"/>
  <c r="L451" i="3"/>
  <c r="G451" i="3"/>
  <c r="K451" i="3"/>
  <c r="E451" i="3"/>
  <c r="J429" i="6"/>
  <c r="C429" i="6"/>
  <c r="J425" i="6"/>
  <c r="C425" i="6"/>
  <c r="C417" i="8"/>
  <c r="J417" i="8"/>
  <c r="D417" i="8"/>
  <c r="J435" i="3"/>
  <c r="K435" i="3"/>
  <c r="C435" i="3"/>
  <c r="I435" i="3"/>
  <c r="N435" i="3"/>
  <c r="G435" i="3"/>
  <c r="M435" i="3" a="1"/>
  <c r="M435" i="3" s="1"/>
  <c r="E435" i="3"/>
  <c r="C413" i="6"/>
  <c r="J413" i="6"/>
  <c r="D413" i="6"/>
  <c r="I413" i="10"/>
  <c r="C413" i="10"/>
  <c r="C409" i="6"/>
  <c r="J409" i="6"/>
  <c r="D409" i="6"/>
  <c r="I409" i="10"/>
  <c r="C409" i="10"/>
  <c r="D405" i="4"/>
  <c r="M405" i="4"/>
  <c r="C405" i="4"/>
  <c r="N405" i="9"/>
  <c r="D405" i="9"/>
  <c r="C401" i="8"/>
  <c r="J401" i="8"/>
  <c r="D401" i="8"/>
  <c r="J419" i="3"/>
  <c r="M419" i="3" a="1"/>
  <c r="M419" i="3" s="1"/>
  <c r="E419" i="3"/>
  <c r="K419" i="3"/>
  <c r="C419" i="3"/>
  <c r="I419" i="3"/>
  <c r="N419" i="3"/>
  <c r="G419" i="3"/>
  <c r="I397" i="10"/>
  <c r="C397" i="10"/>
  <c r="C393" i="6"/>
  <c r="J393" i="6"/>
  <c r="D393" i="6"/>
  <c r="D389" i="4"/>
  <c r="M389" i="4"/>
  <c r="C389" i="4"/>
  <c r="N389" i="9"/>
  <c r="D389" i="9"/>
  <c r="I385" i="10"/>
  <c r="C385" i="10"/>
  <c r="K403" i="3"/>
  <c r="J403" i="3"/>
  <c r="E403" i="3"/>
  <c r="C381" i="6"/>
  <c r="J381" i="6"/>
  <c r="D381" i="6"/>
  <c r="C381" i="11"/>
  <c r="D381" i="11"/>
  <c r="C377" i="6"/>
  <c r="J377" i="6"/>
  <c r="D377" i="6"/>
  <c r="M373" i="4"/>
  <c r="D373" i="4"/>
  <c r="C373" i="4"/>
  <c r="D373" i="9"/>
  <c r="N373" i="9"/>
  <c r="M369" i="4"/>
  <c r="D369" i="4"/>
  <c r="C369" i="4"/>
  <c r="C365" i="11"/>
  <c r="D365" i="11"/>
  <c r="J361" i="8"/>
  <c r="D361" i="8"/>
  <c r="C361" i="8"/>
  <c r="K357" i="9"/>
  <c r="D357" i="9"/>
  <c r="J353" i="8"/>
  <c r="D353" i="8"/>
  <c r="C353" i="8"/>
  <c r="D349" i="7"/>
  <c r="L349" i="7"/>
  <c r="C349" i="7"/>
  <c r="C345" i="6"/>
  <c r="J345" i="6"/>
  <c r="D345" i="6"/>
  <c r="M341" i="4"/>
  <c r="D341" i="4"/>
  <c r="C341" i="4"/>
  <c r="J337" i="8"/>
  <c r="D337" i="8"/>
  <c r="C337" i="8"/>
  <c r="H355" i="3"/>
  <c r="F355" i="3"/>
  <c r="J333" i="8"/>
  <c r="D333" i="8"/>
  <c r="C333" i="8"/>
  <c r="J329" i="6"/>
  <c r="D329" i="6"/>
  <c r="C329" i="6"/>
  <c r="M325" i="4"/>
  <c r="D325" i="4"/>
  <c r="C325" i="4"/>
  <c r="J321" i="8"/>
  <c r="D321" i="8"/>
  <c r="C321" i="8"/>
  <c r="J339" i="3"/>
  <c r="N339" i="3"/>
  <c r="G339" i="3"/>
  <c r="M339" i="3" a="1"/>
  <c r="M339" i="3" s="1"/>
  <c r="E339" i="3"/>
  <c r="K339" i="3"/>
  <c r="C339" i="3"/>
  <c r="I339" i="3"/>
  <c r="J317" i="8"/>
  <c r="D317" i="8"/>
  <c r="C317" i="8"/>
  <c r="O317" i="11"/>
  <c r="C317" i="11"/>
  <c r="D317" i="11"/>
  <c r="C313" i="6"/>
  <c r="J313" i="6"/>
  <c r="D313" i="6"/>
  <c r="I313" i="10"/>
  <c r="C313" i="10"/>
  <c r="D313" i="10"/>
  <c r="M309" i="4"/>
  <c r="C309" i="4"/>
  <c r="D309" i="4"/>
  <c r="J305" i="8"/>
  <c r="D305" i="8"/>
  <c r="C305" i="8"/>
  <c r="J323" i="3"/>
  <c r="N323" i="3"/>
  <c r="G323" i="3"/>
  <c r="M323" i="3" a="1"/>
  <c r="M323" i="3" s="1"/>
  <c r="E323" i="3"/>
  <c r="K323" i="3"/>
  <c r="C323" i="3"/>
  <c r="I323" i="3"/>
  <c r="J301" i="8"/>
  <c r="D301" i="8"/>
  <c r="C301" i="8"/>
  <c r="O301" i="11"/>
  <c r="C301" i="11"/>
  <c r="D301" i="11"/>
  <c r="C297" i="6"/>
  <c r="J297" i="6"/>
  <c r="D297" i="6"/>
  <c r="M293" i="4"/>
  <c r="C293" i="4"/>
  <c r="D293" i="4"/>
  <c r="C289" i="5"/>
  <c r="M289" i="5"/>
  <c r="J289" i="8"/>
  <c r="D289" i="8"/>
  <c r="C289" i="8"/>
  <c r="J307" i="3"/>
  <c r="N307" i="3"/>
  <c r="G307" i="3"/>
  <c r="M307" i="3" a="1"/>
  <c r="M307" i="3" s="1"/>
  <c r="E307" i="3"/>
  <c r="K307" i="3"/>
  <c r="C307" i="3"/>
  <c r="I307" i="3"/>
  <c r="J285" i="8"/>
  <c r="D285" i="8"/>
  <c r="C285" i="8"/>
  <c r="O273" i="11"/>
  <c r="D273" i="11"/>
  <c r="C269" i="6"/>
  <c r="J269" i="6"/>
  <c r="D269" i="6"/>
  <c r="D269" i="9"/>
  <c r="K269" i="9"/>
  <c r="C269" i="9"/>
  <c r="C265" i="6"/>
  <c r="J265" i="6"/>
  <c r="D265" i="6"/>
  <c r="C261" i="6"/>
  <c r="J261" i="6"/>
  <c r="D261" i="6"/>
  <c r="D261" i="9"/>
  <c r="K261" i="9"/>
  <c r="C261" i="9"/>
  <c r="C257" i="6"/>
  <c r="J257" i="6"/>
  <c r="D257" i="6"/>
  <c r="C253" i="6"/>
  <c r="J253" i="6"/>
  <c r="D253" i="6"/>
  <c r="D253" i="9"/>
  <c r="K253" i="9"/>
  <c r="C253" i="9"/>
  <c r="C249" i="6"/>
  <c r="J249" i="6"/>
  <c r="D249" i="6"/>
  <c r="C245" i="6"/>
  <c r="J245" i="6"/>
  <c r="D245" i="6"/>
  <c r="D245" i="9"/>
  <c r="K245" i="9"/>
  <c r="C245" i="9"/>
  <c r="C241" i="6"/>
  <c r="J241" i="6"/>
  <c r="D241" i="6"/>
  <c r="C237" i="6"/>
  <c r="J237" i="6"/>
  <c r="D237" i="6"/>
  <c r="D237" i="9"/>
  <c r="K237" i="9"/>
  <c r="C237" i="9"/>
  <c r="C233" i="6"/>
  <c r="J233" i="6"/>
  <c r="D233" i="6"/>
  <c r="C229" i="6"/>
  <c r="J229" i="6"/>
  <c r="D229" i="6"/>
  <c r="D229" i="9"/>
  <c r="K229" i="9"/>
  <c r="C229" i="9"/>
  <c r="C225" i="6"/>
  <c r="J225" i="6"/>
  <c r="D225" i="6"/>
  <c r="C221" i="6"/>
  <c r="J221" i="6"/>
  <c r="D221" i="6"/>
  <c r="D221" i="9"/>
  <c r="K221" i="9"/>
  <c r="C221" i="9"/>
  <c r="C217" i="6"/>
  <c r="J217" i="6"/>
  <c r="D217" i="6"/>
  <c r="C213" i="6"/>
  <c r="J213" i="6"/>
  <c r="D213" i="6"/>
  <c r="C209" i="6"/>
  <c r="J209" i="6"/>
  <c r="D209" i="6"/>
  <c r="M332" i="5"/>
  <c r="C332" i="5"/>
  <c r="S505" i="11"/>
  <c r="Q505" i="11"/>
  <c r="S497" i="11"/>
  <c r="Q497" i="11"/>
  <c r="S489" i="11"/>
  <c r="Q489" i="11"/>
  <c r="S481" i="11"/>
  <c r="Q481" i="11"/>
  <c r="S494" i="11"/>
  <c r="Q494" i="11"/>
  <c r="S478" i="11"/>
  <c r="Q478" i="11"/>
  <c r="Q385" i="11"/>
  <c r="S385" i="11"/>
  <c r="Q381" i="11"/>
  <c r="S381" i="11"/>
  <c r="Q377" i="11"/>
  <c r="S377" i="11"/>
  <c r="Q373" i="11"/>
  <c r="S373" i="11"/>
  <c r="Q369" i="11"/>
  <c r="S369" i="11"/>
  <c r="Q365" i="11"/>
  <c r="S365" i="11"/>
  <c r="Q361" i="11"/>
  <c r="S361" i="11"/>
  <c r="Q357" i="11"/>
  <c r="S357" i="11"/>
  <c r="Q347" i="11"/>
  <c r="S347" i="11"/>
  <c r="Q350" i="11"/>
  <c r="S350" i="11"/>
  <c r="Q337" i="11"/>
  <c r="S337" i="11"/>
  <c r="Q329" i="11"/>
  <c r="Q341" i="11"/>
  <c r="S341" i="11"/>
  <c r="S496" i="11"/>
  <c r="Q496" i="11"/>
  <c r="S480" i="11"/>
  <c r="Q480" i="11"/>
  <c r="Q348" i="11"/>
  <c r="S348" i="11"/>
  <c r="Q336" i="11"/>
  <c r="S336" i="11"/>
  <c r="Q328" i="11"/>
  <c r="S328" i="11"/>
  <c r="S270" i="11"/>
  <c r="Q270" i="11"/>
  <c r="S275" i="11"/>
  <c r="Q264" i="11"/>
  <c r="S264" i="11"/>
  <c r="S263" i="11"/>
  <c r="Q263" i="11"/>
  <c r="Q255" i="11"/>
  <c r="S255" i="11"/>
  <c r="Q239" i="11"/>
  <c r="S239" i="11"/>
  <c r="Q223" i="11"/>
  <c r="S223" i="11"/>
  <c r="Q256" i="11"/>
  <c r="S256" i="11"/>
  <c r="Q252" i="11"/>
  <c r="S252" i="11"/>
  <c r="Q248" i="11"/>
  <c r="S248" i="11"/>
  <c r="Q244" i="11"/>
  <c r="S244" i="11"/>
  <c r="Q240" i="11"/>
  <c r="S240" i="11"/>
  <c r="Q236" i="11"/>
  <c r="S236" i="11"/>
  <c r="Q232" i="11"/>
  <c r="S232" i="11"/>
  <c r="Q228" i="11"/>
  <c r="S228" i="11"/>
  <c r="Q224" i="11"/>
  <c r="S224" i="11"/>
  <c r="Q220" i="11"/>
  <c r="S220" i="11"/>
  <c r="S503" i="11"/>
  <c r="Q503" i="11"/>
  <c r="S495" i="11"/>
  <c r="Q495" i="11"/>
  <c r="S487" i="11"/>
  <c r="Q487" i="11"/>
  <c r="S479" i="11"/>
  <c r="Q479" i="11"/>
  <c r="S506" i="11"/>
  <c r="Q506" i="11"/>
  <c r="S490" i="11"/>
  <c r="Q490" i="11"/>
  <c r="S474" i="11"/>
  <c r="Q474" i="11"/>
  <c r="Q384" i="11"/>
  <c r="S384" i="11"/>
  <c r="Q380" i="11"/>
  <c r="S380" i="11"/>
  <c r="Q376" i="11"/>
  <c r="S376" i="11"/>
  <c r="Q372" i="11"/>
  <c r="S372" i="11"/>
  <c r="Q368" i="11"/>
  <c r="S368" i="11"/>
  <c r="Q364" i="11"/>
  <c r="S364" i="11"/>
  <c r="Q356" i="11"/>
  <c r="S356" i="11"/>
  <c r="S504" i="11"/>
  <c r="Q504" i="11"/>
  <c r="Q343" i="11"/>
  <c r="S343" i="11"/>
  <c r="Q346" i="11"/>
  <c r="S346" i="11"/>
  <c r="Q335" i="11"/>
  <c r="S335" i="11"/>
  <c r="Q327" i="11"/>
  <c r="S327" i="11"/>
  <c r="Q353" i="11"/>
  <c r="S353" i="11"/>
  <c r="S492" i="11"/>
  <c r="Q492" i="11"/>
  <c r="S476" i="11"/>
  <c r="Q476" i="11"/>
  <c r="Q334" i="11"/>
  <c r="S334" i="11"/>
  <c r="S277" i="11"/>
  <c r="Q277" i="11"/>
  <c r="S261" i="11"/>
  <c r="Q261" i="11"/>
  <c r="Q258" i="11"/>
  <c r="S258" i="11"/>
  <c r="Q254" i="11"/>
  <c r="S254" i="11"/>
  <c r="Q250" i="11"/>
  <c r="S250" i="11"/>
  <c r="Q246" i="11"/>
  <c r="S246" i="11"/>
  <c r="Q242" i="11"/>
  <c r="S242" i="11"/>
  <c r="Q238" i="11"/>
  <c r="S238" i="11"/>
  <c r="Q234" i="11"/>
  <c r="S234" i="11"/>
  <c r="Q230" i="11"/>
  <c r="S230" i="11"/>
  <c r="Q226" i="11"/>
  <c r="S226" i="11"/>
  <c r="Q222" i="11"/>
  <c r="S222" i="11"/>
  <c r="Q218" i="11"/>
  <c r="S218" i="11"/>
  <c r="Q251" i="11"/>
  <c r="S251" i="11"/>
  <c r="Q235" i="11"/>
  <c r="S235" i="11"/>
  <c r="Q219" i="11"/>
  <c r="S219" i="11"/>
  <c r="Q268" i="11"/>
  <c r="S268" i="11"/>
  <c r="Q260" i="11"/>
  <c r="S260" i="11"/>
  <c r="S501" i="11"/>
  <c r="Q501" i="11"/>
  <c r="S493" i="11"/>
  <c r="Q493" i="11"/>
  <c r="S485" i="11"/>
  <c r="Q485" i="11"/>
  <c r="S477" i="11"/>
  <c r="Q477" i="11"/>
  <c r="S502" i="11"/>
  <c r="Q502" i="11"/>
  <c r="Q383" i="11"/>
  <c r="S383" i="11"/>
  <c r="Q379" i="11"/>
  <c r="S379" i="11"/>
  <c r="Q375" i="11"/>
  <c r="S375" i="11"/>
  <c r="Q371" i="11"/>
  <c r="S371" i="11"/>
  <c r="Q367" i="11"/>
  <c r="S367" i="11"/>
  <c r="Q363" i="11"/>
  <c r="S363" i="11"/>
  <c r="Q359" i="11"/>
  <c r="S359" i="11"/>
  <c r="Q342" i="11"/>
  <c r="Q333" i="11"/>
  <c r="S333" i="11"/>
  <c r="Q325" i="11"/>
  <c r="S325" i="11"/>
  <c r="Q349" i="11"/>
  <c r="S349" i="11"/>
  <c r="S299" i="11"/>
  <c r="Q299" i="11"/>
  <c r="S488" i="11"/>
  <c r="Q488" i="11"/>
  <c r="Q340" i="11"/>
  <c r="S340" i="11"/>
  <c r="Q332" i="11"/>
  <c r="S332" i="11"/>
  <c r="S276" i="11"/>
  <c r="Q276" i="11"/>
  <c r="S274" i="11"/>
  <c r="Q274" i="11"/>
  <c r="S266" i="11"/>
  <c r="Q266" i="11"/>
  <c r="Q278" i="11"/>
  <c r="S278" i="11"/>
  <c r="S262" i="11"/>
  <c r="Q262" i="11"/>
  <c r="Q272" i="11"/>
  <c r="S272" i="11"/>
  <c r="Q215" i="11"/>
  <c r="S215" i="11"/>
  <c r="Q247" i="11"/>
  <c r="S247" i="11"/>
  <c r="Q231" i="11"/>
  <c r="S231" i="11"/>
  <c r="Q257" i="11"/>
  <c r="S257" i="11"/>
  <c r="Q253" i="11"/>
  <c r="Q249" i="11"/>
  <c r="S249" i="11"/>
  <c r="Q245" i="11"/>
  <c r="Q241" i="11"/>
  <c r="S241" i="11"/>
  <c r="Q237" i="11"/>
  <c r="Q233" i="11"/>
  <c r="S233" i="11"/>
  <c r="Q229" i="11"/>
  <c r="S229" i="11"/>
  <c r="Q225" i="11"/>
  <c r="S225" i="11"/>
  <c r="Q221" i="11"/>
  <c r="Q217" i="11"/>
  <c r="S217" i="11"/>
  <c r="S507" i="11"/>
  <c r="Q507" i="11"/>
  <c r="S499" i="11"/>
  <c r="Q499" i="11"/>
  <c r="S491" i="11"/>
  <c r="Q491" i="11"/>
  <c r="S483" i="11"/>
  <c r="Q483" i="11"/>
  <c r="S475" i="11"/>
  <c r="Q475" i="11"/>
  <c r="S498" i="11"/>
  <c r="Q498" i="11"/>
  <c r="S482" i="11"/>
  <c r="Q482" i="11"/>
  <c r="S386" i="11"/>
  <c r="Q386" i="11"/>
  <c r="Q382" i="11"/>
  <c r="S382" i="11"/>
  <c r="Q378" i="11"/>
  <c r="S378" i="11"/>
  <c r="Q374" i="11"/>
  <c r="S374" i="11"/>
  <c r="Q370" i="11"/>
  <c r="S370" i="11"/>
  <c r="Q366" i="11"/>
  <c r="S366" i="11"/>
  <c r="Q362" i="11"/>
  <c r="S362" i="11"/>
  <c r="Q358" i="11"/>
  <c r="S358" i="11"/>
  <c r="Q351" i="11"/>
  <c r="S351" i="11"/>
  <c r="Q354" i="11"/>
  <c r="S354" i="11"/>
  <c r="Q339" i="11"/>
  <c r="S339" i="11"/>
  <c r="Q331" i="11"/>
  <c r="S331" i="11"/>
  <c r="Q345" i="11"/>
  <c r="S345" i="11"/>
  <c r="S500" i="11"/>
  <c r="Q500" i="11"/>
  <c r="S484" i="11"/>
  <c r="Q484" i="11"/>
  <c r="Q352" i="11"/>
  <c r="S352" i="11"/>
  <c r="Q338" i="11"/>
  <c r="S338" i="11"/>
  <c r="Q330" i="11"/>
  <c r="S330" i="11"/>
  <c r="S279" i="11"/>
  <c r="Q279" i="11"/>
  <c r="S271" i="11"/>
  <c r="Q271" i="11"/>
  <c r="Q243" i="11"/>
  <c r="S243" i="11"/>
  <c r="Q227" i="11"/>
  <c r="S227" i="11"/>
  <c r="Q216" i="11"/>
  <c r="S216" i="11"/>
  <c r="C104" i="12" a="1"/>
  <c r="C104" i="12" s="1"/>
  <c r="D104" i="12" a="1"/>
  <c r="D104" i="12" s="1"/>
  <c r="B117" i="12" a="1"/>
  <c r="B117" i="12" s="1"/>
  <c r="L8" i="7"/>
  <c r="C8" i="7"/>
  <c r="L13" i="7"/>
  <c r="C13" i="7"/>
  <c r="L14" i="7"/>
  <c r="C14" i="7"/>
  <c r="L16" i="7"/>
  <c r="C16" i="7"/>
  <c r="L17" i="7"/>
  <c r="C17" i="7"/>
  <c r="L26" i="7"/>
  <c r="C26" i="7"/>
  <c r="L32" i="7"/>
  <c r="C32" i="7"/>
  <c r="L33" i="7"/>
  <c r="C33" i="7"/>
  <c r="L38" i="7"/>
  <c r="C38" i="7"/>
  <c r="L43" i="7"/>
  <c r="C43" i="7"/>
  <c r="L53" i="7"/>
  <c r="C53" i="7"/>
  <c r="L54" i="7"/>
  <c r="C54" i="7"/>
  <c r="L55" i="7"/>
  <c r="C55" i="7"/>
  <c r="L63" i="7"/>
  <c r="C63" i="7"/>
  <c r="L64" i="7"/>
  <c r="C64" i="7"/>
  <c r="L70" i="7"/>
  <c r="C70" i="7"/>
  <c r="L77" i="7"/>
  <c r="C77" i="7"/>
  <c r="L78" i="7"/>
  <c r="C78" i="7"/>
  <c r="L79" i="7"/>
  <c r="C79" i="7"/>
  <c r="L81" i="7"/>
  <c r="C81" i="7"/>
  <c r="L84" i="7"/>
  <c r="C84" i="7"/>
  <c r="L87" i="7"/>
  <c r="C87" i="7"/>
  <c r="L99" i="7"/>
  <c r="C99" i="7"/>
  <c r="L100" i="7"/>
  <c r="C100" i="7"/>
  <c r="L101" i="7"/>
  <c r="C101" i="7"/>
  <c r="L102" i="7"/>
  <c r="C102" i="7"/>
  <c r="L105" i="7"/>
  <c r="C105" i="7"/>
  <c r="L110" i="7"/>
  <c r="C110" i="7"/>
  <c r="L115" i="7"/>
  <c r="C115" i="7"/>
  <c r="L116" i="7"/>
  <c r="C116" i="7"/>
  <c r="L119" i="7"/>
  <c r="C119" i="7"/>
  <c r="L121" i="7"/>
  <c r="C121" i="7"/>
  <c r="L122" i="7"/>
  <c r="C122" i="7"/>
  <c r="L124" i="7"/>
  <c r="C124" i="7"/>
  <c r="L127" i="7"/>
  <c r="C127" i="7"/>
  <c r="L128" i="7"/>
  <c r="C128" i="7"/>
  <c r="L129" i="7"/>
  <c r="C129" i="7"/>
  <c r="L130" i="7"/>
  <c r="C130" i="7"/>
  <c r="L141" i="7"/>
  <c r="C141" i="7"/>
  <c r="L144" i="7"/>
  <c r="C144" i="7"/>
  <c r="L145" i="7"/>
  <c r="C145" i="7"/>
  <c r="L146" i="7"/>
  <c r="C146" i="7"/>
  <c r="L147" i="7"/>
  <c r="C147" i="7"/>
  <c r="L156" i="7"/>
  <c r="C156" i="7"/>
  <c r="L170" i="7"/>
  <c r="C170" i="7"/>
  <c r="L186" i="7"/>
  <c r="C186" i="7"/>
  <c r="L188" i="7"/>
  <c r="C188" i="7"/>
  <c r="L190" i="7"/>
  <c r="C190" i="7"/>
  <c r="L194" i="7"/>
  <c r="C194" i="7"/>
  <c r="L204" i="7"/>
  <c r="C204" i="7"/>
  <c r="L206" i="7"/>
  <c r="C206" i="7"/>
  <c r="L15" i="7"/>
  <c r="C15" i="7"/>
  <c r="L20" i="7"/>
  <c r="C20" i="7"/>
  <c r="L28" i="7"/>
  <c r="C28" i="7"/>
  <c r="L39" i="7"/>
  <c r="C39" i="7"/>
  <c r="L41" i="7"/>
  <c r="C41" i="7"/>
  <c r="L48" i="7"/>
  <c r="C48" i="7"/>
  <c r="L49" i="7"/>
  <c r="C49" i="7"/>
  <c r="L57" i="7"/>
  <c r="C57" i="7"/>
  <c r="L59" i="7"/>
  <c r="C59" i="7"/>
  <c r="L65" i="7"/>
  <c r="C65" i="7"/>
  <c r="L75" i="7"/>
  <c r="C75" i="7"/>
  <c r="L82" i="7"/>
  <c r="C82" i="7"/>
  <c r="L83" i="7"/>
  <c r="C83" i="7"/>
  <c r="L92" i="7"/>
  <c r="C92" i="7"/>
  <c r="L95" i="7"/>
  <c r="C95" i="7"/>
  <c r="L96" i="7"/>
  <c r="C96" i="7"/>
  <c r="L97" i="7"/>
  <c r="C97" i="7"/>
  <c r="L98" i="7"/>
  <c r="C98" i="7"/>
  <c r="L103" i="7"/>
  <c r="C103" i="7"/>
  <c r="L104" i="7"/>
  <c r="C104" i="7"/>
  <c r="L107" i="7"/>
  <c r="C107" i="7"/>
  <c r="L117" i="7"/>
  <c r="C117" i="7"/>
  <c r="L136" i="7"/>
  <c r="C136" i="7"/>
  <c r="L139" i="7"/>
  <c r="C139" i="7"/>
  <c r="L140" i="7"/>
  <c r="C140" i="7"/>
  <c r="L143" i="7"/>
  <c r="C143" i="7"/>
  <c r="L148" i="7"/>
  <c r="C148" i="7"/>
  <c r="L152" i="7"/>
  <c r="C152" i="7"/>
  <c r="L153" i="7"/>
  <c r="C153" i="7"/>
  <c r="L155" i="7"/>
  <c r="C155" i="7"/>
  <c r="L167" i="7"/>
  <c r="C167" i="7"/>
  <c r="L168" i="7"/>
  <c r="C168" i="7"/>
  <c r="L171" i="7"/>
  <c r="C171" i="7"/>
  <c r="L175" i="7"/>
  <c r="C175" i="7"/>
  <c r="L177" i="7"/>
  <c r="C177" i="7"/>
  <c r="L181" i="7"/>
  <c r="C181" i="7"/>
  <c r="L183" i="7"/>
  <c r="C183" i="7"/>
  <c r="L195" i="7"/>
  <c r="C195" i="7"/>
  <c r="L197" i="7"/>
  <c r="C197" i="7"/>
  <c r="L199" i="7"/>
  <c r="C199" i="7"/>
  <c r="L201" i="7"/>
  <c r="C201" i="7"/>
  <c r="L203" i="7"/>
  <c r="C203" i="7"/>
  <c r="L207" i="7"/>
  <c r="C207" i="7"/>
  <c r="L12" i="7"/>
  <c r="C12" i="7"/>
  <c r="L18" i="7"/>
  <c r="C18" i="7"/>
  <c r="L27" i="7"/>
  <c r="C27" i="7"/>
  <c r="L9" i="7"/>
  <c r="C9" i="7"/>
  <c r="L10" i="7"/>
  <c r="C10" i="7"/>
  <c r="L11" i="7"/>
  <c r="C11" i="7"/>
  <c r="L19" i="7"/>
  <c r="C19" i="7"/>
  <c r="L21" i="7"/>
  <c r="C21" i="7"/>
  <c r="L22" i="7"/>
  <c r="C22" i="7"/>
  <c r="L24" i="7"/>
  <c r="C24" i="7"/>
  <c r="L29" i="7"/>
  <c r="C29" i="7"/>
  <c r="L30" i="7"/>
  <c r="C30" i="7"/>
  <c r="L36" i="7"/>
  <c r="C36" i="7"/>
  <c r="L40" i="7"/>
  <c r="C40" i="7"/>
  <c r="L42" i="7"/>
  <c r="C42" i="7"/>
  <c r="L46" i="7"/>
  <c r="C46" i="7"/>
  <c r="L61" i="7"/>
  <c r="C61" i="7"/>
  <c r="L66" i="7"/>
  <c r="C66" i="7"/>
  <c r="L68" i="7"/>
  <c r="C68" i="7"/>
  <c r="L72" i="7"/>
  <c r="C72" i="7"/>
  <c r="L73" i="7"/>
  <c r="C73" i="7"/>
  <c r="L76" i="7"/>
  <c r="C76" i="7"/>
  <c r="L108" i="7"/>
  <c r="C108" i="7"/>
  <c r="L112" i="7"/>
  <c r="C112" i="7"/>
  <c r="L118" i="7"/>
  <c r="C118" i="7"/>
  <c r="L120" i="7"/>
  <c r="C120" i="7"/>
  <c r="L125" i="7"/>
  <c r="C125" i="7"/>
  <c r="L126" i="7"/>
  <c r="C126" i="7"/>
  <c r="L131" i="7"/>
  <c r="C131" i="7"/>
  <c r="L132" i="7"/>
  <c r="C132" i="7"/>
  <c r="L133" i="7"/>
  <c r="C133" i="7"/>
  <c r="L137" i="7"/>
  <c r="C137" i="7"/>
  <c r="L142" i="7"/>
  <c r="C142" i="7"/>
  <c r="L149" i="7"/>
  <c r="C149" i="7"/>
  <c r="L150" i="7"/>
  <c r="C150" i="7"/>
  <c r="L151" i="7"/>
  <c r="C151" i="7"/>
  <c r="L158" i="7"/>
  <c r="C158" i="7"/>
  <c r="L159" i="7"/>
  <c r="C159" i="7"/>
  <c r="L161" i="7"/>
  <c r="C161" i="7"/>
  <c r="L162" i="7"/>
  <c r="C162" i="7"/>
  <c r="L164" i="7"/>
  <c r="C164" i="7"/>
  <c r="L165" i="7"/>
  <c r="C165" i="7"/>
  <c r="L166" i="7"/>
  <c r="C166" i="7"/>
  <c r="L169" i="7"/>
  <c r="C169" i="7"/>
  <c r="L173" i="7"/>
  <c r="C173" i="7"/>
  <c r="L179" i="7"/>
  <c r="C179" i="7"/>
  <c r="L185" i="7"/>
  <c r="C185" i="7"/>
  <c r="L187" i="7"/>
  <c r="C187" i="7"/>
  <c r="L189" i="7"/>
  <c r="C189" i="7"/>
  <c r="L191" i="7"/>
  <c r="C191" i="7"/>
  <c r="L193" i="7"/>
  <c r="C193" i="7"/>
  <c r="L205" i="7"/>
  <c r="C205" i="7"/>
  <c r="L23" i="7"/>
  <c r="C23" i="7"/>
  <c r="L25" i="7"/>
  <c r="C25" i="7"/>
  <c r="L31" i="7"/>
  <c r="C31" i="7"/>
  <c r="L34" i="7"/>
  <c r="C34" i="7"/>
  <c r="L35" i="7"/>
  <c r="C35" i="7"/>
  <c r="L37" i="7"/>
  <c r="C37" i="7"/>
  <c r="L44" i="7"/>
  <c r="C44" i="7"/>
  <c r="L45" i="7"/>
  <c r="C45" i="7"/>
  <c r="L47" i="7"/>
  <c r="C47" i="7"/>
  <c r="L50" i="7"/>
  <c r="C50" i="7"/>
  <c r="L51" i="7"/>
  <c r="C51" i="7"/>
  <c r="L52" i="7"/>
  <c r="C52" i="7"/>
  <c r="L56" i="7"/>
  <c r="C56" i="7"/>
  <c r="L58" i="7"/>
  <c r="C58" i="7"/>
  <c r="L60" i="7"/>
  <c r="C60" i="7"/>
  <c r="L62" i="7"/>
  <c r="C62" i="7"/>
  <c r="L67" i="7"/>
  <c r="C67" i="7"/>
  <c r="L69" i="7"/>
  <c r="C69" i="7"/>
  <c r="L71" i="7"/>
  <c r="C71" i="7"/>
  <c r="L74" i="7"/>
  <c r="C74" i="7"/>
  <c r="L80" i="7"/>
  <c r="C80" i="7"/>
  <c r="L85" i="7"/>
  <c r="C85" i="7"/>
  <c r="L86" i="7"/>
  <c r="C86" i="7"/>
  <c r="L88" i="7"/>
  <c r="C88" i="7"/>
  <c r="L89" i="7"/>
  <c r="C89" i="7"/>
  <c r="L90" i="7"/>
  <c r="C90" i="7"/>
  <c r="L91" i="7"/>
  <c r="C91" i="7"/>
  <c r="L93" i="7"/>
  <c r="C93" i="7"/>
  <c r="L94" i="7"/>
  <c r="C94" i="7"/>
  <c r="L106" i="7"/>
  <c r="C106" i="7"/>
  <c r="L109" i="7"/>
  <c r="C109" i="7"/>
  <c r="L111" i="7"/>
  <c r="C111" i="7"/>
  <c r="L113" i="7"/>
  <c r="C113" i="7"/>
  <c r="L114" i="7"/>
  <c r="C114" i="7"/>
  <c r="L123" i="7"/>
  <c r="C123" i="7"/>
  <c r="L134" i="7"/>
  <c r="C134" i="7"/>
  <c r="L135" i="7"/>
  <c r="C135" i="7"/>
  <c r="L138" i="7"/>
  <c r="C138" i="7"/>
  <c r="L154" i="7"/>
  <c r="C154" i="7"/>
  <c r="L157" i="7"/>
  <c r="C157" i="7"/>
  <c r="L160" i="7"/>
  <c r="C160" i="7"/>
  <c r="L163" i="7"/>
  <c r="C163" i="7"/>
  <c r="L172" i="7"/>
  <c r="C172" i="7"/>
  <c r="L174" i="7"/>
  <c r="C174" i="7"/>
  <c r="L176" i="7"/>
  <c r="C176" i="7"/>
  <c r="L178" i="7"/>
  <c r="C178" i="7"/>
  <c r="L180" i="7"/>
  <c r="C180" i="7"/>
  <c r="L182" i="7"/>
  <c r="C182" i="7"/>
  <c r="L184" i="7"/>
  <c r="C184" i="7"/>
  <c r="L192" i="7"/>
  <c r="C192" i="7"/>
  <c r="L196" i="7"/>
  <c r="C196" i="7"/>
  <c r="L198" i="7"/>
  <c r="C198" i="7"/>
  <c r="L200" i="7"/>
  <c r="C200" i="7"/>
  <c r="L202" i="7"/>
  <c r="C202" i="7"/>
  <c r="J26" i="8"/>
  <c r="J29" i="8"/>
  <c r="J38" i="8"/>
  <c r="J39" i="8"/>
  <c r="J42" i="8"/>
  <c r="J43" i="8"/>
  <c r="J44" i="8"/>
  <c r="J46" i="8"/>
  <c r="J47" i="8"/>
  <c r="J48" i="8"/>
  <c r="J50" i="8"/>
  <c r="J51" i="8"/>
  <c r="J52" i="8"/>
  <c r="J54" i="8"/>
  <c r="J55" i="8"/>
  <c r="J56" i="8"/>
  <c r="J59" i="8"/>
  <c r="J60" i="8"/>
  <c r="J62" i="8"/>
  <c r="J63" i="8"/>
  <c r="J66" i="8"/>
  <c r="J67" i="8"/>
  <c r="J68" i="8"/>
  <c r="J70" i="8"/>
  <c r="J71" i="8"/>
  <c r="J72" i="8"/>
  <c r="J74" i="8"/>
  <c r="J75" i="8"/>
  <c r="J76" i="8"/>
  <c r="J78" i="8"/>
  <c r="J79" i="8"/>
  <c r="J80" i="8"/>
  <c r="J82" i="8"/>
  <c r="J84" i="8"/>
  <c r="J86" i="8"/>
  <c r="J87" i="8"/>
  <c r="J88" i="8"/>
  <c r="J89" i="8"/>
  <c r="J90" i="8"/>
  <c r="J91" i="8"/>
  <c r="J92" i="8"/>
  <c r="J94" i="8"/>
  <c r="J95" i="8"/>
  <c r="J96" i="8"/>
  <c r="J98" i="8"/>
  <c r="J100" i="8"/>
  <c r="J102" i="8"/>
  <c r="J106" i="8"/>
  <c r="J108" i="8"/>
  <c r="J110" i="8"/>
  <c r="J111" i="8"/>
  <c r="J112" i="8"/>
  <c r="J114" i="8"/>
  <c r="J115" i="8"/>
  <c r="J116" i="8"/>
  <c r="J117" i="8"/>
  <c r="J118" i="8"/>
  <c r="J119" i="8"/>
  <c r="J120" i="8"/>
  <c r="J122" i="8"/>
  <c r="J123" i="8"/>
  <c r="J124" i="8"/>
  <c r="J126" i="8"/>
  <c r="J128" i="8"/>
  <c r="J129" i="8"/>
  <c r="J130" i="8"/>
  <c r="J131" i="8"/>
  <c r="J134" i="8"/>
  <c r="J136" i="8"/>
  <c r="J137" i="8"/>
  <c r="J138" i="8"/>
  <c r="N111" i="9"/>
  <c r="M121" i="4"/>
  <c r="J14" i="8"/>
  <c r="J10" i="8"/>
  <c r="J15" i="8"/>
  <c r="J9" i="8"/>
  <c r="M29" i="4"/>
  <c r="M133" i="4"/>
  <c r="M37" i="4"/>
  <c r="M97" i="4"/>
  <c r="M33" i="4"/>
  <c r="M45" i="4"/>
  <c r="M109" i="4"/>
  <c r="M148" i="4"/>
  <c r="N145" i="9"/>
  <c r="M65" i="4"/>
  <c r="M85" i="4"/>
  <c r="M166" i="4"/>
  <c r="M140" i="4"/>
  <c r="M156" i="4"/>
  <c r="M69" i="4"/>
  <c r="M101" i="4"/>
  <c r="N161" i="9"/>
  <c r="N131" i="9"/>
  <c r="M105" i="4"/>
  <c r="M164" i="4"/>
  <c r="N147" i="9"/>
  <c r="N115" i="9"/>
  <c r="M19" i="4"/>
  <c r="M75" i="4"/>
  <c r="M87" i="4"/>
  <c r="M119" i="4"/>
  <c r="M27" i="4"/>
  <c r="M107" i="4"/>
  <c r="M23" i="4"/>
  <c r="M103" i="4"/>
  <c r="M31" i="4"/>
  <c r="M21" i="4"/>
  <c r="M113" i="4"/>
  <c r="M137" i="4"/>
  <c r="M146" i="4"/>
  <c r="M150" i="4"/>
  <c r="M154" i="4"/>
  <c r="M158" i="4"/>
  <c r="M162" i="4"/>
  <c r="M168" i="4"/>
  <c r="N163" i="9"/>
  <c r="N159" i="9"/>
  <c r="N155" i="9"/>
  <c r="N151" i="9"/>
  <c r="N139" i="9"/>
  <c r="N127" i="9"/>
  <c r="N123" i="9"/>
  <c r="N119" i="9"/>
  <c r="N143" i="9"/>
  <c r="M11" i="4"/>
  <c r="M62" i="4"/>
  <c r="M207" i="4"/>
  <c r="M50" i="4"/>
  <c r="M94" i="4"/>
  <c r="M70" i="4"/>
  <c r="M126" i="4"/>
  <c r="M177" i="4"/>
  <c r="M201" i="4"/>
  <c r="M40" i="4"/>
  <c r="M56" i="4"/>
  <c r="M60" i="4"/>
  <c r="M96" i="4"/>
  <c r="M128" i="4"/>
  <c r="M174" i="4"/>
  <c r="M169" i="4"/>
  <c r="M24" i="4"/>
  <c r="M198" i="4"/>
  <c r="I154" i="10"/>
  <c r="I142" i="10"/>
  <c r="I140" i="10"/>
  <c r="K138" i="9"/>
  <c r="N138" i="9"/>
  <c r="K134" i="9"/>
  <c r="N134" i="9"/>
  <c r="M132" i="4"/>
  <c r="K130" i="9"/>
  <c r="N130" i="9"/>
  <c r="N126" i="9"/>
  <c r="M124" i="4"/>
  <c r="K122" i="9"/>
  <c r="N122" i="9"/>
  <c r="M120" i="4"/>
  <c r="K118" i="9"/>
  <c r="N118" i="9"/>
  <c r="K114" i="9"/>
  <c r="N114" i="9"/>
  <c r="K110" i="9"/>
  <c r="N110" i="9"/>
  <c r="M104" i="4"/>
  <c r="M88" i="4"/>
  <c r="M84" i="4"/>
  <c r="M68" i="4"/>
  <c r="M64" i="4"/>
  <c r="M52" i="4"/>
  <c r="M48" i="4"/>
  <c r="M44" i="4"/>
  <c r="M36" i="4"/>
  <c r="M32" i="4"/>
  <c r="M28" i="4"/>
  <c r="M20" i="4"/>
  <c r="M16" i="4"/>
  <c r="M12" i="4"/>
  <c r="M10" i="4"/>
  <c r="M194" i="4"/>
  <c r="K191" i="9"/>
  <c r="N191" i="9"/>
  <c r="K189" i="9"/>
  <c r="N189" i="9"/>
  <c r="K187" i="9"/>
  <c r="N187" i="9"/>
  <c r="K183" i="9"/>
  <c r="N183" i="9"/>
  <c r="M182" i="4"/>
  <c r="M178" i="4"/>
  <c r="N175" i="9"/>
  <c r="K173" i="9"/>
  <c r="N173" i="9"/>
  <c r="K169" i="9"/>
  <c r="N169" i="9"/>
  <c r="I168" i="10"/>
  <c r="I162" i="10"/>
  <c r="I160" i="10"/>
  <c r="I158" i="10"/>
  <c r="I156" i="10"/>
  <c r="I150" i="10"/>
  <c r="M80" i="4"/>
  <c r="M112" i="4"/>
  <c r="M186" i="4"/>
  <c r="M188" i="4"/>
  <c r="K185" i="9"/>
  <c r="N185" i="9"/>
  <c r="K181" i="9"/>
  <c r="N181" i="9"/>
  <c r="K179" i="9"/>
  <c r="N179" i="9"/>
  <c r="K177" i="9"/>
  <c r="N177" i="9"/>
  <c r="M176" i="4"/>
  <c r="M172" i="4"/>
  <c r="K171" i="9"/>
  <c r="N171" i="9"/>
  <c r="I166" i="10"/>
  <c r="I164" i="10"/>
  <c r="I152" i="10"/>
  <c r="I148" i="10"/>
  <c r="I146" i="10"/>
  <c r="I144" i="10"/>
  <c r="M136" i="4"/>
  <c r="M72" i="4"/>
  <c r="M76" i="4"/>
  <c r="M100" i="4"/>
  <c r="M108" i="4"/>
  <c r="M170" i="4"/>
  <c r="M180" i="4"/>
  <c r="M204" i="4"/>
  <c r="M179" i="4"/>
  <c r="M187" i="4"/>
  <c r="M206" i="4"/>
  <c r="M15" i="4"/>
  <c r="M26" i="4"/>
  <c r="M175" i="4"/>
  <c r="N174" i="9"/>
  <c r="M13" i="4"/>
  <c r="M130" i="4"/>
  <c r="M189" i="4"/>
  <c r="M202" i="4"/>
  <c r="M199" i="4"/>
  <c r="M197" i="4"/>
  <c r="M195" i="4"/>
  <c r="M193" i="4"/>
  <c r="M191" i="4"/>
  <c r="K190" i="9"/>
  <c r="N190" i="9"/>
  <c r="K188" i="9"/>
  <c r="N186" i="9"/>
  <c r="K184" i="9"/>
  <c r="N184" i="9"/>
  <c r="K182" i="9"/>
  <c r="N182" i="9"/>
  <c r="K180" i="9"/>
  <c r="N180" i="9"/>
  <c r="K178" i="9"/>
  <c r="N178" i="9"/>
  <c r="K176" i="9"/>
  <c r="K172" i="9"/>
  <c r="N172" i="9"/>
  <c r="K170" i="9"/>
  <c r="N170" i="9"/>
  <c r="I167" i="10"/>
  <c r="I165" i="10"/>
  <c r="I163" i="10"/>
  <c r="I161" i="10"/>
  <c r="I159" i="10"/>
  <c r="I157" i="10"/>
  <c r="I155" i="10"/>
  <c r="I153" i="10"/>
  <c r="K136" i="9"/>
  <c r="N136" i="9"/>
  <c r="M134" i="4"/>
  <c r="K132" i="9"/>
  <c r="N132" i="9"/>
  <c r="K128" i="9"/>
  <c r="N128" i="9"/>
  <c r="M118" i="4"/>
  <c r="K112" i="9"/>
  <c r="N112" i="9"/>
  <c r="M110" i="4"/>
  <c r="M106" i="4"/>
  <c r="M98" i="4"/>
  <c r="M86" i="4"/>
  <c r="M78" i="4"/>
  <c r="M74" i="4"/>
  <c r="M66" i="4"/>
  <c r="M54" i="4"/>
  <c r="M46" i="4"/>
  <c r="M42" i="4"/>
  <c r="M34" i="4"/>
  <c r="M30" i="4"/>
  <c r="M18" i="4"/>
  <c r="M205" i="4"/>
  <c r="N167" i="9"/>
  <c r="N165" i="9"/>
  <c r="N157" i="9"/>
  <c r="N153" i="9"/>
  <c r="N141" i="9"/>
  <c r="N135" i="9"/>
  <c r="M167" i="4"/>
  <c r="M165" i="4"/>
  <c r="K160" i="9"/>
  <c r="N160" i="9"/>
  <c r="M159" i="4"/>
  <c r="M157" i="4"/>
  <c r="K156" i="9"/>
  <c r="N156" i="9"/>
  <c r="M155" i="4"/>
  <c r="K154" i="9"/>
  <c r="M153" i="4"/>
  <c r="K152" i="9"/>
  <c r="N152" i="9"/>
  <c r="M151" i="4"/>
  <c r="M149" i="4"/>
  <c r="K146" i="9"/>
  <c r="N146" i="9"/>
  <c r="M47" i="4"/>
  <c r="M95" i="4"/>
  <c r="M111" i="4"/>
  <c r="M203" i="4"/>
  <c r="N158" i="9"/>
  <c r="N154" i="9"/>
  <c r="K168" i="9"/>
  <c r="N168" i="9"/>
  <c r="K166" i="9"/>
  <c r="N166" i="9"/>
  <c r="K164" i="9"/>
  <c r="N164" i="9"/>
  <c r="M163" i="4"/>
  <c r="K162" i="9"/>
  <c r="N162" i="9"/>
  <c r="M161" i="4"/>
  <c r="K150" i="9"/>
  <c r="N150" i="9"/>
  <c r="K148" i="9"/>
  <c r="N148" i="9"/>
  <c r="M147" i="4"/>
  <c r="M145" i="4"/>
  <c r="K144" i="9"/>
  <c r="N144" i="9"/>
  <c r="M143" i="4"/>
  <c r="K142" i="9"/>
  <c r="N142" i="9"/>
  <c r="M141" i="4"/>
  <c r="K140" i="9"/>
  <c r="N140" i="9"/>
  <c r="M139" i="4"/>
  <c r="K137" i="9"/>
  <c r="N137" i="9"/>
  <c r="M135" i="4"/>
  <c r="K133" i="9"/>
  <c r="N133" i="9"/>
  <c r="M131" i="4"/>
  <c r="K129" i="9"/>
  <c r="N129" i="9"/>
  <c r="K125" i="9"/>
  <c r="N125" i="9"/>
  <c r="K121" i="9"/>
  <c r="K117" i="9"/>
  <c r="N117" i="9"/>
  <c r="K113" i="9"/>
  <c r="N113" i="9"/>
  <c r="G36" i="3"/>
  <c r="H36" i="3"/>
  <c r="I36" i="3"/>
  <c r="J36" i="3"/>
  <c r="K36" i="3"/>
  <c r="L36" i="3"/>
  <c r="G37" i="3"/>
  <c r="H37" i="3"/>
  <c r="I37" i="3"/>
  <c r="J37" i="3"/>
  <c r="K37" i="3"/>
  <c r="L37" i="3"/>
  <c r="G38" i="3"/>
  <c r="H38" i="3"/>
  <c r="I38" i="3"/>
  <c r="J38" i="3"/>
  <c r="K38" i="3"/>
  <c r="L38" i="3"/>
  <c r="G39" i="3"/>
  <c r="H39" i="3"/>
  <c r="I39" i="3"/>
  <c r="J39" i="3"/>
  <c r="K39" i="3"/>
  <c r="L39" i="3"/>
  <c r="G40" i="3"/>
  <c r="H40" i="3"/>
  <c r="I40" i="3"/>
  <c r="J40" i="3"/>
  <c r="K40" i="3"/>
  <c r="L40" i="3"/>
  <c r="G41" i="3"/>
  <c r="H41" i="3"/>
  <c r="I41" i="3"/>
  <c r="J41" i="3"/>
  <c r="K41" i="3"/>
  <c r="L41" i="3"/>
  <c r="G42" i="3"/>
  <c r="H42" i="3"/>
  <c r="I42" i="3"/>
  <c r="J42" i="3"/>
  <c r="K42" i="3"/>
  <c r="L42" i="3"/>
  <c r="G43" i="3"/>
  <c r="H43" i="3"/>
  <c r="I43" i="3"/>
  <c r="J43" i="3"/>
  <c r="K43" i="3"/>
  <c r="L43" i="3"/>
  <c r="G44" i="3"/>
  <c r="H44" i="3"/>
  <c r="I44" i="3"/>
  <c r="J44" i="3"/>
  <c r="K44" i="3"/>
  <c r="L44" i="3"/>
  <c r="G45" i="3"/>
  <c r="H45" i="3"/>
  <c r="I45" i="3"/>
  <c r="J45" i="3"/>
  <c r="K45" i="3"/>
  <c r="L45" i="3"/>
  <c r="G46" i="3"/>
  <c r="H46" i="3"/>
  <c r="I46" i="3"/>
  <c r="J46" i="3"/>
  <c r="K46" i="3"/>
  <c r="L46" i="3"/>
  <c r="G47" i="3"/>
  <c r="H47" i="3"/>
  <c r="I47" i="3"/>
  <c r="J47" i="3"/>
  <c r="K47" i="3"/>
  <c r="L47" i="3"/>
  <c r="G48" i="3"/>
  <c r="H48" i="3"/>
  <c r="I48" i="3"/>
  <c r="J48" i="3"/>
  <c r="K48" i="3"/>
  <c r="L48" i="3"/>
  <c r="G49" i="3"/>
  <c r="H49" i="3"/>
  <c r="I49" i="3"/>
  <c r="J49" i="3"/>
  <c r="K49" i="3"/>
  <c r="L49" i="3"/>
  <c r="G50" i="3"/>
  <c r="H50" i="3"/>
  <c r="I50" i="3"/>
  <c r="J50" i="3"/>
  <c r="K50" i="3"/>
  <c r="L50" i="3"/>
  <c r="G51" i="3"/>
  <c r="H51" i="3"/>
  <c r="I51" i="3"/>
  <c r="J51" i="3"/>
  <c r="K51" i="3"/>
  <c r="L51" i="3"/>
  <c r="G52" i="3"/>
  <c r="H52" i="3"/>
  <c r="I52" i="3"/>
  <c r="J52" i="3"/>
  <c r="K52" i="3"/>
  <c r="L52" i="3"/>
  <c r="G53" i="3"/>
  <c r="H53" i="3"/>
  <c r="I53" i="3"/>
  <c r="J53" i="3"/>
  <c r="K53" i="3"/>
  <c r="L53" i="3"/>
  <c r="G54" i="3"/>
  <c r="H54" i="3"/>
  <c r="I54" i="3"/>
  <c r="J54" i="3"/>
  <c r="K54" i="3"/>
  <c r="L54" i="3"/>
  <c r="G55" i="3"/>
  <c r="H55" i="3"/>
  <c r="I55" i="3"/>
  <c r="J55" i="3"/>
  <c r="K55" i="3"/>
  <c r="L55" i="3"/>
  <c r="G56" i="3"/>
  <c r="H56" i="3"/>
  <c r="I56" i="3"/>
  <c r="J56" i="3"/>
  <c r="K56" i="3"/>
  <c r="L56" i="3"/>
  <c r="G57" i="3"/>
  <c r="H57" i="3"/>
  <c r="I57" i="3"/>
  <c r="J57" i="3"/>
  <c r="K57" i="3"/>
  <c r="L57" i="3"/>
  <c r="G58" i="3"/>
  <c r="H58" i="3"/>
  <c r="I58" i="3"/>
  <c r="J58" i="3"/>
  <c r="K58" i="3"/>
  <c r="L58" i="3"/>
  <c r="G59" i="3"/>
  <c r="H59" i="3"/>
  <c r="I59" i="3"/>
  <c r="J59" i="3"/>
  <c r="K59" i="3"/>
  <c r="L59" i="3"/>
  <c r="G60" i="3"/>
  <c r="H60" i="3"/>
  <c r="I60" i="3"/>
  <c r="J60" i="3"/>
  <c r="K60" i="3"/>
  <c r="L60" i="3"/>
  <c r="G61" i="3"/>
  <c r="H61" i="3"/>
  <c r="I61" i="3"/>
  <c r="J61" i="3"/>
  <c r="K61" i="3"/>
  <c r="L61" i="3"/>
  <c r="G62" i="3"/>
  <c r="H62" i="3"/>
  <c r="I62" i="3"/>
  <c r="J62" i="3"/>
  <c r="K62" i="3"/>
  <c r="L62" i="3"/>
  <c r="G63" i="3"/>
  <c r="H63" i="3"/>
  <c r="I63" i="3"/>
  <c r="J63" i="3"/>
  <c r="K63" i="3"/>
  <c r="L63" i="3"/>
  <c r="G64" i="3"/>
  <c r="H64" i="3"/>
  <c r="I64" i="3"/>
  <c r="J64" i="3"/>
  <c r="K64" i="3"/>
  <c r="L64" i="3"/>
  <c r="G65" i="3"/>
  <c r="H65" i="3"/>
  <c r="I65" i="3"/>
  <c r="J65" i="3"/>
  <c r="K65" i="3"/>
  <c r="L65" i="3"/>
  <c r="G66" i="3"/>
  <c r="H66" i="3"/>
  <c r="I66" i="3"/>
  <c r="J66" i="3"/>
  <c r="K66" i="3"/>
  <c r="L66" i="3"/>
  <c r="G67" i="3"/>
  <c r="H67" i="3"/>
  <c r="I67" i="3"/>
  <c r="J67" i="3"/>
  <c r="K67" i="3"/>
  <c r="L67" i="3"/>
  <c r="G68" i="3"/>
  <c r="H68" i="3"/>
  <c r="I68" i="3"/>
  <c r="J68" i="3"/>
  <c r="K68" i="3"/>
  <c r="L68" i="3"/>
  <c r="G69" i="3"/>
  <c r="H69" i="3"/>
  <c r="I69" i="3"/>
  <c r="J69" i="3"/>
  <c r="K69" i="3"/>
  <c r="L69" i="3"/>
  <c r="G70" i="3"/>
  <c r="H70" i="3"/>
  <c r="I70" i="3"/>
  <c r="J70" i="3"/>
  <c r="K70" i="3"/>
  <c r="L70" i="3"/>
  <c r="G71" i="3"/>
  <c r="H71" i="3"/>
  <c r="I71" i="3"/>
  <c r="J71" i="3"/>
  <c r="K71" i="3"/>
  <c r="L71" i="3"/>
  <c r="G72" i="3"/>
  <c r="H72" i="3"/>
  <c r="I72" i="3"/>
  <c r="J72" i="3"/>
  <c r="K72" i="3"/>
  <c r="L72" i="3"/>
  <c r="G73" i="3"/>
  <c r="H73" i="3"/>
  <c r="I73" i="3"/>
  <c r="J73" i="3"/>
  <c r="K73" i="3"/>
  <c r="L73" i="3"/>
  <c r="G74" i="3"/>
  <c r="H74" i="3"/>
  <c r="I74" i="3"/>
  <c r="J74" i="3"/>
  <c r="K74" i="3"/>
  <c r="L74" i="3"/>
  <c r="G75" i="3"/>
  <c r="H75" i="3"/>
  <c r="I75" i="3"/>
  <c r="J75" i="3"/>
  <c r="K75" i="3"/>
  <c r="L75" i="3"/>
  <c r="G76" i="3"/>
  <c r="H76" i="3"/>
  <c r="I76" i="3"/>
  <c r="J76" i="3"/>
  <c r="K76" i="3"/>
  <c r="L76" i="3"/>
  <c r="G77" i="3"/>
  <c r="H77" i="3"/>
  <c r="I77" i="3"/>
  <c r="J77" i="3"/>
  <c r="K77" i="3"/>
  <c r="L77" i="3"/>
  <c r="G78" i="3"/>
  <c r="H78" i="3"/>
  <c r="I78" i="3"/>
  <c r="J78" i="3"/>
  <c r="K78" i="3"/>
  <c r="L78" i="3"/>
  <c r="G79" i="3"/>
  <c r="H79" i="3"/>
  <c r="I79" i="3"/>
  <c r="J79" i="3"/>
  <c r="K79" i="3"/>
  <c r="L79" i="3"/>
  <c r="G80" i="3"/>
  <c r="H80" i="3"/>
  <c r="I80" i="3"/>
  <c r="J80" i="3"/>
  <c r="K80" i="3"/>
  <c r="L80" i="3"/>
  <c r="G81" i="3"/>
  <c r="H81" i="3"/>
  <c r="I81" i="3"/>
  <c r="J81" i="3"/>
  <c r="K81" i="3"/>
  <c r="L81" i="3"/>
  <c r="G82" i="3"/>
  <c r="H82" i="3"/>
  <c r="I82" i="3"/>
  <c r="J82" i="3"/>
  <c r="K82" i="3"/>
  <c r="L82" i="3"/>
  <c r="G83" i="3"/>
  <c r="H83" i="3"/>
  <c r="I83" i="3"/>
  <c r="J83" i="3"/>
  <c r="K83" i="3"/>
  <c r="L83" i="3"/>
  <c r="G84" i="3"/>
  <c r="H84" i="3"/>
  <c r="I84" i="3"/>
  <c r="J84" i="3"/>
  <c r="K84" i="3"/>
  <c r="L84" i="3"/>
  <c r="G85" i="3"/>
  <c r="H85" i="3"/>
  <c r="I85" i="3"/>
  <c r="J85" i="3"/>
  <c r="K85" i="3"/>
  <c r="L85" i="3"/>
  <c r="G86" i="3"/>
  <c r="H86" i="3"/>
  <c r="I86" i="3"/>
  <c r="J86" i="3"/>
  <c r="K86" i="3"/>
  <c r="L86" i="3"/>
  <c r="G87" i="3"/>
  <c r="H87" i="3"/>
  <c r="I87" i="3"/>
  <c r="J87" i="3"/>
  <c r="K87" i="3"/>
  <c r="L87" i="3"/>
  <c r="G88" i="3"/>
  <c r="H88" i="3"/>
  <c r="I88" i="3"/>
  <c r="J88" i="3"/>
  <c r="K88" i="3"/>
  <c r="L88" i="3"/>
  <c r="G89" i="3"/>
  <c r="H89" i="3"/>
  <c r="I89" i="3"/>
  <c r="J89" i="3"/>
  <c r="K89" i="3"/>
  <c r="L89" i="3"/>
  <c r="G90" i="3"/>
  <c r="H90" i="3"/>
  <c r="I90" i="3"/>
  <c r="J90" i="3"/>
  <c r="K90" i="3"/>
  <c r="L90" i="3"/>
  <c r="G91" i="3"/>
  <c r="H91" i="3"/>
  <c r="I91" i="3"/>
  <c r="J91" i="3"/>
  <c r="K91" i="3"/>
  <c r="L91" i="3"/>
  <c r="G92" i="3"/>
  <c r="H92" i="3"/>
  <c r="I92" i="3"/>
  <c r="J92" i="3"/>
  <c r="K92" i="3"/>
  <c r="L92" i="3"/>
  <c r="G93" i="3"/>
  <c r="H93" i="3"/>
  <c r="I93" i="3"/>
  <c r="J93" i="3"/>
  <c r="K93" i="3"/>
  <c r="L93" i="3"/>
  <c r="G94" i="3"/>
  <c r="H94" i="3"/>
  <c r="I94" i="3"/>
  <c r="J94" i="3"/>
  <c r="K94" i="3"/>
  <c r="L94" i="3"/>
  <c r="G95" i="3"/>
  <c r="H95" i="3"/>
  <c r="I95" i="3"/>
  <c r="J95" i="3"/>
  <c r="K95" i="3"/>
  <c r="L95" i="3"/>
  <c r="G96" i="3"/>
  <c r="H96" i="3"/>
  <c r="I96" i="3"/>
  <c r="J96" i="3"/>
  <c r="K96" i="3"/>
  <c r="L96" i="3"/>
  <c r="G97" i="3"/>
  <c r="H97" i="3"/>
  <c r="I97" i="3"/>
  <c r="J97" i="3"/>
  <c r="K97" i="3"/>
  <c r="L97" i="3"/>
  <c r="G98" i="3"/>
  <c r="H98" i="3"/>
  <c r="I98" i="3"/>
  <c r="J98" i="3"/>
  <c r="K98" i="3"/>
  <c r="L98" i="3"/>
  <c r="G99" i="3"/>
  <c r="H99" i="3"/>
  <c r="I99" i="3"/>
  <c r="J99" i="3"/>
  <c r="K99" i="3"/>
  <c r="L99" i="3"/>
  <c r="G100" i="3"/>
  <c r="H100" i="3"/>
  <c r="I100" i="3"/>
  <c r="J100" i="3"/>
  <c r="K100" i="3"/>
  <c r="L100" i="3"/>
  <c r="G101" i="3"/>
  <c r="H101" i="3"/>
  <c r="I101" i="3"/>
  <c r="J101" i="3"/>
  <c r="K101" i="3"/>
  <c r="L101" i="3"/>
  <c r="G102" i="3"/>
  <c r="H102" i="3"/>
  <c r="I102" i="3"/>
  <c r="J102" i="3"/>
  <c r="K102" i="3"/>
  <c r="L102" i="3"/>
  <c r="G103" i="3"/>
  <c r="H103" i="3"/>
  <c r="I103" i="3"/>
  <c r="J103" i="3"/>
  <c r="K103" i="3"/>
  <c r="L103" i="3"/>
  <c r="G104" i="3"/>
  <c r="H104" i="3"/>
  <c r="I104" i="3"/>
  <c r="J104" i="3"/>
  <c r="K104" i="3"/>
  <c r="L104" i="3"/>
  <c r="G105" i="3"/>
  <c r="H105" i="3"/>
  <c r="I105" i="3"/>
  <c r="J105" i="3"/>
  <c r="K105" i="3"/>
  <c r="L105" i="3"/>
  <c r="G106" i="3"/>
  <c r="H106" i="3"/>
  <c r="I106" i="3"/>
  <c r="J106" i="3"/>
  <c r="K106" i="3"/>
  <c r="L106" i="3"/>
  <c r="G107" i="3"/>
  <c r="H107" i="3"/>
  <c r="I107" i="3"/>
  <c r="J107" i="3"/>
  <c r="K107" i="3"/>
  <c r="L107" i="3"/>
  <c r="G108" i="3"/>
  <c r="H108" i="3"/>
  <c r="I108" i="3"/>
  <c r="J108" i="3"/>
  <c r="K108" i="3"/>
  <c r="L108" i="3"/>
  <c r="G109" i="3"/>
  <c r="H109" i="3"/>
  <c r="I109" i="3"/>
  <c r="J109" i="3"/>
  <c r="K109" i="3"/>
  <c r="L109" i="3"/>
  <c r="G110" i="3"/>
  <c r="H110" i="3"/>
  <c r="I110" i="3"/>
  <c r="J110" i="3"/>
  <c r="K110" i="3"/>
  <c r="L110" i="3"/>
  <c r="G111" i="3"/>
  <c r="H111" i="3"/>
  <c r="I111" i="3"/>
  <c r="J111" i="3"/>
  <c r="K111" i="3"/>
  <c r="L111" i="3"/>
  <c r="G112" i="3"/>
  <c r="H112" i="3"/>
  <c r="I112" i="3"/>
  <c r="J112" i="3"/>
  <c r="K112" i="3"/>
  <c r="L112" i="3"/>
  <c r="G113" i="3"/>
  <c r="H113" i="3"/>
  <c r="I113" i="3"/>
  <c r="J113" i="3"/>
  <c r="K113" i="3"/>
  <c r="L113" i="3"/>
  <c r="G114" i="3"/>
  <c r="H114" i="3"/>
  <c r="I114" i="3"/>
  <c r="J114" i="3"/>
  <c r="K114" i="3"/>
  <c r="L114" i="3"/>
  <c r="G115" i="3"/>
  <c r="H115" i="3"/>
  <c r="I115" i="3"/>
  <c r="J115" i="3"/>
  <c r="K115" i="3"/>
  <c r="L115" i="3"/>
  <c r="G116" i="3"/>
  <c r="H116" i="3"/>
  <c r="I116" i="3"/>
  <c r="J116" i="3"/>
  <c r="K116" i="3"/>
  <c r="L116" i="3"/>
  <c r="G117" i="3"/>
  <c r="H117" i="3"/>
  <c r="I117" i="3"/>
  <c r="J117" i="3"/>
  <c r="K117" i="3"/>
  <c r="L117" i="3"/>
  <c r="G118" i="3"/>
  <c r="H118" i="3"/>
  <c r="I118" i="3"/>
  <c r="J118" i="3"/>
  <c r="K118" i="3"/>
  <c r="L118" i="3"/>
  <c r="G119" i="3"/>
  <c r="H119" i="3"/>
  <c r="I119" i="3"/>
  <c r="J119" i="3"/>
  <c r="K119" i="3"/>
  <c r="L119" i="3"/>
  <c r="G120" i="3"/>
  <c r="H120" i="3"/>
  <c r="I120" i="3"/>
  <c r="J120" i="3"/>
  <c r="K120" i="3"/>
  <c r="L120" i="3"/>
  <c r="G121" i="3"/>
  <c r="H121" i="3"/>
  <c r="I121" i="3"/>
  <c r="J121" i="3"/>
  <c r="K121" i="3"/>
  <c r="L121" i="3"/>
  <c r="G122" i="3"/>
  <c r="H122" i="3"/>
  <c r="I122" i="3"/>
  <c r="J122" i="3"/>
  <c r="K122" i="3"/>
  <c r="L122" i="3"/>
  <c r="G123" i="3"/>
  <c r="H123" i="3"/>
  <c r="I123" i="3"/>
  <c r="J123" i="3"/>
  <c r="K123" i="3"/>
  <c r="L123" i="3"/>
  <c r="G124" i="3"/>
  <c r="H124" i="3"/>
  <c r="I124" i="3"/>
  <c r="J124" i="3"/>
  <c r="K124" i="3"/>
  <c r="L124" i="3"/>
  <c r="G125" i="3"/>
  <c r="H125" i="3"/>
  <c r="I125" i="3"/>
  <c r="J125" i="3"/>
  <c r="K125" i="3"/>
  <c r="L125" i="3"/>
  <c r="G126" i="3"/>
  <c r="H126" i="3"/>
  <c r="I126" i="3"/>
  <c r="J126" i="3"/>
  <c r="K126" i="3"/>
  <c r="L126" i="3"/>
  <c r="G127" i="3"/>
  <c r="H127" i="3"/>
  <c r="I127" i="3"/>
  <c r="J127" i="3"/>
  <c r="K127" i="3"/>
  <c r="L127" i="3"/>
  <c r="G128" i="3"/>
  <c r="H128" i="3"/>
  <c r="I128" i="3"/>
  <c r="J128" i="3"/>
  <c r="K128" i="3"/>
  <c r="L128" i="3"/>
  <c r="G129" i="3"/>
  <c r="H129" i="3"/>
  <c r="I129" i="3"/>
  <c r="J129" i="3"/>
  <c r="K129" i="3"/>
  <c r="L129" i="3"/>
  <c r="G130" i="3"/>
  <c r="H130" i="3"/>
  <c r="I130" i="3"/>
  <c r="J130" i="3"/>
  <c r="K130" i="3"/>
  <c r="L130" i="3"/>
  <c r="G131" i="3"/>
  <c r="H131" i="3"/>
  <c r="I131" i="3"/>
  <c r="J131" i="3"/>
  <c r="K131" i="3"/>
  <c r="L131" i="3"/>
  <c r="G132" i="3"/>
  <c r="H132" i="3"/>
  <c r="I132" i="3"/>
  <c r="J132" i="3"/>
  <c r="K132" i="3"/>
  <c r="L132" i="3"/>
  <c r="G133" i="3"/>
  <c r="H133" i="3"/>
  <c r="I133" i="3"/>
  <c r="J133" i="3"/>
  <c r="K133" i="3"/>
  <c r="L133" i="3"/>
  <c r="G134" i="3"/>
  <c r="H134" i="3"/>
  <c r="I134" i="3"/>
  <c r="J134" i="3"/>
  <c r="K134" i="3"/>
  <c r="L134" i="3"/>
  <c r="G135" i="3"/>
  <c r="H135" i="3"/>
  <c r="I135" i="3"/>
  <c r="J135" i="3"/>
  <c r="K135" i="3"/>
  <c r="L135" i="3"/>
  <c r="G136" i="3"/>
  <c r="H136" i="3"/>
  <c r="I136" i="3"/>
  <c r="J136" i="3"/>
  <c r="K136" i="3"/>
  <c r="L136" i="3"/>
  <c r="G137" i="3"/>
  <c r="H137" i="3"/>
  <c r="I137" i="3"/>
  <c r="J137" i="3"/>
  <c r="K137" i="3"/>
  <c r="L137" i="3"/>
  <c r="G138" i="3"/>
  <c r="H138" i="3"/>
  <c r="I138" i="3"/>
  <c r="J138" i="3"/>
  <c r="K138" i="3"/>
  <c r="L138" i="3"/>
  <c r="G139" i="3"/>
  <c r="H139" i="3"/>
  <c r="I139" i="3"/>
  <c r="J139" i="3"/>
  <c r="K139" i="3"/>
  <c r="L139" i="3"/>
  <c r="G140" i="3"/>
  <c r="H140" i="3"/>
  <c r="I140" i="3"/>
  <c r="J140" i="3"/>
  <c r="K140" i="3"/>
  <c r="L140" i="3"/>
  <c r="G141" i="3"/>
  <c r="H141" i="3"/>
  <c r="I141" i="3"/>
  <c r="J141" i="3"/>
  <c r="K141" i="3"/>
  <c r="L141" i="3"/>
  <c r="G142" i="3"/>
  <c r="H142" i="3"/>
  <c r="I142" i="3"/>
  <c r="J142" i="3"/>
  <c r="K142" i="3"/>
  <c r="L142" i="3"/>
  <c r="G143" i="3"/>
  <c r="H143" i="3"/>
  <c r="I143" i="3"/>
  <c r="J143" i="3"/>
  <c r="K143" i="3"/>
  <c r="L143" i="3"/>
  <c r="G144" i="3"/>
  <c r="H144" i="3"/>
  <c r="I144" i="3"/>
  <c r="J144" i="3"/>
  <c r="K144" i="3"/>
  <c r="L144" i="3"/>
  <c r="G145" i="3"/>
  <c r="H145" i="3"/>
  <c r="I145" i="3"/>
  <c r="J145" i="3"/>
  <c r="K145" i="3"/>
  <c r="L145" i="3"/>
  <c r="G146" i="3"/>
  <c r="H146" i="3"/>
  <c r="I146" i="3"/>
  <c r="J146" i="3"/>
  <c r="K146" i="3"/>
  <c r="L146" i="3"/>
  <c r="G147" i="3"/>
  <c r="H147" i="3"/>
  <c r="I147" i="3"/>
  <c r="J147" i="3"/>
  <c r="K147" i="3"/>
  <c r="L147" i="3"/>
  <c r="G148" i="3"/>
  <c r="H148" i="3"/>
  <c r="I148" i="3"/>
  <c r="J148" i="3"/>
  <c r="K148" i="3"/>
  <c r="L148" i="3"/>
  <c r="G149" i="3"/>
  <c r="H149" i="3"/>
  <c r="I149" i="3"/>
  <c r="J149" i="3"/>
  <c r="K149" i="3"/>
  <c r="L149" i="3"/>
  <c r="G150" i="3"/>
  <c r="H150" i="3"/>
  <c r="I150" i="3"/>
  <c r="J150" i="3"/>
  <c r="K150" i="3"/>
  <c r="L150" i="3"/>
  <c r="G151" i="3"/>
  <c r="H151" i="3"/>
  <c r="I151" i="3"/>
  <c r="J151" i="3"/>
  <c r="K151" i="3"/>
  <c r="L151" i="3"/>
  <c r="G152" i="3"/>
  <c r="H152" i="3"/>
  <c r="I152" i="3"/>
  <c r="J152" i="3"/>
  <c r="K152" i="3"/>
  <c r="L152" i="3"/>
  <c r="G153" i="3"/>
  <c r="H153" i="3"/>
  <c r="I153" i="3"/>
  <c r="J153" i="3"/>
  <c r="K153" i="3"/>
  <c r="L153" i="3"/>
  <c r="G154" i="3"/>
  <c r="H154" i="3"/>
  <c r="I154" i="3"/>
  <c r="J154" i="3"/>
  <c r="K154" i="3"/>
  <c r="L154" i="3"/>
  <c r="G155" i="3"/>
  <c r="H155" i="3"/>
  <c r="I155" i="3"/>
  <c r="J155" i="3"/>
  <c r="K155" i="3"/>
  <c r="L155" i="3"/>
  <c r="G156" i="3"/>
  <c r="H156" i="3"/>
  <c r="I156" i="3"/>
  <c r="J156" i="3"/>
  <c r="K156" i="3"/>
  <c r="L156" i="3"/>
  <c r="G157" i="3"/>
  <c r="H157" i="3"/>
  <c r="I157" i="3"/>
  <c r="J157" i="3"/>
  <c r="K157" i="3"/>
  <c r="L157" i="3"/>
  <c r="G158" i="3"/>
  <c r="H158" i="3"/>
  <c r="I158" i="3"/>
  <c r="J158" i="3"/>
  <c r="K158" i="3"/>
  <c r="L158" i="3"/>
  <c r="G159" i="3"/>
  <c r="H159" i="3"/>
  <c r="I159" i="3"/>
  <c r="J159" i="3"/>
  <c r="K159" i="3"/>
  <c r="L159" i="3"/>
  <c r="G160" i="3"/>
  <c r="H160" i="3"/>
  <c r="I160" i="3"/>
  <c r="J160" i="3"/>
  <c r="K160" i="3"/>
  <c r="L160" i="3"/>
  <c r="G161" i="3"/>
  <c r="H161" i="3"/>
  <c r="I161" i="3"/>
  <c r="J161" i="3"/>
  <c r="K161" i="3"/>
  <c r="L161" i="3"/>
  <c r="G162" i="3"/>
  <c r="H162" i="3"/>
  <c r="I162" i="3"/>
  <c r="J162" i="3"/>
  <c r="K162" i="3"/>
  <c r="L162" i="3"/>
  <c r="G163" i="3"/>
  <c r="H163" i="3"/>
  <c r="I163" i="3"/>
  <c r="J163" i="3"/>
  <c r="K163" i="3"/>
  <c r="L163" i="3"/>
  <c r="G164" i="3"/>
  <c r="H164" i="3"/>
  <c r="I164" i="3"/>
  <c r="J164" i="3"/>
  <c r="K164" i="3"/>
  <c r="L164" i="3"/>
  <c r="G165" i="3"/>
  <c r="H165" i="3"/>
  <c r="I165" i="3"/>
  <c r="J165" i="3"/>
  <c r="K165" i="3"/>
  <c r="L165" i="3"/>
  <c r="G166" i="3"/>
  <c r="H166" i="3"/>
  <c r="I166" i="3"/>
  <c r="J166" i="3"/>
  <c r="K166" i="3"/>
  <c r="L166" i="3"/>
  <c r="G167" i="3"/>
  <c r="H167" i="3"/>
  <c r="I167" i="3"/>
  <c r="J167" i="3"/>
  <c r="K167" i="3"/>
  <c r="L167" i="3"/>
  <c r="G168" i="3"/>
  <c r="H168" i="3"/>
  <c r="I168" i="3"/>
  <c r="J168" i="3"/>
  <c r="K168" i="3"/>
  <c r="L168" i="3"/>
  <c r="G169" i="3"/>
  <c r="H169" i="3"/>
  <c r="I169" i="3"/>
  <c r="J169" i="3"/>
  <c r="K169" i="3"/>
  <c r="L169" i="3"/>
  <c r="G170" i="3"/>
  <c r="H170" i="3"/>
  <c r="I170" i="3"/>
  <c r="J170" i="3"/>
  <c r="K170" i="3"/>
  <c r="L170" i="3"/>
  <c r="G171" i="3"/>
  <c r="H171" i="3"/>
  <c r="I171" i="3"/>
  <c r="J171" i="3"/>
  <c r="K171" i="3"/>
  <c r="L171" i="3"/>
  <c r="G172" i="3"/>
  <c r="H172" i="3"/>
  <c r="I172" i="3"/>
  <c r="J172" i="3"/>
  <c r="K172" i="3"/>
  <c r="L172" i="3"/>
  <c r="G173" i="3"/>
  <c r="H173" i="3"/>
  <c r="I173" i="3"/>
  <c r="J173" i="3"/>
  <c r="K173" i="3"/>
  <c r="L173" i="3"/>
  <c r="G174" i="3"/>
  <c r="H174" i="3"/>
  <c r="I174" i="3"/>
  <c r="J174" i="3"/>
  <c r="K174" i="3"/>
  <c r="L174" i="3"/>
  <c r="G175" i="3"/>
  <c r="H175" i="3"/>
  <c r="I175" i="3"/>
  <c r="J175" i="3"/>
  <c r="K175" i="3"/>
  <c r="L175" i="3"/>
  <c r="G176" i="3"/>
  <c r="H176" i="3"/>
  <c r="I176" i="3"/>
  <c r="J176" i="3"/>
  <c r="K176" i="3"/>
  <c r="L176" i="3"/>
  <c r="G177" i="3"/>
  <c r="H177" i="3"/>
  <c r="I177" i="3"/>
  <c r="J177" i="3"/>
  <c r="K177" i="3"/>
  <c r="L177" i="3"/>
  <c r="G178" i="3"/>
  <c r="H178" i="3"/>
  <c r="I178" i="3"/>
  <c r="J178" i="3"/>
  <c r="K178" i="3"/>
  <c r="L178" i="3"/>
  <c r="G179" i="3"/>
  <c r="H179" i="3"/>
  <c r="I179" i="3"/>
  <c r="J179" i="3"/>
  <c r="K179" i="3"/>
  <c r="L179" i="3"/>
  <c r="G180" i="3"/>
  <c r="H180" i="3"/>
  <c r="I180" i="3"/>
  <c r="J180" i="3"/>
  <c r="K180" i="3"/>
  <c r="L180" i="3"/>
  <c r="G181" i="3"/>
  <c r="H181" i="3"/>
  <c r="I181" i="3"/>
  <c r="J181" i="3"/>
  <c r="K181" i="3"/>
  <c r="L181" i="3"/>
  <c r="G182" i="3"/>
  <c r="H182" i="3"/>
  <c r="I182" i="3"/>
  <c r="J182" i="3"/>
  <c r="K182" i="3"/>
  <c r="L182" i="3"/>
  <c r="G183" i="3"/>
  <c r="H183" i="3"/>
  <c r="I183" i="3"/>
  <c r="J183" i="3"/>
  <c r="K183" i="3"/>
  <c r="L183" i="3"/>
  <c r="G184" i="3"/>
  <c r="H184" i="3"/>
  <c r="I184" i="3"/>
  <c r="J184" i="3"/>
  <c r="K184" i="3"/>
  <c r="L184" i="3"/>
  <c r="G185" i="3"/>
  <c r="H185" i="3"/>
  <c r="I185" i="3"/>
  <c r="J185" i="3"/>
  <c r="K185" i="3"/>
  <c r="L185" i="3"/>
  <c r="G186" i="3"/>
  <c r="H186" i="3"/>
  <c r="I186" i="3"/>
  <c r="J186" i="3"/>
  <c r="K186" i="3"/>
  <c r="L186" i="3"/>
  <c r="G187" i="3"/>
  <c r="H187" i="3"/>
  <c r="I187" i="3"/>
  <c r="J187" i="3"/>
  <c r="K187" i="3"/>
  <c r="L187" i="3"/>
  <c r="G188" i="3"/>
  <c r="H188" i="3"/>
  <c r="I188" i="3"/>
  <c r="J188" i="3"/>
  <c r="K188" i="3"/>
  <c r="L188" i="3"/>
  <c r="G189" i="3"/>
  <c r="H189" i="3"/>
  <c r="I189" i="3"/>
  <c r="J189" i="3"/>
  <c r="K189" i="3"/>
  <c r="L189" i="3"/>
  <c r="G190" i="3"/>
  <c r="H190" i="3"/>
  <c r="I190" i="3"/>
  <c r="J190" i="3"/>
  <c r="K190" i="3"/>
  <c r="L190" i="3"/>
  <c r="G191" i="3"/>
  <c r="H191" i="3"/>
  <c r="I191" i="3"/>
  <c r="J191" i="3"/>
  <c r="K191" i="3"/>
  <c r="L191" i="3"/>
  <c r="G192" i="3"/>
  <c r="H192" i="3"/>
  <c r="I192" i="3"/>
  <c r="J192" i="3"/>
  <c r="K192" i="3"/>
  <c r="L192" i="3"/>
  <c r="G193" i="3"/>
  <c r="H193" i="3"/>
  <c r="I193" i="3"/>
  <c r="J193" i="3"/>
  <c r="K193" i="3"/>
  <c r="L193" i="3"/>
  <c r="G194" i="3"/>
  <c r="H194" i="3"/>
  <c r="I194" i="3"/>
  <c r="J194" i="3"/>
  <c r="K194" i="3"/>
  <c r="L194" i="3"/>
  <c r="G195" i="3"/>
  <c r="H195" i="3"/>
  <c r="I195" i="3"/>
  <c r="J195" i="3"/>
  <c r="K195" i="3"/>
  <c r="L195" i="3"/>
  <c r="G196" i="3"/>
  <c r="H196" i="3"/>
  <c r="I196" i="3"/>
  <c r="J196" i="3"/>
  <c r="K196" i="3"/>
  <c r="L196" i="3"/>
  <c r="G197" i="3"/>
  <c r="H197" i="3"/>
  <c r="I197" i="3"/>
  <c r="J197" i="3"/>
  <c r="K197" i="3"/>
  <c r="L197" i="3"/>
  <c r="G198" i="3"/>
  <c r="H198" i="3"/>
  <c r="I198" i="3"/>
  <c r="J198" i="3"/>
  <c r="K198" i="3"/>
  <c r="L198" i="3"/>
  <c r="G199" i="3"/>
  <c r="H199" i="3"/>
  <c r="I199" i="3"/>
  <c r="J199" i="3"/>
  <c r="K199" i="3"/>
  <c r="L199" i="3"/>
  <c r="G200" i="3"/>
  <c r="H200" i="3"/>
  <c r="I200" i="3"/>
  <c r="J200" i="3"/>
  <c r="K200" i="3"/>
  <c r="L200" i="3"/>
  <c r="G201" i="3"/>
  <c r="H201" i="3"/>
  <c r="I201" i="3"/>
  <c r="J201" i="3"/>
  <c r="K201" i="3"/>
  <c r="L201" i="3"/>
  <c r="G202" i="3"/>
  <c r="H202" i="3"/>
  <c r="I202" i="3"/>
  <c r="J202" i="3"/>
  <c r="K202" i="3"/>
  <c r="L202" i="3"/>
  <c r="G203" i="3"/>
  <c r="H203" i="3"/>
  <c r="I203" i="3"/>
  <c r="J203" i="3"/>
  <c r="K203" i="3"/>
  <c r="L203" i="3"/>
  <c r="G204" i="3"/>
  <c r="H204" i="3"/>
  <c r="I204" i="3"/>
  <c r="J204" i="3"/>
  <c r="K204" i="3"/>
  <c r="L204" i="3"/>
  <c r="G205" i="3"/>
  <c r="H205" i="3"/>
  <c r="I205" i="3"/>
  <c r="J205" i="3"/>
  <c r="K205" i="3"/>
  <c r="L205" i="3"/>
  <c r="G206" i="3"/>
  <c r="H206" i="3"/>
  <c r="I206" i="3"/>
  <c r="J206" i="3"/>
  <c r="K206" i="3"/>
  <c r="L206" i="3"/>
  <c r="G207" i="3"/>
  <c r="H207" i="3"/>
  <c r="I207" i="3"/>
  <c r="J207" i="3"/>
  <c r="K207" i="3"/>
  <c r="L207" i="3"/>
  <c r="G208" i="3"/>
  <c r="H208" i="3"/>
  <c r="I208" i="3"/>
  <c r="J208" i="3"/>
  <c r="K208" i="3"/>
  <c r="L208" i="3"/>
  <c r="G209" i="3"/>
  <c r="H209" i="3"/>
  <c r="I209" i="3"/>
  <c r="J209" i="3"/>
  <c r="K209" i="3"/>
  <c r="L209" i="3"/>
  <c r="G210" i="3"/>
  <c r="H210" i="3"/>
  <c r="I210" i="3"/>
  <c r="J210" i="3"/>
  <c r="K210" i="3"/>
  <c r="L210" i="3"/>
  <c r="G211" i="3"/>
  <c r="H211" i="3"/>
  <c r="I211" i="3"/>
  <c r="J211" i="3"/>
  <c r="K211" i="3"/>
  <c r="L211" i="3"/>
  <c r="G212" i="3"/>
  <c r="H212" i="3"/>
  <c r="I212" i="3"/>
  <c r="J212" i="3"/>
  <c r="K212" i="3"/>
  <c r="L212" i="3"/>
  <c r="G213" i="3"/>
  <c r="H213" i="3"/>
  <c r="I213" i="3"/>
  <c r="J213" i="3"/>
  <c r="K213" i="3"/>
  <c r="L213" i="3"/>
  <c r="G214" i="3"/>
  <c r="H214" i="3"/>
  <c r="I214" i="3"/>
  <c r="J214" i="3"/>
  <c r="K214" i="3"/>
  <c r="L214" i="3"/>
  <c r="G215" i="3"/>
  <c r="H215" i="3"/>
  <c r="I215" i="3"/>
  <c r="J215" i="3"/>
  <c r="K215" i="3"/>
  <c r="L215" i="3"/>
  <c r="G216" i="3"/>
  <c r="H216" i="3"/>
  <c r="I216" i="3"/>
  <c r="J216" i="3"/>
  <c r="K216" i="3"/>
  <c r="L216" i="3"/>
  <c r="G217" i="3"/>
  <c r="H217" i="3"/>
  <c r="I217" i="3"/>
  <c r="J217" i="3"/>
  <c r="K217" i="3"/>
  <c r="L217" i="3"/>
  <c r="G218" i="3"/>
  <c r="H218" i="3"/>
  <c r="I218" i="3"/>
  <c r="J218" i="3"/>
  <c r="K218" i="3"/>
  <c r="L218" i="3"/>
  <c r="G219" i="3"/>
  <c r="H219" i="3"/>
  <c r="I219" i="3"/>
  <c r="J219" i="3"/>
  <c r="K219" i="3"/>
  <c r="L219" i="3"/>
  <c r="G220" i="3"/>
  <c r="H220" i="3"/>
  <c r="I220" i="3"/>
  <c r="J220" i="3"/>
  <c r="K220" i="3"/>
  <c r="L220" i="3"/>
  <c r="G221" i="3"/>
  <c r="H221" i="3"/>
  <c r="I221" i="3"/>
  <c r="J221" i="3"/>
  <c r="K221" i="3"/>
  <c r="L221" i="3"/>
  <c r="G222" i="3"/>
  <c r="H222" i="3"/>
  <c r="I222" i="3"/>
  <c r="J222" i="3"/>
  <c r="K222" i="3"/>
  <c r="L222" i="3"/>
  <c r="G223" i="3"/>
  <c r="H223" i="3"/>
  <c r="I223" i="3"/>
  <c r="J223" i="3"/>
  <c r="K223" i="3"/>
  <c r="L223" i="3"/>
  <c r="G224" i="3"/>
  <c r="H224" i="3"/>
  <c r="I224" i="3"/>
  <c r="J224" i="3"/>
  <c r="K224" i="3"/>
  <c r="L224" i="3"/>
  <c r="G225" i="3"/>
  <c r="H225" i="3"/>
  <c r="I225" i="3"/>
  <c r="J225" i="3"/>
  <c r="K225" i="3"/>
  <c r="L225" i="3"/>
  <c r="M36" i="3" a="1"/>
  <c r="N36" i="3"/>
  <c r="M37" i="3" a="1"/>
  <c r="N37" i="3"/>
  <c r="M38" i="3" a="1"/>
  <c r="N38" i="3"/>
  <c r="M39" i="3" a="1"/>
  <c r="N39" i="3"/>
  <c r="M40" i="3" a="1"/>
  <c r="N40" i="3"/>
  <c r="M41" i="3" a="1"/>
  <c r="N41" i="3"/>
  <c r="M42" i="3" a="1"/>
  <c r="N42" i="3"/>
  <c r="M43" i="3" a="1"/>
  <c r="N43" i="3"/>
  <c r="M44" i="3" a="1"/>
  <c r="N44" i="3"/>
  <c r="M45" i="3" a="1"/>
  <c r="N45" i="3"/>
  <c r="M46" i="3" a="1"/>
  <c r="N46" i="3"/>
  <c r="M47" i="3" a="1"/>
  <c r="N47" i="3"/>
  <c r="M48" i="3" a="1"/>
  <c r="N48" i="3"/>
  <c r="M49" i="3" a="1"/>
  <c r="N49" i="3"/>
  <c r="M50" i="3" a="1"/>
  <c r="N50" i="3"/>
  <c r="M51" i="3" a="1"/>
  <c r="N51" i="3"/>
  <c r="M52" i="3" a="1"/>
  <c r="N52" i="3"/>
  <c r="M53" i="3" a="1"/>
  <c r="N53" i="3"/>
  <c r="M54" i="3" a="1"/>
  <c r="N54" i="3"/>
  <c r="M55" i="3" a="1"/>
  <c r="N55" i="3"/>
  <c r="M56" i="3" a="1"/>
  <c r="N56" i="3"/>
  <c r="M57" i="3" a="1"/>
  <c r="N57" i="3"/>
  <c r="M58" i="3" a="1"/>
  <c r="N58" i="3"/>
  <c r="M59" i="3" a="1"/>
  <c r="N59" i="3"/>
  <c r="M60" i="3" a="1"/>
  <c r="N60" i="3"/>
  <c r="M61" i="3" a="1"/>
  <c r="N61" i="3"/>
  <c r="M62" i="3" a="1"/>
  <c r="N62" i="3"/>
  <c r="M63" i="3" a="1"/>
  <c r="N63" i="3"/>
  <c r="M64" i="3" a="1"/>
  <c r="N64" i="3"/>
  <c r="M65" i="3" a="1"/>
  <c r="N65" i="3"/>
  <c r="M66" i="3" a="1"/>
  <c r="N66" i="3"/>
  <c r="M67" i="3" a="1"/>
  <c r="N67" i="3"/>
  <c r="M68" i="3" a="1"/>
  <c r="N68" i="3"/>
  <c r="M69" i="3" a="1"/>
  <c r="N69" i="3"/>
  <c r="M70" i="3" a="1"/>
  <c r="N70" i="3"/>
  <c r="M71" i="3" a="1"/>
  <c r="N71" i="3"/>
  <c r="M72" i="3" a="1"/>
  <c r="N72" i="3"/>
  <c r="M73" i="3" a="1"/>
  <c r="N73" i="3"/>
  <c r="M74" i="3" a="1"/>
  <c r="N74" i="3"/>
  <c r="M75" i="3" a="1"/>
  <c r="N75" i="3"/>
  <c r="M76" i="3" a="1"/>
  <c r="N76" i="3"/>
  <c r="M77" i="3" a="1"/>
  <c r="N77" i="3"/>
  <c r="M78" i="3" a="1"/>
  <c r="N78" i="3"/>
  <c r="M79" i="3" a="1"/>
  <c r="N79" i="3"/>
  <c r="M80" i="3" a="1"/>
  <c r="N80" i="3"/>
  <c r="M81" i="3" a="1"/>
  <c r="N81" i="3"/>
  <c r="M82" i="3" a="1"/>
  <c r="N82" i="3"/>
  <c r="M83" i="3" a="1"/>
  <c r="N83" i="3"/>
  <c r="M84" i="3" a="1"/>
  <c r="N84" i="3"/>
  <c r="M85" i="3" a="1"/>
  <c r="N85" i="3"/>
  <c r="M86" i="3" a="1"/>
  <c r="N86" i="3"/>
  <c r="M87" i="3" a="1"/>
  <c r="N87" i="3"/>
  <c r="M88" i="3" a="1"/>
  <c r="N88" i="3"/>
  <c r="M89" i="3" a="1"/>
  <c r="N89" i="3"/>
  <c r="M90" i="3" a="1"/>
  <c r="N90" i="3"/>
  <c r="M91" i="3" a="1"/>
  <c r="N91" i="3"/>
  <c r="M92" i="3" a="1"/>
  <c r="N92" i="3"/>
  <c r="M93" i="3" a="1"/>
  <c r="N93" i="3"/>
  <c r="M94" i="3" a="1"/>
  <c r="N94" i="3"/>
  <c r="M95" i="3" a="1"/>
  <c r="N95" i="3"/>
  <c r="M96" i="3" a="1"/>
  <c r="N96" i="3"/>
  <c r="M97" i="3" a="1"/>
  <c r="N97" i="3"/>
  <c r="M98" i="3" a="1"/>
  <c r="N98" i="3"/>
  <c r="M99" i="3" a="1"/>
  <c r="N99" i="3"/>
  <c r="M100" i="3" a="1"/>
  <c r="N100" i="3"/>
  <c r="M101" i="3" a="1"/>
  <c r="N101" i="3"/>
  <c r="M102" i="3" a="1"/>
  <c r="N102" i="3"/>
  <c r="M103" i="3" a="1"/>
  <c r="N103" i="3"/>
  <c r="M104" i="3" a="1"/>
  <c r="N104" i="3"/>
  <c r="M105" i="3" a="1"/>
  <c r="N105" i="3"/>
  <c r="M106" i="3" a="1"/>
  <c r="N106" i="3"/>
  <c r="M107" i="3" a="1"/>
  <c r="N107" i="3"/>
  <c r="M108" i="3" a="1"/>
  <c r="N108" i="3"/>
  <c r="M109" i="3" a="1"/>
  <c r="N109" i="3"/>
  <c r="M110" i="3" a="1"/>
  <c r="N110" i="3"/>
  <c r="M111" i="3" a="1"/>
  <c r="N111" i="3"/>
  <c r="M112" i="3" a="1"/>
  <c r="N112" i="3"/>
  <c r="M113" i="3" a="1"/>
  <c r="N113" i="3"/>
  <c r="M114" i="3" a="1"/>
  <c r="N114" i="3"/>
  <c r="M115" i="3" a="1"/>
  <c r="N115" i="3"/>
  <c r="M116" i="3" a="1"/>
  <c r="N116" i="3"/>
  <c r="M117" i="3" a="1"/>
  <c r="N117" i="3"/>
  <c r="M118" i="3" a="1"/>
  <c r="N118" i="3"/>
  <c r="M119" i="3" a="1"/>
  <c r="N119" i="3"/>
  <c r="M120" i="3" a="1"/>
  <c r="N120" i="3"/>
  <c r="M121" i="3" a="1"/>
  <c r="N121" i="3"/>
  <c r="M122" i="3" a="1"/>
  <c r="N122" i="3"/>
  <c r="M123" i="3" a="1"/>
  <c r="N123" i="3"/>
  <c r="M124" i="3" a="1"/>
  <c r="N124" i="3"/>
  <c r="M125" i="3" a="1"/>
  <c r="N125" i="3"/>
  <c r="M126" i="3" a="1"/>
  <c r="N126" i="3"/>
  <c r="M127" i="3" a="1"/>
  <c r="N127" i="3"/>
  <c r="M128" i="3" a="1"/>
  <c r="N128" i="3"/>
  <c r="M129" i="3" a="1"/>
  <c r="N129" i="3"/>
  <c r="M130" i="3" a="1"/>
  <c r="N130" i="3"/>
  <c r="M131" i="3" a="1"/>
  <c r="N131" i="3"/>
  <c r="M132" i="3" a="1"/>
  <c r="N132" i="3"/>
  <c r="M133" i="3" a="1"/>
  <c r="N133" i="3"/>
  <c r="M134" i="3" a="1"/>
  <c r="N134" i="3"/>
  <c r="M135" i="3" a="1"/>
  <c r="N135" i="3"/>
  <c r="M136" i="3" a="1"/>
  <c r="N136" i="3"/>
  <c r="M137" i="3" a="1"/>
  <c r="N137" i="3"/>
  <c r="M138" i="3" a="1"/>
  <c r="N138" i="3"/>
  <c r="M139" i="3" a="1"/>
  <c r="N139" i="3"/>
  <c r="M140" i="3" a="1"/>
  <c r="N140" i="3"/>
  <c r="M141" i="3" a="1"/>
  <c r="N141" i="3"/>
  <c r="M142" i="3" a="1"/>
  <c r="N142" i="3"/>
  <c r="M143" i="3" a="1"/>
  <c r="N143" i="3"/>
  <c r="M144" i="3" a="1"/>
  <c r="N144" i="3"/>
  <c r="M145" i="3" a="1"/>
  <c r="N145" i="3"/>
  <c r="M146" i="3" a="1"/>
  <c r="N146" i="3"/>
  <c r="M147" i="3" a="1"/>
  <c r="N147" i="3"/>
  <c r="M148" i="3" a="1"/>
  <c r="N148" i="3"/>
  <c r="M149" i="3" a="1"/>
  <c r="N149" i="3"/>
  <c r="M150" i="3" a="1"/>
  <c r="N150" i="3"/>
  <c r="M151" i="3" a="1"/>
  <c r="N151" i="3"/>
  <c r="M152" i="3" a="1"/>
  <c r="N152" i="3"/>
  <c r="M153" i="3" a="1"/>
  <c r="N153" i="3"/>
  <c r="M154" i="3" a="1"/>
  <c r="N154" i="3"/>
  <c r="M155" i="3" a="1"/>
  <c r="N155" i="3"/>
  <c r="M156" i="3" a="1"/>
  <c r="N156" i="3"/>
  <c r="M157" i="3" a="1"/>
  <c r="N157" i="3"/>
  <c r="M158" i="3" a="1"/>
  <c r="N158" i="3"/>
  <c r="M159" i="3" a="1"/>
  <c r="N159" i="3"/>
  <c r="M160" i="3" a="1"/>
  <c r="N160" i="3"/>
  <c r="M161" i="3" a="1"/>
  <c r="N161" i="3"/>
  <c r="M162" i="3" a="1"/>
  <c r="N162" i="3"/>
  <c r="M163" i="3" a="1"/>
  <c r="N163" i="3"/>
  <c r="M164" i="3" a="1"/>
  <c r="N164" i="3"/>
  <c r="M165" i="3" a="1"/>
  <c r="N165" i="3"/>
  <c r="M166" i="3" a="1"/>
  <c r="N166" i="3"/>
  <c r="M167" i="3" a="1"/>
  <c r="N167" i="3"/>
  <c r="M168" i="3" a="1"/>
  <c r="N168" i="3"/>
  <c r="M169" i="3" a="1"/>
  <c r="N169" i="3"/>
  <c r="M170" i="3" a="1"/>
  <c r="N170" i="3"/>
  <c r="M171" i="3" a="1"/>
  <c r="N171" i="3"/>
  <c r="M172" i="3" a="1"/>
  <c r="N172" i="3"/>
  <c r="M173" i="3" a="1"/>
  <c r="N173" i="3"/>
  <c r="M174" i="3" a="1"/>
  <c r="N174" i="3"/>
  <c r="M175" i="3" a="1"/>
  <c r="N175" i="3"/>
  <c r="M176" i="3" a="1"/>
  <c r="N176" i="3"/>
  <c r="M177" i="3" a="1"/>
  <c r="N177" i="3"/>
  <c r="M178" i="3" a="1"/>
  <c r="N178" i="3"/>
  <c r="M179" i="3" a="1"/>
  <c r="N179" i="3"/>
  <c r="M180" i="3" a="1"/>
  <c r="N180" i="3"/>
  <c r="M181" i="3" a="1"/>
  <c r="N181" i="3"/>
  <c r="M182" i="3" a="1"/>
  <c r="N182" i="3"/>
  <c r="M183" i="3" a="1"/>
  <c r="N183" i="3"/>
  <c r="M184" i="3" a="1"/>
  <c r="N184" i="3"/>
  <c r="M185" i="3" a="1"/>
  <c r="N185" i="3"/>
  <c r="M186" i="3" a="1"/>
  <c r="N186" i="3"/>
  <c r="M187" i="3" a="1"/>
  <c r="N187" i="3"/>
  <c r="M188" i="3" a="1"/>
  <c r="N188" i="3"/>
  <c r="M189" i="3" a="1"/>
  <c r="N189" i="3"/>
  <c r="M190" i="3" a="1"/>
  <c r="N190" i="3"/>
  <c r="M191" i="3" a="1"/>
  <c r="N191" i="3"/>
  <c r="M192" i="3" a="1"/>
  <c r="N192" i="3"/>
  <c r="M193" i="3" a="1"/>
  <c r="N193" i="3"/>
  <c r="M194" i="3" a="1"/>
  <c r="N194" i="3"/>
  <c r="M195" i="3" a="1"/>
  <c r="N195" i="3"/>
  <c r="M196" i="3" a="1"/>
  <c r="N196" i="3"/>
  <c r="M197" i="3" a="1"/>
  <c r="N197" i="3"/>
  <c r="M198" i="3" a="1"/>
  <c r="N198" i="3"/>
  <c r="M199" i="3" a="1"/>
  <c r="N199" i="3"/>
  <c r="M200" i="3" a="1"/>
  <c r="N200" i="3"/>
  <c r="M201" i="3" a="1"/>
  <c r="N201" i="3"/>
  <c r="M202" i="3" a="1"/>
  <c r="N202" i="3"/>
  <c r="M203" i="3" a="1"/>
  <c r="N203" i="3"/>
  <c r="M204" i="3" a="1"/>
  <c r="N204" i="3"/>
  <c r="M205" i="3" a="1"/>
  <c r="N205" i="3"/>
  <c r="M206" i="3" a="1"/>
  <c r="N206" i="3"/>
  <c r="M207" i="3" a="1"/>
  <c r="N207" i="3"/>
  <c r="M208" i="3" a="1"/>
  <c r="N208" i="3"/>
  <c r="M209" i="3" a="1"/>
  <c r="N209" i="3"/>
  <c r="M210" i="3" a="1"/>
  <c r="N210" i="3"/>
  <c r="M211" i="3" a="1"/>
  <c r="N211" i="3"/>
  <c r="M212" i="3" a="1"/>
  <c r="N212" i="3"/>
  <c r="M213" i="3" a="1"/>
  <c r="N213" i="3"/>
  <c r="M214" i="3" a="1"/>
  <c r="N214" i="3"/>
  <c r="M215" i="3" a="1"/>
  <c r="N215" i="3"/>
  <c r="M216" i="3" a="1"/>
  <c r="N216" i="3"/>
  <c r="M217" i="3" a="1"/>
  <c r="N217" i="3"/>
  <c r="M218" i="3" a="1"/>
  <c r="N218" i="3"/>
  <c r="M219" i="3" a="1"/>
  <c r="N219" i="3"/>
  <c r="M220" i="3" a="1"/>
  <c r="N220" i="3"/>
  <c r="M221" i="3" a="1"/>
  <c r="N221" i="3"/>
  <c r="M222" i="3" a="1"/>
  <c r="N222" i="3"/>
  <c r="M223" i="3" a="1"/>
  <c r="N223" i="3"/>
  <c r="M224" i="3" a="1"/>
  <c r="N224" i="3"/>
  <c r="M225" i="3" a="1"/>
  <c r="N225" i="3"/>
  <c r="O8" i="11"/>
  <c r="K8" i="11"/>
  <c r="AC3" i="2" s="1"/>
  <c r="O9" i="11"/>
  <c r="K9" i="11"/>
  <c r="O10" i="11"/>
  <c r="K10" i="11"/>
  <c r="O11" i="11"/>
  <c r="K11" i="11"/>
  <c r="O12" i="11"/>
  <c r="K12" i="11"/>
  <c r="O13" i="11"/>
  <c r="K13" i="11"/>
  <c r="O14" i="11"/>
  <c r="K14" i="11"/>
  <c r="O15" i="11"/>
  <c r="K15" i="11"/>
  <c r="O16" i="11"/>
  <c r="K16" i="11"/>
  <c r="O17" i="11"/>
  <c r="K17" i="11"/>
  <c r="T18" i="11"/>
  <c r="O18" i="11"/>
  <c r="K18" i="11"/>
  <c r="T19" i="11"/>
  <c r="O19" i="11"/>
  <c r="K19" i="11"/>
  <c r="T20" i="11"/>
  <c r="O20" i="11"/>
  <c r="K20" i="11"/>
  <c r="T21" i="11"/>
  <c r="O21" i="11"/>
  <c r="K21" i="11"/>
  <c r="T22" i="11"/>
  <c r="O22" i="11"/>
  <c r="K22" i="11"/>
  <c r="T23" i="11"/>
  <c r="O23" i="11"/>
  <c r="K23" i="11"/>
  <c r="T24" i="11"/>
  <c r="O24" i="11"/>
  <c r="K24" i="11"/>
  <c r="T25" i="11"/>
  <c r="O25" i="11"/>
  <c r="K25" i="11"/>
  <c r="T26" i="11"/>
  <c r="O26" i="11"/>
  <c r="K26" i="11"/>
  <c r="T27" i="11"/>
  <c r="O27" i="11"/>
  <c r="K27" i="11"/>
  <c r="T28" i="11"/>
  <c r="O28" i="11"/>
  <c r="K28" i="11"/>
  <c r="T29" i="11"/>
  <c r="O29" i="11"/>
  <c r="K29" i="11"/>
  <c r="T30" i="11"/>
  <c r="O30" i="11"/>
  <c r="K30" i="11"/>
  <c r="T31" i="11"/>
  <c r="O31" i="11"/>
  <c r="K31" i="11"/>
  <c r="T32" i="11"/>
  <c r="O32" i="11"/>
  <c r="K32" i="11"/>
  <c r="T33" i="11"/>
  <c r="O33" i="11"/>
  <c r="K33" i="11"/>
  <c r="T34" i="11"/>
  <c r="O34" i="11"/>
  <c r="K34" i="11"/>
  <c r="T35" i="11"/>
  <c r="O35" i="11"/>
  <c r="K35" i="11"/>
  <c r="T36" i="11"/>
  <c r="O36" i="11"/>
  <c r="K36" i="11"/>
  <c r="T37" i="11"/>
  <c r="O37" i="11"/>
  <c r="K37" i="11"/>
  <c r="T38" i="11"/>
  <c r="O38" i="11"/>
  <c r="K38" i="11"/>
  <c r="T39" i="11"/>
  <c r="O39" i="11"/>
  <c r="K39" i="11"/>
  <c r="T40" i="11"/>
  <c r="O40" i="11"/>
  <c r="K40" i="11"/>
  <c r="T41" i="11"/>
  <c r="O41" i="11"/>
  <c r="K41" i="11"/>
  <c r="T42" i="11"/>
  <c r="O42" i="11"/>
  <c r="K42" i="11"/>
  <c r="T43" i="11"/>
  <c r="O43" i="11"/>
  <c r="K43" i="11"/>
  <c r="T44" i="11"/>
  <c r="O44" i="11"/>
  <c r="K44" i="11"/>
  <c r="T45" i="11"/>
  <c r="O45" i="11"/>
  <c r="K45" i="11"/>
  <c r="T46" i="11"/>
  <c r="O46" i="11"/>
  <c r="K46" i="11"/>
  <c r="T47" i="11"/>
  <c r="O47" i="11"/>
  <c r="K47" i="11"/>
  <c r="T48" i="11"/>
  <c r="O48" i="11"/>
  <c r="K48" i="11"/>
  <c r="T49" i="11"/>
  <c r="O49" i="11"/>
  <c r="K49" i="11"/>
  <c r="T50" i="11"/>
  <c r="O50" i="11"/>
  <c r="K50" i="11"/>
  <c r="T51" i="11"/>
  <c r="O51" i="11"/>
  <c r="K51" i="11"/>
  <c r="T52" i="11"/>
  <c r="O52" i="11"/>
  <c r="K52" i="11"/>
  <c r="T53" i="11"/>
  <c r="O53" i="11"/>
  <c r="K53" i="11"/>
  <c r="T54" i="11"/>
  <c r="O54" i="11"/>
  <c r="K54" i="11"/>
  <c r="T55" i="11"/>
  <c r="O55" i="11"/>
  <c r="K55" i="11"/>
  <c r="T56" i="11"/>
  <c r="O56" i="11"/>
  <c r="K56" i="11"/>
  <c r="T57" i="11"/>
  <c r="O57" i="11"/>
  <c r="K57" i="11"/>
  <c r="T58" i="11"/>
  <c r="O58" i="11"/>
  <c r="K58" i="11"/>
  <c r="T59" i="11"/>
  <c r="O59" i="11"/>
  <c r="K59" i="11"/>
  <c r="T60" i="11"/>
  <c r="O60" i="11"/>
  <c r="K60" i="11"/>
  <c r="T61" i="11"/>
  <c r="O61" i="11"/>
  <c r="K61" i="11"/>
  <c r="T62" i="11"/>
  <c r="O62" i="11"/>
  <c r="K62" i="11"/>
  <c r="T63" i="11"/>
  <c r="O63" i="11"/>
  <c r="K63" i="11"/>
  <c r="T64" i="11"/>
  <c r="O64" i="11"/>
  <c r="K64" i="11"/>
  <c r="T65" i="11"/>
  <c r="O65" i="11"/>
  <c r="K65" i="11"/>
  <c r="T66" i="11"/>
  <c r="O66" i="11"/>
  <c r="K66" i="11"/>
  <c r="T67" i="11"/>
  <c r="O67" i="11"/>
  <c r="K67" i="11"/>
  <c r="T68" i="11"/>
  <c r="O68" i="11"/>
  <c r="K68" i="11"/>
  <c r="T69" i="11"/>
  <c r="O69" i="11"/>
  <c r="K69" i="11"/>
  <c r="T70" i="11"/>
  <c r="O70" i="11"/>
  <c r="K70" i="11"/>
  <c r="T71" i="11"/>
  <c r="O71" i="11"/>
  <c r="K71" i="11"/>
  <c r="T72" i="11"/>
  <c r="O72" i="11"/>
  <c r="K72" i="11"/>
  <c r="T73" i="11"/>
  <c r="O73" i="11"/>
  <c r="K73" i="11"/>
  <c r="T74" i="11"/>
  <c r="O74" i="11"/>
  <c r="K74" i="11"/>
  <c r="T75" i="11"/>
  <c r="O75" i="11"/>
  <c r="K75" i="11"/>
  <c r="T76" i="11"/>
  <c r="O76" i="11"/>
  <c r="K76" i="11"/>
  <c r="T77" i="11"/>
  <c r="O77" i="11"/>
  <c r="K77" i="11"/>
  <c r="T78" i="11"/>
  <c r="O78" i="11"/>
  <c r="K78" i="11"/>
  <c r="T79" i="11"/>
  <c r="O79" i="11"/>
  <c r="K79" i="11"/>
  <c r="T140" i="11"/>
  <c r="O140" i="11"/>
  <c r="K140" i="11"/>
  <c r="T141" i="11"/>
  <c r="O141" i="11"/>
  <c r="K141" i="11"/>
  <c r="T142" i="11"/>
  <c r="O142" i="11"/>
  <c r="K142" i="11"/>
  <c r="T143" i="11"/>
  <c r="O143" i="11"/>
  <c r="K143" i="11"/>
  <c r="T144" i="11"/>
  <c r="O144" i="11"/>
  <c r="K144" i="11"/>
  <c r="T145" i="11"/>
  <c r="O145" i="11"/>
  <c r="K145" i="11"/>
  <c r="T146" i="11"/>
  <c r="O146" i="11"/>
  <c r="K146" i="11"/>
  <c r="T147" i="11"/>
  <c r="O147" i="11"/>
  <c r="K147" i="11"/>
  <c r="T148" i="11"/>
  <c r="O148" i="11"/>
  <c r="K148" i="11"/>
  <c r="T149" i="11"/>
  <c r="O149" i="11"/>
  <c r="K149" i="11"/>
  <c r="T150" i="11"/>
  <c r="O150" i="11"/>
  <c r="K150" i="11"/>
  <c r="T151" i="11"/>
  <c r="O151" i="11"/>
  <c r="K151" i="11"/>
  <c r="T152" i="11"/>
  <c r="O152" i="11"/>
  <c r="K152" i="11"/>
  <c r="T153" i="11"/>
  <c r="O153" i="11"/>
  <c r="K153" i="11"/>
  <c r="T154" i="11"/>
  <c r="O154" i="11"/>
  <c r="K154" i="11"/>
  <c r="T155" i="11"/>
  <c r="O155" i="11"/>
  <c r="K155" i="11"/>
  <c r="T156" i="11"/>
  <c r="O156" i="11"/>
  <c r="K156" i="11"/>
  <c r="T157" i="11"/>
  <c r="O157" i="11"/>
  <c r="K157" i="11"/>
  <c r="T158" i="11"/>
  <c r="O158" i="11"/>
  <c r="K158" i="11"/>
  <c r="T159" i="11"/>
  <c r="O159" i="11"/>
  <c r="K159" i="11"/>
  <c r="T160" i="11"/>
  <c r="O160" i="11"/>
  <c r="K160" i="11"/>
  <c r="T161" i="11"/>
  <c r="O161" i="11"/>
  <c r="K161" i="11"/>
  <c r="T162" i="11"/>
  <c r="O162" i="11"/>
  <c r="K162" i="11"/>
  <c r="T163" i="11"/>
  <c r="O163" i="11"/>
  <c r="K163" i="11"/>
  <c r="T164" i="11"/>
  <c r="O164" i="11"/>
  <c r="K164" i="11"/>
  <c r="T165" i="11"/>
  <c r="O165" i="11"/>
  <c r="K165" i="11"/>
  <c r="T166" i="11"/>
  <c r="O166" i="11"/>
  <c r="K166" i="11"/>
  <c r="T167" i="11"/>
  <c r="O167" i="11"/>
  <c r="K167" i="11"/>
  <c r="T168" i="11"/>
  <c r="O168" i="11"/>
  <c r="K168" i="11"/>
  <c r="T169" i="11"/>
  <c r="O169" i="11"/>
  <c r="K169" i="11"/>
  <c r="T80" i="11"/>
  <c r="O80" i="11"/>
  <c r="K80" i="11"/>
  <c r="T81" i="11"/>
  <c r="O81" i="11"/>
  <c r="K81" i="11"/>
  <c r="T82" i="11"/>
  <c r="O82" i="11"/>
  <c r="K82" i="11"/>
  <c r="T83" i="11"/>
  <c r="O83" i="11"/>
  <c r="K83" i="11"/>
  <c r="T84" i="11"/>
  <c r="O84" i="11"/>
  <c r="K84" i="11"/>
  <c r="T85" i="11"/>
  <c r="O85" i="11"/>
  <c r="K85" i="11"/>
  <c r="T86" i="11"/>
  <c r="O86" i="11"/>
  <c r="K86" i="11"/>
  <c r="T87" i="11"/>
  <c r="O87" i="11"/>
  <c r="K87" i="11"/>
  <c r="T88" i="11"/>
  <c r="O88" i="11"/>
  <c r="K88" i="11"/>
  <c r="T89" i="11"/>
  <c r="O89" i="11"/>
  <c r="K89" i="11"/>
  <c r="T90" i="11"/>
  <c r="O90" i="11"/>
  <c r="K90" i="11"/>
  <c r="T91" i="11"/>
  <c r="O91" i="11"/>
  <c r="K91" i="11"/>
  <c r="T92" i="11"/>
  <c r="O92" i="11"/>
  <c r="K92" i="11"/>
  <c r="T93" i="11"/>
  <c r="O93" i="11"/>
  <c r="K93" i="11"/>
  <c r="T94" i="11"/>
  <c r="O94" i="11"/>
  <c r="K94" i="11"/>
  <c r="T95" i="11"/>
  <c r="O95" i="11"/>
  <c r="K95" i="11"/>
  <c r="T96" i="11"/>
  <c r="O96" i="11"/>
  <c r="K96" i="11"/>
  <c r="T97" i="11"/>
  <c r="O97" i="11"/>
  <c r="K97" i="11"/>
  <c r="T98" i="11"/>
  <c r="O98" i="11"/>
  <c r="K98" i="11"/>
  <c r="T99" i="11"/>
  <c r="O99" i="11"/>
  <c r="K99" i="11"/>
  <c r="T100" i="11"/>
  <c r="O100" i="11"/>
  <c r="K100" i="11"/>
  <c r="T101" i="11"/>
  <c r="O101" i="11"/>
  <c r="K101" i="11"/>
  <c r="T102" i="11"/>
  <c r="O102" i="11"/>
  <c r="K102" i="11"/>
  <c r="T103" i="11"/>
  <c r="O103" i="11"/>
  <c r="K103" i="11"/>
  <c r="T104" i="11"/>
  <c r="O104" i="11"/>
  <c r="K104" i="11"/>
  <c r="T105" i="11"/>
  <c r="O105" i="11"/>
  <c r="K105" i="11"/>
  <c r="T106" i="11"/>
  <c r="O106" i="11"/>
  <c r="K106" i="11"/>
  <c r="T107" i="11"/>
  <c r="O107" i="11"/>
  <c r="K107" i="11"/>
  <c r="T108" i="11"/>
  <c r="O108" i="11"/>
  <c r="K108" i="11"/>
  <c r="T109" i="11"/>
  <c r="O109" i="11"/>
  <c r="K109" i="11"/>
  <c r="T110" i="11"/>
  <c r="O110" i="11"/>
  <c r="K110" i="11"/>
  <c r="T111" i="11"/>
  <c r="O111" i="11"/>
  <c r="K111" i="11"/>
  <c r="T112" i="11"/>
  <c r="O112" i="11"/>
  <c r="K112" i="11"/>
  <c r="T113" i="11"/>
  <c r="O113" i="11"/>
  <c r="K113" i="11"/>
  <c r="T114" i="11"/>
  <c r="O114" i="11"/>
  <c r="K114" i="11"/>
  <c r="T115" i="11"/>
  <c r="O115" i="11"/>
  <c r="K115" i="11"/>
  <c r="T116" i="11"/>
  <c r="O116" i="11"/>
  <c r="K116" i="11"/>
  <c r="T117" i="11"/>
  <c r="O117" i="11"/>
  <c r="K117" i="11"/>
  <c r="T118" i="11"/>
  <c r="O118" i="11"/>
  <c r="K118" i="11"/>
  <c r="T119" i="11"/>
  <c r="O119" i="11"/>
  <c r="K119" i="11"/>
  <c r="T120" i="11"/>
  <c r="O120" i="11"/>
  <c r="K120" i="11"/>
  <c r="T121" i="11"/>
  <c r="O121" i="11"/>
  <c r="K121" i="11"/>
  <c r="T122" i="11"/>
  <c r="O122" i="11"/>
  <c r="K122" i="11"/>
  <c r="T123" i="11"/>
  <c r="O123" i="11"/>
  <c r="K123" i="11"/>
  <c r="T124" i="11"/>
  <c r="O124" i="11"/>
  <c r="K124" i="11"/>
  <c r="T125" i="11"/>
  <c r="O125" i="11"/>
  <c r="K125" i="11"/>
  <c r="T126" i="11"/>
  <c r="O126" i="11"/>
  <c r="K126" i="11"/>
  <c r="T127" i="11"/>
  <c r="O127" i="11"/>
  <c r="K127" i="11"/>
  <c r="T128" i="11"/>
  <c r="O128" i="11"/>
  <c r="K128" i="11"/>
  <c r="T129" i="11"/>
  <c r="O129" i="11"/>
  <c r="K129" i="11"/>
  <c r="T130" i="11"/>
  <c r="O130" i="11"/>
  <c r="K130" i="11"/>
  <c r="T131" i="11"/>
  <c r="O131" i="11"/>
  <c r="K131" i="11"/>
  <c r="T132" i="11"/>
  <c r="O132" i="11"/>
  <c r="K132" i="11"/>
  <c r="T133" i="11"/>
  <c r="O133" i="11"/>
  <c r="K133" i="11"/>
  <c r="T134" i="11"/>
  <c r="O134" i="11"/>
  <c r="K134" i="11"/>
  <c r="T135" i="11"/>
  <c r="O135" i="11"/>
  <c r="K135" i="11"/>
  <c r="T136" i="11"/>
  <c r="O136" i="11"/>
  <c r="K136" i="11"/>
  <c r="T137" i="11"/>
  <c r="O137" i="11"/>
  <c r="K137" i="11"/>
  <c r="T138" i="11"/>
  <c r="O138" i="11"/>
  <c r="K138" i="11"/>
  <c r="T139" i="11"/>
  <c r="O139" i="11"/>
  <c r="K139" i="11"/>
  <c r="T201" i="11"/>
  <c r="O201" i="11"/>
  <c r="K201" i="11"/>
  <c r="T202" i="11"/>
  <c r="O202" i="11"/>
  <c r="K202" i="11"/>
  <c r="T203" i="11"/>
  <c r="O203" i="11"/>
  <c r="K203" i="11"/>
  <c r="T204" i="11"/>
  <c r="O204" i="11"/>
  <c r="K204" i="11"/>
  <c r="T205" i="11"/>
  <c r="O205" i="11"/>
  <c r="K205" i="11"/>
  <c r="T206" i="11"/>
  <c r="O206" i="11"/>
  <c r="K206" i="11"/>
  <c r="T207" i="11"/>
  <c r="O207" i="11"/>
  <c r="K207" i="11"/>
  <c r="K207" i="9"/>
  <c r="N207" i="9"/>
  <c r="K206" i="9"/>
  <c r="N206" i="9"/>
  <c r="K205" i="9"/>
  <c r="N205" i="9"/>
  <c r="K204" i="9"/>
  <c r="N204" i="9"/>
  <c r="K203" i="9"/>
  <c r="N203" i="9"/>
  <c r="K202" i="9"/>
  <c r="N202" i="9"/>
  <c r="K201" i="9"/>
  <c r="N201" i="9"/>
  <c r="K200" i="9"/>
  <c r="N200" i="9"/>
  <c r="T200" i="11"/>
  <c r="O200" i="11"/>
  <c r="K200" i="11"/>
  <c r="K199" i="9"/>
  <c r="N199" i="9"/>
  <c r="T199" i="11"/>
  <c r="O199" i="11"/>
  <c r="K199" i="11"/>
  <c r="K198" i="9"/>
  <c r="N198" i="9"/>
  <c r="T198" i="11"/>
  <c r="O198" i="11"/>
  <c r="K198" i="11"/>
  <c r="K197" i="9"/>
  <c r="N197" i="9"/>
  <c r="T197" i="11"/>
  <c r="O197" i="11"/>
  <c r="K197" i="11"/>
  <c r="K196" i="9"/>
  <c r="N196" i="9"/>
  <c r="T196" i="11"/>
  <c r="O196" i="11"/>
  <c r="K196" i="11"/>
  <c r="K195" i="9"/>
  <c r="N195" i="9"/>
  <c r="T195" i="11"/>
  <c r="O195" i="11"/>
  <c r="K195" i="11"/>
  <c r="K194" i="9"/>
  <c r="N194" i="9"/>
  <c r="T194" i="11"/>
  <c r="O194" i="11"/>
  <c r="K194" i="11"/>
  <c r="K193" i="9"/>
  <c r="N193" i="9"/>
  <c r="T193" i="11"/>
  <c r="O193" i="11"/>
  <c r="K193" i="11"/>
  <c r="K192" i="9"/>
  <c r="N192" i="9"/>
  <c r="T192" i="11"/>
  <c r="O192" i="11"/>
  <c r="K192" i="11"/>
  <c r="T191" i="11"/>
  <c r="O191" i="11"/>
  <c r="K191" i="11"/>
  <c r="M190" i="4"/>
  <c r="T190" i="11"/>
  <c r="O190" i="11"/>
  <c r="K190" i="11"/>
  <c r="T189" i="11"/>
  <c r="O189" i="11"/>
  <c r="K189" i="11"/>
  <c r="T188" i="11"/>
  <c r="O188" i="11"/>
  <c r="K188" i="11"/>
  <c r="T187" i="11"/>
  <c r="O187" i="11"/>
  <c r="K187" i="11"/>
  <c r="K186" i="9"/>
  <c r="T186" i="11"/>
  <c r="O186" i="11"/>
  <c r="K186" i="11"/>
  <c r="T185" i="11"/>
  <c r="O185" i="11"/>
  <c r="K185" i="11"/>
  <c r="T184" i="11"/>
  <c r="O184" i="11"/>
  <c r="K184" i="11"/>
  <c r="T183" i="11"/>
  <c r="O183" i="11"/>
  <c r="K183" i="11"/>
  <c r="T182" i="11"/>
  <c r="O182" i="11"/>
  <c r="K182" i="11"/>
  <c r="T181" i="11"/>
  <c r="O181" i="11"/>
  <c r="K181" i="11"/>
  <c r="T180" i="11"/>
  <c r="O180" i="11"/>
  <c r="K180" i="11"/>
  <c r="T179" i="11"/>
  <c r="O179" i="11"/>
  <c r="K179" i="11"/>
  <c r="T178" i="11"/>
  <c r="O178" i="11"/>
  <c r="K178" i="11"/>
  <c r="T177" i="11"/>
  <c r="O177" i="11"/>
  <c r="K177" i="11"/>
  <c r="T176" i="11"/>
  <c r="O176" i="11"/>
  <c r="K176" i="11"/>
  <c r="K175" i="9"/>
  <c r="T175" i="11"/>
  <c r="O175" i="11"/>
  <c r="K175" i="11"/>
  <c r="K174" i="9"/>
  <c r="T174" i="11"/>
  <c r="O174" i="11"/>
  <c r="K174" i="11"/>
  <c r="T173" i="11"/>
  <c r="O173" i="11"/>
  <c r="K173" i="11"/>
  <c r="T172" i="11"/>
  <c r="O172" i="11"/>
  <c r="K172" i="11"/>
  <c r="T171" i="11"/>
  <c r="O171" i="11"/>
  <c r="K171" i="11"/>
  <c r="T170" i="11"/>
  <c r="O170" i="11"/>
  <c r="K170" i="11"/>
  <c r="K158" i="9"/>
  <c r="N149" i="9"/>
  <c r="K149" i="9"/>
  <c r="M129" i="4"/>
  <c r="K126" i="9"/>
  <c r="K124" i="9"/>
  <c r="N120" i="9"/>
  <c r="K120" i="9"/>
  <c r="N116" i="9"/>
  <c r="K116" i="9"/>
  <c r="K109" i="9"/>
  <c r="N109" i="9"/>
  <c r="K108" i="9"/>
  <c r="N108" i="9"/>
  <c r="K107" i="9"/>
  <c r="N107" i="9"/>
  <c r="K106" i="9"/>
  <c r="N106" i="9"/>
  <c r="K105" i="9"/>
  <c r="N105" i="9"/>
  <c r="K104" i="9"/>
  <c r="N104" i="9"/>
  <c r="K103" i="9"/>
  <c r="N103" i="9"/>
  <c r="K102" i="9"/>
  <c r="N102" i="9"/>
  <c r="K101" i="9"/>
  <c r="N101" i="9"/>
  <c r="K100" i="9"/>
  <c r="N100" i="9"/>
  <c r="K99" i="9"/>
  <c r="N99" i="9"/>
  <c r="K98" i="9"/>
  <c r="N98" i="9"/>
  <c r="K97" i="9"/>
  <c r="N97" i="9"/>
  <c r="K96" i="9"/>
  <c r="N96" i="9"/>
  <c r="K95" i="9"/>
  <c r="N95" i="9"/>
  <c r="K94" i="9"/>
  <c r="N94" i="9"/>
  <c r="K93" i="9"/>
  <c r="N93" i="9"/>
  <c r="K92" i="9"/>
  <c r="N92" i="9"/>
  <c r="K91" i="9"/>
  <c r="N91" i="9"/>
  <c r="K90" i="9"/>
  <c r="N90" i="9"/>
  <c r="K89" i="9"/>
  <c r="N89" i="9"/>
  <c r="K88" i="9"/>
  <c r="N88" i="9"/>
  <c r="K87" i="9"/>
  <c r="N87" i="9"/>
  <c r="K86" i="9"/>
  <c r="N86" i="9"/>
  <c r="K85" i="9"/>
  <c r="N85" i="9"/>
  <c r="K84" i="9"/>
  <c r="N84" i="9"/>
  <c r="K83" i="9"/>
  <c r="N83" i="9"/>
  <c r="K82" i="9"/>
  <c r="N82" i="9"/>
  <c r="K81" i="9"/>
  <c r="N81" i="9"/>
  <c r="K80" i="9"/>
  <c r="N80" i="9"/>
  <c r="K79" i="9"/>
  <c r="N79" i="9"/>
  <c r="K78" i="9"/>
  <c r="N78" i="9"/>
  <c r="K77" i="9"/>
  <c r="N77" i="9"/>
  <c r="K76" i="9"/>
  <c r="N76" i="9"/>
  <c r="K75" i="9"/>
  <c r="N75" i="9"/>
  <c r="K74" i="9"/>
  <c r="N74" i="9"/>
  <c r="K73" i="9"/>
  <c r="N73" i="9"/>
  <c r="K72" i="9"/>
  <c r="N72" i="9"/>
  <c r="K71" i="9"/>
  <c r="N71" i="9"/>
  <c r="K70" i="9"/>
  <c r="N70" i="9"/>
  <c r="K69" i="9"/>
  <c r="N69" i="9"/>
  <c r="K68" i="9"/>
  <c r="N68" i="9"/>
  <c r="K67" i="9"/>
  <c r="N67" i="9"/>
  <c r="K66" i="9"/>
  <c r="N66" i="9"/>
  <c r="K65" i="9"/>
  <c r="N65" i="9"/>
  <c r="K64" i="9"/>
  <c r="N64" i="9"/>
  <c r="K63" i="9"/>
  <c r="N63" i="9"/>
  <c r="K62" i="9"/>
  <c r="N62" i="9"/>
  <c r="K61" i="9"/>
  <c r="N61" i="9"/>
  <c r="K60" i="9"/>
  <c r="N60" i="9"/>
  <c r="K59" i="9"/>
  <c r="N59" i="9"/>
  <c r="K58" i="9"/>
  <c r="N58" i="9"/>
  <c r="K57" i="9"/>
  <c r="N57" i="9"/>
  <c r="K56" i="9"/>
  <c r="N56" i="9"/>
  <c r="K55" i="9"/>
  <c r="N55" i="9"/>
  <c r="K54" i="9"/>
  <c r="N54" i="9"/>
  <c r="K53" i="9"/>
  <c r="N53" i="9"/>
  <c r="K52" i="9"/>
  <c r="N52" i="9"/>
  <c r="K51" i="9"/>
  <c r="N51" i="9"/>
  <c r="K50" i="9"/>
  <c r="N50" i="9"/>
  <c r="K49" i="9"/>
  <c r="N49" i="9"/>
  <c r="K48" i="9"/>
  <c r="N48" i="9"/>
  <c r="K47" i="9"/>
  <c r="N47" i="9"/>
  <c r="K46" i="9"/>
  <c r="N46" i="9"/>
  <c r="K45" i="9"/>
  <c r="N45" i="9"/>
  <c r="K44" i="9"/>
  <c r="N44" i="9"/>
  <c r="K43" i="9"/>
  <c r="N43" i="9"/>
  <c r="K42" i="9"/>
  <c r="N42" i="9"/>
  <c r="K41" i="9"/>
  <c r="N41" i="9"/>
  <c r="K40" i="9"/>
  <c r="N40" i="9"/>
  <c r="K39" i="9"/>
  <c r="N39" i="9"/>
  <c r="K38" i="9"/>
  <c r="N38" i="9"/>
  <c r="K37" i="9"/>
  <c r="N37" i="9"/>
  <c r="K36" i="9"/>
  <c r="N36" i="9"/>
  <c r="K35" i="9"/>
  <c r="N35" i="9"/>
  <c r="K34" i="9"/>
  <c r="N34" i="9"/>
  <c r="K33" i="9"/>
  <c r="N33" i="9"/>
  <c r="K32" i="9"/>
  <c r="N32" i="9"/>
  <c r="K31" i="9"/>
  <c r="N31" i="9"/>
  <c r="K30" i="9"/>
  <c r="N30" i="9"/>
  <c r="K29" i="9"/>
  <c r="N29" i="9"/>
  <c r="K28" i="9"/>
  <c r="N28" i="9"/>
  <c r="K27" i="9"/>
  <c r="N27" i="9"/>
  <c r="K26" i="9"/>
  <c r="N26" i="9"/>
  <c r="K25" i="9"/>
  <c r="N25" i="9"/>
  <c r="K24" i="9"/>
  <c r="N24" i="9"/>
  <c r="K23" i="9"/>
  <c r="N23" i="9"/>
  <c r="K22" i="9"/>
  <c r="N22" i="9"/>
  <c r="K21" i="9"/>
  <c r="N21" i="9"/>
  <c r="K20" i="9"/>
  <c r="N20" i="9"/>
  <c r="K19" i="9"/>
  <c r="N19" i="9"/>
  <c r="K18" i="9"/>
  <c r="N18" i="9"/>
  <c r="N17" i="9"/>
  <c r="K17" i="9" s="1"/>
  <c r="N16" i="9"/>
  <c r="K16" i="9" s="1"/>
  <c r="N15" i="9"/>
  <c r="K15" i="9" s="1"/>
  <c r="N14" i="9"/>
  <c r="K14" i="9" s="1"/>
  <c r="N13" i="9"/>
  <c r="K13" i="9" s="1"/>
  <c r="N12" i="9"/>
  <c r="K12" i="9" s="1"/>
  <c r="N11" i="9"/>
  <c r="K11" i="9" s="1"/>
  <c r="N10" i="9"/>
  <c r="K10" i="9" s="1"/>
  <c r="N9" i="9"/>
  <c r="K9" i="9" s="1"/>
  <c r="N8" i="9"/>
  <c r="K8" i="9" s="1"/>
  <c r="E225" i="3"/>
  <c r="F225" i="3"/>
  <c r="E224" i="3"/>
  <c r="F224" i="3"/>
  <c r="E223" i="3"/>
  <c r="F223" i="3"/>
  <c r="E222" i="3"/>
  <c r="F222" i="3"/>
  <c r="E221" i="3"/>
  <c r="F221" i="3"/>
  <c r="E220" i="3"/>
  <c r="F220" i="3"/>
  <c r="E219" i="3"/>
  <c r="F219" i="3"/>
  <c r="E218" i="3"/>
  <c r="F218" i="3"/>
  <c r="E217" i="3"/>
  <c r="F217" i="3"/>
  <c r="E216" i="3"/>
  <c r="F216" i="3"/>
  <c r="E215" i="3"/>
  <c r="F215" i="3"/>
  <c r="E214" i="3"/>
  <c r="F214" i="3"/>
  <c r="E213" i="3"/>
  <c r="F213" i="3"/>
  <c r="E212" i="3"/>
  <c r="F212" i="3"/>
  <c r="E211" i="3"/>
  <c r="F211" i="3"/>
  <c r="E210" i="3"/>
  <c r="F210" i="3"/>
  <c r="E209" i="3"/>
  <c r="F209" i="3"/>
  <c r="E208" i="3"/>
  <c r="F208" i="3"/>
  <c r="E207" i="3"/>
  <c r="F207" i="3"/>
  <c r="E206" i="3"/>
  <c r="F206" i="3"/>
  <c r="E205" i="3"/>
  <c r="F205" i="3"/>
  <c r="E204" i="3"/>
  <c r="F204" i="3"/>
  <c r="E203" i="3"/>
  <c r="F203" i="3"/>
  <c r="E202" i="3"/>
  <c r="F202" i="3"/>
  <c r="E201" i="3"/>
  <c r="F201" i="3"/>
  <c r="E200" i="3"/>
  <c r="F200" i="3"/>
  <c r="E199" i="3"/>
  <c r="F199" i="3"/>
  <c r="E198" i="3"/>
  <c r="F198" i="3"/>
  <c r="E197" i="3"/>
  <c r="F197" i="3"/>
  <c r="E196" i="3"/>
  <c r="F196" i="3"/>
  <c r="E195" i="3"/>
  <c r="F195" i="3"/>
  <c r="E194" i="3"/>
  <c r="F194" i="3"/>
  <c r="E193" i="3"/>
  <c r="F193" i="3"/>
  <c r="E192" i="3"/>
  <c r="F192" i="3"/>
  <c r="E191" i="3"/>
  <c r="F191" i="3"/>
  <c r="E190" i="3"/>
  <c r="F190" i="3"/>
  <c r="E189" i="3"/>
  <c r="F189" i="3"/>
  <c r="E188" i="3"/>
  <c r="F188" i="3"/>
  <c r="E187" i="3"/>
  <c r="F187" i="3"/>
  <c r="E186" i="3"/>
  <c r="F186" i="3"/>
  <c r="E185" i="3"/>
  <c r="F185" i="3"/>
  <c r="E184" i="3"/>
  <c r="F184" i="3"/>
  <c r="E183" i="3"/>
  <c r="F183" i="3"/>
  <c r="E182" i="3"/>
  <c r="F182" i="3"/>
  <c r="E181" i="3"/>
  <c r="F181" i="3"/>
  <c r="E180" i="3"/>
  <c r="F180" i="3"/>
  <c r="E179" i="3"/>
  <c r="F179" i="3"/>
  <c r="E178" i="3"/>
  <c r="F178" i="3"/>
  <c r="E177" i="3"/>
  <c r="F177" i="3"/>
  <c r="E176" i="3"/>
  <c r="F176" i="3"/>
  <c r="E175" i="3"/>
  <c r="F175" i="3"/>
  <c r="E174" i="3"/>
  <c r="F174" i="3"/>
  <c r="E173" i="3"/>
  <c r="F173" i="3"/>
  <c r="E172" i="3"/>
  <c r="F172" i="3"/>
  <c r="E171" i="3"/>
  <c r="F171" i="3"/>
  <c r="E170" i="3"/>
  <c r="F170" i="3"/>
  <c r="E169" i="3"/>
  <c r="F169" i="3"/>
  <c r="E168" i="3"/>
  <c r="F168" i="3"/>
  <c r="E167" i="3"/>
  <c r="F167" i="3"/>
  <c r="E166" i="3"/>
  <c r="F166" i="3"/>
  <c r="E165" i="3"/>
  <c r="F165" i="3"/>
  <c r="E164" i="3"/>
  <c r="F164" i="3"/>
  <c r="E163" i="3"/>
  <c r="F163" i="3"/>
  <c r="E162" i="3"/>
  <c r="F162" i="3"/>
  <c r="E161" i="3"/>
  <c r="F161" i="3"/>
  <c r="E160" i="3"/>
  <c r="F160" i="3"/>
  <c r="E159" i="3"/>
  <c r="F159" i="3"/>
  <c r="E158" i="3"/>
  <c r="F158" i="3"/>
  <c r="E157" i="3"/>
  <c r="F157" i="3"/>
  <c r="E156" i="3"/>
  <c r="F156" i="3"/>
  <c r="E155" i="3"/>
  <c r="F155" i="3"/>
  <c r="E154" i="3"/>
  <c r="F154" i="3"/>
  <c r="E153" i="3"/>
  <c r="F153" i="3"/>
  <c r="E152" i="3"/>
  <c r="F152" i="3"/>
  <c r="E151" i="3"/>
  <c r="F151" i="3"/>
  <c r="E150" i="3"/>
  <c r="F150" i="3"/>
  <c r="E149" i="3"/>
  <c r="F149" i="3"/>
  <c r="E148" i="3"/>
  <c r="F148" i="3"/>
  <c r="E147" i="3"/>
  <c r="F147" i="3"/>
  <c r="E146" i="3"/>
  <c r="F146" i="3"/>
  <c r="E145" i="3"/>
  <c r="F145" i="3"/>
  <c r="E144" i="3"/>
  <c r="F144" i="3"/>
  <c r="E143" i="3"/>
  <c r="F143" i="3"/>
  <c r="E142" i="3"/>
  <c r="F142" i="3"/>
  <c r="E141" i="3"/>
  <c r="F141" i="3"/>
  <c r="E140" i="3"/>
  <c r="F140" i="3"/>
  <c r="E139" i="3"/>
  <c r="F139" i="3"/>
  <c r="E138" i="3"/>
  <c r="F138" i="3"/>
  <c r="E137" i="3"/>
  <c r="F137" i="3"/>
  <c r="E136" i="3"/>
  <c r="F136" i="3"/>
  <c r="E135" i="3"/>
  <c r="F135" i="3"/>
  <c r="E134" i="3"/>
  <c r="F134" i="3"/>
  <c r="E133" i="3"/>
  <c r="F133" i="3"/>
  <c r="E132" i="3"/>
  <c r="F132" i="3"/>
  <c r="E131" i="3"/>
  <c r="F131" i="3"/>
  <c r="E130" i="3"/>
  <c r="F130" i="3"/>
  <c r="E129" i="3"/>
  <c r="F129" i="3"/>
  <c r="E128" i="3"/>
  <c r="F128" i="3"/>
  <c r="E127" i="3"/>
  <c r="F127" i="3"/>
  <c r="E126" i="3"/>
  <c r="F126" i="3"/>
  <c r="E125" i="3"/>
  <c r="F125" i="3"/>
  <c r="E124" i="3"/>
  <c r="F124" i="3"/>
  <c r="E123" i="3"/>
  <c r="F123" i="3"/>
  <c r="E122" i="3"/>
  <c r="F122" i="3"/>
  <c r="E121" i="3"/>
  <c r="F121" i="3"/>
  <c r="E120" i="3"/>
  <c r="F120" i="3"/>
  <c r="E119" i="3"/>
  <c r="F119" i="3"/>
  <c r="E118" i="3"/>
  <c r="F118" i="3"/>
  <c r="E117" i="3"/>
  <c r="F117" i="3"/>
  <c r="E116" i="3"/>
  <c r="F116" i="3"/>
  <c r="E115" i="3"/>
  <c r="F115" i="3"/>
  <c r="E114" i="3"/>
  <c r="F114" i="3"/>
  <c r="E113" i="3"/>
  <c r="F113" i="3"/>
  <c r="E112" i="3"/>
  <c r="F112" i="3"/>
  <c r="E111" i="3"/>
  <c r="F111" i="3"/>
  <c r="E110" i="3"/>
  <c r="F110" i="3"/>
  <c r="E109" i="3"/>
  <c r="F109" i="3"/>
  <c r="E108" i="3"/>
  <c r="F108" i="3"/>
  <c r="E107" i="3"/>
  <c r="F107" i="3"/>
  <c r="E106" i="3"/>
  <c r="F106" i="3"/>
  <c r="E105" i="3"/>
  <c r="F105" i="3"/>
  <c r="E104" i="3"/>
  <c r="F104" i="3"/>
  <c r="E103" i="3"/>
  <c r="F103" i="3"/>
  <c r="E102" i="3"/>
  <c r="F102" i="3"/>
  <c r="E101" i="3"/>
  <c r="F101" i="3"/>
  <c r="E100" i="3"/>
  <c r="F100" i="3"/>
  <c r="E99" i="3"/>
  <c r="F99" i="3"/>
  <c r="E98" i="3"/>
  <c r="F98" i="3"/>
  <c r="E97" i="3"/>
  <c r="F97" i="3"/>
  <c r="E96" i="3"/>
  <c r="F96" i="3"/>
  <c r="E95" i="3"/>
  <c r="F95" i="3"/>
  <c r="E94" i="3"/>
  <c r="F94" i="3"/>
  <c r="E93" i="3"/>
  <c r="F93" i="3"/>
  <c r="E92" i="3"/>
  <c r="F92" i="3"/>
  <c r="E91" i="3"/>
  <c r="F91" i="3"/>
  <c r="E90" i="3"/>
  <c r="F90" i="3"/>
  <c r="E89" i="3"/>
  <c r="F89" i="3"/>
  <c r="E88" i="3"/>
  <c r="F88" i="3"/>
  <c r="E87" i="3"/>
  <c r="F87" i="3"/>
  <c r="E86" i="3"/>
  <c r="F86" i="3"/>
  <c r="E85" i="3"/>
  <c r="F85" i="3"/>
  <c r="E84" i="3"/>
  <c r="F84" i="3"/>
  <c r="E83" i="3"/>
  <c r="F83" i="3"/>
  <c r="E82" i="3"/>
  <c r="F82" i="3"/>
  <c r="E81" i="3"/>
  <c r="F81" i="3"/>
  <c r="E80" i="3"/>
  <c r="F80" i="3"/>
  <c r="E79" i="3"/>
  <c r="F79" i="3"/>
  <c r="E78" i="3"/>
  <c r="F78" i="3"/>
  <c r="E77" i="3"/>
  <c r="F77" i="3"/>
  <c r="E76" i="3"/>
  <c r="F76" i="3"/>
  <c r="E75" i="3"/>
  <c r="F75" i="3"/>
  <c r="E74" i="3"/>
  <c r="F74" i="3"/>
  <c r="E73" i="3"/>
  <c r="F73" i="3"/>
  <c r="E72" i="3"/>
  <c r="F72" i="3"/>
  <c r="E71" i="3"/>
  <c r="F71" i="3"/>
  <c r="E70" i="3"/>
  <c r="F70" i="3"/>
  <c r="E69" i="3"/>
  <c r="F69" i="3"/>
  <c r="E68" i="3"/>
  <c r="F68" i="3"/>
  <c r="E67" i="3"/>
  <c r="F67" i="3"/>
  <c r="E66" i="3"/>
  <c r="F66" i="3"/>
  <c r="E65" i="3"/>
  <c r="F65" i="3"/>
  <c r="E64" i="3"/>
  <c r="F64" i="3"/>
  <c r="E63" i="3"/>
  <c r="F63" i="3"/>
  <c r="E62" i="3"/>
  <c r="F62" i="3"/>
  <c r="E61" i="3"/>
  <c r="F61" i="3"/>
  <c r="E60" i="3"/>
  <c r="F60" i="3"/>
  <c r="E59" i="3"/>
  <c r="F59" i="3"/>
  <c r="E58" i="3"/>
  <c r="F58" i="3"/>
  <c r="E57" i="3"/>
  <c r="F57" i="3"/>
  <c r="E56" i="3"/>
  <c r="F56" i="3"/>
  <c r="E55" i="3"/>
  <c r="F55" i="3"/>
  <c r="E54" i="3"/>
  <c r="F54" i="3"/>
  <c r="E53" i="3"/>
  <c r="F53" i="3"/>
  <c r="E52" i="3"/>
  <c r="F52" i="3"/>
  <c r="E51" i="3"/>
  <c r="F51" i="3"/>
  <c r="E50" i="3"/>
  <c r="F50" i="3"/>
  <c r="E49" i="3"/>
  <c r="F49" i="3"/>
  <c r="E48" i="3"/>
  <c r="F48" i="3"/>
  <c r="E47" i="3"/>
  <c r="F47" i="3"/>
  <c r="E46" i="3"/>
  <c r="F46" i="3"/>
  <c r="E45" i="3"/>
  <c r="F45" i="3"/>
  <c r="E44" i="3"/>
  <c r="F44" i="3"/>
  <c r="E43" i="3"/>
  <c r="F43" i="3"/>
  <c r="E42" i="3"/>
  <c r="F42" i="3"/>
  <c r="E41" i="3"/>
  <c r="F41" i="3"/>
  <c r="E40" i="3"/>
  <c r="F40" i="3"/>
  <c r="E39" i="3"/>
  <c r="F39" i="3"/>
  <c r="E38" i="3"/>
  <c r="F38" i="3"/>
  <c r="E37" i="3"/>
  <c r="F37" i="3"/>
  <c r="E36" i="3"/>
  <c r="F36" i="3"/>
  <c r="E35" i="3"/>
  <c r="E34" i="3"/>
  <c r="E33" i="3"/>
  <c r="E32" i="3"/>
  <c r="E31" i="3"/>
  <c r="E30" i="3"/>
  <c r="E29" i="3"/>
  <c r="F29" i="3" s="1"/>
  <c r="E28" i="3"/>
  <c r="E27" i="3"/>
  <c r="E26" i="3"/>
  <c r="C37" i="3"/>
  <c r="D37" i="3"/>
  <c r="C36" i="3"/>
  <c r="D36" i="3"/>
  <c r="D35" i="3"/>
  <c r="C35" i="3"/>
  <c r="C34" i="3"/>
  <c r="C33" i="3"/>
  <c r="C32" i="3"/>
  <c r="C31" i="3"/>
  <c r="C30" i="3"/>
  <c r="D29" i="3"/>
  <c r="C29" i="3"/>
  <c r="C28" i="3"/>
  <c r="C27" i="3"/>
  <c r="C26" i="3"/>
  <c r="C225" i="3"/>
  <c r="D225" i="3"/>
  <c r="D224" i="3"/>
  <c r="C224" i="3"/>
  <c r="D223" i="3"/>
  <c r="C223" i="3"/>
  <c r="C222" i="3"/>
  <c r="D222" i="3"/>
  <c r="D221" i="3"/>
  <c r="C221" i="3"/>
  <c r="D220" i="3"/>
  <c r="C220" i="3"/>
  <c r="C219" i="3"/>
  <c r="D219" i="3"/>
  <c r="C218" i="3"/>
  <c r="D218" i="3"/>
  <c r="D217" i="3"/>
  <c r="C217" i="3"/>
  <c r="D216" i="3"/>
  <c r="C216" i="3"/>
  <c r="C215" i="3"/>
  <c r="D215" i="3"/>
  <c r="C214" i="3"/>
  <c r="D214" i="3"/>
  <c r="D213" i="3"/>
  <c r="C213" i="3"/>
  <c r="C212" i="3"/>
  <c r="D212" i="3"/>
  <c r="C211" i="3"/>
  <c r="D211" i="3"/>
  <c r="C210" i="3"/>
  <c r="D210" i="3"/>
  <c r="C209" i="3"/>
  <c r="D209" i="3"/>
  <c r="D208" i="3"/>
  <c r="C208" i="3"/>
  <c r="C207" i="3"/>
  <c r="D207" i="3"/>
  <c r="C206" i="3"/>
  <c r="D206" i="3"/>
  <c r="C205" i="3"/>
  <c r="D205" i="3"/>
  <c r="C204" i="3"/>
  <c r="D204" i="3"/>
  <c r="C203" i="3"/>
  <c r="D203" i="3"/>
  <c r="C202" i="3"/>
  <c r="D202" i="3"/>
  <c r="C201" i="3"/>
  <c r="D201" i="3"/>
  <c r="C200" i="3"/>
  <c r="D200" i="3"/>
  <c r="D199" i="3"/>
  <c r="C199" i="3"/>
  <c r="D198" i="3"/>
  <c r="C198" i="3"/>
  <c r="C197" i="3"/>
  <c r="D197" i="3"/>
  <c r="D196" i="3"/>
  <c r="C196" i="3"/>
  <c r="D195" i="3"/>
  <c r="C195" i="3"/>
  <c r="C194" i="3"/>
  <c r="D194" i="3"/>
  <c r="D193" i="3"/>
  <c r="C193" i="3"/>
  <c r="D192" i="3"/>
  <c r="D122" i="3"/>
  <c r="C122" i="3"/>
  <c r="C192" i="3"/>
  <c r="C191" i="3"/>
  <c r="D191" i="3"/>
  <c r="D190" i="3"/>
  <c r="C190" i="3"/>
  <c r="D189" i="3"/>
  <c r="C189" i="3"/>
  <c r="C188" i="3"/>
  <c r="D188" i="3"/>
  <c r="C187" i="3"/>
  <c r="D187" i="3"/>
  <c r="D186" i="3"/>
  <c r="C186" i="3"/>
  <c r="C185" i="3"/>
  <c r="C121" i="3"/>
  <c r="D121" i="3"/>
  <c r="D120" i="3"/>
  <c r="D185" i="3"/>
  <c r="D184" i="3"/>
  <c r="C184" i="3"/>
  <c r="C183" i="3"/>
  <c r="D183" i="3"/>
  <c r="C182" i="3"/>
  <c r="D182" i="3"/>
  <c r="D181" i="3"/>
  <c r="C181" i="3"/>
  <c r="C180" i="3"/>
  <c r="D180" i="3"/>
  <c r="D179" i="3"/>
  <c r="C179" i="3"/>
  <c r="D178" i="3"/>
  <c r="C178" i="3"/>
  <c r="C177" i="3"/>
  <c r="D177" i="3"/>
  <c r="D176" i="3"/>
  <c r="C176" i="3"/>
  <c r="D175" i="3"/>
  <c r="C175" i="3"/>
  <c r="C174" i="3"/>
  <c r="D174" i="3"/>
  <c r="D173" i="3"/>
  <c r="C173" i="3"/>
  <c r="D172" i="3"/>
  <c r="C172" i="3"/>
  <c r="C171" i="3"/>
  <c r="D171" i="3"/>
  <c r="C170" i="3"/>
  <c r="D170" i="3"/>
  <c r="C169" i="3"/>
  <c r="D169" i="3"/>
  <c r="D168" i="3"/>
  <c r="C168" i="3"/>
  <c r="D167" i="3"/>
  <c r="C167" i="3"/>
  <c r="D166" i="3"/>
  <c r="C166" i="3"/>
  <c r="D165" i="3"/>
  <c r="C165" i="3"/>
  <c r="C164" i="3"/>
  <c r="D164" i="3"/>
  <c r="D163" i="3"/>
  <c r="C163" i="3"/>
  <c r="D162" i="3"/>
  <c r="C162" i="3"/>
  <c r="D161" i="3"/>
  <c r="C161" i="3"/>
  <c r="D160" i="3"/>
  <c r="C160" i="3"/>
  <c r="C159" i="3"/>
  <c r="D159" i="3"/>
  <c r="C158" i="3"/>
  <c r="D158" i="3"/>
  <c r="C157" i="3"/>
  <c r="D157" i="3"/>
  <c r="C156" i="3"/>
  <c r="D156" i="3"/>
  <c r="D155" i="3"/>
  <c r="C155" i="3"/>
  <c r="C154" i="3"/>
  <c r="D154" i="3"/>
  <c r="C153" i="3"/>
  <c r="D153" i="3"/>
  <c r="D152" i="3"/>
  <c r="C152" i="3"/>
  <c r="D151" i="3"/>
  <c r="C151" i="3"/>
  <c r="D150" i="3"/>
  <c r="C150" i="3"/>
  <c r="D149" i="3"/>
  <c r="C149" i="3"/>
  <c r="D148" i="3"/>
  <c r="C148" i="3"/>
  <c r="D147" i="3"/>
  <c r="C147" i="3"/>
  <c r="D146" i="3"/>
  <c r="C146" i="3"/>
  <c r="C145" i="3"/>
  <c r="D145" i="3"/>
  <c r="C144" i="3"/>
  <c r="D144" i="3"/>
  <c r="C143" i="3"/>
  <c r="D143" i="3"/>
  <c r="C142" i="3"/>
  <c r="D142" i="3"/>
  <c r="C141" i="3"/>
  <c r="D141" i="3"/>
  <c r="C140" i="3"/>
  <c r="D140" i="3"/>
  <c r="D139" i="3"/>
  <c r="C139" i="3"/>
  <c r="C138" i="3"/>
  <c r="D138" i="3"/>
  <c r="C137" i="3"/>
  <c r="D137" i="3"/>
  <c r="C136" i="3"/>
  <c r="D136" i="3"/>
  <c r="D135" i="3"/>
  <c r="C135" i="3"/>
  <c r="C134" i="3"/>
  <c r="D134" i="3"/>
  <c r="C133" i="3"/>
  <c r="D133" i="3"/>
  <c r="D132" i="3"/>
  <c r="C132" i="3"/>
  <c r="C131" i="3"/>
  <c r="D131" i="3"/>
  <c r="D130" i="3"/>
  <c r="C130" i="3"/>
  <c r="C129" i="3"/>
  <c r="D129" i="3"/>
  <c r="D128" i="3"/>
  <c r="C128" i="3"/>
  <c r="C127" i="3"/>
  <c r="D127" i="3"/>
  <c r="C126" i="3"/>
  <c r="D126" i="3"/>
  <c r="C125" i="3"/>
  <c r="D125" i="3"/>
  <c r="D124" i="3"/>
  <c r="C124" i="3"/>
  <c r="D123" i="3"/>
  <c r="C123" i="3"/>
  <c r="C120" i="3"/>
  <c r="D119" i="3"/>
  <c r="C119" i="3"/>
  <c r="D118" i="3"/>
  <c r="C118" i="3"/>
  <c r="D117" i="3"/>
  <c r="C117" i="3"/>
  <c r="C116" i="3"/>
  <c r="D116" i="3"/>
  <c r="D115" i="3"/>
  <c r="C115" i="3"/>
  <c r="D114" i="3"/>
  <c r="C114" i="3"/>
  <c r="C113" i="3"/>
  <c r="D113" i="3"/>
  <c r="D112" i="3"/>
  <c r="C112" i="3"/>
  <c r="C111" i="3"/>
  <c r="D111" i="3"/>
  <c r="C110" i="3"/>
  <c r="D110" i="3"/>
  <c r="D109" i="3"/>
  <c r="C109" i="3"/>
  <c r="C108" i="3"/>
  <c r="D108" i="3"/>
  <c r="C107" i="3"/>
  <c r="D107" i="3"/>
  <c r="D106" i="3"/>
  <c r="C106" i="3"/>
  <c r="D105" i="3"/>
  <c r="C105" i="3"/>
  <c r="D104" i="3"/>
  <c r="C104" i="3"/>
  <c r="D103" i="3"/>
  <c r="C103" i="3"/>
  <c r="C102" i="3"/>
  <c r="D102" i="3"/>
  <c r="D101" i="3"/>
  <c r="C101" i="3"/>
  <c r="D100" i="3"/>
  <c r="C100" i="3"/>
  <c r="C99" i="3"/>
  <c r="D99" i="3"/>
  <c r="D98" i="3"/>
  <c r="C98" i="3"/>
  <c r="D97" i="3"/>
  <c r="C97" i="3"/>
  <c r="C96" i="3"/>
  <c r="D96" i="3"/>
  <c r="C95" i="3"/>
  <c r="D95" i="3"/>
  <c r="C94" i="3"/>
  <c r="D94" i="3"/>
  <c r="D93" i="3"/>
  <c r="C93" i="3"/>
  <c r="C92" i="3"/>
  <c r="D92" i="3"/>
  <c r="C91" i="3"/>
  <c r="D91" i="3"/>
  <c r="C90" i="3"/>
  <c r="D90" i="3"/>
  <c r="C89" i="3"/>
  <c r="D89" i="3"/>
  <c r="D88" i="3"/>
  <c r="C88" i="3"/>
  <c r="D87" i="3"/>
  <c r="C87" i="3"/>
  <c r="C86" i="3"/>
  <c r="D86" i="3"/>
  <c r="C85" i="3"/>
  <c r="D85" i="3"/>
  <c r="C84" i="3"/>
  <c r="D84" i="3"/>
  <c r="D83" i="3"/>
  <c r="C83" i="3"/>
  <c r="C82" i="3"/>
  <c r="D82" i="3"/>
  <c r="D81" i="3"/>
  <c r="C81" i="3"/>
  <c r="C80" i="3"/>
  <c r="D80" i="3"/>
  <c r="D79" i="3"/>
  <c r="C79" i="3"/>
  <c r="D78" i="3"/>
  <c r="C78" i="3"/>
  <c r="C77" i="3"/>
  <c r="D77" i="3"/>
  <c r="D76" i="3"/>
  <c r="C76" i="3"/>
  <c r="D75" i="3"/>
  <c r="C75" i="3"/>
  <c r="D74" i="3"/>
  <c r="C74" i="3"/>
  <c r="D73" i="3"/>
  <c r="C73" i="3"/>
  <c r="D72" i="3"/>
  <c r="C72" i="3"/>
  <c r="D71" i="3"/>
  <c r="C71" i="3"/>
  <c r="D70" i="3"/>
  <c r="C70" i="3"/>
  <c r="D69" i="3"/>
  <c r="C69" i="3"/>
  <c r="C68" i="3"/>
  <c r="D68" i="3"/>
  <c r="D67" i="3"/>
  <c r="C67" i="3"/>
  <c r="D66" i="3"/>
  <c r="C66" i="3"/>
  <c r="D65" i="3"/>
  <c r="C65" i="3"/>
  <c r="C64" i="3"/>
  <c r="D64" i="3"/>
  <c r="C63" i="3"/>
  <c r="D63" i="3"/>
  <c r="C62" i="3"/>
  <c r="D62" i="3"/>
  <c r="D61" i="3"/>
  <c r="C61" i="3"/>
  <c r="C60" i="3"/>
  <c r="D60" i="3"/>
  <c r="D59" i="3"/>
  <c r="C59" i="3"/>
  <c r="D58" i="3"/>
  <c r="C58" i="3"/>
  <c r="D57" i="3"/>
  <c r="C57" i="3"/>
  <c r="D56" i="3"/>
  <c r="C56" i="3"/>
  <c r="C55" i="3"/>
  <c r="D55" i="3"/>
  <c r="D54" i="3"/>
  <c r="C54" i="3"/>
  <c r="C53" i="3"/>
  <c r="D53" i="3"/>
  <c r="C52" i="3"/>
  <c r="D52" i="3"/>
  <c r="C51" i="3"/>
  <c r="D51" i="3"/>
  <c r="C50" i="3"/>
  <c r="D50" i="3"/>
  <c r="D49" i="3"/>
  <c r="C49" i="3"/>
  <c r="C48" i="3"/>
  <c r="D48" i="3"/>
  <c r="D47" i="3"/>
  <c r="C47" i="3"/>
  <c r="C46" i="3"/>
  <c r="D46" i="3"/>
  <c r="C45" i="3"/>
  <c r="D45" i="3"/>
  <c r="C44" i="3"/>
  <c r="D44" i="3"/>
  <c r="D43" i="3"/>
  <c r="C43" i="3"/>
  <c r="D42" i="3"/>
  <c r="C42" i="3"/>
  <c r="C41" i="3"/>
  <c r="D41" i="3"/>
  <c r="C40" i="3"/>
  <c r="D40" i="3"/>
  <c r="C39" i="3"/>
  <c r="D39" i="3"/>
  <c r="D38" i="3"/>
  <c r="C38" i="3"/>
  <c r="S429" i="11" l="1"/>
  <c r="Q429" i="11"/>
  <c r="S426" i="11"/>
  <c r="Q426" i="11"/>
  <c r="S281" i="11"/>
  <c r="Q281" i="11"/>
  <c r="Q285" i="11"/>
  <c r="S285" i="11"/>
  <c r="S410" i="11"/>
  <c r="Q410" i="11"/>
  <c r="S412" i="11"/>
  <c r="Q412" i="11"/>
  <c r="Q295" i="11"/>
  <c r="S295" i="11"/>
  <c r="S259" i="11"/>
  <c r="Q259" i="11"/>
  <c r="S267" i="11"/>
  <c r="Q267" i="11"/>
  <c r="S355" i="11"/>
  <c r="Q486" i="11"/>
  <c r="S213" i="11"/>
  <c r="Q269" i="11"/>
  <c r="S326" i="11"/>
  <c r="S344" i="11"/>
  <c r="S360" i="11"/>
  <c r="S297" i="11"/>
  <c r="Q297" i="11"/>
  <c r="Q406" i="11"/>
  <c r="S406" i="11"/>
  <c r="Q422" i="11"/>
  <c r="S422" i="11"/>
  <c r="Q291" i="11"/>
  <c r="S291" i="11"/>
  <c r="H52" i="16"/>
  <c r="Q409" i="11"/>
  <c r="S409" i="11"/>
  <c r="S425" i="11"/>
  <c r="Q425" i="11"/>
  <c r="D101" i="12" a="1"/>
  <c r="D101" i="12" s="1"/>
  <c r="C101" i="12" a="1"/>
  <c r="C101" i="12" s="1"/>
  <c r="Q415" i="11"/>
  <c r="S415" i="11"/>
  <c r="D105" i="12" a="1"/>
  <c r="D105" i="12" s="1"/>
  <c r="B105" i="12" a="1"/>
  <c r="B105" i="12" s="1"/>
  <c r="C105" i="12" a="1"/>
  <c r="C105" i="12" s="1"/>
  <c r="C103" i="12" a="1"/>
  <c r="C103" i="12" s="1"/>
  <c r="D103" i="12" a="1"/>
  <c r="D103" i="12" s="1"/>
  <c r="D102" i="12" a="1"/>
  <c r="D102" i="12" s="1"/>
  <c r="C102" i="12" a="1"/>
  <c r="C102" i="12" s="1"/>
  <c r="Q419" i="11"/>
  <c r="S419" i="11"/>
  <c r="Q424" i="11"/>
  <c r="S424" i="11"/>
  <c r="B102" i="12" a="1"/>
  <c r="B102" i="12" s="1"/>
  <c r="S273" i="11"/>
  <c r="Q273" i="11"/>
  <c r="S445" i="11"/>
  <c r="Q445" i="11"/>
  <c r="Q450" i="11"/>
  <c r="S450" i="11"/>
  <c r="Q466" i="11"/>
  <c r="S466" i="11"/>
  <c r="S307" i="11"/>
  <c r="Q307" i="11"/>
  <c r="Q467" i="11"/>
  <c r="S467" i="11"/>
  <c r="S320" i="11"/>
  <c r="Q320" i="11"/>
  <c r="Q436" i="11"/>
  <c r="S436" i="11"/>
  <c r="Q452" i="11"/>
  <c r="S452" i="11"/>
  <c r="S433" i="11"/>
  <c r="Q433" i="11"/>
  <c r="S449" i="11"/>
  <c r="Q449" i="11"/>
  <c r="Q438" i="11"/>
  <c r="S438" i="11"/>
  <c r="Q454" i="11"/>
  <c r="S454" i="11"/>
  <c r="Q403" i="11"/>
  <c r="S403" i="11"/>
  <c r="S435" i="11"/>
  <c r="Q435" i="11"/>
  <c r="Q471" i="11"/>
  <c r="S471" i="11"/>
  <c r="S392" i="11"/>
  <c r="Q392" i="11"/>
  <c r="Q456" i="11"/>
  <c r="S456" i="11"/>
  <c r="Q472" i="11"/>
  <c r="S472" i="11"/>
  <c r="Q314" i="11"/>
  <c r="S314" i="11"/>
  <c r="Q458" i="11"/>
  <c r="S458" i="11"/>
  <c r="S315" i="11"/>
  <c r="Q315" i="11"/>
  <c r="S459" i="11"/>
  <c r="Q459" i="11"/>
  <c r="S208" i="11"/>
  <c r="Q208" i="11"/>
  <c r="Q292" i="11"/>
  <c r="S292" i="11"/>
  <c r="S308" i="11"/>
  <c r="Q308" i="11"/>
  <c r="S265" i="11"/>
  <c r="Q265" i="11"/>
  <c r="S457" i="11"/>
  <c r="Q457" i="11"/>
  <c r="Q286" i="11"/>
  <c r="S286" i="11"/>
  <c r="S398" i="11"/>
  <c r="Q398" i="11"/>
  <c r="Q446" i="11"/>
  <c r="S446" i="11"/>
  <c r="S395" i="11"/>
  <c r="Q395" i="11"/>
  <c r="S431" i="11"/>
  <c r="Q431" i="11"/>
  <c r="S447" i="11"/>
  <c r="Q447" i="11"/>
  <c r="S316" i="11"/>
  <c r="Q316" i="11"/>
  <c r="Q448" i="11"/>
  <c r="S448" i="11"/>
  <c r="Q306" i="11"/>
  <c r="S306" i="11"/>
  <c r="S451" i="11"/>
  <c r="Q451" i="11"/>
  <c r="S388" i="11"/>
  <c r="Q388" i="11"/>
  <c r="Q468" i="11"/>
  <c r="S468" i="11"/>
  <c r="S305" i="11"/>
  <c r="Q305" i="11"/>
  <c r="S397" i="11"/>
  <c r="Q397" i="11"/>
  <c r="Q310" i="11"/>
  <c r="S310" i="11"/>
  <c r="S390" i="11"/>
  <c r="Q390" i="11"/>
  <c r="Q387" i="11"/>
  <c r="S387" i="11"/>
  <c r="S404" i="11"/>
  <c r="Q404" i="11"/>
  <c r="Q440" i="11"/>
  <c r="S440" i="11"/>
  <c r="Q389" i="11"/>
  <c r="S389" i="11"/>
  <c r="S401" i="11"/>
  <c r="Q401" i="11"/>
  <c r="Q298" i="11"/>
  <c r="S298" i="11"/>
  <c r="Q442" i="11"/>
  <c r="S442" i="11"/>
  <c r="Q288" i="11"/>
  <c r="S288" i="11"/>
  <c r="S304" i="11"/>
  <c r="Q304" i="11"/>
  <c r="Q405" i="11"/>
  <c r="S405" i="11"/>
  <c r="S210" i="11"/>
  <c r="Q210" i="11"/>
  <c r="S396" i="11"/>
  <c r="Q396" i="11"/>
  <c r="Q290" i="11"/>
  <c r="S290" i="11"/>
  <c r="Q432" i="11"/>
  <c r="S432" i="11"/>
  <c r="Q321" i="11"/>
  <c r="S321" i="11"/>
  <c r="Q465" i="11"/>
  <c r="S465" i="11"/>
  <c r="Q294" i="11"/>
  <c r="S294" i="11"/>
  <c r="S439" i="11"/>
  <c r="Q439" i="11"/>
  <c r="S309" i="11"/>
  <c r="Q309" i="11"/>
  <c r="S453" i="11"/>
  <c r="Q453" i="11"/>
  <c r="Q469" i="11"/>
  <c r="S469" i="11"/>
  <c r="Q282" i="11"/>
  <c r="S282" i="11"/>
  <c r="S394" i="11"/>
  <c r="Q394" i="11"/>
  <c r="S443" i="11"/>
  <c r="Q443" i="11"/>
  <c r="S212" i="11"/>
  <c r="Q212" i="11"/>
  <c r="Q284" i="11"/>
  <c r="S284" i="11"/>
  <c r="S300" i="11"/>
  <c r="Q300" i="11"/>
  <c r="Q460" i="11"/>
  <c r="S460" i="11"/>
  <c r="Q393" i="11"/>
  <c r="S393" i="11"/>
  <c r="Q473" i="11"/>
  <c r="S473" i="11"/>
  <c r="Q318" i="11"/>
  <c r="S318" i="11"/>
  <c r="S399" i="11"/>
  <c r="Q399" i="11"/>
  <c r="S463" i="11"/>
  <c r="Q463" i="11"/>
  <c r="S400" i="11"/>
  <c r="Q400" i="11"/>
  <c r="S301" i="11"/>
  <c r="Q301" i="11"/>
  <c r="S317" i="11"/>
  <c r="Q317" i="11"/>
  <c r="S461" i="11"/>
  <c r="Q461" i="11"/>
  <c r="Q322" i="11"/>
  <c r="S322" i="11"/>
  <c r="S434" i="11"/>
  <c r="Q434" i="11"/>
  <c r="S402" i="11"/>
  <c r="Q402" i="11"/>
  <c r="Q470" i="11"/>
  <c r="S470" i="11"/>
  <c r="S311" i="11"/>
  <c r="Q311" i="11"/>
  <c r="Q391" i="11"/>
  <c r="S391" i="11"/>
  <c r="S455" i="11"/>
  <c r="Q455" i="11"/>
  <c r="Q324" i="11"/>
  <c r="S324" i="11"/>
  <c r="S211" i="11"/>
  <c r="Q211" i="11"/>
  <c r="Q280" i="11"/>
  <c r="S280" i="11"/>
  <c r="Q296" i="11"/>
  <c r="S296" i="11"/>
  <c r="S312" i="11"/>
  <c r="Q312" i="11"/>
  <c r="Q444" i="11"/>
  <c r="S444" i="11"/>
  <c r="S209" i="11"/>
  <c r="Q209" i="11"/>
  <c r="S313" i="11"/>
  <c r="Q313" i="11"/>
  <c r="S437" i="11"/>
  <c r="Q437" i="11"/>
  <c r="S441" i="11"/>
  <c r="Q441" i="11"/>
  <c r="Q302" i="11"/>
  <c r="S302" i="11"/>
  <c r="S430" i="11"/>
  <c r="Q430" i="11"/>
  <c r="Q462" i="11"/>
  <c r="S462" i="11"/>
  <c r="S303" i="11"/>
  <c r="Q303" i="11"/>
  <c r="S319" i="11"/>
  <c r="Q319" i="11"/>
  <c r="Q464" i="11"/>
  <c r="S464" i="11"/>
  <c r="G29" i="3"/>
  <c r="H29" i="3" s="1"/>
  <c r="I29" i="3" s="1"/>
  <c r="K29" i="3" s="1"/>
  <c r="L29" i="3" s="1"/>
  <c r="F35" i="3"/>
  <c r="G35" i="3" s="1"/>
  <c r="H35" i="3" s="1"/>
  <c r="I35" i="3" s="1"/>
  <c r="S170" i="11"/>
  <c r="Q170" i="11"/>
  <c r="S171" i="11"/>
  <c r="Q171" i="11"/>
  <c r="S172" i="11"/>
  <c r="Q172" i="11"/>
  <c r="S173" i="11"/>
  <c r="Q173" i="11"/>
  <c r="S174" i="11"/>
  <c r="Q174" i="11"/>
  <c r="S175" i="11"/>
  <c r="Q175" i="11"/>
  <c r="S176" i="11"/>
  <c r="Q176" i="11"/>
  <c r="S177" i="11"/>
  <c r="Q177" i="11"/>
  <c r="S178" i="11"/>
  <c r="Q178" i="11"/>
  <c r="S179" i="11"/>
  <c r="Q179" i="11"/>
  <c r="S180" i="11"/>
  <c r="Q180" i="11"/>
  <c r="S181" i="11"/>
  <c r="Q181" i="11"/>
  <c r="S182" i="11"/>
  <c r="Q182" i="11"/>
  <c r="S183" i="11"/>
  <c r="Q183" i="11"/>
  <c r="S184" i="11"/>
  <c r="Q184" i="11"/>
  <c r="S185" i="11"/>
  <c r="Q185" i="11"/>
  <c r="S186" i="11"/>
  <c r="Q186" i="11"/>
  <c r="S187" i="11"/>
  <c r="Q187" i="11"/>
  <c r="S188" i="11"/>
  <c r="Q188" i="11"/>
  <c r="S189" i="11"/>
  <c r="Q189" i="11"/>
  <c r="S190" i="11"/>
  <c r="Q190" i="11"/>
  <c r="S191" i="11"/>
  <c r="Q191" i="11"/>
  <c r="S192" i="11"/>
  <c r="Q192" i="11"/>
  <c r="S193" i="11"/>
  <c r="Q193" i="11"/>
  <c r="S194" i="11"/>
  <c r="Q194" i="11"/>
  <c r="S195" i="11"/>
  <c r="Q195" i="11"/>
  <c r="S196" i="11"/>
  <c r="Q196" i="11"/>
  <c r="S197" i="11"/>
  <c r="Q197" i="11"/>
  <c r="S198" i="11"/>
  <c r="Q198" i="11"/>
  <c r="S199" i="11"/>
  <c r="Q199" i="11"/>
  <c r="S200" i="11"/>
  <c r="Q200" i="11"/>
  <c r="S207" i="11"/>
  <c r="Q207" i="11"/>
  <c r="S206" i="11"/>
  <c r="Q206" i="11"/>
  <c r="S205" i="11"/>
  <c r="Q205" i="11"/>
  <c r="S204" i="11"/>
  <c r="Q204" i="11"/>
  <c r="S203" i="11"/>
  <c r="Q203" i="11"/>
  <c r="S202" i="11"/>
  <c r="Q202" i="11"/>
  <c r="S201" i="11"/>
  <c r="Q201" i="11"/>
  <c r="S139" i="11"/>
  <c r="Q139" i="11"/>
  <c r="S138" i="11"/>
  <c r="Q138" i="11"/>
  <c r="S137" i="11"/>
  <c r="Q137" i="11"/>
  <c r="S136" i="11"/>
  <c r="Q136" i="11"/>
  <c r="S135" i="11"/>
  <c r="Q135" i="11"/>
  <c r="S134" i="11"/>
  <c r="Q134" i="11"/>
  <c r="S133" i="11"/>
  <c r="Q133" i="11"/>
  <c r="S132" i="11"/>
  <c r="Q132" i="11"/>
  <c r="S131" i="11"/>
  <c r="Q131" i="11"/>
  <c r="S130" i="11"/>
  <c r="Q130" i="11"/>
  <c r="S129" i="11"/>
  <c r="Q129" i="11"/>
  <c r="S128" i="11"/>
  <c r="Q128" i="11"/>
  <c r="S127" i="11"/>
  <c r="Q127" i="11"/>
  <c r="S126" i="11"/>
  <c r="Q126" i="11"/>
  <c r="S125" i="11"/>
  <c r="Q125" i="11"/>
  <c r="S124" i="11"/>
  <c r="Q124" i="11"/>
  <c r="S123" i="11"/>
  <c r="Q123" i="11"/>
  <c r="S122" i="11"/>
  <c r="Q122" i="11"/>
  <c r="S121" i="11"/>
  <c r="Q121" i="11"/>
  <c r="S120" i="11"/>
  <c r="Q120" i="11"/>
  <c r="S119" i="11"/>
  <c r="Q119" i="11"/>
  <c r="S118" i="11"/>
  <c r="Q118" i="11"/>
  <c r="S117" i="11"/>
  <c r="Q117" i="11"/>
  <c r="S116" i="11"/>
  <c r="Q116" i="11"/>
  <c r="S115" i="11"/>
  <c r="Q115" i="11"/>
  <c r="S114" i="11"/>
  <c r="Q114" i="11"/>
  <c r="S113" i="11"/>
  <c r="Q113" i="11"/>
  <c r="S112" i="11"/>
  <c r="Q112" i="11"/>
  <c r="S111" i="11"/>
  <c r="Q111" i="11"/>
  <c r="S110" i="11"/>
  <c r="Q110" i="11"/>
  <c r="S109" i="11"/>
  <c r="Q109" i="11"/>
  <c r="S108" i="11"/>
  <c r="Q108" i="11"/>
  <c r="S107" i="11"/>
  <c r="Q107" i="11"/>
  <c r="S106" i="11"/>
  <c r="Q106" i="11"/>
  <c r="S105" i="11"/>
  <c r="Q105" i="11"/>
  <c r="S104" i="11"/>
  <c r="Q104" i="11"/>
  <c r="S103" i="11"/>
  <c r="Q103" i="11"/>
  <c r="S102" i="11"/>
  <c r="Q102" i="11"/>
  <c r="S101" i="11"/>
  <c r="Q101" i="11"/>
  <c r="S100" i="11"/>
  <c r="Q100" i="11"/>
  <c r="S99" i="11"/>
  <c r="Q99" i="11"/>
  <c r="S98" i="11"/>
  <c r="Q98" i="11"/>
  <c r="S97" i="11"/>
  <c r="Q97" i="11"/>
  <c r="S96" i="11"/>
  <c r="Q96" i="11"/>
  <c r="S95" i="11"/>
  <c r="Q95" i="11"/>
  <c r="S94" i="11"/>
  <c r="Q94" i="11"/>
  <c r="S93" i="11"/>
  <c r="Q93" i="11"/>
  <c r="S92" i="11"/>
  <c r="Q92" i="11"/>
  <c r="S91" i="11"/>
  <c r="Q91" i="11"/>
  <c r="S90" i="11"/>
  <c r="Q90" i="11"/>
  <c r="S89" i="11"/>
  <c r="Q89" i="11"/>
  <c r="S88" i="11"/>
  <c r="Q88" i="11"/>
  <c r="S87" i="11"/>
  <c r="Q87" i="11"/>
  <c r="S86" i="11"/>
  <c r="Q86" i="11"/>
  <c r="S85" i="11"/>
  <c r="Q85" i="11"/>
  <c r="S84" i="11"/>
  <c r="Q84" i="11"/>
  <c r="S83" i="11"/>
  <c r="Q83" i="11"/>
  <c r="S82" i="11"/>
  <c r="Q82" i="11"/>
  <c r="S81" i="11"/>
  <c r="Q81" i="11"/>
  <c r="S80" i="11"/>
  <c r="Q80" i="11"/>
  <c r="S169" i="11"/>
  <c r="Q169" i="11"/>
  <c r="S168" i="11"/>
  <c r="Q168" i="11"/>
  <c r="S167" i="11"/>
  <c r="Q167" i="11"/>
  <c r="S166" i="11"/>
  <c r="Q166" i="11"/>
  <c r="S165" i="11"/>
  <c r="Q165" i="11"/>
  <c r="S164" i="11"/>
  <c r="Q164" i="11"/>
  <c r="S163" i="11"/>
  <c r="Q163" i="11"/>
  <c r="S162" i="11"/>
  <c r="Q162" i="11"/>
  <c r="S161" i="11"/>
  <c r="Q161" i="11"/>
  <c r="S160" i="11"/>
  <c r="Q160" i="11"/>
  <c r="S159" i="11"/>
  <c r="Q159" i="11"/>
  <c r="S158" i="11"/>
  <c r="Q158" i="11"/>
  <c r="S157" i="11"/>
  <c r="Q157" i="11"/>
  <c r="S156" i="11"/>
  <c r="Q156" i="11"/>
  <c r="S155" i="11"/>
  <c r="Q155" i="11"/>
  <c r="S154" i="11"/>
  <c r="Q154" i="11"/>
  <c r="S153" i="11"/>
  <c r="Q153" i="11"/>
  <c r="S152" i="11"/>
  <c r="Q152" i="11"/>
  <c r="S151" i="11"/>
  <c r="Q151" i="11"/>
  <c r="S150" i="11"/>
  <c r="Q150" i="11"/>
  <c r="S149" i="11"/>
  <c r="Q149" i="11"/>
  <c r="S148" i="11"/>
  <c r="Q148" i="11"/>
  <c r="S147" i="11"/>
  <c r="Q147" i="11"/>
  <c r="S146" i="11"/>
  <c r="Q146" i="11"/>
  <c r="S145" i="11"/>
  <c r="Q145" i="11"/>
  <c r="S144" i="11"/>
  <c r="Q144" i="11"/>
  <c r="S143" i="11"/>
  <c r="Q143" i="11"/>
  <c r="S142" i="11"/>
  <c r="Q142" i="11"/>
  <c r="S141" i="11"/>
  <c r="Q141" i="11"/>
  <c r="S140" i="11"/>
  <c r="Q140" i="11"/>
  <c r="S79" i="11"/>
  <c r="Q79" i="11"/>
  <c r="S78" i="11"/>
  <c r="Q78" i="11"/>
  <c r="S77" i="11"/>
  <c r="Q77" i="11"/>
  <c r="S76" i="11"/>
  <c r="Q76" i="11"/>
  <c r="S75" i="11"/>
  <c r="Q75" i="11"/>
  <c r="S74" i="11"/>
  <c r="Q74" i="11"/>
  <c r="S73" i="11"/>
  <c r="Q73" i="11"/>
  <c r="S72" i="11"/>
  <c r="Q72" i="11"/>
  <c r="S71" i="11"/>
  <c r="Q71" i="11"/>
  <c r="S70" i="11"/>
  <c r="Q70" i="11"/>
  <c r="S69" i="11"/>
  <c r="Q69" i="11"/>
  <c r="S68" i="11"/>
  <c r="Q68" i="11"/>
  <c r="S67" i="11"/>
  <c r="Q67" i="11"/>
  <c r="S66" i="11"/>
  <c r="Q66" i="11"/>
  <c r="S65" i="11"/>
  <c r="Q65" i="11"/>
  <c r="S64" i="11"/>
  <c r="Q64" i="11"/>
  <c r="S63" i="11"/>
  <c r="Q63" i="11"/>
  <c r="S62" i="11"/>
  <c r="Q62" i="11"/>
  <c r="S61" i="11"/>
  <c r="Q61" i="11"/>
  <c r="S60" i="11"/>
  <c r="Q60" i="11"/>
  <c r="S59" i="11"/>
  <c r="Q59" i="11"/>
  <c r="S58" i="11"/>
  <c r="Q58" i="11"/>
  <c r="S57" i="11"/>
  <c r="Q57" i="11"/>
  <c r="S56" i="11"/>
  <c r="Q56" i="11"/>
  <c r="S55" i="11"/>
  <c r="Q55" i="11"/>
  <c r="S54" i="11"/>
  <c r="Q54" i="11"/>
  <c r="S53" i="11"/>
  <c r="Q53" i="11"/>
  <c r="S52" i="11"/>
  <c r="Q52" i="11"/>
  <c r="S51" i="11"/>
  <c r="Q51" i="11"/>
  <c r="S50" i="11"/>
  <c r="Q50" i="11"/>
  <c r="S49" i="11"/>
  <c r="Q49" i="11"/>
  <c r="S48" i="11"/>
  <c r="Q48" i="11"/>
  <c r="S47" i="11"/>
  <c r="Q47" i="11"/>
  <c r="S46" i="11"/>
  <c r="Q46" i="11"/>
  <c r="S45" i="11"/>
  <c r="Q45" i="11"/>
  <c r="S44" i="11"/>
  <c r="Q44" i="11"/>
  <c r="S43" i="11"/>
  <c r="Q43" i="11"/>
  <c r="S42" i="11"/>
  <c r="Q42" i="11"/>
  <c r="S41" i="11"/>
  <c r="Q41" i="11"/>
  <c r="S40" i="11"/>
  <c r="Q40" i="11"/>
  <c r="S39" i="11"/>
  <c r="Q39" i="11"/>
  <c r="S38" i="11"/>
  <c r="Q38" i="11"/>
  <c r="S37" i="11"/>
  <c r="Q37" i="11"/>
  <c r="S36" i="11"/>
  <c r="Q36" i="11"/>
  <c r="S35" i="11"/>
  <c r="Q35" i="11"/>
  <c r="S34" i="11"/>
  <c r="Q34" i="11"/>
  <c r="S33" i="11"/>
  <c r="Q33" i="11"/>
  <c r="S32" i="11"/>
  <c r="Q32" i="11"/>
  <c r="S31" i="11"/>
  <c r="Q31" i="11"/>
  <c r="S30" i="11"/>
  <c r="Q30" i="11"/>
  <c r="S29" i="11"/>
  <c r="Q29" i="11"/>
  <c r="S28" i="11"/>
  <c r="Q28" i="11"/>
  <c r="S27" i="11"/>
  <c r="Q27" i="11"/>
  <c r="S26" i="11"/>
  <c r="Q26" i="11"/>
  <c r="S25" i="11"/>
  <c r="Q25" i="11"/>
  <c r="S24" i="11"/>
  <c r="Q24" i="11"/>
  <c r="S23" i="11"/>
  <c r="Q23" i="11"/>
  <c r="S22" i="11"/>
  <c r="Q22" i="11"/>
  <c r="S21" i="11"/>
  <c r="Q21" i="11"/>
  <c r="S20" i="11"/>
  <c r="Q20" i="11"/>
  <c r="S19" i="11"/>
  <c r="Q19" i="11"/>
  <c r="S18" i="11"/>
  <c r="Q18" i="11"/>
  <c r="S17" i="11"/>
  <c r="Q17" i="11"/>
  <c r="S16" i="11"/>
  <c r="Q16" i="11"/>
  <c r="S15" i="11"/>
  <c r="Q15" i="11"/>
  <c r="T15" i="11"/>
  <c r="S14" i="11"/>
  <c r="Q14" i="11"/>
  <c r="S13" i="11"/>
  <c r="Q13" i="11"/>
  <c r="T13" i="11"/>
  <c r="S12" i="11"/>
  <c r="Q12" i="11"/>
  <c r="S11" i="11"/>
  <c r="Q11" i="11"/>
  <c r="T11" i="11"/>
  <c r="S10" i="11"/>
  <c r="Q10" i="11"/>
  <c r="T10" i="11"/>
  <c r="S9" i="11"/>
  <c r="Q9" i="11"/>
  <c r="T9" i="11"/>
  <c r="S8" i="11"/>
  <c r="Q8" i="11"/>
  <c r="AE3" i="2" s="1"/>
  <c r="AD3" i="2"/>
  <c r="T8" i="11"/>
  <c r="T22" i="16" l="1" a="1"/>
  <c r="T22" i="16" s="1"/>
  <c r="B74" i="16" s="1"/>
  <c r="T16" i="11"/>
  <c r="J29" i="3"/>
  <c r="T21" i="16" a="1"/>
  <c r="T21" i="16" s="1"/>
  <c r="N70" i="16" s="1"/>
  <c r="T17" i="11"/>
  <c r="J35" i="3"/>
  <c r="K35" i="3" s="1"/>
  <c r="L35" i="3" s="1"/>
  <c r="T12" i="11"/>
  <c r="T14" i="11"/>
  <c r="AH3" i="2"/>
  <c r="AG3" i="2"/>
  <c r="T23" i="16" s="1" a="1"/>
  <c r="T23" i="16" s="1"/>
  <c r="J74" i="16" s="1"/>
  <c r="I9" i="12" l="1"/>
  <c r="M35" i="3" a="1"/>
  <c r="N35" i="3"/>
  <c r="N29" i="3" l="1"/>
  <c r="M29" i="3" a="1"/>
  <c r="Y120" i="12" l="1"/>
  <c r="Y119" i="12"/>
  <c r="Y118" i="12"/>
  <c r="Y117" i="12"/>
  <c r="Y113" i="12"/>
  <c r="Y112" i="12"/>
  <c r="Y111" i="12"/>
  <c r="Y110" i="12"/>
  <c r="Y109" i="12"/>
  <c r="Y105" i="12"/>
  <c r="Y104" i="12"/>
  <c r="Y103" i="12"/>
  <c r="Y102" i="12"/>
  <c r="Y101" i="12"/>
  <c r="Y97" i="12"/>
  <c r="Y96" i="12"/>
  <c r="Y95" i="12"/>
  <c r="Y94" i="12"/>
  <c r="Y93" i="12"/>
  <c r="Y92" i="12"/>
  <c r="Y91" i="12"/>
  <c r="Y90" i="12"/>
  <c r="Y89" i="12"/>
  <c r="Y88" i="12"/>
  <c r="M225" i="3"/>
  <c r="M224" i="3"/>
  <c r="M223" i="3"/>
  <c r="M222" i="3"/>
  <c r="M221" i="3"/>
  <c r="M220" i="3"/>
  <c r="M219" i="3"/>
  <c r="M218" i="3"/>
  <c r="M217" i="3"/>
  <c r="M216" i="3"/>
  <c r="M215" i="3"/>
  <c r="M214" i="3"/>
  <c r="M213" i="3"/>
  <c r="M212" i="3"/>
  <c r="M211" i="3"/>
  <c r="M210" i="3"/>
  <c r="M209" i="3"/>
  <c r="M208" i="3"/>
  <c r="M207" i="3"/>
  <c r="M206" i="3"/>
  <c r="M205" i="3"/>
  <c r="M204" i="3"/>
  <c r="M203" i="3"/>
  <c r="M202" i="3"/>
  <c r="M201" i="3"/>
  <c r="M200" i="3"/>
  <c r="M199" i="3"/>
  <c r="M198" i="3"/>
  <c r="M197" i="3"/>
  <c r="M196" i="3"/>
  <c r="M195" i="3"/>
  <c r="M194" i="3"/>
  <c r="M193" i="3"/>
  <c r="M192" i="3"/>
  <c r="M191" i="3"/>
  <c r="M190" i="3"/>
  <c r="M189" i="3"/>
  <c r="M188" i="3"/>
  <c r="M187" i="3"/>
  <c r="M186" i="3"/>
  <c r="M185" i="3"/>
  <c r="M184" i="3"/>
  <c r="M183" i="3"/>
  <c r="M182" i="3"/>
  <c r="M181" i="3"/>
  <c r="M180" i="3"/>
  <c r="M179" i="3"/>
  <c r="M178" i="3"/>
  <c r="M177" i="3"/>
  <c r="M176" i="3"/>
  <c r="M175" i="3"/>
  <c r="M174" i="3"/>
  <c r="M173" i="3"/>
  <c r="M172" i="3"/>
  <c r="M171" i="3"/>
  <c r="M170" i="3"/>
  <c r="M169" i="3"/>
  <c r="M168" i="3"/>
  <c r="M167" i="3"/>
  <c r="M166" i="3"/>
  <c r="M165" i="3"/>
  <c r="M164" i="3"/>
  <c r="M163" i="3"/>
  <c r="M162" i="3"/>
  <c r="M161" i="3"/>
  <c r="M160" i="3"/>
  <c r="M159" i="3"/>
  <c r="M158" i="3"/>
  <c r="M157" i="3"/>
  <c r="M156" i="3"/>
  <c r="M155" i="3"/>
  <c r="M154" i="3"/>
  <c r="M153" i="3"/>
  <c r="M152" i="3"/>
  <c r="M151" i="3"/>
  <c r="M150" i="3"/>
  <c r="M149" i="3"/>
  <c r="M148" i="3"/>
  <c r="M147" i="3"/>
  <c r="M146" i="3"/>
  <c r="M145" i="3"/>
  <c r="M144" i="3"/>
  <c r="M143" i="3"/>
  <c r="M142" i="3"/>
  <c r="M141" i="3"/>
  <c r="M140" i="3"/>
  <c r="M139" i="3"/>
  <c r="M138" i="3"/>
  <c r="M137" i="3"/>
  <c r="M136" i="3"/>
  <c r="M135" i="3"/>
  <c r="M134" i="3"/>
  <c r="M133" i="3"/>
  <c r="M132" i="3"/>
  <c r="M131" i="3"/>
  <c r="M130" i="3"/>
  <c r="M129" i="3"/>
  <c r="M128" i="3"/>
  <c r="M127" i="3"/>
  <c r="M126" i="3"/>
  <c r="M125" i="3"/>
  <c r="M124" i="3"/>
  <c r="M123" i="3"/>
  <c r="M122" i="3"/>
  <c r="M121" i="3"/>
  <c r="M120" i="3"/>
  <c r="M119" i="3"/>
  <c r="M118" i="3"/>
  <c r="M117" i="3"/>
  <c r="M116" i="3"/>
  <c r="M115" i="3"/>
  <c r="M114" i="3"/>
  <c r="M113" i="3"/>
  <c r="M112" i="3"/>
  <c r="M111" i="3"/>
  <c r="M110" i="3"/>
  <c r="M109" i="3"/>
  <c r="M108" i="3"/>
  <c r="M107" i="3"/>
  <c r="M106" i="3"/>
  <c r="M105" i="3"/>
  <c r="M104" i="3"/>
  <c r="M103" i="3"/>
  <c r="M102" i="3"/>
  <c r="M101" i="3"/>
  <c r="M100" i="3"/>
  <c r="M99" i="3"/>
  <c r="M98" i="3"/>
  <c r="M97" i="3"/>
  <c r="M96" i="3"/>
  <c r="M95" i="3"/>
  <c r="M94" i="3"/>
  <c r="M93" i="3"/>
  <c r="M92" i="3"/>
  <c r="M91" i="3"/>
  <c r="M90" i="3"/>
  <c r="M89" i="3"/>
  <c r="M88" i="3"/>
  <c r="M87" i="3"/>
  <c r="M86" i="3"/>
  <c r="M85" i="3"/>
  <c r="M84" i="3"/>
  <c r="M83" i="3"/>
  <c r="M82" i="3"/>
  <c r="M81" i="3"/>
  <c r="M80" i="3"/>
  <c r="M79" i="3"/>
  <c r="M78" i="3"/>
  <c r="M77" i="3"/>
  <c r="M76" i="3"/>
  <c r="M75" i="3"/>
  <c r="M74" i="3"/>
  <c r="M73" i="3"/>
  <c r="M72" i="3"/>
  <c r="M71" i="3"/>
  <c r="M70" i="3"/>
  <c r="M69" i="3"/>
  <c r="M68" i="3"/>
  <c r="M67" i="3"/>
  <c r="M66" i="3"/>
  <c r="M65" i="3"/>
  <c r="M64" i="3"/>
  <c r="M63" i="3"/>
  <c r="M62" i="3"/>
  <c r="M61" i="3"/>
  <c r="M60" i="3"/>
  <c r="M59" i="3"/>
  <c r="M58" i="3"/>
  <c r="M57" i="3"/>
  <c r="M56" i="3"/>
  <c r="M55" i="3"/>
  <c r="M54" i="3"/>
  <c r="M53" i="3"/>
  <c r="M52" i="3"/>
  <c r="M51" i="3"/>
  <c r="M50" i="3"/>
  <c r="M49" i="3"/>
  <c r="M48" i="3"/>
  <c r="M47" i="3"/>
  <c r="M46" i="3"/>
  <c r="M45" i="3"/>
  <c r="M44" i="3"/>
  <c r="M43" i="3"/>
  <c r="M42" i="3"/>
  <c r="M41" i="3"/>
  <c r="M40" i="3"/>
  <c r="M39" i="3"/>
  <c r="M38" i="3"/>
  <c r="M37" i="3"/>
  <c r="M36" i="3"/>
  <c r="M35" i="3"/>
  <c r="M29" i="3"/>
  <c r="F89" i="12" l="1" a="1"/>
  <c r="F89" i="12" s="1"/>
  <c r="B89" i="12" a="1"/>
  <c r="B89" i="12" s="1"/>
  <c r="C89" i="12" a="1"/>
  <c r="C89" i="12" s="1"/>
  <c r="E89" i="12" a="1"/>
  <c r="E89" i="12" s="1"/>
  <c r="D89" i="12" a="1"/>
  <c r="D89" i="12" s="1"/>
  <c r="B91" i="12" a="1"/>
  <c r="B91" i="12" s="1"/>
  <c r="D91" i="12" a="1"/>
  <c r="D91" i="12" s="1"/>
  <c r="C91" i="12" a="1"/>
  <c r="C91" i="12" s="1"/>
  <c r="F91" i="12" a="1"/>
  <c r="F91" i="12" s="1"/>
  <c r="E91" i="12" a="1"/>
  <c r="E91" i="12" s="1"/>
  <c r="F93" i="12" a="1"/>
  <c r="F93" i="12" s="1"/>
  <c r="B93" i="12" a="1"/>
  <c r="B93" i="12" s="1"/>
  <c r="D93" i="12" a="1"/>
  <c r="D93" i="12" s="1"/>
  <c r="C93" i="12" a="1"/>
  <c r="C93" i="12" s="1"/>
  <c r="E93" i="12" a="1"/>
  <c r="E93" i="12" s="1"/>
  <c r="E95" i="12" a="1"/>
  <c r="E95" i="12" s="1"/>
  <c r="D95" i="12" a="1"/>
  <c r="D95" i="12" s="1"/>
  <c r="F95" i="12" a="1"/>
  <c r="F95" i="12" s="1"/>
  <c r="B95" i="12" a="1"/>
  <c r="B95" i="12" s="1"/>
  <c r="C95" i="12" a="1"/>
  <c r="C95" i="12" s="1"/>
  <c r="F97" i="12" a="1"/>
  <c r="F97" i="12" s="1"/>
  <c r="D97" i="12" a="1"/>
  <c r="D97" i="12" s="1"/>
  <c r="C97" i="12" a="1"/>
  <c r="C97" i="12" s="1"/>
  <c r="E97" i="12" a="1"/>
  <c r="E97" i="12" s="1"/>
  <c r="B97" i="12" a="1"/>
  <c r="B97" i="12" s="1"/>
  <c r="D88" i="12" a="1"/>
  <c r="D88" i="12" s="1"/>
  <c r="C88" i="12" a="1"/>
  <c r="C88" i="12" s="1"/>
  <c r="E88" i="12" a="1"/>
  <c r="E88" i="12" s="1"/>
  <c r="B88" i="12" a="1"/>
  <c r="B88" i="12" s="1"/>
  <c r="F88" i="12" a="1"/>
  <c r="F88" i="12" s="1"/>
  <c r="D90" i="12" a="1"/>
  <c r="D90" i="12" s="1"/>
  <c r="E90" i="12" a="1"/>
  <c r="E90" i="12" s="1"/>
  <c r="B90" i="12" a="1"/>
  <c r="B90" i="12" s="1"/>
  <c r="C90" i="12" a="1"/>
  <c r="C90" i="12" s="1"/>
  <c r="F90" i="12" a="1"/>
  <c r="F90" i="12" s="1"/>
  <c r="C92" i="12" a="1"/>
  <c r="C92" i="12" s="1"/>
  <c r="E92" i="12" a="1"/>
  <c r="E92" i="12" s="1"/>
  <c r="D92" i="12" a="1"/>
  <c r="D92" i="12" s="1"/>
  <c r="B92" i="12" a="1"/>
  <c r="B92" i="12" s="1"/>
  <c r="F92" i="12" a="1"/>
  <c r="F92" i="12" s="1"/>
  <c r="D94" i="12" a="1"/>
  <c r="D94" i="12" s="1"/>
  <c r="E94" i="12" a="1"/>
  <c r="E94" i="12" s="1"/>
  <c r="C94" i="12" a="1"/>
  <c r="C94" i="12" s="1"/>
  <c r="B94" i="12" a="1"/>
  <c r="B94" i="12" s="1"/>
  <c r="F94" i="12" a="1"/>
  <c r="F94" i="12" s="1"/>
  <c r="D96" i="12" a="1"/>
  <c r="D96" i="12" s="1"/>
  <c r="B96" i="12" a="1"/>
  <c r="B96" i="12" s="1"/>
  <c r="F96" i="12" a="1"/>
  <c r="F96" i="12" s="1"/>
  <c r="C96" i="12" a="1"/>
  <c r="C96" i="12" s="1"/>
  <c r="E96" i="12" a="1"/>
  <c r="E96" i="12" s="1"/>
  <c r="F33" i="3"/>
  <c r="F34" i="3"/>
  <c r="F28" i="3"/>
  <c r="F31" i="3"/>
  <c r="F30" i="3"/>
  <c r="F27" i="3"/>
  <c r="H3" i="2"/>
  <c r="F26" i="3"/>
  <c r="F32" i="3"/>
  <c r="T28" i="16" l="1" a="1"/>
  <c r="T28" i="16" s="1"/>
  <c r="G80" i="16" s="1"/>
  <c r="T30" i="16" a="1"/>
  <c r="T30" i="16" s="1"/>
  <c r="D26" i="3"/>
  <c r="D31" i="3"/>
  <c r="G31" i="3"/>
  <c r="D13" i="4"/>
  <c r="G26" i="3"/>
  <c r="G27" i="3"/>
  <c r="H27" i="3" s="1"/>
  <c r="I27" i="3" s="1"/>
  <c r="D9" i="4"/>
  <c r="D27" i="3"/>
  <c r="G30" i="3"/>
  <c r="H30" i="3" s="1"/>
  <c r="I30" i="3" s="1"/>
  <c r="D32" i="3"/>
  <c r="D14" i="4"/>
  <c r="G32" i="3"/>
  <c r="H32" i="3" s="1"/>
  <c r="I32" i="3" s="1"/>
  <c r="D8" i="4"/>
  <c r="D33" i="3"/>
  <c r="G28" i="3"/>
  <c r="G34" i="3"/>
  <c r="H34" i="3" s="1"/>
  <c r="I34" i="3" s="1"/>
  <c r="G33" i="3"/>
  <c r="H33" i="3" s="1"/>
  <c r="I33" i="3" s="1"/>
  <c r="D12" i="4"/>
  <c r="D16" i="4"/>
  <c r="D34" i="3"/>
  <c r="D28" i="3"/>
  <c r="D15" i="4"/>
  <c r="D30" i="3"/>
  <c r="D10" i="4"/>
  <c r="H26" i="3" l="1"/>
  <c r="I26" i="3" s="1"/>
  <c r="D21" i="3"/>
  <c r="H31" i="3"/>
  <c r="I31" i="3" s="1"/>
  <c r="H28" i="3"/>
  <c r="I28" i="3" s="1"/>
  <c r="J27" i="3"/>
  <c r="K27" i="3" s="1"/>
  <c r="L27" i="3" s="1"/>
  <c r="J26" i="3"/>
  <c r="K26" i="3" s="1"/>
  <c r="J32" i="3"/>
  <c r="J30" i="3"/>
  <c r="K30" i="3" s="1"/>
  <c r="L30" i="3" s="1"/>
  <c r="J33" i="3"/>
  <c r="K34" i="3"/>
  <c r="L34" i="3" s="1"/>
  <c r="J34" i="3"/>
  <c r="L26" i="3" l="1"/>
  <c r="AB3" i="2" s="1"/>
  <c r="AL3" i="2" s="1"/>
  <c r="D22" i="3"/>
  <c r="M34" i="3" a="1"/>
  <c r="M34" i="3" s="1"/>
  <c r="K33" i="3"/>
  <c r="L33" i="3" s="1"/>
  <c r="K32" i="3"/>
  <c r="L32" i="3" s="1"/>
  <c r="J31" i="3"/>
  <c r="M30" i="3" a="1"/>
  <c r="M30" i="3" s="1"/>
  <c r="J28" i="3"/>
  <c r="N27" i="3"/>
  <c r="M27" i="3" a="1"/>
  <c r="M27" i="3" s="1"/>
  <c r="N34" i="3"/>
  <c r="N30" i="3"/>
  <c r="N26" i="3"/>
  <c r="M26" i="3" a="1"/>
  <c r="M26" i="3" s="1"/>
  <c r="T16" i="16" l="1" a="1"/>
  <c r="T16" i="16" s="1"/>
  <c r="T43" i="16" a="1"/>
  <c r="T43" i="16" s="1"/>
  <c r="T15" i="16" a="1"/>
  <c r="T15" i="16" s="1"/>
  <c r="B24" i="16" s="1"/>
  <c r="M33" i="3" a="1"/>
  <c r="M33" i="3" s="1"/>
  <c r="N33" i="3"/>
  <c r="M32" i="3" a="1"/>
  <c r="M32" i="3" s="1"/>
  <c r="N32" i="3"/>
  <c r="K31" i="3"/>
  <c r="L31" i="3" s="1"/>
  <c r="K28" i="3"/>
  <c r="N31" i="3" l="1"/>
  <c r="M31" i="3" a="1"/>
  <c r="M31" i="3" s="1"/>
  <c r="L28" i="3"/>
  <c r="T11" i="16" l="1"/>
  <c r="T37" i="16" a="1"/>
  <c r="T37" i="16" s="1"/>
  <c r="T38" i="16" a="1"/>
  <c r="T38" i="16" s="1"/>
  <c r="T33" i="16" a="1"/>
  <c r="T33" i="16" s="1"/>
  <c r="T34" i="16" s="1"/>
  <c r="B6" i="16" s="1"/>
  <c r="T14" i="16" a="1"/>
  <c r="T14" i="16" s="1"/>
  <c r="D20" i="3"/>
  <c r="Z35" i="12" a="1"/>
  <c r="Z35" i="12" s="1"/>
  <c r="Z40" i="12" a="1"/>
  <c r="Z40" i="12" s="1"/>
  <c r="Z24" i="12" a="1"/>
  <c r="Z24" i="12" s="1"/>
  <c r="Z31" i="12" a="1"/>
  <c r="Z31" i="12" s="1"/>
  <c r="Z78" i="12" a="1"/>
  <c r="Z78" i="12" s="1"/>
  <c r="Z43" i="12" a="1"/>
  <c r="Z43" i="12" s="1"/>
  <c r="Z85" i="12" a="1"/>
  <c r="Z85" i="12" s="1"/>
  <c r="Z131" i="12" a="1"/>
  <c r="Z131" i="12" s="1"/>
  <c r="Z50" i="12" a="1"/>
  <c r="Z50" i="12" s="1"/>
  <c r="Z26" i="12" a="1"/>
  <c r="Z26" i="12" s="1"/>
  <c r="Z71" i="12" a="1"/>
  <c r="Z71" i="12" s="1"/>
  <c r="Z113" i="12" a="1"/>
  <c r="Z113" i="12" s="1"/>
  <c r="Z128" i="12" a="1"/>
  <c r="Z128" i="12" s="1"/>
  <c r="Z87" i="12" a="1"/>
  <c r="Z87" i="12" s="1"/>
  <c r="Z109" i="12" a="1"/>
  <c r="Z109" i="12" s="1"/>
  <c r="Z65" i="12" a="1"/>
  <c r="Z65" i="12" s="1"/>
  <c r="Z81" i="12" a="1"/>
  <c r="Z81" i="12" s="1"/>
  <c r="Z101" i="12" a="1"/>
  <c r="Z101" i="12" s="1"/>
  <c r="Z53" i="12" a="1"/>
  <c r="Z53" i="12" s="1"/>
  <c r="Z110" i="12" a="1"/>
  <c r="Z110" i="12" s="1"/>
  <c r="Z111" i="12" a="1"/>
  <c r="Z111" i="12" s="1"/>
  <c r="Z73" i="12" a="1"/>
  <c r="Z73" i="12" s="1"/>
  <c r="Z77" i="12" a="1"/>
  <c r="Z77" i="12" s="1"/>
  <c r="Z125" i="12" a="1"/>
  <c r="Z125" i="12" s="1"/>
  <c r="Z112" i="12" a="1"/>
  <c r="Z112" i="12" s="1"/>
  <c r="Z54" i="12" a="1"/>
  <c r="Z54" i="12" s="1"/>
  <c r="Z61" i="12" a="1"/>
  <c r="Z61" i="12" s="1"/>
  <c r="Z51" i="12" a="1"/>
  <c r="Z51" i="12" s="1"/>
  <c r="Z38" i="12" a="1"/>
  <c r="Z38" i="12" s="1"/>
  <c r="Z30" i="12" a="1"/>
  <c r="Z30" i="12" s="1"/>
  <c r="Z29" i="12" a="1"/>
  <c r="Z29" i="12" s="1"/>
  <c r="Z34" i="12" a="1"/>
  <c r="Z34" i="12" s="1"/>
  <c r="Z126" i="12" a="1"/>
  <c r="Z126" i="12" s="1"/>
  <c r="Z99" i="12" a="1"/>
  <c r="Z99" i="12" s="1"/>
  <c r="Z105" i="12" a="1"/>
  <c r="Z105" i="12" s="1"/>
  <c r="Z57" i="12" a="1"/>
  <c r="Z57" i="12" s="1"/>
  <c r="Z47" i="12" a="1"/>
  <c r="Z47" i="12" s="1"/>
  <c r="Z103" i="12" a="1"/>
  <c r="Z103" i="12" s="1"/>
  <c r="Z60" i="12" a="1"/>
  <c r="Z60" i="12" s="1"/>
  <c r="Z118" i="12" a="1"/>
  <c r="Z118" i="12" s="1"/>
  <c r="Z70" i="12" a="1"/>
  <c r="Z70" i="12" s="1"/>
  <c r="Z104" i="12" a="1"/>
  <c r="Z104" i="12" s="1"/>
  <c r="Z49" i="12" a="1"/>
  <c r="Z49" i="12" s="1"/>
  <c r="Z80" i="12" a="1"/>
  <c r="Z80" i="12" s="1"/>
  <c r="Z55" i="12" a="1"/>
  <c r="Z55" i="12" s="1"/>
  <c r="Z98" i="12" a="1"/>
  <c r="Z98" i="12" s="1"/>
  <c r="Z84" i="12" a="1"/>
  <c r="Z84" i="12" s="1"/>
  <c r="Z64" i="12" a="1"/>
  <c r="Z64" i="12" s="1"/>
  <c r="Z75" i="12" a="1"/>
  <c r="Z75" i="12" s="1"/>
  <c r="Z102" i="12" a="1"/>
  <c r="Z102" i="12" s="1"/>
  <c r="Z127" i="12" a="1"/>
  <c r="Z127" i="12" s="1"/>
  <c r="Z68" i="12" a="1"/>
  <c r="Z68" i="12" s="1"/>
  <c r="Z122" i="12" a="1"/>
  <c r="Z122" i="12" s="1"/>
  <c r="Z58" i="12" a="1"/>
  <c r="Z58" i="12" s="1"/>
  <c r="Z129" i="12" a="1"/>
  <c r="Z129" i="12" s="1"/>
  <c r="Z56" i="12" a="1"/>
  <c r="Z56" i="12" s="1"/>
  <c r="Z121" i="12" a="1"/>
  <c r="Z121" i="12" s="1"/>
  <c r="Z100" i="12" a="1"/>
  <c r="Z100" i="12" s="1"/>
  <c r="Z83" i="12" a="1"/>
  <c r="Z83" i="12" s="1"/>
  <c r="Z107" i="12" a="1"/>
  <c r="Z107" i="12" s="1"/>
  <c r="Z106" i="12" a="1"/>
  <c r="Z106" i="12" s="1"/>
  <c r="Z115" i="12" a="1"/>
  <c r="Z115" i="12" s="1"/>
  <c r="Z108" i="12" a="1"/>
  <c r="Z108" i="12" s="1"/>
  <c r="Z25" i="12" a="1"/>
  <c r="Z25" i="12" s="1"/>
  <c r="Z33" i="12" a="1"/>
  <c r="Z33" i="12" s="1"/>
  <c r="Z37" i="12" a="1"/>
  <c r="Z37" i="12" s="1"/>
  <c r="Z23" i="12" a="1"/>
  <c r="Z23" i="12" s="1"/>
  <c r="Z44" i="12" a="1"/>
  <c r="Z44" i="12" s="1"/>
  <c r="Z67" i="12" a="1"/>
  <c r="Z67" i="12" s="1"/>
  <c r="Z130" i="12" a="1"/>
  <c r="Z130" i="12" s="1"/>
  <c r="Z59" i="12" a="1"/>
  <c r="Z59" i="12" s="1"/>
  <c r="Z79" i="12" a="1"/>
  <c r="Z79" i="12" s="1"/>
  <c r="Z66" i="12" a="1"/>
  <c r="Z66" i="12" s="1"/>
  <c r="Z86" i="12" a="1"/>
  <c r="Z86" i="12" s="1"/>
  <c r="Z48" i="12" a="1"/>
  <c r="Z48" i="12" s="1"/>
  <c r="Z74" i="12" a="1"/>
  <c r="Z74" i="12" s="1"/>
  <c r="Z63" i="12" a="1"/>
  <c r="Z63" i="12" s="1"/>
  <c r="Z32" i="12" a="1"/>
  <c r="Z32" i="12" s="1"/>
  <c r="Z114" i="12" a="1"/>
  <c r="Z114" i="12" s="1"/>
  <c r="Z69" i="12" a="1"/>
  <c r="Z69" i="12" s="1"/>
  <c r="Z82" i="12" a="1"/>
  <c r="Z82" i="12" s="1"/>
  <c r="Z124" i="12" a="1"/>
  <c r="Z124" i="12" s="1"/>
  <c r="Z62" i="12" a="1"/>
  <c r="Z62" i="12" s="1"/>
  <c r="Z46" i="12" a="1"/>
  <c r="Z46" i="12" s="1"/>
  <c r="Z27" i="12" a="1"/>
  <c r="Z27" i="12" s="1"/>
  <c r="Z120" i="12" a="1"/>
  <c r="Z120" i="12" s="1"/>
  <c r="Z72" i="12" a="1"/>
  <c r="Z72" i="12" s="1"/>
  <c r="Z119" i="12" a="1"/>
  <c r="Z119" i="12" s="1"/>
  <c r="Z41" i="12" a="1"/>
  <c r="Z41" i="12" s="1"/>
  <c r="Z116" i="12" a="1"/>
  <c r="Z116" i="12" s="1"/>
  <c r="Z36" i="12" a="1"/>
  <c r="Z36" i="12" s="1"/>
  <c r="Z42" i="12" a="1"/>
  <c r="Z42" i="12" s="1"/>
  <c r="Z39" i="12" a="1"/>
  <c r="Z39" i="12" s="1"/>
  <c r="Z28" i="12" a="1"/>
  <c r="Z28" i="12" s="1"/>
  <c r="Z117" i="12" a="1"/>
  <c r="Z117" i="12" s="1"/>
  <c r="Z45" i="12" a="1"/>
  <c r="Z45" i="12" s="1"/>
  <c r="Z52" i="12" a="1"/>
  <c r="Z52" i="12" s="1"/>
  <c r="Z76" i="12" a="1"/>
  <c r="Z76" i="12" s="1"/>
  <c r="Z123" i="12" a="1"/>
  <c r="Z123" i="12" s="1"/>
  <c r="N28" i="3"/>
  <c r="M28" i="3" a="1"/>
  <c r="M28" i="3" s="1"/>
  <c r="G8" i="16" l="1"/>
  <c r="T19" i="16" a="1"/>
  <c r="T19" i="16" s="1"/>
  <c r="T41" i="16" a="1"/>
  <c r="T41" i="16" s="1"/>
  <c r="T32" i="16" a="1"/>
  <c r="T32" i="16" s="1"/>
  <c r="B10" i="16"/>
  <c r="G6" i="16"/>
  <c r="B23" i="16"/>
  <c r="J70" i="16"/>
  <c r="N18" i="16"/>
  <c r="D13" i="3"/>
  <c r="D15" i="3"/>
  <c r="D18" i="3"/>
  <c r="D16" i="3"/>
  <c r="D11" i="3"/>
  <c r="D14" i="3"/>
  <c r="D12" i="3"/>
  <c r="D17" i="3"/>
  <c r="D19" i="3"/>
  <c r="F36" i="12"/>
  <c r="E36" i="12"/>
  <c r="H36" i="12"/>
  <c r="I36" i="12"/>
  <c r="B36" i="12" a="1"/>
  <c r="B36" i="12" s="1"/>
  <c r="D36" i="12"/>
  <c r="C36" i="12"/>
  <c r="G36" i="12"/>
  <c r="H23" i="12"/>
  <c r="C23" i="12"/>
  <c r="E23" i="12"/>
  <c r="I23" i="12"/>
  <c r="B23" i="12" a="1"/>
  <c r="B23" i="12" s="1"/>
  <c r="D23" i="12"/>
  <c r="F23" i="12"/>
  <c r="G23" i="12" s="1"/>
  <c r="F34" i="12"/>
  <c r="C34" i="12"/>
  <c r="H34" i="12"/>
  <c r="B34" i="12" a="1"/>
  <c r="B34" i="12" s="1"/>
  <c r="I34" i="12"/>
  <c r="D34" i="12"/>
  <c r="E34" i="12"/>
  <c r="G34" i="12"/>
  <c r="C31" i="12"/>
  <c r="F31" i="12"/>
  <c r="G31" i="12" s="1"/>
  <c r="I31" i="12"/>
  <c r="B31" i="12" a="1"/>
  <c r="B31" i="12" s="1"/>
  <c r="H31" i="12"/>
  <c r="E31" i="12"/>
  <c r="D31" i="12"/>
  <c r="D28" i="12"/>
  <c r="F28" i="12"/>
  <c r="G28" i="12" s="1"/>
  <c r="I28" i="12"/>
  <c r="B28" i="12" a="1"/>
  <c r="B28" i="12" s="1"/>
  <c r="H28" i="12"/>
  <c r="E28" i="12"/>
  <c r="C28" i="12"/>
  <c r="I32" i="12"/>
  <c r="F32" i="12"/>
  <c r="G32" i="12" s="1"/>
  <c r="C32" i="12"/>
  <c r="D32" i="12"/>
  <c r="E32" i="12"/>
  <c r="H32" i="12"/>
  <c r="B32" i="12" a="1"/>
  <c r="B32" i="12" s="1"/>
  <c r="I37" i="12"/>
  <c r="B37" i="12" a="1"/>
  <c r="B37" i="12" s="1"/>
  <c r="D37" i="12"/>
  <c r="G37" i="12"/>
  <c r="H37" i="12"/>
  <c r="F37" i="12"/>
  <c r="C37" i="12"/>
  <c r="E37" i="12"/>
  <c r="C29" i="12"/>
  <c r="B29" i="12" a="1"/>
  <c r="B29" i="12" s="1"/>
  <c r="D29" i="12"/>
  <c r="H29" i="12"/>
  <c r="I29" i="12"/>
  <c r="F29" i="12"/>
  <c r="G29" i="12" s="1"/>
  <c r="E29" i="12"/>
  <c r="H24" i="12"/>
  <c r="E24" i="12"/>
  <c r="B24" i="12" a="1"/>
  <c r="B24" i="12" s="1"/>
  <c r="C24" i="12"/>
  <c r="F24" i="12"/>
  <c r="G24" i="12" s="1"/>
  <c r="D24" i="12"/>
  <c r="I24" i="12"/>
  <c r="H39" i="12"/>
  <c r="G39" i="12"/>
  <c r="I39" i="12"/>
  <c r="E39" i="12"/>
  <c r="B39" i="12" a="1"/>
  <c r="B39" i="12" s="1"/>
  <c r="D39" i="12"/>
  <c r="F39" i="12"/>
  <c r="C39" i="12"/>
  <c r="G41" i="12"/>
  <c r="F41" i="12"/>
  <c r="C41" i="12"/>
  <c r="D41" i="12"/>
  <c r="H41" i="12"/>
  <c r="B41" i="12" a="1"/>
  <c r="B41" i="12" s="1"/>
  <c r="E41" i="12"/>
  <c r="I41" i="12"/>
  <c r="B27" i="12" a="1"/>
  <c r="B27" i="12" s="1"/>
  <c r="H27" i="12"/>
  <c r="E27" i="12"/>
  <c r="F27" i="12"/>
  <c r="G27" i="12" s="1"/>
  <c r="I27" i="12"/>
  <c r="D27" i="12"/>
  <c r="C27" i="12"/>
  <c r="I33" i="12"/>
  <c r="G33" i="12"/>
  <c r="C33" i="12"/>
  <c r="D33" i="12"/>
  <c r="H33" i="12"/>
  <c r="E33" i="12"/>
  <c r="B33" i="12" a="1"/>
  <c r="B33" i="12" s="1"/>
  <c r="F33" i="12"/>
  <c r="B30" i="12" a="1"/>
  <c r="B30" i="12" s="1"/>
  <c r="E30" i="12"/>
  <c r="F30" i="12"/>
  <c r="G30" i="12" s="1"/>
  <c r="C30" i="12"/>
  <c r="I30" i="12"/>
  <c r="H30" i="12"/>
  <c r="D30" i="12"/>
  <c r="B26" i="12" a="1"/>
  <c r="B26" i="12" s="1"/>
  <c r="I26" i="12"/>
  <c r="E26" i="12"/>
  <c r="H26" i="12"/>
  <c r="D26" i="12"/>
  <c r="C26" i="12"/>
  <c r="F26" i="12"/>
  <c r="G26" i="12" s="1"/>
  <c r="I40" i="12"/>
  <c r="G40" i="12"/>
  <c r="H40" i="12"/>
  <c r="D40" i="12"/>
  <c r="C40" i="12"/>
  <c r="F40" i="12"/>
  <c r="E40" i="12"/>
  <c r="B40" i="12" a="1"/>
  <c r="B40" i="12" s="1"/>
  <c r="H42" i="12"/>
  <c r="G42" i="12"/>
  <c r="D42" i="12"/>
  <c r="F42" i="12"/>
  <c r="C42" i="12"/>
  <c r="E42" i="12"/>
  <c r="I42" i="12"/>
  <c r="B42" i="12" a="1"/>
  <c r="B42" i="12" s="1"/>
  <c r="D25" i="12"/>
  <c r="F25" i="12"/>
  <c r="G25" i="12" s="1"/>
  <c r="B25" i="12" a="1"/>
  <c r="B25" i="12" s="1"/>
  <c r="I25" i="12"/>
  <c r="E25" i="12"/>
  <c r="H25" i="12"/>
  <c r="C25" i="12"/>
  <c r="I38" i="12"/>
  <c r="H38" i="12"/>
  <c r="G38" i="12"/>
  <c r="B38" i="12" a="1"/>
  <c r="B38" i="12" s="1"/>
  <c r="C38" i="12"/>
  <c r="F38" i="12"/>
  <c r="E38" i="12"/>
  <c r="D38" i="12"/>
  <c r="D35" i="12"/>
  <c r="E35" i="12"/>
  <c r="I35" i="12"/>
  <c r="F35" i="12"/>
  <c r="C35" i="12"/>
  <c r="B35" i="12" a="1"/>
  <c r="B35" i="12" s="1"/>
  <c r="H35" i="12"/>
  <c r="G35" i="12"/>
  <c r="L80" i="16" l="1"/>
  <c r="B82" i="16"/>
  <c r="N74" i="1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tc={ACB4820F-67F9-4663-8939-AD6653A7253D}</author>
    <author>tc={A515E6FD-0ED8-4443-82F5-01BB2A98B06F}</author>
    <author>tc={48360648-13C9-4CF0-93BC-8B56215C6C4F}</author>
    <author>tc={1B572702-A184-418D-94B8-4A953229A782}</author>
    <author>tc={C5DB7258-D266-41C2-8911-A0CC41ACA1CF}</author>
    <author>tc={F7E0FE30-99E9-415C-AFE2-0A69A16F2163}</author>
    <author>tc={E45A017B-E1A9-44B3-92A5-4E967C8660CA}</author>
    <author>tc={9AC58C8F-477B-4461-B739-257F24FBFDE5}</author>
    <author>tc={696E3DE6-1DB6-41E5-969B-38A326A9DF4E}</author>
    <author>tc={EEC9CEF3-84F9-4F87-8977-A7677364F0DD}</author>
    <author>tc={D0E3CA05-C8CB-4B60-885D-26BA7361A6EB}</author>
    <author>tc={0BDC6960-410F-4AE5-84E7-766B53A19B00}</author>
    <author>tc={E6648248-D4CB-4FBE-8B2C-DBF0DCC7054E}</author>
    <author>tc={8F30A289-15C4-4179-ACD3-B0A3F6BE6893}</author>
    <author>tc={B2802248-7990-401B-8908-3462A90E34A1}</author>
    <author>tc={50775367-4AA3-436E-9990-2DF6DD0FDEAB}</author>
    <author>tc={F579157F-0B40-4E3B-A1F4-FF46AE18EE56}</author>
    <author>tc={4EA159BD-8333-4A8C-AEA2-282813ABFA0F}</author>
    <author>tc={25B08E69-2BB4-4D6C-AD5B-C01C92B5919A}</author>
    <author>tc={286E3B7E-585D-4C86-88C9-665A83689E88}</author>
    <author>tc={99B7FF9C-DB0B-4139-834D-2110598BFA91}</author>
    <author>tc={BD10BA9B-8FBD-4920-BE05-5E618E53ED3D}</author>
    <author>tc={520D2B4D-736B-432D-A7EC-BF0BB4ED03AA}</author>
    <author>tc={7410A254-2AD1-4B3E-9D91-A59EF27BA994}</author>
    <author>tc={DD36DBC1-7CE8-4AA4-AD9E-ABFDD84F1B8D}</author>
    <author>tc={9072CCD4-87B5-4C80-BF1D-4B632521FA14}</author>
    <author>tc={680BE705-6984-4DAE-B3A2-D5F56F2EA606}</author>
    <author>tc={906C5C02-A1B6-4B12-A642-4530CA853754}</author>
    <author>tc={0C011810-4D37-4DE0-92EB-9F4E02B759BF}</author>
    <author>tc={C856C357-36F0-4DCB-85B6-6E8869CC5D91}</author>
    <author>tc={39B94375-A17A-4D07-8D78-BCB758D180AD}</author>
    <author>tc={49BBEA13-3875-441F-9EC8-AC7534B9A7AC}</author>
    <author>tc={69B58A5B-CEC3-4053-B5D0-FA182FC6DB43}</author>
    <author>tc={A28ED207-C96E-4D7B-A34B-AE67E797AC58}</author>
    <author>tc={A4427A54-10AC-4F82-8D1F-84323D9EAAF7}</author>
    <author>tc={06390E01-DFAD-4122-BED8-AF7CE7E9C328}</author>
    <author>tc={80756D18-1BEE-4DBD-8A1C-ADF4AE61E67C}</author>
  </authors>
  <commentList>
    <comment ref="B2" authorId="0" shapeId="0" xr:uid="{ACB4820F-67F9-4663-8939-AD6653A7253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Identificador único da demanda (ex.: FM-0001). Chave usada por todas as demais abas — não repetir.</t>
      </text>
    </comment>
    <comment ref="C2" authorId="1" shapeId="0" xr:uid="{A515E6FD-0ED8-4443-82F5-01BB2A98B06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Data de início da atividade. Formato dd/mm/aa.</t>
      </text>
    </comment>
    <comment ref="D2" authorId="2" shapeId="0" xr:uid="{48360648-13C9-4CF0-93BC-8B56215C6C4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Data de conclusão. Preencher quando o Status for Concluído.</t>
      </text>
    </comment>
    <comment ref="E2" authorId="3" shapeId="0" xr:uid="{1B572702-A184-418D-94B8-4A953229A78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Departamento responsável pela demanda. Lista suspensa (aba Cadastros).</t>
      </text>
    </comment>
    <comment ref="F2" authorId="4" shapeId="0" xr:uid="{C5DB7258-D266-41C2-8911-A0CC41ACA1C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Projeto ao qual a atividade pertence. Lista suspensa (aba Cadastros).</t>
      </text>
    </comment>
    <comment ref="G2" authorId="5" shapeId="0" xr:uid="{F7E0FE30-99E9-415C-AFE2-0A69A16F216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Tema específico dentro do projeto. Lista em cascata conforme o Projeto.</t>
      </text>
    </comment>
    <comment ref="H2" authorId="6" shapeId="0" xr:uid="{E45A017B-E1A9-44B3-92A5-4E967C8660C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Pilar de Processos Integrados. Lista suspensa (aba Cadastros).</t>
      </text>
    </comment>
    <comment ref="I2" authorId="7" shapeId="0" xr:uid="{9AC58C8F-477B-4461-B739-257F24FBFDE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Tipo da demanda (ex.: Projeto, Melhoria, Rotina). Lista suspensa.</t>
      </text>
    </comment>
    <comment ref="J2" authorId="8" shapeId="0" xr:uid="{696E3DE6-1DB6-41E5-969B-38A326A9DF4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Título curto e objetivo da atividade. Aparece nas abas de etapa e no Acompanhamento.</t>
      </text>
    </comment>
    <comment ref="K2" authorId="9" shapeId="0" xr:uid="{EEC9CEF3-84F9-4F87-8977-A7677364F0D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Descrição detalhada do que foi/será feito.</t>
      </text>
    </comment>
    <comment ref="L2" authorId="10" shapeId="0" xr:uid="{D0E3CA05-C8CB-4B60-885D-26BA7361A6E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Departamento do CSC envolvido. Lista suspensa (aba Cadastros).</t>
      </text>
    </comment>
    <comment ref="M2" authorId="11" shapeId="0" xr:uid="{0BDC6960-410F-4AE5-84E7-766B53A19B0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Pessoa envolvida na atividade.</t>
      </text>
    </comment>
    <comment ref="N2" authorId="12" shapeId="0" xr:uid="{E6648248-D4CB-4FBE-8B2C-DBF0DCC7054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Indica se houve parceria (Sim/Não).</t>
      </text>
    </comment>
    <comment ref="O2" authorId="13" shapeId="0" xr:uid="{8F30A289-15C4-4179-ACD3-B0A3F6BE689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Papel na atividade: Responsável ou Apoio. Lista suspensa.</t>
      </text>
    </comment>
    <comment ref="P2" authorId="14" shapeId="0" xr:uid="{B2802248-7990-401B-8908-3462A90E34A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Parceiros da equipe de Processos Integrados, quando houver parceria.</t>
      </text>
    </comment>
    <comment ref="Q2" authorId="15" shapeId="0" xr:uid="{50775367-4AA3-436E-9990-2DF6DD0FDEA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ID da atividade principal, quando esta for derivada/vinculada a outra.</t>
      </text>
    </comment>
    <comment ref="R2" authorId="16" shapeId="0" xr:uid="{F579157F-0B40-4E3B-A1F4-FF46AE18EE5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Empresa do grupo. Lista suspensa (aba Cadastros).</t>
      </text>
    </comment>
    <comment ref="S2" authorId="17" shapeId="0" xr:uid="{4EA159BD-8333-4A8C-AEA2-282813ABFA0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Status geral da atividade (ex.: Em andamento, Concluído). Lista suspensa.</t>
      </text>
    </comment>
    <comment ref="T2" authorId="18" shapeId="0" xr:uid="{25B08E69-2BB4-4D6C-AD5B-C01C92B5919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Horas efetivamente gastas na atividade.</t>
      </text>
    </comment>
    <comment ref="U2" authorId="19" shapeId="0" xr:uid="{286E3B7E-585D-4C86-88C9-665A83689E8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Tempo consumido pela rotina ANTES da solução (h/mês).</t>
      </text>
    </comment>
    <comment ref="V2" authorId="20" shapeId="0" xr:uid="{99B7FF9C-DB0B-4139-834D-2110598BFA9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Tempo consumido pela rotina DEPOIS da solução (h/mês).</t>
      </text>
    </comment>
    <comment ref="W2" authorId="21" shapeId="0" xr:uid="{BD10BA9B-8FBD-4920-BE05-5E618E53ED3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Ganho de produtividade (h/mês) = Tempo Antes − Tempo Depois. Cálculo automático.</t>
      </text>
    </comment>
    <comment ref="X2" authorId="22" shapeId="0" xr:uid="{520D2B4D-736B-432D-A7EC-BF0BB4ED03A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% de redução de tempo = Ganho ÷ Tempo Antes. Cálculo automático.</t>
      </text>
    </comment>
    <comment ref="Y2" authorId="23" shapeId="0" xr:uid="{7410A254-2AD1-4B3E-9D91-A59EF27BA99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Resultado alcançado / benefício gerado pela entrega.</t>
      </text>
    </comment>
    <comment ref="Z2" authorId="24" shapeId="0" xr:uid="{DD36DBC1-7CE8-4AA4-AD9E-ABFDD84F1B8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Pendência ou próximo passo em aberto.</t>
      </text>
    </comment>
    <comment ref="AA2" authorId="25" shapeId="0" xr:uid="{9072CCD4-87B5-4C80-BF1D-4B632521FA1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Observações gerais.</t>
      </text>
    </comment>
    <comment ref="AB2" authorId="26" shapeId="0" xr:uid="{680BE705-6984-4DAE-B3A2-D5F56F2EA60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Status da Etapa 08 (Hypercare). Vinculado automaticamente à aba E08 — não editar.</t>
      </text>
    </comment>
    <comment ref="AC2" authorId="27" shapeId="0" xr:uid="{906C5C02-A1B6-4B12-A642-4530CA85375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% de conclusão da Etapa 08. Automático a partir da aba E08.</t>
      </text>
    </comment>
    <comment ref="AD2" authorId="28" shapeId="0" xr:uid="{0C011810-4D37-4DE0-92EB-9F4E02B759B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Data de início do Hypercare. Automático (aba E08).</t>
      </text>
    </comment>
    <comment ref="AE2" authorId="29" shapeId="0" xr:uid="{C856C357-36F0-4DCB-85B6-6E8869CC5D9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Encerramento previsto do Hypercare. Automático (aba E08).</t>
      </text>
    </comment>
    <comment ref="AF2" authorId="30" shapeId="0" xr:uid="{39B94375-A17A-4D07-8D78-BCB758D180A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Encerramento real do Hypercare. Automático (aba E08).</t>
      </text>
    </comment>
    <comment ref="AG2" authorId="31" shapeId="0" xr:uid="{49BBEA13-3875-441F-9EC8-AC7534B9A7A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Dias decorridos em Hypercare. Cálculo automático (aba E08).</t>
      </text>
    </comment>
    <comment ref="AH2" authorId="32" shapeId="0" xr:uid="{69B58A5B-CEC3-4053-B5D0-FA182FC6DB4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Situação do prazo do Hypercare (no prazo / atrasado). Automático (aba E08).</t>
      </text>
    </comment>
    <comment ref="AI2" authorId="33" shapeId="0" xr:uid="{A28ED207-C96E-4D7B-A34B-AE67E797AC5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Resultado do Hypercare (estável, incidente, nova demanda). Automático (aba E08).</t>
      </text>
    </comment>
    <comment ref="AJ2" authorId="34" shapeId="0" xr:uid="{A4427A54-10AC-4F82-8D1F-84323D9EAAF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ID da nova demanda originada, quando houver. Automático (aba E08).</t>
      </text>
    </comment>
    <comment ref="AK2" authorId="35" shapeId="0" xr:uid="{06390E01-DFAD-4122-BED8-AF7CE7E9C32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Lead time total da demanda (início até encerramento). Cálculo automático.</t>
      </text>
    </comment>
    <comment ref="AL2" authorId="36" shapeId="0" xr:uid="{80756D18-1BEE-4DBD-8A1C-ADF4AE61E67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Status geral definitivo consolidado de todo o ciclo. Cálculo automático.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tc={417376EF-8EF4-4E29-A366-CFA2CA6CE62E}</author>
    <author>tc={4E5E3C6C-734B-4767-982F-7941650CE30F}</author>
    <author>tc={F8B718A1-FA0F-4F33-95F4-1B22494E3A4D}</author>
    <author>tc={E277AF20-C635-4A38-B0A2-F87FA1E59A03}</author>
    <author>tc={FAA0B627-A96C-427C-9D85-0067F54AC667}</author>
    <author>tc={E19E5BF0-F604-4581-8221-748E9CDD48D9}</author>
    <author>tc={D5D04DEC-0FEF-4C78-92F7-FD02AEEAF431}</author>
    <author>tc={9B224783-4A1D-44D5-AF63-C1E465E328EA}</author>
    <author>tc={72D66E4F-B901-43F0-8946-C30777CC0B86}</author>
    <author>tc={050C22B7-8F77-43D8-BC17-C170E460B58E}</author>
    <author>tc={BEF40705-89D8-4C5D-A8FD-5AE88216D6FB}</author>
    <author>tc={8C96C42A-275A-41B0-BCE7-A23DACE12E26}</author>
    <author>tc={D527FD6F-2BA1-4299-B4E9-C626C0D19150}</author>
    <author>tc={29B19B68-82AC-4A5C-AD19-2F7D73076B4C}</author>
    <author>tc={B3B4ACF8-C7F3-411D-AA32-6A9CFFFAECFC}</author>
  </authors>
  <commentList>
    <comment ref="B24" authorId="0" shapeId="0" xr:uid="{417376EF-8EF4-4E29-A366-CFA2CA6CE62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Tracker com uma linha por atividade. 100% automático — trabalhe sempre nas abas E1 a E8; esta aba apenas consolida.</t>
      </text>
    </comment>
    <comment ref="B25" authorId="1" shapeId="0" xr:uid="{4E5E3C6C-734B-4767-982F-7941650CE30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ID da atividade, espelhado automaticamente da aba Lançamentos.</t>
      </text>
    </comment>
    <comment ref="C25" authorId="2" shapeId="0" xr:uid="{F8B718A1-FA0F-4F33-95F4-1B22494E3A4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Título da atividade, automático (Lançamentos).</t>
      </text>
    </comment>
    <comment ref="D25" authorId="3" shapeId="0" xr:uid="{E277AF20-C635-4A38-B0A2-F87FA1E59A0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Pilar de Processos Integrados, automático (Lançamentos).</t>
      </text>
    </comment>
    <comment ref="E25" authorId="4" shapeId="0" xr:uid="{FAA0B627-A96C-427C-9D85-0067F54AC66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Status da Etapa 1 (Solicitação), derivado dos critérios da aba E1. Concluído quando todos ✔/N/A; Bloqueado se houver ⛔.</t>
      </text>
    </comment>
    <comment ref="F25" authorId="5" shapeId="0" xr:uid="{E19E5BF0-F604-4581-8221-748E9CDD48D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Status da Etapa 2 (Triagem), derivado da aba E2. Só inicia após E1 concluída.</t>
      </text>
    </comment>
    <comment ref="G25" authorId="6" shapeId="0" xr:uid="{D5D04DEC-0FEF-4C78-92F7-FD02AEEAF43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Status da Etapa 3 (Levantamento). GATE obrigatório: valida escopo e critérios de aceite. Derivado da aba E3.</t>
      </text>
    </comment>
    <comment ref="H25" authorId="7" shapeId="0" xr:uid="{9B224783-4A1D-44D5-AF63-C1E465E328E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Status da Etapa 4 (Execução), derivado da aba E4. Só inicia após o GATE da E3.</t>
      </text>
    </comment>
    <comment ref="I25" authorId="8" shapeId="0" xr:uid="{72D66E4F-B901-43F0-8946-C30777CC0B8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Status da Etapa 5 (Validação). GATE obrigatório: achados documentados e aprovados. Derivado da aba E5.</t>
      </text>
    </comment>
    <comment ref="J25" authorId="9" shapeId="0" xr:uid="{050C22B7-8F77-43D8-BC17-C170E460B58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Status da Etapa 6 (Ajustes), derivado da aba E6. Fica N/A quando não há ajustes.</t>
      </text>
    </comment>
    <comment ref="K25" authorId="10" shapeId="0" xr:uid="{BEF40705-89D8-4C5D-A8FD-5AE88216D6F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Status da Etapa 7 (Entrega), derivado da aba E7.</t>
      </text>
    </comment>
    <comment ref="L25" authorId="11" shapeId="0" xr:uid="{8C96C42A-275A-41B0-BCE7-A23DACE12E2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Status da Etapa 8 (Estabilização/Hypercare), derivado da aba E08.</t>
      </text>
    </comment>
    <comment ref="M25" authorId="12" shapeId="0" xr:uid="{D527FD6F-2BA1-4299-B4E9-C626C0D1915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Etapa atual da atividade — primeira etapa ainda não concluída. Cálculo automático.</t>
      </text>
    </comment>
    <comment ref="N25" authorId="13" shapeId="0" xr:uid="{29B19B68-82AC-4A5C-AD19-2F7D73076B4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% do fluxo concluído = etapas concluídas ÷ 8. Cálculo automático.</t>
      </text>
    </comment>
    <comment ref="O25" authorId="14" shapeId="0" xr:uid="{B3B4ACF8-C7F3-411D-AA32-6A9CFFFAECF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Observação do fluxo (campo livre para anotações).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tc={E76067EA-9E23-4408-81B5-ECECEA444926}</author>
    <author>tc={09439639-D8DD-40DA-9C96-4C389FA69556}</author>
    <author>tc={B057589E-230A-4B9D-BCA0-5D35CF63A899}</author>
    <author>tc={7FAEF710-1A07-48E2-8912-10984B6C8F9F}</author>
    <author>tc={7AE52EF2-4C1D-4130-A728-287219490266}</author>
    <author>tc={26EA1807-4C91-4C5F-A8D6-DD8703BEE95B}</author>
    <author>tc={EF3817AF-B98C-4E51-B106-7ADEB382F66E}</author>
    <author>tc={C4972E0F-582D-4D0D-88ED-C240E1367CA9}</author>
    <author>tc={7D800C5B-23BB-4192-BE4B-ABF43DBA38BF}</author>
    <author>tc={F425B909-741B-48A7-9B35-C6467FA5FAB9}</author>
    <author>tc={C0B9502C-E40D-421E-81A3-27EF34BAC02E}</author>
    <author>tc={A2BA59DE-F3BC-4ECE-AE23-9852B078EA44}</author>
    <author>tc={2462034C-A457-45C2-A677-CDC0F4FC57C4}</author>
    <author>tc={B7803B0D-91EE-440C-90EF-4AFB3DBCF832}</author>
  </authors>
  <commentList>
    <comment ref="B7" authorId="0" shapeId="0" xr:uid="{E76067EA-9E23-4408-81B5-ECECEA44492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Origem: aba Lançamentos. Preenchimento automático. Utilize o mesmo ID da Base Mestre durante todo o workflow; não alterar nem duplicar.</t>
      </text>
    </comment>
    <comment ref="C7" authorId="1" shapeId="0" xr:uid="{09439639-D8DD-40DA-9C96-4C389FA6955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Origem: título da solicitação na aba Lançamentos. Preenchimento automático e somente para identificação rápida da demanda.</t>
      </text>
    </comment>
    <comment ref="D7" authorId="2" shapeId="0" xr:uid="{B057589E-230A-4B9D-BCA0-5D35CF63A89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Origem: classificação realizada na Etapa 02. Preenchimento automático; não é obrigatório para concluir a Etapa 01.</t>
      </text>
    </comment>
    <comment ref="E7" authorId="3" shapeId="0" xr:uid="{7FAEF710-1A07-48E2-8912-10984B6C8F9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Confirme se a necessidade, o problema e o motivo da demanda foram descritos de forma suficiente. Registre apenas o status da validação.</t>
      </text>
    </comment>
    <comment ref="F7" authorId="4" shapeId="0" xr:uid="{7AE52EF2-4C1D-4130-A728-28721949026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Confirme se a origem oficial da demanda foi registrada: formulário, chamado, reunião, auditoria, diretoria, projeto ou outra fonte.</t>
      </text>
    </comment>
    <comment ref="G7" authorId="5" shapeId="0" xr:uid="{26EA1807-4C91-4C5F-A8D6-DD8703BEE95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Confirme empresa, departamento, área solicitante, nome e contato corporativo suficientes para identificar o responsável.</t>
      </text>
    </comment>
    <comment ref="H7" authorId="6" shapeId="0" xr:uid="{EF3817AF-B98C-4E51-B106-7ADEB382F66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Confirme se o cenário atual, o objetivo e o resultado esperado permitem compreender o que o solicitante deseja alcançar.</t>
      </text>
    </comment>
    <comment ref="I7" authorId="7" shapeId="0" xr:uid="{C4972E0F-582D-4D0D-88ED-C240E1367CA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Confirme informações mínimas de alcance, usuários, frequência, volume, urgência, prazo, impacto e benefícios esperados.</t>
      </text>
    </comment>
    <comment ref="J7" authorId="8" shapeId="0" xr:uid="{7D800C5B-23BB-4192-BE4B-ABF43DBA38B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Confirme se documentos, links ou arquivos estão acessíveis e foram verificados. Use N/A somente quando não existirem evidências aplicáveis.</t>
      </text>
    </comment>
    <comment ref="K7" authorId="9" shapeId="0" xr:uid="{F425B909-741B-48A7-9B35-C6467FA5FAB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Confirme que a demanda foi cadastrada oficialmente, possui ID único ativo e está rastreável na aba Lançamentos.</t>
      </text>
    </comment>
    <comment ref="L7" authorId="10" shapeId="0" xr:uid="{C0B9502C-E40D-421E-81A3-27EF34BAC02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Confirme que o solicitante recebeu comunicação do recebimento, do ID, do início da triagem e do próximo passo.</t>
      </text>
    </comment>
    <comment ref="M7" authorId="11" shapeId="0" xr:uid="{A2BA59DE-F3BC-4ECE-AE23-9852B078EA4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Cálculo automático: critérios concluídos divididos pelos critérios aplicáveis. N/A é excluído do denominador e todos N/A resultam em 0%.</t>
      </text>
    </comment>
    <comment ref="N7" authorId="12" shapeId="0" xr:uid="{2462034C-A457-45C2-A677-CDC0F4FC57C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Registre somente onde a evidência pode ser localizada: formulário, chamado, protocolo, SharePoint, pasta, e-mail ou comunicação oficial.</t>
      </text>
    </comment>
    <comment ref="O7" authorId="13" shapeId="0" xr:uid="{B7803B0D-91EE-440C-90EF-4AFB3DBCF83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Registre pendências, complementos, bloqueios, justificativas de N/A, inconsistências, exceções ou observações da validação.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tc={7133B2C6-5157-4C33-B281-53AB7D60E979}</author>
    <author>tc={C2925896-4601-4B3D-BA5E-B2AABD1ABD5F}</author>
    <author>tc={2FDF70D2-1E23-483B-8197-692A80EB5628}</author>
    <author>tc={BFDF1AD8-79AE-407D-9C0B-6403C5496F03}</author>
    <author>tc={EB57B00D-9459-4926-8678-9AB3900E2791}</author>
    <author>tc={1E4F7C39-3F5E-4F51-A13D-DEAAD6540ECB}</author>
    <author>tc={F2C4DD9E-5743-4A58-9B50-9FA05FE674EE}</author>
    <author>tc={FCDFF7E8-BC0A-4376-B8CD-48A9835959C0}</author>
    <author>tc={0D4D0267-0049-4E09-A07B-C73F50618C75}</author>
    <author>tc={276E9370-468E-4181-8F6A-40A0723D4A2C}</author>
    <author>tc={029E0B99-2D81-4FA7-85DE-1D737B825D82}</author>
    <author>tc={119C385E-837D-437D-A56D-39C485579DD2}</author>
    <author>tc={37E63863-938F-48B8-B2D4-88FA80D8120A}</author>
    <author>tc={1B9A1CB0-3507-45A3-A96B-1E5345D2434F}</author>
  </authors>
  <commentList>
    <comment ref="B7" authorId="0" shapeId="0" xr:uid="{7133B2C6-5157-4C33-B281-53AB7D60E97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ID Único
Origem: aba Lançamentos / Etapa 01.
Preenchimento: automático.
Identificador único da demanda, como FM-0002, utilizado durante todo o workflow. Não deve ser alterado ou duplicado.</t>
      </text>
    </comment>
    <comment ref="C7" authorId="1" shapeId="0" xr:uid="{C2925896-4601-4B3D-BA5E-B2AABD1ABD5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Atividade
Origem: título da solicitação.
Preenchimento: automático.
Nome curto da demanda, herdado do formulário e da aba Lançamentos, utilizado para identificação rápida.</t>
      </text>
    </comment>
    <comment ref="D7" authorId="2" shapeId="0" xr:uid="{2FDF70D2-1E23-483B-8197-692A80EB562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Pilar Proc. Integrados
Origem: classificação realizada na Etapa 02.
Preenchimento: CSC / Processos Integrados.
Selecione o pilar oficial, como Governança, Melhoria Contínua, Transformação Digital, Business Intelligence, PMO / Projetos ou Operação.</t>
      </text>
    </comment>
    <comment ref="E7" authorId="3" shapeId="0" xr:uid="{BFDF1AD8-79AE-407D-9C0B-6403C5496F0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1. Tipo da Demanda Definido
Origem: análise do formulário e da necessidade.
Responsável: CSC / Processos Integrados.
Confirma a classificação em um tipo adequado, como mapeamento, POP, estudo, melhoria, dashboard, IA, automação, análise, levantamento, documentação ou projeto.</t>
      </text>
    </comment>
    <comment ref="F7" authorId="4" shapeId="0" xr:uid="{EB57B00D-9459-4926-8678-9AB3900E279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2. Área Solicitante Confirmada
Origem: formulário de solicitação e Base Mestre.
Responsável: CSC / Processos Integrados.
Confirma se empresa, departamento, área solicitante e dados do responsável foram validados e estão consistentes.</t>
      </text>
    </comment>
    <comment ref="G7" authorId="5" shapeId="0" xr:uid="{1E4F7C39-3F5E-4F51-A13D-DEAAD6540EC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3. Prioridade Definida
Origem: prioridade informada, impacto, urgência, prazo e análise do CSC.
Responsável: CSC / Processos Integrados ou gestor.
Confirma a prioridade final como Baixa, Média, Alta ou Crítica, considerando impacto, risco, urgência e prazo.</t>
      </text>
    </comment>
    <comment ref="H7" authorId="6" shapeId="0" xr:uid="{F2C4DD9E-5743-4A58-9B50-9FA05FE674E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4. Responsável Atribuído
Origem: distribuição interna da equipe.
Responsável: gestor / CSC.
Confirma se um analista responsável foi oficialmente atribuído para conduzir a demanda.</t>
      </text>
    </comment>
    <comment ref="I7" authorId="7" shapeId="0" xr:uid="{FCDFF7E8-BC0A-4376-B8CD-48A9835959C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5. Complexidade Avaliada
Origem: análise inicial da demanda.
Responsável: CSC / Processos Integrados.
Confirma a complexidade como Baixa, Média ou Alta, considerando esforço, dependências, volume, sistemas e necessidade técnica.</t>
      </text>
    </comment>
    <comment ref="J7" authorId="8" shapeId="0" xr:uid="{0D4D0267-0049-4E09-A07B-C73F50618C7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6. Categoria Definida
Origem: análise do benefício e natureza da demanda.
Responsável: CSC / Processos Integrados.
Confirma a categoria principal, como Tempo, Financeiro, Qualidade, Compliance, Tecnologia, Pessoas ou Operação.</t>
      </text>
    </comment>
    <comment ref="K7" authorId="9" shapeId="0" xr:uid="{276E9370-468E-4181-8F6A-40A0723D4A2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7. Projeto Relacionado Vinculado
Origem: formulário, Base Mestre e Cadastros.
Responsável: CSC / Processos Integrados.
Confirma o vínculo com o projeto correto. Quando não existir projeto relacionado, utilizar N/A e registrar a justificativa.</t>
      </text>
    </comment>
    <comment ref="L7" authorId="10" shapeId="0" xr:uid="{029E0B99-2D81-4FA7-85DE-1D737B825D8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8. Controle Atualizado no Tracker
Origem: dados da própria Etapa 02.
Preenchimento: automático / CSC.
Confirma se etapa atual, status, percentual, responsável, datas, bloqueios e avanço foram refletidos corretamente no Workflow (Tracker).</t>
      </text>
    </comment>
    <comment ref="M7" authorId="11" shapeId="0" xr:uid="{119C385E-837D-437D-A56D-39C485579DD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% da Etapa
Origem: status dos oito critérios.
Preenchimento: automático.
Calcula critérios concluídos divididos pelos critérios aplicáveis. N/A é excluído do denominador e todos os critérios em N/A resultam em 0%.</t>
      </text>
    </comment>
    <comment ref="N7" authorId="12" shapeId="0" xr:uid="{37E63863-938F-48B8-B2D4-88FA80D8120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Evidência / Referência
Origem: formulário, triagem, link, protocolo, e-mail, ata ou repositório oficial.
Preenchimento: manual ou automático.
Registre apenas onde a evidência pode ser consultada, sem duplicar o conteúdo detalhado da demanda.</t>
      </text>
    </comment>
    <comment ref="O7" authorId="13" shapeId="0" xr:uid="{1B9A1CB0-3507-45A3-A96B-1E5345D2434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Observação
Preenchimento: manual.
Registre dúvidas, bloqueios, necessidade de complemento, divergências, justificativas de prioridade ou N/A, falhas de atualização e exceções aprovadas.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tc={2A86E071-25AC-4B19-B5EC-29BB85430E4C}</author>
    <author>tc={E12FDCEF-6532-47BC-9305-7E99D44AE643}</author>
    <author>tc={CEFF7364-78EB-4803-8921-8F2BAD504ABB}</author>
    <author>tc={9B29AF62-BBEB-4745-95CE-08B95648957A}</author>
    <author>tc={03437B25-535C-466F-BD5D-B4C2947BCD3A}</author>
    <author>tc={DEF17D10-D436-4A57-95FD-0053A8ED54E5}</author>
    <author>tc={82B6E4B8-97E5-47C4-896A-916E41ECC31C}</author>
    <author>tc={60B1EE99-7C3D-426F-A912-3E206C11DE79}</author>
    <author>tc={57B64B77-F6A6-410A-9EE0-95F53A1103A2}</author>
    <author>tc={C6B6488E-8741-4FDA-ABA2-1D7B571EBC1F}</author>
    <author>tc={9701BA4B-3296-40C7-BBF3-34926FA15744}</author>
  </authors>
  <commentList>
    <comment ref="B7" authorId="0" shapeId="0" xr:uid="{2A86E071-25AC-4B19-B5EC-29BB85430E4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Origem: aba Lançamentos. Preenchimento automático. Identificador único da demanda utilizado em todas as etapas do workflow; não alterar nem duplicar.</t>
      </text>
    </comment>
    <comment ref="C7" authorId="1" shapeId="0" xr:uid="{E12FDCEF-6532-47BC-9305-7E99D44AE64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Origem: aba Lançamentos. Preenchimento automático. Título da demanda, mantido igual à Base Mestre e às etapas anteriores.</t>
      </text>
    </comment>
    <comment ref="D7" authorId="2" shapeId="0" xr:uid="{CEFF7364-78EB-4803-8921-8F2BAD504AB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Origem: Etapa 02. Preenchimento automático. Pilar definido na triagem; não editar manualmente nesta etapa.</t>
      </text>
    </comment>
    <comment ref="E7" authorId="3" shapeId="0" xr:uid="{9B29AF62-BBEB-4745-95CE-08B95648957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Validação: confirme que as necessidades foram compreendidas, registradas e documentadas de forma suficiente para orientar a execução.</t>
      </text>
    </comment>
    <comment ref="F7" authorId="4" shapeId="0" xr:uid="{03437B25-535C-466F-BD5D-B4C2947BCD3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Validação: confirme entregas, itens incluídos, itens fora do escopo, limites e responsabilidades da demanda.</t>
      </text>
    </comment>
    <comment ref="G7" authorId="5" shapeId="0" xr:uid="{DEF17D10-D436-4A57-95FD-0053A8ED54E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Validação: confirme o mapeamento de riscos, restrições e dependências de áreas, sistemas, acessos, dados, fornecedores e aprovações.</t>
      </text>
    </comment>
    <comment ref="H7" authorId="6" shapeId="0" xr:uid="{82B6E4B8-97E5-47C4-896A-916E41ECC31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Validação: confirme critérios objetivos, verificáveis e alinhados ao escopo para avaliar e aceitar a entrega.</t>
      </text>
    </comment>
    <comment ref="I7" authorId="7" shapeId="0" xr:uid="{60B1EE99-7C3D-426F-A912-3E206C11DE7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GATE obrigatório: exige aprovação formal do usuário-chave e evidência rastreável. Este critério não aceita N/A e bloqueia o avanço para a E4.</t>
      </text>
    </comment>
    <comment ref="J7" authorId="8" shapeId="0" xr:uid="{57B64B77-F6A6-410A-9EE0-95F53A1103A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Cálculo automático. Considera critérios concluídos sobre critérios aplicáveis, excluindo N/A. A etapa somente atinge 100% com os cinco critérios concluídos.</t>
      </text>
    </comment>
    <comment ref="K7" authorId="9" shapeId="0" xr:uid="{C6B6488E-8741-4FDA-ABA2-1D7B571EBC1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Registre somente a localização da evidência: documento de levantamento, ata, e-mail, SharePoint, formulário ou aprovação formal.</t>
      </text>
    </comment>
    <comment ref="L7" authorId="10" shapeId="0" xr:uid="{9701BA4B-3296-40C7-BBF3-34926FA1574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Registre decisões, pendências, riscos, dependências, divergências, bloqueios ou condições especiais. Não replique o documento de levantamento.</t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tc={7EC5B691-A227-43A8-9930-C8C74EE259E1}</author>
    <author>tc={9FF7CC89-E5BA-4520-98A3-8515FBDD0DB5}</author>
    <author>tc={52D4FA32-CE93-4E6C-AEB9-7B2B64931F0C}</author>
    <author>tc={8E71872D-AFBD-469C-B6BF-3292EAD5926D}</author>
    <author>tc={D02D7926-3468-4225-87DA-DB659D58EB6A}</author>
    <author>tc={71293C44-6CFD-4054-A293-B728F221D612}</author>
    <author>tc={C246FC71-9F56-43A1-B4A9-4F1D6DD97B2B}</author>
    <author>tc={5C23646C-1759-43C9-8093-F62616C23C7C}</author>
    <author>tc={EBF875B5-7CED-4611-95D3-6192CADC214A}</author>
    <author>tc={A4D246A8-5168-4563-A576-6C3E8A0CBCF6}</author>
    <author>tc={C8D0F847-5E93-4D3D-BBB9-A4C7CD914244}</author>
    <author>tc={B9D64F1C-9E71-4EFB-84AF-9629EA8E12D8}</author>
    <author>tc={19C283F2-4A36-4DB0-9EA3-CB3C727EBEC7}</author>
  </authors>
  <commentList>
    <comment ref="B7" authorId="0" shapeId="0" xr:uid="{7EC5B691-A227-43A8-9930-C8C74EE259E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Origem: aba Lançamentos. Preenchimento automático. Identificador único utilizado em todo o workflow; não alterar nem duplicar.</t>
      </text>
    </comment>
    <comment ref="C7" authorId="1" shapeId="0" xr:uid="{9FF7CC89-E5BA-4520-98A3-8515FBDD0DB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Origem: aba Lançamentos. Preenchimento automático. Nome da demanda mantido igual à Base Mestre.</t>
      </text>
    </comment>
    <comment ref="D7" authorId="2" shapeId="0" xr:uid="{52D4FA32-CE93-4E6C-AEB9-7B2B64931F0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Origem: Etapa 02 e Base Mestre. Preenchimento automático. Pilar classificado na triagem; não editar manualmente.</t>
      </text>
    </comment>
    <comment ref="E7" authorId="3" shapeId="0" xr:uid="{8E71872D-AFBD-469C-B6BF-3292EAD5926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Confirme escopo aprovado, entregáveis, responsável, sequência, prazo inicial, recursos, critérios de aceite e dependências.</t>
      </text>
    </comment>
    <comment ref="F7" authorId="4" shapeId="0" xr:uid="{D02D7926-3468-4225-87DA-DB659D58EB6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Confirme que a entrega foi iniciada e executada conforme o escopo, sem criar subtarefas técnicas nesta aba.</t>
      </text>
    </comment>
    <comment ref="G7" authorId="5" shapeId="0" xr:uid="{71293C44-6CFD-4054-A293-B728F221D61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Confirme o registro de decisões, premissas, mudanças, desvios, riscos e evolução relevante.</t>
      </text>
    </comment>
    <comment ref="H7" authorId="6" shapeId="0" xr:uid="{C246FC71-9F56-43A1-B4A9-4F1D6DD97B2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Confirme checkpoints, comunicação, atualização de prazo, impedimentos, entregáveis e próximos passos.</t>
      </text>
    </comment>
    <comment ref="I7" authorId="7" shapeId="0" xr:uid="{5C23646C-1759-43C9-8093-F62616C23C7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Confirme aderência ao escopo, consistência, padronização, documentação, rastreabilidade e ausência de erros impeditivos.</t>
      </text>
    </comment>
    <comment ref="J7" authorId="8" shapeId="0" xr:uid="{EBF875B5-7CED-4611-95D3-6192CADC214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Condição de saída: confirme que a versão, artefatos, critérios de aceite e usuário homologador estão definidos.</t>
      </text>
    </comment>
    <comment ref="K7" authorId="9" shapeId="0" xr:uid="{A4D246A8-5168-4563-A576-6C3E8A0CBCF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Confirme que status, percentual, etapa atual, responsável, prazo, bloqueios e próximo passo estão refletidos no Workflow.</t>
      </text>
    </comment>
    <comment ref="L7" authorId="10" shapeId="0" xr:uid="{C8D0F847-5E93-4D3D-BBB9-A4C7CD91424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Cálculo automático. Exclui N/A do denominador e somente chega a 100% com os sete critérios concluídos.</t>
      </text>
    </comment>
    <comment ref="M7" authorId="11" shapeId="0" xr:uid="{B9D64F1C-9E71-4EFB-84AF-9629EA8E12D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Registre somente a localização dos artefatos: SharePoint, documentação, dashboard, código, Git, POP, estudo ou versão da entrega.</t>
      </text>
    </comment>
    <comment ref="N7" authorId="12" shapeId="0" xr:uid="{19C283F2-4A36-4DB0-9EA3-CB3C727EBEC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Registre riscos, mudanças de escopo, decisões, bloqueios, dependências, prazos e justificativas de N/A.</t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tc={977DEE64-9515-4857-8667-EA766FC7D9AC}</author>
    <author>tc={2E122215-29FA-4AC9-802D-981762DEFD45}</author>
    <author>tc={DDD79FCF-00B9-4473-9867-5C421662E524}</author>
    <author>tc={D9A9B673-33EA-41C7-BE43-2DE58C97150F}</author>
    <author>tc={75E904C8-816D-41A1-AEEB-1F4AF116262D}</author>
    <author>tc={70988343-45D2-423C-91EF-503F8A690D14}</author>
    <author>tc={E3ADFF7F-3A5B-46F5-AAF2-8A3BBA490AC7}</author>
    <author>tc={3D658892-7596-4949-9E4C-50114504E605}</author>
    <author>tc={BB726C8F-2EAA-4889-BFDE-FF4B96CE2CDE}</author>
    <author>tc={3769784A-4FAE-40F0-B2D4-6DD529EA8D48}</author>
    <author>tc={3BC6D5FD-E897-441B-8083-E28D953FB7ED}</author>
    <author>tc={D971D96C-EB6F-44E2-A308-EFDDCD85D18B}</author>
  </authors>
  <commentList>
    <comment ref="B7" authorId="0" shapeId="0" xr:uid="{977DEE64-9515-4857-8667-EA766FC7D9A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Identificador único da demanda, herdado da aba Lançamentos e preservado em todo o workflow.</t>
      </text>
    </comment>
    <comment ref="C7" authorId="1" shapeId="0" xr:uid="{2E122215-29FA-4AC9-802D-981762DEFD4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Título da demanda ou projeto, sincronizado automaticamente com a Base Mestre.</t>
      </text>
    </comment>
    <comment ref="D7" authorId="2" shapeId="0" xr:uid="{DDD79FCF-00B9-4473-9867-5C421662E52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Pilar definido na Etapa 02 e herdado automaticamente nesta etapa.</t>
      </text>
    </comment>
    <comment ref="E7" authorId="3" shapeId="0" xr:uid="{D9A9B673-33EA-41C7-BE43-2DE58C97150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Confirma que uma versão identificada da entrega foi disponibilizada ao usuário-chave, com acesso, escopo e critérios de aceite disponíveis.</t>
      </text>
    </comment>
    <comment ref="F7" authorId="4" shapeId="0" xr:uid="{75E904C8-816D-41A1-AEEB-1F4AF116262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Confirma que o usuário-chave analisou ou testou a entrega e registrou aprovação, ressalvas ou reprovação de forma rastreável.</t>
      </text>
    </comment>
    <comment ref="G7" authorId="5" shapeId="0" xr:uid="{70988343-45D2-423C-91EF-503F8A690D1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Confirma a aprovação da gestão quando necessária. Pode ser N/A somente com justificativa em Evidência / Referência ou Observação.</t>
      </text>
    </comment>
    <comment ref="H7" authorId="6" shapeId="0" xr:uid="{E3ADFF7F-3A5B-46F5-AAF2-8A3BBA490AC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Confirma que erros, inconsistências, melhorias, ressalvas e ajustes da homologação foram documentados, inclusive quando nenhum ajuste foi encontrado.</t>
      </text>
    </comment>
    <comment ref="I7" authorId="7" shapeId="0" xr:uid="{3D658892-7596-4949-9E4C-50114504E60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GATE obrigatório. Formaliza o resultado com data, homologador, versão, decisão, evidência e próximo passo. Não aceita N/A.</t>
      </text>
    </comment>
    <comment ref="J7" authorId="8" shapeId="0" xr:uid="{BB726C8F-2EAA-4889-BFDE-FF4B96CE2CD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Percentual automático: concluídos divididos pelos critérios aplicáveis. N/A é excluído e o GATE precisa estar concluído.</t>
      </text>
    </comment>
    <comment ref="K7" authorId="9" shapeId="0" xr:uid="{3769784A-4FAE-40F0-B2D4-6DD529EA8D4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Referência para formulário de homologação, ata, e-mail, relatório de testes, versão validada ou repositório oficial.</t>
      </text>
    </comment>
    <comment ref="L7" authorId="10" shapeId="0" xr:uid="{3BC6D5FD-E897-441B-8083-E28D953FB7E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Use para ressalvas, pendências, decisões, justificativas, reprovação, ajustes ou condições especiais.</t>
      </text>
    </comment>
    <comment ref="M7" authorId="11" shapeId="0" xr:uid="{D971D96C-EB6F-44E2-A308-EFDDCD85D18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Resultado formal: aprovado sem ajustes segue para E7; aprovado com ajustes ou reprovado segue para E6; pendente permanece na E5.</t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tc={816E2536-4111-4F6A-8FCE-327D44F75E11}</author>
    <author>tc={E4F54524-1485-4B88-B67B-DAC792099BD9}</author>
    <author>tc={E46B1DC8-1F98-4FCB-B8EF-FD8CF0346FD2}</author>
    <author>tc={12A87A70-D63E-453D-BAFF-F3B63193F7DD}</author>
    <author>tc={A7B810DE-2BDD-4228-B2DF-5AF4F47AC82E}</author>
    <author>tc={F2CDB064-6A4F-41B8-A724-61406F9940E5}</author>
    <author>tc={1CE586CA-8DE0-4BF1-8DC5-1E7DAAA974A0}</author>
    <author>tc={929D206A-0373-4B17-B17B-FF7C2D249457}</author>
    <author>tc={6D932137-3F92-40E1-8EC7-CBBD0B66AC1D}</author>
    <author>tc={607FD8F8-78C5-40B9-AC06-50416C651A79}</author>
    <author>tc={8BA3FE7B-B291-4C78-BB38-5D0D490848BE}</author>
    <author>tc={FC58775D-1515-46E6-B3AB-A6AE0101E76A}</author>
    <author>tc={1177380B-EC84-4F4E-ABA5-73CDFFB35A67}</author>
  </authors>
  <commentList>
    <comment ref="B7" authorId="0" shapeId="0" xr:uid="{816E2536-4111-4F6A-8FCE-327D44F75E1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Identificador único da demanda, herdado da aba Lançamentos e preservado em todas as etapas.</t>
      </text>
    </comment>
    <comment ref="C7" authorId="1" shapeId="0" xr:uid="{E4F54524-1485-4B88-B67B-DAC792099BD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Título da demanda ou projeto, sincronizado automaticamente com a Base Mestre.</t>
      </text>
    </comment>
    <comment ref="D7" authorId="2" shapeId="0" xr:uid="{E46B1DC8-1F98-4FCB-B8EF-FD8CF0346FD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Pilar definido na Etapa 02 e herdado automaticamente.</t>
      </text>
    </comment>
    <comment ref="E7" authorId="3" shapeId="0" xr:uid="{12A87A70-D63E-453D-BAFF-F3B63193F7D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Confirma que os achados da homologação foram analisados, classificados, priorizados e direcionados para tratamento.</t>
      </text>
    </comment>
    <comment ref="F7" authorId="4" shapeId="0" xr:uid="{A7B810DE-2BDD-4228-B2DF-5AF4F47AC82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Confirma que as correções, melhorias ou refinamentos priorizados foram executados.</t>
      </text>
    </comment>
    <comment ref="G7" authorId="5" shapeId="0" xr:uid="{F2CDB064-6A4F-41B8-A724-61406F9940E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Confirma que existe uma nova versão identificada da solução com artefatos e documentação atualizados.</t>
      </text>
    </comment>
    <comment ref="H7" authorId="6" shapeId="0" xr:uid="{1CE586CA-8DE0-4BF1-8DC5-1E7DAAA974A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Confirma que todos os achados foram tratados ou possuem decisão, justificativa e aprovação formal.</t>
      </text>
    </comment>
    <comment ref="I7" authorId="7" shapeId="0" xr:uid="{929D206A-0373-4B17-B17B-FF7C2D24945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Confirma nova validação da solução ajustada quando necessária. Pode ser N/A somente com justificativa.</t>
      </text>
    </comment>
    <comment ref="J7" authorId="8" shapeId="0" xr:uid="{6D932137-3F92-40E1-8EC7-CBBD0B66AC1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Aceite final obrigatório dos ajustes. Confirma versão aprovada, evidência disponível e liberação para E07. Não aceita N/A.</t>
      </text>
    </comment>
    <comment ref="K7" authorId="9" shapeId="0" xr:uid="{607FD8F8-78C5-40B9-AC06-50416C651A7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Percentual automático dos critérios aplicáveis. Quando a E06 não se aplica, o Tracker registra N/A.</t>
      </text>
    </comment>
    <comment ref="L7" authorId="10" shapeId="0" xr:uid="{8BA3FE7B-B291-4C78-BB38-5D0D490848B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Referência para lista de achados, plano de ação, nova versão, testes, nova homologação ou aceite final.</t>
      </text>
    </comment>
    <comment ref="M7" authorId="11" shapeId="0" xr:uid="{FC58775D-1515-46E6-B3AB-A6AE0101E76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Use para decisões, justificativas, pendências remanescentes, dispensa de nova validação, bloqueios e ressalvas.</t>
      </text>
    </comment>
    <comment ref="N7" authorId="12" shapeId="0" xr:uid="{1177380B-EC84-4F4E-ABA5-73CDFFB35A6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Campo automático definido pelo Resultado da Homologação da E05: Sim para ajustes/reprovação; Não para aprovado sem ajustes.</t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tc={6595CBE9-5C4B-4C0E-A76D-E6826681E8B1}</author>
    <author>tc={66F24728-C21D-4764-ABDC-95DDDAF7F297}</author>
    <author>tc={775E995B-88F0-4F70-9838-07C527887A14}</author>
    <author>tc={05B22993-7820-46AC-8CA9-C3B19BF7DEDA}</author>
    <author>tc={69B32508-8BB1-4156-8BE4-EFE6F4DEE749}</author>
    <author>tc={4D3CB829-DACC-4F59-B4B2-89471547DBFE}</author>
    <author>tc={D53B7395-66C7-4788-966D-78AF4ED1C4FC}</author>
    <author>tc={9040DD0B-3F25-4E68-B039-E1915EEBECB7}</author>
    <author>tc={968FC328-E47A-48DB-AB33-CC97B1B5CE7E}</author>
    <author>tc={B8C1E1A6-4789-4A6F-90F5-E5DE0DEDF9F3}</author>
  </authors>
  <commentList>
    <comment ref="B7" authorId="0" shapeId="0" xr:uid="{6595CBE9-5C4B-4C0E-A76D-E6826681E8B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Origem: aba Lançamentos. Preenchimento automático. Identificador único da demanda, preservado durante todo o workflow.</t>
      </text>
    </comment>
    <comment ref="C7" authorId="1" shapeId="0" xr:uid="{66F24728-C21D-4764-ABDC-95DDDAF7F29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Origem: aba Lançamentos. Preenchimento automático. Nome da demanda ou projeto utilizado para identificação rápida.</t>
      </text>
    </comment>
    <comment ref="D7" authorId="2" shapeId="0" xr:uid="{775E995B-88F0-4F70-9838-07C527887A1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Origem: Etapa 02 — Triagem. Preenchimento automático. Pilar oficial definido para a demanda.</t>
      </text>
    </comment>
    <comment ref="E7" authorId="3" shapeId="0" xr:uid="{05B22993-7820-46AC-8CA9-C3B19BF7DED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Confirma que a versão final aprovada foi oficialmente disponibilizada ao usuário ou à área responsável, com acesso e data de implantação registrados.</t>
      </text>
    </comment>
    <comment ref="F7" authorId="4" shapeId="0" xr:uid="{69B32508-8BB1-4156-8BE4-EFE6F4DEE74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Confirma que as partes interessadas foram formalmente comunicadas sobre a entrega, acesso, orientações, suporte e início do acompanhamento.</t>
      </text>
    </comment>
    <comment ref="G7" authorId="5" shapeId="0" xr:uid="{4D3CB829-DACC-4F59-B4B2-89471547DBF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Confirma que Data de Conclusão, status, percentual, etapa atual e demais controles gerenciais foram atualizados oficialmente.</t>
      </text>
    </comment>
    <comment ref="H7" authorId="6" shapeId="0" xr:uid="{D53B7395-66C7-4788-966D-78AF4ED1C4F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Confirma que documentos, versões, aceites, comunicações e demais artefatos foram organizados no repositório oficial.</t>
      </text>
    </comment>
    <comment ref="I7" authorId="7" shapeId="0" xr:uid="{9040DD0B-3F25-4E68-B039-E1915EEBECB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Cálculo automático: critérios concluídos divididos pelos critérios aplicáveis. N/A é excluído do denominador; todos N/A retornam 0%.</t>
      </text>
    </comment>
    <comment ref="J7" authorId="8" shapeId="0" xr:uid="{968FC328-E47A-48DB-AB33-CC97B1B5CE7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Informe onde os artefatos finais podem ser localizados: SharePoint, Teams, e-mail, versão final, manual, relatório, Git ou outro repositório oficial.</t>
      </text>
    </comment>
    <comment ref="K7" authorId="9" shapeId="0" xr:uid="{B8C1E1A6-4789-4A6F-90F5-E5DE0DEDF9F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Registre apenas ressalvas finais, orientações, restrições, suporte acordado, pendências não impeditivas ou condições especiais.</t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tc={482471B6-9EFC-46A5-B2D1-2BB16EE31DC5}</author>
    <author>tc={CA18C4C2-DEEF-4837-BFDC-BCAC64BE137E}</author>
    <author>tc={8C8FCC37-F551-497B-B6D6-50E5C1D80F9C}</author>
    <author>tc={32FF6A27-A57C-4672-9B9C-C8BB156EBC3F}</author>
    <author>tc={621985BE-5CEF-44F2-B7AB-B84DBBE2BC6D}</author>
    <author>tc={7850DFE3-AB47-48F7-A3C4-8CF828CD6D22}</author>
    <author>tc={B1B3E5D1-CFC3-4769-B054-AB712F1BB4DB}</author>
    <author>tc={E606038B-1F69-44CE-B141-B36B69E92CCA}</author>
    <author>tc={4D3D6AFA-D121-4411-9BC1-1F5E641117CE}</author>
    <author>tc={288047B5-CB48-4AA4-B8AE-B1AF7B07CF1D}</author>
    <author>tc={4FEE8D5E-04C6-43F3-9AA9-C119A6006C99}</author>
    <author>tc={BCAC54E2-568C-4187-87D4-356BC40A6E97}</author>
    <author>tc={9FBB25A4-6F6F-4D50-A3FD-62C674D350BD}</author>
    <author>tc={ED85BEFC-7207-461C-92B6-A0F8612AEC5C}</author>
    <author>tc={B0716998-C369-4B37-80F3-2156BC109EA2}</author>
    <author>tc={8DE29C00-B961-4659-A403-6ECBE4858D7D}</author>
    <author>tc={489E2129-E6ED-4F57-A0D4-D76547B01F5E}</author>
    <author>tc={C466E956-4EA5-40C6-A780-EAA989588C66}</author>
    <author>tc={7DA9D20B-659C-4BD1-81EA-BFFFC94B19F9}</author>
    <author>tc={87D3CFB0-A499-4F1A-A772-AD0EC2B951DB}</author>
  </authors>
  <commentList>
    <comment ref="B7" authorId="0" shapeId="0" xr:uid="{482471B6-9EFC-46A5-B2D1-2BB16EE31DC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Origem: aba Lançamentos. Identificador automático da demanda original, preservado durante todo o ciclo.</t>
      </text>
    </comment>
    <comment ref="C7" authorId="1" shapeId="0" xr:uid="{CA18C4C2-DEEF-4837-BFDC-BCAC64BE137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Origem: aba Lançamentos. Título da solução em estabilização, sem duplicar sua descrição detalhada.</t>
      </text>
    </comment>
    <comment ref="D7" authorId="2" shapeId="0" xr:uid="{8C8FCC37-F551-497B-B6D6-50E5C1D80F9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Origem: Etapa 02 — Triagem. Pilar oficial herdado automaticamente e utilizado em todo o workflow.</t>
      </text>
    </comment>
    <comment ref="E7" authorId="3" shapeId="0" xr:uid="{32FF6A27-A57C-4672-9B9C-C8BB156EBC3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Confirma que os usuários receberam suporte, orientações, acesso e canais de atendimento durante os primeiros dias de utilização.</t>
      </text>
    </comment>
    <comment ref="F7" authorId="4" shapeId="0" xr:uid="{621985BE-5CEF-44F2-B7AB-B84DBBE2BC6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Confirma que a solução foi acompanhada em ambiente produtivo durante o período definido de Hypercare.</t>
      </text>
    </comment>
    <comment ref="G7" authorId="5" shapeId="0" xr:uid="{7850DFE3-AB47-48F7-A3C4-8CF828CD6D2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Confirma que dúvidas, incidentes, erros ou feedbacks foram registrados. Quando não houver ocorrências, marcar Concluído e registrar essa informação.</t>
      </text>
    </comment>
    <comment ref="H7" authorId="6" shapeId="0" xr:uid="{B1B3E5D1-CFC3-4769-B054-AB712F1BB4D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Confirma que correções de baixo impacto e dentro do escopo foram executadas. Quando não houver correções, utilizar N/A com justificativa.</t>
      </text>
    </comment>
    <comment ref="I7" authorId="7" shapeId="0" xr:uid="{E606038B-1F69-44CE-B141-B36B69E92CC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Confirma que a solução está estável, sem incidentes críticos abertos e apta ao encerramento definitivo. Não aceita N/A.</t>
      </text>
    </comment>
    <comment ref="J7" authorId="8" shapeId="0" xr:uid="{4D3D6AFA-D121-4411-9BC1-1F5E641117C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Confirma que a demanda original foi encerrada ou que uma evolução relevante gerou nova solicitação com novo ID. Não aceita N/A.</t>
      </text>
    </comment>
    <comment ref="K7" authorId="9" shapeId="0" xr:uid="{288047B5-CB48-4AA4-B8AE-B1AF7B07CF1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Cálculo automático dos critérios concluídos sobre os aplicáveis. N/A é excluído do denominador e não substitui critérios obrigatórios.</t>
      </text>
    </comment>
    <comment ref="L7" authorId="10" shapeId="0" xr:uid="{4FEE8D5E-04C6-43F3-9AA9-C119A6006C9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Informe chamados, e-mails, logs, relatório de monitoramento, comunicação de encerramento ou referência da nova solicitação.</t>
      </text>
    </comment>
    <comment ref="M7" authorId="11" shapeId="0" xr:uid="{BCAC54E2-568C-4187-87D4-356BC40A6E9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Registre ocorrências relevantes, incidentes, justificativas de N/A, extensão de prazo, decisão de novo ciclo ou ressalvas.</t>
      </text>
    </comment>
    <comment ref="N7" authorId="12" shapeId="0" xr:uid="{9FBB25A4-6F6F-4D50-A3FD-62C674D350B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Resultado consolidado que orienta o encerramento: estável, nova demanda, incidente crítico ou em estabilização.</t>
      </text>
    </comment>
    <comment ref="O7" authorId="13" shapeId="0" xr:uid="{ED85BEFC-7207-461C-92B6-A0F8612AEC5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Data de início do período de estabilização. Inicialmente herdada da Data de Conclusão/implantação registrada na Base Mestre.</t>
      </text>
    </comment>
    <comment ref="P7" authorId="14" shapeId="0" xr:uid="{B0716998-C369-4B37-80F3-2156BC109EA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Prazo ajustável do Hypercare. Padrão do projeto: 7 dias corridos.</t>
      </text>
    </comment>
    <comment ref="Q7" authorId="15" shapeId="0" xr:uid="{8DE29C00-B961-4659-A403-6ECBE4858D7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Calculado automaticamente como Início do Hypercare mais o prazo definido.</t>
      </text>
    </comment>
    <comment ref="R7" authorId="16" shapeId="0" xr:uid="{489E2129-E6ED-4F57-A0D4-D76547B01F5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Data real e auditável do encerramento do Hypercare. Preenchimento manual quando o ciclo for formalmente encerrado.</t>
      </text>
    </comment>
    <comment ref="S7" authorId="17" shapeId="0" xr:uid="{C466E956-4EA5-40C6-A780-EAA989588C6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Calculado automaticamente entre o início e a data atual ou a data real de encerramento.</t>
      </text>
    </comment>
    <comment ref="T7" authorId="18" shapeId="0" xr:uid="{7DA9D20B-659C-4BD1-81EA-BFFFC94B19F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Indica se o Hypercare está dentro do prazo, próximo do encerramento, atrasado ou encerrado.</t>
      </text>
    </comment>
    <comment ref="U7" authorId="19" shapeId="0" xr:uid="{87D3CFB0-A499-4F1A-A772-AD0EC2B951D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Preencher somente quando o resultado indicar evolução relevante e uma nova solicitação tiver sido aberta.</t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tc={1E0C4C17-F894-4BE8-BDF0-D88BAAB21DF2}</author>
    <author>tc={2936797F-8BEF-480F-825E-CC37BC7DF609}</author>
    <author>tc={BB69FBF8-EC5B-4636-A2D6-21949D5D630C}</author>
    <author>tc={D5C73585-0678-45D9-8806-2AC3624C94CB}</author>
    <author>tc={F3A32D11-E8E4-41D0-9F36-08855586DB5D}</author>
    <author>tc={B7D67654-1D54-4C0B-B580-6B26E5D59118}</author>
    <author>tc={B373E826-816E-49F2-B3BE-C8A8F5810132}</author>
    <author>tc={3E502980-A9FB-4287-BA90-2DDED4CEC946}</author>
    <author>tc={90A86B01-B0A3-4612-B0D4-5FFBD716DF6B}</author>
  </authors>
  <commentList>
    <comment ref="B5" authorId="0" shapeId="0" xr:uid="{1E0C4C17-F894-4BE8-BDF0-D88BAAB21DF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Preencha a semana (ex.: Semana 28), o período, os nomes e a data. O campo 'Semana' controla o filtro automático das seções 4 a 7 — use exatamente o mesmo texto na coluna Semana da seção 3.</t>
      </text>
    </comment>
    <comment ref="B13" authorId="1" shapeId="0" xr:uid="{2936797F-8BEF-480F-825E-CC37BC7DF60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Preencha em frases curtas e objetivas. É a primeira leitura de contexto do gestor: o que foi entregue, o que travou e onde precisa de ajuda.</t>
      </text>
    </comment>
    <comment ref="B21" authorId="2" shapeId="0" xr:uid="{BB69FBF8-EC5B-4636-A2D6-21949D5D630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Não preencher — alimentada automaticamente pela aba Lançamentos. Clique no ID para abrir a atividade.</t>
      </text>
    </comment>
    <comment ref="B44" authorId="3" shapeId="0" xr:uid="{D5C73585-0678-45D9-8806-2AC3624C94C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Preencher: Semana (igual ao campo da Identificação), ID, Status da Semana (dropdown), Motivo, O que foi realizado, Próximo Passo, Necessita Apoio? (dropdown), Responsável pela Pendência, Previsão de Conclusão e Evolução (%). Automáticos: Projeto, Atividade e Semanas Reportadas. ⚠️ As seções 4 a 7 são geradas automaticamente a partir do que você reporta aqui.</t>
      </text>
    </comment>
    <comment ref="B86" authorId="4" shapeId="0" xr:uid="{F3A32D11-E8E4-41D0-9F36-08855586DB5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Não preencher. Mostra as atividades marcadas 🟢 Concluído na seção 3 na semana atual. Clique no ID para abrir a atividade nos Lançamentos.</t>
      </text>
    </comment>
    <comment ref="B99" authorId="5" shapeId="0" xr:uid="{B7D67654-1D54-4C0B-B580-6B26E5D5911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Não preencher. Gerado da seção 3: linhas da semana atual com 'Responsável pela Pendência' preenchido. Clique na pendência para abrir a atividade.</t>
      </text>
    </comment>
    <comment ref="B107" authorId="6" shapeId="0" xr:uid="{B373E826-816E-49F2-B3BE-C8A8F581013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Não preencher. Mostra as atividades com status 🔴 Bloqueado na semana atual (seção 3). Clique no ID para abrir a atividade.</t>
      </text>
    </comment>
    <comment ref="B115" authorId="7" shapeId="0" xr:uid="{3E502980-A9FB-4287-BA90-2DDED4CEC94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Não preencher. Mostra as linhas da seção 3 com 'Necessita Apoio? = Sim' na semana atual. Prioridade automática: 🔴 Alta se bloqueado; 🟡 Média nos demais.</t>
      </text>
    </comment>
    <comment ref="B122" authorId="8" shapeId="0" xr:uid="{90A86B01-B0A3-4612-B0D4-5FFBD716DF6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Analista registra a mensagem da semana; a gestora responde, avalia Performance, Qualidade e Prazo (dropdowns), define a prioridade da próxima semana e registra o feedback.</t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tc={BD7DCC2B-B022-4370-94E7-52C2C755E8F1}</author>
    <author>tc={318CFE10-0BD0-4DE8-8DAD-DFBAB6B4D6FC}</author>
    <author>tc={EF7A91B6-A7D3-4307-862C-20B2CE21D84F}</author>
    <author>tc={CA9D9051-DEB0-4897-AACF-F7FFC7201723}</author>
    <author>tc={F77690AD-2802-4459-9822-DB6E7AA4EB86}</author>
    <author>tc={40B3ECD4-A681-413A-AB83-265F1CDF341B}</author>
    <author>tc={6160FE53-F42D-40C1-B8BD-CD2A6347C7C4}</author>
    <author>tc={1073EA59-46EE-4907-9EFF-5FC2641BE3A0}</author>
    <author>tc={CE6E5FEA-4734-4DC4-BF35-AD48E6BC57C3}</author>
    <author>tc={EE2E2BAA-AA17-4610-8989-8A59E4690129}</author>
    <author>tc={2168C379-DC4A-442C-890A-A313B6E3E139}</author>
    <author>tc={E6215D56-C048-470E-A4A4-05D4FDC4A8CF}</author>
    <author>tc={BA44AAC2-1552-49FD-A34C-115F95AC98A5}</author>
    <author>tc={0BD47F3A-B3E3-4877-93F5-446EA883D96C}</author>
    <author>tc={CAB42E4E-C20D-429D-9995-FD97468DCC1F}</author>
    <author>tc={022DD517-CCD4-4425-A9B4-9E07C304C7CD}</author>
    <author>tc={CFFA152F-3CDD-45AB-A2C6-BC061473C7B6}</author>
    <author>tc={3963D668-F168-45A4-9CDF-44B7AE0F21AD}</author>
    <author>tc={67476D67-1317-4783-80FA-62631285B104}</author>
    <author>tc={79A1E1B5-304F-4E25-AA54-2EF8848E5127}</author>
    <author>tc={3B2244A5-2D9F-49C2-8D18-ECE35D279CAF}</author>
    <author>tc={1FC00437-AEE5-4D33-B790-F38BB78DF285}</author>
    <author>tc={60EC2B5E-CC66-4D2F-97B5-00B47660C75C}</author>
    <author>tc={3F763FED-E868-4BE6-B25C-0184581AD5AB}</author>
  </authors>
  <commentList>
    <comment ref="B5" authorId="0" shapeId="0" xr:uid="{BD7DCC2B-B022-4370-94E7-52C2C755E8F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Lista de Projetos. Fonte única das listas suspensas usadas nas planilhas dos analistas — alterar somente aqui.</t>
      </text>
    </comment>
    <comment ref="C5" authorId="1" shapeId="0" xr:uid="{318CFE10-0BD0-4DE8-8DAD-DFBAB6B4D6F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Lista de Departamentos. Alimenta os dropdowns nas demais abas.</t>
      </text>
    </comment>
    <comment ref="D5" authorId="2" shapeId="0" xr:uid="{EF7A91B6-A7D3-4307-862C-20B2CE21D84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Lista de Status da atividade (ex.: Em andamento, Concluído).</t>
      </text>
    </comment>
    <comment ref="E5" authorId="3" shapeId="0" xr:uid="{CA9D9051-DEB0-4897-AACF-F7FFC720172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Lista de Empresas do grupo.</t>
      </text>
    </comment>
    <comment ref="F5" authorId="4" shapeId="0" xr:uid="{F77690AD-2802-4459-9822-DB6E7AA4EB8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Lista de Prioridade (Alta / Média / Baixa).</t>
      </text>
    </comment>
    <comment ref="G5" authorId="5" shapeId="0" xr:uid="{40B3ECD4-A681-413A-AB83-265F1CDF341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Lista de níveis de Complexidade.</t>
      </text>
    </comment>
    <comment ref="H5" authorId="6" shapeId="0" xr:uid="{6160FE53-F42D-40C1-B8BD-CD2A6347C7C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Lista de níveis de Impacto.</t>
      </text>
    </comment>
    <comment ref="I5" authorId="7" shapeId="0" xr:uid="{1073EA59-46EE-4907-9EFF-5FC2641BE3A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Lista de Categorias de Benefício.</t>
      </text>
    </comment>
    <comment ref="J5" authorId="8" shapeId="0" xr:uid="{CE6E5FEA-4734-4DC4-BF35-AD48E6BC57C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Valores Sim / Não usados em campos booleanos.</t>
      </text>
    </comment>
    <comment ref="K5" authorId="9" shapeId="0" xr:uid="{EE2E2BAA-AA17-4610-8989-8A59E469012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Lista dos Pilares de Processos Integrados.</t>
      </text>
    </comment>
    <comment ref="L5" authorId="10" shapeId="0" xr:uid="{2168C379-DC4A-442C-890A-A313B6E3E13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Lista de Departamentos do CSC.</t>
      </text>
    </comment>
    <comment ref="M5" authorId="11" shapeId="0" xr:uid="{E6215D56-C048-470E-A4A4-05D4FDC4A8C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Papel na atividade (ex.: Responsável, Apoio).</t>
      </text>
    </comment>
    <comment ref="N5" authorId="12" shapeId="0" xr:uid="{BA44AAC2-1552-49FD-A34C-115F95AC98A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Membros da Equipe de Processos Integrados.</t>
      </text>
    </comment>
    <comment ref="O5" authorId="13" shapeId="0" xr:uid="{0BD47F3A-B3E3-4877-93F5-446EA883D96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Status da Semana — usado na aba Acompanhamento Semanal.</t>
      </text>
    </comment>
    <comment ref="P5" authorId="14" shapeId="0" xr:uid="{CAB42E4E-C20D-429D-9995-FD97468DCC1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Motivos do Status da semana.</t>
      </text>
    </comment>
    <comment ref="Q5" authorId="15" shapeId="0" xr:uid="{022DD517-CCD4-4425-A9B4-9E07C304C7C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Categorias de Impedimento.</t>
      </text>
    </comment>
    <comment ref="R5" authorId="16" shapeId="0" xr:uid="{CFFA152F-3CDD-45AB-A2C6-BC061473C7B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Escala de Avaliação de Desempenho (aba Acompanhamento).</t>
      </text>
    </comment>
    <comment ref="S5" authorId="17" shapeId="0" xr:uid="{3963D668-F168-45A4-9CDF-44B7AE0F21A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Escala de Avaliação de Prazo (aba Acompanhamento).</t>
      </text>
    </comment>
    <comment ref="T5" authorId="18" shapeId="0" xr:uid="{67476D67-1317-4783-80FA-62631285B10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Opções do Radar / semáforo (🟢 🟡 🔴).</t>
      </text>
    </comment>
    <comment ref="V5" authorId="19" shapeId="0" xr:uid="{79A1E1B5-304F-4E25-AA54-2EF8848E512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Bloco auxiliar de MAPEAMENTO. Colunas V–AC vinculam cada Projeto/Pilar/Departamento ao seu intervalo de temas. Não editar sem revisar as fórmulas dependentes.</t>
      </text>
    </comment>
    <comment ref="AE5" authorId="20" shapeId="0" xr:uid="{3B2244A5-2D9F-49C2-8D18-ECE35D279CA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Bloco de RANGES POR PROJETO (colunas AE–AM). Cada coluna lista os temas do respectivo projeto, usados nas listas suspensas em cascata.</t>
      </text>
    </comment>
    <comment ref="AO5" authorId="21" shapeId="0" xr:uid="{1FC00437-AEE5-4D33-B790-F38BB78DF28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Bloco de RANGES POR PILAR (colunas AO–AT). Temas de cada Pilar de Processos Integrados.</t>
      </text>
    </comment>
    <comment ref="AV5" authorId="22" shapeId="0" xr:uid="{60EC2B5E-CC66-4D2F-97B5-00B47660C75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Bloco de RANGES POR DEPARTAMENTO CSC (colunas AV–BG). Temas de cada departamento.</t>
      </text>
    </comment>
    <comment ref="BI5" authorId="23" shapeId="0" xr:uid="{3F763FED-E868-4BE6-B25C-0184581AD5A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Status do Workflow (colunas BI–BJ). Alimenta a aba Workflow (Tracker).</t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<sst xmlns="http://schemas.openxmlformats.org/spreadsheetml/2006/main" count="1245" uniqueCount="944">
  <si>
    <t>• Nunca digite valores fora das listas suspensas — isso quebra a consolidação automática.</t>
  </si>
  <si>
    <t>• Tempo Antes/Depois é do PROCESSO melhorado (h/mês); Horas Gastas é o SEU esforço na entrega.</t>
  </si>
  <si>
    <t>Filipe Messias</t>
  </si>
  <si>
    <t>FM</t>
  </si>
  <si>
    <t>Departamento:</t>
  </si>
  <si>
    <t>Processos Integrados</t>
  </si>
  <si>
    <t>Supervisora:</t>
  </si>
  <si>
    <t>Juliana Batista</t>
  </si>
  <si>
    <t>ID Único</t>
  </si>
  <si>
    <t>Data Início</t>
  </si>
  <si>
    <t>Data Conclusão</t>
  </si>
  <si>
    <t>Departamento</t>
  </si>
  <si>
    <t>Projeto</t>
  </si>
  <si>
    <t>Tema</t>
  </si>
  <si>
    <t>Pilar Proc. Integrados</t>
  </si>
  <si>
    <t>Tipo de Demanda</t>
  </si>
  <si>
    <t>Atividade (título curto)</t>
  </si>
  <si>
    <t>Descrição</t>
  </si>
  <si>
    <t>Depto. Envolvido (CSC)</t>
  </si>
  <si>
    <t>Pessoa Envolvida</t>
  </si>
  <si>
    <t>Parceria?</t>
  </si>
  <si>
    <t>Papel na Atividade</t>
  </si>
  <si>
    <t>Parceiros (equipe PI)</t>
  </si>
  <si>
    <t>ID Atividade Principal</t>
  </si>
  <si>
    <t>Empresa</t>
  </si>
  <si>
    <t>Status</t>
  </si>
  <si>
    <t>Horas Gastas</t>
  </si>
  <si>
    <t>Tempo Antes (h/mês)</t>
  </si>
  <si>
    <t>Tempo Depois (h/mês)</t>
  </si>
  <si>
    <t>Ganho (h/mês)</t>
  </si>
  <si>
    <t>% Redução</t>
  </si>
  <si>
    <t>Resultado Alcançado</t>
  </si>
  <si>
    <t>Pendência / Próximo Passo</t>
  </si>
  <si>
    <t>Observação</t>
  </si>
  <si>
    <t>Fiscal/Contábil</t>
  </si>
  <si>
    <t>Lumen</t>
  </si>
  <si>
    <t>PIS/COFINS</t>
  </si>
  <si>
    <t>Transformação Digital</t>
  </si>
  <si>
    <t>Obrigação Acessória</t>
  </si>
  <si>
    <t>Tributos Federais</t>
  </si>
  <si>
    <t>Maria Estela</t>
  </si>
  <si>
    <t>Não</t>
  </si>
  <si>
    <t>Responsável</t>
  </si>
  <si>
    <t>Todas</t>
  </si>
  <si>
    <t>Concluído</t>
  </si>
  <si>
    <t>Financeiro</t>
  </si>
  <si>
    <t>Saneamento Base Contábil</t>
  </si>
  <si>
    <t>Adiantamento de Fornecedores</t>
  </si>
  <si>
    <t>Automação</t>
  </si>
  <si>
    <t>Tesouraria</t>
  </si>
  <si>
    <t>Erica Arcoverde (Supervisora)</t>
  </si>
  <si>
    <t>Sim</t>
  </si>
  <si>
    <t>José Victor</t>
  </si>
  <si>
    <t>ELET</t>
  </si>
  <si>
    <t>Rotina Financeiro</t>
  </si>
  <si>
    <t>Pagamento de Tributos (DARF/GPS)</t>
  </si>
  <si>
    <t>Daiane Vicente</t>
  </si>
  <si>
    <t>Torre Financeira - CSC</t>
  </si>
  <si>
    <t>Newsletter</t>
  </si>
  <si>
    <t>M01 - Normas Gerais da Tributação do Consumo</t>
  </si>
  <si>
    <t>Governança</t>
  </si>
  <si>
    <t>Publicação/Conteúdo Técnico</t>
  </si>
  <si>
    <t>Gestão</t>
  </si>
  <si>
    <t>Angela Ritchie (Coordenadora)</t>
  </si>
  <si>
    <t>Não iniciado</t>
  </si>
  <si>
    <t>V360</t>
  </si>
  <si>
    <t>Dashboard Entrada de NF - TicketLog x V360</t>
  </si>
  <si>
    <t>Melhoria Contínua</t>
  </si>
  <si>
    <t>Gargalo eliminado</t>
  </si>
  <si>
    <t>Recebimento Fiscal</t>
  </si>
  <si>
    <t>Em validação</t>
  </si>
  <si>
    <t>Rotina Fiscal/Contábil</t>
  </si>
  <si>
    <t>OCR/Processamento de Documentos</t>
  </si>
  <si>
    <t>CHESF</t>
  </si>
  <si>
    <t>Apurações</t>
  </si>
  <si>
    <t>Dashboard Entrada de NF - SAP x V360</t>
  </si>
  <si>
    <t>Business Intelligence</t>
  </si>
  <si>
    <t>KPI/Indicador publicado</t>
  </si>
  <si>
    <t>Governança total: os status E1–E8 são DERIVADOS dos critérios de aceite das 8 abas de etapa · Gates obrigatórios: E3 (escopo) e E5 (validação)</t>
  </si>
  <si>
    <t>COMO FUNCIONA</t>
  </si>
  <si>
    <t>• NÃO preencha nada nesta aba: cada etapa fica Concluído quando TODOS os critérios da aba correspondente estiverem ✔ (ou N/A); Bloqueado se houver ⛔; Em andamento se houver progresso parcial.</t>
  </si>
  <si>
    <t>• GATES: a E4 só inicia com a E3 = Concluído (escopo e critérios de aceite validados); a E6 só inicia com a E5 = Concluído (achados documentados e aprovados).</t>
  </si>
  <si>
    <t>• Trabalhe SEMPRE nas abas E1 a E8: marque os critérios, anexe a evidência/referência e a observação. O funil e a Etapa Atual atualizam sozinhos.</t>
  </si>
  <si>
    <t>FUNIL DO WORKFLOW — ONDE CADA ATIVIDADE ESTÁ (automático)</t>
  </si>
  <si>
    <t>E1 — Solicitação</t>
  </si>
  <si>
    <t>E2 — Triagem</t>
  </si>
  <si>
    <t>E3 — Levantamento ⚠</t>
  </si>
  <si>
    <t>E4 — Execução</t>
  </si>
  <si>
    <t>E5 — Validação ⚠</t>
  </si>
  <si>
    <t>E6 — Ajustes</t>
  </si>
  <si>
    <t>E7 — Entrega</t>
  </si>
  <si>
    <t>✔ Fluxo concluído</t>
  </si>
  <si>
    <t>Bloqueios em alguma etapa</t>
  </si>
  <si>
    <t>Gate E3 pendente (escopo não fechado)</t>
  </si>
  <si>
    <t>Gate E5 pendente (validação não aprovada)</t>
  </si>
  <si>
    <t>TRACKER — UMA LINHA POR ATIVIDADE (100% automático — trabalhe nas abas E1 a E8)</t>
  </si>
  <si>
    <t>ID (auto)</t>
  </si>
  <si>
    <t>Atividade (auto)</t>
  </si>
  <si>
    <t>Pilar (auto)</t>
  </si>
  <si>
    <t>E1
Solicitação</t>
  </si>
  <si>
    <t>E2
Triagem</t>
  </si>
  <si>
    <t>E3
Levantamento ⚠</t>
  </si>
  <si>
    <t>E4
Execução</t>
  </si>
  <si>
    <t>E5
Validação ⚠</t>
  </si>
  <si>
    <t>E6
Ajustes</t>
  </si>
  <si>
    <t>E7
Entrega</t>
  </si>
  <si>
    <t>Etapa Atual (auto)</t>
  </si>
  <si>
    <t>% do Fluxo</t>
  </si>
  <si>
    <t>Observação do Fluxo</t>
  </si>
  <si>
    <t>Evidência / Referência</t>
  </si>
  <si>
    <t>✔ Concluído</t>
  </si>
  <si>
    <t>⏳ Pendente</t>
  </si>
  <si>
    <t>🔄 Em andamento</t>
  </si>
  <si>
    <t>⛔ Bloqueado</t>
  </si>
  <si>
    <t>ACOMPANHAMENTO SEMANAL</t>
  </si>
  <si>
    <t>Período — de:</t>
  </si>
  <si>
    <t>até:</t>
  </si>
  <si>
    <t>Analista:</t>
  </si>
  <si>
    <t>Gestora:</t>
  </si>
  <si>
    <t>Data do Report:</t>
  </si>
  <si>
    <t>Resumo das principais entregas</t>
  </si>
  <si>
    <t>Principais desafios</t>
  </si>
  <si>
    <t>Maior resultado alcançado</t>
  </si>
  <si>
    <t>Maior dificuldade encontrada</t>
  </si>
  <si>
    <t>Risco identificado</t>
  </si>
  <si>
    <t>Necessidade de apoio do gestor</t>
  </si>
  <si>
    <t>ID</t>
  </si>
  <si>
    <t>Atividade</t>
  </si>
  <si>
    <t>Status (Lançamento)</t>
  </si>
  <si>
    <t>Status da Semana (sugerido)</t>
  </si>
  <si>
    <t>Dias em Aberto</t>
  </si>
  <si>
    <t>Projeto (auto)</t>
  </si>
  <si>
    <t>Motivo do Status</t>
  </si>
  <si>
    <t>O que foi realizado na semana?</t>
  </si>
  <si>
    <t>Próximo Passo</t>
  </si>
  <si>
    <t>Necessita Apoio?</t>
  </si>
  <si>
    <t>Responsável pela Pendência</t>
  </si>
  <si>
    <t>Previsão de Conclusão</t>
  </si>
  <si>
    <t>Evolução (%)</t>
  </si>
  <si>
    <t>Semanas Reportadas (auto)</t>
  </si>
  <si>
    <t>Aguardando outra área</t>
  </si>
  <si>
    <t>Em homologação</t>
  </si>
  <si>
    <t>Horas</t>
  </si>
  <si>
    <t>Impacto</t>
  </si>
  <si>
    <t>Prazo</t>
  </si>
  <si>
    <t>Prioridade</t>
  </si>
  <si>
    <t>Status da Semana</t>
  </si>
  <si>
    <t>Mensagem do Analista</t>
  </si>
  <si>
    <t>Resposta do Gestor</t>
  </si>
  <si>
    <t>Performance</t>
  </si>
  <si>
    <t>Qualidade</t>
  </si>
  <si>
    <t>Prioridade da próxima semana</t>
  </si>
  <si>
    <t>Feedback</t>
  </si>
  <si>
    <t>Em andamento</t>
  </si>
  <si>
    <t>Concluídas</t>
  </si>
  <si>
    <t>Investidas</t>
  </si>
  <si>
    <t>Actio</t>
  </si>
  <si>
    <t>Indicadores e Metas</t>
  </si>
  <si>
    <t>PMO / Projetos</t>
  </si>
  <si>
    <t>Operação (Rotina)</t>
  </si>
  <si>
    <t>Contas a Receber</t>
  </si>
  <si>
    <t>Auditoria Financeira CSC</t>
  </si>
  <si>
    <t>Cartão Corporativo</t>
  </si>
  <si>
    <t>Tributos Estaduais</t>
  </si>
  <si>
    <t>Contabilidade</t>
  </si>
  <si>
    <t>Faturamento</t>
  </si>
  <si>
    <t>CSC Corporativo</t>
  </si>
  <si>
    <t>Fonte única das listas suspensas — alterar somente aqui e replicar nas planilhas dos analistas</t>
  </si>
  <si>
    <t>Projetos</t>
  </si>
  <si>
    <t>Departamentos</t>
  </si>
  <si>
    <t>Complexidade</t>
  </si>
  <si>
    <t>Categoria de Benefício</t>
  </si>
  <si>
    <t>Sim/Não</t>
  </si>
  <si>
    <t>Departamentos CSC</t>
  </si>
  <si>
    <t>Equipe Proc. Integrados</t>
  </si>
  <si>
    <t>Categoria de Impedimento</t>
  </si>
  <si>
    <t>Avaliação (Desempenho)</t>
  </si>
  <si>
    <t>Avaliação (Prazo)</t>
  </si>
  <si>
    <t>Radar</t>
  </si>
  <si>
    <t>Projeto (mapa)</t>
  </si>
  <si>
    <t>Range Temas</t>
  </si>
  <si>
    <t>Pilar (mapa)</t>
  </si>
  <si>
    <t>Range Tipos</t>
  </si>
  <si>
    <t>Depto CSC (mapa)</t>
  </si>
  <si>
    <t>Range Pessoas</t>
  </si>
  <si>
    <t>Status da Etapa (Workflow)</t>
  </si>
  <si>
    <t>Status do Critério (Workflow)</t>
  </si>
  <si>
    <t>Alta</t>
  </si>
  <si>
    <t>Alto</t>
  </si>
  <si>
    <t>Tempo</t>
  </si>
  <si>
    <t>🟢 Concluído</t>
  </si>
  <si>
    <t>Em desenvolvimento</t>
  </si>
  <si>
    <t>Dependência de outra área</t>
  </si>
  <si>
    <t>Excelente</t>
  </si>
  <si>
    <t>No prazo</t>
  </si>
  <si>
    <t>🟢 Verde</t>
  </si>
  <si>
    <t>TemaLumen</t>
  </si>
  <si>
    <t>EntGov</t>
  </si>
  <si>
    <t>Pes01</t>
  </si>
  <si>
    <t>Dashboard de Produtividade</t>
  </si>
  <si>
    <t>EFD ICMS/IPI</t>
  </si>
  <si>
    <t>Pagamentos a Fornecedores</t>
  </si>
  <si>
    <t>Geral</t>
  </si>
  <si>
    <t>POP elaborado/atualizado</t>
  </si>
  <si>
    <t>Dashboard</t>
  </si>
  <si>
    <t>Projeto/Sprint gerenciado</t>
  </si>
  <si>
    <t>Viviane Monteiro (Supervisora)</t>
  </si>
  <si>
    <t>Gabriela Cavalcanti (Supervisora)</t>
  </si>
  <si>
    <t>Adriana Albuquerque (Supervisora)</t>
  </si>
  <si>
    <t>Juliana Batista (Supervisora)</t>
  </si>
  <si>
    <t>Lucia Helena (Supervisora)</t>
  </si>
  <si>
    <t>Emerson Pontes (Supervisor)</t>
  </si>
  <si>
    <t>Yuri Medeiros (Técnico)</t>
  </si>
  <si>
    <t>Magnum Brandão (Técnico)</t>
  </si>
  <si>
    <t>Emerson Pontes (Técnico)</t>
  </si>
  <si>
    <t>Jan Carlos</t>
  </si>
  <si>
    <t>Rone Ferreira (Gerente)</t>
  </si>
  <si>
    <t>Média</t>
  </si>
  <si>
    <t>Médio</t>
  </si>
  <si>
    <t>Apoio</t>
  </si>
  <si>
    <t>Viviane Lima</t>
  </si>
  <si>
    <t>🟡 Em andamento</t>
  </si>
  <si>
    <t>Aguardando usuário</t>
  </si>
  <si>
    <t>TI / Sistema</t>
  </si>
  <si>
    <t>Boa</t>
  </si>
  <si>
    <t>Em risco</t>
  </si>
  <si>
    <t>🟡 Atenção</t>
  </si>
  <si>
    <t>TemaV360</t>
  </si>
  <si>
    <t>EntMC</t>
  </si>
  <si>
    <t>Pes02</t>
  </si>
  <si>
    <t>ISS</t>
  </si>
  <si>
    <t>Adiantamento de Clientes</t>
  </si>
  <si>
    <t>M02 - Comércio Internacional</t>
  </si>
  <si>
    <t>EFD Contribuições</t>
  </si>
  <si>
    <t>Obrigações Acessórias</t>
  </si>
  <si>
    <t>Cadastro de Indicadores</t>
  </si>
  <si>
    <t>KPI/Indicador</t>
  </si>
  <si>
    <t>Fluxograma (AS-IS/TO-BE)</t>
  </si>
  <si>
    <t>Processo revisado/simplificado</t>
  </si>
  <si>
    <t>Agente de IA</t>
  </si>
  <si>
    <t>Cronograma/Roadmap</t>
  </si>
  <si>
    <t>Pagamento/Tesouraria</t>
  </si>
  <si>
    <t>Adriana Martins</t>
  </si>
  <si>
    <t>Aline Neves</t>
  </si>
  <si>
    <t>Ana Lucia Ferreira</t>
  </si>
  <si>
    <t>Altanira Carla</t>
  </si>
  <si>
    <t>Izabella Paz</t>
  </si>
  <si>
    <t>Danilo Oliveira</t>
  </si>
  <si>
    <t>Lucas de Albuquerque</t>
  </si>
  <si>
    <t>Deyvison de Lima</t>
  </si>
  <si>
    <t>Ridley Renan</t>
  </si>
  <si>
    <t>Manoel Cariele</t>
  </si>
  <si>
    <t>ENOR</t>
  </si>
  <si>
    <t>Baixa</t>
  </si>
  <si>
    <t>Baixo</t>
  </si>
  <si>
    <t>Juliana Santos</t>
  </si>
  <si>
    <t>🔴 Bloqueado</t>
  </si>
  <si>
    <t>Aguardando gestor</t>
  </si>
  <si>
    <t>Fornecedor</t>
  </si>
  <si>
    <t>Regular</t>
  </si>
  <si>
    <t>Atrasado</t>
  </si>
  <si>
    <t>🔴 Crítico</t>
  </si>
  <si>
    <t>TemaSaneamento</t>
  </si>
  <si>
    <t>EntTD</t>
  </si>
  <si>
    <t>Pes03</t>
  </si>
  <si>
    <t>Diretos</t>
  </si>
  <si>
    <t>PIS e COFINS a Recuperar</t>
  </si>
  <si>
    <t>M03 - FCBF - ICMS</t>
  </si>
  <si>
    <t>ECD</t>
  </si>
  <si>
    <t>Contas de Concessionárias</t>
  </si>
  <si>
    <t>Planos de Ação</t>
  </si>
  <si>
    <t>Meta</t>
  </si>
  <si>
    <t>Política/Norma</t>
  </si>
  <si>
    <t>Redução de etapas</t>
  </si>
  <si>
    <t>Portal/Sistema Web</t>
  </si>
  <si>
    <t>Relatório Analítico</t>
  </si>
  <si>
    <t>Workshop/Treinamento</t>
  </si>
  <si>
    <t>Conciliação</t>
  </si>
  <si>
    <t>Amanda Ferraz</t>
  </si>
  <si>
    <t>Carlos Samuel</t>
  </si>
  <si>
    <t>Rafaela Seabra</t>
  </si>
  <si>
    <t>Ana Palheta</t>
  </si>
  <si>
    <t>Adriana Marinho</t>
  </si>
  <si>
    <t>Emerson dos Santos</t>
  </si>
  <si>
    <t>Amélia Gabriel</t>
  </si>
  <si>
    <t>Rafael Lucio</t>
  </si>
  <si>
    <t>Larisa Leal</t>
  </si>
  <si>
    <t>Laura Santana</t>
  </si>
  <si>
    <t>Phillippe de Sá (Coordenador)</t>
  </si>
  <si>
    <t>Aguardando informações</t>
  </si>
  <si>
    <t>ESUL</t>
  </si>
  <si>
    <t>Operação</t>
  </si>
  <si>
    <t>⏸ Aguardando Terceiros</t>
  </si>
  <si>
    <t>Aguardando TI</t>
  </si>
  <si>
    <t>Licença / Acesso</t>
  </si>
  <si>
    <t>Ruim</t>
  </si>
  <si>
    <t>TemaNewsletter</t>
  </si>
  <si>
    <t>EntBI</t>
  </si>
  <si>
    <t>Pes04</t>
  </si>
  <si>
    <t>Retidos</t>
  </si>
  <si>
    <t>M04 - Cadastro</t>
  </si>
  <si>
    <t>ECF</t>
  </si>
  <si>
    <t>Conciliações Financeiras</t>
  </si>
  <si>
    <t>Suporte Contábil/Fiscal</t>
  </si>
  <si>
    <t>Acompanhamento de Metas</t>
  </si>
  <si>
    <t>Indicador definido</t>
  </si>
  <si>
    <t>Padronização implantada</t>
  </si>
  <si>
    <t>Integração (SAP/API)</t>
  </si>
  <si>
    <t>Base de Dados estruturada</t>
  </si>
  <si>
    <t>Gestão de Mudança</t>
  </si>
  <si>
    <t>Análise/Parecer</t>
  </si>
  <si>
    <t>Ana Carla</t>
  </si>
  <si>
    <t>Denise Maria</t>
  </si>
  <si>
    <t>Guilardo Souza</t>
  </si>
  <si>
    <t>Alynna Pereira</t>
  </si>
  <si>
    <t>Cintia Bernardino</t>
  </si>
  <si>
    <t>Flavius de Oliveira</t>
  </si>
  <si>
    <t>José Paulo Farias</t>
  </si>
  <si>
    <t>Jonnathan dos Santos</t>
  </si>
  <si>
    <t>Ademilson Jerônimo</t>
  </si>
  <si>
    <t>Diogo Calado (Especialista Tributário)</t>
  </si>
  <si>
    <t>Aguardando terceiros</t>
  </si>
  <si>
    <t>Compliance</t>
  </si>
  <si>
    <t>⚪ Não iniciado</t>
  </si>
  <si>
    <t>Aguardando fornecedor</t>
  </si>
  <si>
    <t>Aprovação</t>
  </si>
  <si>
    <t>TemaRotinaFC</t>
  </si>
  <si>
    <t>EntPMO</t>
  </si>
  <si>
    <t>Pes05</t>
  </si>
  <si>
    <t>ICMS</t>
  </si>
  <si>
    <t>M05 - Obrigações Acessórias</t>
  </si>
  <si>
    <t>DCTFWeb</t>
  </si>
  <si>
    <t>Melhorias e Automações</t>
  </si>
  <si>
    <t>Análises</t>
  </si>
  <si>
    <t>Relatórios</t>
  </si>
  <si>
    <t>Relatório Gerencial</t>
  </si>
  <si>
    <t>Documentação/Manual</t>
  </si>
  <si>
    <t>Kaizen/Lean</t>
  </si>
  <si>
    <t>Apuração de Tributos</t>
  </si>
  <si>
    <t>Ana Manuela</t>
  </si>
  <si>
    <t>Diego Maciel</t>
  </si>
  <si>
    <t>Ana Cartaxo</t>
  </si>
  <si>
    <t>Cassyo Cleyson</t>
  </si>
  <si>
    <t>Lea Carolina</t>
  </si>
  <si>
    <t>Roberto Cavalcante</t>
  </si>
  <si>
    <t>Diogo Santos</t>
  </si>
  <si>
    <t>Roberta Neves</t>
  </si>
  <si>
    <t>Thiago da Silva</t>
  </si>
  <si>
    <t>N/A</t>
  </si>
  <si>
    <t>Cancelado</t>
  </si>
  <si>
    <t>Outra</t>
  </si>
  <si>
    <t>Tecnologia</t>
  </si>
  <si>
    <t>Cliente / Usuário</t>
  </si>
  <si>
    <t>TemaRotinaFin</t>
  </si>
  <si>
    <t>EntOper</t>
  </si>
  <si>
    <t>Pes06</t>
  </si>
  <si>
    <t>Obrig. Estaduais - DAMEF-MG / DAPI-MG / DECLAN-RJ</t>
  </si>
  <si>
    <t>M06 - Apuração Assistida</t>
  </si>
  <si>
    <t>DIRBI</t>
  </si>
  <si>
    <t>Relatórios e KPIs</t>
  </si>
  <si>
    <t>Outros</t>
  </si>
  <si>
    <t>Script/Macro</t>
  </si>
  <si>
    <t>Suporte/Atendimento</t>
  </si>
  <si>
    <t>Dâmaris de Santana</t>
  </si>
  <si>
    <t>Elaine Santana</t>
  </si>
  <si>
    <t>Maria Aparecida</t>
  </si>
  <si>
    <t>Emanuelle Monteiro</t>
  </si>
  <si>
    <t>Beatriz Rosseti</t>
  </si>
  <si>
    <t>Roseli Marinho</t>
  </si>
  <si>
    <t>Amanda C. da Silva</t>
  </si>
  <si>
    <t>Vinicius Pinheiro</t>
  </si>
  <si>
    <t>Bruno Santos</t>
  </si>
  <si>
    <t>Bloqueado</t>
  </si>
  <si>
    <t>Pessoas</t>
  </si>
  <si>
    <t>Outro</t>
  </si>
  <si>
    <t>TemaInvestidas</t>
  </si>
  <si>
    <t>Pes07</t>
  </si>
  <si>
    <t>Obrig. Estaduais - DCIP-SC / DIME-SC / DIF-TO / DOT-ES</t>
  </si>
  <si>
    <t>M07 - Compensação, Ressarcimento e Restituição</t>
  </si>
  <si>
    <t>EFD-Reinf</t>
  </si>
  <si>
    <t>Correção/Retificação</t>
  </si>
  <si>
    <t>Eneias Matias</t>
  </si>
  <si>
    <t>John Williams</t>
  </si>
  <si>
    <t>Ranata Calumbi</t>
  </si>
  <si>
    <t>Erick Melo</t>
  </si>
  <si>
    <t>Augusto Ildefonso</t>
  </si>
  <si>
    <t>Luisa Arruda</t>
  </si>
  <si>
    <t>Rodrigo de Albuquerque</t>
  </si>
  <si>
    <t>Sergio Melo Filho</t>
  </si>
  <si>
    <t>Arthur Tavares</t>
  </si>
  <si>
    <t>Pes08</t>
  </si>
  <si>
    <t>Obrig. Estaduais - GIA-ST / DIFAL / ICMS Simples Nacional</t>
  </si>
  <si>
    <t>M08 - Simples Nacional e MEI</t>
  </si>
  <si>
    <t>eSocial</t>
  </si>
  <si>
    <t>Ludimille Amaral</t>
  </si>
  <si>
    <t>Elma de Andrade</t>
  </si>
  <si>
    <t>Fernanda Ximenes</t>
  </si>
  <si>
    <t>Sintia Oliveira</t>
  </si>
  <si>
    <t>Giselly Alves</t>
  </si>
  <si>
    <t>Kellner Leal</t>
  </si>
  <si>
    <t>Angela Maria Silva</t>
  </si>
  <si>
    <t>João Fortunato</t>
  </si>
  <si>
    <t>Ajustes identificados</t>
  </si>
  <si>
    <t>TemaIndMetas</t>
  </si>
  <si>
    <t>Pes09</t>
  </si>
  <si>
    <t>GNRE / CIAP</t>
  </si>
  <si>
    <t>M09 - Economia Digital</t>
  </si>
  <si>
    <t>Juliana Albuquerque</t>
  </si>
  <si>
    <t>Willams Martins</t>
  </si>
  <si>
    <t>Geovanni Paiva</t>
  </si>
  <si>
    <t>João Brito</t>
  </si>
  <si>
    <t>Isaac Kesseler</t>
  </si>
  <si>
    <t>Romullo Nascimento</t>
  </si>
  <si>
    <t>Pes10</t>
  </si>
  <si>
    <t>Notas Fiscais (Entradas/Saídas, Correções, Inconformidades)</t>
  </si>
  <si>
    <t>M10 - Regimes Diferenciados e Específicos</t>
  </si>
  <si>
    <t>Conciliações Contábeis</t>
  </si>
  <si>
    <t>Priscilla Negrão</t>
  </si>
  <si>
    <t>Paloma Mendes</t>
  </si>
  <si>
    <t>Pholyana Katy</t>
  </si>
  <si>
    <t>Janice de Lima</t>
  </si>
  <si>
    <t>Aline Tavares</t>
  </si>
  <si>
    <t>Mylena Silva</t>
  </si>
  <si>
    <t>Pes11</t>
  </si>
  <si>
    <t>CDC / CFC / MCX</t>
  </si>
  <si>
    <t>M11 - Planos de Saúde e Prognósticos</t>
  </si>
  <si>
    <t>Lana Barros</t>
  </si>
  <si>
    <t>Natália Rocha</t>
  </si>
  <si>
    <t>Terezinha Santos</t>
  </si>
  <si>
    <t>Janaina Nascimento</t>
  </si>
  <si>
    <t>Rafael Cunha</t>
  </si>
  <si>
    <t>Luiz Claudio da Silva</t>
  </si>
  <si>
    <t>Pes12</t>
  </si>
  <si>
    <t>Calendário e Dashboards Fiscais / PGTC</t>
  </si>
  <si>
    <t>M12 - Serviços Financeiros</t>
  </si>
  <si>
    <t>Nadja Buarque</t>
  </si>
  <si>
    <t>Mylene Lira</t>
  </si>
  <si>
    <t>Gleicy Gomes</t>
  </si>
  <si>
    <t>Lucas Bernardo</t>
  </si>
  <si>
    <t>ECD - SPED Contábil / Balancete, Razão e Diário</t>
  </si>
  <si>
    <t>M13 - Bens Imóveis</t>
  </si>
  <si>
    <t>Silvia Helena</t>
  </si>
  <si>
    <t>Fernando Calado</t>
  </si>
  <si>
    <t>Sintegra / 3P2M</t>
  </si>
  <si>
    <t>M14 - Agronegócio e Cooperativismo</t>
  </si>
  <si>
    <t>Fernando Bruno</t>
  </si>
  <si>
    <t>Maria Helena</t>
  </si>
  <si>
    <t>Luana de Oliveira</t>
  </si>
  <si>
    <t>M15 - ZFM e ALC</t>
  </si>
  <si>
    <t>Roger Melo</t>
  </si>
  <si>
    <t>M16 - Combustíveis e Energia Elétrica</t>
  </si>
  <si>
    <t>Thaynara Ávila</t>
  </si>
  <si>
    <t>M17 - Imposto Seletivo</t>
  </si>
  <si>
    <t>Josuellington Costa</t>
  </si>
  <si>
    <t>M18 - Temas Complementares e Casos Práticos</t>
  </si>
  <si>
    <t>Ítalo Henrique</t>
  </si>
  <si>
    <t>Tiago Pereira</t>
  </si>
  <si>
    <t>Wialy Marlan</t>
  </si>
  <si>
    <t>Maria Eduarda</t>
  </si>
  <si>
    <t>REGRA DE ID ÚNICO — PREFIXOS POR ANALISTA</t>
  </si>
  <si>
    <t>Analista</t>
  </si>
  <si>
    <t>Prefixo</t>
  </si>
  <si>
    <t>JV</t>
  </si>
  <si>
    <t>VL</t>
  </si>
  <si>
    <t>JS</t>
  </si>
  <si>
    <t>JB</t>
  </si>
  <si>
    <t>Cada analista usa exclusivamente o seu prefixo. O ID é gerado automaticamente (PREFIXO-0001, PREFIXO-0002...), portanto nunca haverá repetição entre as planilhas da equipe.</t>
  </si>
  <si>
    <t>ETAPA 01 — SOLICITAÇÃO RECEBIDA</t>
  </si>
  <si>
    <t>Responsável: CSC / Processos Integrados · Função: validar os requisitos mínimos de entrada sem duplicar o formulário ou a Base Mestre</t>
  </si>
  <si>
    <t>OBJETIVO: Confirmar que a demanda foi recebida, identificada, descrita, registrada na aba Lançamentos, validada e comunicada ao solicitante antes da triagem.</t>
  </si>
  <si>
    <t>Status permitidos: ⏳ Pendente · 🔄 Em andamento · ✔ Concluído · ⛔ Bloqueado · N/A. O percentual considera somente critérios aplicáveis; N/A exige justificativa em Evidência / Referência ou Observação.</t>
  </si>
  <si>
    <t>1. Necessidade Descrita</t>
  </si>
  <si>
    <t>2. Origem Registrada</t>
  </si>
  <si>
    <t>3. Identificação Completa</t>
  </si>
  <si>
    <t>4. Cenário e Resultado Esperado</t>
  </si>
  <si>
    <t>5. Impacto Informado</t>
  </si>
  <si>
    <t>6. Evidências Verificadas</t>
  </si>
  <si>
    <t>7. Demanda Registrada</t>
  </si>
  <si>
    <t>8. Recebimento Confirmado</t>
  </si>
  <si>
    <t>% da Etapa</t>
  </si>
  <si>
    <t>ETAPA 02 — TRIAGEM E CLASSIFICAÇÃO</t>
  </si>
  <si>
    <t>1. Tipo da Demanda Definido</t>
  </si>
  <si>
    <t>2. Área Solicitante Confirmada</t>
  </si>
  <si>
    <t>3. Prioridade Definida</t>
  </si>
  <si>
    <t>4. Responsável Atribuído</t>
  </si>
  <si>
    <t>5. Complexidade Avaliada</t>
  </si>
  <si>
    <t>6. Categoria Definida</t>
  </si>
  <si>
    <t>7. Projeto Relacionado Vinculado</t>
  </si>
  <si>
    <t>8. Controle Atualizado no Tracker</t>
  </si>
  <si>
    <t>Responsável: CSC / Processos Integrados · Função: analisar, classificar e direcionar a demanda sem duplicar o formulário ou a Base Mestre</t>
  </si>
  <si>
    <t>OBJETIVO: Confirmar que a demanda foi corretamente analisada, classificada, atribuída e refletida no Workflow antes do avanço para a Etapa 03.</t>
  </si>
  <si>
    <t>ETAPA 03 — LEVANTAMENTO E ALINHAMENTO · GATE OBRIGATÓRIO</t>
  </si>
  <si>
    <t>Responsável: CSC / Processos Integrados + Usuário-chave · Função: estruturar requisitos, escopo, riscos e critérios de aceite antes da execução</t>
  </si>
  <si>
    <t>OBJETIVO: Confirmar que a demanda possui requisitos, escopo, riscos, dependências, critérios de aceite e aprovação formal suficientes para iniciar a Etapa 04.</t>
  </si>
  <si>
    <t>Status permitidos: ⏳ Pendente · 🔄 Em andamento · ✔ Concluído · ⛔ Bloqueado · N/A. O GATE não aceita N/A e a etapa somente conclui com os cinco critérios concluídos e evidência formal.</t>
  </si>
  <si>
    <t>1. Requisitos Levantados</t>
  </si>
  <si>
    <t>2. Escopo Definido</t>
  </si>
  <si>
    <t>3. Riscos e Dependências Mapeados</t>
  </si>
  <si>
    <t>4. Critérios de Aceite Definidos</t>
  </si>
  <si>
    <t>5. Escopo Validado (GATE)</t>
  </si>
  <si>
    <t>ETAPA 04 — DESENVOLVIMENTO E EXECUÇÃO · GOVERNANÇA DA EXECUÇÃO</t>
  </si>
  <si>
    <t>Responsável: CSC / Processos Integrados · Função: controlar a execução conforme o escopo aprovado, sem criar checklist técnico</t>
  </si>
  <si>
    <t>OBJETIVO: Confirmar que a execução foi planejada, realizada, acompanhada, documentada, revisada e preparada para a Etapa 05 — Validação e Homologação.</t>
  </si>
  <si>
    <t>Status permitidos: ⏳ Pendente · 🔄 Em andamento · ✔ Concluído · ⛔ Bloqueado · N/A. A E4 somente libera a E5 quando os sete critérios estiverem concluídos e houver evidência da execução.</t>
  </si>
  <si>
    <t>1. Execução Planejada</t>
  </si>
  <si>
    <t>2. Execução Realizada</t>
  </si>
  <si>
    <t>3. Evolução Registrada</t>
  </si>
  <si>
    <t>4. Progresso Acompanhado</t>
  </si>
  <si>
    <t>5. Qualidade Verificada</t>
  </si>
  <si>
    <t>6. Entrega Preparada para Validação</t>
  </si>
  <si>
    <t>7. Controle Atualizado no Tracker</t>
  </si>
  <si>
    <t>ETAPA 05 — VALIDAÇÃO E HOMOLOGAÇÃO</t>
  </si>
  <si>
    <t>Responsável: CSC / Processos Integrados + Usuário-chave · Função: validar a entrega contra o escopo e os critérios de aceite, formalizando o resultado da homologação</t>
  </si>
  <si>
    <t>OBJETIVO: Confirmar que a entrega foi submetida, validada, documentada e formalmente homologada antes do direcionamento para Ajustes ou Implantação.</t>
  </si>
  <si>
    <t>Status permitidos: ⏳ Pendente · 🔄 Em andamento · ✔ Concluído · ⛔ Bloqueado · N/A. O GATE não aceita N/A; aprovação da gestão aceita N/A com justificativa. O resultado define o avanço para E6 ou E7.</t>
  </si>
  <si>
    <t>1. Entrega Submetida para Validação</t>
  </si>
  <si>
    <t>2. Validação do Usuário Realizada</t>
  </si>
  <si>
    <t>3. Aprovação da Gestão Registrada</t>
  </si>
  <si>
    <t>4. Achados e Ajustes Registrados</t>
  </si>
  <si>
    <t>5. Homologação Formalizada (GATE)</t>
  </si>
  <si>
    <t>Resultado da Homologação</t>
  </si>
  <si>
    <t>ETAPA 06 — AJUSTES E REFINAMENTOS</t>
  </si>
  <si>
    <t>Responsável: CSC / Processos Integrados + Usuário-chave · Função: governar o tratamento dos achados quando a homologação exigir ajustes</t>
  </si>
  <si>
    <t>OBJETIVO: Confirmar que os achados foram priorizados, tratados, incorporados à solução e formalmente aprovados antes da implantação.</t>
  </si>
  <si>
    <t>ETAPA CONDICIONAL: Aprovado sem Ajustes = E06 Não Aplicável e avanço direto para E07. Aprovado com Ajustes ou Reprovado = E06 Aplicável e conclusão obrigatória.</t>
  </si>
  <si>
    <t>1. Achados Priorizados</t>
  </si>
  <si>
    <t>2. Ajustes Executados</t>
  </si>
  <si>
    <t>3. Solução Atualizada</t>
  </si>
  <si>
    <t>4. Pendências Tratadas</t>
  </si>
  <si>
    <t>5. Nova Validação Realizada</t>
  </si>
  <si>
    <t>6. Ajustes Aprovados</t>
  </si>
  <si>
    <t>Etapa 06 Aplicável?</t>
  </si>
  <si>
    <t>ETAPA 07 — IMPLANTAÇÃO E ENTREGA</t>
  </si>
  <si>
    <t>Responsável: CSC / Processos Integrados · Função: formalizar a disponibilização, comunicação, encerramento e arquivamento da entrega</t>
  </si>
  <si>
    <t>Status permitidos: ⏳ Pendente · 🔄 Em andamento · ✔ Concluído · ⛔ Bloqueado · N/A. A E08 somente é liberada quando os quatro critérios estão concluídos e a evidência final está registrada.</t>
  </si>
  <si>
    <t>1. Solução Disponibilizada</t>
  </si>
  <si>
    <t>2. Entrega Comunicada</t>
  </si>
  <si>
    <t>3. Projeto Encerrado no Controle</t>
  </si>
  <si>
    <t>4. Evidências Arquivadas</t>
  </si>
  <si>
    <t>ETAPA 08 — ESTABILIZAÇÃO PÓS-IMPLANTAÇÃO · HYPERCARE</t>
  </si>
  <si>
    <t>1. Suporte Inicial Prestado</t>
  </si>
  <si>
    <t>2. Solução Monitorada</t>
  </si>
  <si>
    <t>3. Ocorrências Registradas</t>
  </si>
  <si>
    <t>4. Correções Emergenciais Concluídas</t>
  </si>
  <si>
    <t>5. Estabilização Confirmada</t>
  </si>
  <si>
    <t>6. Demanda Encerrada ou Novo Ciclo Aberto</t>
  </si>
  <si>
    <t>Resultado do Hypercare</t>
  </si>
  <si>
    <t>Início Hypercare</t>
  </si>
  <si>
    <t>Prazo (dias)</t>
  </si>
  <si>
    <t>Encerramento Previsto</t>
  </si>
  <si>
    <t>Encerramento Real</t>
  </si>
  <si>
    <t>Dias em Hypercare</t>
  </si>
  <si>
    <t>Situação do Prazo</t>
  </si>
  <si>
    <t>ID Nova Demanda</t>
  </si>
  <si>
    <t>E08 — Estabilização / Hypercare</t>
  </si>
  <si>
    <t>E8
Estabilização</t>
  </si>
  <si>
    <t>OBJETIVO: Confirmar que a solução foi oficialmente disponibilizada, comunicada, encerrada nos controles e arquivada antes da estabilização pós-implantação.</t>
  </si>
  <si>
    <t>Responsável: CSC / Processos Integrados · Período recomendado: até 7 dias corridos após a implantação, ajustável conforme criticidade, risco e complexidade</t>
  </si>
  <si>
    <t>OBJETIVO: Acompanhar o comportamento da solução após sua implantação, prestar suporte inicial aos usuários, monitorar a estabilidade em ambiente produtivo, registrar ocorrências, tratar correções emergenciais e confirmar o encerramento definitivo da demanda ou a abertura de um novo ciclo quando houver necessidade de evolução relevante.</t>
  </si>
  <si>
    <t>IMPORTANTE: A E08 é finita. Correções de estabilização permanecem no Hypercare; evoluções relevantes geram nova solicitação, novo ID e novo ciclo na Etapa 01, sem reabrir a demanda original.</t>
  </si>
  <si>
    <t>Incidentes críticos</t>
  </si>
  <si>
    <t>Hypercare atrasado</t>
  </si>
  <si>
    <t>Status E08</t>
  </si>
  <si>
    <t>% E08</t>
  </si>
  <si>
    <t>Dias Hypercare</t>
  </si>
  <si>
    <t>Situação Prazo E08</t>
  </si>
  <si>
    <t>Resultado Hypercare</t>
  </si>
  <si>
    <t>Lead Time Total</t>
  </si>
  <si>
    <t>Status Geral Definitivo</t>
  </si>
  <si>
    <t>Status da Semana (sugerido — pode alterar)</t>
  </si>
  <si>
    <t>Resultado</t>
  </si>
  <si>
    <t>CADASTROS MESTRES</t>
  </si>
  <si>
    <t>SOBRE ESTE ARQUIVO</t>
  </si>
  <si>
    <t>Analista responsável:</t>
  </si>
  <si>
    <t>Prefixo de ID (exclusivo):</t>
  </si>
  <si>
    <t>Estrutura:</t>
  </si>
  <si>
    <t>Torre Financeira — Centro de Serviços Compartilhados (CSC)</t>
  </si>
  <si>
    <t>Data de referência:</t>
  </si>
  <si>
    <t>OBJETIVO</t>
  </si>
  <si>
    <t>Registrar, acompanhar e reportar todas as atividades e entregas do analista em um único controle: cada linha da aba Lançamentos é uma atividade,</t>
  </si>
  <si>
    <t>Etapa</t>
  </si>
  <si>
    <t>Tipo</t>
  </si>
  <si>
    <t>O que acontece</t>
  </si>
  <si>
    <t>Necessidade descrita, origem, impacto e demanda registrada com recebimento confirmado.</t>
  </si>
  <si>
    <t>Tipo, prioridade, complexidade, categoria, responsável e vínculo com projeto definidos.</t>
  </si>
  <si>
    <t>E3 — Levantamento</t>
  </si>
  <si>
    <t>Requisitos, escopo, riscos e critérios de aceite validados — obrigatório para iniciar a E4.</t>
  </si>
  <si>
    <t>Execução planejada e realizada, progresso acompanhado e qualidade verificada.</t>
  </si>
  <si>
    <t>E5 — Validação</t>
  </si>
  <si>
    <t>Validação do usuário e aprovação da gestão — homologação formalizada antes da E6.</t>
  </si>
  <si>
    <t>Achados priorizados, ajustes executados e nova validação (quando aplicável).</t>
  </si>
  <si>
    <t>Solução disponibilizada, comunicada, encerrada no controle e evidências arquivadas.</t>
  </si>
  <si>
    <t>E08 — Estabilização</t>
  </si>
  <si>
    <t>Suporte assistido (padrão 7 dias): encerra estável ou abre nova demanda na E1.</t>
  </si>
  <si>
    <t>Aba</t>
  </si>
  <si>
    <t>Função</t>
  </si>
  <si>
    <t>Capa</t>
  </si>
  <si>
    <t>Consulta</t>
  </si>
  <si>
    <t>Apresentação do arquivo: objetivo, fluxo de governança e mapa das abas.</t>
  </si>
  <si>
    <t>Automática</t>
  </si>
  <si>
    <t>Leia-me</t>
  </si>
  <si>
    <t>Instruções completas de uso e regras de ouro do preenchimento.</t>
  </si>
  <si>
    <t>Lançamentos</t>
  </si>
  <si>
    <t>Preencher</t>
  </si>
  <si>
    <t>Workflow (Tracker)</t>
  </si>
  <si>
    <t>Status derivado das etapas E1–E8, etapa atual, % do fluxo, gates e bloqueios — não digitar.</t>
  </si>
  <si>
    <t>Critérios de aceite da solicitação (⏳/🔄/✔/⛔/N/A) + evidências.</t>
  </si>
  <si>
    <t>Critérios de classificação, prioridade e atribuição de responsável.</t>
  </si>
  <si>
    <t>Preencher ⚠</t>
  </si>
  <si>
    <t>Gate de escopo: requisitos e critérios de aceite validados.</t>
  </si>
  <si>
    <t>Critérios de execução, progresso e preparação da entrega.</t>
  </si>
  <si>
    <t>Gate de homologação: validação do usuário e aprovação da gestão.</t>
  </si>
  <si>
    <t>Tratamento dos achados da validação (quando aplicável).</t>
  </si>
  <si>
    <t>Disponibilização, comunicação e encerramento no controle.</t>
  </si>
  <si>
    <t>E08 — Estabilização Hypercare</t>
  </si>
  <si>
    <t>Suporte pós-entrega, prazos, ocorrências e resultado do Hypercare.</t>
  </si>
  <si>
    <t>Acompanhamento Semanal</t>
  </si>
  <si>
    <t>Preparação da reunião semanal: carteira, entregas e indicadores automáticos.</t>
  </si>
  <si>
    <t>Cadastros</t>
  </si>
  <si>
    <t>Listas mestras das validações (fonte única) — não alterar.</t>
  </si>
  <si>
    <t>REGRAS DE OURO</t>
  </si>
  <si>
    <t>• Não exclua linhas já lançadas nem altere o prefixo FM; atividade descartada = Status “Cancelado”.</t>
  </si>
  <si>
    <t>• Gates obrigatórios: sem E3 concluída não inicie a E4; sem E5 concluída não inicie a E6.</t>
  </si>
  <si>
    <t>• Em parcerias, apenas o Responsável registra a atividade completa; os demais lançam Papel = Apoio.</t>
  </si>
  <si>
    <t>EM ABERTO</t>
  </si>
  <si>
    <t>Conciliação MIGO x MIRO (Conta MF)</t>
  </si>
  <si>
    <t>IDENTIFICAÇÃO — ✍️ Analista</t>
  </si>
  <si>
    <t>1. RESUMO EXECUTIVO DA SEMANA — ✍️ Analista</t>
  </si>
  <si>
    <t>2. CARTEIRA EM ABERTO — ⚙️ Automático (tudo que ainda não foi concluído nos Lançamentos)</t>
  </si>
  <si>
    <t>4. ENTREGAS CONCLUÍDAS NA SEMANA — ⚙️ Automático · leitura do gestor</t>
  </si>
  <si>
    <t>5. PENDÊNCIAS — ⚙️ Automático · leitura do gestor</t>
  </si>
  <si>
    <t>6. IMPEDIMENTOS — ⚙️ Automático · leitura do gestor</t>
  </si>
  <si>
    <t>7. APOIO NECESSÁRIO — ⚙️ Automático · leitura do gestor (o gestor age aqui)</t>
  </si>
  <si>
    <t>Torre Financeira CSC · Departamento Processos Integrados · Supervisão: Juliana Batista</t>
  </si>
  <si>
    <t>8. COMUNICAÇÃO &amp; FEEDBACK DO GESTOR — ✍️ Analista + 👩‍💼 Gestora</t>
  </si>
  <si>
    <t>## 1. PAPEL, MISSÃO E POSICIONAMENTO</t>
  </si>
  <si>
    <t>**Posicionamento do sistema (inegociável):** é a ferramenta oficial de controle operacional e de report gerencial das demandas de um analista — registra demandas, conduz cada uma pelo fluxo E1→E8 com critérios de aceite, deriva status automaticamente, mede ganho de produtividade e produz o report semanal que o gestor lê (e no qual apenas responde/avalia). O sistema NÃO executa as atividades nem substitui a validação do gestor: o analista preenche, o motor deriva, o gestor lê, avalia e prioriza.</t>
  </si>
  <si>
    <t>**A pergunta principal que o sistema responde:**</t>
  </si>
  <si>
    <t>&gt; Das demandas sob responsabilidade do analista, em que etapa do fluxo E1–E8 cada uma está, o que foi entregue e estabilizado, quanto ganho de produtividade (h/mês) foi gerado, o que está travado e onde exatamente o gestor precisa agir nesta semana?</t>
  </si>
  <si>
    <t>Princípios de engenharia, nesta ordem:</t>
  </si>
  <si>
    <t>2. **Fonte única de verdade:** o cadastro de Lançamentos é o mestre. Toda outra tela ESPELHA (nunca redigita) ID, título, projeto, pilar, departamento. Listas de opções vêm exclusivamente do módulo Cadastros.</t>
  </si>
  <si>
    <t>3. **Gates de governança são bloqueantes:** E4 (Execução) só inicia com E3 (Levantamento/escopo) = Concluído; E7 (Entrega) só com E5 (Validação) = Concluído; E6 (Ajustes) é condicional (Aplicável? Não → N/A).</t>
  </si>
  <si>
    <t>4. **Zero dupla digitação:** o report semanal deriva suas seções de leitura (entregas, pendências, impedimentos, apoio) do único log que o analista escreve (Complemento Semanal), filtrado pela semana corrente.</t>
  </si>
  <si>
    <t>5. **Nunca inventar:** campo não preenchido = vazio explícito, jamais default silencioso; derivados sem insumo exibem vazio, não zero falso.</t>
  </si>
  <si>
    <t>6. **Ownership visível em toda tela:** ⚙️ Automático (não editável) · ✍️ Analista · 👩‍💼 Gestora — cada um com cor própria e tooltip explicando origem e preenchimento.</t>
  </si>
  <si>
    <t>7. Idioma pt-BR integral; datas dd/mm/aa; números com vírgula decimal.</t>
  </si>
  <si>
    <t>## 2. DOMÍNIO E CONCEITOS</t>
  </si>
  <si>
    <t>- **Fluxo E1–E8**: Solicitação → Triagem → Levantamento ⚠GATE → Execução → Validação ⚠GATE → Ajustes (condicional) → Entrega → Estabilização/Hypercare.</t>
  </si>
  <si>
    <t>- **Ganho de produtividade**: Tempo Antes (h/mês) − Tempo Depois (h/mês) = Ganho (h/mês); % Redução = Ganho ÷ Antes. Sempre calculados, nunca digitados.</t>
  </si>
  <si>
    <t>- **Hypercare**: janela de estabilização pós-entrega com prazo padrão de 7 dias corridos (ajustável por criticidade), monitoramento de ocorrências e encerramento formal (estável, incidente crítico ou nova demanda derivada com novo ID).</t>
  </si>
  <si>
    <t>- **Semana de report**: rótulo "Semana NN" que indexa o log semanal e filtra todas as seções automáticas do report do gestor.</t>
  </si>
  <si>
    <t>## 3. MÓDULOS DO SISTEMA (espelham as abas da planilha)</t>
  </si>
  <si>
    <t>1. **Capa** (identidade do projeto) · 2. **Dashboard** (visão gráfica executiva) · 3. **Leia-me** (manual de uso resumido).</t>
  </si>
  <si>
    <t>6. **E1 a E7 + E08** — oito módulos de etapa, cada um com checklist de critérios de aceite por atividade, % da etapa, evidência/referência e observação (seção 6).</t>
  </si>
  <si>
    <t>## 4. MODELO DE DADOS</t>
  </si>
  <si>
    <t>### 4.1 Cadastro mestre (Lançamentos) — campos na ordem exata:</t>
  </si>
  <si>
    <t>ID Único* · Data Início · Data Conclusão · Departamento · Projeto · Tema (cascata por projeto) · Pilar Proc. Integrados · Tipo de Demanda · Atividade (título curto)* · Descrição · Depto. Envolvido (CSC) · Pessoa Envolvida · Parceria? (Sim/Não) · Papel na Atividade (Responsável|Apoio) · Parceiros (equipe PI) · ID Atividade Principal · Empresa · Status · Horas Gastas · Tempo Antes (h/mês) · Tempo Depois (h/mês) · **Ganho (h/mês) [calc]** · **% Redução [calc]** · Resultado Alcançado · Pendência/Próximo Passo · Observação · + bloco Hypercare 100% derivado da E08: Status E08 · % E08 · Início Hypercare · Encerramento Previsto · Encerramento Real · Dias Hypercare · Situação Prazo E08 · Resultado Hypercare · ID Nova Demanda · **Lead Time Total [calc]** · **Status Geral Definitivo [calc]**.</t>
  </si>
  <si>
    <t>Projetos (Lumen · V360 · Saneamento Base Contábil · Newsletter · Rotina Fiscal/Contábil · Rotina Financeiro · Investidas · Actio · Indicadores e Metas) · Pilares (Governança · Melhoria Contínua · Transformação Digital · Business Intelligence · PMO/Projetos · Operação (Rotina)) · Departamentos CSC (Contas a Receber · Tesouraria · Auditoria Financeira CSC · Recebimento Fiscal · Processos Integrados · Cartão Corporativo · Tributos Federais · Tributos Estaduais · Contabilidade · Faturamento · CSC Corporativo · Gestão) · Status · Prioridade · Complexidade · Impacto · Categoria de Benefício · Sim/Não · Papel · Equipe PI · Status da Semana (⚪ Não iniciado · 🟡 Em andamento · 🟢 Concluído · 🔴 Bloqueado · ⏸ Aguardando Terceiros) · Motivo do Status · Categoria de Impedimento · Avaliações (Desempenho/Prazo) · Semáforo (🟢 Ok · 🟡 Atenção · 🔴 Crítico) · Status de Workflow · e MAPAS em cascata Projeto→Temas, Pilar→Temas, Depto CSC→Temas (dropdowns dependentes).</t>
  </si>
  <si>
    <t>## 5. MOTOR DO WORKFLOW (derivação de status — replicar exatamente)</t>
  </si>
  <si>
    <t>- Cada etapa tem N critérios com valores ✔ Concluído · 🔄 Em andamento · ⛔ Bloqueado · N/A.</t>
  </si>
  <si>
    <t>- **Status da etapa** = Concluído se TODOS os critérios ✔ ou N/A; Bloqueado se existir ⛔ (ou pré-condições ausentes: atividade fora do mestre, tudo N/A); Em andamento se houver progresso parcial; senão Não iniciado.</t>
  </si>
  <si>
    <t>- **Encadeamento**: E2 só avalia após E1 = Concluído; E3 após E2; E4 após E3 (GATE de escopo); E5 após E4; E6 após E5 (GATE de validação) e vira N/A quando "Etapa 06 Aplicável? = Não"; E7 após E5 com E6 Concluído ou N/A; E8 após E7.</t>
  </si>
  <si>
    <t>- Regras específicas: E8 Concluído exige critérios completos + Resultado do Hypercare = "✅ Estável — Demanda Encerrada" OU "🆕 Evolução Identificada — Nova Demanda Aberta" com ID da nova demanda preenchido; "⛔ Incidente Crítico" bloqueia o encerramento.</t>
  </si>
  <si>
    <t>- **Etapa Atual** = primeira etapa não concluída (ordem E1→E8); se todas concluídas/N-A → "✔ Fluxo concluído". **% do Fluxo** = (etapas Concluído + N/A) ÷ 8.</t>
  </si>
  <si>
    <t>- **Funil do workflow**: contagem de atividades por Etapa Atual, exibida acima do tracker.</t>
  </si>
  <si>
    <t>## 6. MÓDULOS DE ETAPA (critérios de aceite)</t>
  </si>
  <si>
    <t>- **E1 Solicitação (8)**: Necessidade Descrita · Origem Registrada · Identificação Completa · Cenário e Resultado Esperado · Impacto Informado · Evidências Verificadas · Demanda Registrada · Recebimento Confirmado.</t>
  </si>
  <si>
    <t>- **E2 Triagem (8)**: Tipo da Demanda Definido · Área Solicitante Confirmada · Prioridade Definida · Responsável Atribuído · Complexidade Avaliada · Categoria Definida · Projeto Relacionado Vinculado · Controle Atualizado no Tracker.</t>
  </si>
  <si>
    <t>- **E3 Levantamento (5, ⚠GATE)**: Requisitos Levantados · Escopo Definido · Riscos e Dependências Mapeados · Critérios de Aceite Definidos · Escopo Validado (GATE).</t>
  </si>
  <si>
    <t>- **E4 Execução (7)**: Execução Planejada · Realizada · Evolução Registrada · Progresso Acompanhado · Qualidade Verificada · Entrega Preparada para Validação · Controle Atualizado no Tracker.</t>
  </si>
  <si>
    <t>- **E5 Validação (5, ⚠GATE)**: Entrega Submetida · Validação do Usuário Realizada · Aprovação da Gestão Registrada · Achados e Ajustes Registrados · Homologação Formalizada (GATE) + campo Resultado da Homologação.</t>
  </si>
  <si>
    <t>- **E6 Ajustes (6, condicional)**: Achados Priorizados · Ajustes Executados · Solução Atualizada · Pendências Tratadas · Nova Validação Realizada · Ajustes Aprovados + campo "Etapa 06 Aplicável?" (Não → etapa N/A).</t>
  </si>
  <si>
    <t>- **E7 Entrega (4)**: Solução Disponibilizada · Entrega Comunicada · Projeto Encerrado no Controle · Evidências Arquivadas.</t>
  </si>
  <si>
    <t>- **E08 Hypercare (6 + controle de prazo)**: Suporte Inicial Prestado · Solução Monitorada · Ocorrências Registradas · Correções Emergenciais Concluídas · Estabilização Confirmada · Demanda Encerrada ou Novo Ciclo Aberto + Início · Prazo (padrão 7 dias) · Encerramento Previsto/Real · Dias em Hypercare · Situação do Prazo (🔴 Hypercare Atrasado quando estourado) · Resultado · ID Nova Demanda.</t>
  </si>
  <si>
    <t>- Todos os módulos de etapa: colunas espelhadas do mestre (ID, Atividade, Pilar), % da Etapa calculado, Evidência/Referência e Observação; cabeçalhos com tooltip explicativo no padrão da seção 9.4.</t>
  </si>
  <si>
    <t>## 7. REPORT SEMANAL (a tela que o gestor lê — replicar com fidelidade)</t>
  </si>
  <si>
    <t>- **🧭 Guia de Leitura do Gestor (60 segundos)**: ordem sugerida de leitura (Saúde/Indicadores → Resumo Executivo → Apoio Necessário → Impedimentos/Pendências → Responder Feedback) + legenda (amarelo = preenchimento manual; azul = automático).</t>
  </si>
  <si>
    <t>- **1. Resumo Executivo (✍️)**: campos curtos de contexto da semana (entregas, travas, onde precisa de ajuda).</t>
  </si>
  <si>
    <t>- **2. Carteira em Aberto (⚙️)**: tudo que ainda não foi concluído no mestre; dias em aberto com alerta vermelho acima do prazo de alerta; status com semáforo; item clicável → abre a demanda no mestre.</t>
  </si>
  <si>
    <t>- **4. Entregas Concluídas na Semana (⚙️)**: linhas do log da semana corrente com status 🟢 Concluído; traz horas gastas do mestre.</t>
  </si>
  <si>
    <t>- **8. Comunicação &amp; Feedback do Gestor (✍️ + 👩‍💼)**: mensagem do analista, resposta da gestora, avaliação Performance/Qualidade/Prazo (⭐ Excelente · ✔ Bom · ➖ Regular · ⚠ Abaixo do esperado), prioridade da próxima semana e feedback — vira histórico.</t>
  </si>
  <si>
    <t>- **Regras**: seções 2 e 4–7 são SOMENTE leitura (derivadas); tudo filtrado pela Semana da Identificação; itens com hyperlink para a demanda; títulos de seção declaram o dono (⚙️/✍️/👩‍💼) na própria barra.</t>
  </si>
  <si>
    <t>- Hypercare: em estabilização · encerradas estáveis · atrasados · incidentes críticos · novas demandas · tempo médio (dias) · % encerrados no prazo · novos ciclos.</t>
  </si>
  <si>
    <t>## 9. UX E IDENTIDADE VISUAL (replicar a "cara" da planilha)</t>
  </si>
  <si>
    <t>9.3 **Interações**: dropdown em todo campo de lista (com dica ao focar e aviso se valor fora da lista); campos derivados read-only; navegação por clique (item → demanda no mestre); dropdowns dependentes (Projeto → Temas do projeto).</t>
  </si>
  <si>
    <t>9.5 Congelar cabeçalhos nas grades longas (freeze); usar agrupamento (não ocultar) para detalhes; datas dd/mm/aa; números negativos entre parênteses.</t>
  </si>
  <si>
    <t>## 10. PERFIS E PERMISSÕES</t>
  </si>
  <si>
    <t>- **Analista**: cria/edita Lançamentos, marca critérios E1–E08, preenche seções 1 e 3 do report e sua mensagem na seção 8.</t>
  </si>
  <si>
    <t>- **Gestora**: leitura de tudo; edita apenas resposta, avaliação (Performance/Qualidade/Prazo), prioridade da próxima semana e feedback (seção 8 do report).</t>
  </si>
  <si>
    <t>- **Sistema/motor**: único que escreve status derivados, %, tracker, resumo, bloco Hypercare do mestre e seções 2 e 4–7 do report.</t>
  </si>
  <si>
    <t>## 11. CRITÉRIOS DE ACEITE (gabarito real da base atual — reproduzir EXATAMENTE com os mesmos dados)</t>
  </si>
  <si>
    <t>- **Comportamentos**: status jamais editável no tracker; gate E3 impede E4 de iniciar; marcar um critério recalcula tudo em cascata (etapa → tracker → mestre → resumo); mudar a Semana da Identificação refiltra as seções 4–7 do report; dias em aberto acima do prazo de alerta ficam vermelhos; hyperlinks abrem a demanda correta.</t>
  </si>
  <si>
    <t>## 12. O QUE NÃO FAZER</t>
  </si>
  <si>
    <t>## 13. ENTREGA FINAL</t>
  </si>
  <si>
    <t>Sistema completo com os módulos da seção 3, motor de derivação da seção 5, report da seção 7 e identidade visual da seção 9; carga inicial reproduzindo o gabarito da seção 11 com validação item a item; documentação curta no padrão "Leia-me" (como registrar demanda → conduzir E1–E8 → reportar a semana → ler como gestor → avaliar) e checklist final confirmando cada critério de aceite da seção 11 e cada proibição da seção 12.</t>
  </si>
  <si>
    <t>SGPI · Sistema de Gestão de Processos Integrados — Torre Financeira CSC</t>
  </si>
  <si>
    <t>LEIA-ME — MANUAL DE USO DA PLANILHA</t>
  </si>
  <si>
    <t>Torre Financeira CSC · Processos Integrados · Supervisão: Juliana Batista</t>
  </si>
  <si>
    <t>1 · COMEÇANDO — O QUE FAZER NA PRIMEIRA VEZ</t>
  </si>
  <si>
    <t>3. Com a atividade lançada, percorra o fluxo E1 → E08 marcando os critérios de aceite nas oito abas de etapa. É nessas abas que a governança acontece: cada critério recebe um marcador de status e uma evidência.</t>
  </si>
  <si>
    <t>5. Antes da reunião com a gestora, abra a aba Acompanhamento Semanal e preencha apenas as seções marcadas com ✍️ (leva cerca de 5 minutos). As seções ⚙️ já chegam prontas.</t>
  </si>
  <si>
    <t>2 · MAPA DAS ABAS — O QUE É CADA UMA</t>
  </si>
  <si>
    <t>Este manual: como preencher, legenda de status, regras de ouro e identificação.</t>
  </si>
  <si>
    <t>KPIs consolidados, funil E1–E8 e visões por projeto, pilar, status e Hypercare.</t>
  </si>
  <si>
    <t>Registro mestre: 1 linha = 1 atividade/entrega, 37 colunas, ID gerado automaticamente.</t>
  </si>
  <si>
    <t>Status derivado das etapas, etapa atual, % do fluxo, gates e bloqueios. Não digite nada aqui.</t>
  </si>
  <si>
    <t>8 critérios: necessidade descrita, origem, impacto, evidências e recebimento confirmado.</t>
  </si>
  <si>
    <t>8 critérios: tipo, área solicitante, prioridade, complexidade, categoria e responsável.</t>
  </si>
  <si>
    <t>5 critérios: requisitos, escopo, riscos e critérios de aceite. GATE — trava o início da E4.</t>
  </si>
  <si>
    <t>7 critérios: execução planejada e realizada, progresso, qualidade e preparo da entrega.</t>
  </si>
  <si>
    <t>5 critérios: validação do usuário e aprovação da gestão. GATE — trava o início da E6.</t>
  </si>
  <si>
    <t>6 critérios: achados priorizados, ajustes, pendências e nova validação. Etapa condicional.</t>
  </si>
  <si>
    <t>4 critérios: solução disponibilizada, comunicada, encerrada no controle e evidências arquivadas.</t>
  </si>
  <si>
    <t>6 critérios + controle de prazo do Hypercare (padrão 7 dias, ajustável).</t>
  </si>
  <si>
    <t>Report da reunião semanal em 8 seções — 4 delas automáticas.</t>
  </si>
  <si>
    <t>3 · FLUXO DE GOVERNANÇA E1–E08 — 49 CRITÉRIOS DE ACEITE</t>
  </si>
  <si>
    <t>Critérios</t>
  </si>
  <si>
    <t>O que precisa estar concluído</t>
  </si>
  <si>
    <t>8 critérios</t>
  </si>
  <si>
    <t>Necessidade descrita, origem e identificação registradas, cenário e resultado esperado, impacto informado, evidências verificadas e recebimento confirmado.</t>
  </si>
  <si>
    <t>Tipo de demanda, área solicitante, prioridade, responsável, complexidade, categoria, vínculo com projeto e Tracker atualizado.</t>
  </si>
  <si>
    <t>5 · ⚠ GATE</t>
  </si>
  <si>
    <t>Requisitos levantados, escopo definido, riscos e dependências mapeados, critérios de aceite definidos e escopo validado. Sem os 5 concluídos, a E4 não pode iniciar.</t>
  </si>
  <si>
    <t>7 critérios</t>
  </si>
  <si>
    <t>Execução planejada e realizada, evolução registrada, progresso acompanhado, qualidade verificada, entrega preparada para validação e Tracker atualizado.</t>
  </si>
  <si>
    <t>Entrega submetida, validação do usuário realizada, aprovação da gestão registrada, achados registrados e homologação formalizada. Sem os 5 concluídos, a E6 não pode iniciar.</t>
  </si>
  <si>
    <t>6 critérios</t>
  </si>
  <si>
    <t>Achados priorizados, ajustes executados, solução atualizada, pendências tratadas, nova validação e ajustes aprovados. Sem achados, marque Etapa 06 Aplicável? = Não.</t>
  </si>
  <si>
    <t>4 · 🚀 Go-live</t>
  </si>
  <si>
    <t>Solução disponibilizada, entrega comunicada, projeto encerrado no controle e evidências arquivadas.</t>
  </si>
  <si>
    <t>Suporte inicial prestado, solução monitorada, ocorrências registradas, correções emergenciais concluídas, estabilização confirmada e encerramento — ou novo ciclo na E1. Prazo padrão de 7 dias.</t>
  </si>
  <si>
    <t>4 · LEGENDA DOS MARCADORES DE STATUS</t>
  </si>
  <si>
    <t>Marcador</t>
  </si>
  <si>
    <t>Usar quando</t>
  </si>
  <si>
    <t>Efeito no sistema</t>
  </si>
  <si>
    <t>Ainda não iniciado</t>
  </si>
  <si>
    <t>A etapa permanece em aberto e a linha aparece em âmbar claro na aba da etapa.</t>
  </si>
  <si>
    <t>Em execução</t>
  </si>
  <si>
    <t>A etapa entra como Em andamento no Tracker; a linha aparece em azul claro.</t>
  </si>
  <si>
    <t>Atendido e com evidência</t>
  </si>
  <si>
    <t>Conta para o % da Etapa. Com todos os critérios aplicáveis concluídos, a linha inteira fica verde.</t>
  </si>
  <si>
    <t>Travado por dependência</t>
  </si>
  <si>
    <t>Acende a etapa em vermelho no Tracker e no funil — é o sinal de que a gestora precisa agir.</t>
  </si>
  <si>
    <t>Não se aplica à atividade</t>
  </si>
  <si>
    <t>Sai do cálculo: o denominador do % da Etapa se ajusta sozinho. A linha fica cinza.</t>
  </si>
  <si>
    <t>Como o % da Etapa é calculado: critérios concluídos ÷ critérios aplicáveis (os N/A saem do denominador). Enquanto faltar qualquer critério o teto é 99% — 100% só aparece com a etapa inteira concluída. A coluna Evidência / Referência fica destacada em vermelho claro quando a etapa chega a 100% sem nenhuma evidência registrada.</t>
  </si>
  <si>
    <t>5 · PREENCHENDO A ABA LANÇAMENTOS</t>
  </si>
  <si>
    <t>Listas suspensas</t>
  </si>
  <si>
    <t>Escolha o Projeto antes do Tema, o Pilar antes do Tipo de Demanda e o Depto. Envolvido antes da Pessoa Envolvida. Todos os valores vêm da aba Cadastros — digitar fora da lista quebra a consolidação automática.</t>
  </si>
  <si>
    <t>Descreva em uma ou duas frases o que a entrega gerou de concreto. Esse texto alimenta o report mensal da supervisão.</t>
  </si>
  <si>
    <t>Ganho de produtividade</t>
  </si>
  <si>
    <t>Se a entrega reduziu um processo recorrente, informe Tempo Antes e Tempo Depois em HORAS POR MÊS. Ganho (h/mês) e % Redução se calculam sozinhos. Não confunda com Horas Gastas, que mede o SEU esforço na entrega.</t>
  </si>
  <si>
    <t>Trabalho em parceria</t>
  </si>
  <si>
    <t>Apenas UM participante é o Responsável: ele registra a atividade completa (antes/depois, resultado) e lista os colegas em Parceiros. Os demais lançam uma linha com Papel = Apoio, as próprias Horas Gastas e o ID da Atividade Principal. Linhas de Apoio não repetem Tempo Antes/Depois — assim nada conta em dobro.</t>
  </si>
  <si>
    <t>Bloco Hypercare (E08)</t>
  </si>
  <si>
    <t>Início, Encerramento Previsto e Real, Dias, Situação do Prazo e Resultado são espelhados da aba E08. Se o Hypercare gerar uma nova demanda, informe o ID Nova Demanda e abra o registro correspondente na E1.</t>
  </si>
  <si>
    <t>Campos calculados</t>
  </si>
  <si>
    <t>Ganho, % Redução, Lead Time Total, Status E08, % E08 e Status Geral Definitivo são derivados. Não digite nada nessas colunas.</t>
  </si>
  <si>
    <t>Linhas de exemplo</t>
  </si>
  <si>
    <t>São material de teste: exclua todas de uma vez antes do primeiro uso oficial. Excluir em bloco não afeta a regra de geração de IDs.</t>
  </si>
  <si>
    <t>6 · ACOMPANHAMENTO SEMANAL — AS 8 SEÇÕES</t>
  </si>
  <si>
    <t>Seção</t>
  </si>
  <si>
    <t>Quem preenche</t>
  </si>
  <si>
    <t>O que entra</t>
  </si>
  <si>
    <t>1. Resumo Executivo da Semana</t>
  </si>
  <si>
    <t>✍️ Analista</t>
  </si>
  <si>
    <t>Período de referência e a visão geral do que a semana produziu.</t>
  </si>
  <si>
    <t>2. Carteira em Aberto</t>
  </si>
  <si>
    <t>⚙️ Automático</t>
  </si>
  <si>
    <t>Tudo que ainda não foi concluído nos Lançamentos, com os Dias em Aberto de cada item.</t>
  </si>
  <si>
    <t>3. Complemento Semanal</t>
  </si>
  <si>
    <t>Digite apenas a Semana e o ID — Projeto, Atividade e Status sugerido vêm sozinhos. Você complementa motivo, o que foi feito, apoio necessário e previsão.</t>
  </si>
  <si>
    <t>4. Entregas Concluídas na Semana</t>
  </si>
  <si>
    <t>O que foi finalizado no período. Seção de leitura da gestora.</t>
  </si>
  <si>
    <t>5. Pendências</t>
  </si>
  <si>
    <t>Itens em aberto que dependem de você. Seção de leitura da gestora.</t>
  </si>
  <si>
    <t>6. Impedimentos</t>
  </si>
  <si>
    <t>Atividades com critério ⛔ Bloqueado. Seção de leitura da gestora.</t>
  </si>
  <si>
    <t>7. Apoio Necessário</t>
  </si>
  <si>
    <t>Onde a gestora precisa agir — é a seção de decisão da reunião.</t>
  </si>
  <si>
    <t>8. Comunicação &amp; Feedback</t>
  </si>
  <si>
    <t>✍️ + 👩‍💼 Gestora</t>
  </si>
  <si>
    <t>Mensagem do analista, resposta da gestora e avaliação de performance, qualidade, prazo, prioridade da próxima semana e feedback.</t>
  </si>
  <si>
    <t>Atividade que atravessa semanas: enquanto não concluir, a MESMA atividade deve ser reportada em TODAS as semanas. Adicione uma NOVA linha na seção 3 com a semana atual e preserve as anteriores como histórico. A coluna Semanas Reportadas conta sozinha há quanto tempo o item está em aberto — a partir de 3 semanas ela fica vermelha, sinalizando gargalo para a gestora montar plano de ação.</t>
  </si>
  <si>
    <t>7 · REGRAS DE OURO</t>
  </si>
  <si>
    <t>• Não exclua linhas já lançadas nem altere o prefixo FM; atividade descartada recebe Status = Cancelado.</t>
  </si>
  <si>
    <t>• Gates obrigatórios: sem a E3 concluída não inicie a E4; sem a E5 concluída não inicie a E6.</t>
  </si>
  <si>
    <t>• Todo critério concluído precisa de Evidência / Referência registrada. Sem evidência, a homologação não se sustenta.</t>
  </si>
  <si>
    <t>8 · IDENTIFICAÇÃO</t>
  </si>
  <si>
    <t>não alterar — é o que garante ID único na consolidação</t>
  </si>
  <si>
    <t>Semanas (auto — base C7/E7)</t>
  </si>
  <si>
    <t>PAINEL DA SEMANA — ⚙️ Automático</t>
  </si>
  <si>
    <t>Entregas concluídas no período</t>
  </si>
  <si>
    <t>Horas registradas no período</t>
  </si>
  <si>
    <t>Atividades em aberto (carteira)</t>
  </si>
  <si>
    <t>Aguardando terceiros nesta semana</t>
  </si>
  <si>
    <t>Dias da atividade mais antiga em aberto</t>
  </si>
  <si>
    <t>Atualizado em 29/07/2026 — cadastros alinhados ao fluxo E1–E08, gates E3/E5 e Hypercare</t>
  </si>
  <si>
    <t>TemaActio</t>
  </si>
  <si>
    <t>Etapa Atual (Workflow)</t>
  </si>
  <si>
    <t>Status Geral do Projeto</t>
  </si>
  <si>
    <t>Em Hypercare</t>
  </si>
  <si>
    <t>Encerrado</t>
  </si>
  <si>
    <t>WORKFLOW E1–E8 — TRACKER DE ENTREGAS</t>
  </si>
  <si>
    <t>Semana (período) — automático:</t>
  </si>
  <si>
    <t>Motivo do Bloqueio</t>
  </si>
  <si>
    <t>Motivo / Quem precisa agir</t>
  </si>
  <si>
    <t>3. COMPLEMENTO SEMANAL — ✍️ Analista · escolha Semana, Status e Motivo nas listas; Projeto e Atividade vêm automáticos</t>
  </si>
  <si>
    <t>Semana (período)</t>
  </si>
  <si>
    <t>Check-in de gestão (15-30 min) · Complementa a aba Lançamentos, nunca a substitui · Semana identificada por período, não por número</t>
  </si>
  <si>
    <t>Em Hypercare (dentro do prazo)</t>
  </si>
  <si>
    <t>1. **Capa** (identidade e mapa de navegação do projeto) · 2. **Dashboard** (visão gráfica executiva) · 3. **Leia-me** (manual completo de uso em 8 seções: começando, mapa das abas, fluxo e critérios, legenda de status, preenchimento do mestre, report semanal, regras de ouro, identificação).</t>
  </si>
  <si>
    <t>6. **E1 a E7 + E08** — oito módulos de etapa, cada um com checklist de critérios de aceite por atividade, % da etapa, evidência/referência e observação (seção 6). Total de **49 critérios**, distribuídos como 8 · 8 · 5 · 7 · 5 · 6 · 4 · 6.</t>
  </si>
  <si>
    <t>- **Identificação**: data inicial e data final do período, os únicos campos digitados · rótulo da semana calculado no formato De dd/mm/aa até dd/mm/aa, read-only, chave de todos os filtros · analista · gestora · departamento · data do report automática.</t>
  </si>
  <si>
    <t>- **Painel da semana**: faixa de leitura rápida ao lado da identificação, calculada do mestre e do período informado — entregas concluídas no período · horas registradas no período · atividades em aberto na carteira · em Hypercare dentro do prazo · aguardando terceiros nesta semana · dias da atividade mais antiga em aberto.</t>
  </si>
  <si>
    <t>- **Semana de report**: identificada por período de datas, nunca por número de semana. Rótulo canônico: De, dois-pontos, data inicial dd/mm/aa, barra vertical, Até, dois-pontos, data final dd/mm/aa. Exemplo: De 27-07-26 ate 31-07-26. Concatenado de dois únicos campos de entrada (data inicial e final). Registro rolante das 13 últimas semanas calculado dessas datas alimenta o seletor do log e filtra as seções automáticas.</t>
  </si>
  <si>
    <t>ID Único* · Data Início · Data Conclusão · Departamento · Projeto · Tema (cascata por projeto) · Pilar Proc. Integrados · Tipo de Demanda · Atividade (título curto)* · Descrição · Depto. Envolvido (CSC) · Pessoa Envolvida · Parceria? (Sim/Não) · Papel na Atividade (Responsável|Apoio) · Parceiros (equipe PI) · ID Atividade Principal · Empresa · Status · Horas Gastas · Tempo Antes (h/mês) · Tempo Depois (h/mês) · **Ganho (h/mês) [calc]** · **% Redução [calc]** · Resultado Alcançado · Pendência/Próximo Passo · Observação · + bloco Hypercare 100% derivado da E08: Status E08 · % E08 · Início Hypercare · Encerramento Previsto · Encerramento Real · Dias Hypercare · Situação Prazo E08 · Resultado Hypercare · ID Nova Demanda · **Lead Time Total [calc]** · **Status Geral Definitivo [calc]** — total de **37 campos**. GERAÇÃO DO ID (fonte única obrigatória): o ID nunca é digitado; é montado como prefixo mais número sequencial de 4 dígitos, onde o **prefixo é uma constante nomeada apontando para UMA única célula** do sistema (no gabarito, o campo Prefixo de ID do Leia-me, que contém apenas o texto FM). Trocar essa célula renomeia os IDs de todo o sistema. Essa célula guarda **somente o prefixo** — observações ficam em campo separado, para não contaminar o ID. Qualquer outra tela que exiba o prefixo deve referenciar a constante, nunca repetir o literal.</t>
  </si>
  <si>
    <t>- **3. Complemento Semanal (✍️ — núcleo do report)**: log com Semana (**lista suspensa** alimentada pelo registro rolante de 13 semanas — o analista seleciona, não digita) · ID · Projeto (auto) · Atividade (auto) · Status da Semana (dropdown semáforo) · Motivo do Status (dropdown) · O que foi realizado · **Próximo Passo (auto — espelha a Pendência do mestre por busca pelo ID)**. Restam apenas 3 campos livres por linha: ID, o que foi realizado e o texto narrativo. A atividade é repetida a cada semana até concluir; o histórico permanece no log, pois o rótulo escolhido fica gravado como valor literal.</t>
  </si>
  <si>
    <t>- **5. Pendências (⚙️)**: linhas da semana corrente com status diferente de Concluído, com próximo passo preenchido e diferente de "Sem pendências". Colunas: Atividade · ID · Próximo Passo. Derivada por agregação sobre o log, sem nenhum campo digitado.</t>
  </si>
  <si>
    <t>- **6. Impedimentos (⚙️)**: linhas da semana corrente com status Bloqueado. Colunas: Atividade · ID · Motivo do Bloqueio. Derivada por agregação sobre o log.</t>
  </si>
  <si>
    <t>- **7. Apoio Necessário (⚙️ — onde o gestor age)**: linhas da semana corrente cujo Motivo do Status começa com "Aguardando". Colunas: Atividade · ID · Motivo / Quem precisa agir. Derivada por agregação sobre o log — dispensa o campo manual "Necessita Apoio?".</t>
  </si>
  <si>
    <t>- **Visão geral (duas colunas)**: à esquerda, contagens brutas — total de lançamentos · entregas como responsável · apoios · concluídos · em andamento · horas totais · **ganho de produtividade total (h/mês)**. À direita, **indicadores derivados de leitura gerencial** — taxa de conclusão · lead time médio (dias) · horas médias por entrega · ganho médio por entrega (h/mês) · **retorno (ganho mensal dividido pelas horas investidas)** · em Hypercare dentro do prazo · redução média nos processos.</t>
  </si>
  <si>
    <t>- Matrizes por Projeto, por Pilar e por Departamento CSC: total · concluídas · horas · ganho h/mês · **% do ganho** (participação da linha no ganho da tabela) · e **linha TOTAL** ao pé de cada matriz. As três matrizes devem fechar no mesmo total — divergência indica atividade sem classificação em alguma dimensão, e isso é um teste de integridade obrigatório.</t>
  </si>
  <si>
    <t>- **Ranking de impacto**: seção "Top 5 por ganho de produtividade", ordenada automaticamente pelo ganho (h/mês), exibindo Atividade · Projeto · Ganho h/mês · % Redução · posição. **Regra de ouro**: todos os indicadores calculados em tempo real do mestre e da E08 (equivalente a COUNTIF/SUMIFS/AGGREGATE) — zero valores colados; cada indicador com descrição e origem do cálculo em tooltip. Zeros exibidos como travessão, nunca como 0, para não poluir a leitura.</t>
  </si>
  <si>
    <t>- Telas derivadas protegidas contra edição manual **por perfil/role no sistema**. Atenção: no gabarito Excel a proteção de aba foi **removida** por gerar bloqueio indevido ao próprio analista; a proteção correta é por permissão de campo, não por travamento de planilha.</t>
  </si>
  <si>
    <t>9.1 **Paleta oficial SGPI (substitui integralmente a paleta anterior)** — tokens CSS: --accent #0022F4 · --accent-2 #0000FF · --accent-contrast #000000 · --dark #0022F4 · --soft-border rgba(0,0,0,0.08), equivalente sólido #EBEBEB · --muted #5F6673 · --surface #FFFFFF · --surface-soft #F6F8FB · --success #16A34A · --warning #F59E0B · --danger #DC2626 · --success-soft #ECFDF3 · --warning-soft #FFFBEB · --danger-soft #FFF1F2 · --sidebar-w 280px · --sidebar-collapsed-w 86px. Aplicação: **todos** os títulos de seção e cabeçalhos de tabela em --accent com texto branco; acentos secundários em --accent-2; fundos zebrados e painéis em --surface-soft; texto de corpo e rótulos em --muted; bordas finas em --soft-border; campos de entrada do analista em --warning-soft; campos calculados em --surface. Fonte única **Calibri** em todo o sistema, corpo 10–11, títulos de seção 11–12, título principal 20–24.</t>
  </si>
  <si>
    <t>9.2 **Semáforos e estados** (dois níveis: linha inteira em tom suave, célula do critério em tom médio) — Concluído: célula #BBF7D0, linha #ECFDF3, texto #16A34A · Pendente: #FFFBEB, texto #F59E0B · Bloqueado: célula #FECACA, linha #FFF1F2, texto #DC2626 · Em andamento: célula #C7D2FF, linha #E8ECFF, texto #0022F4 · N/A: #F1F3F7, texto #5F6673. Regra de pintura: a linha inteira recebe o tom do status consolidado da atividade e para de avaliar (stop-if-true) quando 100% concluída; caso contrário, as células de critério recebem seu próprio tom por cima do tom da linha. **Destaque de evidência faltante**: quando a etapa está 100% concluída e o campo Evidência está vazio, a célula de evidência fica #FECACA. Alertas em vermelho negrito para prazo estourado, gargalo de 3 semanas ou mais e previsão vencida. Barra de progresso em --accent #0022F4. Zeros e percentuais nulos exibidos como travessão.</t>
  </si>
  <si>
    <t>- **Por projeto (total/concluídas/horas/ganho h-mês/% do ganho)**: Lumen 2/1/8/59,0/31,1% · V360 2/2/24/14,0/7,4% · Saneamento Base Contábil 2/1/12/56,0/29,5% · Rotina Fiscal/Contábil 3/3/32/44,8/23,6% · Rotina Financeiro 1/1/12/16,0/8,4% · Newsletter, Investidas, Actio e Indicadores e Metas sem lançamentos. TOTAL 10/8/88,0/189,8/100,0%.</t>
  </si>
  <si>
    <t>- **Por pilar**: Transformação Digital 7 (5 concl · 48 h · 135,8) · Business Intelligence 1 (1 · 24 · 14,0) · Operação (Rotina) 1 (1 · 16 · 40,0) · Melhoria Contínua 1 (1 · 0 · 0) · Governança e PMO/Projetos sem lançamentos. TOTAL 10/8/88,0/189,8. As três matrizes fecham no mesmo total, confirmando classificação completa.</t>
  </si>
  <si>
    <t>- **Hypercare**: 2 em estabilização · 8 encerradas estáveis · 0 atrasados · 0 incidentes críticos · 0 novas demandas · tempo médio 5,25 dias · 100% encerrados no prazo · 0 novos ciclos · prazo médio configurado 7,0 dias · Hypercare mais longo 7 dias · 100% das entregas passaram por estabilização.</t>
  </si>
  <si>
    <t>- **Ranking de impacto esperado (Top 5 por ganho)**: 1º Auditoria SPED EFD Contribuições (Lumen) 59,0 h/mês e 98,3% de redução · 2º Processamento de documentos de adiantamentos (Saneamento Base Contábil) 56,0 e 93,3% · 3º Correção e validação das ECF 2025 (Rotina Fiscal/Contábil) 40,0 e 100,0% · 4º Automação da emissão de DARF SICALC (Rotina Financeiro) 16,0 e 66,7% · 5º Memória de cálculo dos índices V360 (V360) 14,0 e 87,5%.</t>
  </si>
  <si>
    <t>Não permitir digitação de status derivado · não duplicar cadastro (toda tela espelha o mestre) · não criar listas fora de Cadastros · não pular gates E3/E5 · não somar horas/ganhos manualmente (sempre calculado) · não usar default silencioso (vazio é vazio) · não apagar o histórico semanal (log é append-only) · não misturar o papel da gestora (lê e responde) com o do analista (preenche) · não exibir tela derivada sem tooltip de origem · não mostrar zero falso onde não há dado · não traduzir termos consagrados (Hypercare, GATE, Tracker) · não esconder atividades sem dados completos. **Proibições acrescentadas nesta revisão:** não identificar a semana por número (sempre por período de datas) · não repetir o prefixo de ID como literal em nenhuma tela (sempre referenciar a constante nomeada) · **não rotular uma seção como automática se o conteúdo é digitado** — se o título diz automático, o dado tem de ser derivado · não travar planilha/tela inteira para proteger campos calculados (usar permissão por campo) · não misturar famílias tipográficas nem paletas: Calibri e paleta SGPI em todo o sistema · não deixar rótulo de período e datas de origem desacoplados (o rótulo é sempre concatenado das datas, nunca digitado).</t>
  </si>
  <si>
    <t>Nome do arquivo:</t>
  </si>
  <si>
    <t>HORAS INVESTIDAS</t>
  </si>
  <si>
    <t>TAXA DE CONCLUSÃO</t>
  </si>
  <si>
    <t>HYPERCARE NO PRAZO</t>
  </si>
  <si>
    <t>Painel executivo único: cartões, velocímetros, funil E1–E8, gráficos e visões por projeto, pilar, departamento e Hypercare.</t>
  </si>
  <si>
    <t>14 listas mestras das validações (fonte única) — não alterar.</t>
  </si>
  <si>
    <t>PROMPT</t>
  </si>
  <si>
    <t>Referência</t>
  </si>
  <si>
    <t>Especificação técnica do sistema. Documento de apoio, não operacional.</t>
  </si>
  <si>
    <t>4. Não existe status digitado à mão. As abas Workflow (Tracker), Dashboard e Dashboard derivam etapa atual, % do fluxo, gates, bloqueios e indicadores diretamente dos critérios e dos Lançamentos.</t>
  </si>
  <si>
    <t>• Status de etapa nunca é digitado — é derivado dos critérios. Não escreva nada no Tracker, no Dashboard nem no Dashboard.</t>
  </si>
  <si>
    <t>1. **Determinismo decide, humano preenche.** Status de etapa NUNCA é digitado: é derivado dos critérios de aceite (✔ Concluído · 🔄 Em andamento · ⛔ Bloqueado · N/A). Telas consolidadas (Tracker, seções automáticas do report) são 100% calculadas.</t>
  </si>
  <si>
    <t>7. **Acompanhamento Semanal** — o report que o gestor lê, com painel de indicadores da semana (seção 7). 8. **Dashboard** — indicadores consolidados e ranking de impacto (seção 8). 9. **Cadastros** — fonte única das 14 listas mestras e dos mapas em cascata (seção 4.2). 10. **PROMPT** — esta especificação, mantida no próprio arquivo como documento de apoio.</t>
  </si>
  <si>
    <t>## 8. INDICADORES CONSOLIDADOS (Dashboard)</t>
  </si>
  <si>
    <t>9.4 **Tooltips/ajuda contextual (padrão obrigatório do projeto)**: todo cabeçalho de coluna e título de seção tem ajuda no estilo "comentário moderno encadeado" (autor + data + campo de resposta), com texto no padrão: "Origem: &lt;fonte&gt;. Preenchimento automático — não editar." ou "O que preencher e como". Na planilha isso existe em TODOS os cabeçalhos de Lançamentos, Workflow, E1–E08, Cadastros e nas 8 seções do report.</t>
  </si>
  <si>
    <t>que percorre o fluxo de governança E1–E08 (49 critérios de aceite com evidência por etapa), mede ganho de produtividade (h/mês) e alimenta</t>
  </si>
  <si>
    <t>automaticamente o Acompanhamento Semanal, identificado por período de datas, e o Dashboard — painel executivo único da supervisão.</t>
  </si>
  <si>
    <t>Registro · 8 critérios</t>
  </si>
  <si>
    <t>Classificação · 8 critérios</t>
  </si>
  <si>
    <t>⚠ GATE · 5 critérios</t>
  </si>
  <si>
    <t>Desenvolvimento · 7 critérios</t>
  </si>
  <si>
    <t>Correção · 6 critérios</t>
  </si>
  <si>
    <t>🚀 Go-live · 4 critérios</t>
  </si>
  <si>
    <t>Hypercare · 6 critérios</t>
  </si>
  <si>
    <t>MAPA DE NAVEGAÇÃO — 16 ABAS DO ARQUIVO</t>
  </si>
  <si>
    <t>FLUXO DE GOVERNANÇA — WORKFLOW E1–E08</t>
  </si>
  <si>
    <t>GESTÃO DE ATIVIDADES &amp; WORKFLOW E1–E08</t>
  </si>
  <si>
    <t>PROCESSOS INTEGRADOS | PORTFÓLIO EXECUTIVO</t>
  </si>
  <si>
    <t>BLOCO 1 — SINAL EXECUTIVO</t>
  </si>
  <si>
    <t>BLOCO 2 — RESULTADO DO PORTFÓLIO</t>
  </si>
  <si>
    <t>BLOCO 3 — ATENÇÃO GERENCIAL</t>
  </si>
  <si>
    <t>BLOCO 4 — IMPACTO GERADO</t>
  </si>
  <si>
    <t>BLOCO 5 — DISTRIBUIÇÃO DO IMPACTO</t>
  </si>
  <si>
    <t>BLOCO 6 — EFICIÊNCIA E ESTABILIZAÇÃO</t>
  </si>
  <si>
    <t>BLOCO 7 — INTEGRIDADE DOS DADOS</t>
  </si>
  <si>
    <t>Carteira total</t>
  </si>
  <si>
    <t>Em aberto</t>
  </si>
  <si>
    <t>Demandas responsável</t>
  </si>
  <si>
    <t>Concluídas responsável</t>
  </si>
  <si>
    <t>Taxa conclusão</t>
  </si>
  <si>
    <t>Horas investidas</t>
  </si>
  <si>
    <t>Ganho mensal</t>
  </si>
  <si>
    <t>Ganho anual</t>
  </si>
  <si>
    <t>Lead time médio</t>
  </si>
  <si>
    <t>Eficiência transformação</t>
  </si>
  <si>
    <t>Redução média</t>
  </si>
  <si>
    <t>Bloqueadas</t>
  </si>
  <si>
    <t>Gate E3 pendente</t>
  </si>
  <si>
    <t>Gate E5 pendente</t>
  </si>
  <si>
    <t>Em estabilização efetiva</t>
  </si>
  <si>
    <t>Encerrados estáveis</t>
  </si>
  <si>
    <t>Hypercare no prazo</t>
  </si>
  <si>
    <t>Cobertura Hypercare</t>
  </si>
  <si>
    <t>Tempo médio Hypercare</t>
  </si>
  <si>
    <t>Novas demandas Hypercare</t>
  </si>
  <si>
    <t>Horas informadas</t>
  </si>
  <si>
    <t>Ganho mensurado</t>
  </si>
  <si>
    <t>Projeto classificado</t>
  </si>
  <si>
    <t>Pilar classificado</t>
  </si>
  <si>
    <t>Departamento classificado</t>
  </si>
  <si>
    <t>Inconsistências classificação</t>
  </si>
  <si>
    <t>IDs duplicados</t>
  </si>
  <si>
    <t>Inconsistências Hypercare</t>
  </si>
  <si>
    <t>Demandas críticas</t>
  </si>
  <si>
    <t>Status executivo</t>
  </si>
  <si>
    <t>Concentração Top 3</t>
  </si>
  <si>
    <t>Maior ganho</t>
  </si>
  <si>
    <t>Dias demanda mais antiga</t>
  </si>
  <si>
    <t>ID demanda mais antiga</t>
  </si>
  <si>
    <t>Atividade maior ganho</t>
  </si>
  <si>
    <t>Projeto maior ganho</t>
  </si>
  <si>
    <t>IDs inconsistência HC</t>
  </si>
  <si>
    <t>Resumo fluxo</t>
  </si>
  <si>
    <t>Demandas com gate pendente</t>
  </si>
  <si>
    <t>Atualização</t>
  </si>
  <si>
    <t>CARTEIRA TOTAL</t>
  </si>
  <si>
    <t>CONCLUÍDAS</t>
  </si>
  <si>
    <t>GANHO MENSAL</t>
  </si>
  <si>
    <t>GANHO ANUALIZADO</t>
  </si>
  <si>
    <t>LEAD TIME MÉDIO</t>
  </si>
  <si>
    <t>ATIVIDADE</t>
  </si>
  <si>
    <t>PROJETO</t>
  </si>
  <si>
    <t>STATUS</t>
  </si>
  <si>
    <t>ETAPA ATUAL</t>
  </si>
  <si>
    <t>% FLUXO</t>
  </si>
  <si>
    <t>DIAS</t>
  </si>
  <si>
    <t>SITUAÇÃO</t>
  </si>
  <si>
    <t>LINK</t>
  </si>
  <si>
    <t>POSIÇÃO</t>
  </si>
  <si>
    <t>GANHO H/MÊS</t>
  </si>
  <si>
    <t>% REDUÇÃO</t>
  </si>
  <si>
    <t>IMPACTO</t>
  </si>
  <si>
    <t>DIMENSÃO</t>
  </si>
  <si>
    <t>CLASSIFICAÇÃO</t>
  </si>
  <si>
    <t>DEMANDAS</t>
  </si>
  <si>
    <t>HORAS</t>
  </si>
  <si>
    <t>% GANHO</t>
  </si>
  <si>
    <t>REDUÇÃO MÉDIA</t>
  </si>
  <si>
    <t>COBERTURA HYPERCARE</t>
  </si>
  <si>
    <t>EFICIÊNCIA DA TRANSFORMAÇÃO</t>
  </si>
  <si>
    <t>TEMPO MÉDIO HYPERCARE</t>
  </si>
  <si>
    <t>STATUS DO HYPERCARE</t>
  </si>
  <si>
    <t>QUALIDADE DE PREENCHIMENTO</t>
  </si>
  <si>
    <t>RECONCILIAÇÃO DA CARTEIRA</t>
  </si>
  <si>
    <t>STATUS DA INTEGRIDADE</t>
  </si>
  <si>
    <t>Registro mestre: 1 linha = 1 atividade/entrega, com ID automático (JV-0001...).</t>
  </si>
  <si>
    <t>Gestão de Atividades &amp; Workflow E1–E8 · Analista José Victor (JV)</t>
  </si>
  <si>
    <t>- **Demanda/Atividade**: unidade de trabalho com ID único `JV-####` (ex.: JV-0001), título curto, descrição, projeto, tema, pilar, tipo de demanda, empresa, departamento CSC envolvido, pessoa, papel (Responsável | Apoio), parceria e vínculo opcional a uma atividade principal.</t>
  </si>
  <si>
    <t>- **Volumetria após reset**: 0 demandas · 0 concluídas · 0 em andamento · 0 apoios · 0 h gastas · ganho total 0 h/mês · taxa de conclusão 0,0%. A base está pronta para os lançamentos de José Victor (JV).</t>
  </si>
  <si>
    <t>- **Estado inicial validado**: base sem demandas, etapas E1–E08 sem marcações, acompanhamento semanal sem histórico e painéis zerados. O primeiro novo lançamento gerará automaticamente o ID JV-0001.</t>
  </si>
  <si>
    <t>Planilha do Analista — Viviane Lima (VL)</t>
  </si>
  <si>
    <t>base-atividades-viviane_lima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</si>
</sst>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%"/>
    <numFmt numFmtId="166" formatCode="dd/mm/yy;@"/>
    <numFmt numFmtId="177" formatCode="m/d/yyyy"/>
  </numFmts>
  <fonts count="115" x14ac:knownFonts="1">
    <font>
      <sz val="11"/>
      <color theme="1"/>
      <name val="Calibri"/>
      <family val="2"/>
      <charset val="1"/>
    </font>
    <font>
      <b/>
      <sz val="16"/>
      <color rgb="FFFFFFFF"/>
      <name val="Arial"/>
      <charset val="1"/>
    </font>
    <font>
      <b/>
      <sz val="11"/>
      <color rgb="FFFFFFFF"/>
      <name val="Arial"/>
      <charset val="1"/>
    </font>
    <font>
      <i/>
      <sz val="9"/>
      <color rgb="FF595959"/>
      <name val="Arial"/>
      <charset val="1"/>
    </font>
    <font>
      <sz val="10"/>
      <name val="Arial"/>
      <charset val="1"/>
    </font>
    <font>
      <b/>
      <sz val="10"/>
      <color rgb="FFFFFFFF"/>
      <name val="Arial"/>
      <charset val="1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b/>
      <sz val="15"/>
      <color rgb="FFFFFFFF"/>
      <name val="Arial"/>
      <family val="2"/>
    </font>
    <font>
      <sz val="10"/>
      <color rgb="FF000000"/>
      <name val="Arial"/>
      <family val="2"/>
    </font>
    <font>
      <i/>
      <sz val="10"/>
      <color rgb="FF000000"/>
      <name val="Arial"/>
      <family val="2"/>
    </font>
    <font>
      <b/>
      <sz val="10"/>
      <color rgb="FFFFFFFF"/>
      <name val="Arial"/>
      <family val="2"/>
    </font>
    <font>
      <b/>
      <sz val="10"/>
      <color rgb="FF000000"/>
      <name val="Arial"/>
      <family val="2"/>
    </font>
    <font>
      <b/>
      <sz val="16"/>
      <color rgb="FFFFFFFF"/>
      <name val="Arial"/>
      <family val="2"/>
    </font>
    <font>
      <sz val="11"/>
      <color theme="1"/>
      <name val="Trebuchet MS"/>
      <family val="2"/>
    </font>
    <font>
      <sz val="10"/>
      <color theme="1"/>
      <name val="Trebuchet MS"/>
      <family val="2"/>
    </font>
    <font>
      <i/>
      <sz val="10"/>
      <color theme="1"/>
      <name val="Trebuchet MS"/>
      <family val="2"/>
    </font>
    <font>
      <sz val="10"/>
      <color rgb="FF000000"/>
      <name val="Trebuchet MS"/>
      <family val="2"/>
    </font>
    <font>
      <b/>
      <sz val="10"/>
      <color rgb="FF000000"/>
      <name val="Trebuchet MS"/>
      <family val="2"/>
    </font>
    <font>
      <i/>
      <sz val="10"/>
      <color rgb="FF000000"/>
      <name val="Trebuchet MS"/>
      <family val="2"/>
    </font>
    <font>
      <b/>
      <sz val="16"/>
      <color rgb="FFFFFFFF"/>
      <name val="Trebuchet MS"/>
      <family val="2"/>
    </font>
    <font>
      <b/>
      <sz val="11"/>
      <color rgb="FFFFFFFF"/>
      <name val="Trebuchet MS"/>
      <family val="2"/>
    </font>
    <font>
      <b/>
      <sz val="10"/>
      <name val="Trebuchet MS"/>
      <family val="2"/>
    </font>
    <font>
      <sz val="10"/>
      <name val="Trebuchet MS"/>
      <family val="2"/>
    </font>
    <font>
      <b/>
      <sz val="12"/>
      <color rgb="FFFFFFFF"/>
      <name val="Trebuchet MS"/>
      <family val="2"/>
    </font>
    <font>
      <sz val="12"/>
      <color theme="1"/>
      <name val="Trebuchet MS"/>
      <family val="2"/>
    </font>
    <font>
      <sz val="16"/>
      <color theme="1"/>
      <name val="Trebuchet MS"/>
      <family val="2"/>
    </font>
    <font>
      <sz val="16"/>
      <color theme="1"/>
      <name val="Calibri"/>
      <family val="2"/>
      <charset val="1"/>
    </font>
    <font>
      <b/>
      <sz val="11"/>
      <color rgb="FFFFFFFF"/>
      <name val="Arial"/>
      <family val="2"/>
    </font>
    <font>
      <b/>
      <sz val="11"/>
      <color rgb="FF000000"/>
      <name val="Arial"/>
      <family val="2"/>
    </font>
    <font>
      <sz val="10"/>
      <color rgb="FF000000"/>
      <name val="Calibri"/>
      <family val="2"/>
      <charset val="1"/>
    </font>
    <font>
      <u/>
      <sz val="11"/>
      <color theme="10"/>
      <name val="Calibri"/>
      <family val="2"/>
      <charset val="1"/>
    </font>
    <font>
      <sz val="11"/>
      <color theme="1"/>
      <name val="Calibri"/>
    </font>
    <font>
      <sz val="11"/>
      <color rgb="FF5F6673"/>
      <name val="Calibri"/>
    </font>
    <font>
      <b/>
      <sz val="24"/>
      <color rgb="FFFFFFFF"/>
      <name val="Calibri"/>
    </font>
    <font>
      <b/>
      <sz val="12"/>
      <color rgb="FFC7D2FF"/>
      <name val="Calibri"/>
    </font>
    <font>
      <sz val="10"/>
      <color rgb="FF5F6673"/>
      <name val="Calibri"/>
    </font>
    <font>
      <sz val="10"/>
      <color rgb="FFC7D2FF"/>
      <name val="Calibri"/>
    </font>
    <font>
      <b/>
      <sz val="12"/>
      <color rgb="FF0022F4"/>
      <name val="Calibri"/>
    </font>
    <font>
      <b/>
      <sz val="10"/>
      <color rgb="FF5F6673"/>
      <name val="Calibri"/>
    </font>
    <font>
      <b/>
      <sz val="11"/>
      <color rgb="FF000000"/>
      <name val="Calibri"/>
    </font>
    <font>
      <sz val="11"/>
      <color rgb="FFFFFFFF"/>
      <name val="Calibri"/>
    </font>
    <font>
      <b/>
      <sz val="10"/>
      <color rgb="FFFFFFFF"/>
      <name val="Calibri"/>
    </font>
    <font>
      <b/>
      <sz val="10"/>
      <color rgb="FF000000"/>
      <name val="Calibri"/>
    </font>
    <font>
      <b/>
      <sz val="10"/>
      <color rgb="FFF59E0B"/>
      <name val="Calibri"/>
    </font>
    <font>
      <b/>
      <sz val="10"/>
      <color rgb="FF16A34A"/>
      <name val="Calibri"/>
    </font>
    <font>
      <b/>
      <sz val="10"/>
      <color rgb="FF0022F4"/>
      <name val="Calibri"/>
    </font>
    <font>
      <sz val="9"/>
      <color rgb="FF5F6673"/>
      <name val="Calibri"/>
    </font>
    <font>
      <b/>
      <sz val="9"/>
      <color rgb="FF5F6673"/>
      <name val="Calibri"/>
    </font>
    <font>
      <sz val="10"/>
      <color rgb="FF5F6673"/>
      <name val="Calibri"/>
      <family val="2"/>
      <charset val="1"/>
    </font>
    <font>
      <i/>
      <sz val="10"/>
      <color rgb="FF5F6673"/>
      <name val="Trebuchet MS"/>
      <family val="2"/>
    </font>
    <font>
      <b/>
      <sz val="10"/>
      <color rgb="FF0022F4"/>
      <name val="Arial"/>
      <charset val="1"/>
    </font>
    <font>
      <b/>
      <sz val="11"/>
      <color rgb="FF0022F4"/>
      <name val="Trebuchet MS"/>
      <family val="2"/>
    </font>
    <font>
      <i/>
      <sz val="9"/>
      <color rgb="FF5F6673"/>
      <name val="Arial"/>
      <charset val="1"/>
    </font>
    <font>
      <b/>
      <sz val="11"/>
      <color rgb="FF5F6673"/>
      <name val="Trebuchet MS"/>
      <family val="2"/>
    </font>
    <font>
      <sz val="10"/>
      <color rgb="FF5F6673"/>
      <name val="Trebuchet MS"/>
      <family val="2"/>
    </font>
    <font>
      <b/>
      <sz val="11"/>
      <color rgb="FF5F6673"/>
      <name val="Arial"/>
      <family val="2"/>
    </font>
    <font>
      <i/>
      <sz val="10"/>
      <color rgb="FF5F6673"/>
      <name val="Arial"/>
      <family val="2"/>
    </font>
    <font>
      <sz val="10"/>
      <color rgb="FF5F6673"/>
      <name val="Arial"/>
    </font>
    <font>
      <b/>
      <sz val="12"/>
      <color rgb="FF0022F4"/>
      <name val="Calibri"/>
      <family val="2"/>
      <charset val="1"/>
    </font>
    <font>
      <b/>
      <sz val="10"/>
      <color rgb="FFDC2626"/>
      <name val="Calibri"/>
    </font>
    <font>
      <i/>
      <sz val="9"/>
      <color rgb="FF5F6673"/>
      <name val="Calibri"/>
      <family val="2"/>
      <charset val="1"/>
    </font>
    <font>
      <b/>
      <sz val="10"/>
      <color rgb="FF5F6673"/>
      <name val="Calibri"/>
      <family val="2"/>
    </font>
    <font>
      <sz val="9"/>
      <color rgb="FF5F6673"/>
      <name val="Calibri"/>
      <family val="2"/>
    </font>
    <font>
      <b/>
      <sz val="9"/>
      <color rgb="FF5F6673"/>
      <name val="Calibri"/>
      <family val="2"/>
    </font>
    <font>
      <b/>
      <sz val="24"/>
      <color rgb="FFFFFFFF"/>
      <name val="Calibri"/>
      <family val="2"/>
    </font>
    <font>
      <b/>
      <sz val="12"/>
      <color rgb="FFC7D2FF"/>
      <name val="Calibri"/>
      <family val="2"/>
    </font>
    <font>
      <sz val="10"/>
      <color rgb="FFC7D2FF"/>
      <name val="Calibri"/>
      <family val="2"/>
    </font>
    <font>
      <b/>
      <sz val="11"/>
      <color rgb="FF0000FF"/>
      <name val="Calibri"/>
      <family val="2"/>
      <charset val="1"/>
    </font>
    <font>
      <b/>
      <sz val="20"/>
      <color rgb="FFFFFFFF"/>
      <name val="Trebuchet MS"/>
      <family val="2"/>
    </font>
    <font>
      <b/>
      <sz val="18"/>
      <color rgb="FFFFFFFF"/>
      <name val="Arial"/>
      <family val="2"/>
    </font>
    <font>
      <b/>
      <sz val="20"/>
      <color rgb="FFFFFFFF"/>
      <name val="Arial"/>
      <family val="2"/>
    </font>
    <font>
      <b/>
      <sz val="11"/>
      <color rgb="FF0022F4"/>
      <name val="Calibri"/>
    </font>
    <font>
      <b/>
      <sz val="20"/>
      <color rgb="FFFFFFFF"/>
      <name val="Calibri"/>
    </font>
    <font>
      <b/>
      <sz val="16"/>
      <color rgb="FFFFFFFF"/>
      <name val="Calibri"/>
    </font>
    <font>
      <b/>
      <sz val="11"/>
      <color rgb="FFFFFFFF"/>
      <name val="Calibri"/>
    </font>
    <font>
      <b/>
      <sz val="10"/>
      <name val="Calibri"/>
    </font>
    <font>
      <b/>
      <sz val="14"/>
      <color rgb="FF0022F4"/>
      <name val="Calibri"/>
    </font>
    <font>
      <sz val="10"/>
      <name val="Calibri"/>
    </font>
    <font>
      <u/>
      <sz val="11"/>
      <color theme="10"/>
      <name val="Calibri"/>
    </font>
    <font>
      <b/>
      <sz val="11"/>
      <color theme="1"/>
      <name val="Calibri"/>
    </font>
    <font>
      <b/>
      <sz val="14"/>
      <color rgb="FFFFFFFF"/>
      <name val="Calibri"/>
    </font>
    <font>
      <b/>
      <sz val="10"/>
      <color rgb="FF0000FF"/>
      <name val="Calibri"/>
      <family val="2"/>
      <charset val="1"/>
    </font>
    <font>
      <sz val="10"/>
      <color rgb="FF000000"/>
      <name val="Arial"/>
    </font>
    <font>
      <b/>
      <sz val="10"/>
      <color rgb="FF000000"/>
      <name val="Arial"/>
    </font>
    <font>
      <sz val="10"/>
      <name val="Arial"/>
    </font>
    <font>
      <b/>
      <sz val="10"/>
      <name val="Arial"/>
    </font>
    <font>
      <sz val="10"/>
      <color rgb="FF1F2937"/>
      <name val="Calibri"/>
    </font>
    <font>
      <b/>
      <sz val="18"/>
      <color rgb="FFFFFFFF"/>
      <name val="Calibri"/>
    </font>
    <font>
      <i/>
      <sz val="10"/>
      <color rgb="FF334155"/>
      <name val="Calibri"/>
    </font>
    <font>
      <b/>
      <sz val="16"/>
      <color rgb="FF9C5700"/>
      <name val="Calibri"/>
    </font>
    <font>
      <b/>
      <sz val="11"/>
      <color rgb="FF1E3A5F"/>
      <name val="Calibri"/>
    </font>
    <font>
      <b/>
      <sz val="10"/>
      <color rgb="FF1E3A5F"/>
      <name val="Calibri"/>
    </font>
    <font>
      <b/>
      <sz val="10"/>
      <color rgb="FF334155"/>
      <name val="Calibri"/>
    </font>
    <font>
      <b/>
      <sz val="17"/>
      <color rgb="FF0F172A"/>
      <name val="Calibri"/>
    </font>
    <font>
      <b/>
      <sz val="11"/>
      <color rgb="FF9C5700"/>
      <name val="Calibri"/>
    </font>
    <font>
      <b/>
      <sz val="10"/>
      <color rgb="FF475569"/>
      <name val="Calibri"/>
    </font>
    <font>
      <b/>
      <sz val="9"/>
      <color rgb="FFFFFFFF"/>
      <name val="Calibri"/>
    </font>
    <font>
      <sz val="9"/>
      <color rgb="FF1F2937"/>
      <name val="Calibri"/>
    </font>
    <font>
      <b/>
      <u/>
      <sz val="9"/>
      <color rgb="FF0563C1"/>
      <name val="Calibri"/>
    </font>
    <font>
      <b/>
      <sz val="17"/>
      <color rgb="FF215E21"/>
      <name val="Calibri"/>
    </font>
    <font>
      <b/>
      <sz val="17"/>
      <color rgb="FF17365D"/>
      <name val="Calibri"/>
    </font>
    <font>
      <b/>
      <sz val="14"/>
      <color rgb="FF9C5700"/>
      <name val="Calibri"/>
    </font>
    <font>
      <b/>
      <sz val="9"/>
      <color rgb="FF1F2937"/>
      <name val="Calibri"/>
    </font>
    <font>
      <b/>
      <sz val="9"/>
      <color rgb="FF2F75B5"/>
      <name val="Calibri"/>
    </font>
    <font>
      <b/>
      <sz val="11"/>
      <color rgb="FF0070C0"/>
      <name val="Calibri"/>
    </font>
    <font>
      <i/>
      <sz val="9"/>
      <color rgb="FF64748B"/>
      <name val="Calibri"/>
    </font>
    <font>
      <b/>
      <sz val="9"/>
      <color rgb="FF334155"/>
      <name val="Calibri"/>
    </font>
    <font>
      <b/>
      <sz val="15"/>
      <color rgb="FF0F172A"/>
      <name val="Calibri"/>
    </font>
    <font>
      <b/>
      <sz val="14"/>
      <color rgb="FF0F172A"/>
      <name val="Calibri"/>
    </font>
    <font>
      <b/>
      <sz val="13"/>
      <color rgb="FF0F172A"/>
      <name val="Calibri"/>
    </font>
    <font>
      <b/>
      <sz val="12"/>
      <color rgb="FF0F172A"/>
      <name val="Calibri"/>
    </font>
    <font>
      <b/>
      <sz val="10"/>
      <color rgb="FF9C5700"/>
      <name val="Calibri"/>
    </font>
    <font>
      <b/>
      <sz val="10"/>
      <color rgb="FFC7D2FF"/>
      <name val="Calibri"/>
    </font>
  </fonts>
  <fills count="23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7B2C2C"/>
        <bgColor indexed="64"/>
      </patternFill>
    </fill>
    <fill>
      <patternFill patternType="solid">
        <fgColor rgb="FF0022F4"/>
        <bgColor indexed="64"/>
      </patternFill>
    </fill>
    <fill>
      <patternFill patternType="solid">
        <fgColor rgb="FFF6F8FB"/>
        <bgColor indexed="64"/>
      </patternFill>
    </fill>
    <fill>
      <patternFill patternType="solid">
        <fgColor rgb="FFFFFBEB"/>
        <bgColor indexed="64"/>
      </patternFill>
    </fill>
    <fill>
      <patternFill patternType="solid">
        <fgColor rgb="FFECFDF3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E8ECFF"/>
        <bgColor indexed="64"/>
      </patternFill>
    </fill>
    <fill>
      <patternFill patternType="solid">
        <fgColor rgb="FFFFF1F2"/>
        <bgColor indexed="64"/>
      </patternFill>
    </fill>
    <fill>
      <patternFill patternType="solid">
        <fgColor rgb="FFF1F3F7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D9E6F2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EAF2F8"/>
        <bgColor indexed="64"/>
      </patternFill>
    </fill>
    <fill>
      <patternFill patternType="solid">
        <fgColor rgb="FFE2E8F0"/>
        <bgColor indexed="64"/>
      </patternFill>
    </fill>
    <fill>
      <patternFill patternType="solid">
        <fgColor rgb="FFFFF7E6"/>
        <bgColor indexed="64"/>
      </patternFill>
    </fill>
    <fill>
      <patternFill patternType="solid">
        <fgColor rgb="FFF1F5F9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D9EAF7"/>
        <bgColor indexed="64"/>
      </patternFill>
    </fill>
  </fills>
  <borders count="102">
    <border>
      <left/>
      <right/>
      <top/>
      <bottom/>
      <diagonal/>
    </border>
    <border>
      <left style="thin">
        <color theme="1"/>
      </left>
      <right style="hair">
        <color theme="1"/>
      </right>
      <top style="thin">
        <color theme="1"/>
      </top>
      <bottom style="hair">
        <color theme="1"/>
      </bottom>
      <diagonal/>
    </border>
    <border>
      <left style="hair">
        <color theme="1"/>
      </left>
      <right style="hair">
        <color theme="1"/>
      </right>
      <top style="thin">
        <color theme="1"/>
      </top>
      <bottom style="hair">
        <color theme="1"/>
      </bottom>
      <diagonal/>
    </border>
    <border>
      <left style="hair">
        <color theme="1"/>
      </left>
      <right style="thin">
        <color theme="1"/>
      </right>
      <top style="thin">
        <color theme="1"/>
      </top>
      <bottom style="hair">
        <color theme="1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thin">
        <color theme="1"/>
      </bottom>
      <diagonal/>
    </border>
    <border>
      <left style="thin">
        <color rgb="FFBFBFBF"/>
      </left>
      <right/>
      <top/>
      <bottom/>
      <diagonal/>
    </border>
    <border>
      <left/>
      <right/>
      <top/>
      <bottom style="thick">
        <color rgb="FF1D2330"/>
      </bottom>
      <diagonal/>
    </border>
    <border>
      <left style="thin">
        <color rgb="FFBFBFBF"/>
      </left>
      <right style="thin">
        <color rgb="FFBFBFBF"/>
      </right>
      <top style="thin">
        <color rgb="FFA6A6A6"/>
      </top>
      <bottom style="thin">
        <color rgb="FFBFBFBF"/>
      </bottom>
      <diagonal/>
    </border>
    <border>
      <left style="thin">
        <color theme="1"/>
      </left>
      <right style="hair">
        <color theme="1"/>
      </right>
      <top style="thin">
        <color theme="1"/>
      </top>
      <bottom/>
      <diagonal/>
    </border>
    <border>
      <left style="hair">
        <color theme="1"/>
      </left>
      <right style="hair">
        <color theme="1"/>
      </right>
      <top style="thin">
        <color theme="1"/>
      </top>
      <bottom/>
      <diagonal/>
    </border>
    <border>
      <left style="hair">
        <color theme="1"/>
      </left>
      <right style="thin">
        <color theme="1"/>
      </right>
      <top style="thin">
        <color theme="1"/>
      </top>
      <bottom/>
      <diagonal/>
    </border>
    <border>
      <left/>
      <right/>
      <top/>
      <bottom style="medium">
        <color rgb="FF0022F4"/>
      </bottom>
      <diagonal/>
    </border>
    <border>
      <left/>
      <right/>
      <top style="medium">
        <color rgb="FF0022F4"/>
      </top>
      <bottom/>
      <diagonal/>
    </border>
    <border>
      <left/>
      <right/>
      <top style="medium">
        <color rgb="FF0022F4"/>
      </top>
      <bottom style="thin">
        <color rgb="FFEBEBEB"/>
      </bottom>
      <diagonal/>
    </border>
    <border>
      <left/>
      <right/>
      <top style="thin">
        <color rgb="FFEBEBEB"/>
      </top>
      <bottom style="thin">
        <color rgb="FFEBEBEB"/>
      </bottom>
      <diagonal/>
    </border>
    <border>
      <left/>
      <right/>
      <top style="thin">
        <color rgb="FFEBEBEB"/>
      </top>
      <bottom/>
      <diagonal/>
    </border>
    <border>
      <left style="thick">
        <color rgb="FF0022F4"/>
      </left>
      <right/>
      <top style="medium">
        <color rgb="FF0022F4"/>
      </top>
      <bottom style="thin">
        <color rgb="FFEBEBEB"/>
      </bottom>
      <diagonal/>
    </border>
    <border>
      <left style="thick">
        <color rgb="FF0022F4"/>
      </left>
      <right/>
      <top style="thin">
        <color rgb="FFEBEBEB"/>
      </top>
      <bottom style="thin">
        <color rgb="FFEBEBEB"/>
      </bottom>
      <diagonal/>
    </border>
    <border>
      <left/>
      <right/>
      <top/>
      <bottom style="thin">
        <color rgb="FFEBEBEB"/>
      </bottom>
      <diagonal/>
    </border>
    <border>
      <left/>
      <right style="thin">
        <color rgb="FFEBEBEB"/>
      </right>
      <top/>
      <bottom style="thin">
        <color rgb="FFEBEBEB"/>
      </bottom>
      <diagonal/>
    </border>
    <border>
      <left style="thin">
        <color rgb="FFEBEBEB"/>
      </left>
      <right style="thin">
        <color rgb="FFEBEBEB"/>
      </right>
      <top/>
      <bottom style="thin">
        <color rgb="FFEBEBEB"/>
      </bottom>
      <diagonal/>
    </border>
    <border>
      <left style="thin">
        <color rgb="FFEBEBEB"/>
      </left>
      <right/>
      <top/>
      <bottom style="thin">
        <color rgb="FFEBEBEB"/>
      </bottom>
      <diagonal/>
    </border>
    <border>
      <left/>
      <right style="thin">
        <color rgb="FFEBEBEB"/>
      </right>
      <top style="thin">
        <color rgb="FFEBEBEB"/>
      </top>
      <bottom style="thin">
        <color rgb="FFEBEBEB"/>
      </bottom>
      <diagonal/>
    </border>
    <border>
      <left style="thin">
        <color rgb="FFEBEBEB"/>
      </left>
      <right style="thin">
        <color rgb="FFEBEBEB"/>
      </right>
      <top style="thin">
        <color rgb="FFEBEBEB"/>
      </top>
      <bottom style="thin">
        <color rgb="FFEBEBEB"/>
      </bottom>
      <diagonal/>
    </border>
    <border>
      <left style="thin">
        <color rgb="FFEBEBEB"/>
      </left>
      <right/>
      <top style="thin">
        <color rgb="FFEBEBEB"/>
      </top>
      <bottom style="thin">
        <color rgb="FFEBEBEB"/>
      </bottom>
      <diagonal/>
    </border>
    <border>
      <left/>
      <right style="thin">
        <color rgb="FFEBEBEB"/>
      </right>
      <top style="thin">
        <color rgb="FFEBEBEB"/>
      </top>
      <bottom/>
      <diagonal/>
    </border>
    <border>
      <left style="thin">
        <color rgb="FFEBEBEB"/>
      </left>
      <right style="thin">
        <color rgb="FFEBEBEB"/>
      </right>
      <top style="thin">
        <color rgb="FFEBEBEB"/>
      </top>
      <bottom/>
      <diagonal/>
    </border>
    <border>
      <left style="thin">
        <color rgb="FFEBEBEB"/>
      </left>
      <right/>
      <top style="thin">
        <color rgb="FFEBEBEB"/>
      </top>
      <bottom/>
      <diagonal/>
    </border>
    <border>
      <left style="thick">
        <color rgb="FF0022F4"/>
      </left>
      <right/>
      <top/>
      <bottom/>
      <diagonal/>
    </border>
    <border>
      <left style="thick">
        <color rgb="FF0022F4"/>
      </left>
      <right/>
      <top style="thin">
        <color rgb="FFEBEBEB"/>
      </top>
      <bottom/>
      <diagonal/>
    </border>
    <border>
      <left style="thick">
        <color rgb="FF0022F4"/>
      </left>
      <right/>
      <top/>
      <bottom style="thin">
        <color rgb="FFEBEBEB"/>
      </bottom>
      <diagonal/>
    </border>
    <border>
      <left style="thick">
        <color rgb="FF0022F4"/>
      </left>
      <right style="thin">
        <color rgb="FFEBEBEB"/>
      </right>
      <top style="thin">
        <color rgb="FFEBEBEB"/>
      </top>
      <bottom style="thin">
        <color rgb="FFEBEBEB"/>
      </bottom>
      <diagonal/>
    </border>
    <border>
      <left/>
      <right style="thin">
        <color rgb="FFEBEBEB"/>
      </right>
      <top/>
      <bottom/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A6A6A6"/>
      </top>
      <bottom style="thin">
        <color rgb="FFBFBFBF"/>
      </bottom>
      <diagonal/>
    </border>
    <border>
      <left style="thin">
        <color rgb="FFBFBFBF"/>
      </left>
      <right/>
      <top style="thin">
        <color rgb="FFA6A6A6"/>
      </top>
      <bottom style="thin">
        <color rgb="FFBFBFBF"/>
      </bottom>
      <diagonal/>
    </border>
    <border>
      <left style="thin">
        <color rgb="FFEBEBEB"/>
      </left>
      <right/>
      <top/>
      <bottom/>
      <diagonal/>
    </border>
    <border>
      <left/>
      <right/>
      <top/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 style="thick">
        <color rgb="FFF59E0B"/>
      </left>
      <right/>
      <top style="thin">
        <color rgb="FFEBEBEB"/>
      </top>
      <bottom/>
      <diagonal/>
    </border>
    <border>
      <left style="thick">
        <color rgb="FF0022F4"/>
      </left>
      <right style="thin">
        <color rgb="FFEBEBEB"/>
      </right>
      <top style="thin">
        <color rgb="FFEBEBEB"/>
      </top>
      <bottom/>
      <diagonal/>
    </border>
    <border>
      <left/>
      <right/>
      <top/>
      <bottom style="thick">
        <color rgb="FF0B1F3A"/>
      </bottom>
      <diagonal/>
    </border>
    <border>
      <left/>
      <right/>
      <top/>
      <bottom style="thin">
        <color rgb="FFD6B656"/>
      </bottom>
      <diagonal/>
    </border>
    <border>
      <left/>
      <right/>
      <top/>
      <bottom style="medium">
        <color rgb="FFD6B656"/>
      </bottom>
      <diagonal/>
    </border>
    <border>
      <left style="medium">
        <color rgb="FFD6B656"/>
      </left>
      <right/>
      <top/>
      <bottom/>
      <diagonal/>
    </border>
    <border>
      <left style="medium">
        <color rgb="FFD6B656"/>
      </left>
      <right/>
      <top/>
      <bottom style="medium">
        <color rgb="FFD6B656"/>
      </bottom>
      <diagonal/>
    </border>
    <border>
      <left/>
      <right style="medium">
        <color rgb="FFD6B656"/>
      </right>
      <top/>
      <bottom/>
      <diagonal/>
    </border>
    <border>
      <left/>
      <right style="medium">
        <color rgb="FFD6B656"/>
      </right>
      <top/>
      <bottom style="medium">
        <color rgb="FFD6B656"/>
      </bottom>
      <diagonal/>
    </border>
    <border>
      <left style="medium">
        <color rgb="FF2F75B5"/>
      </left>
      <right/>
      <top/>
      <bottom/>
      <diagonal/>
    </border>
    <border>
      <left/>
      <right/>
      <top/>
      <bottom style="thin">
        <color rgb="FF9FBAD0"/>
      </bottom>
      <diagonal/>
    </border>
    <border>
      <left/>
      <right/>
      <top/>
      <bottom style="thick">
        <color rgb="FF17365D"/>
      </bottom>
      <diagonal/>
    </border>
    <border>
      <left style="thin">
        <color rgb="FFEBEBEB"/>
      </left>
      <right/>
      <top/>
      <bottom style="thick">
        <color rgb="FF17365D"/>
      </bottom>
      <diagonal/>
    </border>
    <border>
      <left/>
      <right/>
      <top style="thick">
        <color rgb="FF17365D"/>
      </top>
      <bottom/>
      <diagonal/>
    </border>
    <border>
      <left/>
      <right/>
      <top style="thin">
        <color rgb="FF94A3B8"/>
      </top>
      <bottom/>
      <diagonal/>
    </border>
    <border>
      <left/>
      <right/>
      <top/>
      <bottom style="thin">
        <color rgb="FFCBD5E1"/>
      </bottom>
      <diagonal/>
    </border>
    <border>
      <left style="thin">
        <color rgb="FFCBD5E1"/>
      </left>
      <right/>
      <top style="thin">
        <color rgb="FF94A3B8"/>
      </top>
      <bottom/>
      <diagonal/>
    </border>
    <border>
      <left style="thin">
        <color rgb="FFCBD5E1"/>
      </left>
      <right/>
      <top/>
      <bottom/>
      <diagonal/>
    </border>
    <border>
      <left style="thin">
        <color rgb="FFCBD5E1"/>
      </left>
      <right/>
      <top/>
      <bottom style="thin">
        <color rgb="FFCBD5E1"/>
      </bottom>
      <diagonal/>
    </border>
    <border>
      <left/>
      <right style="thin">
        <color rgb="FFCBD5E1"/>
      </right>
      <top/>
      <bottom/>
      <diagonal/>
    </border>
    <border>
      <left style="thin">
        <color rgb="FFEBEBEB"/>
      </left>
      <right/>
      <top style="medium">
        <color rgb="FF23384D"/>
      </top>
      <bottom/>
      <diagonal/>
    </border>
    <border>
      <left/>
      <right/>
      <top style="medium">
        <color rgb="FF23384D"/>
      </top>
      <bottom style="thin">
        <color rgb="FFEBEBEB"/>
      </bottom>
      <diagonal/>
    </border>
    <border>
      <left/>
      <right/>
      <top style="medium">
        <color rgb="FF23384D"/>
      </top>
      <bottom/>
      <diagonal/>
    </border>
    <border>
      <left/>
      <right style="thin">
        <color rgb="FFEBEBEB"/>
      </right>
      <top style="medium">
        <color rgb="FF23384D"/>
      </top>
      <bottom/>
      <diagonal/>
    </border>
    <border>
      <left style="thin">
        <color rgb="FFEBEBEB"/>
      </left>
      <right/>
      <top style="medium">
        <color rgb="FF23384D"/>
      </top>
      <bottom style="thin">
        <color rgb="FFEBEBEB"/>
      </bottom>
      <diagonal/>
    </border>
    <border>
      <left/>
      <right/>
      <top style="thin">
        <color rgb="FFEBEBEB"/>
      </top>
      <bottom style="thin">
        <color rgb="FFE2E8F0"/>
      </bottom>
      <diagonal/>
    </border>
    <border>
      <left/>
      <right/>
      <top/>
      <bottom style="thin">
        <color rgb="FFE2E8F0"/>
      </bottom>
      <diagonal/>
    </border>
    <border>
      <left/>
      <right/>
      <top style="medium">
        <color rgb="FF17365D"/>
      </top>
      <bottom/>
      <diagonal/>
    </border>
    <border>
      <left/>
      <right/>
      <top/>
      <bottom style="medium">
        <color rgb="FFA9D08E"/>
      </bottom>
      <diagonal/>
    </border>
    <border>
      <left style="medium">
        <color rgb="FFA9D08E"/>
      </left>
      <right/>
      <top style="medium">
        <color rgb="FF17365D"/>
      </top>
      <bottom/>
      <diagonal/>
    </border>
    <border>
      <left style="medium">
        <color rgb="FFA9D08E"/>
      </left>
      <right/>
      <top/>
      <bottom/>
      <diagonal/>
    </border>
    <border>
      <left style="medium">
        <color rgb="FFA9D08E"/>
      </left>
      <right/>
      <top/>
      <bottom style="medium">
        <color rgb="FFA9D08E"/>
      </bottom>
      <diagonal/>
    </border>
    <border>
      <left/>
      <right/>
      <top/>
      <bottom style="medium">
        <color rgb="FF9FBAD0"/>
      </bottom>
      <diagonal/>
    </border>
    <border>
      <left style="medium">
        <color rgb="FF9FBAD0"/>
      </left>
      <right/>
      <top style="medium">
        <color rgb="FF17365D"/>
      </top>
      <bottom/>
      <diagonal/>
    </border>
    <border>
      <left style="medium">
        <color rgb="FF9FBAD0"/>
      </left>
      <right/>
      <top/>
      <bottom/>
      <diagonal/>
    </border>
    <border>
      <left style="medium">
        <color rgb="FF9FBAD0"/>
      </left>
      <right/>
      <top/>
      <bottom style="medium">
        <color rgb="FF9FBAD0"/>
      </bottom>
      <diagonal/>
    </border>
    <border>
      <left style="medium">
        <color rgb="FFD6B656"/>
      </left>
      <right/>
      <top style="medium">
        <color rgb="FF17365D"/>
      </top>
      <bottom/>
      <diagonal/>
    </border>
    <border>
      <left/>
      <right style="medium">
        <color rgb="FFD6B656"/>
      </right>
      <top style="medium">
        <color rgb="FF17365D"/>
      </top>
      <bottom/>
      <diagonal/>
    </border>
    <border>
      <left/>
      <right style="thin">
        <color rgb="FFEBEBEB"/>
      </right>
      <top style="medium">
        <color rgb="FF23384D"/>
      </top>
      <bottom style="thin">
        <color rgb="FFEBEBEB"/>
      </bottom>
      <diagonal/>
    </border>
    <border>
      <left style="thin">
        <color rgb="FFEBEBEB"/>
      </left>
      <right/>
      <top style="thin">
        <color rgb="FFEBEBEB"/>
      </top>
      <bottom style="thin">
        <color rgb="FFE2E8F0"/>
      </bottom>
      <diagonal/>
    </border>
    <border>
      <left/>
      <right style="thin">
        <color rgb="FFEBEBEB"/>
      </right>
      <top style="thin">
        <color rgb="FFEBEBEB"/>
      </top>
      <bottom style="thin">
        <color rgb="FFE2E8F0"/>
      </bottom>
      <diagonal/>
    </border>
    <border>
      <left/>
      <right/>
      <top style="thin">
        <color rgb="FF17365D"/>
      </top>
      <bottom style="thin">
        <color rgb="FF9FBAD0"/>
      </bottom>
      <diagonal/>
    </border>
    <border>
      <left style="thin">
        <color rgb="FF9FBAD0"/>
      </left>
      <right/>
      <top style="thin">
        <color rgb="FF17365D"/>
      </top>
      <bottom style="thin">
        <color rgb="FF9FBAD0"/>
      </bottom>
      <diagonal/>
    </border>
    <border>
      <left/>
      <right style="thin">
        <color rgb="FF9FBAD0"/>
      </right>
      <top style="thin">
        <color rgb="FF17365D"/>
      </top>
      <bottom style="thin">
        <color rgb="FF9FBAD0"/>
      </bottom>
      <diagonal/>
    </border>
    <border>
      <left style="thin">
        <color rgb="FFD6B656"/>
      </left>
      <right/>
      <top style="thin">
        <color rgb="FF94A3B8"/>
      </top>
      <bottom/>
      <diagonal/>
    </border>
    <border>
      <left style="thin">
        <color rgb="FFD6B656"/>
      </left>
      <right/>
      <top/>
      <bottom style="thin">
        <color rgb="FFD6B656"/>
      </bottom>
      <diagonal/>
    </border>
    <border>
      <left/>
      <right style="thin">
        <color rgb="FFD6B656"/>
      </right>
      <top style="thin">
        <color rgb="FF94A3B8"/>
      </top>
      <bottom/>
      <diagonal/>
    </border>
    <border>
      <left/>
      <right style="thin">
        <color rgb="FFD6B656"/>
      </right>
      <top/>
      <bottom style="thin">
        <color rgb="FFD6B656"/>
      </bottom>
      <diagonal/>
    </border>
    <border>
      <left style="thick">
        <color rgb="FFF59E0B"/>
      </left>
      <right/>
      <top/>
      <bottom/>
      <diagonal/>
    </border>
    <border>
      <left style="thick">
        <color rgb="FFF59E0B"/>
      </left>
      <right/>
      <top/>
      <bottom style="thin">
        <color rgb="FFEBEBEB"/>
      </bottom>
      <diagonal/>
    </border>
    <border>
      <left style="thick">
        <color rgb="FF000000"/>
      </left>
      <right/>
      <top/>
      <bottom/>
      <diagonal/>
    </border>
    <border>
      <left style="thick">
        <color rgb="FF000000"/>
      </left>
      <right/>
      <top style="thin">
        <color rgb="FFEBEBEB"/>
      </top>
      <bottom/>
      <diagonal/>
    </border>
    <border>
      <left style="thick">
        <color rgb="FF000000"/>
      </left>
      <right/>
      <top/>
      <bottom style="thin">
        <color rgb="FFEBEBEB"/>
      </bottom>
      <diagonal/>
    </border>
    <border>
      <left style="thick">
        <color rgb="FF16A34A"/>
      </left>
      <right/>
      <top/>
      <bottom/>
      <diagonal/>
    </border>
    <border>
      <left style="thick">
        <color rgb="FF16A34A"/>
      </left>
      <right/>
      <top style="thin">
        <color rgb="FFEBEBEB"/>
      </top>
      <bottom/>
      <diagonal/>
    </border>
    <border>
      <left style="thick">
        <color rgb="FF16A34A"/>
      </left>
      <right/>
      <top/>
      <bottom style="thin">
        <color rgb="FFEBEBEB"/>
      </bottom>
      <diagonal/>
    </border>
    <border>
      <left style="thick">
        <color rgb="FF7C3AED"/>
      </left>
      <right/>
      <top/>
      <bottom/>
      <diagonal/>
    </border>
    <border>
      <left style="thick">
        <color rgb="FF7C3AED"/>
      </left>
      <right/>
      <top style="thin">
        <color rgb="FFEBEBEB"/>
      </top>
      <bottom/>
      <diagonal/>
    </border>
    <border>
      <left style="thick">
        <color rgb="FF7C3AED"/>
      </left>
      <right/>
      <top/>
      <bottom style="thin">
        <color rgb="FFEBEBEB"/>
      </bottom>
      <diagonal/>
    </border>
    <border>
      <left style="thick">
        <color rgb="FF0891B2"/>
      </left>
      <right/>
      <top/>
      <bottom/>
      <diagonal/>
    </border>
    <border>
      <left style="thick">
        <color rgb="FF0891B2"/>
      </left>
      <right/>
      <top style="thin">
        <color rgb="FFEBEBEB"/>
      </top>
      <bottom/>
      <diagonal/>
    </border>
    <border>
      <left style="thick">
        <color rgb="FF0891B2"/>
      </left>
      <right/>
      <top/>
      <bottom style="thin">
        <color rgb="FFEBEBEB"/>
      </bottom>
      <diagonal/>
    </border>
  </borders>
  <cellStyleXfs count="2">
    <xf numFmtId="0" fontId="0" fillId="0" borderId="0"/>
    <xf numFmtId="0" fontId="32" fillId="0" borderId="0" applyNumberFormat="0" applyFill="0" applyBorder="0" applyAlignment="0" applyProtection="0"/>
  </cellStyleXfs>
  <cellXfs count="673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3" fillId="0" borderId="0" xfId="0" applyFont="1" applyAlignment="1">
      <alignment vertical="top" wrapText="1"/>
    </xf>
    <xf numFmtId="0" fontId="8" fillId="0" borderId="0" xfId="0" applyFont="1" applyAlignment="1">
      <alignment vertical="center"/>
    </xf>
    <xf numFmtId="0" fontId="10" fillId="3" borderId="8" xfId="0" applyFont="1" applyFill="1" applyBorder="1" applyAlignment="1" applyProtection="1">
      <alignment horizontal="left" vertical="center" wrapText="1"/>
      <protection locked="0"/>
    </xf>
    <xf numFmtId="0" fontId="10" fillId="3" borderId="8" xfId="0" applyFont="1" applyFill="1" applyBorder="1" applyAlignment="1" applyProtection="1">
      <alignment horizontal="center" vertical="center" wrapText="1"/>
      <protection locked="0"/>
    </xf>
    <xf numFmtId="0" fontId="0" fillId="0" borderId="0" xfId="0" applyProtection="1">
      <protection locked="0"/>
    </xf>
    <xf numFmtId="0" fontId="0" fillId="0" borderId="0" xfId="0" applyAlignment="1" applyProtection="1">
      <alignment wrapText="1"/>
      <protection locked="0"/>
    </xf>
    <xf numFmtId="0" fontId="8" fillId="0" borderId="0" xfId="0" applyFont="1" applyAlignment="1" applyProtection="1">
      <alignment vertical="center"/>
      <protection locked="0"/>
    </xf>
    <xf numFmtId="0" fontId="10" fillId="3" borderId="0" xfId="0" applyFont="1" applyFill="1" applyAlignment="1" applyProtection="1">
      <alignment horizontal="left" vertical="center"/>
      <protection locked="0"/>
    </xf>
    <xf numFmtId="0" fontId="10" fillId="3" borderId="0" xfId="0" applyFont="1" applyFill="1" applyAlignment="1" applyProtection="1">
      <alignment horizontal="left" vertical="center" wrapText="1"/>
      <protection locked="0"/>
    </xf>
    <xf numFmtId="0" fontId="11" fillId="3" borderId="0" xfId="0" applyFont="1" applyFill="1" applyAlignment="1" applyProtection="1">
      <alignment horizontal="left" vertical="center"/>
      <protection locked="0"/>
    </xf>
    <xf numFmtId="0" fontId="11" fillId="3" borderId="0" xfId="0" applyFont="1" applyFill="1" applyAlignment="1" applyProtection="1">
      <alignment horizontal="left" vertical="center" wrapText="1"/>
      <protection locked="0"/>
    </xf>
    <xf numFmtId="0" fontId="10" fillId="3" borderId="0" xfId="0" applyFont="1" applyFill="1" applyAlignment="1" applyProtection="1">
      <alignment horizontal="left"/>
      <protection locked="0"/>
    </xf>
    <xf numFmtId="0" fontId="10" fillId="3" borderId="8" xfId="0" applyFont="1" applyFill="1" applyBorder="1" applyAlignment="1" applyProtection="1">
      <alignment horizontal="left" vertical="center"/>
      <protection locked="0"/>
    </xf>
    <xf numFmtId="9" fontId="13" fillId="3" borderId="8" xfId="0" applyNumberFormat="1" applyFont="1" applyFill="1" applyBorder="1" applyAlignment="1" applyProtection="1">
      <alignment horizontal="center" vertical="center" wrapText="1"/>
      <protection locked="0"/>
    </xf>
    <xf numFmtId="0" fontId="6" fillId="0" borderId="0" xfId="0" applyFont="1" applyAlignment="1" applyProtection="1">
      <alignment vertical="center"/>
      <protection locked="0"/>
    </xf>
    <xf numFmtId="0" fontId="8" fillId="0" borderId="0" xfId="0" applyFont="1" applyProtection="1">
      <protection locked="0"/>
    </xf>
    <xf numFmtId="0" fontId="6" fillId="0" borderId="0" xfId="0" applyFont="1" applyAlignment="1" applyProtection="1">
      <alignment vertical="top"/>
      <protection locked="0"/>
    </xf>
    <xf numFmtId="0" fontId="10" fillId="3" borderId="0" xfId="0" applyFont="1" applyFill="1" applyAlignment="1">
      <alignment horizontal="left" vertical="center"/>
    </xf>
    <xf numFmtId="0" fontId="11" fillId="3" borderId="0" xfId="0" applyFont="1" applyFill="1" applyAlignment="1">
      <alignment horizontal="left" vertical="center"/>
    </xf>
    <xf numFmtId="0" fontId="15" fillId="0" borderId="0" xfId="0" applyFont="1"/>
    <xf numFmtId="0" fontId="15" fillId="0" borderId="0" xfId="0" applyFont="1" applyAlignment="1">
      <alignment vertical="center"/>
    </xf>
    <xf numFmtId="0" fontId="16" fillId="0" borderId="0" xfId="0" applyFont="1" applyAlignment="1" applyProtection="1">
      <alignment vertical="center"/>
      <protection locked="0"/>
    </xf>
    <xf numFmtId="0" fontId="17" fillId="0" borderId="0" xfId="0" applyFont="1" applyAlignment="1" applyProtection="1">
      <alignment vertical="center"/>
      <protection locked="0"/>
    </xf>
    <xf numFmtId="0" fontId="16" fillId="0" borderId="0" xfId="0" applyFont="1"/>
    <xf numFmtId="0" fontId="16" fillId="0" borderId="0" xfId="0" applyFont="1" applyAlignment="1">
      <alignment vertical="center"/>
    </xf>
    <xf numFmtId="0" fontId="16" fillId="0" borderId="0" xfId="0" applyFont="1" applyProtection="1">
      <protection locked="0"/>
    </xf>
    <xf numFmtId="0" fontId="16" fillId="0" borderId="0" xfId="0" applyFont="1" applyAlignment="1">
      <alignment vertical="center" wrapText="1"/>
    </xf>
    <xf numFmtId="0" fontId="16" fillId="0" borderId="0" xfId="0" applyFont="1" applyAlignment="1">
      <alignment horizontal="center"/>
    </xf>
    <xf numFmtId="0" fontId="18" fillId="3" borderId="0" xfId="0" applyFont="1" applyFill="1" applyAlignment="1" applyProtection="1">
      <alignment horizontal="left" vertical="center"/>
      <protection locked="0"/>
    </xf>
    <xf numFmtId="0" fontId="18" fillId="3" borderId="0" xfId="0" applyFont="1" applyFill="1" applyAlignment="1" applyProtection="1">
      <alignment horizontal="left" vertical="center" wrapText="1"/>
      <protection locked="0"/>
    </xf>
    <xf numFmtId="0" fontId="20" fillId="3" borderId="0" xfId="0" applyFont="1" applyFill="1" applyAlignment="1" applyProtection="1">
      <alignment horizontal="left" vertical="center"/>
      <protection locked="0"/>
    </xf>
    <xf numFmtId="0" fontId="20" fillId="3" borderId="0" xfId="0" applyFont="1" applyFill="1" applyAlignment="1" applyProtection="1">
      <alignment horizontal="left" vertical="center" wrapText="1"/>
      <protection locked="0"/>
    </xf>
    <xf numFmtId="0" fontId="18" fillId="3" borderId="0" xfId="0" applyFont="1" applyFill="1" applyAlignment="1" applyProtection="1">
      <alignment horizontal="left"/>
      <protection locked="0"/>
    </xf>
    <xf numFmtId="0" fontId="26" fillId="0" borderId="0" xfId="0" applyFont="1"/>
    <xf numFmtId="166" fontId="16" fillId="0" borderId="0" xfId="0" applyNumberFormat="1" applyFont="1" applyAlignment="1" applyProtection="1">
      <alignment horizontal="center"/>
      <protection locked="0"/>
    </xf>
    <xf numFmtId="166" fontId="16" fillId="0" borderId="4" xfId="0" applyNumberFormat="1" applyFont="1" applyBorder="1" applyAlignment="1" applyProtection="1">
      <alignment horizontal="center" vertical="center" wrapText="1"/>
      <protection locked="0"/>
    </xf>
    <xf numFmtId="0" fontId="16" fillId="0" borderId="4" xfId="0" applyFont="1" applyBorder="1" applyAlignment="1" applyProtection="1">
      <alignment vertical="center" wrapText="1"/>
      <protection locked="0"/>
    </xf>
    <xf numFmtId="166" fontId="16" fillId="0" borderId="4" xfId="0" applyNumberFormat="1" applyFont="1" applyBorder="1" applyAlignment="1" applyProtection="1">
      <alignment horizontal="center" wrapText="1"/>
      <protection locked="0"/>
    </xf>
    <xf numFmtId="0" fontId="16" fillId="0" borderId="4" xfId="0" applyFont="1" applyBorder="1" applyAlignment="1" applyProtection="1">
      <alignment wrapText="1"/>
      <protection locked="0"/>
    </xf>
    <xf numFmtId="0" fontId="16" fillId="0" borderId="0" xfId="0" applyFont="1" applyAlignment="1">
      <alignment wrapText="1"/>
    </xf>
    <xf numFmtId="166" fontId="16" fillId="0" borderId="5" xfId="0" applyNumberFormat="1" applyFont="1" applyBorder="1" applyAlignment="1" applyProtection="1">
      <alignment horizontal="center" wrapText="1"/>
      <protection locked="0"/>
    </xf>
    <xf numFmtId="0" fontId="16" fillId="0" borderId="5" xfId="0" applyFont="1" applyBorder="1" applyAlignment="1" applyProtection="1">
      <alignment wrapText="1"/>
      <protection locked="0"/>
    </xf>
    <xf numFmtId="166" fontId="16" fillId="0" borderId="0" xfId="0" applyNumberFormat="1" applyFont="1" applyAlignment="1">
      <alignment horizontal="center"/>
    </xf>
    <xf numFmtId="0" fontId="24" fillId="0" borderId="0" xfId="0" applyFont="1" applyAlignment="1" applyProtection="1">
      <alignment vertical="center"/>
      <protection locked="0"/>
    </xf>
    <xf numFmtId="0" fontId="24" fillId="0" borderId="0" xfId="0" applyFont="1" applyAlignment="1" applyProtection="1">
      <alignment vertical="top" wrapText="1"/>
      <protection locked="0"/>
    </xf>
    <xf numFmtId="0" fontId="27" fillId="0" borderId="0" xfId="0" applyFont="1"/>
    <xf numFmtId="0" fontId="28" fillId="0" borderId="0" xfId="0" applyFont="1"/>
    <xf numFmtId="0" fontId="30" fillId="2" borderId="0" xfId="0" applyFont="1" applyFill="1" applyAlignment="1" applyProtection="1">
      <alignment horizontal="left" vertical="center"/>
      <protection locked="0"/>
    </xf>
    <xf numFmtId="0" fontId="10" fillId="3" borderId="0" xfId="0" applyFont="1" applyFill="1" applyAlignment="1" applyProtection="1">
      <alignment vertical="center" wrapText="1"/>
      <protection locked="0"/>
    </xf>
    <xf numFmtId="0" fontId="11" fillId="3" borderId="0" xfId="0" applyFont="1" applyFill="1" applyAlignment="1" applyProtection="1">
      <alignment vertical="center" wrapText="1"/>
      <protection locked="0"/>
    </xf>
    <xf numFmtId="0" fontId="10" fillId="3" borderId="0" xfId="0" applyFont="1" applyFill="1" applyAlignment="1" applyProtection="1">
      <alignment vertical="center"/>
      <protection locked="0"/>
    </xf>
    <xf numFmtId="0" fontId="11" fillId="3" borderId="0" xfId="0" applyFont="1" applyFill="1" applyAlignment="1" applyProtection="1">
      <alignment vertical="center"/>
      <protection locked="0"/>
    </xf>
    <xf numFmtId="0" fontId="23" fillId="0" borderId="1" xfId="0" applyFont="1" applyBorder="1" applyAlignment="1" applyProtection="1">
      <alignment horizontal="center" vertical="center" wrapText="1"/>
      <protection locked="0"/>
    </xf>
    <xf numFmtId="166" fontId="16" fillId="0" borderId="2" xfId="0" applyNumberFormat="1" applyFont="1" applyBorder="1" applyAlignment="1" applyProtection="1">
      <alignment horizontal="center" vertical="center" wrapText="1"/>
      <protection locked="0"/>
    </xf>
    <xf numFmtId="0" fontId="16" fillId="0" borderId="2" xfId="0" applyFont="1" applyBorder="1" applyAlignment="1" applyProtection="1">
      <alignment vertical="center" wrapText="1"/>
      <protection locked="0"/>
    </xf>
    <xf numFmtId="164" fontId="23" fillId="0" borderId="2" xfId="0" applyNumberFormat="1" applyFont="1" applyBorder="1" applyAlignment="1" applyProtection="1">
      <alignment horizontal="center" vertical="center" wrapText="1"/>
      <protection locked="0"/>
    </xf>
    <xf numFmtId="165" fontId="23" fillId="0" borderId="2" xfId="0" applyNumberFormat="1" applyFont="1" applyBorder="1" applyAlignment="1" applyProtection="1">
      <alignment horizontal="center" vertical="center" wrapText="1"/>
      <protection locked="0"/>
    </xf>
    <xf numFmtId="0" fontId="16" fillId="0" borderId="2" xfId="0" applyFont="1" applyBorder="1" applyAlignment="1">
      <alignment horizontal="center" vertical="center" wrapText="1"/>
    </xf>
    <xf numFmtId="0" fontId="16" fillId="0" borderId="2" xfId="0" applyFont="1" applyBorder="1" applyAlignment="1">
      <alignment vertical="center" wrapText="1"/>
    </xf>
    <xf numFmtId="0" fontId="16" fillId="0" borderId="2" xfId="0" applyFont="1" applyBorder="1" applyAlignment="1">
      <alignment vertical="center"/>
    </xf>
    <xf numFmtId="0" fontId="0" fillId="0" borderId="0" xfId="0" applyAlignment="1">
      <alignment vertical="top" wrapText="1"/>
    </xf>
    <xf numFmtId="14" fontId="16" fillId="0" borderId="4" xfId="0" applyNumberFormat="1" applyFont="1" applyBorder="1" applyAlignment="1" applyProtection="1">
      <alignment horizontal="center" vertical="center" wrapText="1"/>
      <protection locked="0"/>
    </xf>
    <xf numFmtId="0" fontId="16" fillId="0" borderId="3" xfId="0" applyFont="1" applyBorder="1" applyAlignment="1">
      <alignment horizontal="center" vertical="center" wrapText="1"/>
    </xf>
    <xf numFmtId="14" fontId="16" fillId="0" borderId="2" xfId="0" applyNumberFormat="1" applyFont="1" applyBorder="1" applyAlignment="1">
      <alignment horizontal="center" vertical="center" wrapText="1"/>
    </xf>
    <xf numFmtId="0" fontId="16" fillId="0" borderId="0" xfId="0" applyFont="1" applyAlignment="1" applyProtection="1">
      <alignment horizontal="center"/>
      <protection locked="0"/>
    </xf>
    <xf numFmtId="0" fontId="16" fillId="0" borderId="2" xfId="0" applyFont="1" applyBorder="1" applyAlignment="1" applyProtection="1">
      <alignment horizontal="center" vertical="center" wrapText="1"/>
      <protection locked="0"/>
    </xf>
    <xf numFmtId="9" fontId="16" fillId="0" borderId="2" xfId="0" applyNumberFormat="1" applyFont="1" applyBorder="1" applyAlignment="1">
      <alignment horizontal="center" vertical="center" wrapText="1"/>
    </xf>
    <xf numFmtId="0" fontId="16" fillId="0" borderId="4" xfId="0" applyFont="1" applyBorder="1" applyAlignment="1" applyProtection="1">
      <alignment horizontal="center" vertical="center" wrapText="1"/>
      <protection locked="0"/>
    </xf>
    <xf numFmtId="0" fontId="16" fillId="0" borderId="4" xfId="0" applyFont="1" applyBorder="1" applyAlignment="1" applyProtection="1">
      <alignment horizontal="center" wrapText="1"/>
      <protection locked="0"/>
    </xf>
    <xf numFmtId="0" fontId="16" fillId="0" borderId="5" xfId="0" applyFont="1" applyBorder="1" applyAlignment="1" applyProtection="1">
      <alignment horizontal="center" wrapText="1"/>
      <protection locked="0"/>
    </xf>
    <xf numFmtId="164" fontId="16" fillId="0" borderId="2" xfId="0" applyNumberFormat="1" applyFont="1" applyBorder="1" applyAlignment="1" applyProtection="1">
      <alignment horizontal="center" vertical="center" wrapText="1"/>
      <protection locked="0"/>
    </xf>
    <xf numFmtId="164" fontId="16" fillId="0" borderId="4" xfId="0" applyNumberFormat="1" applyFont="1" applyBorder="1" applyAlignment="1" applyProtection="1">
      <alignment horizontal="center" vertical="center" wrapText="1"/>
      <protection locked="0"/>
    </xf>
    <xf numFmtId="164" fontId="16" fillId="0" borderId="4" xfId="0" applyNumberFormat="1" applyFont="1" applyBorder="1" applyAlignment="1" applyProtection="1">
      <alignment horizontal="center" wrapText="1"/>
      <protection locked="0"/>
    </xf>
    <xf numFmtId="164" fontId="16" fillId="0" borderId="5" xfId="0" applyNumberFormat="1" applyFont="1" applyBorder="1" applyAlignment="1" applyProtection="1">
      <alignment horizontal="center" wrapText="1"/>
      <protection locked="0"/>
    </xf>
    <xf numFmtId="0" fontId="34" fillId="3" borderId="0" xfId="0" applyFont="1" applyFill="1"/>
    <xf numFmtId="0" fontId="35" fillId="6" borderId="0" xfId="0" applyFont="1" applyFill="1"/>
    <xf numFmtId="0" fontId="34" fillId="4" borderId="0" xfId="0" applyFont="1" applyFill="1"/>
    <xf numFmtId="0" fontId="39" fillId="3" borderId="0" xfId="0" applyFont="1" applyFill="1"/>
    <xf numFmtId="0" fontId="39" fillId="3" borderId="12" xfId="0" applyFont="1" applyFill="1" applyBorder="1"/>
    <xf numFmtId="0" fontId="42" fillId="6" borderId="0" xfId="0" applyFont="1" applyFill="1"/>
    <xf numFmtId="0" fontId="44" fillId="3" borderId="24" xfId="0" applyFont="1" applyFill="1" applyBorder="1" applyAlignment="1">
      <alignment vertical="center"/>
    </xf>
    <xf numFmtId="0" fontId="40" fillId="3" borderId="24" xfId="0" applyFont="1" applyFill="1" applyBorder="1" applyAlignment="1">
      <alignment horizontal="center" vertical="center"/>
    </xf>
    <xf numFmtId="0" fontId="37" fillId="3" borderId="24" xfId="0" applyFont="1" applyFill="1" applyBorder="1" applyAlignment="1">
      <alignment vertical="center" wrapText="1"/>
    </xf>
    <xf numFmtId="0" fontId="44" fillId="7" borderId="24" xfId="0" applyFont="1" applyFill="1" applyBorder="1" applyAlignment="1">
      <alignment vertical="center"/>
    </xf>
    <xf numFmtId="0" fontId="40" fillId="7" borderId="24" xfId="0" applyFont="1" applyFill="1" applyBorder="1" applyAlignment="1">
      <alignment horizontal="center" vertical="center"/>
    </xf>
    <xf numFmtId="0" fontId="37" fillId="7" borderId="24" xfId="0" applyFont="1" applyFill="1" applyBorder="1" applyAlignment="1">
      <alignment vertical="center" wrapText="1"/>
    </xf>
    <xf numFmtId="0" fontId="44" fillId="8" borderId="24" xfId="0" applyFont="1" applyFill="1" applyBorder="1" applyAlignment="1">
      <alignment vertical="center"/>
    </xf>
    <xf numFmtId="0" fontId="37" fillId="8" borderId="24" xfId="0" applyFont="1" applyFill="1" applyBorder="1" applyAlignment="1">
      <alignment vertical="center" wrapText="1"/>
    </xf>
    <xf numFmtId="0" fontId="45" fillId="8" borderId="24" xfId="0" applyFont="1" applyFill="1" applyBorder="1" applyAlignment="1">
      <alignment horizontal="center" vertical="center"/>
    </xf>
    <xf numFmtId="0" fontId="44" fillId="9" borderId="24" xfId="0" applyFont="1" applyFill="1" applyBorder="1" applyAlignment="1">
      <alignment vertical="center"/>
    </xf>
    <xf numFmtId="0" fontId="37" fillId="9" borderId="24" xfId="0" applyFont="1" applyFill="1" applyBorder="1" applyAlignment="1">
      <alignment vertical="center" wrapText="1"/>
    </xf>
    <xf numFmtId="0" fontId="46" fillId="9" borderId="24" xfId="0" applyFont="1" applyFill="1" applyBorder="1" applyAlignment="1">
      <alignment horizontal="center" vertical="center"/>
    </xf>
    <xf numFmtId="0" fontId="46" fillId="7" borderId="24" xfId="0" applyFont="1" applyFill="1" applyBorder="1" applyAlignment="1">
      <alignment horizontal="center" vertical="center"/>
    </xf>
    <xf numFmtId="0" fontId="47" fillId="7" borderId="24" xfId="0" applyFont="1" applyFill="1" applyBorder="1" applyAlignment="1">
      <alignment horizontal="center" vertical="center"/>
    </xf>
    <xf numFmtId="0" fontId="46" fillId="3" borderId="24" xfId="0" applyFont="1" applyFill="1" applyBorder="1" applyAlignment="1">
      <alignment horizontal="center" vertical="center"/>
    </xf>
    <xf numFmtId="0" fontId="47" fillId="3" borderId="24" xfId="0" applyFont="1" applyFill="1" applyBorder="1" applyAlignment="1">
      <alignment horizontal="center" vertical="center"/>
    </xf>
    <xf numFmtId="0" fontId="45" fillId="7" borderId="24" xfId="0" applyFont="1" applyFill="1" applyBorder="1" applyAlignment="1">
      <alignment horizontal="center" vertical="center"/>
    </xf>
    <xf numFmtId="0" fontId="37" fillId="7" borderId="0" xfId="0" applyFont="1" applyFill="1"/>
    <xf numFmtId="0" fontId="37" fillId="7" borderId="29" xfId="0" applyFont="1" applyFill="1" applyBorder="1"/>
    <xf numFmtId="0" fontId="37" fillId="7" borderId="30" xfId="0" applyFont="1" applyFill="1" applyBorder="1"/>
    <xf numFmtId="0" fontId="37" fillId="7" borderId="16" xfId="0" applyFont="1" applyFill="1" applyBorder="1"/>
    <xf numFmtId="0" fontId="37" fillId="7" borderId="31" xfId="0" applyFont="1" applyFill="1" applyBorder="1"/>
    <xf numFmtId="0" fontId="37" fillId="7" borderId="19" xfId="0" applyFont="1" applyFill="1" applyBorder="1"/>
    <xf numFmtId="0" fontId="37" fillId="7" borderId="26" xfId="0" applyFont="1" applyFill="1" applyBorder="1"/>
    <xf numFmtId="0" fontId="37" fillId="7" borderId="33" xfId="0" applyFont="1" applyFill="1" applyBorder="1"/>
    <xf numFmtId="0" fontId="37" fillId="7" borderId="20" xfId="0" applyFont="1" applyFill="1" applyBorder="1"/>
    <xf numFmtId="0" fontId="48" fillId="3" borderId="16" xfId="0" applyFont="1" applyFill="1" applyBorder="1"/>
    <xf numFmtId="0" fontId="48" fillId="3" borderId="16" xfId="0" applyFont="1" applyFill="1" applyBorder="1" applyAlignment="1">
      <alignment horizontal="right"/>
    </xf>
    <xf numFmtId="0" fontId="49" fillId="3" borderId="16" xfId="0" applyFont="1" applyFill="1" applyBorder="1"/>
    <xf numFmtId="0" fontId="36" fillId="6" borderId="0" xfId="0" applyFont="1" applyFill="1"/>
    <xf numFmtId="0" fontId="38" fillId="6" borderId="0" xfId="0" applyFont="1" applyFill="1"/>
    <xf numFmtId="0" fontId="1" fillId="6" borderId="0" xfId="0" applyFont="1" applyFill="1" applyAlignment="1" applyProtection="1">
      <alignment vertical="center"/>
      <protection locked="0"/>
    </xf>
    <xf numFmtId="0" fontId="52" fillId="7" borderId="0" xfId="0" applyFont="1" applyFill="1" applyAlignment="1" applyProtection="1">
      <alignment vertical="center"/>
      <protection locked="0"/>
    </xf>
    <xf numFmtId="0" fontId="21" fillId="6" borderId="0" xfId="0" applyFont="1" applyFill="1" applyAlignment="1" applyProtection="1">
      <alignment vertical="center"/>
      <protection locked="0"/>
    </xf>
    <xf numFmtId="0" fontId="53" fillId="7" borderId="0" xfId="0" applyFont="1" applyFill="1" applyAlignment="1" applyProtection="1">
      <alignment vertical="center"/>
      <protection locked="0"/>
    </xf>
    <xf numFmtId="0" fontId="14" fillId="6" borderId="0" xfId="0" applyFont="1" applyFill="1" applyAlignment="1" applyProtection="1">
      <alignment vertical="center"/>
      <protection locked="0"/>
    </xf>
    <xf numFmtId="0" fontId="2" fillId="6" borderId="0" xfId="0" applyFont="1" applyFill="1" applyProtection="1">
      <protection locked="0"/>
    </xf>
    <xf numFmtId="0" fontId="54" fillId="0" borderId="0" xfId="0" applyFont="1" applyAlignment="1" applyProtection="1">
      <alignment vertical="top" wrapText="1"/>
      <protection locked="0"/>
    </xf>
    <xf numFmtId="0" fontId="55" fillId="8" borderId="0" xfId="0" applyFont="1" applyFill="1" applyAlignment="1" applyProtection="1">
      <alignment horizontal="left" vertical="center"/>
      <protection locked="0"/>
    </xf>
    <xf numFmtId="0" fontId="55" fillId="8" borderId="0" xfId="0" applyFont="1" applyFill="1" applyAlignment="1" applyProtection="1">
      <alignment horizontal="left" vertical="center" wrapText="1"/>
      <protection locked="0"/>
    </xf>
    <xf numFmtId="0" fontId="56" fillId="0" borderId="0" xfId="0" applyFont="1" applyAlignment="1" applyProtection="1">
      <alignment vertical="center" wrapText="1"/>
      <protection locked="0"/>
    </xf>
    <xf numFmtId="0" fontId="51" fillId="0" borderId="0" xfId="0" applyFont="1" applyAlignment="1" applyProtection="1">
      <alignment vertical="center" wrapText="1"/>
      <protection locked="0"/>
    </xf>
    <xf numFmtId="0" fontId="21" fillId="6" borderId="0" xfId="0" applyFont="1" applyFill="1" applyAlignment="1" applyProtection="1">
      <alignment horizontal="left" vertical="center"/>
      <protection locked="0"/>
    </xf>
    <xf numFmtId="0" fontId="14" fillId="6" borderId="0" xfId="0" applyFont="1" applyFill="1" applyAlignment="1" applyProtection="1">
      <alignment horizontal="left" vertical="center"/>
      <protection locked="0"/>
    </xf>
    <xf numFmtId="0" fontId="57" fillId="8" borderId="0" xfId="0" applyFont="1" applyFill="1" applyAlignment="1" applyProtection="1">
      <alignment horizontal="left"/>
      <protection locked="0"/>
    </xf>
    <xf numFmtId="0" fontId="57" fillId="8" borderId="0" xfId="0" applyFont="1" applyFill="1" applyAlignment="1" applyProtection="1">
      <alignment horizontal="left" vertical="center"/>
      <protection locked="0"/>
    </xf>
    <xf numFmtId="0" fontId="14" fillId="6" borderId="7" xfId="0" applyFont="1" applyFill="1" applyBorder="1" applyAlignment="1" applyProtection="1">
      <alignment horizontal="left" vertical="center"/>
      <protection locked="0"/>
    </xf>
    <xf numFmtId="0" fontId="30" fillId="8" borderId="0" xfId="0" applyFont="1" applyFill="1" applyAlignment="1" applyProtection="1">
      <alignment horizontal="left" vertical="center"/>
      <protection locked="0"/>
    </xf>
    <xf numFmtId="0" fontId="58" fillId="0" borderId="0" xfId="0" applyFont="1" applyAlignment="1" applyProtection="1">
      <alignment vertical="center"/>
      <protection locked="0"/>
    </xf>
    <xf numFmtId="0" fontId="58" fillId="0" borderId="0" xfId="0" applyFont="1" applyAlignment="1" applyProtection="1">
      <alignment vertical="top"/>
      <protection locked="0"/>
    </xf>
    <xf numFmtId="0" fontId="9" fillId="6" borderId="0" xfId="0" applyFont="1" applyFill="1" applyAlignment="1" applyProtection="1">
      <alignment vertical="center"/>
      <protection locked="0"/>
    </xf>
    <xf numFmtId="0" fontId="9" fillId="6" borderId="0" xfId="0" applyFont="1" applyFill="1" applyAlignment="1">
      <alignment horizontal="left" vertical="center"/>
    </xf>
    <xf numFmtId="0" fontId="30" fillId="8" borderId="0" xfId="0" applyFont="1" applyFill="1" applyAlignment="1">
      <alignment horizontal="left" vertical="center"/>
    </xf>
    <xf numFmtId="0" fontId="13" fillId="8" borderId="0" xfId="0" applyFont="1" applyFill="1" applyAlignment="1">
      <alignment horizontal="left" vertical="center"/>
    </xf>
    <xf numFmtId="0" fontId="59" fillId="3" borderId="0" xfId="0" applyFont="1" applyFill="1" applyAlignment="1">
      <alignment horizontal="left" vertical="center" wrapText="1"/>
    </xf>
    <xf numFmtId="0" fontId="18" fillId="3" borderId="23" xfId="0" applyFont="1" applyFill="1" applyBorder="1" applyAlignment="1" applyProtection="1">
      <alignment horizontal="center" vertical="center" wrapText="1"/>
      <protection locked="0"/>
    </xf>
    <xf numFmtId="0" fontId="18" fillId="3" borderId="24" xfId="0" applyFont="1" applyFill="1" applyBorder="1" applyAlignment="1" applyProtection="1">
      <alignment horizontal="left" vertical="center"/>
      <protection locked="0"/>
    </xf>
    <xf numFmtId="0" fontId="18" fillId="3" borderId="24" xfId="0" applyFont="1" applyFill="1" applyBorder="1" applyAlignment="1" applyProtection="1">
      <alignment horizontal="center" vertical="center" wrapText="1"/>
      <protection locked="0"/>
    </xf>
    <xf numFmtId="9" fontId="19" fillId="3" borderId="24" xfId="0" applyNumberFormat="1" applyFont="1" applyFill="1" applyBorder="1" applyAlignment="1" applyProtection="1">
      <alignment horizontal="center" vertical="center" wrapText="1"/>
      <protection locked="0"/>
    </xf>
    <xf numFmtId="0" fontId="18" fillId="3" borderId="24" xfId="0" applyFont="1" applyFill="1" applyBorder="1" applyAlignment="1" applyProtection="1">
      <alignment horizontal="left" vertical="center" wrapText="1"/>
      <protection locked="0"/>
    </xf>
    <xf numFmtId="0" fontId="18" fillId="3" borderId="25" xfId="0" applyFont="1" applyFill="1" applyBorder="1" applyAlignment="1" applyProtection="1">
      <alignment horizontal="left" vertical="center" wrapText="1"/>
      <protection locked="0"/>
    </xf>
    <xf numFmtId="0" fontId="18" fillId="3" borderId="26" xfId="0" applyFont="1" applyFill="1" applyBorder="1" applyAlignment="1" applyProtection="1">
      <alignment horizontal="center" vertical="center" wrapText="1"/>
      <protection locked="0"/>
    </xf>
    <xf numFmtId="0" fontId="18" fillId="3" borderId="27" xfId="0" applyFont="1" applyFill="1" applyBorder="1" applyAlignment="1" applyProtection="1">
      <alignment horizontal="left" vertical="center"/>
      <protection locked="0"/>
    </xf>
    <xf numFmtId="0" fontId="18" fillId="3" borderId="27" xfId="0" applyFont="1" applyFill="1" applyBorder="1" applyAlignment="1" applyProtection="1">
      <alignment horizontal="center" vertical="center" wrapText="1"/>
      <protection locked="0"/>
    </xf>
    <xf numFmtId="9" fontId="19" fillId="3" borderId="27" xfId="0" applyNumberFormat="1" applyFont="1" applyFill="1" applyBorder="1" applyAlignment="1" applyProtection="1">
      <alignment horizontal="center" vertical="center" wrapText="1"/>
      <protection locked="0"/>
    </xf>
    <xf numFmtId="0" fontId="18" fillId="3" borderId="27" xfId="0" applyFont="1" applyFill="1" applyBorder="1" applyAlignment="1" applyProtection="1">
      <alignment horizontal="left" vertical="center" wrapText="1"/>
      <protection locked="0"/>
    </xf>
    <xf numFmtId="0" fontId="18" fillId="3" borderId="28" xfId="0" applyFont="1" applyFill="1" applyBorder="1" applyAlignment="1" applyProtection="1">
      <alignment horizontal="left" vertical="center" wrapText="1"/>
      <protection locked="0"/>
    </xf>
    <xf numFmtId="0" fontId="10" fillId="3" borderId="36" xfId="0" applyFont="1" applyFill="1" applyBorder="1" applyAlignment="1" applyProtection="1">
      <alignment horizontal="center" vertical="center" wrapText="1"/>
      <protection locked="0"/>
    </xf>
    <xf numFmtId="0" fontId="10" fillId="3" borderId="35" xfId="0" applyFont="1" applyFill="1" applyBorder="1" applyAlignment="1" applyProtection="1">
      <alignment horizontal="left" vertical="center" wrapText="1"/>
      <protection locked="0"/>
    </xf>
    <xf numFmtId="0" fontId="10" fillId="3" borderId="23" xfId="0" applyFont="1" applyFill="1" applyBorder="1" applyAlignment="1" applyProtection="1">
      <alignment horizontal="center" wrapText="1"/>
      <protection locked="0"/>
    </xf>
    <xf numFmtId="0" fontId="10" fillId="3" borderId="24" xfId="0" applyFont="1" applyFill="1" applyBorder="1" applyAlignment="1" applyProtection="1">
      <alignment horizontal="left" wrapText="1"/>
      <protection locked="0"/>
    </xf>
    <xf numFmtId="0" fontId="10" fillId="3" borderId="24" xfId="0" applyFont="1" applyFill="1" applyBorder="1" applyAlignment="1" applyProtection="1">
      <alignment horizontal="center" wrapText="1"/>
      <protection locked="0"/>
    </xf>
    <xf numFmtId="9" fontId="13" fillId="3" borderId="24" xfId="0" applyNumberFormat="1" applyFont="1" applyFill="1" applyBorder="1" applyAlignment="1" applyProtection="1">
      <alignment horizontal="center" vertical="center" wrapText="1"/>
      <protection locked="0"/>
    </xf>
    <xf numFmtId="0" fontId="10" fillId="3" borderId="25" xfId="0" applyFont="1" applyFill="1" applyBorder="1" applyAlignment="1" applyProtection="1">
      <alignment horizontal="left" wrapText="1"/>
      <protection locked="0"/>
    </xf>
    <xf numFmtId="0" fontId="10" fillId="3" borderId="26" xfId="0" applyFont="1" applyFill="1" applyBorder="1" applyAlignment="1" applyProtection="1">
      <alignment horizontal="center" wrapText="1"/>
      <protection locked="0"/>
    </xf>
    <xf numFmtId="0" fontId="10" fillId="3" borderId="27" xfId="0" applyFont="1" applyFill="1" applyBorder="1" applyAlignment="1" applyProtection="1">
      <alignment horizontal="left" wrapText="1"/>
      <protection locked="0"/>
    </xf>
    <xf numFmtId="0" fontId="10" fillId="3" borderId="27" xfId="0" applyFont="1" applyFill="1" applyBorder="1" applyAlignment="1" applyProtection="1">
      <alignment horizontal="center" wrapText="1"/>
      <protection locked="0"/>
    </xf>
    <xf numFmtId="9" fontId="13" fillId="3" borderId="27" xfId="0" applyNumberFormat="1" applyFont="1" applyFill="1" applyBorder="1" applyAlignment="1" applyProtection="1">
      <alignment horizontal="center" vertical="center" wrapText="1"/>
      <protection locked="0"/>
    </xf>
    <xf numFmtId="0" fontId="10" fillId="3" borderId="28" xfId="0" applyFont="1" applyFill="1" applyBorder="1" applyAlignment="1" applyProtection="1">
      <alignment horizontal="left" wrapText="1"/>
      <protection locked="0"/>
    </xf>
    <xf numFmtId="0" fontId="6" fillId="0" borderId="23" xfId="0" applyFont="1" applyBorder="1" applyAlignment="1" applyProtection="1">
      <alignment horizontal="center" vertical="center"/>
      <protection locked="0"/>
    </xf>
    <xf numFmtId="0" fontId="6" fillId="0" borderId="24" xfId="0" applyFont="1" applyBorder="1" applyAlignment="1" applyProtection="1">
      <alignment vertical="center"/>
      <protection locked="0"/>
    </xf>
    <xf numFmtId="0" fontId="6" fillId="0" borderId="24" xfId="0" applyFont="1" applyBorder="1" applyAlignment="1" applyProtection="1">
      <alignment horizontal="center" vertical="center"/>
      <protection locked="0"/>
    </xf>
    <xf numFmtId="9" fontId="7" fillId="0" borderId="24" xfId="0" applyNumberFormat="1" applyFont="1" applyBorder="1" applyAlignment="1" applyProtection="1">
      <alignment horizontal="center" vertical="center"/>
      <protection locked="0"/>
    </xf>
    <xf numFmtId="0" fontId="6" fillId="0" borderId="24" xfId="0" applyFont="1" applyBorder="1" applyAlignment="1" applyProtection="1">
      <alignment vertical="center" wrapText="1"/>
      <protection locked="0"/>
    </xf>
    <xf numFmtId="0" fontId="6" fillId="0" borderId="25" xfId="0" applyFont="1" applyBorder="1" applyAlignment="1" applyProtection="1">
      <alignment vertical="center" wrapText="1"/>
      <protection locked="0"/>
    </xf>
    <xf numFmtId="0" fontId="6" fillId="0" borderId="26" xfId="0" applyFont="1" applyBorder="1" applyAlignment="1" applyProtection="1">
      <alignment horizontal="center" vertical="center"/>
      <protection locked="0"/>
    </xf>
    <xf numFmtId="0" fontId="6" fillId="0" borderId="27" xfId="0" applyFont="1" applyBorder="1" applyAlignment="1" applyProtection="1">
      <alignment vertical="center"/>
      <protection locked="0"/>
    </xf>
    <xf numFmtId="0" fontId="6" fillId="0" borderId="27" xfId="0" applyFont="1" applyBorder="1" applyAlignment="1" applyProtection="1">
      <alignment horizontal="center" vertical="center"/>
      <protection locked="0"/>
    </xf>
    <xf numFmtId="9" fontId="7" fillId="0" borderId="27" xfId="0" applyNumberFormat="1" applyFont="1" applyBorder="1" applyAlignment="1" applyProtection="1">
      <alignment horizontal="center" vertical="center"/>
      <protection locked="0"/>
    </xf>
    <xf numFmtId="0" fontId="6" fillId="0" borderId="27" xfId="0" applyFont="1" applyBorder="1" applyAlignment="1" applyProtection="1">
      <alignment vertical="center" wrapText="1"/>
      <protection locked="0"/>
    </xf>
    <xf numFmtId="0" fontId="6" fillId="0" borderId="28" xfId="0" applyFont="1" applyBorder="1" applyAlignment="1" applyProtection="1">
      <alignment vertical="center" wrapText="1"/>
      <protection locked="0"/>
    </xf>
    <xf numFmtId="0" fontId="6" fillId="0" borderId="38" xfId="0" applyFont="1" applyBorder="1" applyAlignment="1" applyProtection="1">
      <alignment vertical="center" wrapText="1"/>
      <protection locked="0"/>
    </xf>
    <xf numFmtId="0" fontId="6" fillId="0" borderId="39" xfId="0" applyFont="1" applyBorder="1" applyAlignment="1" applyProtection="1">
      <alignment vertical="center" wrapText="1"/>
      <protection locked="0"/>
    </xf>
    <xf numFmtId="0" fontId="6" fillId="0" borderId="34" xfId="0" applyFont="1" applyBorder="1" applyAlignment="1" applyProtection="1">
      <alignment vertical="center" wrapText="1"/>
      <protection locked="0"/>
    </xf>
    <xf numFmtId="0" fontId="10" fillId="3" borderId="23" xfId="0" applyFont="1" applyFill="1" applyBorder="1" applyAlignment="1" applyProtection="1">
      <alignment horizontal="center" vertical="center"/>
      <protection locked="0"/>
    </xf>
    <xf numFmtId="0" fontId="10" fillId="3" borderId="24" xfId="0" applyFont="1" applyFill="1" applyBorder="1" applyAlignment="1" applyProtection="1">
      <alignment vertical="center"/>
      <protection locked="0"/>
    </xf>
    <xf numFmtId="0" fontId="10" fillId="3" borderId="24" xfId="0" applyFont="1" applyFill="1" applyBorder="1" applyAlignment="1" applyProtection="1">
      <alignment horizontal="center" vertical="center"/>
      <protection locked="0"/>
    </xf>
    <xf numFmtId="9" fontId="10" fillId="3" borderId="24" xfId="0" applyNumberFormat="1" applyFont="1" applyFill="1" applyBorder="1" applyAlignment="1" applyProtection="1">
      <alignment horizontal="center" vertical="center"/>
      <protection locked="0"/>
    </xf>
    <xf numFmtId="0" fontId="10" fillId="3" borderId="24" xfId="0" applyFont="1" applyFill="1" applyBorder="1" applyAlignment="1" applyProtection="1">
      <alignment horizontal="left" vertical="center" wrapText="1"/>
      <protection locked="0"/>
    </xf>
    <xf numFmtId="0" fontId="13" fillId="3" borderId="24" xfId="0" applyFont="1" applyFill="1" applyBorder="1" applyAlignment="1" applyProtection="1">
      <alignment horizontal="left" vertical="center"/>
      <protection locked="0"/>
    </xf>
    <xf numFmtId="0" fontId="10" fillId="3" borderId="25" xfId="0" applyFont="1" applyFill="1" applyBorder="1" applyAlignment="1" applyProtection="1">
      <alignment vertical="center" wrapText="1"/>
      <protection locked="0"/>
    </xf>
    <xf numFmtId="9" fontId="13" fillId="3" borderId="24" xfId="0" applyNumberFormat="1" applyFont="1" applyFill="1" applyBorder="1" applyAlignment="1" applyProtection="1">
      <alignment horizontal="center" vertical="center"/>
      <protection locked="0"/>
    </xf>
    <xf numFmtId="0" fontId="10" fillId="3" borderId="26" xfId="0" applyFont="1" applyFill="1" applyBorder="1" applyAlignment="1" applyProtection="1">
      <alignment horizontal="center" vertical="center"/>
      <protection locked="0"/>
    </xf>
    <xf numFmtId="0" fontId="10" fillId="3" borderId="27" xfId="0" applyFont="1" applyFill="1" applyBorder="1" applyAlignment="1" applyProtection="1">
      <alignment vertical="center"/>
      <protection locked="0"/>
    </xf>
    <xf numFmtId="0" fontId="10" fillId="3" borderId="27" xfId="0" applyFont="1" applyFill="1" applyBorder="1" applyAlignment="1" applyProtection="1">
      <alignment horizontal="center" vertical="center"/>
      <protection locked="0"/>
    </xf>
    <xf numFmtId="9" fontId="10" fillId="3" borderId="27" xfId="0" applyNumberFormat="1" applyFont="1" applyFill="1" applyBorder="1" applyAlignment="1" applyProtection="1">
      <alignment horizontal="center" vertical="center"/>
      <protection locked="0"/>
    </xf>
    <xf numFmtId="9" fontId="13" fillId="3" borderId="27" xfId="0" applyNumberFormat="1" applyFont="1" applyFill="1" applyBorder="1" applyAlignment="1" applyProtection="1">
      <alignment horizontal="center" vertical="center"/>
      <protection locked="0"/>
    </xf>
    <xf numFmtId="0" fontId="10" fillId="3" borderId="28" xfId="0" applyFont="1" applyFill="1" applyBorder="1" applyAlignment="1" applyProtection="1">
      <alignment vertical="center" wrapText="1"/>
      <protection locked="0"/>
    </xf>
    <xf numFmtId="0" fontId="10" fillId="3" borderId="23" xfId="0" applyFont="1" applyFill="1" applyBorder="1" applyAlignment="1" applyProtection="1">
      <alignment horizontal="center" vertical="center" wrapText="1"/>
      <protection locked="0"/>
    </xf>
    <xf numFmtId="0" fontId="10" fillId="3" borderId="24" xfId="0" applyFont="1" applyFill="1" applyBorder="1" applyAlignment="1" applyProtection="1">
      <alignment horizontal="left" vertical="center"/>
      <protection locked="0"/>
    </xf>
    <xf numFmtId="0" fontId="10" fillId="3" borderId="24" xfId="0" applyFont="1" applyFill="1" applyBorder="1" applyAlignment="1" applyProtection="1">
      <alignment horizontal="center" vertical="center" wrapText="1"/>
      <protection locked="0"/>
    </xf>
    <xf numFmtId="9" fontId="10" fillId="3" borderId="24" xfId="0" applyNumberFormat="1" applyFont="1" applyFill="1" applyBorder="1" applyAlignment="1" applyProtection="1">
      <alignment horizontal="center" vertical="center" wrapText="1"/>
      <protection locked="0"/>
    </xf>
    <xf numFmtId="0" fontId="10" fillId="3" borderId="25" xfId="0" applyFont="1" applyFill="1" applyBorder="1" applyAlignment="1" applyProtection="1">
      <alignment horizontal="center" vertical="center" wrapText="1"/>
      <protection locked="0"/>
    </xf>
    <xf numFmtId="0" fontId="10" fillId="3" borderId="26" xfId="0" applyFont="1" applyFill="1" applyBorder="1" applyAlignment="1" applyProtection="1">
      <alignment horizontal="center" vertical="center" wrapText="1"/>
      <protection locked="0"/>
    </xf>
    <xf numFmtId="0" fontId="10" fillId="3" borderId="27" xfId="0" applyFont="1" applyFill="1" applyBorder="1" applyAlignment="1" applyProtection="1">
      <alignment horizontal="left" vertical="center"/>
      <protection locked="0"/>
    </xf>
    <xf numFmtId="0" fontId="10" fillId="3" borderId="27" xfId="0" applyFont="1" applyFill="1" applyBorder="1" applyAlignment="1" applyProtection="1">
      <alignment horizontal="center" vertical="center" wrapText="1"/>
      <protection locked="0"/>
    </xf>
    <xf numFmtId="9" fontId="10" fillId="3" borderId="27" xfId="0" applyNumberFormat="1" applyFont="1" applyFill="1" applyBorder="1" applyAlignment="1" applyProtection="1">
      <alignment horizontal="center" vertical="center" wrapText="1"/>
      <protection locked="0"/>
    </xf>
    <xf numFmtId="0" fontId="10" fillId="3" borderId="27" xfId="0" applyFont="1" applyFill="1" applyBorder="1" applyAlignment="1" applyProtection="1">
      <alignment horizontal="left" vertical="center" wrapText="1"/>
      <protection locked="0"/>
    </xf>
    <xf numFmtId="0" fontId="10" fillId="3" borderId="28" xfId="0" applyFont="1" applyFill="1" applyBorder="1" applyAlignment="1" applyProtection="1">
      <alignment horizontal="center" vertical="center" wrapText="1"/>
      <protection locked="0"/>
    </xf>
    <xf numFmtId="0" fontId="10" fillId="3" borderId="25" xfId="0" applyFont="1" applyFill="1" applyBorder="1" applyAlignment="1" applyProtection="1">
      <alignment horizontal="left" vertical="center" wrapText="1"/>
      <protection locked="0"/>
    </xf>
    <xf numFmtId="0" fontId="10" fillId="3" borderId="28" xfId="0" applyFont="1" applyFill="1" applyBorder="1" applyAlignment="1" applyProtection="1">
      <alignment horizontal="left" vertical="center" wrapText="1"/>
      <protection locked="0"/>
    </xf>
    <xf numFmtId="0" fontId="10" fillId="3" borderId="23" xfId="0" applyFont="1" applyFill="1" applyBorder="1" applyAlignment="1">
      <alignment horizontal="center" vertical="center" wrapText="1"/>
    </xf>
    <xf numFmtId="0" fontId="10" fillId="3" borderId="24" xfId="0" applyFont="1" applyFill="1" applyBorder="1" applyAlignment="1">
      <alignment horizontal="left" vertical="center"/>
    </xf>
    <xf numFmtId="0" fontId="10" fillId="3" borderId="24" xfId="0" applyFont="1" applyFill="1" applyBorder="1" applyAlignment="1">
      <alignment horizontal="center" vertical="center" wrapText="1"/>
    </xf>
    <xf numFmtId="9" fontId="13" fillId="3" borderId="24" xfId="0" applyNumberFormat="1" applyFont="1" applyFill="1" applyBorder="1" applyAlignment="1">
      <alignment horizontal="center" vertical="center" wrapText="1"/>
    </xf>
    <xf numFmtId="14" fontId="10" fillId="3" borderId="24" xfId="0" applyNumberFormat="1" applyFont="1" applyFill="1" applyBorder="1" applyAlignment="1">
      <alignment horizontal="center" vertical="center" wrapText="1"/>
    </xf>
    <xf numFmtId="1" fontId="10" fillId="3" borderId="24" xfId="0" applyNumberFormat="1" applyFont="1" applyFill="1" applyBorder="1" applyAlignment="1" applyProtection="1">
      <alignment horizontal="center" vertical="center" wrapText="1"/>
      <protection locked="0"/>
    </xf>
    <xf numFmtId="14" fontId="10" fillId="3" borderId="24" xfId="0" applyNumberFormat="1" applyFont="1" applyFill="1" applyBorder="1" applyAlignment="1" applyProtection="1">
      <alignment horizontal="center" vertical="center" wrapText="1"/>
      <protection locked="0"/>
    </xf>
    <xf numFmtId="1" fontId="10" fillId="3" borderId="24" xfId="0" applyNumberFormat="1" applyFont="1" applyFill="1" applyBorder="1" applyAlignment="1">
      <alignment horizontal="center" vertical="center" wrapText="1"/>
    </xf>
    <xf numFmtId="0" fontId="10" fillId="3" borderId="26" xfId="0" applyFont="1" applyFill="1" applyBorder="1" applyAlignment="1">
      <alignment horizontal="center" vertical="center" wrapText="1"/>
    </xf>
    <xf numFmtId="0" fontId="10" fillId="3" borderId="27" xfId="0" applyFont="1" applyFill="1" applyBorder="1" applyAlignment="1">
      <alignment horizontal="left" vertical="center"/>
    </xf>
    <xf numFmtId="0" fontId="10" fillId="3" borderId="27" xfId="0" applyFont="1" applyFill="1" applyBorder="1" applyAlignment="1">
      <alignment horizontal="center" vertical="center" wrapText="1"/>
    </xf>
    <xf numFmtId="9" fontId="13" fillId="3" borderId="27" xfId="0" applyNumberFormat="1" applyFont="1" applyFill="1" applyBorder="1" applyAlignment="1">
      <alignment horizontal="center" vertical="center" wrapText="1"/>
    </xf>
    <xf numFmtId="14" fontId="10" fillId="3" borderId="27" xfId="0" applyNumberFormat="1" applyFont="1" applyFill="1" applyBorder="1" applyAlignment="1">
      <alignment horizontal="center" vertical="center" wrapText="1"/>
    </xf>
    <xf numFmtId="14" fontId="10" fillId="3" borderId="27" xfId="0" applyNumberFormat="1" applyFont="1" applyFill="1" applyBorder="1" applyAlignment="1" applyProtection="1">
      <alignment horizontal="center" vertical="center" wrapText="1"/>
      <protection locked="0"/>
    </xf>
    <xf numFmtId="1" fontId="10" fillId="3" borderId="27" xfId="0" applyNumberFormat="1" applyFont="1" applyFill="1" applyBorder="1" applyAlignment="1">
      <alignment horizontal="center" vertical="center" wrapText="1"/>
    </xf>
    <xf numFmtId="0" fontId="16" fillId="0" borderId="16" xfId="0" applyFont="1" applyBorder="1" applyProtection="1">
      <protection locked="0"/>
    </xf>
    <xf numFmtId="0" fontId="0" fillId="0" borderId="37" xfId="0" applyBorder="1" applyProtection="1">
      <protection locked="0"/>
    </xf>
    <xf numFmtId="0" fontId="0" fillId="0" borderId="16" xfId="0" applyBorder="1" applyProtection="1">
      <protection locked="0"/>
    </xf>
    <xf numFmtId="0" fontId="5" fillId="10" borderId="28" xfId="0" applyFont="1" applyFill="1" applyBorder="1" applyAlignment="1" applyProtection="1">
      <alignment horizontal="center" vertical="center"/>
      <protection locked="0"/>
    </xf>
    <xf numFmtId="0" fontId="5" fillId="10" borderId="27" xfId="0" applyFont="1" applyFill="1" applyBorder="1" applyAlignment="1" applyProtection="1">
      <alignment horizontal="center" vertical="center"/>
      <protection locked="0"/>
    </xf>
    <xf numFmtId="0" fontId="4" fillId="0" borderId="28" xfId="0" applyFont="1" applyBorder="1" applyProtection="1">
      <protection locked="0"/>
    </xf>
    <xf numFmtId="0" fontId="25" fillId="6" borderId="0" xfId="0" applyFont="1" applyFill="1" applyAlignment="1" applyProtection="1">
      <alignment vertical="center"/>
      <protection locked="0"/>
    </xf>
    <xf numFmtId="0" fontId="16" fillId="0" borderId="37" xfId="0" applyFont="1" applyBorder="1" applyProtection="1">
      <protection locked="0"/>
    </xf>
    <xf numFmtId="0" fontId="24" fillId="7" borderId="28" xfId="0" applyFont="1" applyFill="1" applyBorder="1" applyProtection="1">
      <protection locked="0"/>
    </xf>
    <xf numFmtId="0" fontId="23" fillId="0" borderId="28" xfId="0" applyFont="1" applyBorder="1" applyAlignment="1" applyProtection="1">
      <alignment horizontal="center" vertical="center"/>
      <protection locked="0"/>
    </xf>
    <xf numFmtId="0" fontId="24" fillId="0" borderId="25" xfId="0" applyFont="1" applyBorder="1" applyAlignment="1" applyProtection="1">
      <alignment horizontal="center"/>
      <protection locked="0"/>
    </xf>
    <xf numFmtId="0" fontId="24" fillId="0" borderId="24" xfId="0" applyFont="1" applyBorder="1" applyProtection="1">
      <protection locked="0"/>
    </xf>
    <xf numFmtId="0" fontId="24" fillId="0" borderId="25" xfId="0" applyFont="1" applyBorder="1" applyProtection="1">
      <protection locked="0"/>
    </xf>
    <xf numFmtId="0" fontId="23" fillId="0" borderId="25" xfId="0" applyFont="1" applyBorder="1" applyAlignment="1" applyProtection="1">
      <alignment horizontal="center"/>
      <protection locked="0"/>
    </xf>
    <xf numFmtId="9" fontId="23" fillId="0" borderId="25" xfId="0" applyNumberFormat="1" applyFont="1" applyBorder="1" applyAlignment="1" applyProtection="1">
      <alignment horizontal="center" vertical="center"/>
      <protection locked="0"/>
    </xf>
    <xf numFmtId="0" fontId="24" fillId="0" borderId="28" xfId="0" applyFont="1" applyBorder="1" applyAlignment="1" applyProtection="1">
      <alignment horizontal="center"/>
      <protection locked="0"/>
    </xf>
    <xf numFmtId="0" fontId="24" fillId="0" borderId="28" xfId="0" applyFont="1" applyBorder="1" applyProtection="1">
      <protection locked="0"/>
    </xf>
    <xf numFmtId="0" fontId="23" fillId="0" borderId="28" xfId="0" applyFont="1" applyBorder="1" applyAlignment="1" applyProtection="1">
      <alignment horizontal="center"/>
      <protection locked="0"/>
    </xf>
    <xf numFmtId="9" fontId="23" fillId="0" borderId="28" xfId="0" applyNumberFormat="1" applyFont="1" applyBorder="1" applyAlignment="1" applyProtection="1">
      <alignment horizontal="center" vertical="center"/>
      <protection locked="0"/>
    </xf>
    <xf numFmtId="0" fontId="24" fillId="0" borderId="27" xfId="0" applyFont="1" applyBorder="1" applyProtection="1">
      <protection locked="0"/>
    </xf>
    <xf numFmtId="0" fontId="0" fillId="0" borderId="28" xfId="0" applyBorder="1" applyProtection="1">
      <protection locked="0"/>
    </xf>
    <xf numFmtId="0" fontId="5" fillId="6" borderId="28" xfId="0" applyFont="1" applyFill="1" applyBorder="1" applyAlignment="1" applyProtection="1">
      <alignment horizontal="center" vertical="center"/>
      <protection locked="0"/>
    </xf>
    <xf numFmtId="0" fontId="4" fillId="0" borderId="6" xfId="0" applyFont="1" applyBorder="1" applyProtection="1">
      <protection locked="0"/>
    </xf>
    <xf numFmtId="0" fontId="4" fillId="0" borderId="37" xfId="0" applyFont="1" applyBorder="1" applyProtection="1">
      <protection locked="0"/>
    </xf>
    <xf numFmtId="0" fontId="4" fillId="0" borderId="27" xfId="0" applyFont="1" applyBorder="1" applyProtection="1">
      <protection locked="0"/>
    </xf>
    <xf numFmtId="0" fontId="5" fillId="10" borderId="28" xfId="0" applyFont="1" applyFill="1" applyBorder="1" applyProtection="1">
      <protection locked="0"/>
    </xf>
    <xf numFmtId="0" fontId="54" fillId="0" borderId="16" xfId="0" applyFont="1" applyBorder="1" applyAlignment="1" applyProtection="1">
      <alignment vertical="top" wrapText="1"/>
      <protection locked="0"/>
    </xf>
    <xf numFmtId="0" fontId="34" fillId="0" borderId="0" xfId="0" applyFont="1"/>
    <xf numFmtId="0" fontId="42" fillId="0" borderId="0" xfId="0" applyFont="1"/>
    <xf numFmtId="0" fontId="34" fillId="0" borderId="0" xfId="0" applyFont="1" applyAlignment="1">
      <alignment vertical="center"/>
    </xf>
    <xf numFmtId="0" fontId="40" fillId="7" borderId="18" xfId="0" applyFont="1" applyFill="1" applyBorder="1" applyAlignment="1">
      <alignment vertical="center"/>
    </xf>
    <xf numFmtId="0" fontId="41" fillId="7" borderId="15" xfId="0" applyFont="1" applyFill="1" applyBorder="1" applyAlignment="1">
      <alignment horizontal="left" vertical="center"/>
    </xf>
    <xf numFmtId="0" fontId="40" fillId="7" borderId="17" xfId="0" applyFont="1" applyFill="1" applyBorder="1" applyAlignment="1">
      <alignment vertical="center"/>
    </xf>
    <xf numFmtId="0" fontId="41" fillId="7" borderId="14" xfId="0" applyFont="1" applyFill="1" applyBorder="1" applyAlignment="1">
      <alignment horizontal="left" vertical="center"/>
    </xf>
    <xf numFmtId="14" fontId="41" fillId="7" borderId="15" xfId="0" applyNumberFormat="1" applyFont="1" applyFill="1" applyBorder="1" applyAlignment="1">
      <alignment horizontal="left" vertical="center"/>
    </xf>
    <xf numFmtId="0" fontId="25" fillId="14" borderId="9" xfId="0" applyFont="1" applyFill="1" applyBorder="1" applyAlignment="1" applyProtection="1">
      <alignment horizontal="center" vertical="center" wrapText="1"/>
      <protection locked="0"/>
    </xf>
    <xf numFmtId="0" fontId="25" fillId="14" borderId="10" xfId="0" applyFont="1" applyFill="1" applyBorder="1" applyAlignment="1" applyProtection="1">
      <alignment horizontal="center" vertical="center" wrapText="1"/>
      <protection locked="0"/>
    </xf>
    <xf numFmtId="0" fontId="25" fillId="14" borderId="11" xfId="0" applyFont="1" applyFill="1" applyBorder="1" applyAlignment="1" applyProtection="1">
      <alignment horizontal="center" vertical="center" wrapText="1"/>
      <protection locked="0"/>
    </xf>
    <xf numFmtId="0" fontId="25" fillId="14" borderId="11" xfId="0" applyFont="1" applyFill="1" applyBorder="1" applyAlignment="1" applyProtection="1">
      <alignment horizontal="center" vertical="center"/>
      <protection locked="0"/>
    </xf>
    <xf numFmtId="0" fontId="25" fillId="14" borderId="0" xfId="0" applyFont="1" applyFill="1" applyAlignment="1" applyProtection="1">
      <alignment vertical="center"/>
      <protection locked="0"/>
    </xf>
    <xf numFmtId="0" fontId="25" fillId="14" borderId="28" xfId="0" applyFont="1" applyFill="1" applyBorder="1" applyAlignment="1" applyProtection="1">
      <alignment horizontal="center" vertical="center" wrapText="1"/>
      <protection locked="0"/>
    </xf>
    <xf numFmtId="0" fontId="25" fillId="14" borderId="27" xfId="0" applyFont="1" applyFill="1" applyBorder="1" applyAlignment="1" applyProtection="1">
      <alignment horizontal="center" vertical="center" wrapText="1"/>
      <protection locked="0"/>
    </xf>
    <xf numFmtId="0" fontId="33" fillId="0" borderId="0" xfId="0" applyFont="1"/>
    <xf numFmtId="0" fontId="33" fillId="6" borderId="0" xfId="0" applyFont="1" applyFill="1"/>
    <xf numFmtId="0" fontId="33" fillId="4" borderId="0" xfId="0" applyFont="1" applyFill="1"/>
    <xf numFmtId="0" fontId="44" fillId="0" borderId="24" xfId="0" applyFont="1" applyBorder="1" applyAlignment="1">
      <alignment vertical="center"/>
    </xf>
    <xf numFmtId="0" fontId="40" fillId="0" borderId="24" xfId="0" applyFont="1" applyBorder="1" applyAlignment="1">
      <alignment horizontal="center" vertical="center"/>
    </xf>
    <xf numFmtId="0" fontId="37" fillId="0" borderId="24" xfId="0" applyFont="1" applyBorder="1" applyAlignment="1">
      <alignment vertical="center" wrapText="1"/>
    </xf>
    <xf numFmtId="0" fontId="46" fillId="0" borderId="24" xfId="0" applyFont="1" applyBorder="1" applyAlignment="1">
      <alignment horizontal="center" vertical="center"/>
    </xf>
    <xf numFmtId="0" fontId="47" fillId="0" borderId="24" xfId="0" applyFont="1" applyBorder="1" applyAlignment="1">
      <alignment horizontal="center" vertical="center"/>
    </xf>
    <xf numFmtId="0" fontId="45" fillId="8" borderId="24" xfId="0" applyFont="1" applyFill="1" applyBorder="1" applyAlignment="1">
      <alignment vertical="center"/>
    </xf>
    <xf numFmtId="0" fontId="37" fillId="8" borderId="24" xfId="0" applyFont="1" applyFill="1" applyBorder="1" applyAlignment="1">
      <alignment vertical="center"/>
    </xf>
    <xf numFmtId="0" fontId="47" fillId="11" borderId="24" xfId="0" applyFont="1" applyFill="1" applyBorder="1" applyAlignment="1">
      <alignment vertical="center"/>
    </xf>
    <xf numFmtId="0" fontId="37" fillId="11" borderId="24" xfId="0" applyFont="1" applyFill="1" applyBorder="1" applyAlignment="1">
      <alignment vertical="center"/>
    </xf>
    <xf numFmtId="0" fontId="37" fillId="11" borderId="24" xfId="0" applyFont="1" applyFill="1" applyBorder="1" applyAlignment="1">
      <alignment vertical="center" wrapText="1"/>
    </xf>
    <xf numFmtId="0" fontId="46" fillId="9" borderId="24" xfId="0" applyFont="1" applyFill="1" applyBorder="1" applyAlignment="1">
      <alignment vertical="center"/>
    </xf>
    <xf numFmtId="0" fontId="37" fillId="9" borderId="24" xfId="0" applyFont="1" applyFill="1" applyBorder="1" applyAlignment="1">
      <alignment vertical="center"/>
    </xf>
    <xf numFmtId="0" fontId="61" fillId="12" borderId="24" xfId="0" applyFont="1" applyFill="1" applyBorder="1" applyAlignment="1">
      <alignment vertical="center"/>
    </xf>
    <xf numFmtId="0" fontId="37" fillId="12" borderId="24" xfId="0" applyFont="1" applyFill="1" applyBorder="1" applyAlignment="1">
      <alignment vertical="center"/>
    </xf>
    <xf numFmtId="0" fontId="37" fillId="12" borderId="24" xfId="0" applyFont="1" applyFill="1" applyBorder="1" applyAlignment="1">
      <alignment vertical="center" wrapText="1"/>
    </xf>
    <xf numFmtId="0" fontId="40" fillId="13" borderId="24" xfId="0" applyFont="1" applyFill="1" applyBorder="1" applyAlignment="1">
      <alignment vertical="center"/>
    </xf>
    <xf numFmtId="0" fontId="37" fillId="13" borderId="24" xfId="0" applyFont="1" applyFill="1" applyBorder="1" applyAlignment="1">
      <alignment vertical="center"/>
    </xf>
    <xf numFmtId="0" fontId="37" fillId="13" borderId="24" xfId="0" applyFont="1" applyFill="1" applyBorder="1" applyAlignment="1">
      <alignment vertical="center" wrapText="1"/>
    </xf>
    <xf numFmtId="0" fontId="47" fillId="0" borderId="24" xfId="0" applyFont="1" applyBorder="1" applyAlignment="1">
      <alignment vertical="center" indent="1"/>
    </xf>
    <xf numFmtId="0" fontId="47" fillId="7" borderId="24" xfId="0" applyFont="1" applyFill="1" applyBorder="1" applyAlignment="1">
      <alignment vertical="center" indent="1"/>
    </xf>
    <xf numFmtId="0" fontId="44" fillId="7" borderId="27" xfId="0" applyFont="1" applyFill="1" applyBorder="1" applyAlignment="1">
      <alignment vertical="center"/>
    </xf>
    <xf numFmtId="0" fontId="47" fillId="7" borderId="27" xfId="0" applyFont="1" applyFill="1" applyBorder="1" applyAlignment="1">
      <alignment horizontal="center" vertical="center"/>
    </xf>
    <xf numFmtId="0" fontId="37" fillId="7" borderId="27" xfId="0" applyFont="1" applyFill="1" applyBorder="1" applyAlignment="1">
      <alignment vertical="center" wrapText="1"/>
    </xf>
    <xf numFmtId="0" fontId="63" fillId="7" borderId="32" xfId="0" applyFont="1" applyFill="1" applyBorder="1" applyAlignment="1">
      <alignment vertical="center" indent="1"/>
    </xf>
    <xf numFmtId="0" fontId="66" fillId="6" borderId="0" xfId="0" applyFont="1" applyFill="1"/>
    <xf numFmtId="0" fontId="67" fillId="6" borderId="0" xfId="0" applyFont="1" applyFill="1"/>
    <xf numFmtId="0" fontId="68" fillId="6" borderId="0" xfId="0" applyFont="1" applyFill="1"/>
    <xf numFmtId="0" fontId="62" fillId="7" borderId="23" xfId="0" applyFont="1" applyFill="1" applyBorder="1" applyAlignment="1">
      <alignment horizontal="left" vertical="center" indent="1"/>
    </xf>
    <xf numFmtId="0" fontId="69" fillId="8" borderId="25" xfId="0" applyFont="1" applyFill="1" applyBorder="1" applyAlignment="1">
      <alignment horizontal="center" vertical="center"/>
    </xf>
    <xf numFmtId="0" fontId="22" fillId="14" borderId="20" xfId="0" applyFont="1" applyFill="1" applyBorder="1" applyAlignment="1" applyProtection="1">
      <alignment horizontal="center" vertical="center" wrapText="1"/>
      <protection locked="0"/>
    </xf>
    <xf numFmtId="0" fontId="22" fillId="14" borderId="21" xfId="0" applyFont="1" applyFill="1" applyBorder="1" applyAlignment="1" applyProtection="1">
      <alignment horizontal="center" vertical="center" wrapText="1"/>
      <protection locked="0"/>
    </xf>
    <xf numFmtId="0" fontId="22" fillId="14" borderId="22" xfId="0" applyFont="1" applyFill="1" applyBorder="1" applyAlignment="1" applyProtection="1">
      <alignment horizontal="center" vertical="center" wrapText="1"/>
      <protection locked="0"/>
    </xf>
    <xf numFmtId="0" fontId="43" fillId="14" borderId="0" xfId="0" applyFont="1" applyFill="1" applyAlignment="1">
      <alignment vertical="center"/>
    </xf>
    <xf numFmtId="0" fontId="43" fillId="14" borderId="0" xfId="0" applyFont="1" applyFill="1" applyAlignment="1">
      <alignment horizontal="center" vertical="center"/>
    </xf>
    <xf numFmtId="0" fontId="29" fillId="14" borderId="20" xfId="0" applyFont="1" applyFill="1" applyBorder="1" applyAlignment="1" applyProtection="1">
      <alignment horizontal="center" vertical="center" wrapText="1"/>
      <protection locked="0"/>
    </xf>
    <xf numFmtId="0" fontId="29" fillId="14" borderId="21" xfId="0" applyFont="1" applyFill="1" applyBorder="1" applyAlignment="1" applyProtection="1">
      <alignment horizontal="center" vertical="center" wrapText="1"/>
      <protection locked="0"/>
    </xf>
    <xf numFmtId="0" fontId="29" fillId="14" borderId="22" xfId="0" applyFont="1" applyFill="1" applyBorder="1" applyAlignment="1" applyProtection="1">
      <alignment horizontal="center" vertical="center" wrapText="1"/>
      <protection locked="0"/>
    </xf>
    <xf numFmtId="0" fontId="12" fillId="14" borderId="20" xfId="0" applyFont="1" applyFill="1" applyBorder="1" applyAlignment="1" applyProtection="1">
      <alignment horizontal="center" vertical="center" wrapText="1"/>
      <protection locked="0"/>
    </xf>
    <xf numFmtId="0" fontId="12" fillId="14" borderId="21" xfId="0" applyFont="1" applyFill="1" applyBorder="1" applyAlignment="1" applyProtection="1">
      <alignment horizontal="center" vertical="center" wrapText="1"/>
      <protection locked="0"/>
    </xf>
    <xf numFmtId="0" fontId="12" fillId="14" borderId="22" xfId="0" applyFont="1" applyFill="1" applyBorder="1" applyAlignment="1" applyProtection="1">
      <alignment horizontal="center" vertical="center" wrapText="1"/>
      <protection locked="0"/>
    </xf>
    <xf numFmtId="0" fontId="29" fillId="14" borderId="20" xfId="0" applyFont="1" applyFill="1" applyBorder="1" applyAlignment="1">
      <alignment horizontal="center" vertical="center" wrapText="1"/>
    </xf>
    <xf numFmtId="0" fontId="29" fillId="14" borderId="21" xfId="0" applyFont="1" applyFill="1" applyBorder="1" applyAlignment="1">
      <alignment horizontal="center" vertical="center" wrapText="1"/>
    </xf>
    <xf numFmtId="0" fontId="29" fillId="14" borderId="22" xfId="0" applyFont="1" applyFill="1" applyBorder="1" applyAlignment="1">
      <alignment horizontal="center" vertical="center" wrapText="1"/>
    </xf>
    <xf numFmtId="0" fontId="54" fillId="0" borderId="16" xfId="0" applyFont="1" applyBorder="1" applyAlignment="1" applyProtection="1">
      <alignment vertical="top"/>
      <protection locked="0"/>
    </xf>
    <xf numFmtId="0" fontId="70" fillId="14" borderId="0" xfId="0" applyFont="1" applyFill="1" applyAlignment="1" applyProtection="1">
      <alignment vertical="center"/>
      <protection locked="0"/>
    </xf>
    <xf numFmtId="0" fontId="70" fillId="6" borderId="0" xfId="0" applyFont="1" applyFill="1" applyAlignment="1" applyProtection="1">
      <alignment vertical="center"/>
      <protection locked="0"/>
    </xf>
    <xf numFmtId="0" fontId="70" fillId="6" borderId="0" xfId="0" applyFont="1" applyFill="1" applyAlignment="1" applyProtection="1">
      <alignment horizontal="left" vertical="center"/>
      <protection locked="0"/>
    </xf>
    <xf numFmtId="0" fontId="72" fillId="6" borderId="0" xfId="0" applyFont="1" applyFill="1" applyAlignment="1" applyProtection="1">
      <alignment horizontal="left" vertical="center"/>
      <protection locked="0"/>
    </xf>
    <xf numFmtId="0" fontId="71" fillId="6" borderId="7" xfId="0" applyFont="1" applyFill="1" applyBorder="1" applyAlignment="1" applyProtection="1">
      <alignment horizontal="left" vertical="center"/>
      <protection locked="0"/>
    </xf>
    <xf numFmtId="0" fontId="71" fillId="6" borderId="0" xfId="0" applyFont="1" applyFill="1" applyAlignment="1" applyProtection="1">
      <alignment vertical="center"/>
      <protection locked="0"/>
    </xf>
    <xf numFmtId="0" fontId="72" fillId="6" borderId="0" xfId="0" applyFont="1" applyFill="1" applyAlignment="1" applyProtection="1">
      <alignment vertical="center"/>
      <protection locked="0"/>
    </xf>
    <xf numFmtId="0" fontId="72" fillId="6" borderId="0" xfId="0" applyFont="1" applyFill="1" applyAlignment="1">
      <alignment horizontal="left" vertical="center"/>
    </xf>
    <xf numFmtId="0" fontId="73" fillId="3" borderId="28" xfId="0" applyFont="1" applyFill="1" applyBorder="1" applyProtection="1">
      <protection locked="0"/>
    </xf>
    <xf numFmtId="0" fontId="74" fillId="6" borderId="0" xfId="0" applyFont="1" applyFill="1" applyAlignment="1" applyProtection="1">
      <alignment vertical="center"/>
      <protection locked="0"/>
    </xf>
    <xf numFmtId="0" fontId="75" fillId="6" borderId="0" xfId="0" applyFont="1" applyFill="1" applyAlignment="1" applyProtection="1">
      <alignment vertical="center"/>
      <protection locked="0"/>
    </xf>
    <xf numFmtId="0" fontId="47" fillId="7" borderId="0" xfId="0" applyFont="1" applyFill="1" applyAlignment="1" applyProtection="1">
      <alignment vertical="center"/>
      <protection locked="0"/>
    </xf>
    <xf numFmtId="0" fontId="33" fillId="0" borderId="0" xfId="0" applyFont="1" applyProtection="1">
      <protection locked="0"/>
    </xf>
    <xf numFmtId="0" fontId="76" fillId="6" borderId="0" xfId="0" applyFont="1" applyFill="1" applyAlignment="1" applyProtection="1">
      <alignment vertical="center"/>
      <protection locked="0"/>
    </xf>
    <xf numFmtId="0" fontId="77" fillId="0" borderId="0" xfId="0" applyFont="1" applyProtection="1">
      <protection locked="0"/>
    </xf>
    <xf numFmtId="1" fontId="78" fillId="7" borderId="24" xfId="0" applyNumberFormat="1" applyFont="1" applyFill="1" applyBorder="1" applyAlignment="1" applyProtection="1">
      <alignment horizontal="center" vertical="center"/>
      <protection locked="0"/>
    </xf>
    <xf numFmtId="166" fontId="33" fillId="8" borderId="28" xfId="0" applyNumberFormat="1" applyFont="1" applyFill="1" applyBorder="1" applyProtection="1">
      <protection locked="0"/>
    </xf>
    <xf numFmtId="0" fontId="77" fillId="0" borderId="28" xfId="0" applyFont="1" applyBorder="1" applyAlignment="1" applyProtection="1">
      <alignment horizontal="center" vertical="center"/>
      <protection locked="0"/>
    </xf>
    <xf numFmtId="0" fontId="79" fillId="7" borderId="28" xfId="0" applyFont="1" applyFill="1" applyBorder="1" applyProtection="1">
      <protection locked="0"/>
    </xf>
    <xf numFmtId="0" fontId="33" fillId="0" borderId="28" xfId="0" applyFont="1" applyBorder="1" applyProtection="1">
      <protection locked="0"/>
    </xf>
    <xf numFmtId="0" fontId="33" fillId="0" borderId="16" xfId="0" applyFont="1" applyBorder="1" applyProtection="1">
      <protection locked="0"/>
    </xf>
    <xf numFmtId="0" fontId="79" fillId="7" borderId="28" xfId="0" applyFont="1" applyFill="1" applyBorder="1" applyAlignment="1" applyProtection="1">
      <alignment vertical="top" wrapText="1"/>
      <protection locked="0"/>
    </xf>
    <xf numFmtId="0" fontId="33" fillId="8" borderId="28" xfId="0" applyFont="1" applyFill="1" applyBorder="1" applyAlignment="1" applyProtection="1">
      <alignment vertical="top" wrapText="1"/>
      <protection locked="0"/>
    </xf>
    <xf numFmtId="0" fontId="33" fillId="0" borderId="37" xfId="0" applyFont="1" applyBorder="1" applyProtection="1">
      <protection locked="0"/>
    </xf>
    <xf numFmtId="0" fontId="80" fillId="0" borderId="28" xfId="1" applyFont="1" applyBorder="1" applyProtection="1">
      <protection locked="0"/>
    </xf>
    <xf numFmtId="0" fontId="79" fillId="0" borderId="28" xfId="0" applyFont="1" applyBorder="1" applyProtection="1">
      <protection locked="0"/>
    </xf>
    <xf numFmtId="1" fontId="44" fillId="0" borderId="28" xfId="0" applyNumberFormat="1" applyFont="1" applyBorder="1" applyAlignment="1" applyProtection="1">
      <alignment horizontal="center" vertical="center"/>
      <protection locked="0"/>
    </xf>
    <xf numFmtId="0" fontId="79" fillId="0" borderId="28" xfId="0" applyFont="1" applyBorder="1" applyAlignment="1" applyProtection="1">
      <alignment vertical="top" wrapText="1"/>
      <protection locked="0"/>
    </xf>
    <xf numFmtId="1" fontId="77" fillId="0" borderId="28" xfId="0" applyNumberFormat="1" applyFont="1" applyBorder="1" applyAlignment="1" applyProtection="1">
      <alignment horizontal="center" vertical="center"/>
      <protection locked="0"/>
    </xf>
    <xf numFmtId="0" fontId="33" fillId="0" borderId="0" xfId="0" applyFont="1" applyAlignment="1">
      <alignment wrapText="1"/>
    </xf>
    <xf numFmtId="0" fontId="33" fillId="0" borderId="37" xfId="0" applyFont="1" applyBorder="1" applyAlignment="1">
      <alignment wrapText="1"/>
    </xf>
    <xf numFmtId="166" fontId="79" fillId="0" borderId="28" xfId="0" applyNumberFormat="1" applyFont="1" applyBorder="1" applyProtection="1">
      <protection locked="0"/>
    </xf>
    <xf numFmtId="9" fontId="79" fillId="0" borderId="28" xfId="0" applyNumberFormat="1" applyFont="1" applyBorder="1" applyProtection="1">
      <protection locked="0"/>
    </xf>
    <xf numFmtId="0" fontId="33" fillId="0" borderId="37" xfId="0" applyFont="1" applyBorder="1"/>
    <xf numFmtId="0" fontId="76" fillId="6" borderId="16" xfId="0" applyFont="1" applyFill="1" applyBorder="1" applyAlignment="1" applyProtection="1">
      <alignment vertical="center"/>
      <protection locked="0"/>
    </xf>
    <xf numFmtId="164" fontId="79" fillId="0" borderId="28" xfId="0" applyNumberFormat="1" applyFont="1" applyBorder="1" applyProtection="1">
      <protection locked="0"/>
    </xf>
    <xf numFmtId="0" fontId="33" fillId="0" borderId="16" xfId="0" applyFont="1" applyBorder="1"/>
    <xf numFmtId="0" fontId="80" fillId="3" borderId="28" xfId="1" applyFont="1" applyFill="1" applyBorder="1" applyProtection="1">
      <protection locked="0"/>
    </xf>
    <xf numFmtId="0" fontId="79" fillId="3" borderId="28" xfId="0" applyFont="1" applyFill="1" applyBorder="1" applyProtection="1">
      <protection locked="0"/>
    </xf>
    <xf numFmtId="166" fontId="79" fillId="3" borderId="28" xfId="0" applyNumberFormat="1" applyFont="1" applyFill="1" applyBorder="1" applyProtection="1">
      <protection locked="0"/>
    </xf>
    <xf numFmtId="0" fontId="77" fillId="7" borderId="28" xfId="0" applyFont="1" applyFill="1" applyBorder="1" applyAlignment="1" applyProtection="1">
      <alignment vertical="top" wrapText="1"/>
      <protection locked="0"/>
    </xf>
    <xf numFmtId="0" fontId="33" fillId="7" borderId="28" xfId="0" applyFont="1" applyFill="1" applyBorder="1" applyAlignment="1" applyProtection="1">
      <alignment vertical="top" wrapText="1"/>
      <protection locked="0"/>
    </xf>
    <xf numFmtId="0" fontId="33" fillId="7" borderId="28" xfId="0" applyFont="1" applyFill="1" applyBorder="1" applyProtection="1">
      <protection locked="0"/>
    </xf>
    <xf numFmtId="0" fontId="79" fillId="7" borderId="25" xfId="0" applyFont="1" applyFill="1" applyBorder="1" applyProtection="1">
      <protection locked="0"/>
    </xf>
    <xf numFmtId="0" fontId="33" fillId="7" borderId="25" xfId="0" applyFont="1" applyFill="1" applyBorder="1" applyAlignment="1" applyProtection="1">
      <alignment vertical="top" wrapText="1"/>
      <protection locked="0"/>
    </xf>
    <xf numFmtId="0" fontId="43" fillId="6" borderId="28" xfId="0" applyFont="1" applyFill="1" applyBorder="1" applyAlignment="1" applyProtection="1">
      <alignment horizontal="center" vertical="center" wrapText="1"/>
      <protection locked="0"/>
    </xf>
    <xf numFmtId="0" fontId="43" fillId="6" borderId="28" xfId="0" applyFont="1" applyFill="1" applyBorder="1" applyAlignment="1" applyProtection="1">
      <alignment horizontal="center" vertical="center"/>
      <protection locked="0"/>
    </xf>
    <xf numFmtId="0" fontId="43" fillId="6" borderId="28" xfId="0" applyFont="1" applyFill="1" applyBorder="1" applyAlignment="1" applyProtection="1">
      <alignment vertical="center"/>
      <protection locked="0"/>
    </xf>
    <xf numFmtId="0" fontId="79" fillId="3" borderId="28" xfId="0" applyFont="1" applyFill="1" applyBorder="1" applyAlignment="1" applyProtection="1">
      <alignment horizontal="center"/>
      <protection locked="0"/>
    </xf>
    <xf numFmtId="0" fontId="82" fillId="6" borderId="0" xfId="0" applyFont="1" applyFill="1" applyAlignment="1">
      <alignment vertical="top" wrapText="1"/>
    </xf>
    <xf numFmtId="0" fontId="33" fillId="0" borderId="0" xfId="0" applyFont="1" applyAlignment="1">
      <alignment vertical="top" wrapText="1"/>
    </xf>
    <xf numFmtId="0" fontId="76" fillId="6" borderId="0" xfId="0" applyFont="1" applyFill="1" applyAlignment="1">
      <alignment vertical="top" wrapText="1"/>
    </xf>
    <xf numFmtId="49" fontId="33" fillId="0" borderId="0" xfId="0" applyNumberFormat="1" applyFont="1" applyAlignment="1">
      <alignment vertical="top" wrapText="1"/>
    </xf>
    <xf numFmtId="49" fontId="76" fillId="6" borderId="0" xfId="0" applyNumberFormat="1" applyFont="1" applyFill="1" applyAlignment="1">
      <alignment vertical="top" wrapText="1"/>
    </xf>
    <xf numFmtId="49" fontId="81" fillId="0" borderId="0" xfId="0" applyNumberFormat="1" applyFont="1" applyAlignment="1">
      <alignment vertical="top" wrapText="1"/>
    </xf>
    <xf numFmtId="0" fontId="76" fillId="5" borderId="0" xfId="0" applyFont="1" applyFill="1" applyAlignment="1">
      <alignment vertical="top" wrapText="1"/>
    </xf>
    <xf numFmtId="0" fontId="63" fillId="7" borderId="41" xfId="0" applyFont="1" applyFill="1" applyBorder="1" applyAlignment="1">
      <alignment vertical="center" indent="1"/>
    </xf>
    <xf numFmtId="0" fontId="65" fillId="3" borderId="0" xfId="0" applyFont="1" applyFill="1"/>
    <xf numFmtId="0" fontId="64" fillId="3" borderId="0" xfId="0" applyFont="1" applyFill="1"/>
    <xf numFmtId="0" fontId="64" fillId="3" borderId="0" xfId="0" applyFont="1" applyFill="1" applyAlignment="1">
      <alignment horizontal="right"/>
    </xf>
    <xf numFmtId="0" fontId="40" fillId="7" borderId="18" xfId="0" applyFont="1" applyFill="1" applyBorder="1" applyAlignment="1">
      <alignment indent="1"/>
    </xf>
    <xf numFmtId="0" fontId="60" fillId="3" borderId="12" xfId="0" applyFont="1" applyFill="1" applyBorder="1"/>
    <xf numFmtId="0" fontId="83" fillId="8" borderId="15" xfId="0" applyFont="1" applyFill="1" applyBorder="1" applyAlignment="1">
      <alignment horizontal="left" indent="1"/>
    </xf>
    <xf numFmtId="0" fontId="83" fillId="8" borderId="23" xfId="0" applyFont="1" applyFill="1" applyBorder="1" applyAlignment="1">
      <alignment horizontal="left" indent="1"/>
    </xf>
    <xf numFmtId="0" fontId="50" fillId="0" borderId="13" xfId="0" applyFont="1" applyBorder="1" applyAlignment="1">
      <alignment vertical="center" wrapText="1" indent="1"/>
    </xf>
    <xf numFmtId="0" fontId="50" fillId="7" borderId="0" xfId="0" applyFont="1" applyFill="1" applyAlignment="1">
      <alignment vertical="center" wrapText="1" indent="1"/>
    </xf>
    <xf numFmtId="0" fontId="50" fillId="0" borderId="0" xfId="0" applyFont="1" applyAlignment="1">
      <alignment vertical="center" wrapText="1" indent="1"/>
    </xf>
    <xf numFmtId="0" fontId="62" fillId="0" borderId="16" xfId="0" applyFont="1" applyBorder="1" applyAlignment="1">
      <alignment vertical="center" wrapText="1" indent="1"/>
    </xf>
    <xf numFmtId="0" fontId="60" fillId="3" borderId="19" xfId="0" applyFont="1" applyFill="1" applyBorder="1"/>
    <xf numFmtId="0" fontId="50" fillId="0" borderId="25" xfId="0" applyFont="1" applyBorder="1" applyAlignment="1">
      <alignment vertical="center" wrapText="1" indent="1"/>
    </xf>
    <xf numFmtId="0" fontId="50" fillId="0" borderId="23" xfId="0" applyFont="1" applyBorder="1" applyAlignment="1">
      <alignment vertical="center" wrapText="1" indent="1"/>
    </xf>
    <xf numFmtId="0" fontId="50" fillId="7" borderId="25" xfId="0" applyFont="1" applyFill="1" applyBorder="1" applyAlignment="1">
      <alignment vertical="center" wrapText="1" indent="1"/>
    </xf>
    <xf numFmtId="0" fontId="50" fillId="7" borderId="23" xfId="0" applyFont="1" applyFill="1" applyBorder="1" applyAlignment="1">
      <alignment vertical="center" wrapText="1" indent="1"/>
    </xf>
    <xf numFmtId="0" fontId="62" fillId="8" borderId="40" xfId="0" applyFont="1" applyFill="1" applyBorder="1" applyAlignment="1">
      <alignment vertical="center" wrapText="1" indent="1"/>
    </xf>
    <xf numFmtId="0" fontId="62" fillId="8" borderId="16" xfId="0" applyFont="1" applyFill="1" applyBorder="1" applyAlignment="1">
      <alignment vertical="center" wrapText="1" indent="1"/>
    </xf>
    <xf numFmtId="0" fontId="50" fillId="7" borderId="30" xfId="0" applyFont="1" applyFill="1" applyBorder="1" applyAlignment="1">
      <alignment vertical="center" indent="1"/>
    </xf>
    <xf numFmtId="0" fontId="50" fillId="7" borderId="16" xfId="0" applyFont="1" applyFill="1" applyBorder="1" applyAlignment="1">
      <alignment vertical="center" indent="1"/>
    </xf>
    <xf numFmtId="0" fontId="50" fillId="7" borderId="26" xfId="0" applyFont="1" applyFill="1" applyBorder="1" applyAlignment="1">
      <alignment vertical="center" indent="1"/>
    </xf>
    <xf numFmtId="0" fontId="50" fillId="7" borderId="29" xfId="0" applyFont="1" applyFill="1" applyBorder="1" applyAlignment="1">
      <alignment vertical="center" indent="1"/>
    </xf>
    <xf numFmtId="0" fontId="50" fillId="7" borderId="0" xfId="0" applyFont="1" applyFill="1" applyAlignment="1">
      <alignment vertical="center" indent="1"/>
    </xf>
    <xf numFmtId="0" fontId="50" fillId="7" borderId="33" xfId="0" applyFont="1" applyFill="1" applyBorder="1" applyAlignment="1">
      <alignment vertical="center" indent="1"/>
    </xf>
    <xf numFmtId="0" fontId="31" fillId="7" borderId="25" xfId="0" applyFont="1" applyFill="1" applyBorder="1" applyAlignment="1">
      <alignment horizontal="left" vertical="center"/>
    </xf>
    <xf numFmtId="0" fontId="31" fillId="7" borderId="23" xfId="0" applyFont="1" applyFill="1" applyBorder="1" applyAlignment="1">
      <alignment horizontal="left" vertical="center"/>
    </xf>
    <xf numFmtId="0" fontId="31" fillId="7" borderId="28" xfId="0" applyFont="1" applyFill="1" applyBorder="1" applyAlignment="1">
      <alignment horizontal="left" vertical="center"/>
    </xf>
    <xf numFmtId="0" fontId="31" fillId="7" borderId="26" xfId="0" applyFont="1" applyFill="1" applyBorder="1" applyAlignment="1">
      <alignment horizontal="left" vertical="center"/>
    </xf>
    <xf numFmtId="0" fontId="50" fillId="7" borderId="31" xfId="0" applyFont="1" applyFill="1" applyBorder="1" applyAlignment="1">
      <alignment vertical="center" indent="1"/>
    </xf>
    <xf numFmtId="0" fontId="50" fillId="7" borderId="19" xfId="0" applyFont="1" applyFill="1" applyBorder="1" applyAlignment="1">
      <alignment vertical="center" indent="1"/>
    </xf>
    <xf numFmtId="0" fontId="50" fillId="7" borderId="20" xfId="0" applyFont="1" applyFill="1" applyBorder="1" applyAlignment="1">
      <alignment vertical="center" indent="1"/>
    </xf>
    <xf numFmtId="0" fontId="60" fillId="3" borderId="19" xfId="0" applyFont="1" applyFill="1" applyBorder="1" applyAlignment="1">
      <alignment vertical="center" indent="1"/>
    </xf>
    <xf numFmtId="0" fontId="37" fillId="7" borderId="24" xfId="0" applyFont="1" applyFill="1" applyBorder="1" applyAlignment="1">
      <alignment horizontal="left" vertical="center" indent="1"/>
    </xf>
    <xf numFmtId="0" fontId="76" fillId="6" borderId="0" xfId="0" applyFont="1" applyFill="1" applyAlignment="1">
      <alignment horizontal="left" indent="1"/>
    </xf>
    <xf numFmtId="0" fontId="43" fillId="6" borderId="0" xfId="0" applyFont="1" applyFill="1" applyAlignment="1">
      <alignment vertical="center"/>
    </xf>
    <xf numFmtId="0" fontId="43" fillId="6" borderId="0" xfId="0" applyFont="1" applyFill="1" applyAlignment="1">
      <alignment horizontal="center" vertical="center"/>
    </xf>
    <xf numFmtId="0" fontId="18" fillId="3" borderId="23" xfId="0" applyNumberFormat="1" applyFont="1" applyFill="1" applyBorder="1" applyAlignment="1" applyProtection="1">
      <alignment horizontal="center" vertical="center" wrapText="1"/>
      <protection locked="0"/>
    </xf>
    <xf numFmtId="0" fontId="18" fillId="3" borderId="24" xfId="0" applyNumberFormat="1" applyFont="1" applyFill="1" applyBorder="1" applyAlignment="1" applyProtection="1">
      <alignment horizontal="left" vertical="center"/>
      <protection locked="0"/>
    </xf>
    <xf numFmtId="0" fontId="18" fillId="3" borderId="24" xfId="0" applyNumberFormat="1" applyFont="1" applyFill="1" applyBorder="1" applyAlignment="1" applyProtection="1">
      <alignment horizontal="center" vertical="center" wrapText="1"/>
      <protection locked="0"/>
    </xf>
    <xf numFmtId="0" fontId="18" fillId="3" borderId="24" xfId="0" applyNumberFormat="1" applyFont="1" applyFill="1" applyBorder="1" applyAlignment="1" applyProtection="1">
      <alignment horizontal="left" vertical="center" wrapText="1"/>
      <protection locked="0"/>
    </xf>
    <xf numFmtId="0" fontId="18" fillId="3" borderId="25" xfId="0" applyNumberFormat="1" applyFont="1" applyFill="1" applyBorder="1" applyAlignment="1" applyProtection="1">
      <alignment horizontal="left" vertical="center" wrapText="1"/>
      <protection locked="0"/>
    </xf>
    <xf numFmtId="0" fontId="18" fillId="3" borderId="26" xfId="0" applyNumberFormat="1" applyFont="1" applyFill="1" applyBorder="1" applyAlignment="1" applyProtection="1">
      <alignment horizontal="center" vertical="center" wrapText="1"/>
      <protection locked="0"/>
    </xf>
    <xf numFmtId="0" fontId="18" fillId="3" borderId="27" xfId="0" applyNumberFormat="1" applyFont="1" applyFill="1" applyBorder="1" applyAlignment="1" applyProtection="1">
      <alignment horizontal="left" vertical="center"/>
      <protection locked="0"/>
    </xf>
    <xf numFmtId="0" fontId="18" fillId="3" borderId="27" xfId="0" applyNumberFormat="1" applyFont="1" applyFill="1" applyBorder="1" applyAlignment="1" applyProtection="1">
      <alignment horizontal="center" vertical="center" wrapText="1"/>
      <protection locked="0"/>
    </xf>
    <xf numFmtId="0" fontId="18" fillId="3" borderId="27" xfId="0" applyNumberFormat="1" applyFont="1" applyFill="1" applyBorder="1" applyAlignment="1" applyProtection="1">
      <alignment horizontal="left" vertical="center" wrapText="1"/>
      <protection locked="0"/>
    </xf>
    <xf numFmtId="0" fontId="18" fillId="3" borderId="28" xfId="0" applyNumberFormat="1" applyFont="1" applyFill="1" applyBorder="1" applyAlignment="1" applyProtection="1">
      <alignment horizontal="left" vertical="center" wrapText="1"/>
      <protection locked="0"/>
    </xf>
    <xf numFmtId="0" fontId="0" fillId="3" borderId="24" xfId="0" applyFont="1" applyFill="1" applyBorder="1" applyAlignment="1">
      <alignment horizontal="center" vertical="center" wrapText="1"/>
    </xf>
    <xf numFmtId="0" fontId="0" fillId="3" borderId="27" xfId="0" applyFont="1" applyFill="1" applyBorder="1" applyAlignment="1">
      <alignment horizontal="center" vertical="center" wrapText="1"/>
    </xf>
    <xf numFmtId="0" fontId="0" fillId="3" borderId="24" xfId="0" applyFont="1" applyFill="1" applyBorder="1" applyAlignment="1" applyProtection="1">
      <alignment horizontal="center" vertical="center" wrapText="1"/>
      <protection locked="0"/>
    </xf>
    <xf numFmtId="0" fontId="0" fillId="3" borderId="27" xfId="0" applyFont="1" applyFill="1" applyBorder="1" applyAlignment="1" applyProtection="1">
      <alignment horizontal="center" vertical="center" wrapText="1"/>
      <protection locked="0"/>
    </xf>
    <xf numFmtId="0" fontId="0" fillId="3" borderId="24" xfId="0" applyFont="1" applyFill="1" applyBorder="1" applyAlignment="1" applyProtection="1">
      <alignment horizontal="center" vertical="center"/>
      <protection locked="0"/>
    </xf>
    <xf numFmtId="0" fontId="0" fillId="3" borderId="27" xfId="0" applyFont="1" applyFill="1" applyBorder="1" applyAlignment="1" applyProtection="1">
      <alignment horizontal="center" vertical="center"/>
      <protection locked="0"/>
    </xf>
    <xf numFmtId="0" fontId="0" fillId="3" borderId="24" xfId="0" applyFont="1" applyFill="1" applyBorder="1" applyAlignment="1" applyProtection="1">
      <alignment horizontal="center" wrapText="1"/>
      <protection locked="0"/>
    </xf>
    <xf numFmtId="0" fontId="0" fillId="3" borderId="27" xfId="0" applyFont="1" applyFill="1" applyBorder="1" applyAlignment="1" applyProtection="1">
      <alignment horizontal="center" wrapText="1"/>
      <protection locked="0"/>
    </xf>
    <xf numFmtId="0" fontId="0" fillId="0" borderId="24" xfId="0" applyFont="1" applyBorder="1" applyAlignment="1" applyProtection="1">
      <alignment horizontal="center" vertical="center"/>
      <protection locked="0"/>
    </xf>
    <xf numFmtId="0" fontId="0" fillId="0" borderId="27" xfId="0" applyFont="1" applyBorder="1" applyAlignment="1" applyProtection="1">
      <alignment horizontal="center" vertical="center"/>
      <protection locked="0"/>
    </xf>
    <xf numFmtId="0" fontId="84" fillId="3" borderId="23" xfId="0" applyFont="1" applyFill="1" applyBorder="1" applyAlignment="1" applyProtection="1">
      <alignment horizontal="center" wrapText="1"/>
      <protection locked="0"/>
    </xf>
    <xf numFmtId="0" fontId="84" fillId="3" borderId="24" xfId="0" applyFont="1" applyFill="1" applyBorder="1" applyAlignment="1" applyProtection="1">
      <alignment horizontal="left" wrapText="1"/>
      <protection locked="0"/>
    </xf>
    <xf numFmtId="0" fontId="84" fillId="3" borderId="24" xfId="0" applyFont="1" applyFill="1" applyBorder="1" applyAlignment="1" applyProtection="1">
      <alignment horizontal="center" wrapText="1"/>
      <protection locked="0"/>
    </xf>
    <xf numFmtId="0" fontId="13" fillId="3" borderId="24" xfId="0" applyNumberFormat="1" applyFont="1" applyFill="1" applyBorder="1" applyAlignment="1" applyProtection="1">
      <alignment horizontal="center" wrapText="1"/>
      <protection locked="0"/>
    </xf>
    <xf numFmtId="9" fontId="85" fillId="3" borderId="24" xfId="0" applyNumberFormat="1" applyFont="1" applyFill="1" applyBorder="1" applyAlignment="1" applyProtection="1">
      <alignment horizontal="center" vertical="center" wrapText="1"/>
      <protection locked="0"/>
    </xf>
    <xf numFmtId="0" fontId="84" fillId="3" borderId="25" xfId="0" applyFont="1" applyFill="1" applyBorder="1" applyAlignment="1" applyProtection="1">
      <alignment horizontal="left" wrapText="1"/>
      <protection locked="0"/>
    </xf>
    <xf numFmtId="0" fontId="84" fillId="3" borderId="26" xfId="0" applyFont="1" applyFill="1" applyBorder="1" applyAlignment="1" applyProtection="1">
      <alignment horizontal="center" wrapText="1"/>
      <protection locked="0"/>
    </xf>
    <xf numFmtId="0" fontId="84" fillId="3" borderId="27" xfId="0" applyFont="1" applyFill="1" applyBorder="1" applyAlignment="1" applyProtection="1">
      <alignment horizontal="left" wrapText="1"/>
      <protection locked="0"/>
    </xf>
    <xf numFmtId="0" fontId="84" fillId="3" borderId="27" xfId="0" applyFont="1" applyFill="1" applyBorder="1" applyAlignment="1" applyProtection="1">
      <alignment horizontal="center" wrapText="1"/>
      <protection locked="0"/>
    </xf>
    <xf numFmtId="0" fontId="13" fillId="3" borderId="27" xfId="0" applyNumberFormat="1" applyFont="1" applyFill="1" applyBorder="1" applyAlignment="1" applyProtection="1">
      <alignment horizontal="center" wrapText="1"/>
      <protection locked="0"/>
    </xf>
    <xf numFmtId="9" fontId="85" fillId="3" borderId="27" xfId="0" applyNumberFormat="1" applyFont="1" applyFill="1" applyBorder="1" applyAlignment="1" applyProtection="1">
      <alignment horizontal="center" vertical="center" wrapText="1"/>
      <protection locked="0"/>
    </xf>
    <xf numFmtId="0" fontId="84" fillId="3" borderId="28" xfId="0" applyFont="1" applyFill="1" applyBorder="1" applyAlignment="1" applyProtection="1">
      <alignment horizontal="left" wrapText="1"/>
      <protection locked="0"/>
    </xf>
    <xf numFmtId="0" fontId="86" fillId="0" borderId="23" xfId="0" applyFont="1" applyBorder="1" applyAlignment="1" applyProtection="1">
      <alignment horizontal="center" vertical="center"/>
      <protection locked="0"/>
    </xf>
    <xf numFmtId="0" fontId="86" fillId="0" borderId="24" xfId="0" applyFont="1" applyBorder="1" applyAlignment="1" applyProtection="1">
      <alignment vertical="center"/>
      <protection locked="0"/>
    </xf>
    <xf numFmtId="0" fontId="86" fillId="0" borderId="24" xfId="0" applyFont="1" applyBorder="1" applyAlignment="1" applyProtection="1">
      <alignment horizontal="center" vertical="center"/>
      <protection locked="0"/>
    </xf>
    <xf numFmtId="9" fontId="87" fillId="0" borderId="24" xfId="0" applyNumberFormat="1" applyFont="1" applyBorder="1" applyAlignment="1" applyProtection="1">
      <alignment horizontal="center" vertical="center"/>
      <protection locked="0"/>
    </xf>
    <xf numFmtId="0" fontId="86" fillId="0" borderId="24" xfId="0" applyFont="1" applyBorder="1" applyAlignment="1" applyProtection="1">
      <alignment vertical="center" wrapText="1"/>
      <protection locked="0"/>
    </xf>
    <xf numFmtId="0" fontId="86" fillId="0" borderId="25" xfId="0" applyFont="1" applyBorder="1" applyAlignment="1" applyProtection="1">
      <alignment vertical="center" wrapText="1"/>
      <protection locked="0"/>
    </xf>
    <xf numFmtId="0" fontId="86" fillId="0" borderId="26" xfId="0" applyFont="1" applyBorder="1" applyAlignment="1" applyProtection="1">
      <alignment horizontal="center" vertical="center"/>
      <protection locked="0"/>
    </xf>
    <xf numFmtId="0" fontId="86" fillId="0" borderId="27" xfId="0" applyFont="1" applyBorder="1" applyAlignment="1" applyProtection="1">
      <alignment vertical="center"/>
      <protection locked="0"/>
    </xf>
    <xf numFmtId="0" fontId="86" fillId="0" borderId="27" xfId="0" applyFont="1" applyBorder="1" applyAlignment="1" applyProtection="1">
      <alignment horizontal="center" vertical="center"/>
      <protection locked="0"/>
    </xf>
    <xf numFmtId="9" fontId="87" fillId="0" borderId="27" xfId="0" applyNumberFormat="1" applyFont="1" applyBorder="1" applyAlignment="1" applyProtection="1">
      <alignment horizontal="center" vertical="center"/>
      <protection locked="0"/>
    </xf>
    <xf numFmtId="0" fontId="86" fillId="0" borderId="27" xfId="0" applyFont="1" applyBorder="1" applyAlignment="1" applyProtection="1">
      <alignment vertical="center" wrapText="1"/>
      <protection locked="0"/>
    </xf>
    <xf numFmtId="0" fontId="86" fillId="0" borderId="28" xfId="0" applyFont="1" applyBorder="1" applyAlignment="1" applyProtection="1">
      <alignment vertical="center" wrapText="1"/>
      <protection locked="0"/>
    </xf>
    <xf numFmtId="0" fontId="84" fillId="3" borderId="23" xfId="0" applyFont="1" applyFill="1" applyBorder="1" applyAlignment="1" applyProtection="1">
      <alignment horizontal="center" vertical="center" wrapText="1"/>
      <protection locked="0"/>
    </xf>
    <xf numFmtId="0" fontId="84" fillId="3" borderId="24" xfId="0" applyFont="1" applyFill="1" applyBorder="1" applyAlignment="1" applyProtection="1">
      <alignment horizontal="left" vertical="center"/>
      <protection locked="0"/>
    </xf>
    <xf numFmtId="0" fontId="84" fillId="3" borderId="24" xfId="0" applyFont="1" applyFill="1" applyBorder="1" applyAlignment="1" applyProtection="1">
      <alignment horizontal="center" vertical="center" wrapText="1"/>
      <protection locked="0"/>
    </xf>
    <xf numFmtId="0" fontId="84" fillId="3" borderId="24" xfId="0" applyFont="1" applyFill="1" applyBorder="1" applyAlignment="1" applyProtection="1">
      <alignment horizontal="left" vertical="center" wrapText="1"/>
      <protection locked="0"/>
    </xf>
    <xf numFmtId="0" fontId="84" fillId="3" borderId="25" xfId="0" applyFont="1" applyFill="1" applyBorder="1" applyAlignment="1" applyProtection="1">
      <alignment horizontal="center" vertical="center" wrapText="1"/>
      <protection locked="0"/>
    </xf>
    <xf numFmtId="0" fontId="84" fillId="3" borderId="26" xfId="0" applyFont="1" applyFill="1" applyBorder="1" applyAlignment="1" applyProtection="1">
      <alignment horizontal="center" vertical="center" wrapText="1"/>
      <protection locked="0"/>
    </xf>
    <xf numFmtId="0" fontId="84" fillId="3" borderId="27" xfId="0" applyFont="1" applyFill="1" applyBorder="1" applyAlignment="1" applyProtection="1">
      <alignment horizontal="left" vertical="center"/>
      <protection locked="0"/>
    </xf>
    <xf numFmtId="0" fontId="84" fillId="3" borderId="27" xfId="0" applyFont="1" applyFill="1" applyBorder="1" applyAlignment="1" applyProtection="1">
      <alignment horizontal="center" vertical="center" wrapText="1"/>
      <protection locked="0"/>
    </xf>
    <xf numFmtId="0" fontId="84" fillId="3" borderId="27" xfId="0" applyFont="1" applyFill="1" applyBorder="1" applyAlignment="1" applyProtection="1">
      <alignment horizontal="left" vertical="center" wrapText="1"/>
      <protection locked="0"/>
    </xf>
    <xf numFmtId="0" fontId="84" fillId="3" borderId="28" xfId="0" applyFont="1" applyFill="1" applyBorder="1" applyAlignment="1" applyProtection="1">
      <alignment horizontal="center" vertical="center" wrapText="1"/>
      <protection locked="0"/>
    </xf>
    <xf numFmtId="9" fontId="84" fillId="3" borderId="24" xfId="0" applyNumberFormat="1" applyFont="1" applyFill="1" applyBorder="1" applyAlignment="1" applyProtection="1">
      <alignment horizontal="center" vertical="center" wrapText="1"/>
      <protection locked="0"/>
    </xf>
    <xf numFmtId="0" fontId="84" fillId="3" borderId="25" xfId="0" applyFont="1" applyFill="1" applyBorder="1" applyAlignment="1" applyProtection="1">
      <alignment horizontal="left" vertical="center" wrapText="1"/>
      <protection locked="0"/>
    </xf>
    <xf numFmtId="9" fontId="84" fillId="3" borderId="27" xfId="0" applyNumberFormat="1" applyFont="1" applyFill="1" applyBorder="1" applyAlignment="1" applyProtection="1">
      <alignment horizontal="center" vertical="center" wrapText="1"/>
      <protection locked="0"/>
    </xf>
    <xf numFmtId="0" fontId="84" fillId="3" borderId="28" xfId="0" applyFont="1" applyFill="1" applyBorder="1" applyAlignment="1" applyProtection="1">
      <alignment horizontal="left" vertical="center" wrapText="1"/>
      <protection locked="0"/>
    </xf>
    <xf numFmtId="0" fontId="84" fillId="3" borderId="23" xfId="0" applyFont="1" applyFill="1" applyBorder="1" applyAlignment="1" applyProtection="1">
      <alignment horizontal="center" vertical="center" wrapText="1"/>
    </xf>
    <xf numFmtId="0" fontId="84" fillId="3" borderId="24" xfId="0" applyFont="1" applyFill="1" applyBorder="1" applyAlignment="1" applyProtection="1">
      <alignment horizontal="left" vertical="center"/>
    </xf>
    <xf numFmtId="0" fontId="84" fillId="3" borderId="24" xfId="0" applyFont="1" applyFill="1" applyBorder="1" applyAlignment="1" applyProtection="1">
      <alignment horizontal="center" vertical="center" wrapText="1"/>
    </xf>
    <xf numFmtId="9" fontId="85" fillId="3" borderId="24" xfId="0" applyNumberFormat="1" applyFont="1" applyFill="1" applyBorder="1" applyAlignment="1" applyProtection="1">
      <alignment horizontal="center" vertical="center" wrapText="1"/>
    </xf>
    <xf numFmtId="14" fontId="84" fillId="3" borderId="24" xfId="0" applyNumberFormat="1" applyFont="1" applyFill="1" applyBorder="1" applyAlignment="1" applyProtection="1">
      <alignment horizontal="center" vertical="center" wrapText="1"/>
    </xf>
    <xf numFmtId="177" fontId="84" fillId="3" borderId="24" xfId="0" applyNumberFormat="1" applyFont="1" applyFill="1" applyBorder="1" applyAlignment="1" applyProtection="1">
      <alignment horizontal="center" vertical="center" wrapText="1"/>
    </xf>
    <xf numFmtId="14" fontId="84" fillId="3" borderId="24" xfId="0" applyNumberFormat="1" applyFont="1" applyFill="1" applyBorder="1" applyAlignment="1" applyProtection="1">
      <alignment horizontal="center" vertical="center" wrapText="1"/>
      <protection locked="0"/>
    </xf>
    <xf numFmtId="1" fontId="84" fillId="3" borderId="24" xfId="0" applyNumberFormat="1" applyFont="1" applyFill="1" applyBorder="1" applyAlignment="1" applyProtection="1">
      <alignment horizontal="center" vertical="center" wrapText="1"/>
    </xf>
    <xf numFmtId="0" fontId="84" fillId="3" borderId="26" xfId="0" applyFont="1" applyFill="1" applyBorder="1" applyAlignment="1" applyProtection="1">
      <alignment horizontal="center" vertical="center" wrapText="1"/>
    </xf>
    <xf numFmtId="0" fontId="84" fillId="3" borderId="27" xfId="0" applyFont="1" applyFill="1" applyBorder="1" applyAlignment="1" applyProtection="1">
      <alignment horizontal="left" vertical="center"/>
    </xf>
    <xf numFmtId="0" fontId="84" fillId="3" borderId="27" xfId="0" applyFont="1" applyFill="1" applyBorder="1" applyAlignment="1" applyProtection="1">
      <alignment horizontal="center" vertical="center" wrapText="1"/>
    </xf>
    <xf numFmtId="9" fontId="85" fillId="3" borderId="27" xfId="0" applyNumberFormat="1" applyFont="1" applyFill="1" applyBorder="1" applyAlignment="1" applyProtection="1">
      <alignment horizontal="center" vertical="center" wrapText="1"/>
    </xf>
    <xf numFmtId="14" fontId="84" fillId="3" borderId="27" xfId="0" applyNumberFormat="1" applyFont="1" applyFill="1" applyBorder="1" applyAlignment="1" applyProtection="1">
      <alignment horizontal="center" vertical="center" wrapText="1"/>
    </xf>
    <xf numFmtId="177" fontId="84" fillId="3" borderId="27" xfId="0" applyNumberFormat="1" applyFont="1" applyFill="1" applyBorder="1" applyAlignment="1" applyProtection="1">
      <alignment horizontal="center" vertical="center" wrapText="1"/>
    </xf>
    <xf numFmtId="14" fontId="84" fillId="3" borderId="27" xfId="0" applyNumberFormat="1" applyFont="1" applyFill="1" applyBorder="1" applyAlignment="1" applyProtection="1">
      <alignment horizontal="center" vertical="center" wrapText="1"/>
      <protection locked="0"/>
    </xf>
    <xf numFmtId="1" fontId="84" fillId="3" borderId="27" xfId="0" applyNumberFormat="1" applyFont="1" applyFill="1" applyBorder="1" applyAlignment="1" applyProtection="1">
      <alignment horizontal="center" vertical="center" wrapText="1"/>
    </xf>
    <xf numFmtId="0" fontId="95" fillId="3" borderId="0" xfId="0" applyNumberFormat="1" applyFont="1" applyFill="1" applyBorder="1" applyAlignment="1">
      <alignment horizontal="center"/>
    </xf>
    <xf numFmtId="0" fontId="95" fillId="3" borderId="33" xfId="0" applyNumberFormat="1" applyFont="1" applyFill="1" applyBorder="1" applyAlignment="1">
      <alignment horizontal="center"/>
    </xf>
    <xf numFmtId="0" fontId="91" fillId="2" borderId="45" xfId="0" applyNumberFormat="1" applyFont="1" applyFill="1" applyBorder="1" applyAlignment="1">
      <alignment horizontal="center" vertical="center" wrapText="1"/>
    </xf>
    <xf numFmtId="0" fontId="91" fillId="2" borderId="0" xfId="0" applyNumberFormat="1" applyFont="1" applyFill="1" applyBorder="1" applyAlignment="1">
      <alignment horizontal="center" vertical="center" wrapText="1"/>
    </xf>
    <xf numFmtId="0" fontId="91" fillId="2" borderId="46" xfId="0" applyNumberFormat="1" applyFont="1" applyFill="1" applyBorder="1" applyAlignment="1">
      <alignment horizontal="center" vertical="center" wrapText="1"/>
    </xf>
    <xf numFmtId="0" fontId="91" fillId="2" borderId="44" xfId="0" applyNumberFormat="1" applyFont="1" applyFill="1" applyBorder="1" applyAlignment="1">
      <alignment horizontal="center" vertical="center" wrapText="1"/>
    </xf>
    <xf numFmtId="0" fontId="92" fillId="16" borderId="49" xfId="0" applyNumberFormat="1" applyFont="1" applyFill="1" applyBorder="1" applyAlignment="1">
      <alignment horizontal="left" vertical="center" wrapText="1"/>
    </xf>
    <xf numFmtId="0" fontId="92" fillId="16" borderId="0" xfId="0" applyNumberFormat="1" applyFont="1" applyFill="1" applyBorder="1" applyAlignment="1">
      <alignment horizontal="left" vertical="center" wrapText="1"/>
    </xf>
    <xf numFmtId="0" fontId="93" fillId="17" borderId="50" xfId="0" applyNumberFormat="1" applyFont="1" applyFill="1" applyBorder="1" applyAlignment="1">
      <alignment horizontal="left" vertical="center" wrapText="1"/>
    </xf>
    <xf numFmtId="0" fontId="95" fillId="3" borderId="57" xfId="0" applyNumberFormat="1" applyFont="1" applyFill="1" applyBorder="1" applyAlignment="1">
      <alignment horizontal="center" vertical="center" wrapText="1"/>
    </xf>
    <xf numFmtId="0" fontId="95" fillId="3" borderId="0" xfId="0" applyNumberFormat="1" applyFont="1" applyFill="1" applyBorder="1" applyAlignment="1">
      <alignment horizontal="center" vertical="center" wrapText="1"/>
    </xf>
    <xf numFmtId="0" fontId="95" fillId="3" borderId="59" xfId="0" applyNumberFormat="1" applyFont="1" applyFill="1" applyBorder="1" applyAlignment="1">
      <alignment horizontal="center" vertical="center" wrapText="1"/>
    </xf>
    <xf numFmtId="0" fontId="96" fillId="19" borderId="0" xfId="0" applyNumberFormat="1" applyFont="1" applyFill="1" applyAlignment="1">
      <alignment horizontal="left" vertical="center" wrapText="1"/>
    </xf>
    <xf numFmtId="0" fontId="97" fillId="20" borderId="0" xfId="0" applyNumberFormat="1" applyFont="1" applyFill="1" applyAlignment="1">
      <alignment horizontal="left" vertical="center" wrapText="1"/>
    </xf>
    <xf numFmtId="0" fontId="99" fillId="3" borderId="60" xfId="0" applyNumberFormat="1" applyFont="1" applyFill="1" applyBorder="1" applyAlignment="1">
      <alignment horizontal="left" vertical="center" wrapText="1"/>
    </xf>
    <xf numFmtId="0" fontId="99" fillId="3" borderId="61" xfId="0" applyNumberFormat="1" applyFont="1" applyFill="1" applyBorder="1" applyAlignment="1">
      <alignment horizontal="left" vertical="center" wrapText="1"/>
    </xf>
    <xf numFmtId="0" fontId="99" fillId="3" borderId="62" xfId="0" applyNumberFormat="1" applyFont="1" applyFill="1" applyBorder="1" applyAlignment="1">
      <alignment horizontal="left" vertical="center" wrapText="1"/>
    </xf>
    <xf numFmtId="0" fontId="99" fillId="3" borderId="63" xfId="0" applyNumberFormat="1" applyFont="1" applyFill="1" applyBorder="1" applyAlignment="1">
      <alignment horizontal="left" vertical="center" wrapText="1"/>
    </xf>
    <xf numFmtId="0" fontId="99" fillId="3" borderId="64" xfId="0" applyNumberFormat="1" applyFont="1" applyFill="1" applyBorder="1" applyAlignment="1">
      <alignment horizontal="left" vertical="center" wrapText="1"/>
    </xf>
    <xf numFmtId="9" fontId="99" fillId="3" borderId="62" xfId="0" applyNumberFormat="1" applyFont="1" applyFill="1" applyBorder="1" applyAlignment="1">
      <alignment horizontal="center" vertical="center" wrapText="1"/>
    </xf>
    <xf numFmtId="1" fontId="99" fillId="3" borderId="63" xfId="0" applyNumberFormat="1" applyFont="1" applyFill="1" applyBorder="1" applyAlignment="1">
      <alignment horizontal="center" vertical="center" wrapText="1"/>
    </xf>
    <xf numFmtId="0" fontId="99" fillId="3" borderId="60" xfId="0" applyNumberFormat="1" applyFont="1" applyFill="1" applyBorder="1" applyAlignment="1">
      <alignment horizontal="left" vertical="center" wrapText="1"/>
    </xf>
    <xf numFmtId="0" fontId="100" fillId="3" borderId="62" xfId="1" applyNumberFormat="1" applyFont="1" applyFill="1" applyBorder="1" applyAlignment="1">
      <alignment horizontal="center" vertical="center" wrapText="1"/>
    </xf>
    <xf numFmtId="0" fontId="99" fillId="3" borderId="28" xfId="0" applyNumberFormat="1" applyFont="1" applyFill="1" applyBorder="1" applyAlignment="1">
      <alignment horizontal="left" vertical="center" wrapText="1"/>
    </xf>
    <xf numFmtId="0" fontId="99" fillId="3" borderId="15" xfId="0" applyNumberFormat="1" applyFont="1" applyFill="1" applyBorder="1" applyAlignment="1">
      <alignment horizontal="left" vertical="center" wrapText="1"/>
    </xf>
    <xf numFmtId="0" fontId="99" fillId="3" borderId="0" xfId="0" applyNumberFormat="1" applyFont="1" applyFill="1" applyBorder="1" applyAlignment="1">
      <alignment horizontal="left" vertical="center" wrapText="1"/>
    </xf>
    <xf numFmtId="0" fontId="99" fillId="3" borderId="33" xfId="0" applyNumberFormat="1" applyFont="1" applyFill="1" applyBorder="1" applyAlignment="1">
      <alignment horizontal="left" vertical="center" wrapText="1"/>
    </xf>
    <xf numFmtId="0" fontId="99" fillId="3" borderId="25" xfId="0" applyNumberFormat="1" applyFont="1" applyFill="1" applyBorder="1" applyAlignment="1">
      <alignment horizontal="left" vertical="center" wrapText="1"/>
    </xf>
    <xf numFmtId="9" fontId="99" fillId="3" borderId="16" xfId="0" applyNumberFormat="1" applyFont="1" applyFill="1" applyBorder="1" applyAlignment="1">
      <alignment horizontal="center" vertical="center" wrapText="1"/>
    </xf>
    <xf numFmtId="1" fontId="99" fillId="3" borderId="26" xfId="0" applyNumberFormat="1" applyFont="1" applyFill="1" applyBorder="1" applyAlignment="1">
      <alignment horizontal="center" vertical="center" wrapText="1"/>
    </xf>
    <xf numFmtId="0" fontId="99" fillId="3" borderId="37" xfId="0" applyNumberFormat="1" applyFont="1" applyFill="1" applyBorder="1" applyAlignment="1">
      <alignment horizontal="left" vertical="center" wrapText="1"/>
    </xf>
    <xf numFmtId="0" fontId="100" fillId="3" borderId="0" xfId="1" applyNumberFormat="1" applyFont="1" applyFill="1" applyBorder="1" applyAlignment="1">
      <alignment horizontal="center" vertical="center" wrapText="1"/>
    </xf>
    <xf numFmtId="0" fontId="99" fillId="3" borderId="16" xfId="0" applyNumberFormat="1" applyFont="1" applyFill="1" applyBorder="1" applyAlignment="1">
      <alignment horizontal="left" vertical="center" wrapText="1"/>
    </xf>
    <xf numFmtId="1" fontId="99" fillId="3" borderId="16" xfId="0" applyNumberFormat="1" applyFont="1" applyFill="1" applyBorder="1" applyAlignment="1">
      <alignment horizontal="center" vertical="center" wrapText="1"/>
    </xf>
    <xf numFmtId="9" fontId="99" fillId="3" borderId="0" xfId="0" applyNumberFormat="1" applyFont="1" applyFill="1" applyBorder="1" applyAlignment="1">
      <alignment horizontal="center" vertical="center" wrapText="1"/>
    </xf>
    <xf numFmtId="1" fontId="99" fillId="3" borderId="0" xfId="0" applyNumberFormat="1" applyFont="1" applyFill="1" applyBorder="1" applyAlignment="1">
      <alignment horizontal="center" vertical="center" wrapText="1"/>
    </xf>
    <xf numFmtId="0" fontId="99" fillId="3" borderId="65" xfId="0" applyNumberFormat="1" applyFont="1" applyFill="1" applyBorder="1" applyAlignment="1">
      <alignment horizontal="left" vertical="center" wrapText="1"/>
    </xf>
    <xf numFmtId="0" fontId="99" fillId="3" borderId="65" xfId="0" applyNumberFormat="1" applyFont="1" applyFill="1" applyBorder="1" applyAlignment="1">
      <alignment horizontal="left" vertical="center" wrapText="1"/>
    </xf>
    <xf numFmtId="0" fontId="99" fillId="3" borderId="66" xfId="0" applyNumberFormat="1" applyFont="1" applyFill="1" applyBorder="1" applyAlignment="1">
      <alignment horizontal="left" vertical="center" wrapText="1"/>
    </xf>
    <xf numFmtId="9" fontId="99" fillId="3" borderId="66" xfId="0" applyNumberFormat="1" applyFont="1" applyFill="1" applyBorder="1" applyAlignment="1">
      <alignment horizontal="center" vertical="center" wrapText="1"/>
    </xf>
    <xf numFmtId="1" fontId="99" fillId="3" borderId="66" xfId="0" applyNumberFormat="1" applyFont="1" applyFill="1" applyBorder="1" applyAlignment="1">
      <alignment horizontal="center" vertical="center" wrapText="1"/>
    </xf>
    <xf numFmtId="0" fontId="100" fillId="3" borderId="66" xfId="1" applyNumberFormat="1" applyFont="1" applyFill="1" applyBorder="1" applyAlignment="1">
      <alignment horizontal="center" vertical="center" wrapText="1"/>
    </xf>
    <xf numFmtId="0" fontId="101" fillId="21" borderId="69" xfId="0" applyNumberFormat="1" applyFont="1" applyFill="1" applyBorder="1" applyAlignment="1">
      <alignment horizontal="center" vertical="center" wrapText="1"/>
    </xf>
    <xf numFmtId="0" fontId="101" fillId="21" borderId="67" xfId="0" applyNumberFormat="1" applyFont="1" applyFill="1" applyBorder="1" applyAlignment="1">
      <alignment horizontal="center" vertical="center" wrapText="1"/>
    </xf>
    <xf numFmtId="0" fontId="102" fillId="22" borderId="73" xfId="0" applyNumberFormat="1" applyFont="1" applyFill="1" applyBorder="1" applyAlignment="1">
      <alignment horizontal="center" vertical="center" wrapText="1"/>
    </xf>
    <xf numFmtId="0" fontId="102" fillId="22" borderId="67" xfId="0" applyNumberFormat="1" applyFont="1" applyFill="1" applyBorder="1" applyAlignment="1">
      <alignment horizontal="center" vertical="center" wrapText="1"/>
    </xf>
    <xf numFmtId="0" fontId="103" fillId="2" borderId="76" xfId="0" applyNumberFormat="1" applyFont="1" applyFill="1" applyBorder="1" applyAlignment="1">
      <alignment horizontal="center" vertical="center" wrapText="1"/>
    </xf>
    <xf numFmtId="0" fontId="103" fillId="2" borderId="67" xfId="0" applyNumberFormat="1" applyFont="1" applyFill="1" applyBorder="1" applyAlignment="1">
      <alignment horizontal="center" vertical="center" wrapText="1"/>
    </xf>
    <xf numFmtId="0" fontId="103" fillId="2" borderId="77" xfId="0" applyNumberFormat="1" applyFont="1" applyFill="1" applyBorder="1" applyAlignment="1">
      <alignment horizontal="center" vertical="center" wrapText="1"/>
    </xf>
    <xf numFmtId="0" fontId="101" fillId="21" borderId="70" xfId="0" applyNumberFormat="1" applyFont="1" applyFill="1" applyBorder="1" applyAlignment="1">
      <alignment horizontal="center" vertical="center" wrapText="1"/>
    </xf>
    <xf numFmtId="0" fontId="101" fillId="21" borderId="0" xfId="0" applyNumberFormat="1" applyFont="1" applyFill="1" applyBorder="1" applyAlignment="1">
      <alignment horizontal="center" vertical="center" wrapText="1"/>
    </xf>
    <xf numFmtId="0" fontId="102" fillId="22" borderId="74" xfId="0" applyNumberFormat="1" applyFont="1" applyFill="1" applyBorder="1" applyAlignment="1">
      <alignment horizontal="center" vertical="center" wrapText="1"/>
    </xf>
    <xf numFmtId="0" fontId="102" fillId="22" borderId="0" xfId="0" applyNumberFormat="1" applyFont="1" applyFill="1" applyBorder="1" applyAlignment="1">
      <alignment horizontal="center" vertical="center" wrapText="1"/>
    </xf>
    <xf numFmtId="0" fontId="103" fillId="2" borderId="45" xfId="0" applyNumberFormat="1" applyFont="1" applyFill="1" applyBorder="1" applyAlignment="1">
      <alignment horizontal="center" vertical="center" wrapText="1"/>
    </xf>
    <xf numFmtId="0" fontId="103" fillId="2" borderId="0" xfId="0" applyNumberFormat="1" applyFont="1" applyFill="1" applyBorder="1" applyAlignment="1">
      <alignment horizontal="center" vertical="center" wrapText="1"/>
    </xf>
    <xf numFmtId="0" fontId="103" fillId="2" borderId="47" xfId="0" applyNumberFormat="1" applyFont="1" applyFill="1" applyBorder="1" applyAlignment="1">
      <alignment horizontal="center" vertical="center" wrapText="1"/>
    </xf>
    <xf numFmtId="0" fontId="101" fillId="21" borderId="71" xfId="0" applyNumberFormat="1" applyFont="1" applyFill="1" applyBorder="1" applyAlignment="1">
      <alignment horizontal="center" vertical="center" wrapText="1"/>
    </xf>
    <xf numFmtId="0" fontId="101" fillId="21" borderId="68" xfId="0" applyNumberFormat="1" applyFont="1" applyFill="1" applyBorder="1" applyAlignment="1">
      <alignment horizontal="center" vertical="center" wrapText="1"/>
    </xf>
    <xf numFmtId="0" fontId="102" fillId="22" borderId="75" xfId="0" applyNumberFormat="1" applyFont="1" applyFill="1" applyBorder="1" applyAlignment="1">
      <alignment horizontal="center" vertical="center" wrapText="1"/>
    </xf>
    <xf numFmtId="0" fontId="102" fillId="22" borderId="72" xfId="0" applyNumberFormat="1" applyFont="1" applyFill="1" applyBorder="1" applyAlignment="1">
      <alignment horizontal="center" vertical="center" wrapText="1"/>
    </xf>
    <xf numFmtId="0" fontId="103" fillId="2" borderId="46" xfId="0" applyNumberFormat="1" applyFont="1" applyFill="1" applyBorder="1" applyAlignment="1">
      <alignment horizontal="center" vertical="center" wrapText="1"/>
    </xf>
    <xf numFmtId="0" fontId="103" fillId="2" borderId="44" xfId="0" applyNumberFormat="1" applyFont="1" applyFill="1" applyBorder="1" applyAlignment="1">
      <alignment horizontal="center" vertical="center" wrapText="1"/>
    </xf>
    <xf numFmtId="0" fontId="103" fillId="2" borderId="48" xfId="0" applyNumberFormat="1" applyFont="1" applyFill="1" applyBorder="1" applyAlignment="1">
      <alignment horizontal="center" vertical="center" wrapText="1"/>
    </xf>
    <xf numFmtId="0" fontId="99" fillId="3" borderId="64" xfId="0" applyNumberFormat="1" applyFont="1" applyFill="1" applyBorder="1" applyAlignment="1">
      <alignment horizontal="left" vertical="center" wrapText="1"/>
    </xf>
    <xf numFmtId="0" fontId="100" fillId="3" borderId="64" xfId="1" applyNumberFormat="1" applyFont="1" applyFill="1" applyBorder="1" applyAlignment="1">
      <alignment horizontal="left" vertical="center" wrapText="1"/>
    </xf>
    <xf numFmtId="0" fontId="100" fillId="3" borderId="61" xfId="0" applyNumberFormat="1" applyFont="1" applyFill="1" applyBorder="1" applyAlignment="1">
      <alignment horizontal="left" vertical="center" wrapText="1"/>
    </xf>
    <xf numFmtId="0" fontId="100" fillId="3" borderId="78" xfId="0" applyNumberFormat="1" applyFont="1" applyFill="1" applyBorder="1" applyAlignment="1">
      <alignment horizontal="left" vertical="center" wrapText="1"/>
    </xf>
    <xf numFmtId="164" fontId="104" fillId="3" borderId="62" xfId="0" applyNumberFormat="1" applyFont="1" applyFill="1" applyBorder="1" applyAlignment="1">
      <alignment horizontal="center" vertical="center" wrapText="1"/>
    </xf>
    <xf numFmtId="165" fontId="99" fillId="3" borderId="62" xfId="0" applyNumberFormat="1" applyFont="1" applyFill="1" applyBorder="1" applyAlignment="1">
      <alignment horizontal="center" vertical="center" wrapText="1"/>
    </xf>
    <xf numFmtId="0" fontId="105" fillId="3" borderId="62" xfId="0" applyNumberFormat="1" applyFont="1" applyFill="1" applyBorder="1" applyAlignment="1">
      <alignment horizontal="left" vertical="center" wrapText="1"/>
    </xf>
    <xf numFmtId="0" fontId="99" fillId="3" borderId="25" xfId="0" applyNumberFormat="1" applyFont="1" applyFill="1" applyBorder="1" applyAlignment="1">
      <alignment horizontal="left" vertical="center" wrapText="1"/>
    </xf>
    <xf numFmtId="0" fontId="100" fillId="3" borderId="25" xfId="1" applyNumberFormat="1" applyFont="1" applyFill="1" applyBorder="1" applyAlignment="1">
      <alignment horizontal="left" vertical="center" wrapText="1"/>
    </xf>
    <xf numFmtId="0" fontId="100" fillId="3" borderId="15" xfId="0" applyNumberFormat="1" applyFont="1" applyFill="1" applyBorder="1" applyAlignment="1">
      <alignment horizontal="left" vertical="center" wrapText="1"/>
    </xf>
    <xf numFmtId="0" fontId="100" fillId="3" borderId="23" xfId="0" applyNumberFormat="1" applyFont="1" applyFill="1" applyBorder="1" applyAlignment="1">
      <alignment horizontal="left" vertical="center" wrapText="1"/>
    </xf>
    <xf numFmtId="164" fontId="104" fillId="3" borderId="0" xfId="0" applyNumberFormat="1" applyFont="1" applyFill="1" applyBorder="1" applyAlignment="1">
      <alignment horizontal="center" vertical="center" wrapText="1"/>
    </xf>
    <xf numFmtId="165" fontId="99" fillId="3" borderId="0" xfId="0" applyNumberFormat="1" applyFont="1" applyFill="1" applyBorder="1" applyAlignment="1">
      <alignment horizontal="center" vertical="center" wrapText="1"/>
    </xf>
    <xf numFmtId="0" fontId="105" fillId="3" borderId="0" xfId="0" applyNumberFormat="1" applyFont="1" applyFill="1" applyBorder="1" applyAlignment="1">
      <alignment horizontal="left" vertical="center" wrapText="1"/>
    </xf>
    <xf numFmtId="0" fontId="99" fillId="3" borderId="79" xfId="0" applyNumberFormat="1" applyFont="1" applyFill="1" applyBorder="1" applyAlignment="1">
      <alignment horizontal="left" vertical="center" wrapText="1"/>
    </xf>
    <xf numFmtId="0" fontId="100" fillId="3" borderId="79" xfId="1" applyNumberFormat="1" applyFont="1" applyFill="1" applyBorder="1" applyAlignment="1">
      <alignment horizontal="left" vertical="center" wrapText="1"/>
    </xf>
    <xf numFmtId="0" fontId="100" fillId="3" borderId="65" xfId="0" applyNumberFormat="1" applyFont="1" applyFill="1" applyBorder="1" applyAlignment="1">
      <alignment horizontal="left" vertical="center" wrapText="1"/>
    </xf>
    <xf numFmtId="0" fontId="100" fillId="3" borderId="80" xfId="0" applyNumberFormat="1" applyFont="1" applyFill="1" applyBorder="1" applyAlignment="1">
      <alignment horizontal="left" vertical="center" wrapText="1"/>
    </xf>
    <xf numFmtId="164" fontId="104" fillId="3" borderId="66" xfId="0" applyNumberFormat="1" applyFont="1" applyFill="1" applyBorder="1" applyAlignment="1">
      <alignment horizontal="center" vertical="center" wrapText="1"/>
    </xf>
    <xf numFmtId="165" fontId="99" fillId="3" borderId="66" xfId="0" applyNumberFormat="1" applyFont="1" applyFill="1" applyBorder="1" applyAlignment="1">
      <alignment horizontal="center" vertical="center" wrapText="1"/>
    </xf>
    <xf numFmtId="0" fontId="105" fillId="3" borderId="66" xfId="0" applyNumberFormat="1" applyFont="1" applyFill="1" applyBorder="1" applyAlignment="1">
      <alignment horizontal="left" vertical="center" wrapText="1"/>
    </xf>
    <xf numFmtId="0" fontId="93" fillId="17" borderId="0" xfId="0" applyNumberFormat="1" applyFont="1" applyFill="1" applyAlignment="1">
      <alignment horizontal="left" vertical="center" wrapText="1"/>
    </xf>
    <xf numFmtId="164" fontId="99" fillId="3" borderId="62" xfId="0" applyNumberFormat="1" applyFont="1" applyFill="1" applyBorder="1" applyAlignment="1">
      <alignment horizontal="center" vertical="center" wrapText="1"/>
    </xf>
    <xf numFmtId="165" fontId="99" fillId="3" borderId="62" xfId="0" applyNumberFormat="1" applyFont="1" applyFill="1" applyBorder="1" applyAlignment="1">
      <alignment horizontal="center" vertical="center" wrapText="1"/>
    </xf>
    <xf numFmtId="164" fontId="99" fillId="3" borderId="0" xfId="0" applyNumberFormat="1" applyFont="1" applyFill="1" applyBorder="1" applyAlignment="1">
      <alignment horizontal="center" vertical="center" wrapText="1"/>
    </xf>
    <xf numFmtId="165" fontId="99" fillId="3" borderId="0" xfId="0" applyNumberFormat="1" applyFont="1" applyFill="1" applyBorder="1" applyAlignment="1">
      <alignment horizontal="center" vertical="center" wrapText="1"/>
    </xf>
    <xf numFmtId="164" fontId="99" fillId="3" borderId="66" xfId="0" applyNumberFormat="1" applyFont="1" applyFill="1" applyBorder="1" applyAlignment="1">
      <alignment horizontal="center" vertical="center" wrapText="1"/>
    </xf>
    <xf numFmtId="165" fontId="99" fillId="3" borderId="66" xfId="0" applyNumberFormat="1" applyFont="1" applyFill="1" applyBorder="1" applyAlignment="1">
      <alignment horizontal="center" vertical="center" wrapText="1"/>
    </xf>
    <xf numFmtId="0" fontId="107" fillId="20" borderId="0" xfId="0" applyNumberFormat="1" applyFont="1" applyFill="1" applyAlignment="1">
      <alignment horizontal="left" vertical="center" wrapText="1"/>
    </xf>
    <xf numFmtId="0" fontId="108" fillId="18" borderId="53" xfId="0" applyNumberFormat="1" applyFont="1" applyFill="1" applyBorder="1" applyAlignment="1">
      <alignment horizontal="center" vertical="center" wrapText="1"/>
    </xf>
    <xf numFmtId="0" fontId="109" fillId="3" borderId="57" xfId="0" applyNumberFormat="1" applyFont="1" applyFill="1" applyBorder="1" applyAlignment="1">
      <alignment horizontal="center" vertical="center" wrapText="1"/>
    </xf>
    <xf numFmtId="0" fontId="109" fillId="3" borderId="0" xfId="0" applyNumberFormat="1" applyFont="1" applyFill="1" applyBorder="1" applyAlignment="1">
      <alignment horizontal="center" vertical="center" wrapText="1"/>
    </xf>
    <xf numFmtId="0" fontId="109" fillId="3" borderId="59" xfId="0" applyNumberFormat="1" applyFont="1" applyFill="1" applyBorder="1" applyAlignment="1">
      <alignment horizontal="center" vertical="center" wrapText="1"/>
    </xf>
    <xf numFmtId="0" fontId="110" fillId="3" borderId="0" xfId="0" applyNumberFormat="1" applyFont="1" applyFill="1" applyBorder="1" applyAlignment="1">
      <alignment horizontal="center" vertical="center" wrapText="1"/>
    </xf>
    <xf numFmtId="0" fontId="111" fillId="3" borderId="0" xfId="0" applyNumberFormat="1" applyFont="1" applyFill="1" applyBorder="1" applyAlignment="1">
      <alignment horizontal="center" vertical="center" wrapText="1"/>
    </xf>
    <xf numFmtId="0" fontId="112" fillId="3" borderId="56" xfId="0" applyNumberFormat="1" applyFont="1" applyFill="1" applyBorder="1" applyAlignment="1">
      <alignment horizontal="center" vertical="center" wrapText="1"/>
    </xf>
    <xf numFmtId="0" fontId="112" fillId="3" borderId="54" xfId="0" applyNumberFormat="1" applyFont="1" applyFill="1" applyBorder="1" applyAlignment="1">
      <alignment horizontal="center" vertical="center" wrapText="1"/>
    </xf>
    <xf numFmtId="0" fontId="103" fillId="2" borderId="84" xfId="0" applyNumberFormat="1" applyFont="1" applyFill="1" applyBorder="1" applyAlignment="1">
      <alignment horizontal="center" vertical="center" wrapText="1"/>
    </xf>
    <xf numFmtId="0" fontId="103" fillId="2" borderId="54" xfId="0" applyNumberFormat="1" applyFont="1" applyFill="1" applyBorder="1" applyAlignment="1">
      <alignment horizontal="center" vertical="center" wrapText="1"/>
    </xf>
    <xf numFmtId="0" fontId="103" fillId="2" borderId="86" xfId="0" applyNumberFormat="1" applyFont="1" applyFill="1" applyBorder="1" applyAlignment="1">
      <alignment horizontal="center" vertical="center" wrapText="1"/>
    </xf>
    <xf numFmtId="0" fontId="112" fillId="3" borderId="58" xfId="0" applyNumberFormat="1" applyFont="1" applyFill="1" applyBorder="1" applyAlignment="1">
      <alignment horizontal="center" vertical="center" wrapText="1"/>
    </xf>
    <xf numFmtId="0" fontId="112" fillId="3" borderId="55" xfId="0" applyNumberFormat="1" applyFont="1" applyFill="1" applyBorder="1" applyAlignment="1">
      <alignment horizontal="center" vertical="center" wrapText="1"/>
    </xf>
    <xf numFmtId="0" fontId="103" fillId="2" borderId="85" xfId="0" applyNumberFormat="1" applyFont="1" applyFill="1" applyBorder="1" applyAlignment="1">
      <alignment horizontal="center" vertical="center" wrapText="1"/>
    </xf>
    <xf numFmtId="0" fontId="103" fillId="2" borderId="43" xfId="0" applyNumberFormat="1" applyFont="1" applyFill="1" applyBorder="1" applyAlignment="1">
      <alignment horizontal="center" vertical="center" wrapText="1"/>
    </xf>
    <xf numFmtId="0" fontId="103" fillId="2" borderId="87" xfId="0" applyNumberFormat="1" applyFont="1" applyFill="1" applyBorder="1" applyAlignment="1">
      <alignment horizontal="center" vertical="center" wrapText="1"/>
    </xf>
    <xf numFmtId="0" fontId="113" fillId="19" borderId="0" xfId="0" applyNumberFormat="1" applyFont="1" applyFill="1" applyAlignment="1">
      <alignment horizontal="left" vertical="center" wrapText="1"/>
    </xf>
    <xf numFmtId="0" fontId="90" fillId="15" borderId="0" xfId="0" applyNumberFormat="1" applyFont="1" applyFill="1" applyAlignment="1">
      <alignment horizontal="left" vertical="center"/>
    </xf>
    <xf numFmtId="0" fontId="88" fillId="3" borderId="0" xfId="0" applyNumberFormat="1" applyFont="1" applyFill="1" applyAlignment="1">
      <alignment horizontal="left" vertical="center"/>
    </xf>
    <xf numFmtId="0" fontId="95" fillId="3" borderId="57" xfId="0" applyNumberFormat="1" applyFont="1" applyFill="1" applyBorder="1" applyAlignment="1">
      <alignment horizontal="center" vertical="center"/>
    </xf>
    <xf numFmtId="0" fontId="95" fillId="3" borderId="0" xfId="0" applyNumberFormat="1" applyFont="1" applyFill="1" applyBorder="1" applyAlignment="1">
      <alignment horizontal="center" vertical="center"/>
    </xf>
    <xf numFmtId="0" fontId="94" fillId="18" borderId="0" xfId="0" applyNumberFormat="1" applyFont="1" applyFill="1" applyAlignment="1">
      <alignment horizontal="center" vertical="center"/>
    </xf>
    <xf numFmtId="0" fontId="106" fillId="22" borderId="82" xfId="0" applyNumberFormat="1" applyFont="1" applyFill="1" applyBorder="1" applyAlignment="1">
      <alignment horizontal="center" vertical="center"/>
    </xf>
    <xf numFmtId="0" fontId="106" fillId="22" borderId="81" xfId="0" applyNumberFormat="1" applyFont="1" applyFill="1" applyBorder="1" applyAlignment="1">
      <alignment horizontal="center" vertical="center"/>
    </xf>
    <xf numFmtId="0" fontId="106" fillId="22" borderId="83" xfId="0" applyNumberFormat="1" applyFont="1" applyFill="1" applyBorder="1" applyAlignment="1">
      <alignment horizontal="center" vertical="center"/>
    </xf>
    <xf numFmtId="0" fontId="89" fillId="6" borderId="42" xfId="0" applyNumberFormat="1" applyFont="1" applyFill="1" applyBorder="1" applyAlignment="1">
      <alignment horizontal="left" vertical="center"/>
    </xf>
    <xf numFmtId="0" fontId="76" fillId="6" borderId="51" xfId="0" applyNumberFormat="1" applyFont="1" applyFill="1" applyBorder="1" applyAlignment="1">
      <alignment horizontal="left" vertical="center"/>
    </xf>
    <xf numFmtId="0" fontId="76" fillId="6" borderId="37" xfId="0" applyNumberFormat="1" applyFont="1" applyFill="1" applyBorder="1" applyAlignment="1">
      <alignment horizontal="left" vertical="center"/>
    </xf>
    <xf numFmtId="0" fontId="76" fillId="6" borderId="0" xfId="0" applyNumberFormat="1" applyFont="1" applyFill="1" applyBorder="1" applyAlignment="1">
      <alignment horizontal="left" vertical="center"/>
    </xf>
    <xf numFmtId="0" fontId="76" fillId="6" borderId="52" xfId="0" applyNumberFormat="1" applyFont="1" applyFill="1" applyBorder="1" applyAlignment="1">
      <alignment horizontal="left" vertical="center"/>
    </xf>
    <xf numFmtId="0" fontId="114" fillId="6" borderId="42" xfId="0" applyNumberFormat="1" applyFont="1" applyFill="1" applyBorder="1" applyAlignment="1">
      <alignment horizontal="right" vertical="center"/>
    </xf>
    <xf numFmtId="0" fontId="95" fillId="3" borderId="29" xfId="0" applyNumberFormat="1" applyFont="1" applyFill="1" applyBorder="1" applyAlignment="1">
      <alignment horizontal="center" vertical="center"/>
    </xf>
    <xf numFmtId="0" fontId="94" fillId="3" borderId="30" xfId="0" applyNumberFormat="1" applyFont="1" applyFill="1" applyBorder="1" applyAlignment="1">
      <alignment horizontal="center" vertical="center"/>
    </xf>
    <xf numFmtId="0" fontId="94" fillId="3" borderId="16" xfId="0" applyNumberFormat="1" applyFont="1" applyFill="1" applyBorder="1" applyAlignment="1">
      <alignment horizontal="center" vertical="center"/>
    </xf>
    <xf numFmtId="0" fontId="95" fillId="3" borderId="31" xfId="0" applyNumberFormat="1" applyFont="1" applyFill="1" applyBorder="1" applyAlignment="1">
      <alignment horizontal="center" vertical="center"/>
    </xf>
    <xf numFmtId="0" fontId="95" fillId="3" borderId="19" xfId="0" applyNumberFormat="1" applyFont="1" applyFill="1" applyBorder="1" applyAlignment="1">
      <alignment horizontal="center" vertical="center"/>
    </xf>
    <xf numFmtId="0" fontId="94" fillId="3" borderId="26" xfId="0" applyNumberFormat="1" applyFont="1" applyFill="1" applyBorder="1" applyAlignment="1">
      <alignment horizontal="center" vertical="center"/>
    </xf>
    <xf numFmtId="0" fontId="95" fillId="3" borderId="88" xfId="0" applyNumberFormat="1" applyFont="1" applyFill="1" applyBorder="1" applyAlignment="1">
      <alignment horizontal="center" vertical="center"/>
    </xf>
    <xf numFmtId="0" fontId="94" fillId="3" borderId="40" xfId="0" applyNumberFormat="1" applyFont="1" applyFill="1" applyBorder="1" applyAlignment="1">
      <alignment horizontal="center" vertical="center"/>
    </xf>
    <xf numFmtId="0" fontId="95" fillId="3" borderId="89" xfId="0" applyNumberFormat="1" applyFont="1" applyFill="1" applyBorder="1" applyAlignment="1">
      <alignment horizontal="center" vertical="center"/>
    </xf>
    <xf numFmtId="0" fontId="95" fillId="3" borderId="90" xfId="0" applyNumberFormat="1" applyFont="1" applyFill="1" applyBorder="1" applyAlignment="1">
      <alignment horizontal="center" vertical="center"/>
    </xf>
    <xf numFmtId="0" fontId="94" fillId="3" borderId="91" xfId="0" applyNumberFormat="1" applyFont="1" applyFill="1" applyBorder="1" applyAlignment="1">
      <alignment horizontal="center" vertical="center"/>
    </xf>
    <xf numFmtId="0" fontId="95" fillId="3" borderId="92" xfId="0" applyNumberFormat="1" applyFont="1" applyFill="1" applyBorder="1" applyAlignment="1">
      <alignment horizontal="center" vertical="center"/>
    </xf>
    <xf numFmtId="0" fontId="95" fillId="3" borderId="93" xfId="0" applyNumberFormat="1" applyFont="1" applyFill="1" applyBorder="1" applyAlignment="1">
      <alignment horizontal="center" vertical="center" wrapText="1"/>
    </xf>
    <xf numFmtId="0" fontId="94" fillId="3" borderId="94" xfId="0" applyNumberFormat="1" applyFont="1" applyFill="1" applyBorder="1" applyAlignment="1">
      <alignment horizontal="center" vertical="center"/>
    </xf>
    <xf numFmtId="0" fontId="95" fillId="3" borderId="95" xfId="0" applyNumberFormat="1" applyFont="1" applyFill="1" applyBorder="1" applyAlignment="1">
      <alignment horizontal="center" vertical="center" wrapText="1"/>
    </xf>
    <xf numFmtId="0" fontId="95" fillId="3" borderId="19" xfId="0" applyNumberFormat="1" applyFont="1" applyFill="1" applyBorder="1" applyAlignment="1">
      <alignment horizontal="center" vertical="center" wrapText="1"/>
    </xf>
    <xf numFmtId="0" fontId="95" fillId="3" borderId="20" xfId="0" applyNumberFormat="1" applyFont="1" applyFill="1" applyBorder="1" applyAlignment="1">
      <alignment horizontal="center" vertical="center" wrapText="1"/>
    </xf>
    <xf numFmtId="0" fontId="95" fillId="3" borderId="33" xfId="0" applyNumberFormat="1" applyFont="1" applyFill="1" applyBorder="1" applyAlignment="1">
      <alignment horizontal="center" vertical="center" wrapText="1"/>
    </xf>
    <xf numFmtId="0" fontId="95" fillId="3" borderId="96" xfId="0" applyNumberFormat="1" applyFont="1" applyFill="1" applyBorder="1" applyAlignment="1">
      <alignment horizontal="center" vertical="center"/>
    </xf>
    <xf numFmtId="0" fontId="94" fillId="3" borderId="97" xfId="0" applyNumberFormat="1" applyFont="1" applyFill="1" applyBorder="1" applyAlignment="1">
      <alignment horizontal="center" vertical="center"/>
    </xf>
    <xf numFmtId="0" fontId="95" fillId="3" borderId="98" xfId="0" applyNumberFormat="1" applyFont="1" applyFill="1" applyBorder="1" applyAlignment="1">
      <alignment horizontal="center" vertical="center"/>
    </xf>
    <xf numFmtId="0" fontId="95" fillId="3" borderId="99" xfId="0" applyNumberFormat="1" applyFont="1" applyFill="1" applyBorder="1" applyAlignment="1">
      <alignment horizontal="center" vertical="center"/>
    </xf>
    <xf numFmtId="0" fontId="94" fillId="3" borderId="100" xfId="0" applyNumberFormat="1" applyFont="1" applyFill="1" applyBorder="1" applyAlignment="1">
      <alignment horizontal="center" vertical="center"/>
    </xf>
    <xf numFmtId="0" fontId="95" fillId="3" borderId="101" xfId="0" applyNumberFormat="1" applyFont="1" applyFill="1" applyBorder="1" applyAlignment="1">
      <alignment horizontal="center" vertical="center"/>
    </xf>
    <xf numFmtId="0" fontId="95" fillId="3" borderId="29" xfId="0" applyNumberFormat="1" applyFont="1" applyFill="1" applyBorder="1" applyAlignment="1">
      <alignment horizontal="center"/>
    </xf>
    <xf numFmtId="0" fontId="95" fillId="3" borderId="31" xfId="0" applyNumberFormat="1" applyFont="1" applyFill="1" applyBorder="1" applyAlignment="1">
      <alignment horizontal="center"/>
    </xf>
    <xf numFmtId="0" fontId="95" fillId="3" borderId="19" xfId="0" applyNumberFormat="1" applyFont="1" applyFill="1" applyBorder="1" applyAlignment="1">
      <alignment horizontal="center"/>
    </xf>
    <xf numFmtId="0" fontId="95" fillId="3" borderId="20" xfId="0" applyNumberFormat="1" applyFont="1" applyFill="1" applyBorder="1" applyAlignment="1">
      <alignment horizontal="center"/>
    </xf>
    <xf numFmtId="0" fontId="95" fillId="3" borderId="93" xfId="0" applyNumberFormat="1" applyFont="1" applyFill="1" applyBorder="1" applyAlignment="1">
      <alignment horizontal="center"/>
    </xf>
    <xf numFmtId="0" fontId="95" fillId="3" borderId="95" xfId="0" applyNumberFormat="1" applyFont="1" applyFill="1" applyBorder="1" applyAlignment="1">
      <alignment horizontal="center"/>
    </xf>
    <xf numFmtId="0" fontId="109" fillId="3" borderId="93" xfId="0" applyNumberFormat="1" applyFont="1" applyFill="1" applyBorder="1" applyAlignment="1">
      <alignment horizontal="center" vertical="center" wrapText="1"/>
    </xf>
    <xf numFmtId="0" fontId="108" fillId="3" borderId="94" xfId="0" applyNumberFormat="1" applyFont="1" applyFill="1" applyBorder="1" applyAlignment="1">
      <alignment horizontal="center" vertical="center" wrapText="1"/>
    </xf>
    <xf numFmtId="0" fontId="108" fillId="3" borderId="16" xfId="0" applyNumberFormat="1" applyFont="1" applyFill="1" applyBorder="1" applyAlignment="1">
      <alignment horizontal="center" vertical="center" wrapText="1"/>
    </xf>
    <xf numFmtId="0" fontId="109" fillId="3" borderId="95" xfId="0" applyNumberFormat="1" applyFont="1" applyFill="1" applyBorder="1" applyAlignment="1">
      <alignment horizontal="center" vertical="center" wrapText="1"/>
    </xf>
    <xf numFmtId="0" fontId="109" fillId="3" borderId="19" xfId="0" applyNumberFormat="1" applyFont="1" applyFill="1" applyBorder="1" applyAlignment="1">
      <alignment horizontal="center" vertical="center" wrapText="1"/>
    </xf>
    <xf numFmtId="0" fontId="108" fillId="3" borderId="26" xfId="0" applyNumberFormat="1" applyFont="1" applyFill="1" applyBorder="1" applyAlignment="1">
      <alignment horizontal="center" vertical="center" wrapText="1"/>
    </xf>
    <xf numFmtId="0" fontId="109" fillId="3" borderId="20" xfId="0" applyNumberFormat="1" applyFont="1" applyFill="1" applyBorder="1" applyAlignment="1">
      <alignment horizontal="center" vertical="center" wrapText="1"/>
    </xf>
    <xf numFmtId="0" fontId="109" fillId="3" borderId="33" xfId="0" applyNumberFormat="1" applyFont="1" applyFill="1" applyBorder="1" applyAlignment="1">
      <alignment horizontal="center" vertical="center" wrapText="1"/>
    </xf>
    <xf numFmtId="0" fontId="109" fillId="3" borderId="29" xfId="0" applyNumberFormat="1" applyFont="1" applyFill="1" applyBorder="1" applyAlignment="1">
      <alignment horizontal="center" vertical="center" wrapText="1"/>
    </xf>
    <xf numFmtId="0" fontId="108" fillId="3" borderId="30" xfId="0" applyNumberFormat="1" applyFont="1" applyFill="1" applyBorder="1" applyAlignment="1">
      <alignment horizontal="center" vertical="center" wrapText="1"/>
    </xf>
    <xf numFmtId="0" fontId="109" fillId="3" borderId="31" xfId="0" applyNumberFormat="1" applyFont="1" applyFill="1" applyBorder="1" applyAlignment="1">
      <alignment horizontal="center" vertical="center" wrapText="1"/>
    </xf>
    <xf numFmtId="0" fontId="109" fillId="3" borderId="88" xfId="0" applyNumberFormat="1" applyFont="1" applyFill="1" applyBorder="1" applyAlignment="1">
      <alignment horizontal="center" vertical="center" wrapText="1"/>
    </xf>
    <xf numFmtId="0" fontId="108" fillId="3" borderId="40" xfId="0" applyNumberFormat="1" applyFont="1" applyFill="1" applyBorder="1" applyAlignment="1">
      <alignment horizontal="center" vertical="center" wrapText="1"/>
    </xf>
    <xf numFmtId="0" fontId="109" fillId="3" borderId="89" xfId="0" applyNumberFormat="1" applyFont="1" applyFill="1" applyBorder="1" applyAlignment="1">
      <alignment horizontal="center" vertical="center" wrapText="1"/>
    </xf>
    <xf numFmtId="0" fontId="109" fillId="3" borderId="99" xfId="0" applyNumberFormat="1" applyFont="1" applyFill="1" applyBorder="1" applyAlignment="1">
      <alignment horizontal="center" vertical="center" wrapText="1"/>
    </xf>
    <xf numFmtId="0" fontId="108" fillId="3" borderId="100" xfId="0" applyNumberFormat="1" applyFont="1" applyFill="1" applyBorder="1" applyAlignment="1">
      <alignment horizontal="center" vertical="center" wrapText="1"/>
    </xf>
    <xf numFmtId="0" fontId="109" fillId="3" borderId="101" xfId="0" applyNumberFormat="1" applyFont="1" applyFill="1" applyBorder="1" applyAlignment="1">
      <alignment horizontal="center" vertical="center" wrapText="1"/>
    </xf>
    <xf numFmtId="0" fontId="110" fillId="3" borderId="96" xfId="0" applyNumberFormat="1" applyFont="1" applyFill="1" applyBorder="1" applyAlignment="1">
      <alignment horizontal="center" vertical="center" wrapText="1"/>
    </xf>
    <xf numFmtId="0" fontId="108" fillId="3" borderId="97" xfId="0" applyNumberFormat="1" applyFont="1" applyFill="1" applyBorder="1" applyAlignment="1">
      <alignment horizontal="center" vertical="center" wrapText="1"/>
    </xf>
    <xf numFmtId="0" fontId="110" fillId="3" borderId="98" xfId="0" applyNumberFormat="1" applyFont="1" applyFill="1" applyBorder="1" applyAlignment="1">
      <alignment horizontal="center" vertical="center" wrapText="1"/>
    </xf>
    <xf numFmtId="0" fontId="110" fillId="3" borderId="19" xfId="0" applyNumberFormat="1" applyFont="1" applyFill="1" applyBorder="1" applyAlignment="1">
      <alignment horizontal="center" vertical="center" wrapText="1"/>
    </xf>
    <xf numFmtId="0" fontId="111" fillId="3" borderId="93" xfId="0" applyNumberFormat="1" applyFont="1" applyFill="1" applyBorder="1" applyAlignment="1">
      <alignment horizontal="center" vertical="center" wrapText="1"/>
    </xf>
    <xf numFmtId="0" fontId="111" fillId="3" borderId="95" xfId="0" applyNumberFormat="1" applyFont="1" applyFill="1" applyBorder="1" applyAlignment="1">
      <alignment horizontal="center" vertical="center" wrapText="1"/>
    </xf>
    <xf numFmtId="0" fontId="111" fillId="3" borderId="19" xfId="0" applyNumberFormat="1" applyFont="1" applyFill="1" applyBorder="1" applyAlignment="1">
      <alignment horizontal="center" vertical="center" wrapText="1"/>
    </xf>
    <xf numFmtId="0" fontId="111" fillId="3" borderId="29" xfId="0" applyNumberFormat="1" applyFont="1" applyFill="1" applyBorder="1" applyAlignment="1">
      <alignment horizontal="center" vertical="center" wrapText="1"/>
    </xf>
    <xf numFmtId="0" fontId="111" fillId="3" borderId="31" xfId="0" applyNumberFormat="1" applyFont="1" applyFill="1" applyBorder="1" applyAlignment="1">
      <alignment horizontal="center" vertical="center" wrapText="1"/>
    </xf>
    <xf numFmtId="0" fontId="96" fillId="3" borderId="0" xfId="0" applyNumberFormat="1" applyFont="1" applyFill="1" applyBorder="1" applyAlignment="1">
      <alignment horizontal="center" vertical="center" wrapText="1"/>
    </xf>
    <xf numFmtId="0" fontId="96" fillId="3" borderId="90" xfId="0" applyNumberFormat="1" applyFont="1" applyFill="1" applyBorder="1" applyAlignment="1">
      <alignment horizontal="center" vertical="center" wrapText="1"/>
    </xf>
    <xf numFmtId="0" fontId="108" fillId="3" borderId="91" xfId="0" applyNumberFormat="1" applyFont="1" applyFill="1" applyBorder="1" applyAlignment="1">
      <alignment horizontal="center" vertical="center" wrapText="1"/>
    </xf>
    <xf numFmtId="0" fontId="96" fillId="3" borderId="92" xfId="0" applyNumberFormat="1" applyFont="1" applyFill="1" applyBorder="1" applyAlignment="1">
      <alignment horizontal="center" vertical="center" wrapText="1"/>
    </xf>
    <xf numFmtId="0" fontId="96" fillId="3" borderId="19" xfId="0" applyNumberFormat="1" applyFont="1" applyFill="1" applyBorder="1" applyAlignment="1">
      <alignment horizontal="center" vertical="center" wrapText="1"/>
    </xf>
    <xf numFmtId="0" fontId="96" fillId="3" borderId="33" xfId="0" applyNumberFormat="1" applyFont="1" applyFill="1" applyBorder="1" applyAlignment="1">
      <alignment horizontal="center" vertical="center" wrapText="1"/>
    </xf>
    <xf numFmtId="0" fontId="96" fillId="3" borderId="20" xfId="0" applyNumberFormat="1" applyFont="1" applyFill="1" applyBorder="1" applyAlignment="1">
      <alignment horizontal="center" vertical="center" wrapText="1"/>
    </xf>
    <xf numFmtId="0" fontId="98" fillId="6" borderId="28" xfId="0" applyNumberFormat="1" applyFont="1" applyFill="1" applyBorder="1" applyAlignment="1">
      <alignment horizontal="center" vertical="center" wrapText="1"/>
    </xf>
    <xf numFmtId="0" fontId="98" fillId="6" borderId="16" xfId="0" applyNumberFormat="1" applyFont="1" applyFill="1" applyBorder="1" applyAlignment="1">
      <alignment horizontal="center" vertical="center" wrapText="1"/>
    </xf>
    <xf numFmtId="0" fontId="98" fillId="6" borderId="0" xfId="0" applyNumberFormat="1" applyFont="1" applyFill="1" applyBorder="1" applyAlignment="1">
      <alignment horizontal="center" vertical="center" wrapText="1"/>
    </xf>
    <xf numFmtId="0" fontId="98" fillId="6" borderId="33" xfId="0" applyNumberFormat="1" applyFont="1" applyFill="1" applyBorder="1" applyAlignment="1">
      <alignment horizontal="center" vertical="center" wrapText="1"/>
    </xf>
    <xf numFmtId="0" fontId="98" fillId="6" borderId="28" xfId="0" applyNumberFormat="1" applyFont="1" applyFill="1" applyBorder="1" applyAlignment="1">
      <alignment horizontal="center" vertical="center" wrapText="1"/>
    </xf>
    <xf numFmtId="0" fontId="98" fillId="6" borderId="16" xfId="0" applyNumberFormat="1" applyFont="1" applyFill="1" applyBorder="1" applyAlignment="1">
      <alignment horizontal="center" vertical="center" wrapText="1"/>
    </xf>
    <xf numFmtId="0" fontId="98" fillId="6" borderId="26" xfId="0" applyNumberFormat="1" applyFont="1" applyFill="1" applyBorder="1" applyAlignment="1">
      <alignment horizontal="center" vertical="center" wrapText="1"/>
    </xf>
    <xf numFmtId="0" fontId="98" fillId="6" borderId="37" xfId="0" applyNumberFormat="1" applyFont="1" applyFill="1" applyBorder="1" applyAlignment="1">
      <alignment horizontal="center" vertical="center" wrapText="1"/>
    </xf>
    <xf numFmtId="0" fontId="98" fillId="6" borderId="0" xfId="0" applyNumberFormat="1" applyFont="1" applyFill="1" applyBorder="1" applyAlignment="1">
      <alignment horizontal="center" vertical="center" wrapText="1"/>
    </xf>
    <xf numFmtId="0" fontId="98" fillId="6" borderId="27" xfId="0" applyNumberFormat="1" applyFont="1" applyFill="1" applyBorder="1" applyAlignment="1">
      <alignment horizontal="center" vertical="center" wrapText="1"/>
    </xf>
    <xf numFmtId="0" fontId="98" fillId="6" borderId="26" xfId="0" applyNumberFormat="1" applyFont="1" applyFill="1" applyBorder="1" applyAlignment="1">
      <alignment horizontal="center" vertical="center" wrapText="1"/>
    </xf>
    <xf numFmtId="0" fontId="98" fillId="6" borderId="13" xfId="0" applyNumberFormat="1" applyFont="1" applyFill="1" applyBorder="1" applyAlignment="1">
      <alignment horizontal="center" vertical="center" wrapText="1"/>
    </xf>
  </cellXfs>
  <cellStyles count="2">
    <cellStyle name="Hiperlink" xfId="1" builtinId="8"/>
    <cellStyle name="Normal" xfId="0" builtinId="0"/>
  </cellStyles>
  <dxfs count="38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/>
        <horizontal/>
      </border>
      <protection locked="0" hidden="0"/>
    </dxf>
    <dxf>
      <font>
        <b/>
        <i val="0"/>
        <color rgb="FF16A34A"/>
      </font>
      <fill>
        <patternFill patternType="solid">
          <fgColor indexed="64"/>
          <bgColor rgb="FFECFDF3"/>
        </patternFill>
      </fill>
    </dxf>
    <dxf>
      <font>
        <b/>
        <i val="0"/>
        <color rgb="FFDC2626"/>
      </font>
      <fill>
        <patternFill patternType="solid">
          <fgColor indexed="64"/>
          <bgColor rgb="FFFFF1F2"/>
        </patternFill>
      </fill>
    </dxf>
    <dxf>
      <font>
        <b/>
        <i val="0"/>
        <color rgb="FFF59E0B"/>
      </font>
      <fill>
        <patternFill patternType="solid">
          <fgColor indexed="64"/>
          <bgColor rgb="FFFFFBEB"/>
        </patternFill>
      </fill>
    </dxf>
    <dxf>
      <font>
        <b/>
        <i val="0"/>
        <color rgb="FF0022F4"/>
      </font>
      <fill>
        <patternFill patternType="solid">
          <fgColor indexed="64"/>
          <bgColor rgb="FFE8ECFF"/>
        </patternFill>
      </fill>
    </dxf>
    <dxf>
      <font>
        <b/>
        <i val="0"/>
        <color rgb="FFF59E0B"/>
      </font>
      <fill>
        <patternFill patternType="solid">
          <fgColor indexed="64"/>
          <bgColor rgb="FFFFFBEB"/>
        </patternFill>
      </fill>
    </dxf>
    <dxf>
      <font>
        <b/>
        <i val="0"/>
        <color rgb="FFDC2626"/>
      </font>
      <fill>
        <patternFill patternType="solid">
          <fgColor indexed="64"/>
          <bgColor rgb="FFFFF1F2"/>
        </patternFill>
      </fill>
    </dxf>
    <dxf>
      <font>
        <b/>
        <i val="0"/>
        <color rgb="FFDC2626"/>
      </font>
      <fill>
        <patternFill patternType="solid">
          <fgColor indexed="64"/>
          <bgColor rgb="FFFECACA"/>
        </patternFill>
      </fill>
    </dxf>
    <dxf>
      <fill>
        <patternFill patternType="solid">
          <fgColor indexed="64"/>
          <bgColor rgb="FFFECACA"/>
        </patternFill>
      </fill>
    </dxf>
    <dxf>
      <font>
        <b/>
        <i val="0"/>
        <color rgb="FFDC2626"/>
      </font>
    </dxf>
    <dxf>
      <font>
        <b/>
        <i val="0"/>
        <color rgb="FFDC2626"/>
      </font>
    </dxf>
    <dxf>
      <font>
        <b/>
        <i val="0"/>
        <color rgb="FF2E7D32"/>
      </font>
      <fill>
        <patternFill patternType="solid">
          <fgColor indexed="64"/>
          <bgColor rgb="FFECFDF3"/>
        </patternFill>
      </fill>
    </dxf>
    <dxf>
      <font>
        <b/>
        <i val="0"/>
        <color rgb="FFF59E0B"/>
      </font>
      <fill>
        <patternFill patternType="solid">
          <fgColor indexed="64"/>
          <bgColor rgb="FFFFFBEB"/>
        </patternFill>
      </fill>
    </dxf>
    <dxf>
      <font>
        <b/>
        <i val="0"/>
        <color rgb="FFDC2626"/>
      </font>
      <fill>
        <patternFill patternType="solid">
          <fgColor indexed="64"/>
          <bgColor rgb="FFFFF1F2"/>
        </patternFill>
      </fill>
    </dxf>
    <dxf>
      <font>
        <b/>
        <i val="0"/>
        <color rgb="FFDC2626"/>
      </font>
    </dxf>
    <dxf>
      <font>
        <b/>
        <i val="0"/>
        <color rgb="FFDC2626"/>
      </font>
      <fill>
        <patternFill patternType="solid">
          <fgColor indexed="64"/>
          <bgColor rgb="FFFFF1F2"/>
        </patternFill>
      </fill>
    </dxf>
    <dxf>
      <font>
        <b/>
        <i val="0"/>
        <color rgb="FFDC2626"/>
      </font>
      <fill>
        <patternFill patternType="solid">
          <fgColor indexed="64"/>
          <bgColor rgb="FFFECACA"/>
        </patternFill>
      </fill>
    </dxf>
    <dxf>
      <fill>
        <patternFill patternType="solid">
          <fgColor indexed="64"/>
          <bgColor rgb="FFFEF3C7"/>
        </patternFill>
      </fill>
    </dxf>
    <dxf>
      <fill>
        <patternFill patternType="solid">
          <fgColor indexed="64"/>
          <bgColor rgb="FFFECACA"/>
        </patternFill>
      </fill>
    </dxf>
    <dxf>
      <font>
        <color rgb="FF5F6673"/>
      </font>
      <fill>
        <patternFill patternType="solid">
          <fgColor indexed="64"/>
          <bgColor rgb="FFF1F3F7"/>
        </patternFill>
      </fill>
    </dxf>
    <dxf>
      <font>
        <color rgb="FF16A34A"/>
      </font>
      <fill>
        <patternFill patternType="solid">
          <fgColor indexed="64"/>
          <bgColor rgb="FFBBF7D0"/>
        </patternFill>
      </fill>
    </dxf>
    <dxf>
      <font>
        <color rgb="FFF59E0B"/>
      </font>
      <fill>
        <patternFill patternType="solid">
          <fgColor indexed="64"/>
          <bgColor rgb="FFFEF3C7"/>
        </patternFill>
      </fill>
    </dxf>
    <dxf>
      <font>
        <color rgb="FFDC2626"/>
      </font>
      <fill>
        <patternFill patternType="solid">
          <fgColor indexed="64"/>
          <bgColor rgb="FFFECACA"/>
        </patternFill>
      </fill>
    </dxf>
    <dxf>
      <font>
        <color rgb="FF5F6673"/>
      </font>
      <fill>
        <patternFill patternType="solid">
          <fgColor indexed="64"/>
          <bgColor rgb="FFF1F3F7"/>
        </patternFill>
      </fill>
    </dxf>
    <dxf>
      <font>
        <color rgb="FF16A34A"/>
      </font>
      <fill>
        <patternFill patternType="solid">
          <fgColor indexed="64"/>
          <bgColor rgb="FFBBF7D0"/>
        </patternFill>
      </fill>
    </dxf>
    <dxf>
      <font>
        <color rgb="FFF59E0B"/>
      </font>
      <fill>
        <patternFill patternType="solid">
          <fgColor indexed="64"/>
          <bgColor rgb="FFFEF3C7"/>
        </patternFill>
      </fill>
    </dxf>
    <dxf>
      <font>
        <color rgb="FFDC2626"/>
      </font>
      <fill>
        <patternFill patternType="solid">
          <fgColor indexed="64"/>
          <bgColor rgb="FFFECACA"/>
        </patternFill>
      </fill>
    </dxf>
    <dxf>
      <fill>
        <patternFill patternType="solid">
          <fgColor indexed="64"/>
          <bgColor rgb="FFFECACA"/>
        </patternFill>
      </fill>
    </dxf>
    <dxf>
      <fill>
        <patternFill patternType="solid">
          <fgColor indexed="64"/>
          <bgColor rgb="FFFEF3C7"/>
        </patternFill>
      </fill>
    </dxf>
    <dxf>
      <fill>
        <patternFill patternType="solid">
          <fgColor indexed="64"/>
          <bgColor rgb="FFBBF7D0"/>
        </patternFill>
      </fill>
    </dxf>
    <dxf>
      <font>
        <color rgb="FF5F6673"/>
      </font>
      <fill>
        <patternFill patternType="solid">
          <fgColor indexed="64"/>
          <bgColor rgb="FFF1F3F7"/>
        </patternFill>
      </fill>
    </dxf>
    <dxf>
      <font>
        <color rgb="FF16A34A"/>
      </font>
      <fill>
        <patternFill patternType="solid">
          <fgColor indexed="64"/>
          <bgColor rgb="FFBBF7D0"/>
        </patternFill>
      </fill>
    </dxf>
    <dxf>
      <font>
        <color rgb="FFF59E0B"/>
      </font>
      <fill>
        <patternFill patternType="solid">
          <fgColor indexed="64"/>
          <bgColor rgb="FFFEF3C7"/>
        </patternFill>
      </fill>
    </dxf>
    <dxf>
      <font>
        <color rgb="FFDC2626"/>
      </font>
      <fill>
        <patternFill patternType="solid">
          <fgColor indexed="64"/>
          <bgColor rgb="FFFECACA"/>
        </patternFill>
      </fill>
    </dxf>
    <dxf>
      <font>
        <color rgb="FF5F6673"/>
      </font>
      <fill>
        <patternFill patternType="solid">
          <fgColor indexed="64"/>
          <bgColor rgb="FFF1F3F7"/>
        </patternFill>
      </fill>
    </dxf>
    <dxf>
      <font>
        <color rgb="FF16A34A"/>
      </font>
      <fill>
        <patternFill patternType="solid">
          <fgColor indexed="64"/>
          <bgColor rgb="FFBBF7D0"/>
        </patternFill>
      </fill>
    </dxf>
    <dxf>
      <font>
        <color rgb="FFF59E0B"/>
      </font>
      <fill>
        <patternFill patternType="solid">
          <fgColor indexed="64"/>
          <bgColor rgb="FFFEF3C7"/>
        </patternFill>
      </fill>
    </dxf>
    <dxf>
      <font>
        <color rgb="FFDC2626"/>
      </font>
      <fill>
        <patternFill patternType="solid">
          <fgColor indexed="64"/>
          <bgColor rgb="FFFECACA"/>
        </patternFill>
      </fill>
    </dxf>
    <dxf>
      <font>
        <b val="0"/>
        <i val="0"/>
        <color rgb="FF666666"/>
      </font>
      <fill>
        <patternFill patternType="solid">
          <fgColor indexed="64"/>
          <bgColor rgb="FFF1F3F7"/>
        </patternFill>
      </fill>
    </dxf>
    <dxf>
      <font>
        <b val="0"/>
        <i val="0"/>
        <color rgb="FF1F4E78"/>
      </font>
      <fill>
        <patternFill patternType="solid">
          <fgColor indexed="64"/>
          <bgColor rgb="FFC7D2FF"/>
        </patternFill>
      </fill>
    </dxf>
    <dxf>
      <font>
        <b val="0"/>
        <i val="0"/>
        <color rgb="FFF59E0B"/>
      </font>
      <fill>
        <patternFill patternType="solid">
          <fgColor indexed="64"/>
          <bgColor rgb="FFFFFBEB"/>
        </patternFill>
      </fill>
    </dxf>
    <dxf>
      <font>
        <b/>
        <i val="0"/>
        <color rgb="FF16A34A"/>
      </font>
      <fill>
        <patternFill patternType="solid">
          <fgColor indexed="64"/>
          <bgColor rgb="FFBBF7D0"/>
        </patternFill>
      </fill>
    </dxf>
    <dxf>
      <font>
        <b/>
        <i val="0"/>
        <color rgb="FFDC2626"/>
      </font>
      <fill>
        <patternFill patternType="solid">
          <fgColor indexed="64"/>
          <bgColor rgb="FFFECACA"/>
        </patternFill>
      </fill>
    </dxf>
    <dxf>
      <font>
        <b val="0"/>
        <i val="0"/>
        <color rgb="FF16A34A"/>
      </font>
      <fill>
        <patternFill patternType="solid">
          <fgColor indexed="64"/>
          <bgColor rgb="FFECFDF3"/>
        </patternFill>
      </fill>
    </dxf>
    <dxf>
      <font>
        <b val="0"/>
        <i val="0"/>
        <color rgb="FFF59E0B"/>
      </font>
      <fill>
        <patternFill patternType="solid">
          <fgColor indexed="64"/>
          <bgColor rgb="FFFFFBEB"/>
        </patternFill>
      </fill>
    </dxf>
    <dxf>
      <font>
        <b val="0"/>
        <i val="0"/>
        <color rgb="FF1F4E78"/>
      </font>
      <fill>
        <patternFill patternType="solid">
          <fgColor indexed="64"/>
          <bgColor rgb="FFE8ECFF"/>
        </patternFill>
      </fill>
    </dxf>
    <dxf>
      <font>
        <b val="0"/>
        <i val="0"/>
        <color rgb="FFDC2626"/>
      </font>
      <fill>
        <patternFill patternType="solid">
          <fgColor indexed="64"/>
          <bgColor rgb="FFFFF1F2"/>
        </patternFill>
      </fill>
    </dxf>
    <dxf>
      <font>
        <b/>
        <i val="0"/>
        <color rgb="FF7030A0"/>
      </font>
      <fill>
        <patternFill patternType="solid">
          <fgColor indexed="64"/>
          <bgColor rgb="FFE8ECFF"/>
        </patternFill>
      </fill>
    </dxf>
    <dxf>
      <font>
        <b/>
        <i val="0"/>
        <color rgb="FF16A34A"/>
      </font>
      <fill>
        <patternFill patternType="solid">
          <fgColor indexed="64"/>
          <bgColor rgb="FF86EFAC"/>
        </patternFill>
      </fill>
    </dxf>
    <dxf>
      <font>
        <b/>
        <i val="0"/>
        <color rgb="FFDC2626"/>
      </font>
      <fill>
        <patternFill patternType="solid">
          <fgColor indexed="64"/>
          <bgColor rgb="FFFECACA"/>
        </patternFill>
      </fill>
    </dxf>
    <dxf>
      <font>
        <b/>
        <i val="0"/>
        <color rgb="FFF59E0B"/>
      </font>
      <fill>
        <patternFill patternType="solid">
          <fgColor indexed="64"/>
          <bgColor rgb="FFFFFBEB"/>
        </patternFill>
      </fill>
    </dxf>
    <dxf>
      <font>
        <b/>
        <i val="0"/>
        <color rgb="FF16A34A"/>
      </font>
      <fill>
        <patternFill patternType="solid">
          <fgColor indexed="64"/>
          <bgColor rgb="FFECFDF3"/>
        </patternFill>
      </fill>
    </dxf>
    <dxf>
      <font>
        <b val="0"/>
        <i val="0"/>
        <color rgb="FF1F4E78"/>
      </font>
      <fill>
        <patternFill patternType="solid">
          <fgColor indexed="64"/>
          <bgColor rgb="FFC7D2FF"/>
        </patternFill>
      </fill>
    </dxf>
    <dxf>
      <font>
        <b/>
        <i val="0"/>
        <color rgb="FFDC2626"/>
      </font>
      <fill>
        <patternFill patternType="solid">
          <fgColor indexed="64"/>
          <bgColor rgb="FFFECACA"/>
        </patternFill>
      </fill>
    </dxf>
    <dxf>
      <font>
        <b/>
        <i val="0"/>
        <color rgb="FF7030A0"/>
      </font>
      <fill>
        <patternFill patternType="solid">
          <fgColor indexed="64"/>
          <bgColor rgb="FFE8ECFF"/>
        </patternFill>
      </fill>
    </dxf>
    <dxf>
      <font>
        <b/>
        <i val="0"/>
        <color rgb="FF16A34A"/>
      </font>
      <fill>
        <patternFill patternType="solid">
          <fgColor indexed="64"/>
          <bgColor rgb="FF86EFAC"/>
        </patternFill>
      </fill>
    </dxf>
    <dxf>
      <font>
        <b val="0"/>
        <i val="0"/>
        <color rgb="FFDC2626"/>
      </font>
      <fill>
        <patternFill patternType="solid">
          <fgColor indexed="64"/>
          <bgColor rgb="FFFDE68A"/>
        </patternFill>
      </fill>
    </dxf>
    <dxf>
      <font>
        <b val="0"/>
        <i val="0"/>
        <color rgb="FF666666"/>
      </font>
      <fill>
        <patternFill patternType="solid">
          <fgColor indexed="64"/>
          <bgColor rgb="FFF1F3F7"/>
        </patternFill>
      </fill>
    </dxf>
    <dxf>
      <font>
        <b val="0"/>
        <i val="0"/>
        <color rgb="FF1F4E78"/>
      </font>
      <fill>
        <patternFill patternType="solid">
          <fgColor indexed="64"/>
          <bgColor rgb="FFC7D2FF"/>
        </patternFill>
      </fill>
    </dxf>
    <dxf>
      <font>
        <b val="0"/>
        <i val="0"/>
        <color rgb="FFF59E0B"/>
      </font>
      <fill>
        <patternFill patternType="solid">
          <fgColor indexed="64"/>
          <bgColor rgb="FFFFFBEB"/>
        </patternFill>
      </fill>
    </dxf>
    <dxf>
      <font>
        <b/>
        <i val="0"/>
        <color rgb="FF16A34A"/>
      </font>
      <fill>
        <patternFill patternType="solid">
          <fgColor indexed="64"/>
          <bgColor rgb="FFBBF7D0"/>
        </patternFill>
      </fill>
    </dxf>
    <dxf>
      <font>
        <b/>
        <i val="0"/>
        <color rgb="FFDC2626"/>
      </font>
      <fill>
        <patternFill patternType="solid">
          <fgColor indexed="64"/>
          <bgColor rgb="FFFECACA"/>
        </patternFill>
      </fill>
    </dxf>
    <dxf>
      <font>
        <b val="0"/>
        <i val="0"/>
        <color rgb="FF16A34A"/>
      </font>
      <fill>
        <patternFill patternType="solid">
          <fgColor indexed="64"/>
          <bgColor rgb="FFECFDF3"/>
        </patternFill>
      </fill>
    </dxf>
    <dxf>
      <font>
        <b val="0"/>
        <i val="0"/>
        <color rgb="FFF59E0B"/>
      </font>
      <fill>
        <patternFill patternType="solid">
          <fgColor indexed="64"/>
          <bgColor rgb="FFFFFBEB"/>
        </patternFill>
      </fill>
    </dxf>
    <dxf>
      <font>
        <b val="0"/>
        <i val="0"/>
        <color rgb="FF1F4E78"/>
      </font>
      <fill>
        <patternFill patternType="solid">
          <fgColor indexed="64"/>
          <bgColor rgb="FFE8ECFF"/>
        </patternFill>
      </fill>
    </dxf>
    <dxf>
      <font>
        <b val="0"/>
        <i val="0"/>
        <color rgb="FFDC2626"/>
      </font>
      <fill>
        <patternFill patternType="solid">
          <fgColor indexed="64"/>
          <bgColor rgb="FFFFF1F2"/>
        </patternFill>
      </fill>
    </dxf>
    <dxf>
      <font>
        <b val="0"/>
        <i val="0"/>
        <color rgb="FFDC2626"/>
      </font>
      <fill>
        <patternFill patternType="solid">
          <fgColor indexed="64"/>
          <bgColor rgb="FFFDE68A"/>
        </patternFill>
      </fill>
    </dxf>
    <dxf>
      <font>
        <b val="0"/>
        <i val="0"/>
        <color rgb="FF666666"/>
      </font>
      <fill>
        <patternFill patternType="solid">
          <fgColor indexed="64"/>
          <bgColor rgb="FFF1F3F7"/>
        </patternFill>
      </fill>
    </dxf>
    <dxf>
      <font>
        <b val="0"/>
        <i val="0"/>
        <color rgb="FF1F4E78"/>
      </font>
      <fill>
        <patternFill patternType="solid">
          <fgColor indexed="64"/>
          <bgColor rgb="FFC7D2FF"/>
        </patternFill>
      </fill>
    </dxf>
    <dxf>
      <font>
        <b val="0"/>
        <i val="0"/>
        <color rgb="FFF59E0B"/>
      </font>
      <fill>
        <patternFill patternType="solid">
          <fgColor indexed="64"/>
          <bgColor rgb="FFFFFBEB"/>
        </patternFill>
      </fill>
    </dxf>
    <dxf>
      <font>
        <b/>
        <i val="0"/>
        <color rgb="FF16A34A"/>
      </font>
      <fill>
        <patternFill patternType="solid">
          <fgColor indexed="64"/>
          <bgColor rgb="FFBBF7D0"/>
        </patternFill>
      </fill>
    </dxf>
    <dxf>
      <font>
        <b/>
        <i val="0"/>
        <color rgb="FFDC2626"/>
      </font>
      <fill>
        <patternFill patternType="solid">
          <fgColor indexed="64"/>
          <bgColor rgb="FFFECACA"/>
        </patternFill>
      </fill>
    </dxf>
    <dxf>
      <font>
        <b val="0"/>
        <i val="0"/>
        <color rgb="FF666666"/>
      </font>
      <fill>
        <patternFill patternType="solid">
          <fgColor indexed="64"/>
          <bgColor rgb="FFF1F3F7"/>
        </patternFill>
      </fill>
    </dxf>
    <dxf>
      <font>
        <b val="0"/>
        <i val="0"/>
        <color rgb="FFF59E0B"/>
      </font>
      <fill>
        <patternFill patternType="solid">
          <fgColor indexed="64"/>
          <bgColor rgb="FFFFFBEB"/>
        </patternFill>
      </fill>
    </dxf>
    <dxf>
      <font>
        <b val="0"/>
        <i val="0"/>
        <color rgb="FF1F4E78"/>
      </font>
      <fill>
        <patternFill patternType="solid">
          <fgColor indexed="64"/>
          <bgColor rgb="FFE8ECFF"/>
        </patternFill>
      </fill>
    </dxf>
    <dxf>
      <font>
        <b val="0"/>
        <i val="0"/>
        <color rgb="FFDC2626"/>
      </font>
      <fill>
        <patternFill patternType="solid">
          <fgColor indexed="64"/>
          <bgColor rgb="FFFFF1F2"/>
        </patternFill>
      </fill>
    </dxf>
    <dxf>
      <font>
        <b val="0"/>
        <i val="0"/>
        <color rgb="FF16A34A"/>
      </font>
      <fill>
        <patternFill patternType="solid">
          <fgColor indexed="64"/>
          <bgColor rgb="FFECFDF3"/>
        </patternFill>
      </fill>
    </dxf>
    <dxf>
      <font>
        <b/>
        <i val="0"/>
        <color rgb="FFDC2626"/>
      </font>
      <fill>
        <patternFill patternType="solid">
          <fgColor indexed="64"/>
          <bgColor rgb="FFFECACA"/>
        </patternFill>
      </fill>
    </dxf>
    <dxf>
      <font>
        <b val="0"/>
        <i val="0"/>
        <color rgb="FFDC2626"/>
      </font>
      <fill>
        <patternFill patternType="solid">
          <fgColor indexed="64"/>
          <bgColor rgb="FFFDE68A"/>
        </patternFill>
      </fill>
    </dxf>
    <dxf>
      <font>
        <b val="0"/>
        <i val="0"/>
        <color rgb="FF666666"/>
      </font>
      <fill>
        <patternFill patternType="solid">
          <fgColor indexed="64"/>
          <bgColor rgb="FFF1F3F7"/>
        </patternFill>
      </fill>
    </dxf>
    <dxf>
      <font>
        <b val="0"/>
        <i val="0"/>
        <color rgb="FF1F4E78"/>
      </font>
      <fill>
        <patternFill patternType="solid">
          <fgColor indexed="64"/>
          <bgColor rgb="FFC7D2FF"/>
        </patternFill>
      </fill>
    </dxf>
    <dxf>
      <font>
        <b val="0"/>
        <i val="0"/>
        <color rgb="FFF59E0B"/>
      </font>
      <fill>
        <patternFill patternType="solid">
          <fgColor indexed="64"/>
          <bgColor rgb="FFFFFBEB"/>
        </patternFill>
      </fill>
    </dxf>
    <dxf>
      <font>
        <b/>
        <i val="0"/>
        <color rgb="FF16A34A"/>
      </font>
      <fill>
        <patternFill patternType="solid">
          <fgColor indexed="64"/>
          <bgColor rgb="FFBBF7D0"/>
        </patternFill>
      </fill>
    </dxf>
    <dxf>
      <font>
        <b/>
        <i val="0"/>
        <color rgb="FFDC2626"/>
      </font>
      <fill>
        <patternFill patternType="solid">
          <fgColor indexed="64"/>
          <bgColor rgb="FFFECACA"/>
        </patternFill>
      </fill>
    </dxf>
    <dxf>
      <font>
        <b val="0"/>
        <i val="0"/>
        <color rgb="FF666666"/>
      </font>
      <fill>
        <patternFill patternType="solid">
          <fgColor indexed="64"/>
          <bgColor rgb="FFF1F3F7"/>
        </patternFill>
      </fill>
    </dxf>
    <dxf>
      <font>
        <b val="0"/>
        <i val="0"/>
        <color rgb="FFF59E0B"/>
      </font>
      <fill>
        <patternFill patternType="solid">
          <fgColor indexed="64"/>
          <bgColor rgb="FFFFFBEB"/>
        </patternFill>
      </fill>
    </dxf>
    <dxf>
      <font>
        <b val="0"/>
        <i val="0"/>
        <color rgb="FF1F4E78"/>
      </font>
      <fill>
        <patternFill patternType="solid">
          <fgColor indexed="64"/>
          <bgColor rgb="FFE8ECFF"/>
        </patternFill>
      </fill>
    </dxf>
    <dxf>
      <font>
        <b val="0"/>
        <i val="0"/>
        <color rgb="FFDC2626"/>
      </font>
      <fill>
        <patternFill patternType="solid">
          <fgColor indexed="64"/>
          <bgColor rgb="FFFFF1F2"/>
        </patternFill>
      </fill>
    </dxf>
    <dxf>
      <font>
        <b val="0"/>
        <i val="0"/>
        <color rgb="FF16A34A"/>
      </font>
      <fill>
        <patternFill patternType="solid">
          <fgColor indexed="64"/>
          <bgColor rgb="FFECFDF3"/>
        </patternFill>
      </fill>
    </dxf>
    <dxf>
      <font>
        <b val="0"/>
        <i val="0"/>
        <color rgb="FFDC2626"/>
      </font>
      <fill>
        <patternFill patternType="solid">
          <fgColor indexed="64"/>
          <bgColor rgb="FFFDE68A"/>
        </patternFill>
      </fill>
    </dxf>
    <dxf>
      <font>
        <b val="0"/>
        <i val="0"/>
        <color rgb="FF666666"/>
      </font>
      <fill>
        <patternFill patternType="solid">
          <fgColor indexed="64"/>
          <bgColor rgb="FFF1F3F7"/>
        </patternFill>
      </fill>
    </dxf>
    <dxf>
      <font>
        <b val="0"/>
        <i val="0"/>
        <color rgb="FF1F4E78"/>
      </font>
      <fill>
        <patternFill patternType="solid">
          <fgColor indexed="64"/>
          <bgColor rgb="FFC7D2FF"/>
        </patternFill>
      </fill>
    </dxf>
    <dxf>
      <font>
        <b val="0"/>
        <i val="0"/>
        <color rgb="FFF59E0B"/>
      </font>
      <fill>
        <patternFill patternType="solid">
          <fgColor indexed="64"/>
          <bgColor rgb="FFFFFBEB"/>
        </patternFill>
      </fill>
    </dxf>
    <dxf>
      <font>
        <b/>
        <i val="0"/>
        <color rgb="FF16A34A"/>
      </font>
      <fill>
        <patternFill patternType="solid">
          <fgColor indexed="64"/>
          <bgColor rgb="FFBBF7D0"/>
        </patternFill>
      </fill>
    </dxf>
    <dxf>
      <font>
        <b/>
        <i val="0"/>
        <color rgb="FFDC2626"/>
      </font>
      <fill>
        <patternFill patternType="solid">
          <fgColor indexed="64"/>
          <bgColor rgb="FFFECACA"/>
        </patternFill>
      </fill>
    </dxf>
    <dxf>
      <font>
        <b val="0"/>
        <i val="0"/>
        <color rgb="FF666666"/>
      </font>
      <fill>
        <patternFill patternType="solid">
          <fgColor indexed="64"/>
          <bgColor rgb="FFF1F3F7"/>
        </patternFill>
      </fill>
    </dxf>
    <dxf>
      <font>
        <b val="0"/>
        <i val="0"/>
        <color rgb="FFF59E0B"/>
      </font>
      <fill>
        <patternFill patternType="solid">
          <fgColor indexed="64"/>
          <bgColor rgb="FFFFFBEB"/>
        </patternFill>
      </fill>
    </dxf>
    <dxf>
      <font>
        <b val="0"/>
        <i val="0"/>
        <color rgb="FF1F4E78"/>
      </font>
      <fill>
        <patternFill patternType="solid">
          <fgColor indexed="64"/>
          <bgColor rgb="FFE8ECFF"/>
        </patternFill>
      </fill>
    </dxf>
    <dxf>
      <font>
        <b val="0"/>
        <i val="0"/>
        <color rgb="FFDC2626"/>
      </font>
      <fill>
        <patternFill patternType="solid">
          <fgColor indexed="64"/>
          <bgColor rgb="FFFFF1F2"/>
        </patternFill>
      </fill>
    </dxf>
    <dxf>
      <font>
        <b val="0"/>
        <i val="0"/>
        <color rgb="FF16A34A"/>
      </font>
      <fill>
        <patternFill patternType="solid">
          <fgColor indexed="64"/>
          <bgColor rgb="FFECFDF3"/>
        </patternFill>
      </fill>
    </dxf>
    <dxf>
      <font>
        <b val="0"/>
        <i val="0"/>
        <color rgb="FFDC2626"/>
      </font>
      <fill>
        <patternFill patternType="solid">
          <fgColor indexed="64"/>
          <bgColor rgb="FFFDE68A"/>
        </patternFill>
      </fill>
    </dxf>
    <dxf>
      <font>
        <b val="0"/>
        <i val="0"/>
        <color rgb="FF666666"/>
      </font>
      <fill>
        <patternFill patternType="solid">
          <fgColor indexed="64"/>
          <bgColor rgb="FFF1F3F7"/>
        </patternFill>
      </fill>
    </dxf>
    <dxf>
      <font>
        <b val="0"/>
        <i val="0"/>
        <color rgb="FF1F4E78"/>
      </font>
      <fill>
        <patternFill patternType="solid">
          <fgColor indexed="64"/>
          <bgColor rgb="FFC7D2FF"/>
        </patternFill>
      </fill>
    </dxf>
    <dxf>
      <font>
        <b val="0"/>
        <i val="0"/>
        <color rgb="FFF59E0B"/>
      </font>
      <fill>
        <patternFill patternType="solid">
          <fgColor indexed="64"/>
          <bgColor rgb="FFFFFBEB"/>
        </patternFill>
      </fill>
    </dxf>
    <dxf>
      <font>
        <b/>
        <i val="0"/>
        <color rgb="FF16A34A"/>
      </font>
      <fill>
        <patternFill patternType="solid">
          <fgColor indexed="64"/>
          <bgColor rgb="FFBBF7D0"/>
        </patternFill>
      </fill>
    </dxf>
    <dxf>
      <font>
        <b/>
        <i val="0"/>
        <color rgb="FFDC2626"/>
      </font>
      <fill>
        <patternFill patternType="solid">
          <fgColor indexed="64"/>
          <bgColor rgb="FFFECACA"/>
        </patternFill>
      </fill>
    </dxf>
    <dxf>
      <font>
        <b val="0"/>
        <i val="0"/>
        <color rgb="FF666666"/>
      </font>
      <fill>
        <patternFill patternType="solid">
          <fgColor indexed="64"/>
          <bgColor rgb="FFF1F3F7"/>
        </patternFill>
      </fill>
    </dxf>
    <dxf>
      <font>
        <b val="0"/>
        <i val="0"/>
        <color rgb="FFF59E0B"/>
      </font>
      <fill>
        <patternFill patternType="solid">
          <fgColor indexed="64"/>
          <bgColor rgb="FFFFFBEB"/>
        </patternFill>
      </fill>
    </dxf>
    <dxf>
      <font>
        <b val="0"/>
        <i val="0"/>
        <color rgb="FF1F4E78"/>
      </font>
      <fill>
        <patternFill patternType="solid">
          <fgColor indexed="64"/>
          <bgColor rgb="FFE8ECFF"/>
        </patternFill>
      </fill>
    </dxf>
    <dxf>
      <font>
        <b val="0"/>
        <i val="0"/>
        <color rgb="FFDC2626"/>
      </font>
      <fill>
        <patternFill patternType="solid">
          <fgColor indexed="64"/>
          <bgColor rgb="FFFFF1F2"/>
        </patternFill>
      </fill>
    </dxf>
    <dxf>
      <font>
        <b val="0"/>
        <i val="0"/>
        <color rgb="FF16A34A"/>
      </font>
      <fill>
        <patternFill patternType="solid">
          <fgColor indexed="64"/>
          <bgColor rgb="FFECFDF3"/>
        </patternFill>
      </fill>
    </dxf>
    <dxf>
      <fill>
        <patternFill patternType="solid">
          <fgColor indexed="64"/>
          <bgColor rgb="FFFECACA"/>
        </patternFill>
      </fill>
    </dxf>
    <dxf>
      <fill>
        <patternFill patternType="solid">
          <fgColor indexed="64"/>
          <bgColor rgb="FFFDE68A"/>
        </patternFill>
      </fill>
    </dxf>
    <dxf>
      <fill>
        <patternFill patternType="solid">
          <fgColor indexed="64"/>
          <bgColor rgb="FFF1F3F7"/>
        </patternFill>
      </fill>
    </dxf>
    <dxf>
      <fill>
        <patternFill patternType="solid">
          <fgColor indexed="64"/>
          <bgColor rgb="FFC7D2FF"/>
        </patternFill>
      </fill>
    </dxf>
    <dxf>
      <fill>
        <patternFill patternType="solid">
          <fgColor indexed="64"/>
          <bgColor rgb="FFFFFBEB"/>
        </patternFill>
      </fill>
    </dxf>
    <dxf>
      <fill>
        <patternFill patternType="solid">
          <fgColor indexed="64"/>
          <bgColor rgb="FFBBF7D0"/>
        </patternFill>
      </fill>
    </dxf>
    <dxf>
      <fill>
        <patternFill patternType="solid">
          <fgColor indexed="64"/>
          <bgColor rgb="FFF1F3F7"/>
        </patternFill>
      </fill>
    </dxf>
    <dxf>
      <fill>
        <patternFill patternType="solid">
          <fgColor indexed="64"/>
          <bgColor rgb="FFFFFBEB"/>
        </patternFill>
      </fill>
    </dxf>
    <dxf>
      <fill>
        <patternFill patternType="solid">
          <fgColor indexed="64"/>
          <bgColor rgb="FFE8ECFF"/>
        </patternFill>
      </fill>
    </dxf>
    <dxf>
      <fill>
        <patternFill patternType="solid">
          <fgColor indexed="64"/>
          <bgColor rgb="FFFFF1F2"/>
        </patternFill>
      </fill>
    </dxf>
    <dxf>
      <fill>
        <patternFill patternType="solid">
          <fgColor indexed="64"/>
          <bgColor rgb="FFECFDF3"/>
        </patternFill>
      </fill>
    </dxf>
    <dxf>
      <fill>
        <patternFill patternType="solid">
          <fgColor indexed="64"/>
          <bgColor rgb="FFFECACA"/>
        </patternFill>
      </fill>
    </dxf>
    <dxf>
      <fill>
        <patternFill patternType="solid">
          <fgColor indexed="64"/>
          <bgColor rgb="FFFECACA"/>
        </patternFill>
      </fill>
    </dxf>
    <dxf>
      <fill>
        <patternFill patternType="solid">
          <fgColor indexed="64"/>
          <bgColor rgb="FFFDE68A"/>
        </patternFill>
      </fill>
    </dxf>
    <dxf>
      <fill>
        <patternFill patternType="solid">
          <fgColor indexed="64"/>
          <bgColor rgb="FFF1F3F7"/>
        </patternFill>
      </fill>
    </dxf>
    <dxf>
      <fill>
        <patternFill patternType="solid">
          <fgColor indexed="64"/>
          <bgColor rgb="FFC7D2FF"/>
        </patternFill>
      </fill>
    </dxf>
    <dxf>
      <fill>
        <patternFill patternType="solid">
          <fgColor indexed="64"/>
          <bgColor rgb="FFFFFBEB"/>
        </patternFill>
      </fill>
    </dxf>
    <dxf>
      <fill>
        <patternFill patternType="solid">
          <fgColor indexed="64"/>
          <bgColor rgb="FFBBF7D0"/>
        </patternFill>
      </fill>
    </dxf>
    <dxf>
      <fill>
        <patternFill patternType="solid">
          <fgColor indexed="64"/>
          <bgColor rgb="FFF1F3F7"/>
        </patternFill>
      </fill>
    </dxf>
    <dxf>
      <fill>
        <patternFill patternType="solid">
          <fgColor indexed="64"/>
          <bgColor rgb="FFFFFBEB"/>
        </patternFill>
      </fill>
    </dxf>
    <dxf>
      <fill>
        <patternFill patternType="solid">
          <fgColor indexed="64"/>
          <bgColor rgb="FFE8ECFF"/>
        </patternFill>
      </fill>
    </dxf>
    <dxf>
      <fill>
        <patternFill patternType="solid">
          <fgColor indexed="64"/>
          <bgColor rgb="FFFFF1F2"/>
        </patternFill>
      </fill>
    </dxf>
    <dxf>
      <fill>
        <patternFill patternType="solid">
          <fgColor indexed="64"/>
          <bgColor rgb="FFECFDF3"/>
        </patternFill>
      </fill>
    </dxf>
    <dxf>
      <font>
        <b val="0"/>
        <i val="0"/>
        <color rgb="FFDC2626"/>
      </font>
      <fill>
        <patternFill patternType="solid">
          <fgColor indexed="64"/>
          <bgColor rgb="FFFDE68A"/>
        </patternFill>
      </fill>
    </dxf>
    <dxf>
      <font>
        <b val="0"/>
        <i val="0"/>
        <color rgb="FF666666"/>
      </font>
      <fill>
        <patternFill patternType="solid">
          <fgColor indexed="64"/>
          <bgColor rgb="FFF1F3F7"/>
        </patternFill>
      </fill>
    </dxf>
    <dxf>
      <font>
        <b val="0"/>
        <i val="0"/>
        <color rgb="FF1F4E78"/>
      </font>
      <fill>
        <patternFill patternType="solid">
          <fgColor indexed="64"/>
          <bgColor rgb="FFC7D2FF"/>
        </patternFill>
      </fill>
    </dxf>
    <dxf>
      <font>
        <b val="0"/>
        <i val="0"/>
        <color rgb="FFF59E0B"/>
      </font>
      <fill>
        <patternFill patternType="solid">
          <fgColor indexed="64"/>
          <bgColor rgb="FFFFFBEB"/>
        </patternFill>
      </fill>
    </dxf>
    <dxf>
      <font>
        <b/>
        <i val="0"/>
        <color rgb="FF16A34A"/>
      </font>
      <fill>
        <patternFill patternType="solid">
          <fgColor indexed="64"/>
          <bgColor rgb="FFBBF7D0"/>
        </patternFill>
      </fill>
    </dxf>
    <dxf>
      <font>
        <b/>
        <i val="0"/>
        <color rgb="FFDC2626"/>
      </font>
      <fill>
        <patternFill patternType="solid">
          <fgColor indexed="64"/>
          <bgColor rgb="FFFECACA"/>
        </patternFill>
      </fill>
    </dxf>
    <dxf>
      <font>
        <b val="0"/>
        <i val="0"/>
        <color rgb="FF666666"/>
      </font>
      <fill>
        <patternFill patternType="solid">
          <fgColor indexed="64"/>
          <bgColor rgb="FFF1F3F7"/>
        </patternFill>
      </fill>
    </dxf>
    <dxf>
      <font>
        <b val="0"/>
        <i val="0"/>
        <color rgb="FFF59E0B"/>
      </font>
      <fill>
        <patternFill patternType="solid">
          <fgColor indexed="64"/>
          <bgColor rgb="FFFFFBEB"/>
        </patternFill>
      </fill>
    </dxf>
    <dxf>
      <font>
        <b val="0"/>
        <i val="0"/>
        <color rgb="FF1F4E78"/>
      </font>
      <fill>
        <patternFill patternType="solid">
          <fgColor indexed="64"/>
          <bgColor rgb="FFE8ECFF"/>
        </patternFill>
      </fill>
    </dxf>
    <dxf>
      <font>
        <b val="0"/>
        <i val="0"/>
        <color rgb="FFDC2626"/>
      </font>
      <fill>
        <patternFill patternType="solid">
          <fgColor indexed="64"/>
          <bgColor rgb="FFFFF1F2"/>
        </patternFill>
      </fill>
    </dxf>
    <dxf>
      <font>
        <b val="0"/>
        <i val="0"/>
        <color rgb="FF16A34A"/>
      </font>
      <fill>
        <patternFill patternType="solid">
          <fgColor indexed="64"/>
          <bgColor rgb="FFECFDF3"/>
        </patternFill>
      </fill>
    </dxf>
    <dxf>
      <font>
        <b val="0"/>
        <i val="0"/>
        <color rgb="FFDC2626"/>
      </font>
      <fill>
        <patternFill patternType="solid">
          <fgColor indexed="64"/>
          <bgColor rgb="FFFDE68A"/>
        </patternFill>
      </fill>
    </dxf>
    <dxf>
      <font>
        <b val="0"/>
        <i val="0"/>
        <color rgb="FF666666"/>
      </font>
      <fill>
        <patternFill patternType="solid">
          <fgColor indexed="64"/>
          <bgColor rgb="FFF1F3F7"/>
        </patternFill>
      </fill>
    </dxf>
    <dxf>
      <font>
        <b val="0"/>
        <i val="0"/>
        <color rgb="FF1F4E78"/>
      </font>
      <fill>
        <patternFill patternType="solid">
          <fgColor indexed="64"/>
          <bgColor rgb="FFC7D2FF"/>
        </patternFill>
      </fill>
    </dxf>
    <dxf>
      <font>
        <b val="0"/>
        <i val="0"/>
        <color rgb="FFF59E0B"/>
      </font>
      <fill>
        <patternFill patternType="solid">
          <fgColor indexed="64"/>
          <bgColor rgb="FFFFFBEB"/>
        </patternFill>
      </fill>
    </dxf>
    <dxf>
      <font>
        <b/>
        <i val="0"/>
        <color rgb="FF16A34A"/>
      </font>
      <fill>
        <patternFill patternType="solid">
          <fgColor indexed="64"/>
          <bgColor rgb="FFBBF7D0"/>
        </patternFill>
      </fill>
    </dxf>
    <dxf>
      <font>
        <b/>
        <i val="0"/>
        <color rgb="FFDC2626"/>
      </font>
      <fill>
        <patternFill patternType="solid">
          <fgColor indexed="64"/>
          <bgColor rgb="FFFECACA"/>
        </patternFill>
      </fill>
    </dxf>
    <dxf>
      <font>
        <b val="0"/>
        <i val="0"/>
        <color rgb="FF666666"/>
      </font>
      <fill>
        <patternFill patternType="solid">
          <fgColor indexed="64"/>
          <bgColor rgb="FFF1F3F7"/>
        </patternFill>
      </fill>
    </dxf>
    <dxf>
      <font>
        <b val="0"/>
        <i val="0"/>
        <color rgb="FFF59E0B"/>
      </font>
      <fill>
        <patternFill patternType="solid">
          <fgColor indexed="64"/>
          <bgColor rgb="FFFFFBEB"/>
        </patternFill>
      </fill>
    </dxf>
    <dxf>
      <font>
        <b val="0"/>
        <i val="0"/>
        <color rgb="FF1F4E78"/>
      </font>
      <fill>
        <patternFill patternType="solid">
          <fgColor indexed="64"/>
          <bgColor rgb="FFE8ECFF"/>
        </patternFill>
      </fill>
    </dxf>
    <dxf>
      <font>
        <b val="0"/>
        <i val="0"/>
        <color rgb="FFDC2626"/>
      </font>
      <fill>
        <patternFill patternType="solid">
          <fgColor indexed="64"/>
          <bgColor rgb="FFFFF1F2"/>
        </patternFill>
      </fill>
    </dxf>
    <dxf>
      <font>
        <b val="0"/>
        <i val="0"/>
        <color rgb="FF16A34A"/>
      </font>
      <fill>
        <patternFill patternType="solid">
          <fgColor indexed="64"/>
          <bgColor rgb="FFECFDF3"/>
        </patternFill>
      </fill>
    </dxf>
    <dxf>
      <font>
        <b val="0"/>
        <i val="0"/>
        <color rgb="FFDC2626"/>
      </font>
      <fill>
        <patternFill patternType="solid">
          <fgColor indexed="64"/>
          <bgColor rgb="FFFDE68A"/>
        </patternFill>
      </fill>
    </dxf>
    <dxf>
      <font>
        <b val="0"/>
        <i val="0"/>
        <color rgb="FF666666"/>
      </font>
      <fill>
        <patternFill patternType="solid">
          <fgColor indexed="64"/>
          <bgColor rgb="FFF1F3F7"/>
        </patternFill>
      </fill>
    </dxf>
    <dxf>
      <font>
        <b val="0"/>
        <i val="0"/>
        <color rgb="FF1F4E78"/>
      </font>
      <fill>
        <patternFill patternType="solid">
          <fgColor indexed="64"/>
          <bgColor rgb="FFC7D2FF"/>
        </patternFill>
      </fill>
    </dxf>
    <dxf>
      <font>
        <b val="0"/>
        <i val="0"/>
        <color rgb="FFF59E0B"/>
      </font>
      <fill>
        <patternFill patternType="solid">
          <fgColor indexed="64"/>
          <bgColor rgb="FFFFFBEB"/>
        </patternFill>
      </fill>
    </dxf>
    <dxf>
      <font>
        <b/>
        <i val="0"/>
        <color rgb="FF16A34A"/>
      </font>
      <fill>
        <patternFill patternType="solid">
          <fgColor indexed="64"/>
          <bgColor rgb="FFBBF7D0"/>
        </patternFill>
      </fill>
    </dxf>
    <dxf>
      <font>
        <b/>
        <i val="0"/>
        <color rgb="FFDC2626"/>
      </font>
      <fill>
        <patternFill patternType="solid">
          <fgColor indexed="64"/>
          <bgColor rgb="FFFECACA"/>
        </patternFill>
      </fill>
    </dxf>
    <dxf>
      <font>
        <b val="0"/>
        <i val="0"/>
        <color rgb="FF666666"/>
      </font>
      <fill>
        <patternFill patternType="solid">
          <fgColor indexed="64"/>
          <bgColor rgb="FFF1F3F7"/>
        </patternFill>
      </fill>
    </dxf>
    <dxf>
      <font>
        <b val="0"/>
        <i val="0"/>
        <color rgb="FFF59E0B"/>
      </font>
      <fill>
        <patternFill patternType="solid">
          <fgColor indexed="64"/>
          <bgColor rgb="FFFFFBEB"/>
        </patternFill>
      </fill>
    </dxf>
    <dxf>
      <font>
        <b val="0"/>
        <i val="0"/>
        <color rgb="FF1F4E78"/>
      </font>
      <fill>
        <patternFill patternType="solid">
          <fgColor indexed="64"/>
          <bgColor rgb="FFE8ECFF"/>
        </patternFill>
      </fill>
    </dxf>
    <dxf>
      <font>
        <b val="0"/>
        <i val="0"/>
        <color rgb="FFDC2626"/>
      </font>
      <fill>
        <patternFill patternType="solid">
          <fgColor indexed="64"/>
          <bgColor rgb="FFFFF1F2"/>
        </patternFill>
      </fill>
    </dxf>
    <dxf>
      <font>
        <b val="0"/>
        <i val="0"/>
        <color rgb="FF16A34A"/>
      </font>
      <fill>
        <patternFill patternType="solid">
          <fgColor indexed="64"/>
          <bgColor rgb="FFECFDF3"/>
        </patternFill>
      </fill>
    </dxf>
    <dxf>
      <font>
        <b val="0"/>
        <i val="0"/>
        <color rgb="FFDC2626"/>
      </font>
      <fill>
        <patternFill patternType="solid">
          <fgColor indexed="64"/>
          <bgColor rgb="FFFDE68A"/>
        </patternFill>
      </fill>
    </dxf>
    <dxf>
      <font>
        <b val="0"/>
        <i val="0"/>
        <color rgb="FF666666"/>
      </font>
      <fill>
        <patternFill patternType="solid">
          <fgColor indexed="64"/>
          <bgColor rgb="FFF1F3F7"/>
        </patternFill>
      </fill>
    </dxf>
    <dxf>
      <font>
        <b val="0"/>
        <i val="0"/>
        <color rgb="FF1F4E78"/>
      </font>
      <fill>
        <patternFill patternType="solid">
          <fgColor indexed="64"/>
          <bgColor rgb="FFC7D2FF"/>
        </patternFill>
      </fill>
    </dxf>
    <dxf>
      <font>
        <b val="0"/>
        <i val="0"/>
        <color rgb="FFF59E0B"/>
      </font>
      <fill>
        <patternFill patternType="solid">
          <fgColor indexed="64"/>
          <bgColor rgb="FFFFFBEB"/>
        </patternFill>
      </fill>
    </dxf>
    <dxf>
      <font>
        <b/>
        <i val="0"/>
        <color rgb="FF16A34A"/>
      </font>
      <fill>
        <patternFill patternType="solid">
          <fgColor indexed="64"/>
          <bgColor rgb="FFBBF7D0"/>
        </patternFill>
      </fill>
    </dxf>
    <dxf>
      <font>
        <b/>
        <i val="0"/>
        <color rgb="FFDC2626"/>
      </font>
      <fill>
        <patternFill patternType="solid">
          <fgColor indexed="64"/>
          <bgColor rgb="FFFECACA"/>
        </patternFill>
      </fill>
    </dxf>
    <dxf>
      <font>
        <b val="0"/>
        <i val="0"/>
        <color rgb="FF666666"/>
      </font>
      <fill>
        <patternFill patternType="solid">
          <fgColor indexed="64"/>
          <bgColor rgb="FFF1F3F7"/>
        </patternFill>
      </fill>
    </dxf>
    <dxf>
      <font>
        <b val="0"/>
        <i val="0"/>
        <color rgb="FFF59E0B"/>
      </font>
      <fill>
        <patternFill patternType="solid">
          <fgColor indexed="64"/>
          <bgColor rgb="FFFFFBEB"/>
        </patternFill>
      </fill>
    </dxf>
    <dxf>
      <font>
        <b val="0"/>
        <i val="0"/>
        <color rgb="FF1F4E78"/>
      </font>
      <fill>
        <patternFill patternType="solid">
          <fgColor indexed="64"/>
          <bgColor rgb="FFE8ECFF"/>
        </patternFill>
      </fill>
    </dxf>
    <dxf>
      <font>
        <b val="0"/>
        <i val="0"/>
        <color rgb="FFDC2626"/>
      </font>
      <fill>
        <patternFill patternType="solid">
          <fgColor indexed="64"/>
          <bgColor rgb="FFFFF1F2"/>
        </patternFill>
      </fill>
    </dxf>
    <dxf>
      <font>
        <b val="0"/>
        <i val="0"/>
        <color rgb="FF16A34A"/>
      </font>
      <fill>
        <patternFill patternType="solid">
          <fgColor indexed="64"/>
          <bgColor rgb="FFECFDF3"/>
        </patternFill>
      </fill>
    </dxf>
    <dxf>
      <font>
        <color rgb="FFDC2626"/>
      </font>
      <fill>
        <patternFill patternType="solid">
          <fgColor indexed="64"/>
          <bgColor rgb="FFFDE68A"/>
        </patternFill>
      </fill>
    </dxf>
    <dxf>
      <font>
        <color rgb="FF666666"/>
      </font>
      <fill>
        <patternFill patternType="solid">
          <fgColor indexed="64"/>
          <bgColor rgb="FFF1F3F7"/>
        </patternFill>
      </fill>
    </dxf>
    <dxf>
      <font>
        <color rgb="FF1F4E78"/>
      </font>
      <fill>
        <patternFill patternType="solid">
          <fgColor indexed="64"/>
          <bgColor rgb="FFC7D2FF"/>
        </patternFill>
      </fill>
    </dxf>
    <dxf>
      <font>
        <color rgb="FFF59E0B"/>
      </font>
      <fill>
        <patternFill patternType="solid">
          <fgColor indexed="64"/>
          <bgColor rgb="FFFFFBEB"/>
        </patternFill>
      </fill>
    </dxf>
    <dxf>
      <font>
        <b/>
        <i val="0"/>
        <color rgb="FF16A34A"/>
      </font>
      <fill>
        <patternFill patternType="solid">
          <fgColor indexed="64"/>
          <bgColor rgb="FFBBF7D0"/>
        </patternFill>
      </fill>
    </dxf>
    <dxf>
      <font>
        <b/>
        <i val="0"/>
        <color rgb="FFDC2626"/>
      </font>
      <fill>
        <patternFill patternType="solid">
          <fgColor indexed="64"/>
          <bgColor rgb="FFFECACA"/>
        </patternFill>
      </fill>
    </dxf>
    <dxf>
      <font>
        <color rgb="FF666666"/>
      </font>
      <fill>
        <patternFill patternType="solid">
          <fgColor indexed="64"/>
          <bgColor rgb="FFF1F3F7"/>
        </patternFill>
      </fill>
    </dxf>
    <dxf>
      <font>
        <color rgb="FFF59E0B"/>
      </font>
      <fill>
        <patternFill patternType="solid">
          <fgColor indexed="64"/>
          <bgColor rgb="FFFFFBEB"/>
        </patternFill>
      </fill>
    </dxf>
    <dxf>
      <font>
        <color rgb="FF1F4E78"/>
      </font>
      <fill>
        <patternFill patternType="solid">
          <fgColor indexed="64"/>
          <bgColor rgb="FFE8ECFF"/>
        </patternFill>
      </fill>
    </dxf>
    <dxf>
      <font>
        <color rgb="FFDC2626"/>
      </font>
      <fill>
        <patternFill patternType="solid">
          <fgColor indexed="64"/>
          <bgColor rgb="FFFFF1F2"/>
        </patternFill>
      </fill>
    </dxf>
    <dxf>
      <font>
        <color rgb="FF16A34A"/>
      </font>
      <fill>
        <patternFill patternType="solid">
          <fgColor indexed="64"/>
          <bgColor rgb="FFECFDF3"/>
        </patternFill>
      </fill>
    </dxf>
    <dxf>
      <font>
        <color rgb="FFDC2626"/>
      </font>
      <fill>
        <patternFill patternType="solid">
          <fgColor indexed="64"/>
          <bgColor rgb="FFFDE68A"/>
        </patternFill>
      </fill>
    </dxf>
    <dxf>
      <font>
        <color rgb="FF666666"/>
      </font>
      <fill>
        <patternFill patternType="solid">
          <fgColor indexed="64"/>
          <bgColor rgb="FFF1F3F7"/>
        </patternFill>
      </fill>
    </dxf>
    <dxf>
      <font>
        <color rgb="FF1F4E78"/>
      </font>
      <fill>
        <patternFill patternType="solid">
          <fgColor indexed="64"/>
          <bgColor rgb="FFC7D2FF"/>
        </patternFill>
      </fill>
    </dxf>
    <dxf>
      <font>
        <color rgb="FFF59E0B"/>
      </font>
      <fill>
        <patternFill patternType="solid">
          <fgColor indexed="64"/>
          <bgColor rgb="FFFFFBEB"/>
        </patternFill>
      </fill>
    </dxf>
    <dxf>
      <font>
        <b/>
        <i val="0"/>
        <color rgb="FF16A34A"/>
      </font>
      <fill>
        <patternFill patternType="solid">
          <fgColor indexed="64"/>
          <bgColor rgb="FFBBF7D0"/>
        </patternFill>
      </fill>
    </dxf>
    <dxf>
      <font>
        <b/>
        <i val="0"/>
        <color rgb="FFDC2626"/>
      </font>
      <fill>
        <patternFill patternType="solid">
          <fgColor indexed="64"/>
          <bgColor rgb="FFFECACA"/>
        </patternFill>
      </fill>
    </dxf>
    <dxf>
      <font>
        <color rgb="FF666666"/>
      </font>
      <fill>
        <patternFill patternType="solid">
          <fgColor indexed="64"/>
          <bgColor rgb="FFF1F3F7"/>
        </patternFill>
      </fill>
    </dxf>
    <dxf>
      <font>
        <color rgb="FFF59E0B"/>
      </font>
      <fill>
        <patternFill patternType="solid">
          <fgColor indexed="64"/>
          <bgColor rgb="FFFFFBEB"/>
        </patternFill>
      </fill>
    </dxf>
    <dxf>
      <font>
        <color rgb="FF1F4E78"/>
      </font>
      <fill>
        <patternFill patternType="solid">
          <fgColor indexed="64"/>
          <bgColor rgb="FFE8ECFF"/>
        </patternFill>
      </fill>
    </dxf>
    <dxf>
      <font>
        <color rgb="FFDC2626"/>
      </font>
      <fill>
        <patternFill patternType="solid">
          <fgColor indexed="64"/>
          <bgColor rgb="FFFFF1F2"/>
        </patternFill>
      </fill>
    </dxf>
    <dxf>
      <font>
        <color rgb="FF16A34A"/>
      </font>
      <fill>
        <patternFill patternType="solid">
          <fgColor indexed="64"/>
          <bgColor rgb="FFECFDF3"/>
        </patternFill>
      </fill>
    </dxf>
    <dxf>
      <font>
        <color rgb="FFDC2626"/>
      </font>
      <fill>
        <patternFill patternType="solid">
          <fgColor indexed="64"/>
          <bgColor rgb="FFFDE68A"/>
        </patternFill>
      </fill>
    </dxf>
    <dxf>
      <font>
        <color rgb="FF666666"/>
      </font>
      <fill>
        <patternFill patternType="solid">
          <fgColor indexed="64"/>
          <bgColor rgb="FFF1F3F7"/>
        </patternFill>
      </fill>
    </dxf>
    <dxf>
      <font>
        <color rgb="FF1F4E78"/>
      </font>
      <fill>
        <patternFill patternType="solid">
          <fgColor indexed="64"/>
          <bgColor rgb="FFC7D2FF"/>
        </patternFill>
      </fill>
    </dxf>
    <dxf>
      <font>
        <color rgb="FFF59E0B"/>
      </font>
      <fill>
        <patternFill patternType="solid">
          <fgColor indexed="64"/>
          <bgColor rgb="FFFFFBEB"/>
        </patternFill>
      </fill>
    </dxf>
    <dxf>
      <font>
        <b/>
        <i val="0"/>
        <color rgb="FF16A34A"/>
      </font>
      <fill>
        <patternFill patternType="solid">
          <fgColor indexed="64"/>
          <bgColor rgb="FFBBF7D0"/>
        </patternFill>
      </fill>
    </dxf>
    <dxf>
      <font>
        <b/>
        <i val="0"/>
        <color rgb="FFDC2626"/>
      </font>
      <fill>
        <patternFill patternType="solid">
          <fgColor indexed="64"/>
          <bgColor rgb="FFFECACA"/>
        </patternFill>
      </fill>
    </dxf>
    <dxf>
      <font>
        <color rgb="FF666666"/>
      </font>
      <fill>
        <patternFill patternType="solid">
          <fgColor indexed="64"/>
          <bgColor rgb="FFF1F3F7"/>
        </patternFill>
      </fill>
    </dxf>
    <dxf>
      <font>
        <color rgb="FFF59E0B"/>
      </font>
      <fill>
        <patternFill patternType="solid">
          <fgColor indexed="64"/>
          <bgColor rgb="FFFFFBEB"/>
        </patternFill>
      </fill>
    </dxf>
    <dxf>
      <font>
        <color rgb="FF1F4E78"/>
      </font>
      <fill>
        <patternFill patternType="solid">
          <fgColor indexed="64"/>
          <bgColor rgb="FFE8ECFF"/>
        </patternFill>
      </fill>
    </dxf>
    <dxf>
      <font>
        <color rgb="FFDC2626"/>
      </font>
      <fill>
        <patternFill patternType="solid">
          <fgColor indexed="64"/>
          <bgColor rgb="FFFFF1F2"/>
        </patternFill>
      </fill>
    </dxf>
    <dxf>
      <font>
        <color rgb="FF16A34A"/>
      </font>
      <fill>
        <patternFill patternType="solid">
          <fgColor indexed="64"/>
          <bgColor rgb="FFECFDF3"/>
        </patternFill>
      </fill>
    </dxf>
    <dxf>
      <font>
        <color rgb="FFDC2626"/>
      </font>
      <fill>
        <patternFill patternType="solid">
          <fgColor indexed="64"/>
          <bgColor rgb="FFFDE68A"/>
        </patternFill>
      </fill>
    </dxf>
    <dxf>
      <font>
        <color rgb="FF666666"/>
      </font>
      <fill>
        <patternFill patternType="solid">
          <fgColor indexed="64"/>
          <bgColor rgb="FFF1F3F7"/>
        </patternFill>
      </fill>
    </dxf>
    <dxf>
      <font>
        <color rgb="FF1F4E78"/>
      </font>
      <fill>
        <patternFill patternType="solid">
          <fgColor indexed="64"/>
          <bgColor rgb="FFC7D2FF"/>
        </patternFill>
      </fill>
    </dxf>
    <dxf>
      <font>
        <color rgb="FFF59E0B"/>
      </font>
      <fill>
        <patternFill patternType="solid">
          <fgColor indexed="64"/>
          <bgColor rgb="FFFFFBEB"/>
        </patternFill>
      </fill>
    </dxf>
    <dxf>
      <font>
        <b/>
        <i val="0"/>
        <color rgb="FF16A34A"/>
      </font>
      <fill>
        <patternFill patternType="solid">
          <fgColor indexed="64"/>
          <bgColor rgb="FFBBF7D0"/>
        </patternFill>
      </fill>
    </dxf>
    <dxf>
      <font>
        <b/>
        <i val="0"/>
        <color rgb="FFDC2626"/>
      </font>
      <fill>
        <patternFill patternType="solid">
          <fgColor indexed="64"/>
          <bgColor rgb="FFFECACA"/>
        </patternFill>
      </fill>
    </dxf>
    <dxf>
      <font>
        <color rgb="FF666666"/>
      </font>
      <fill>
        <patternFill patternType="solid">
          <fgColor indexed="64"/>
          <bgColor rgb="FFF1F3F7"/>
        </patternFill>
      </fill>
    </dxf>
    <dxf>
      <font>
        <color rgb="FFF59E0B"/>
      </font>
      <fill>
        <patternFill patternType="solid">
          <fgColor indexed="64"/>
          <bgColor rgb="FFFFFBEB"/>
        </patternFill>
      </fill>
    </dxf>
    <dxf>
      <font>
        <color rgb="FF1F4E78"/>
      </font>
      <fill>
        <patternFill patternType="solid">
          <fgColor indexed="64"/>
          <bgColor rgb="FFE8ECFF"/>
        </patternFill>
      </fill>
    </dxf>
    <dxf>
      <font>
        <color rgb="FFDC2626"/>
      </font>
      <fill>
        <patternFill patternType="solid">
          <fgColor indexed="64"/>
          <bgColor rgb="FFFFF1F2"/>
        </patternFill>
      </fill>
    </dxf>
    <dxf>
      <font>
        <color rgb="FF16A34A"/>
      </font>
      <fill>
        <patternFill patternType="solid">
          <fgColor indexed="64"/>
          <bgColor rgb="FFECFDF3"/>
        </patternFill>
      </fill>
    </dxf>
    <dxf>
      <fill>
        <patternFill patternType="solid">
          <fgColor indexed="64"/>
          <bgColor rgb="FFF1F3F7"/>
        </patternFill>
      </fill>
    </dxf>
    <dxf>
      <fill>
        <patternFill patternType="solid">
          <fgColor indexed="64"/>
          <bgColor rgb="FFFECACA"/>
        </patternFill>
      </fill>
    </dxf>
    <dxf>
      <fill>
        <patternFill patternType="solid">
          <fgColor indexed="64"/>
          <bgColor rgb="FFFEF3C7"/>
        </patternFill>
      </fill>
    </dxf>
    <dxf>
      <fill>
        <patternFill patternType="solid">
          <fgColor indexed="64"/>
          <bgColor rgb="FFBBF7D0"/>
        </patternFill>
      </fill>
    </dxf>
    <dxf>
      <fill>
        <patternFill patternType="solid">
          <fgColor indexed="64"/>
          <bgColor rgb="FFFECACA"/>
        </patternFill>
      </fill>
    </dxf>
    <dxf>
      <fill>
        <patternFill patternType="solid">
          <fgColor indexed="64"/>
          <bgColor rgb="FFBBF7D0"/>
        </patternFill>
      </fill>
    </dxf>
    <dxf>
      <fill>
        <patternFill patternType="solid">
          <fgColor indexed="64"/>
          <bgColor rgb="FFF1F3F7"/>
        </patternFill>
      </fill>
    </dxf>
    <dxf>
      <fill>
        <patternFill patternType="solid">
          <fgColor indexed="64"/>
          <bgColor rgb="FFFECACA"/>
        </patternFill>
      </fill>
    </dxf>
    <dxf>
      <fill>
        <patternFill patternType="solid">
          <fgColor indexed="64"/>
          <bgColor rgb="FFFEF3C7"/>
        </patternFill>
      </fill>
    </dxf>
    <dxf>
      <fill>
        <patternFill patternType="solid">
          <fgColor indexed="64"/>
          <bgColor rgb="FFBBF7D0"/>
        </patternFill>
      </fill>
    </dxf>
    <dxf>
      <fill>
        <patternFill patternType="solid">
          <fgColor indexed="64"/>
          <bgColor rgb="FFFEF3C7"/>
        </patternFill>
      </fill>
    </dxf>
    <dxf>
      <fill>
        <patternFill patternType="solid">
          <fgColor indexed="64"/>
          <bgColor rgb="FFBBF7D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EBEBEB"/>
        </left>
        <right/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numFmt numFmtId="1" formatCode="0"/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numFmt numFmtId="177" formatCode="m/d/yyyy"/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numFmt numFmtId="13" formatCode="0%"/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EBEBEB"/>
        </right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1" hidden="0"/>
    </dxf>
    <dxf>
      <border>
        <top style="thin">
          <color rgb="FFEBEBEB"/>
        </top>
      </border>
    </dxf>
    <dxf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22222"/>
        <name val="Arial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protection locked="1" hidden="0"/>
    </dxf>
    <dxf>
      <border>
        <bottom style="thin">
          <color rgb="FFEBEBEB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family val="2"/>
        <scheme val="none"/>
      </font>
      <fill>
        <patternFill patternType="solid">
          <fgColor indexed="64"/>
          <bgColor rgb="FF00206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EBEBEB"/>
        </left>
        <right style="thin">
          <color rgb="FFEBEBEB"/>
        </right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indexed="64"/>
          <bgColor rgb="FFFFFFFF"/>
        </patternFill>
      </fill>
      <alignment horizontal="left" vertical="center" wrapText="1"/>
      <border diagonalUp="0" diagonalDown="0">
        <left style="thin">
          <color rgb="FFEBEBEB"/>
        </left>
        <right/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indexed="64"/>
          <bgColor rgb="FFFFFFFF"/>
        </patternFill>
      </fill>
      <alignment horizontal="left" vertical="center" wrapText="1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numFmt numFmtId="13" formatCode="0%"/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indexed="64"/>
          <bgColor rgb="FFFFFFFF"/>
        </patternFill>
      </fill>
      <alignment horizontal="center" vertical="center" wrapText="1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indexed="64"/>
          <bgColor rgb="FFFFFFFF"/>
        </patternFill>
      </fill>
      <alignment horizontal="center" vertical="center" wrapText="1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indexed="64"/>
          <bgColor rgb="FFFFFFFF"/>
        </patternFill>
      </fill>
      <alignment horizontal="center" vertical="center" wrapText="1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indexed="64"/>
          <bgColor rgb="FFFFFFFF"/>
        </patternFill>
      </fill>
      <alignment horizontal="center" vertical="center" wrapText="1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indexed="64"/>
          <bgColor rgb="FFFFFFFF"/>
        </patternFill>
      </fill>
      <alignment horizontal="center" vertical="center" wrapText="1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indexed="64"/>
          <bgColor rgb="FFFFFFFF"/>
        </patternFill>
      </fill>
      <alignment horizontal="left" vertical="center" wrapText="0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EBEBEB"/>
        </right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0" hidden="0"/>
    </dxf>
    <dxf>
      <border>
        <top style="thin">
          <color rgb="FFEBEBEB"/>
        </top>
      </border>
    </dxf>
    <dxf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indexed="64"/>
          <bgColor rgb="FFFFFFFF"/>
        </patternFill>
      </fill>
      <alignment horizontal="left" vertical="center" wrapText="0"/>
      <protection locked="0" hidden="0"/>
    </dxf>
    <dxf>
      <border>
        <bottom style="thin">
          <color rgb="FFEBEBEB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scheme val="none"/>
      </font>
      <fill>
        <patternFill patternType="solid">
          <fgColor indexed="64"/>
          <bgColor rgb="FF00206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EBEBEB"/>
        </left>
        <right style="thin">
          <color rgb="FFEBEBEB"/>
        </right>
        <top/>
        <bottom/>
      </border>
      <protection locked="0" hidden="0"/>
    </dxf>
    <dxf>
      <font>
        <b val="0"/>
        <i val="0"/>
        <sz val="10"/>
        <color rgb="FF000000"/>
        <name val="Arial"/>
      </font>
      <fill>
        <patternFill patternType="solid">
          <fgColor indexed="64"/>
          <bgColor rgb="FFFFFFFF"/>
        </patternFill>
      </fill>
      <alignment horizontal="center" vertical="center" wrapText="1"/>
      <border diagonalUp="0" diagonalDown="0">
        <left style="thin">
          <color rgb="FFEBEBEB"/>
        </left>
        <right/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indexed="64"/>
          <bgColor rgb="FFFFFFFF"/>
        </patternFill>
      </fill>
      <alignment horizontal="left" vertical="center" wrapText="1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indexed="64"/>
          <bgColor rgb="FFFFFFFF"/>
        </patternFill>
      </fill>
      <alignment horizontal="left" vertical="center" wrapText="1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3" formatCode="0%"/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indexed="64"/>
          <bgColor rgb="FFFFFFFF"/>
        </patternFill>
      </fill>
      <alignment horizontal="center" vertical="center" wrapText="1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indexed="64"/>
          <bgColor rgb="FFFFFFFF"/>
        </patternFill>
      </fill>
      <alignment horizontal="center" vertical="center" wrapText="1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indexed="64"/>
          <bgColor rgb="FFFFFFFF"/>
        </patternFill>
      </fill>
      <alignment horizontal="center" vertical="center" wrapText="1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indexed="64"/>
          <bgColor rgb="FFFFFFFF"/>
        </patternFill>
      </fill>
      <alignment horizontal="center" vertical="center" wrapText="1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indexed="64"/>
          <bgColor rgb="FFFFFFFF"/>
        </patternFill>
      </fill>
      <alignment horizontal="center" vertical="center" wrapText="1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indexed="64"/>
          <bgColor rgb="FFFFFFFF"/>
        </patternFill>
      </fill>
      <alignment horizontal="center" vertical="center" wrapText="1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indexed="64"/>
          <bgColor rgb="FFFFFFFF"/>
        </patternFill>
      </fill>
      <alignment horizontal="center" vertical="center" wrapText="1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indexed="64"/>
          <bgColor rgb="FFFFFFFF"/>
        </patternFill>
      </fill>
      <alignment horizontal="left" vertical="center" wrapText="0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EBEBEB"/>
        </right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0" hidden="0"/>
    </dxf>
    <dxf>
      <border>
        <top style="thin">
          <color rgb="FFEBEBEB"/>
        </top>
      </border>
    </dxf>
    <dxf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indexed="64"/>
          <bgColor rgb="FFFFFFFF"/>
        </patternFill>
      </fill>
      <alignment horizontal="left" vertical="center" wrapText="0"/>
      <protection locked="0" hidden="0"/>
    </dxf>
    <dxf>
      <border>
        <bottom style="thin">
          <color rgb="FFEBEBEB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family val="2"/>
        <scheme val="none"/>
      </font>
      <fill>
        <patternFill patternType="solid">
          <fgColor indexed="64"/>
          <bgColor rgb="FF00206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EBEBEB"/>
        </left>
        <right style="thin">
          <color rgb="FFEBEBEB"/>
        </right>
        <top/>
        <bottom/>
      </border>
      <protection locked="0" hidden="0"/>
    </dxf>
    <dxf>
      <font>
        <sz val="10"/>
        <color rgb="FF000000"/>
        <name val="Arial"/>
        <family val="2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EBEBEB"/>
        </left>
        <right/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3" formatCode="0%"/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3" formatCode="0%"/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rgb="FFEBEBEB"/>
        </right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0" hidden="0"/>
    </dxf>
    <dxf>
      <border>
        <top style="thin">
          <color rgb="FFEBEBEB"/>
        </top>
      </border>
    </dxf>
    <dxf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</border>
    </dxf>
    <dxf>
      <font>
        <color rgb="FF000000"/>
      </font>
      <fill>
        <patternFill patternType="solid">
          <fgColor indexed="64"/>
          <bgColor rgb="FFFFFFFF"/>
        </patternFill>
      </fill>
    </dxf>
    <dxf>
      <border>
        <bottom style="thin">
          <color rgb="FFEBEBEB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family val="2"/>
        <scheme val="none"/>
      </font>
      <fill>
        <patternFill patternType="solid">
          <fgColor indexed="64"/>
          <bgColor rgb="FF00206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EBEBEB"/>
        </left>
        <right style="thin">
          <color rgb="FFEBEBEB"/>
        </right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vertical="center" wrapText="1"/>
      <border diagonalUp="0" diagonalDown="0">
        <left style="thin">
          <color rgb="FFEBEBEB"/>
        </left>
        <right/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vertical="center" wrapText="1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center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center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center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center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center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center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center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center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vertical="center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thin">
          <color rgb="FFEBEBEB"/>
        </right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0" hidden="0"/>
    </dxf>
    <dxf>
      <border>
        <top style="thin">
          <color rgb="FFEBEBEB"/>
        </top>
      </border>
    </dxf>
    <dxf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vertical="center"/>
      <protection locked="0" hidden="0"/>
    </dxf>
    <dxf>
      <border>
        <bottom style="thin">
          <color rgb="FFEBEBEB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family val="2"/>
        <scheme val="none"/>
      </font>
      <fill>
        <patternFill patternType="solid">
          <fgColor indexed="64"/>
          <bgColor rgb="FF00206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EBEBEB"/>
        </left>
        <right style="thin">
          <color rgb="FFEBEBEB"/>
        </right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indexed="64"/>
          <bgColor rgb="FFFFFFFF"/>
        </patternFill>
      </fill>
      <alignment horizontal="left" wrapText="1"/>
      <border diagonalUp="0" diagonalDown="0">
        <left style="thin">
          <color rgb="FFEBEBEB"/>
        </left>
        <right/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indexed="64"/>
          <bgColor rgb="FFFFFFFF"/>
        </patternFill>
      </fill>
      <alignment horizontal="left" wrapText="1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numFmt numFmtId="13" formatCode="0%"/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0" formatCode="General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indexed="64"/>
          <bgColor rgb="FFFFFFFF"/>
        </patternFill>
      </fill>
      <alignment horizontal="center" wrapText="1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indexed="64"/>
          <bgColor rgb="FFFFFFFF"/>
        </patternFill>
      </fill>
      <alignment horizontal="center" wrapText="1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indexed="64"/>
          <bgColor rgb="FFFFFFFF"/>
        </patternFill>
      </fill>
      <alignment horizontal="center" wrapText="1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indexed="64"/>
          <bgColor rgb="FFFFFFFF"/>
        </patternFill>
      </fill>
      <alignment horizontal="center" wrapText="1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indexed="64"/>
          <bgColor rgb="FFFFFFFF"/>
        </patternFill>
      </fill>
      <alignment horizontal="center" wrapText="1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indexed="64"/>
          <bgColor rgb="FFFFFFFF"/>
        </patternFill>
      </fill>
      <alignment horizontal="left" wrapText="1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 style="thin">
          <color rgb="FFEBEBEB"/>
        </right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0" hidden="0"/>
    </dxf>
    <dxf>
      <border>
        <top style="thin">
          <color rgb="FFEBEBEB"/>
        </top>
      </border>
    </dxf>
    <dxf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indexed="64"/>
          <bgColor rgb="FFFFFFFF"/>
        </patternFill>
      </fill>
      <alignment horizontal="left" wrapText="1"/>
      <protection locked="0" hidden="0"/>
    </dxf>
    <dxf>
      <border>
        <bottom style="thin">
          <color rgb="FFEBEBEB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family val="2"/>
        <scheme val="none"/>
      </font>
      <fill>
        <patternFill patternType="solid">
          <fgColor indexed="64"/>
          <bgColor rgb="FF00206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EBEBEB"/>
        </left>
        <right style="thin">
          <color rgb="FFEBEBEB"/>
        </right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rebuchet MS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EBEBEB"/>
        </left>
        <right/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rebuchet MS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rebuchet MS"/>
        <family val="2"/>
        <scheme val="none"/>
      </font>
      <numFmt numFmtId="13" formatCode="0%"/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rebuchet MS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rebuchet MS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rebuchet MS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rebuchet MS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rebuchet MS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rebuchet MS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rebuchet MS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rebuchet MS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rebuchet MS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rebuchet MS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rebuchet MS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EBEBEB"/>
        </right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0"/>
    </dxf>
    <dxf>
      <border>
        <top style="thin">
          <color rgb="FFEBEBEB"/>
        </top>
      </border>
    </dxf>
    <dxf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rgb="FF000000"/>
        <name val="Trebuchet MS"/>
        <family val="2"/>
        <scheme val="none"/>
      </font>
      <fill>
        <patternFill patternType="solid">
          <fgColor indexed="64"/>
          <bgColor rgb="FFFFFFFF"/>
        </patternFill>
      </fill>
      <alignment horizontal="left"/>
      <protection locked="0"/>
    </dxf>
    <dxf>
      <border>
        <bottom style="thin">
          <color rgb="FFEBEBEB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Trebuchet MS"/>
        <family val="2"/>
        <scheme val="none"/>
      </font>
      <fill>
        <patternFill patternType="solid">
          <fgColor indexed="64"/>
          <bgColor rgb="FF00206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EBEBEB"/>
        </left>
        <right style="thin">
          <color rgb="FFEBEBEB"/>
        </right>
        <top/>
        <bottom/>
      </border>
      <protection locked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rebuchet MS"/>
        <family val="2"/>
        <scheme val="none"/>
      </font>
      <numFmt numFmtId="0" formatCode="General"/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EBEBEB"/>
        </left>
        <right/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rebuchet MS"/>
        <family val="2"/>
        <scheme val="none"/>
      </font>
      <numFmt numFmtId="0" formatCode="General"/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rebuchet MS"/>
        <family val="2"/>
        <scheme val="none"/>
      </font>
      <numFmt numFmtId="13" formatCode="0%"/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rebuchet MS"/>
        <family val="2"/>
        <scheme val="none"/>
      </font>
      <numFmt numFmtId="0" formatCode="General"/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rebuchet MS"/>
        <family val="2"/>
        <scheme val="none"/>
      </font>
      <numFmt numFmtId="0" formatCode="General"/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rebuchet MS"/>
        <family val="2"/>
        <scheme val="none"/>
      </font>
      <numFmt numFmtId="0" formatCode="General"/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rebuchet MS"/>
        <family val="2"/>
        <scheme val="none"/>
      </font>
      <numFmt numFmtId="0" formatCode="General"/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rebuchet MS"/>
        <family val="2"/>
        <scheme val="none"/>
      </font>
      <numFmt numFmtId="0" formatCode="General"/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rebuchet MS"/>
        <family val="2"/>
        <scheme val="none"/>
      </font>
      <numFmt numFmtId="0" formatCode="General"/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rebuchet MS"/>
        <family val="2"/>
        <scheme val="none"/>
      </font>
      <numFmt numFmtId="0" formatCode="General"/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rebuchet MS"/>
        <family val="2"/>
        <scheme val="none"/>
      </font>
      <numFmt numFmtId="0" formatCode="General"/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rebuchet MS"/>
        <family val="2"/>
        <scheme val="none"/>
      </font>
      <numFmt numFmtId="0" formatCode="General"/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rebuchet MS"/>
        <family val="2"/>
        <scheme val="none"/>
      </font>
      <numFmt numFmtId="0" formatCode="General"/>
      <fill>
        <patternFill patternType="solid">
          <fgColor indexed="64"/>
          <bgColor rgb="FFFFFFFF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rebuchet MS"/>
        <family val="2"/>
        <scheme val="none"/>
      </font>
      <numFmt numFmtId="0" formatCode="General"/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EBEBEB"/>
        </right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0" hidden="0"/>
    </dxf>
    <dxf>
      <border>
        <top style="thin">
          <color rgb="FFEBEBEB"/>
        </top>
      </border>
    </dxf>
    <dxf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</border>
    </dxf>
    <dxf>
      <font>
        <strike val="0"/>
        <outline val="0"/>
        <shadow val="0"/>
        <u val="none"/>
        <vertAlign val="baseline"/>
        <sz val="10"/>
        <name val="Trebuchet MS"/>
        <family val="2"/>
        <scheme val="none"/>
      </font>
    </dxf>
    <dxf>
      <border>
        <bottom style="thin">
          <color rgb="FFEBEBEB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Trebuchet MS"/>
        <family val="2"/>
        <scheme val="none"/>
      </font>
      <fill>
        <patternFill patternType="solid">
          <fgColor indexed="64"/>
          <bgColor rgb="FF00206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EBEBEB"/>
        </left>
        <right style="thin">
          <color rgb="FFEBEBEB"/>
        </right>
        <top/>
        <bottom/>
      </border>
      <protection locked="0" hidden="0"/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F2F2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FEFEF"/>
      <rgbColor rgb="FFC6EFCE"/>
      <rgbColor rgb="FFFFEB9C"/>
      <rgbColor rgb="FFFBF3E0"/>
      <rgbColor rgb="FFFF99CC"/>
      <rgbColor rgb="FFCC99FF"/>
      <rgbColor rgb="FFFFC7CE"/>
      <rgbColor rgb="FF3366FF"/>
      <rgbColor rgb="FF33CCCC"/>
      <rgbColor rgb="FF99CC00"/>
      <rgbColor rgb="FFFFCC00"/>
      <rgbColor rgb="FFC9A227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microsoft.com/office/2017/10/relationships/person" Target="persons/perso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Filipe Messias Pereira Da Silva" id="{7126DCC4-7629-48EA-9EA3-E302418676F3}" userId="S::filipe.silva.ext@eletrobras.com::8ab4cc47-b90d-4f15-81ab-99776dabb65a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9361D42-C6DB-44C2-B732-7568BF80F682}" name="tbl_E1_Validacao" displayName="tbl_E1_Validacao" ref="B7:O507" totalsRowShown="0" headerRowDxfId="379" dataDxfId="377" headerRowBorderDxfId="378" tableBorderDxfId="376" totalsRowBorderDxfId="375">
  <autoFilter ref="B7:O507" xr:uid="{99361D42-C6DB-44C2-B732-7568BF80F682}"/>
  <tableColumns count="14">
    <tableColumn id="1" xr3:uid="{5F6B75FE-6E5C-4C29-A60D-7A15F7E478B3}" name="ID Único" dataDxfId="374">
      <calculatedColumnFormula>IF(Lançamentos!$B3="","",Lançamentos!$B3)</calculatedColumnFormula>
    </tableColumn>
    <tableColumn id="2" xr3:uid="{7C6E1C70-9020-453C-8CE5-660D63D48F0F}" name="Atividade" dataDxfId="373">
      <calculatedColumnFormula>IF($B8="","",Lançamentos!$J3)</calculatedColumnFormula>
    </tableColumn>
    <tableColumn id="3" xr3:uid="{E1510FFD-FA7A-44AE-9B86-F34A63B36414}" name="Pilar Proc. Integrados" dataDxfId="372">
      <calculatedColumnFormula>IF($B8="","",Lançamentos!$H3)</calculatedColumnFormula>
    </tableColumn>
    <tableColumn id="4" xr3:uid="{D645FFC4-DF62-466F-A3BF-47017E9D4010}" name="1. Necessidade Descrita" dataDxfId="371"/>
    <tableColumn id="5" xr3:uid="{AB3A22BD-FBF3-4354-9B55-023FC5AC2AE5}" name="2. Origem Registrada" dataDxfId="370"/>
    <tableColumn id="6" xr3:uid="{A9E19DC6-594A-4DC1-AE86-0130CF13BAE5}" name="3. Identificação Completa" dataDxfId="369"/>
    <tableColumn id="7" xr3:uid="{5AA27D14-2A97-4450-9F1C-87211FA52410}" name="4. Cenário e Resultado Esperado" dataDxfId="368"/>
    <tableColumn id="8" xr3:uid="{2519D959-15BE-4399-AEEC-B8080DA08EC6}" name="5. Impacto Informado" dataDxfId="367"/>
    <tableColumn id="9" xr3:uid="{DF69681A-AB39-403E-B3B5-4E01F97685D2}" name="6. Evidências Verificadas" dataDxfId="366"/>
    <tableColumn id="10" xr3:uid="{D5F26CA8-B9C2-4084-8675-22BA8BCEF3E6}" name="7. Demanda Registrada" dataDxfId="365"/>
    <tableColumn id="11" xr3:uid="{A53981A0-016C-44D0-BC90-44CC23A593DC}" name="8. Recebimento Confirmado" dataDxfId="364"/>
    <tableColumn id="12" xr3:uid="{38DD012C-68B1-4292-AA24-834DC27304CE}" name="% da Etapa" dataDxfId="363">
      <calculatedColumnFormula>IF(B8="","",IF(COUNTIF(E8:L8,"N/A")=8,0,COUNTIF(E8:L8,"✔ Concluído")/(8-COUNTIF(E8:L8,"N/A"))))</calculatedColumnFormula>
    </tableColumn>
    <tableColumn id="13" xr3:uid="{EFCFF416-093E-4A68-B1D3-4A600CA5C341}" name="Evidência / Referência" dataDxfId="362"/>
    <tableColumn id="14" xr3:uid="{5565303E-14C7-4098-B0B3-789C0D04A1EF}" name="Observação" dataDxfId="36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2C66DC4-E08F-4928-ADA5-72F8DFF5B9BD}" name="tbl_E2_Triagem" displayName="tbl_E2_Triagem" ref="B7:O507" totalsRowShown="0" headerRowDxfId="360" dataDxfId="358" headerRowBorderDxfId="359" tableBorderDxfId="357" totalsRowBorderDxfId="356">
  <autoFilter ref="B7:O507" xr:uid="{F2C66DC4-E08F-4928-ADA5-72F8DFF5B9BD}"/>
  <tableColumns count="14">
    <tableColumn id="1" xr3:uid="{19BC8994-30DD-4DA1-BB93-1F73F0E57711}" name="ID Único" dataDxfId="355">
      <calculatedColumnFormula>IF(Lançamentos!$B3="","",Lançamentos!$B3)</calculatedColumnFormula>
    </tableColumn>
    <tableColumn id="2" xr3:uid="{DFFC4056-3955-43B3-A953-9852B2E7C88C}" name="Atividade" dataDxfId="354">
      <calculatedColumnFormula>IF($B8="","",IFERROR(INDEX(Lançamentos!$J$3:$J$1001,MATCH($B8,Lançamentos!$B$3:$B$1001,0)),""))</calculatedColumnFormula>
    </tableColumn>
    <tableColumn id="3" xr3:uid="{25F454B4-F47C-4D1A-BB43-1515D36CC593}" name="Pilar Proc. Integrados" dataDxfId="353"/>
    <tableColumn id="4" xr3:uid="{7603DE27-5841-4874-93A9-CEA5E0225580}" name="1. Tipo da Demanda Definido" dataDxfId="352"/>
    <tableColumn id="5" xr3:uid="{DC69D337-890C-4D26-B5F0-EDD727F8893A}" name="2. Área Solicitante Confirmada" dataDxfId="351"/>
    <tableColumn id="6" xr3:uid="{3520148A-5986-4023-889C-97DDAF212289}" name="3. Prioridade Definida" dataDxfId="350"/>
    <tableColumn id="7" xr3:uid="{38366AA3-A9F9-41D6-9574-588E257A46D3}" name="4. Responsável Atribuído" dataDxfId="349"/>
    <tableColumn id="8" xr3:uid="{EDD707F4-17D3-4E05-9047-25D2C5BCB824}" name="5. Complexidade Avaliada" dataDxfId="348"/>
    <tableColumn id="9" xr3:uid="{3A98B2E0-9516-4A15-AFBB-03495617332C}" name="6. Categoria Definida" dataDxfId="347"/>
    <tableColumn id="10" xr3:uid="{6139BB7A-4786-4639-9ED1-0057A4C730B0}" name="7. Projeto Relacionado Vinculado" dataDxfId="346"/>
    <tableColumn id="11" xr3:uid="{82F4A2D9-5DAE-4EB8-8DE0-D7067380956D}" name="8. Controle Atualizado no Tracker" dataDxfId="345"/>
    <tableColumn id="12" xr3:uid="{DBAE65FD-84C7-479C-827E-00FC9C58B691}" name="% da Etapa" dataDxfId="344">
      <calculatedColumnFormula>IF(B8="","",IF(COUNTIF(E8:L8,"N/A")=8,0,COUNTIF(E8:L8,"✔ Concluído")/(8-COUNTIF(E8:L8,"N/A"))))</calculatedColumnFormula>
    </tableColumn>
    <tableColumn id="13" xr3:uid="{E8B2FD1E-B648-40BB-9D53-90B743E4D0A0}" name="Evidência / Referência" dataDxfId="343"/>
    <tableColumn id="14" xr3:uid="{2ABFAF54-EDB5-4575-AAD1-2C35CF9F9C03}" name="Observação" dataDxfId="34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1828C7E-4488-483B-92FF-C587A8CCE20B}" name="tbl_E3_Levantamento" displayName="tbl_E3_Levantamento" ref="B7:L507" totalsRowShown="0" headerRowDxfId="341" dataDxfId="339" headerRowBorderDxfId="340" tableBorderDxfId="338" totalsRowBorderDxfId="337">
  <autoFilter ref="B7:L507" xr:uid="{D1828C7E-4488-483B-92FF-C587A8CCE20B}"/>
  <tableColumns count="11">
    <tableColumn id="1" xr3:uid="{C272AA45-7E18-4BF1-BC1B-B2A728E0A7C4}" name="ID Único" dataDxfId="336">
      <calculatedColumnFormula>IF(Lançamentos!$B3="","",Lançamentos!$B3)</calculatedColumnFormula>
    </tableColumn>
    <tableColumn id="2" xr3:uid="{6F926426-E0AD-4BFA-B062-CC9E9111C912}" name="Atividade" dataDxfId="335">
      <calculatedColumnFormula>IF($B8="","",IFERROR(INDEX(Lançamentos!$J$3:$J$1001,MATCH($B8,Lançamentos!$B$3:$B$1001,0)),""))</calculatedColumnFormula>
    </tableColumn>
    <tableColumn id="3" xr3:uid="{62A8D4FB-0617-433F-A9CF-16773A00DCD1}" name="Pilar Proc. Integrados" dataDxfId="334">
      <calculatedColumnFormula>IF($B8="","",IFERROR(INDEX('E2 — Triagem'!$D$8:$D$507,MATCH($B8,'E2 — Triagem'!$B$8:$B$507,0)),""))</calculatedColumnFormula>
    </tableColumn>
    <tableColumn id="4" xr3:uid="{C4909C6E-F7D7-4328-973A-A798680ABBF6}" name="1. Requisitos Levantados" dataDxfId="333"/>
    <tableColumn id="5" xr3:uid="{7D6B0582-0F55-46B2-A3E3-F801823AD0D8}" name="2. Escopo Definido" dataDxfId="332"/>
    <tableColumn id="6" xr3:uid="{BB8C918E-C8E9-4390-9A73-5CAB00342F4A}" name="3. Riscos e Dependências Mapeados" dataDxfId="331"/>
    <tableColumn id="7" xr3:uid="{3CEB1636-A12F-4FE2-AF84-5836E277250A}" name="4. Critérios de Aceite Definidos" dataDxfId="330"/>
    <tableColumn id="8" xr3:uid="{2C7E0690-7286-46E6-8E6A-21C503F139C2}" name="5. Escopo Validado (GATE)" dataDxfId="329"/>
    <tableColumn id="9" xr3:uid="{DAE507C8-2CF4-416B-B8FA-DF120CB99D7E}" name="% da Etapa" dataDxfId="328">
      <calculatedColumnFormula>IF(B8="","",IF(COUNTIF(E8:I8,"N/A")=5,0,IF(COUNTIF(E8:I8,"✔ Concluído")=5,1,MIN(99%,COUNTIF(E8:I8,"✔ Concluído")/(5-COUNTIF(E8:I8,"N/A"))))))</calculatedColumnFormula>
    </tableColumn>
    <tableColumn id="10" xr3:uid="{B7F38944-1518-4995-8537-13B8E9A6A39B}" name="Evidência / Referência" dataDxfId="327"/>
    <tableColumn id="11" xr3:uid="{465F5F25-550D-474D-AA76-8F8152494DAE}" name="Observação" dataDxfId="326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89F2D8D-57C4-4742-A5C8-69A2CD4BBDA0}" name="tbl_E4_Execucao" displayName="tbl_E4_Execucao" ref="B7:N507" totalsRowShown="0" headerRowDxfId="325" dataDxfId="323" headerRowBorderDxfId="324" tableBorderDxfId="322" totalsRowBorderDxfId="321">
  <autoFilter ref="B7:N507" xr:uid="{D89F2D8D-57C4-4742-A5C8-69A2CD4BBDA0}"/>
  <tableColumns count="13">
    <tableColumn id="1" xr3:uid="{2FF2FEB0-E836-4B3D-9681-56E114E3E543}" name="ID Único" dataDxfId="320">
      <calculatedColumnFormula>IF(Lançamentos!$B3="","",Lançamentos!$B3)</calculatedColumnFormula>
    </tableColumn>
    <tableColumn id="2" xr3:uid="{001A1DD1-19BA-4797-AC86-A7E0E1EE2D08}" name="Atividade" dataDxfId="319">
      <calculatedColumnFormula>IF($B8="","",IFERROR(INDEX(Lançamentos!$J$3:$J$1001,MATCH($B8,Lançamentos!$B$3:$B$1001,0)),""))</calculatedColumnFormula>
    </tableColumn>
    <tableColumn id="3" xr3:uid="{3131F4BE-F7DB-48A6-A939-037189B8A321}" name="Pilar Proc. Integrados" dataDxfId="318">
      <calculatedColumnFormula>IF($B8="","",IFERROR(INDEX('E2 — Triagem'!$D$8:$D$507,MATCH($B8,'E2 — Triagem'!$B$8:$B$507,0)),""))</calculatedColumnFormula>
    </tableColumn>
    <tableColumn id="4" xr3:uid="{4AC72969-A5AE-4886-8989-CDB661406216}" name="1. Execução Planejada" dataDxfId="317"/>
    <tableColumn id="5" xr3:uid="{EFA1291F-2499-4EBA-AC6E-FAA0F04F72A4}" name="2. Execução Realizada" dataDxfId="316"/>
    <tableColumn id="6" xr3:uid="{D8B74273-8CD9-45AD-A119-B613FAF3BB06}" name="3. Evolução Registrada" dataDxfId="315"/>
    <tableColumn id="7" xr3:uid="{0F3AB3EE-5DF4-4271-AF3D-C1AB7D954917}" name="4. Progresso Acompanhado" dataDxfId="314"/>
    <tableColumn id="8" xr3:uid="{495B367E-1C11-4A74-8C49-927BCFDCE24D}" name="5. Qualidade Verificada" dataDxfId="313"/>
    <tableColumn id="9" xr3:uid="{45758ED0-49AF-480E-859E-40F5F036069B}" name="6. Entrega Preparada para Validação" dataDxfId="312"/>
    <tableColumn id="10" xr3:uid="{21966BE6-6496-4EFB-A577-8CA04E153DBD}" name="7. Controle Atualizado no Tracker" dataDxfId="311"/>
    <tableColumn id="11" xr3:uid="{716374BC-E564-4967-8C03-6641D73C3A00}" name="% da Etapa" dataDxfId="310">
      <calculatedColumnFormula>IF(B8="","",IF(COUNTIF(E8:K8,"N/A")=7,0,IF(COUNTIF(E8:K8,"✔ Concluído")=7,1,MIN(99%,COUNTIF(E8:K8,"✔ Concluído")/(7-COUNTIF(E8:K8,"N/A"))))))</calculatedColumnFormula>
    </tableColumn>
    <tableColumn id="12" xr3:uid="{DA6E5940-36E5-41CE-9995-06FD60BBBF60}" name="Evidência / Referência" dataDxfId="309"/>
    <tableColumn id="13" xr3:uid="{84A1F11B-60CB-4CA0-ACB4-41DF16A32721}" name="Observação" dataDxfId="308"/>
  </tableColumns>
  <tableStyleInfo name="TableStyleMedium2" showFirstColumn="0" showLastColumn="0" showRowStripes="0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6058C13-BD95-4120-9DD3-392D000A4551}" name="tbl_E5_Validacao" displayName="tbl_E5_Validacao" ref="B7:M507" totalsRowShown="0" headerRowDxfId="307" dataDxfId="305" headerRowBorderDxfId="306" tableBorderDxfId="304" totalsRowBorderDxfId="303">
  <autoFilter ref="B7:M507" xr:uid="{C6058C13-BD95-4120-9DD3-392D000A4551}"/>
  <tableColumns count="12">
    <tableColumn id="1" xr3:uid="{F3B51D0B-55CF-4398-B222-35EEA23466DB}" name="ID Único" dataDxfId="302">
      <calculatedColumnFormula>IF(Lançamentos!$B3="","",Lançamentos!$B3)</calculatedColumnFormula>
    </tableColumn>
    <tableColumn id="2" xr3:uid="{7FF4C03C-AC15-4E81-B806-69DD8E58D815}" name="Atividade" dataDxfId="301">
      <calculatedColumnFormula>IF($B8="","",IFERROR(INDEX(Lançamentos!$J$3:$J$1001,MATCH($B8,Lançamentos!$B$3:$B$1001,0)),""))</calculatedColumnFormula>
    </tableColumn>
    <tableColumn id="3" xr3:uid="{60679BE9-6D15-40D7-B069-C97B7E933860}" name="Pilar Proc. Integrados" dataDxfId="300">
      <calculatedColumnFormula>IF($B8="","",IFERROR(INDEX('E2 — Triagem'!$D$8:$D$507,MATCH($B8,'E2 — Triagem'!$B$8:$B$507,0)),""))</calculatedColumnFormula>
    </tableColumn>
    <tableColumn id="4" xr3:uid="{0A18D758-77AB-4E5F-978E-8156F99E4A2E}" name="1. Entrega Submetida para Validação" dataDxfId="299"/>
    <tableColumn id="5" xr3:uid="{4FBF23BD-6246-48F0-9529-D829D7D51DA3}" name="2. Validação do Usuário Realizada" dataDxfId="298"/>
    <tableColumn id="6" xr3:uid="{98ADA9D8-0505-451A-A9B7-7401B4FECBE5}" name="3. Aprovação da Gestão Registrada" dataDxfId="297"/>
    <tableColumn id="7" xr3:uid="{0D8BDB53-769A-4547-B314-871E44424BD7}" name="4. Achados e Ajustes Registrados" dataDxfId="296"/>
    <tableColumn id="8" xr3:uid="{0DA8757B-35EC-4E6E-AC48-EEBFC7185929}" name="5. Homologação Formalizada (GATE)" dataDxfId="295"/>
    <tableColumn id="9" xr3:uid="{84E34FAA-48A5-4F2A-B0EE-78C769DC83DF}" name="% da Etapa" dataDxfId="294"/>
    <tableColumn id="10" xr3:uid="{5F6B4F3C-2079-4A79-88F2-4BD016CC24AD}" name="Evidência / Referência" dataDxfId="293"/>
    <tableColumn id="11" xr3:uid="{9A57E276-A06F-4BB6-9845-CA7B1573C9E6}" name="Observação" dataDxfId="292"/>
    <tableColumn id="12" xr3:uid="{F3527D6E-60A9-4169-B0CB-C0339F2B6980}" name="Resultado da Homologação" dataDxfId="291"/>
  </tableColumns>
  <tableStyleInfo name="TableStyleMedium2" showFirstColumn="0" showLastColumn="0" showRowStripes="0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4FF28E9-881E-420C-A3D3-AA85BE219E33}" name="tbl_E6_Ajustes" displayName="tbl_E6_Ajustes" ref="B7:N507" totalsRowShown="0" headerRowDxfId="290" dataDxfId="288" headerRowBorderDxfId="289" tableBorderDxfId="287" totalsRowBorderDxfId="286">
  <autoFilter ref="B7:N507" xr:uid="{54FF28E9-881E-420C-A3D3-AA85BE219E33}"/>
  <tableColumns count="13">
    <tableColumn id="1" xr3:uid="{1E47D537-F777-4CF1-BB50-78E04D13D4CC}" name="ID Único" dataDxfId="285">
      <calculatedColumnFormula>IF(Lançamentos!$B3="","",Lançamentos!$B3)</calculatedColumnFormula>
    </tableColumn>
    <tableColumn id="2" xr3:uid="{C6FC8B85-5CAD-4620-8D1D-027871254C70}" name="Atividade" dataDxfId="284">
      <calculatedColumnFormula>IF($B8="","",IFERROR(INDEX(Lançamentos!$J$3:$J$1001,MATCH($B8,Lançamentos!$B$3:$B$1001,0)),""))</calculatedColumnFormula>
    </tableColumn>
    <tableColumn id="3" xr3:uid="{EA10D889-5D83-431E-BA43-5B9648C3B05C}" name="Pilar Proc. Integrados" dataDxfId="283">
      <calculatedColumnFormula>IF($B8="","",IFERROR(INDEX('E2 — Triagem'!$D$8:$D$507,MATCH($B8,'E2 — Triagem'!$B$8:$B$507,0)),""))</calculatedColumnFormula>
    </tableColumn>
    <tableColumn id="4" xr3:uid="{A0B4322F-9764-4F58-B6C1-7654E24A4007}" name="1. Achados Priorizados" dataDxfId="282"/>
    <tableColumn id="5" xr3:uid="{2537C59D-648E-4AAB-96DF-1E59723AD388}" name="2. Ajustes Executados" dataDxfId="281"/>
    <tableColumn id="6" xr3:uid="{2622AF2C-58D2-4E7F-B5CD-07A1E2257A16}" name="3. Solução Atualizada" dataDxfId="280"/>
    <tableColumn id="7" xr3:uid="{75EBB87F-48F9-4D71-A377-799B057A9994}" name="4. Pendências Tratadas" dataDxfId="279"/>
    <tableColumn id="8" xr3:uid="{3508DFE2-910B-4759-8A9D-D9F22C53A795}" name="5. Nova Validação Realizada" dataDxfId="278"/>
    <tableColumn id="9" xr3:uid="{0C286653-2FC9-4216-99B4-D1EA1990C3DD}" name="6. Ajustes Aprovados" dataDxfId="277"/>
    <tableColumn id="10" xr3:uid="{96E29CA1-CAB2-4AED-9249-3BD8A11F4158}" name="% da Etapa" dataDxfId="276">
      <calculatedColumnFormula>IF(B8="","",IF(N8="Não",0,IF(COUNTIF(E8:J8,"N/A")=6,0,COUNTIF(E8:J8,"✔ Concluído")/(6-COUNTIF(E8:J8,"N/A")))))</calculatedColumnFormula>
    </tableColumn>
    <tableColumn id="11" xr3:uid="{930F1967-0715-4B88-919E-0E5469DB5776}" name="Evidência / Referência" dataDxfId="275"/>
    <tableColumn id="12" xr3:uid="{6C8457CF-922A-44C7-8EF0-5D0677E66B46}" name="Observação" dataDxfId="274"/>
    <tableColumn id="13" xr3:uid="{8F186591-BEB8-405C-B75F-DA36B15AD465}" name="Etapa 06 Aplicável?" dataDxfId="273">
      <calculatedColumnFormula>IF(B8="","",IF('E5 — Validação'!M8="✅ Aprovado sem Ajustes","Não",IF(OR('E5 — Validação'!M8="⚠️ Aprovado com Ajustes",'E5 — Validação'!M8="❌ Reprovado"),"Sim","")))</calculatedColumnFormula>
    </tableColumn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C7D8BD4B-DCAE-49BA-99B7-D25657F9DAE7}" name="tbl_E7_Entrega" displayName="tbl_E7_Entrega" ref="B7:K507" totalsRowShown="0" headerRowDxfId="272" dataDxfId="270" headerRowBorderDxfId="271" tableBorderDxfId="269" totalsRowBorderDxfId="268">
  <autoFilter ref="B7:K507" xr:uid="{C7D8BD4B-DCAE-49BA-99B7-D25657F9DAE7}"/>
  <tableColumns count="10">
    <tableColumn id="1" xr3:uid="{3F2D4EA2-A1B7-42B2-891B-F74205F0CE25}" name="ID Único" dataDxfId="267">
      <calculatedColumnFormula>IF(Lançamentos!$B3="","",Lançamentos!$B3)</calculatedColumnFormula>
    </tableColumn>
    <tableColumn id="2" xr3:uid="{83B78C3F-CFF7-47D0-ADA4-6A3E0A5BDF66}" name="Atividade" dataDxfId="266">
      <calculatedColumnFormula>IF($B8="","",IFERROR(INDEX(Lançamentos!$J$3:$J$1001,MATCH($B8,Lançamentos!$B$3:$B$1001,0)),""))</calculatedColumnFormula>
    </tableColumn>
    <tableColumn id="3" xr3:uid="{ADD76429-8295-475D-9046-2C88E74DBF87}" name="Pilar Proc. Integrados" dataDxfId="265">
      <calculatedColumnFormula>IF($B8="","",IFERROR(INDEX('E2 — Triagem'!$D$8:$D$507,MATCH($B8,'E2 — Triagem'!$B$8:$B$507,0)),""))</calculatedColumnFormula>
    </tableColumn>
    <tableColumn id="4" xr3:uid="{136D6A6D-2EA5-476A-B18C-00EC159F7AFD}" name="1. Solução Disponibilizada" dataDxfId="264"/>
    <tableColumn id="5" xr3:uid="{E5067197-EAC3-4794-8456-844431970499}" name="2. Entrega Comunicada" dataDxfId="263"/>
    <tableColumn id="6" xr3:uid="{343AB564-FBBC-4E75-B398-8AA944ABEDEB}" name="3. Projeto Encerrado no Controle" dataDxfId="262"/>
    <tableColumn id="7" xr3:uid="{2AAF9894-7233-4EE4-B15B-7F061D99F993}" name="4. Evidências Arquivadas" dataDxfId="261"/>
    <tableColumn id="8" xr3:uid="{29D81444-D457-467F-BB41-C28A7A2FF1FD}" name="% da Etapa" dataDxfId="260">
      <calculatedColumnFormula>IF(B8="","",IF(COUNTIF(E8:H8,"N/A")=4,0,COUNTIF(E8:H8,"✔ Concluído")/(4-COUNTIF(E8:H8,"N/A"))))</calculatedColumnFormula>
    </tableColumn>
    <tableColumn id="9" xr3:uid="{B41456C4-F79E-45A5-8FD1-705224ADD3FD}" name="Evidência / Referência" dataDxfId="259"/>
    <tableColumn id="10" xr3:uid="{C3066A5B-5785-4A4C-A47D-344DB9AD070F}" name="Observação" dataDxfId="258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8C7B8254-392D-43CA-8E7D-8FC96897A6D2}" name="tbl_E8_Estabilizacao" displayName="tbl_E8_Estabilizacao" ref="B7:U507" totalsRowShown="0" headerRowDxfId="257" dataDxfId="255" headerRowBorderDxfId="256" tableBorderDxfId="254" totalsRowBorderDxfId="253">
  <autoFilter ref="B7:U507" xr:uid="{8C7B8254-392D-43CA-8E7D-8FC96897A6D2}"/>
  <tableColumns count="20">
    <tableColumn id="1" xr3:uid="{F216F010-EF35-4A76-8681-66C162A3518D}" name="ID Único" dataDxfId="252">
      <calculatedColumnFormula>IF(Lançamentos!$B3="","",Lançamentos!$B3)</calculatedColumnFormula>
    </tableColumn>
    <tableColumn id="2" xr3:uid="{20C1A23A-27C5-4F7E-AC99-F4E8419D0181}" name="Atividade" dataDxfId="251">
      <calculatedColumnFormula>IF($B8="","",IFERROR(INDEX(Lançamentos!$J$3:$J$1001,MATCH($B8,Lançamentos!$B$3:$B$1001,0)),""))</calculatedColumnFormula>
    </tableColumn>
    <tableColumn id="3" xr3:uid="{A6C917B8-D2AD-44E4-8410-25758ECBBD6F}" name="Pilar Proc. Integrados" dataDxfId="250">
      <calculatedColumnFormula>IF($B8="","",IFERROR(INDEX('E2 — Triagem'!$D$8:$D$507,MATCH($B8,'E2 — Triagem'!$B$8:$B$507,0)),""))</calculatedColumnFormula>
    </tableColumn>
    <tableColumn id="4" xr3:uid="{8C655744-6E4A-4B54-81CB-709B6A11B78F}" name="1. Suporte Inicial Prestado" dataDxfId="249"/>
    <tableColumn id="5" xr3:uid="{26545B45-DC2D-4CF1-B05B-B07904AA4360}" name="2. Solução Monitorada" dataDxfId="248"/>
    <tableColumn id="6" xr3:uid="{E5267070-1ACE-45E2-A4C3-47E5873BEBF1}" name="3. Ocorrências Registradas" dataDxfId="247"/>
    <tableColumn id="7" xr3:uid="{AE45DC28-F2D6-4A0A-B34B-E5A0842C98CD}" name="4. Correções Emergenciais Concluídas" dataDxfId="246"/>
    <tableColumn id="8" xr3:uid="{54AC6F53-E388-4610-A9EA-8C29574EF63B}" name="5. Estabilização Confirmada" dataDxfId="245"/>
    <tableColumn id="9" xr3:uid="{64705DFC-ABF9-4719-A6D3-CA145F4292DC}" name="6. Demanda Encerrada ou Novo Ciclo Aberto" dataDxfId="244"/>
    <tableColumn id="10" xr3:uid="{E7FE93D7-43E7-4AE1-8430-C21000A0BD69}" name="% da Etapa" dataDxfId="243">
      <calculatedColumnFormula>IF(B8="","",IF(COUNTIF(E8:J8,"N/A")=6,0,COUNTIF(E8:J8,"✔ Concluído")/(6-COUNTIF(E8:J8,"N/A"))))</calculatedColumnFormula>
    </tableColumn>
    <tableColumn id="11" xr3:uid="{78D61AFD-7107-4824-AA79-9D8881FF47E8}" name="Evidência / Referência" dataDxfId="242"/>
    <tableColumn id="12" xr3:uid="{A2E37B0C-0522-495A-B8E4-728DA9324A66}" name="Observação" dataDxfId="241"/>
    <tableColumn id="13" xr3:uid="{0F2535EA-4CC9-49EE-9792-3C7AF0D06F76}" name="Resultado do Hypercare" dataDxfId="240"/>
    <tableColumn id="14" xr3:uid="{165E1AE8-89A1-48D7-8685-5C4305350AA9}" name="Início Hypercare" dataDxfId="239">
      <calculatedColumnFormula>IF(B8="","",IF(Lançamentos!D3="","",Lançamentos!D3))</calculatedColumnFormula>
    </tableColumn>
    <tableColumn id="15" xr3:uid="{DEF2C39D-9CEA-440A-AE2C-868A8C75E032}" name="Prazo (dias)" dataDxfId="0"/>
    <tableColumn id="16" xr3:uid="{527A6A0C-29EA-4E2D-8731-CFC44BA6636B}" name="Encerramento Previsto" dataDxfId="238">
      <calculatedColumnFormula>IF(OR(O8="",P8=""),"",O8+P8)</calculatedColumnFormula>
    </tableColumn>
    <tableColumn id="17" xr3:uid="{1959DB02-E14D-4665-843D-314BA5F92F43}" name="Encerramento Real" dataDxfId="237"/>
    <tableColumn id="18" xr3:uid="{89C4E3AF-D87F-455D-AAF5-8CA3B53F1669}" name="Dias em Hypercare" dataDxfId="236">
      <calculatedColumnFormula>IF(O8="","",MAX(0,IF(R8&lt;&gt;"",R8-O8,TODAY()-O8)))</calculatedColumnFormula>
    </tableColumn>
    <tableColumn id="19" xr3:uid="{802BA8EE-2516-4B1B-9EE2-110B467A77ED}" name="Situação do Prazo" dataDxfId="235">
      <calculatedColumnFormula>IF(B8="","",IF(R8&lt;&gt;"","✅ Encerrado",IF(O8="","",IF(TODAY()&gt;Q8,"🔴 Hypercare Atrasado",IF(TODAY()&gt;=Q8-2,"🟡 Próximo do Encerramento","🟢 Dentro do Período")))))</calculatedColumnFormula>
    </tableColumn>
    <tableColumn id="20" xr3:uid="{80E71947-125E-4C8B-A8A9-086709DD2C57}" name="ID Nova Demanda" dataDxfId="23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2" dT="2026-07-29T23:22:35.50" personId="{7126DCC4-7629-48EA-9EA3-E302418676F3}" id="{ACB4820F-67F9-4663-8939-AD6653A7253D}">
    <text>Identificador único da demanda (ex.: FM-0001). Chave usada por todas as demais abas — não repetir.</text>
  </threadedComment>
  <threadedComment ref="C2" dT="2026-07-29T23:22:35.50" personId="{7126DCC4-7629-48EA-9EA3-E302418676F3}" id="{A515E6FD-0ED8-4443-82F5-01BB2A98B06F}">
    <text>Data de início da atividade. Formato dd/mm/aa.</text>
  </threadedComment>
  <threadedComment ref="D2" dT="2026-07-29T23:22:35.50" personId="{7126DCC4-7629-48EA-9EA3-E302418676F3}" id="{48360648-13C9-4CF0-93BC-8B56215C6C4F}">
    <text>Data de conclusão. Preencher quando o Status for Concluído.</text>
  </threadedComment>
  <threadedComment ref="E2" dT="2026-07-29T23:22:35.50" personId="{7126DCC4-7629-48EA-9EA3-E302418676F3}" id="{1B572702-A184-418D-94B8-4A953229A782}">
    <text>Departamento responsável pela demanda. Lista suspensa (aba Cadastros).</text>
  </threadedComment>
  <threadedComment ref="F2" dT="2026-07-29T23:22:35.50" personId="{7126DCC4-7629-48EA-9EA3-E302418676F3}" id="{C5DB7258-D266-41C2-8911-A0CC41ACA1CF}">
    <text>Projeto ao qual a atividade pertence. Lista suspensa (aba Cadastros).</text>
  </threadedComment>
  <threadedComment ref="G2" dT="2026-07-29T23:22:35.50" personId="{7126DCC4-7629-48EA-9EA3-E302418676F3}" id="{F7E0FE30-99E9-415C-AFE2-0A69A16F2163}">
    <text>Tema específico dentro do projeto. Lista em cascata conforme o Projeto.</text>
  </threadedComment>
  <threadedComment ref="H2" dT="2026-07-29T23:22:35.51" personId="{7126DCC4-7629-48EA-9EA3-E302418676F3}" id="{E45A017B-E1A9-44B3-92A5-4E967C8660CA}">
    <text>Pilar de Processos Integrados. Lista suspensa (aba Cadastros).</text>
  </threadedComment>
  <threadedComment ref="I2" dT="2026-07-29T23:22:35.51" personId="{7126DCC4-7629-48EA-9EA3-E302418676F3}" id="{9AC58C8F-477B-4461-B739-257F24FBFDE5}">
    <text>Tipo da demanda (ex.: Projeto, Melhoria, Rotina). Lista suspensa.</text>
  </threadedComment>
  <threadedComment ref="J2" dT="2026-07-29T23:22:35.51" personId="{7126DCC4-7629-48EA-9EA3-E302418676F3}" id="{696E3DE6-1DB6-41E5-969B-38A326A9DF4E}">
    <text>Título curto e objetivo da atividade. Aparece nas abas de etapa e no Acompanhamento.</text>
  </threadedComment>
  <threadedComment ref="K2" dT="2026-07-29T23:22:35.51" personId="{7126DCC4-7629-48EA-9EA3-E302418676F3}" id="{EEC9CEF3-84F9-4F87-8977-A7677364F0DD}">
    <text>Descrição detalhada do que foi/será feito.</text>
  </threadedComment>
  <threadedComment ref="L2" dT="2026-07-29T23:22:35.51" personId="{7126DCC4-7629-48EA-9EA3-E302418676F3}" id="{D0E3CA05-C8CB-4B60-885D-26BA7361A6EB}">
    <text>Departamento do CSC envolvido. Lista suspensa (aba Cadastros).</text>
  </threadedComment>
  <threadedComment ref="M2" dT="2026-07-29T23:22:35.51" personId="{7126DCC4-7629-48EA-9EA3-E302418676F3}" id="{0BDC6960-410F-4AE5-84E7-766B53A19B00}">
    <text>Pessoa envolvida na atividade.</text>
  </threadedComment>
  <threadedComment ref="N2" dT="2026-07-29T23:22:35.51" personId="{7126DCC4-7629-48EA-9EA3-E302418676F3}" id="{E6648248-D4CB-4FBE-8B2C-DBF0DCC7054E}">
    <text>Indica se houve parceria (Sim/Não).</text>
  </threadedComment>
  <threadedComment ref="O2" dT="2026-07-29T23:22:35.51" personId="{7126DCC4-7629-48EA-9EA3-E302418676F3}" id="{8F30A289-15C4-4179-ACD3-B0A3F6BE6893}">
    <text>Papel na atividade: Responsável ou Apoio. Lista suspensa.</text>
  </threadedComment>
  <threadedComment ref="P2" dT="2026-07-29T23:22:35.51" personId="{7126DCC4-7629-48EA-9EA3-E302418676F3}" id="{B2802248-7990-401B-8908-3462A90E34A1}">
    <text>Parceiros da equipe de Processos Integrados, quando houver parceria.</text>
  </threadedComment>
  <threadedComment ref="Q2" dT="2026-07-29T23:22:35.51" personId="{7126DCC4-7629-48EA-9EA3-E302418676F3}" id="{50775367-4AA3-436E-9990-2DF6DD0FDEAB}">
    <text>ID da atividade principal, quando esta for derivada/vinculada a outra.</text>
  </threadedComment>
  <threadedComment ref="R2" dT="2026-07-29T23:22:35.52" personId="{7126DCC4-7629-48EA-9EA3-E302418676F3}" id="{F579157F-0B40-4E3B-A1F4-FF46AE18EE56}">
    <text>Empresa do grupo. Lista suspensa (aba Cadastros).</text>
  </threadedComment>
  <threadedComment ref="S2" dT="2026-07-29T23:22:35.52" personId="{7126DCC4-7629-48EA-9EA3-E302418676F3}" id="{4EA159BD-8333-4A8C-AEA2-282813ABFA0F}">
    <text>Status geral da atividade (ex.: Em andamento, Concluído). Lista suspensa.</text>
  </threadedComment>
  <threadedComment ref="T2" dT="2026-07-29T23:22:35.52" personId="{7126DCC4-7629-48EA-9EA3-E302418676F3}" id="{25B08E69-2BB4-4D6C-AD5B-C01C92B5919A}">
    <text>Horas efetivamente gastas na atividade.</text>
  </threadedComment>
  <threadedComment ref="U2" dT="2026-07-29T23:22:35.52" personId="{7126DCC4-7629-48EA-9EA3-E302418676F3}" id="{286E3B7E-585D-4C86-88C9-665A83689E88}">
    <text>Tempo consumido pela rotina ANTES da solução (h/mês).</text>
  </threadedComment>
  <threadedComment ref="V2" dT="2026-07-29T23:22:35.52" personId="{7126DCC4-7629-48EA-9EA3-E302418676F3}" id="{99B7FF9C-DB0B-4139-834D-2110598BFA91}">
    <text>Tempo consumido pela rotina DEPOIS da solução (h/mês).</text>
  </threadedComment>
  <threadedComment ref="W2" dT="2026-07-29T23:22:35.52" personId="{7126DCC4-7629-48EA-9EA3-E302418676F3}" id="{BD10BA9B-8FBD-4920-BE05-5E618E53ED3D}">
    <text>Ganho de produtividade (h/mês) = Tempo Antes − Tempo Depois. Cálculo automático.</text>
  </threadedComment>
  <threadedComment ref="X2" dT="2026-07-29T23:22:35.52" personId="{7126DCC4-7629-48EA-9EA3-E302418676F3}" id="{520D2B4D-736B-432D-A7EC-BF0BB4ED03AA}">
    <text>% de redução de tempo = Ganho ÷ Tempo Antes. Cálculo automático.</text>
  </threadedComment>
  <threadedComment ref="Y2" dT="2026-07-29T23:22:35.52" personId="{7126DCC4-7629-48EA-9EA3-E302418676F3}" id="{7410A254-2AD1-4B3E-9D91-A59EF27BA994}">
    <text>Resultado alcançado / benefício gerado pela entrega.</text>
  </threadedComment>
  <threadedComment ref="Z2" dT="2026-07-29T23:22:35.52" personId="{7126DCC4-7629-48EA-9EA3-E302418676F3}" id="{DD36DBC1-7CE8-4AA4-AD9E-ABFDD84F1B8D}">
    <text>Pendência ou próximo passo em aberto.</text>
  </threadedComment>
  <threadedComment ref="AA2" dT="2026-07-29T23:22:35.52" personId="{7126DCC4-7629-48EA-9EA3-E302418676F3}" id="{9072CCD4-87B5-4C80-BF1D-4B632521FA14}">
    <text>Observações gerais.</text>
  </threadedComment>
  <threadedComment ref="AB2" dT="2026-07-29T23:22:35.52" personId="{7126DCC4-7629-48EA-9EA3-E302418676F3}" id="{680BE705-6984-4DAE-B3A2-D5F56F2EA606}">
    <text>Status da Etapa 08 (Hypercare). Vinculado automaticamente à aba E08 — não editar.</text>
  </threadedComment>
  <threadedComment ref="AC2" dT="2026-07-29T23:22:35.52" personId="{7126DCC4-7629-48EA-9EA3-E302418676F3}" id="{906C5C02-A1B6-4B12-A642-4530CA853754}">
    <text>% de conclusão da Etapa 08. Automático a partir da aba E08.</text>
  </threadedComment>
  <threadedComment ref="AD2" dT="2026-07-29T23:22:35.52" personId="{7126DCC4-7629-48EA-9EA3-E302418676F3}" id="{0C011810-4D37-4DE0-92EB-9F4E02B759BF}">
    <text>Data de início do Hypercare. Automático (aba E08).</text>
  </threadedComment>
  <threadedComment ref="AE2" dT="2026-07-29T23:22:35.52" personId="{7126DCC4-7629-48EA-9EA3-E302418676F3}" id="{C856C357-36F0-4DCB-85B6-6E8869CC5D91}">
    <text>Encerramento previsto do Hypercare. Automático (aba E08).</text>
  </threadedComment>
  <threadedComment ref="AF2" dT="2026-07-29T23:22:35.53" personId="{7126DCC4-7629-48EA-9EA3-E302418676F3}" id="{39B94375-A17A-4D07-8D78-BCB758D180AD}">
    <text>Encerramento real do Hypercare. Automático (aba E08).</text>
  </threadedComment>
  <threadedComment ref="AG2" dT="2026-07-29T23:22:35.53" personId="{7126DCC4-7629-48EA-9EA3-E302418676F3}" id="{49BBEA13-3875-441F-9EC8-AC7534B9A7AC}">
    <text>Dias decorridos em Hypercare. Cálculo automático (aba E08).</text>
  </threadedComment>
  <threadedComment ref="AH2" dT="2026-07-29T23:22:35.53" personId="{7126DCC4-7629-48EA-9EA3-E302418676F3}" id="{69B58A5B-CEC3-4053-B5D0-FA182FC6DB43}">
    <text>Situação do prazo do Hypercare (no prazo / atrasado). Automático (aba E08).</text>
  </threadedComment>
  <threadedComment ref="AI2" dT="2026-07-29T23:22:35.53" personId="{7126DCC4-7629-48EA-9EA3-E302418676F3}" id="{A28ED207-C96E-4D7B-A34B-AE67E797AC58}">
    <text>Resultado do Hypercare (estável, incidente, nova demanda). Automático (aba E08).</text>
  </threadedComment>
  <threadedComment ref="AJ2" dT="2026-07-29T23:22:35.53" personId="{7126DCC4-7629-48EA-9EA3-E302418676F3}" id="{A4427A54-10AC-4F82-8D1F-84323D9EAAF7}">
    <text>ID da nova demanda originada, quando houver. Automático (aba E08).</text>
  </threadedComment>
  <threadedComment ref="AK2" dT="2026-07-29T23:22:35.53" personId="{7126DCC4-7629-48EA-9EA3-E302418676F3}" id="{06390E01-DFAD-4122-BED8-AF7CE7E9C328}">
    <text>Lead time total da demanda (início até encerramento). Cálculo automático.</text>
  </threadedComment>
  <threadedComment ref="AL2" dT="2026-07-29T23:22:35.53" personId="{7126DCC4-7629-48EA-9EA3-E302418676F3}" id="{80756D18-1BEE-4DBD-8A1C-ADF4AE61E67C}">
    <text>Status geral definitivo consolidado de todo o ciclo. Cálculo automático.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B24" dT="2026-07-29T23:22:35.64" personId="{7126DCC4-7629-48EA-9EA3-E302418676F3}" id="{417376EF-8EF4-4E29-A366-CFA2CA6CE62E}">
    <text>Tracker com uma linha por atividade. 100% automático — trabalhe sempre nas abas E1 a E8; esta aba apenas consolida.</text>
  </threadedComment>
  <threadedComment ref="B25" dT="2026-07-29T23:22:35.64" personId="{7126DCC4-7629-48EA-9EA3-E302418676F3}" id="{4E5E3C6C-734B-4767-982F-7941650CE30F}">
    <text>ID da atividade, espelhado automaticamente da aba Lançamentos.</text>
  </threadedComment>
  <threadedComment ref="C25" dT="2026-07-29T23:22:35.64" personId="{7126DCC4-7629-48EA-9EA3-E302418676F3}" id="{F8B718A1-FA0F-4F33-95F4-1B22494E3A4D}">
    <text>Título da atividade, automático (Lançamentos).</text>
  </threadedComment>
  <threadedComment ref="D25" dT="2026-07-29T23:22:35.65" personId="{7126DCC4-7629-48EA-9EA3-E302418676F3}" id="{E277AF20-C635-4A38-B0A2-F87FA1E59A03}">
    <text>Pilar de Processos Integrados, automático (Lançamentos).</text>
  </threadedComment>
  <threadedComment ref="E25" dT="2026-07-29T23:22:35.65" personId="{7126DCC4-7629-48EA-9EA3-E302418676F3}" id="{FAA0B627-A96C-427C-9D85-0067F54AC667}">
    <text>Status da Etapa 1 (Solicitação), derivado dos critérios da aba E1. Concluído quando todos ✔/N/A; Bloqueado se houver ⛔.</text>
  </threadedComment>
  <threadedComment ref="F25" dT="2026-07-29T23:22:35.65" personId="{7126DCC4-7629-48EA-9EA3-E302418676F3}" id="{E19E5BF0-F604-4581-8221-748E9CDD48D9}">
    <text>Status da Etapa 2 (Triagem), derivado da aba E2. Só inicia após E1 concluída.</text>
  </threadedComment>
  <threadedComment ref="G25" dT="2026-07-29T23:22:35.65" personId="{7126DCC4-7629-48EA-9EA3-E302418676F3}" id="{D5D04DEC-0FEF-4C78-92F7-FD02AEEAF431}">
    <text>Status da Etapa 3 (Levantamento). GATE obrigatório: valida escopo e critérios de aceite. Derivado da aba E3.</text>
  </threadedComment>
  <threadedComment ref="H25" dT="2026-07-29T23:22:35.65" personId="{7126DCC4-7629-48EA-9EA3-E302418676F3}" id="{9B224783-4A1D-44D5-AF63-C1E465E328EA}">
    <text>Status da Etapa 4 (Execução), derivado da aba E4. Só inicia após o GATE da E3.</text>
  </threadedComment>
  <threadedComment ref="I25" dT="2026-07-29T23:22:35.65" personId="{7126DCC4-7629-48EA-9EA3-E302418676F3}" id="{72D66E4F-B901-43F0-8946-C30777CC0B86}">
    <text>Status da Etapa 5 (Validação). GATE obrigatório: achados documentados e aprovados. Derivado da aba E5.</text>
  </threadedComment>
  <threadedComment ref="J25" dT="2026-07-29T23:22:35.65" personId="{7126DCC4-7629-48EA-9EA3-E302418676F3}" id="{050C22B7-8F77-43D8-BC17-C170E460B58E}">
    <text>Status da Etapa 6 (Ajustes), derivado da aba E6. Fica N/A quando não há ajustes.</text>
  </threadedComment>
  <threadedComment ref="K25" dT="2026-07-29T23:22:35.65" personId="{7126DCC4-7629-48EA-9EA3-E302418676F3}" id="{BEF40705-89D8-4C5D-A8FD-5AE88216D6FB}">
    <text>Status da Etapa 7 (Entrega), derivado da aba E7.</text>
  </threadedComment>
  <threadedComment ref="L25" dT="2026-07-29T23:22:35.65" personId="{7126DCC4-7629-48EA-9EA3-E302418676F3}" id="{8C96C42A-275A-41B0-BCE7-A23DACE12E26}">
    <text>Status da Etapa 8 (Estabilização/Hypercare), derivado da aba E08.</text>
  </threadedComment>
  <threadedComment ref="M25" dT="2026-07-29T23:22:35.65" personId="{7126DCC4-7629-48EA-9EA3-E302418676F3}" id="{D527FD6F-2BA1-4299-B4E9-C626C0D19150}">
    <text>Etapa atual da atividade — primeira etapa ainda não concluída. Cálculo automático.</text>
  </threadedComment>
  <threadedComment ref="N25" dT="2026-07-29T23:22:35.65" personId="{7126DCC4-7629-48EA-9EA3-E302418676F3}" id="{29B19B68-82AC-4A5C-AD19-2F7D73076B4C}">
    <text>% do fluxo concluído = etapas concluídas ÷ 8. Cálculo automático.</text>
  </threadedComment>
  <threadedComment ref="O25" dT="2026-07-29T23:22:35.65" personId="{7126DCC4-7629-48EA-9EA3-E302418676F3}" id="{B3B4ACF8-C7F3-411D-AA32-6A9CFFFAECFC}">
    <text>Observação do fluxo (campo livre para anotações).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B7" dT="2026-07-29T23:22:35.77" personId="{7126DCC4-7629-48EA-9EA3-E302418676F3}" id="{E76067EA-9E23-4408-81B5-ECECEA444926}">
    <text>Origem: aba Lançamentos. Preenchimento automático. Utilize o mesmo ID da Base Mestre durante todo o workflow; não alterar nem duplicar.</text>
  </threadedComment>
  <threadedComment ref="C7" dT="2026-07-29T23:22:35.77" personId="{7126DCC4-7629-48EA-9EA3-E302418676F3}" id="{09439639-D8DD-40DA-9C96-4C389FA69556}">
    <text>Origem: título da solicitação na aba Lançamentos. Preenchimento automático e somente para identificação rápida da demanda.</text>
  </threadedComment>
  <threadedComment ref="D7" dT="2026-07-29T23:22:35.77" personId="{7126DCC4-7629-48EA-9EA3-E302418676F3}" id="{B057589E-230A-4B9D-BCA0-5D35CF63A899}">
    <text>Origem: classificação realizada na Etapa 02. Preenchimento automático; não é obrigatório para concluir a Etapa 01.</text>
  </threadedComment>
  <threadedComment ref="E7" dT="2026-07-29T23:22:35.77" personId="{7126DCC4-7629-48EA-9EA3-E302418676F3}" id="{7FAEF710-1A07-48E2-8912-10984B6C8F9F}">
    <text>Confirme se a necessidade, o problema e o motivo da demanda foram descritos de forma suficiente. Registre apenas o status da validação.</text>
  </threadedComment>
  <threadedComment ref="F7" dT="2026-07-29T23:22:35.77" personId="{7126DCC4-7629-48EA-9EA3-E302418676F3}" id="{7AE52EF2-4C1D-4130-A728-287219490266}">
    <text>Confirme se a origem oficial da demanda foi registrada: formulário, chamado, reunião, auditoria, diretoria, projeto ou outra fonte.</text>
  </threadedComment>
  <threadedComment ref="G7" dT="2026-07-29T23:22:35.77" personId="{7126DCC4-7629-48EA-9EA3-E302418676F3}" id="{26EA1807-4C91-4C5F-A8D6-DD8703BEE95B}">
    <text>Confirme empresa, departamento, área solicitante, nome e contato corporativo suficientes para identificar o responsável.</text>
  </threadedComment>
  <threadedComment ref="H7" dT="2026-07-29T23:22:35.77" personId="{7126DCC4-7629-48EA-9EA3-E302418676F3}" id="{EF3817AF-B98C-4E51-B106-7ADEB382F66E}">
    <text>Confirme se o cenário atual, o objetivo e o resultado esperado permitem compreender o que o solicitante deseja alcançar.</text>
  </threadedComment>
  <threadedComment ref="I7" dT="2026-07-29T23:22:35.77" personId="{7126DCC4-7629-48EA-9EA3-E302418676F3}" id="{C4972E0F-582D-4D0D-88ED-C240E1367CA9}">
    <text>Confirme informações mínimas de alcance, usuários, frequência, volume, urgência, prazo, impacto e benefícios esperados.</text>
  </threadedComment>
  <threadedComment ref="J7" dT="2026-07-29T23:22:35.77" personId="{7126DCC4-7629-48EA-9EA3-E302418676F3}" id="{7D800C5B-23BB-4192-BE4B-ABF43DBA38BF}">
    <text>Confirme se documentos, links ou arquivos estão acessíveis e foram verificados. Use N/A somente quando não existirem evidências aplicáveis.</text>
  </threadedComment>
  <threadedComment ref="K7" dT="2026-07-29T23:22:35.77" personId="{7126DCC4-7629-48EA-9EA3-E302418676F3}" id="{F425B909-741B-48A7-9B35-C6467FA5FAB9}">
    <text>Confirme que a demanda foi cadastrada oficialmente, possui ID único ativo e está rastreável na aba Lançamentos.</text>
  </threadedComment>
  <threadedComment ref="L7" dT="2026-07-29T23:22:35.77" personId="{7126DCC4-7629-48EA-9EA3-E302418676F3}" id="{C0B9502C-E40D-421E-81A3-27EF34BAC02E}">
    <text>Confirme que o solicitante recebeu comunicação do recebimento, do ID, do início da triagem e do próximo passo.</text>
  </threadedComment>
  <threadedComment ref="M7" dT="2026-07-29T23:22:35.77" personId="{7126DCC4-7629-48EA-9EA3-E302418676F3}" id="{A2BA59DE-F3BC-4ECE-AE23-9852B078EA44}">
    <text>Cálculo automático: critérios concluídos divididos pelos critérios aplicáveis. N/A é excluído do denominador e todos N/A resultam em 0%.</text>
  </threadedComment>
  <threadedComment ref="N7" dT="2026-07-29T23:22:35.77" personId="{7126DCC4-7629-48EA-9EA3-E302418676F3}" id="{2462034C-A457-45C2-A677-CDC0F4FC57C4}">
    <text>Registre somente onde a evidência pode ser localizada: formulário, chamado, protocolo, SharePoint, pasta, e-mail ou comunicação oficial.</text>
  </threadedComment>
  <threadedComment ref="O7" dT="2026-07-29T23:22:35.77" personId="{7126DCC4-7629-48EA-9EA3-E302418676F3}" id="{B7803B0D-91EE-440C-90EF-4AFB3DBCF832}">
    <text>Registre pendências, complementos, bloqueios, justificativas de N/A, inconsistências, exceções ou observações da validação.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B7" dT="2026-07-29T23:22:35.89" personId="{7126DCC4-7629-48EA-9EA3-E302418676F3}" id="{7133B2C6-5157-4C33-B281-53AB7D60E979}">
    <text>ID Único
Origem: aba Lançamentos / Etapa 01.
Preenchimento: automático.
Identificador único da demanda, como FM-0002, utilizado durante todo o workflow. Não deve ser alterado ou duplicado.</text>
  </threadedComment>
  <threadedComment ref="C7" dT="2026-07-29T23:22:35.89" personId="{7126DCC4-7629-48EA-9EA3-E302418676F3}" id="{C2925896-4601-4B3D-BA5E-B2AABD1ABD5F}">
    <text>Atividade
Origem: título da solicitação.
Preenchimento: automático.
Nome curto da demanda, herdado do formulário e da aba Lançamentos, utilizado para identificação rápida.</text>
  </threadedComment>
  <threadedComment ref="D7" dT="2026-07-29T23:22:35.89" personId="{7126DCC4-7629-48EA-9EA3-E302418676F3}" id="{2FDF70D2-1E23-483B-8197-692A80EB5628}">
    <text>Pilar Proc. Integrados
Origem: classificação realizada na Etapa 02.
Preenchimento: CSC / Processos Integrados.
Selecione o pilar oficial, como Governança, Melhoria Contínua, Transformação Digital, Business Intelligence, PMO / Projetos ou Operação.</text>
  </threadedComment>
  <threadedComment ref="E7" dT="2026-07-29T23:22:35.89" personId="{7126DCC4-7629-48EA-9EA3-E302418676F3}" id="{BFDF1AD8-79AE-407D-9C0B-6403C5496F03}">
    <text>1. Tipo da Demanda Definido
Origem: análise do formulário e da necessidade.
Responsável: CSC / Processos Integrados.
Confirma a classificação em um tipo adequado, como mapeamento, POP, estudo, melhoria, dashboard, IA, automação, análise, levantamento, documentação ou projeto.</text>
  </threadedComment>
  <threadedComment ref="F7" dT="2026-07-29T23:22:35.89" personId="{7126DCC4-7629-48EA-9EA3-E302418676F3}" id="{EB57B00D-9459-4926-8678-9AB3900E2791}">
    <text>2. Área Solicitante Confirmada
Origem: formulário de solicitação e Base Mestre.
Responsável: CSC / Processos Integrados.
Confirma se empresa, departamento, área solicitante e dados do responsável foram validados e estão consistentes.</text>
  </threadedComment>
  <threadedComment ref="G7" dT="2026-07-29T23:22:35.89" personId="{7126DCC4-7629-48EA-9EA3-E302418676F3}" id="{1E4F7C39-3F5E-4F51-A13D-DEAAD6540ECB}">
    <text>3. Prioridade Definida
Origem: prioridade informada, impacto, urgência, prazo e análise do CSC.
Responsável: CSC / Processos Integrados ou gestor.
Confirma a prioridade final como Baixa, Média, Alta ou Crítica, considerando impacto, risco, urgência e prazo.</text>
  </threadedComment>
  <threadedComment ref="H7" dT="2026-07-29T23:22:35.89" personId="{7126DCC4-7629-48EA-9EA3-E302418676F3}" id="{F2C4DD9E-5743-4A58-9B50-9FA05FE674EE}">
    <text>4. Responsável Atribuído
Origem: distribuição interna da equipe.
Responsável: gestor / CSC.
Confirma se um analista responsável foi oficialmente atribuído para conduzir a demanda.</text>
  </threadedComment>
  <threadedComment ref="I7" dT="2026-07-29T23:22:35.90" personId="{7126DCC4-7629-48EA-9EA3-E302418676F3}" id="{FCDFF7E8-BC0A-4376-B8CD-48A9835959C0}">
    <text>5. Complexidade Avaliada
Origem: análise inicial da demanda.
Responsável: CSC / Processos Integrados.
Confirma a complexidade como Baixa, Média ou Alta, considerando esforço, dependências, volume, sistemas e necessidade técnica.</text>
  </threadedComment>
  <threadedComment ref="J7" dT="2026-07-29T23:22:35.90" personId="{7126DCC4-7629-48EA-9EA3-E302418676F3}" id="{0D4D0267-0049-4E09-A07B-C73F50618C75}">
    <text>6. Categoria Definida
Origem: análise do benefício e natureza da demanda.
Responsável: CSC / Processos Integrados.
Confirma a categoria principal, como Tempo, Financeiro, Qualidade, Compliance, Tecnologia, Pessoas ou Operação.</text>
  </threadedComment>
  <threadedComment ref="K7" dT="2026-07-29T23:22:35.90" personId="{7126DCC4-7629-48EA-9EA3-E302418676F3}" id="{276E9370-468E-4181-8F6A-40A0723D4A2C}">
    <text>7. Projeto Relacionado Vinculado
Origem: formulário, Base Mestre e Cadastros.
Responsável: CSC / Processos Integrados.
Confirma o vínculo com o projeto correto. Quando não existir projeto relacionado, utilizar N/A e registrar a justificativa.</text>
  </threadedComment>
  <threadedComment ref="L7" dT="2026-07-29T23:22:35.90" personId="{7126DCC4-7629-48EA-9EA3-E302418676F3}" id="{029E0B99-2D81-4FA7-85DE-1D737B825D82}">
    <text>8. Controle Atualizado no Tracker
Origem: dados da própria Etapa 02.
Preenchimento: automático / CSC.
Confirma se etapa atual, status, percentual, responsável, datas, bloqueios e avanço foram refletidos corretamente no Workflow (Tracker).</text>
  </threadedComment>
  <threadedComment ref="M7" dT="2026-07-29T23:22:35.90" personId="{7126DCC4-7629-48EA-9EA3-E302418676F3}" id="{119C385E-837D-437D-A56D-39C485579DD2}">
    <text>% da Etapa
Origem: status dos oito critérios.
Preenchimento: automático.
Calcula critérios concluídos divididos pelos critérios aplicáveis. N/A é excluído do denominador e todos os critérios em N/A resultam em 0%.</text>
  </threadedComment>
  <threadedComment ref="N7" dT="2026-07-29T23:22:35.90" personId="{7126DCC4-7629-48EA-9EA3-E302418676F3}" id="{37E63863-938F-48B8-B2D4-88FA80D8120A}">
    <text>Evidência / Referência
Origem: formulário, triagem, link, protocolo, e-mail, ata ou repositório oficial.
Preenchimento: manual ou automático.
Registre apenas onde a evidência pode ser consultada, sem duplicar o conteúdo detalhado da demanda.</text>
  </threadedComment>
  <threadedComment ref="O7" dT="2026-07-29T23:22:35.90" personId="{7126DCC4-7629-48EA-9EA3-E302418676F3}" id="{1B9A1CB0-3507-45A3-A96B-1E5345D2434F}">
    <text>Observação
Preenchimento: manual.
Registre dúvidas, bloqueios, necessidade de complemento, divergências, justificativas de prioridade ou N/A, falhas de atualização e exceções aprovadas.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B7" dT="2026-07-29T23:22:36.01" personId="{7126DCC4-7629-48EA-9EA3-E302418676F3}" id="{2A86E071-25AC-4B19-B5EC-29BB85430E4C}">
    <text>Origem: aba Lançamentos. Preenchimento automático. Identificador único da demanda utilizado em todas as etapas do workflow; não alterar nem duplicar.</text>
  </threadedComment>
  <threadedComment ref="C7" dT="2026-07-29T23:22:36.02" personId="{7126DCC4-7629-48EA-9EA3-E302418676F3}" id="{E12FDCEF-6532-47BC-9305-7E99D44AE643}">
    <text>Origem: aba Lançamentos. Preenchimento automático. Título da demanda, mantido igual à Base Mestre e às etapas anteriores.</text>
  </threadedComment>
  <threadedComment ref="D7" dT="2026-07-29T23:22:36.02" personId="{7126DCC4-7629-48EA-9EA3-E302418676F3}" id="{CEFF7364-78EB-4803-8921-8F2BAD504ABB}">
    <text>Origem: Etapa 02. Preenchimento automático. Pilar definido na triagem; não editar manualmente nesta etapa.</text>
  </threadedComment>
  <threadedComment ref="E7" dT="2026-07-29T23:22:36.02" personId="{7126DCC4-7629-48EA-9EA3-E302418676F3}" id="{9B29AF62-BBEB-4745-95CE-08B95648957A}">
    <text>Validação: confirme que as necessidades foram compreendidas, registradas e documentadas de forma suficiente para orientar a execução.</text>
  </threadedComment>
  <threadedComment ref="F7" dT="2026-07-29T23:22:36.02" personId="{7126DCC4-7629-48EA-9EA3-E302418676F3}" id="{03437B25-535C-466F-BD5D-B4C2947BCD3A}">
    <text>Validação: confirme entregas, itens incluídos, itens fora do escopo, limites e responsabilidades da demanda.</text>
  </threadedComment>
  <threadedComment ref="G7" dT="2026-07-29T23:22:36.02" personId="{7126DCC4-7629-48EA-9EA3-E302418676F3}" id="{DEF17D10-D436-4A57-95FD-0053A8ED54E5}">
    <text>Validação: confirme o mapeamento de riscos, restrições e dependências de áreas, sistemas, acessos, dados, fornecedores e aprovações.</text>
  </threadedComment>
  <threadedComment ref="H7" dT="2026-07-29T23:22:36.02" personId="{7126DCC4-7629-48EA-9EA3-E302418676F3}" id="{82B6E4B8-97E5-47C4-896A-916E41ECC31C}">
    <text>Validação: confirme critérios objetivos, verificáveis e alinhados ao escopo para avaliar e aceitar a entrega.</text>
  </threadedComment>
  <threadedComment ref="I7" dT="2026-07-29T23:22:36.02" personId="{7126DCC4-7629-48EA-9EA3-E302418676F3}" id="{60B1EE99-7C3D-426F-A912-3E206C11DE79}">
    <text>GATE obrigatório: exige aprovação formal do usuário-chave e evidência rastreável. Este critério não aceita N/A e bloqueia o avanço para a E4.</text>
  </threadedComment>
  <threadedComment ref="J7" dT="2026-07-29T23:22:36.02" personId="{7126DCC4-7629-48EA-9EA3-E302418676F3}" id="{57B64B77-F6A6-410A-9EE0-95F53A1103A2}">
    <text>Cálculo automático. Considera critérios concluídos sobre critérios aplicáveis, excluindo N/A. A etapa somente atinge 100% com os cinco critérios concluídos.</text>
  </threadedComment>
  <threadedComment ref="K7" dT="2026-07-29T23:22:36.02" personId="{7126DCC4-7629-48EA-9EA3-E302418676F3}" id="{C6B6488E-8741-4FDA-ABA2-1D7B571EBC1F}">
    <text>Registre somente a localização da evidência: documento de levantamento, ata, e-mail, SharePoint, formulário ou aprovação formal.</text>
  </threadedComment>
  <threadedComment ref="L7" dT="2026-07-29T23:22:36.02" personId="{7126DCC4-7629-48EA-9EA3-E302418676F3}" id="{9701BA4B-3296-40C7-BBF3-34926FA15744}">
    <text>Registre decisões, pendências, riscos, dependências, divergências, bloqueios ou condições especiais. Não replique o documento de levantamento.</text>
  </threadedComment>
</ThreadedComments>
</file>

<file path=xl/threadedComments/threadedComment6.xml><?xml version="1.0" encoding="utf-8"?>
<ThreadedComments xmlns="http://schemas.microsoft.com/office/spreadsheetml/2018/threadedcomments" xmlns:x="http://schemas.openxmlformats.org/spreadsheetml/2006/main">
  <threadedComment ref="B7" dT="2026-07-29T23:22:36.15" personId="{7126DCC4-7629-48EA-9EA3-E302418676F3}" id="{7EC5B691-A227-43A8-9930-C8C74EE259E1}">
    <text>Origem: aba Lançamentos. Preenchimento automático. Identificador único utilizado em todo o workflow; não alterar nem duplicar.</text>
  </threadedComment>
  <threadedComment ref="C7" dT="2026-07-29T23:22:36.15" personId="{7126DCC4-7629-48EA-9EA3-E302418676F3}" id="{9FF7CC89-E5BA-4520-98A3-8515FBDD0DB5}">
    <text>Origem: aba Lançamentos. Preenchimento automático. Nome da demanda mantido igual à Base Mestre.</text>
  </threadedComment>
  <threadedComment ref="D7" dT="2026-07-29T23:22:36.15" personId="{7126DCC4-7629-48EA-9EA3-E302418676F3}" id="{52D4FA32-CE93-4E6C-AEB9-7B2B64931F0C}">
    <text>Origem: Etapa 02 e Base Mestre. Preenchimento automático. Pilar classificado na triagem; não editar manualmente.</text>
  </threadedComment>
  <threadedComment ref="E7" dT="2026-07-29T23:22:36.15" personId="{7126DCC4-7629-48EA-9EA3-E302418676F3}" id="{8E71872D-AFBD-469C-B6BF-3292EAD5926D}">
    <text>Confirme escopo aprovado, entregáveis, responsável, sequência, prazo inicial, recursos, critérios de aceite e dependências.</text>
  </threadedComment>
  <threadedComment ref="F7" dT="2026-07-29T23:22:36.15" personId="{7126DCC4-7629-48EA-9EA3-E302418676F3}" id="{D02D7926-3468-4225-87DA-DB659D58EB6A}">
    <text>Confirme que a entrega foi iniciada e executada conforme o escopo, sem criar subtarefas técnicas nesta aba.</text>
  </threadedComment>
  <threadedComment ref="G7" dT="2026-07-29T23:22:36.15" personId="{7126DCC4-7629-48EA-9EA3-E302418676F3}" id="{71293C44-6CFD-4054-A293-B728F221D612}">
    <text>Confirme o registro de decisões, premissas, mudanças, desvios, riscos e evolução relevante.</text>
  </threadedComment>
  <threadedComment ref="H7" dT="2026-07-29T23:22:36.15" personId="{7126DCC4-7629-48EA-9EA3-E302418676F3}" id="{C246FC71-9F56-43A1-B4A9-4F1D6DD97B2B}">
    <text>Confirme checkpoints, comunicação, atualização de prazo, impedimentos, entregáveis e próximos passos.</text>
  </threadedComment>
  <threadedComment ref="I7" dT="2026-07-29T23:22:36.15" personId="{7126DCC4-7629-48EA-9EA3-E302418676F3}" id="{5C23646C-1759-43C9-8093-F62616C23C7C}">
    <text>Confirme aderência ao escopo, consistência, padronização, documentação, rastreabilidade e ausência de erros impeditivos.</text>
  </threadedComment>
  <threadedComment ref="J7" dT="2026-07-29T23:22:36.15" personId="{7126DCC4-7629-48EA-9EA3-E302418676F3}" id="{EBF875B5-7CED-4611-95D3-6192CADC214A}">
    <text>Condição de saída: confirme que a versão, artefatos, critérios de aceite e usuário homologador estão definidos.</text>
  </threadedComment>
  <threadedComment ref="K7" dT="2026-07-29T23:22:36.15" personId="{7126DCC4-7629-48EA-9EA3-E302418676F3}" id="{A4D246A8-5168-4563-A576-6C3E8A0CBCF6}">
    <text>Confirme que status, percentual, etapa atual, responsável, prazo, bloqueios e próximo passo estão refletidos no Workflow.</text>
  </threadedComment>
  <threadedComment ref="L7" dT="2026-07-29T23:22:36.15" personId="{7126DCC4-7629-48EA-9EA3-E302418676F3}" id="{C8D0F847-5E93-4D3D-BBB9-A4C7CD914244}">
    <text>Cálculo automático. Exclui N/A do denominador e somente chega a 100% com os sete critérios concluídos.</text>
  </threadedComment>
  <threadedComment ref="M7" dT="2026-07-29T23:22:36.15" personId="{7126DCC4-7629-48EA-9EA3-E302418676F3}" id="{B9D64F1C-9E71-4EFB-84AF-9629EA8E12D8}">
    <text>Registre somente a localização dos artefatos: SharePoint, documentação, dashboard, código, Git, POP, estudo ou versão da entrega.</text>
  </threadedComment>
  <threadedComment ref="N7" dT="2026-07-29T23:22:36.16" personId="{7126DCC4-7629-48EA-9EA3-E302418676F3}" id="{19C283F2-4A36-4DB0-9EA3-CB3C727EBEC7}">
    <text>Registre riscos, mudanças de escopo, decisões, bloqueios, dependências, prazos e justificativas de N/A.</text>
  </threadedComment>
</ThreadedComments>
</file>

<file path=xl/threadedComments/threadedComment7.xml><?xml version="1.0" encoding="utf-8"?>
<ThreadedComments xmlns="http://schemas.microsoft.com/office/spreadsheetml/2018/threadedcomments" xmlns:x="http://schemas.openxmlformats.org/spreadsheetml/2006/main">
  <threadedComment ref="B7" dT="2026-07-29T23:22:36.27" personId="{7126DCC4-7629-48EA-9EA3-E302418676F3}" id="{977DEE64-9515-4857-8667-EA766FC7D9AC}">
    <text>Identificador único da demanda, herdado da aba Lançamentos e preservado em todo o workflow.</text>
  </threadedComment>
  <threadedComment ref="C7" dT="2026-07-29T23:22:36.27" personId="{7126DCC4-7629-48EA-9EA3-E302418676F3}" id="{2E122215-29FA-4AC9-802D-981762DEFD45}">
    <text>Título da demanda ou projeto, sincronizado automaticamente com a Base Mestre.</text>
  </threadedComment>
  <threadedComment ref="D7" dT="2026-07-29T23:22:36.27" personId="{7126DCC4-7629-48EA-9EA3-E302418676F3}" id="{DDD79FCF-00B9-4473-9867-5C421662E524}">
    <text>Pilar definido na Etapa 02 e herdado automaticamente nesta etapa.</text>
  </threadedComment>
  <threadedComment ref="E7" dT="2026-07-29T23:22:36.27" personId="{7126DCC4-7629-48EA-9EA3-E302418676F3}" id="{D9A9B673-33EA-41C7-BE43-2DE58C97150F}">
    <text>Confirma que uma versão identificada da entrega foi disponibilizada ao usuário-chave, com acesso, escopo e critérios de aceite disponíveis.</text>
  </threadedComment>
  <threadedComment ref="F7" dT="2026-07-29T23:22:36.27" personId="{7126DCC4-7629-48EA-9EA3-E302418676F3}" id="{75E904C8-816D-41A1-AEEB-1F4AF116262D}">
    <text>Confirma que o usuário-chave analisou ou testou a entrega e registrou aprovação, ressalvas ou reprovação de forma rastreável.</text>
  </threadedComment>
  <threadedComment ref="G7" dT="2026-07-29T23:22:36.27" personId="{7126DCC4-7629-48EA-9EA3-E302418676F3}" id="{70988343-45D2-423C-91EF-503F8A690D14}">
    <text>Confirma a aprovação da gestão quando necessária. Pode ser N/A somente com justificativa em Evidência / Referência ou Observação.</text>
  </threadedComment>
  <threadedComment ref="H7" dT="2026-07-29T23:22:36.27" personId="{7126DCC4-7629-48EA-9EA3-E302418676F3}" id="{E3ADFF7F-3A5B-46F5-AAF2-8A3BBA490AC7}">
    <text>Confirma que erros, inconsistências, melhorias, ressalvas e ajustes da homologação foram documentados, inclusive quando nenhum ajuste foi encontrado.</text>
  </threadedComment>
  <threadedComment ref="I7" dT="2026-07-29T23:22:36.27" personId="{7126DCC4-7629-48EA-9EA3-E302418676F3}" id="{3D658892-7596-4949-9E4C-50114504E605}">
    <text>GATE obrigatório. Formaliza o resultado com data, homologador, versão, decisão, evidência e próximo passo. Não aceita N/A.</text>
  </threadedComment>
  <threadedComment ref="J7" dT="2026-07-29T23:22:36.27" personId="{7126DCC4-7629-48EA-9EA3-E302418676F3}" id="{BB726C8F-2EAA-4889-BFDE-FF4B96CE2CDE}">
    <text>Percentual automático: concluídos divididos pelos critérios aplicáveis. N/A é excluído e o GATE precisa estar concluído.</text>
  </threadedComment>
  <threadedComment ref="K7" dT="2026-07-29T23:22:36.27" personId="{7126DCC4-7629-48EA-9EA3-E302418676F3}" id="{3769784A-4FAE-40F0-B2D4-6DD529EA8D48}">
    <text>Referência para formulário de homologação, ata, e-mail, relatório de testes, versão validada ou repositório oficial.</text>
  </threadedComment>
  <threadedComment ref="L7" dT="2026-07-29T23:22:36.27" personId="{7126DCC4-7629-48EA-9EA3-E302418676F3}" id="{3BC6D5FD-E897-441B-8083-E28D953FB7ED}">
    <text>Use para ressalvas, pendências, decisões, justificativas, reprovação, ajustes ou condições especiais.</text>
  </threadedComment>
  <threadedComment ref="M7" dT="2026-07-29T23:22:36.27" personId="{7126DCC4-7629-48EA-9EA3-E302418676F3}" id="{D971D96C-EB6F-44E2-A308-EFDDCD85D18B}">
    <text>Resultado formal: aprovado sem ajustes segue para E7; aprovado com ajustes ou reprovado segue para E6; pendente permanece na E5.</text>
  </threadedComment>
</ThreadedComments>
</file>

<file path=xl/threadedComments/threadedComment8.xml><?xml version="1.0" encoding="utf-8"?>
<ThreadedComments xmlns="http://schemas.microsoft.com/office/spreadsheetml/2018/threadedcomments" xmlns:x="http://schemas.openxmlformats.org/spreadsheetml/2006/main">
  <threadedComment ref="B7" dT="2026-07-29T23:22:36.40" personId="{7126DCC4-7629-48EA-9EA3-E302418676F3}" id="{816E2536-4111-4F6A-8FCE-327D44F75E11}">
    <text>Identificador único da demanda, herdado da aba Lançamentos e preservado em todas as etapas.</text>
  </threadedComment>
  <threadedComment ref="C7" dT="2026-07-29T23:22:36.40" personId="{7126DCC4-7629-48EA-9EA3-E302418676F3}" id="{E4F54524-1485-4B88-B67B-DAC792099BD9}">
    <text>Título da demanda ou projeto, sincronizado automaticamente com a Base Mestre.</text>
  </threadedComment>
  <threadedComment ref="D7" dT="2026-07-29T23:22:36.41" personId="{7126DCC4-7629-48EA-9EA3-E302418676F3}" id="{E46B1DC8-1F98-4FCB-B8EF-FD8CF0346FD2}">
    <text>Pilar definido na Etapa 02 e herdado automaticamente.</text>
  </threadedComment>
  <threadedComment ref="E7" dT="2026-07-29T23:22:36.41" personId="{7126DCC4-7629-48EA-9EA3-E302418676F3}" id="{12A87A70-D63E-453D-BAFF-F3B63193F7DD}">
    <text>Confirma que os achados da homologação foram analisados, classificados, priorizados e direcionados para tratamento.</text>
  </threadedComment>
  <threadedComment ref="F7" dT="2026-07-29T23:22:36.41" personId="{7126DCC4-7629-48EA-9EA3-E302418676F3}" id="{A7B810DE-2BDD-4228-B2DF-5AF4F47AC82E}">
    <text>Confirma que as correções, melhorias ou refinamentos priorizados foram executados.</text>
  </threadedComment>
  <threadedComment ref="G7" dT="2026-07-29T23:22:36.41" personId="{7126DCC4-7629-48EA-9EA3-E302418676F3}" id="{F2CDB064-6A4F-41B8-A724-61406F9940E5}">
    <text>Confirma que existe uma nova versão identificada da solução com artefatos e documentação atualizados.</text>
  </threadedComment>
  <threadedComment ref="H7" dT="2026-07-29T23:22:36.41" personId="{7126DCC4-7629-48EA-9EA3-E302418676F3}" id="{1CE586CA-8DE0-4BF1-8DC5-1E7DAAA974A0}">
    <text>Confirma que todos os achados foram tratados ou possuem decisão, justificativa e aprovação formal.</text>
  </threadedComment>
  <threadedComment ref="I7" dT="2026-07-29T23:22:36.41" personId="{7126DCC4-7629-48EA-9EA3-E302418676F3}" id="{929D206A-0373-4B17-B17B-FF7C2D249457}">
    <text>Confirma nova validação da solução ajustada quando necessária. Pode ser N/A somente com justificativa.</text>
  </threadedComment>
  <threadedComment ref="J7" dT="2026-07-29T23:22:36.41" personId="{7126DCC4-7629-48EA-9EA3-E302418676F3}" id="{6D932137-3F92-40E1-8EC7-CBBD0B66AC1D}">
    <text>Aceite final obrigatório dos ajustes. Confirma versão aprovada, evidência disponível e liberação para E07. Não aceita N/A.</text>
  </threadedComment>
  <threadedComment ref="K7" dT="2026-07-29T23:22:36.41" personId="{7126DCC4-7629-48EA-9EA3-E302418676F3}" id="{607FD8F8-78C5-40B9-AC06-50416C651A79}">
    <text>Percentual automático dos critérios aplicáveis. Quando a E06 não se aplica, o Tracker registra N/A.</text>
  </threadedComment>
  <threadedComment ref="L7" dT="2026-07-29T23:22:36.41" personId="{7126DCC4-7629-48EA-9EA3-E302418676F3}" id="{8BA3FE7B-B291-4C78-BB38-5D0D490848BE}">
    <text>Referência para lista de achados, plano de ação, nova versão, testes, nova homologação ou aceite final.</text>
  </threadedComment>
  <threadedComment ref="M7" dT="2026-07-29T23:22:36.41" personId="{7126DCC4-7629-48EA-9EA3-E302418676F3}" id="{FC58775D-1515-46E6-B3AB-A6AE0101E76A}">
    <text>Use para decisões, justificativas, pendências remanescentes, dispensa de nova validação, bloqueios e ressalvas.</text>
  </threadedComment>
  <threadedComment ref="N7" dT="2026-07-29T23:22:36.41" personId="{7126DCC4-7629-48EA-9EA3-E302418676F3}" id="{1177380B-EC84-4F4E-ABA5-73CDFFB35A67}">
    <text>Campo automático definido pelo Resultado da Homologação da E05: Sim para ajustes/reprovação; Não para aprovado sem ajustes.</text>
  </threadedComment>
</ThreadedComments>
</file>

<file path=xl/threadedComments/threadedComment9.xml><?xml version="1.0" encoding="utf-8"?>
<ThreadedComments xmlns="http://schemas.microsoft.com/office/spreadsheetml/2018/threadedcomments" xmlns:x="http://schemas.openxmlformats.org/spreadsheetml/2006/main">
  <threadedComment ref="B7" dT="2026-07-29T23:22:36.51" personId="{7126DCC4-7629-48EA-9EA3-E302418676F3}" id="{6595CBE9-5C4B-4C0E-A76D-E6826681E8B1}">
    <text>Origem: aba Lançamentos. Preenchimento automático. Identificador único da demanda, preservado durante todo o workflow.</text>
  </threadedComment>
  <threadedComment ref="C7" dT="2026-07-29T23:22:36.52" personId="{7126DCC4-7629-48EA-9EA3-E302418676F3}" id="{66F24728-C21D-4764-ABDC-95DDDAF7F297}">
    <text>Origem: aba Lançamentos. Preenchimento automático. Nome da demanda ou projeto utilizado para identificação rápida.</text>
  </threadedComment>
  <threadedComment ref="D7" dT="2026-07-29T23:22:36.52" personId="{7126DCC4-7629-48EA-9EA3-E302418676F3}" id="{775E995B-88F0-4F70-9838-07C527887A14}">
    <text>Origem: Etapa 02 — Triagem. Preenchimento automático. Pilar oficial definido para a demanda.</text>
  </threadedComment>
  <threadedComment ref="E7" dT="2026-07-29T23:22:36.52" personId="{7126DCC4-7629-48EA-9EA3-E302418676F3}" id="{05B22993-7820-46AC-8CA9-C3B19BF7DEDA}">
    <text>Confirma que a versão final aprovada foi oficialmente disponibilizada ao usuário ou à área responsável, com acesso e data de implantação registrados.</text>
  </threadedComment>
  <threadedComment ref="F7" dT="2026-07-29T23:22:36.52" personId="{7126DCC4-7629-48EA-9EA3-E302418676F3}" id="{69B32508-8BB1-4156-8BE4-EFE6F4DEE749}">
    <text>Confirma que as partes interessadas foram formalmente comunicadas sobre a entrega, acesso, orientações, suporte e início do acompanhamento.</text>
  </threadedComment>
  <threadedComment ref="G7" dT="2026-07-29T23:22:36.52" personId="{7126DCC4-7629-48EA-9EA3-E302418676F3}" id="{4D3CB829-DACC-4F59-B4B2-89471547DBFE}">
    <text>Confirma que Data de Conclusão, status, percentual, etapa atual e demais controles gerenciais foram atualizados oficialmente.</text>
  </threadedComment>
  <threadedComment ref="H7" dT="2026-07-29T23:22:36.52" personId="{7126DCC4-7629-48EA-9EA3-E302418676F3}" id="{D53B7395-66C7-4788-966D-78AF4ED1C4FC}">
    <text>Confirma que documentos, versões, aceites, comunicações e demais artefatos foram organizados no repositório oficial.</text>
  </threadedComment>
  <threadedComment ref="I7" dT="2026-07-29T23:22:36.52" personId="{7126DCC4-7629-48EA-9EA3-E302418676F3}" id="{9040DD0B-3F25-4E68-B039-E1915EEBECB7}">
    <text>Cálculo automático: critérios concluídos divididos pelos critérios aplicáveis. N/A é excluído do denominador; todos N/A retornam 0%.</text>
  </threadedComment>
  <threadedComment ref="J7" dT="2026-07-29T23:22:36.52" personId="{7126DCC4-7629-48EA-9EA3-E302418676F3}" id="{968FC328-E47A-48DB-AB33-CC97B1B5CE7E}">
    <text>Informe onde os artefatos finais podem ser localizados: SharePoint, Teams, e-mail, versão final, manual, relatório, Git ou outro repositório oficial.</text>
  </threadedComment>
  <threadedComment ref="K7" dT="2026-07-29T23:22:36.52" personId="{7126DCC4-7629-48EA-9EA3-E302418676F3}" id="{B8C1E1A6-4789-4A6F-90F5-E5DE0DEDF9F3}">
    <text>Registre apenas ressalvas finais, orientações, restrições, suporte acordado, pendências não impeditivas ou condições especiais.</text>
  </threadedComment>
</ThreadedComments>
</file>

<file path=xl/threadedComments/threadedComment10.xml><?xml version="1.0" encoding="utf-8"?>
<ThreadedComments xmlns="http://schemas.microsoft.com/office/spreadsheetml/2018/threadedcomments" xmlns:x="http://schemas.openxmlformats.org/spreadsheetml/2006/main">
  <threadedComment ref="B7" dT="2026-07-29T23:22:36.64" personId="{7126DCC4-7629-48EA-9EA3-E302418676F3}" id="{482471B6-9EFC-46A5-B2D1-2BB16EE31DC5}">
    <text>Origem: aba Lançamentos. Identificador automático da demanda original, preservado durante todo o ciclo.</text>
  </threadedComment>
  <threadedComment ref="C7" dT="2026-07-29T23:22:36.64" personId="{7126DCC4-7629-48EA-9EA3-E302418676F3}" id="{CA18C4C2-DEEF-4837-BFDC-BCAC64BE137E}">
    <text>Origem: aba Lançamentos. Título da solução em estabilização, sem duplicar sua descrição detalhada.</text>
  </threadedComment>
  <threadedComment ref="D7" dT="2026-07-29T23:22:36.65" personId="{7126DCC4-7629-48EA-9EA3-E302418676F3}" id="{8C8FCC37-F551-497B-B6D6-50E5C1D80F9C}">
    <text>Origem: Etapa 02 — Triagem. Pilar oficial herdado automaticamente e utilizado em todo o workflow.</text>
  </threadedComment>
  <threadedComment ref="E7" dT="2026-07-29T23:22:36.65" personId="{7126DCC4-7629-48EA-9EA3-E302418676F3}" id="{32FF6A27-A57C-4672-9B9C-C8BB156EBC3F}">
    <text>Confirma que os usuários receberam suporte, orientações, acesso e canais de atendimento durante os primeiros dias de utilização.</text>
  </threadedComment>
  <threadedComment ref="F7" dT="2026-07-29T23:22:36.65" personId="{7126DCC4-7629-48EA-9EA3-E302418676F3}" id="{621985BE-5CEF-44F2-B7AB-B84DBBE2BC6D}">
    <text>Confirma que a solução foi acompanhada em ambiente produtivo durante o período definido de Hypercare.</text>
  </threadedComment>
  <threadedComment ref="G7" dT="2026-07-29T23:22:36.65" personId="{7126DCC4-7629-48EA-9EA3-E302418676F3}" id="{7850DFE3-AB47-48F7-A3C4-8CF828CD6D22}">
    <text>Confirma que dúvidas, incidentes, erros ou feedbacks foram registrados. Quando não houver ocorrências, marcar Concluído e registrar essa informação.</text>
  </threadedComment>
  <threadedComment ref="H7" dT="2026-07-29T23:22:36.65" personId="{7126DCC4-7629-48EA-9EA3-E302418676F3}" id="{B1B3E5D1-CFC3-4769-B054-AB712F1BB4DB}">
    <text>Confirma que correções de baixo impacto e dentro do escopo foram executadas. Quando não houver correções, utilizar N/A com justificativa.</text>
  </threadedComment>
  <threadedComment ref="I7" dT="2026-07-29T23:22:36.65" personId="{7126DCC4-7629-48EA-9EA3-E302418676F3}" id="{E606038B-1F69-44CE-B141-B36B69E92CCA}">
    <text>Confirma que a solução está estável, sem incidentes críticos abertos e apta ao encerramento definitivo. Não aceita N/A.</text>
  </threadedComment>
  <threadedComment ref="J7" dT="2026-07-29T23:22:36.65" personId="{7126DCC4-7629-48EA-9EA3-E302418676F3}" id="{4D3D6AFA-D121-4411-9BC1-1F5E641117CE}">
    <text>Confirma que a demanda original foi encerrada ou que uma evolução relevante gerou nova solicitação com novo ID. Não aceita N/A.</text>
  </threadedComment>
  <threadedComment ref="K7" dT="2026-07-29T23:22:36.65" personId="{7126DCC4-7629-48EA-9EA3-E302418676F3}" id="{288047B5-CB48-4AA4-B8AE-B1AF7B07CF1D}">
    <text>Cálculo automático dos critérios concluídos sobre os aplicáveis. N/A é excluído do denominador e não substitui critérios obrigatórios.</text>
  </threadedComment>
  <threadedComment ref="L7" dT="2026-07-29T23:22:36.65" personId="{7126DCC4-7629-48EA-9EA3-E302418676F3}" id="{4FEE8D5E-04C6-43F3-9AA9-C119A6006C99}">
    <text>Informe chamados, e-mails, logs, relatório de monitoramento, comunicação de encerramento ou referência da nova solicitação.</text>
  </threadedComment>
  <threadedComment ref="M7" dT="2026-07-29T23:22:36.65" personId="{7126DCC4-7629-48EA-9EA3-E302418676F3}" id="{BCAC54E2-568C-4187-87D4-356BC40A6E97}">
    <text>Registre ocorrências relevantes, incidentes, justificativas de N/A, extensão de prazo, decisão de novo ciclo ou ressalvas.</text>
  </threadedComment>
  <threadedComment ref="N7" dT="2026-07-29T23:22:36.65" personId="{7126DCC4-7629-48EA-9EA3-E302418676F3}" id="{9FBB25A4-6F6F-4D50-A3FD-62C674D350BD}">
    <text>Resultado consolidado que orienta o encerramento: estável, nova demanda, incidente crítico ou em estabilização.</text>
  </threadedComment>
  <threadedComment ref="O7" dT="2026-07-29T23:22:36.65" personId="{7126DCC4-7629-48EA-9EA3-E302418676F3}" id="{ED85BEFC-7207-461C-92B6-A0F8612AEC5C}">
    <text>Data de início do período de estabilização. Inicialmente herdada da Data de Conclusão/implantação registrada na Base Mestre.</text>
  </threadedComment>
  <threadedComment ref="P7" dT="2026-07-29T23:22:36.65" personId="{7126DCC4-7629-48EA-9EA3-E302418676F3}" id="{B0716998-C369-4B37-80F3-2156BC109EA2}">
    <text>Prazo ajustável do Hypercare. Padrão do projeto: 7 dias corridos.</text>
  </threadedComment>
  <threadedComment ref="Q7" dT="2026-07-29T23:22:36.66" personId="{7126DCC4-7629-48EA-9EA3-E302418676F3}" id="{8DE29C00-B961-4659-A403-6ECBE4858D7D}">
    <text>Calculado automaticamente como Início do Hypercare mais o prazo definido.</text>
  </threadedComment>
  <threadedComment ref="R7" dT="2026-07-29T23:22:36.66" personId="{7126DCC4-7629-48EA-9EA3-E302418676F3}" id="{489E2129-E6ED-4F57-A0D4-D76547B01F5E}">
    <text>Data real e auditável do encerramento do Hypercare. Preenchimento manual quando o ciclo for formalmente encerrado.</text>
  </threadedComment>
  <threadedComment ref="S7" dT="2026-07-29T23:22:36.66" personId="{7126DCC4-7629-48EA-9EA3-E302418676F3}" id="{C466E956-4EA5-40C6-A780-EAA989588C66}">
    <text>Calculado automaticamente entre o início e a data atual ou a data real de encerramento.</text>
  </threadedComment>
  <threadedComment ref="T7" dT="2026-07-29T23:22:36.66" personId="{7126DCC4-7629-48EA-9EA3-E302418676F3}" id="{7DA9D20B-659C-4BD1-81EA-BFFFC94B19F9}">
    <text>Indica se o Hypercare está dentro do prazo, próximo do encerramento, atrasado ou encerrado.</text>
  </threadedComment>
  <threadedComment ref="U7" dT="2026-07-29T23:22:36.66" personId="{7126DCC4-7629-48EA-9EA3-E302418676F3}" id="{87D3CFB0-A499-4F1A-A772-AD0EC2B951DB}">
    <text>Preencher somente quando o resultado indicar evolução relevante e uma nova solicitação tiver sido aberta.</text>
  </threadedComment>
</ThreadedComments>
</file>

<file path=xl/threadedComments/threadedComment11.xml><?xml version="1.0" encoding="utf-8"?>
<ThreadedComments xmlns="http://schemas.microsoft.com/office/spreadsheetml/2018/threadedcomments" xmlns:x="http://schemas.openxmlformats.org/spreadsheetml/2006/main">
  <threadedComment ref="B5" dT="2026-07-29T23:22:36.78" personId="{7126DCC4-7629-48EA-9EA3-E302418676F3}" id="{1E0C4C17-F894-4BE8-BDF0-D88BAAB21DF2}">
    <text>Preencha a semana (ex.: Semana 28), o período, os nomes e a data. O campo 'Semana' controla o filtro automático das seções 4 a 7 — use exatamente o mesmo texto na coluna Semana da seção 3.</text>
  </threadedComment>
  <threadedComment ref="B13" dT="2026-07-29T23:22:36.78" personId="{7126DCC4-7629-48EA-9EA3-E302418676F3}" id="{2936797F-8BEF-480F-825E-CC37BC7DF609}">
    <text>Preencha em frases curtas e objetivas. É a primeira leitura de contexto do gestor: o que foi entregue, o que travou e onde precisa de ajuda.</text>
  </threadedComment>
  <threadedComment ref="B21" dT="2026-07-29T23:22:36.78" personId="{7126DCC4-7629-48EA-9EA3-E302418676F3}" id="{BB69FBF8-EC5B-4636-A2D6-21949D5D630C}">
    <text>Não preencher — alimentada automaticamente pela aba Lançamentos. Clique no ID para abrir a atividade.</text>
  </threadedComment>
  <threadedComment ref="B44" dT="2026-07-29T23:22:36.78" personId="{7126DCC4-7629-48EA-9EA3-E302418676F3}" id="{D5C73585-0678-45D9-8806-2AC3624C94CB}">
    <text>Preencher: Semana (igual ao campo da Identificação), ID, Status da Semana (dropdown), Motivo, O que foi realizado, Próximo Passo, Necessita Apoio? (dropdown), Responsável pela Pendência, Previsão de Conclusão e Evolução (%). Automáticos: Projeto, Atividade e Semanas Reportadas. ⚠️ As seções 4 a 7 são geradas automaticamente a partir do que você reporta aqui.</text>
  </threadedComment>
  <threadedComment ref="B86" dT="2026-07-29T23:22:36.78" personId="{7126DCC4-7629-48EA-9EA3-E302418676F3}" id="{F3A32D11-E8E4-41D0-9F36-08855586DB5D}">
    <text>Não preencher. Mostra as atividades marcadas 🟢 Concluído na seção 3 na semana atual. Clique no ID para abrir a atividade nos Lançamentos.</text>
  </threadedComment>
  <threadedComment ref="B99" dT="2026-07-29T23:22:36.79" personId="{7126DCC4-7629-48EA-9EA3-E302418676F3}" id="{B7D67654-1D54-4C0B-B580-6B26E5D59118}">
    <text>Não preencher. Gerado da seção 3: linhas da semana atual com 'Responsável pela Pendência' preenchido. Clique na pendência para abrir a atividade.</text>
  </threadedComment>
  <threadedComment ref="B107" dT="2026-07-29T23:22:36.79" personId="{7126DCC4-7629-48EA-9EA3-E302418676F3}" id="{B373E826-816E-49F2-B3BE-C8A8F5810132}">
    <text>Não preencher. Mostra as atividades com status 🔴 Bloqueado na semana atual (seção 3). Clique no ID para abrir a atividade.</text>
  </threadedComment>
  <threadedComment ref="B115" dT="2026-07-29T23:22:36.79" personId="{7126DCC4-7629-48EA-9EA3-E302418676F3}" id="{3E502980-A9FB-4287-BA90-2DDED4CEC946}">
    <text>Não preencher. Mostra as linhas da seção 3 com 'Necessita Apoio? = Sim' na semana atual. Prioridade automática: 🔴 Alta se bloqueado; 🟡 Média nos demais.</text>
  </threadedComment>
  <threadedComment ref="B122" dT="2026-07-29T23:22:36.79" personId="{7126DCC4-7629-48EA-9EA3-E302418676F3}" id="{90A86B01-B0A3-4612-B0D4-5FFBD716DF6B}">
    <text>Analista registra a mensagem da semana; a gestora responde, avalia Performance, Qualidade e Prazo (dropdowns), define a prioridade da próxima semana e registra o feedback.</text>
  </threadedComment>
</ThreadedComments>
</file>

<file path=xl/threadedComments/threadedComment12.xml><?xml version="1.0" encoding="utf-8"?>
<ThreadedComments xmlns="http://schemas.microsoft.com/office/spreadsheetml/2018/threadedcomments" xmlns:x="http://schemas.openxmlformats.org/spreadsheetml/2006/main">
  <threadedComment ref="B5" dT="2026-07-29T23:22:37.02" personId="{7126DCC4-7629-48EA-9EA3-E302418676F3}" id="{BD7DCC2B-B022-4370-94E7-52C2C755E8F1}">
    <text>Lista de Projetos. Fonte única das listas suspensas usadas nas planilhas dos analistas — alterar somente aqui.</text>
  </threadedComment>
  <threadedComment ref="C5" dT="2026-07-29T23:22:37.02" personId="{7126DCC4-7629-48EA-9EA3-E302418676F3}" id="{318CFE10-0BD0-4DE8-8DAD-DFBAB6B4D6FC}">
    <text>Lista de Departamentos. Alimenta os dropdowns nas demais abas.</text>
  </threadedComment>
  <threadedComment ref="D5" dT="2026-07-29T23:22:37.02" personId="{7126DCC4-7629-48EA-9EA3-E302418676F3}" id="{EF7A91B6-A7D3-4307-862C-20B2CE21D84F}">
    <text>Lista de Status da atividade (ex.: Em andamento, Concluído).</text>
  </threadedComment>
  <threadedComment ref="E5" dT="2026-07-29T23:22:37.02" personId="{7126DCC4-7629-48EA-9EA3-E302418676F3}" id="{CA9D9051-DEB0-4897-AACF-F7FFC7201723}">
    <text>Lista de Empresas do grupo.</text>
  </threadedComment>
  <threadedComment ref="F5" dT="2026-07-29T23:22:37.02" personId="{7126DCC4-7629-48EA-9EA3-E302418676F3}" id="{F77690AD-2802-4459-9822-DB6E7AA4EB86}">
    <text>Lista de Prioridade (Alta / Média / Baixa).</text>
  </threadedComment>
  <threadedComment ref="G5" dT="2026-07-29T23:22:37.02" personId="{7126DCC4-7629-48EA-9EA3-E302418676F3}" id="{40B3ECD4-A681-413A-AB83-265F1CDF341B}">
    <text>Lista de níveis de Complexidade.</text>
  </threadedComment>
  <threadedComment ref="H5" dT="2026-07-29T23:22:37.02" personId="{7126DCC4-7629-48EA-9EA3-E302418676F3}" id="{6160FE53-F42D-40C1-B8BD-CD2A6347C7C4}">
    <text>Lista de níveis de Impacto.</text>
  </threadedComment>
  <threadedComment ref="I5" dT="2026-07-29T23:22:37.02" personId="{7126DCC4-7629-48EA-9EA3-E302418676F3}" id="{1073EA59-46EE-4907-9EFF-5FC2641BE3A0}">
    <text>Lista de Categorias de Benefício.</text>
  </threadedComment>
  <threadedComment ref="J5" dT="2026-07-29T23:22:37.02" personId="{7126DCC4-7629-48EA-9EA3-E302418676F3}" id="{CE6E5FEA-4734-4DC4-BF35-AD48E6BC57C3}">
    <text>Valores Sim / Não usados em campos booleanos.</text>
  </threadedComment>
  <threadedComment ref="K5" dT="2026-07-29T23:22:37.02" personId="{7126DCC4-7629-48EA-9EA3-E302418676F3}" id="{EE2E2BAA-AA17-4610-8989-8A59E4690129}">
    <text>Lista dos Pilares de Processos Integrados.</text>
  </threadedComment>
  <threadedComment ref="L5" dT="2026-07-29T23:22:37.02" personId="{7126DCC4-7629-48EA-9EA3-E302418676F3}" id="{2168C379-DC4A-442C-890A-A313B6E3E139}">
    <text>Lista de Departamentos do CSC.</text>
  </threadedComment>
  <threadedComment ref="M5" dT="2026-07-29T23:22:37.02" personId="{7126DCC4-7629-48EA-9EA3-E302418676F3}" id="{E6215D56-C048-470E-A4A4-05D4FDC4A8CF}">
    <text>Papel na atividade (ex.: Responsável, Apoio).</text>
  </threadedComment>
  <threadedComment ref="N5" dT="2026-07-29T23:22:37.02" personId="{7126DCC4-7629-48EA-9EA3-E302418676F3}" id="{BA44AAC2-1552-49FD-A34C-115F95AC98A5}">
    <text>Membros da Equipe de Processos Integrados.</text>
  </threadedComment>
  <threadedComment ref="O5" dT="2026-07-29T23:22:37.03" personId="{7126DCC4-7629-48EA-9EA3-E302418676F3}" id="{0BD47F3A-B3E3-4877-93F5-446EA883D96C}">
    <text>Status da Semana — usado na aba Acompanhamento Semanal.</text>
  </threadedComment>
  <threadedComment ref="P5" dT="2026-07-29T23:22:37.03" personId="{7126DCC4-7629-48EA-9EA3-E302418676F3}" id="{CAB42E4E-C20D-429D-9995-FD97468DCC1F}">
    <text>Motivos do Status da semana.</text>
  </threadedComment>
  <threadedComment ref="Q5" dT="2026-07-29T23:22:37.03" personId="{7126DCC4-7629-48EA-9EA3-E302418676F3}" id="{022DD517-CCD4-4425-A9B4-9E07C304C7CD}">
    <text>Categorias de Impedimento.</text>
  </threadedComment>
  <threadedComment ref="R5" dT="2026-07-29T23:22:37.03" personId="{7126DCC4-7629-48EA-9EA3-E302418676F3}" id="{CFFA152F-3CDD-45AB-A2C6-BC061473C7B6}">
    <text>Escala de Avaliação de Desempenho (aba Acompanhamento).</text>
  </threadedComment>
  <threadedComment ref="S5" dT="2026-07-29T23:22:37.03" personId="{7126DCC4-7629-48EA-9EA3-E302418676F3}" id="{3963D668-F168-45A4-9CDF-44B7AE0F21AD}">
    <text>Escala de Avaliação de Prazo (aba Acompanhamento).</text>
  </threadedComment>
  <threadedComment ref="T5" dT="2026-07-29T23:22:37.03" personId="{7126DCC4-7629-48EA-9EA3-E302418676F3}" id="{67476D67-1317-4783-80FA-62631285B104}">
    <text>Opções do Radar / semáforo (🟢 🟡 🔴).</text>
  </threadedComment>
  <threadedComment ref="V5" dT="2026-07-29T23:22:37.03" personId="{7126DCC4-7629-48EA-9EA3-E302418676F3}" id="{79A1E1B5-304F-4E25-AA54-2EF8848E5127}">
    <text>Bloco auxiliar de MAPEAMENTO. Colunas V–AC vinculam cada Projeto/Pilar/Departamento ao seu intervalo de temas. Não editar sem revisar as fórmulas dependentes.</text>
  </threadedComment>
  <threadedComment ref="AE5" dT="2026-07-29T23:22:37.03" personId="{7126DCC4-7629-48EA-9EA3-E302418676F3}" id="{3B2244A5-2D9F-49C2-8D18-ECE35D279CAF}">
    <text>Bloco de RANGES POR PROJETO (colunas AE–AM). Cada coluna lista os temas do respectivo projeto, usados nas listas suspensas em cascata.</text>
  </threadedComment>
  <threadedComment ref="AO5" dT="2026-07-29T23:22:37.03" personId="{7126DCC4-7629-48EA-9EA3-E302418676F3}" id="{1FC00437-AEE5-4D33-B790-F38BB78DF285}">
    <text>Bloco de RANGES POR PILAR (colunas AO–AT). Temas de cada Pilar de Processos Integrados.</text>
  </threadedComment>
  <threadedComment ref="AV5" dT="2026-07-29T23:22:37.03" personId="{7126DCC4-7629-48EA-9EA3-E302418676F3}" id="{60EC2B5E-CC66-4D2F-97B5-00B47660C75C}">
    <text>Bloco de RANGES POR DEPARTAMENTO CSC (colunas AV–BG). Temas de cada departamento.</text>
  </threadedComment>
  <threadedComment ref="BI5" dT="2026-07-29T23:22:37.03" personId="{7126DCC4-7629-48EA-9EA3-E302418676F3}" id="{3F763FED-E868-4BE6-B25C-0184581AD5AB}">
    <text>Status do Workflow (colunas BI–BJ). Alimenta a aba Workflow (Tracker).</text>
  </threadedComment>
</ThreadedComments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952" row="2">
    <wetp:webextensionref xmlns:r="http://schemas.openxmlformats.org/officeDocument/2006/relationships" r:id="rId1"/>
  </wetp:taskpane>
  <wetp:taskpane dockstate="right" visibility="0" width="565" row="1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1F245F6A-5DD8-4274-BB13-DC1E0BC192FD}">
  <we:reference id="WA200010215" version="2.0.0.0" store="Omex" storeType="OMEX"/>
  <we:alternateReferences>
    <we:reference id="WA200010215" version="2.0.0.0" store="WA200010215" storeType="OMEX"/>
  </we:alternateReferences>
  <we:properties>
    <we:property name="bps.codex_control.document_id" value="&quot;1b1c1504-93e2-4580-8d09-64691c36ace6&quot;"/>
  </we:properties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43EF490B-C85C-4FD3-82AA-0348CE278A5E}">
  <we:reference id="wa200009404" version="1.0.0.8" store="en-US" storeType="OMEX"/>
  <we:alternateReferences>
    <we:reference id="WA200009404" version="1.0.0.8" store="WA200009404" storeType="OMEX"/>
  </we:alternateReferences>
  <we:properties>
    <we:property name="claude.fileId" value="&quot;b03a82e1-ae69-4bf3-8f8c-b8bd5b23759d&quot;"/>
  </we:properties>
  <we:bindings/>
  <we:snapshot xmlns:r="http://schemas.openxmlformats.org/officeDocument/2006/relationships"/>
</we:webextension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3.vml"/><Relationship Id="rId4" Type="http://schemas.microsoft.com/office/2017/10/relationships/threadedComment" Target="../threadedComments/threadedComment3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4.vml"/><Relationship Id="rId4" Type="http://schemas.microsoft.com/office/2017/10/relationships/threadedComment" Target="../threadedComments/threadedComment4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table" Target="../tables/table3.xml"/><Relationship Id="rId1" Type="http://schemas.openxmlformats.org/officeDocument/2006/relationships/vmlDrawing" Target="../drawings/vmlDrawing5.vml"/><Relationship Id="rId4" Type="http://schemas.microsoft.com/office/2017/10/relationships/threadedComment" Target="../threadedComments/threadedComment5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table" Target="../tables/table4.xml"/><Relationship Id="rId1" Type="http://schemas.openxmlformats.org/officeDocument/2006/relationships/vmlDrawing" Target="../drawings/vmlDrawing6.vml"/><Relationship Id="rId4" Type="http://schemas.microsoft.com/office/2017/10/relationships/threadedComment" Target="../threadedComments/threadedComment6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table" Target="../tables/table5.xml"/><Relationship Id="rId1" Type="http://schemas.openxmlformats.org/officeDocument/2006/relationships/vmlDrawing" Target="../drawings/vmlDrawing7.vml"/><Relationship Id="rId4" Type="http://schemas.microsoft.com/office/2017/10/relationships/threadedComment" Target="../threadedComments/threadedComment7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table" Target="../tables/table6.xml"/><Relationship Id="rId1" Type="http://schemas.openxmlformats.org/officeDocument/2006/relationships/vmlDrawing" Target="../drawings/vmlDrawing8.vml"/><Relationship Id="rId4" Type="http://schemas.microsoft.com/office/2017/10/relationships/threadedComment" Target="../threadedComments/threadedComment8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table" Target="../tables/table7.xml"/><Relationship Id="rId1" Type="http://schemas.openxmlformats.org/officeDocument/2006/relationships/vmlDrawing" Target="../drawings/vmlDrawing9.vml"/><Relationship Id="rId4" Type="http://schemas.microsoft.com/office/2017/10/relationships/threadedComment" Target="../threadedComments/threadedComment9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table" Target="../tables/table8.xml"/><Relationship Id="rId1" Type="http://schemas.openxmlformats.org/officeDocument/2006/relationships/vmlDrawing" Target="../drawings/vmlDrawing10.vml"/><Relationship Id="rId4" Type="http://schemas.microsoft.com/office/2017/10/relationships/threadedComment" Target="../threadedComments/threadedComment10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1.xml"/></Relationships>
</file>

<file path=xl/worksheets/_rels/sheet1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2.xml"/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EA886-AFDE-4D9E-9578-30885B694937}">
  <sheetPr>
    <tabColor rgb="FF1F3864"/>
  </sheetPr>
  <dimension ref="A1:E10000"/>
  <sheetViews>
    <sheetView showGridLines="0" tabSelected="1" zoomScale="80" zoomScaleNormal="80" workbookViewId="0"/>
  </sheetViews>
  <sheetFormatPr defaultColWidth="8.7265625" defaultRowHeight="14.5" zeroHeight="1" x14ac:dyDescent="0.35"/>
  <cols>
    <col min="1" max="1" width="2.54296875" customWidth="1"/>
    <col min="2" max="2" width="40" customWidth="1"/>
    <col min="3" max="3" width="27.26953125" customWidth="1"/>
    <col min="4" max="4" width="94.54296875" customWidth="1"/>
    <col min="5" max="5" width="2.54296875" customWidth="1"/>
    <col min="16384" max="16384" width="13.1796875" customWidth="1"/>
  </cols>
  <sheetData>
    <row r="1" spans="1:5" ht="14" customHeight="1" x14ac:dyDescent="0.35">
      <c r="A1" s="246"/>
      <c r="B1" s="77"/>
      <c r="C1" s="77"/>
      <c r="D1" s="77"/>
      <c r="E1" s="246"/>
    </row>
    <row r="2" spans="1:5" ht="40" customHeight="1" x14ac:dyDescent="0.7">
      <c r="A2" s="246"/>
      <c r="B2" s="78" t="s">
        <v>858</v>
      </c>
      <c r="C2" s="82"/>
      <c r="D2" s="82"/>
      <c r="E2" s="247"/>
    </row>
    <row r="3" spans="1:5" ht="20" customHeight="1" x14ac:dyDescent="0.35">
      <c r="A3" s="246"/>
      <c r="B3" s="112" t="s">
        <v>942</v>
      </c>
      <c r="C3" s="82"/>
      <c r="D3" s="82"/>
      <c r="E3" s="247"/>
    </row>
    <row r="4" spans="1:5" ht="18" customHeight="1" x14ac:dyDescent="0.35">
      <c r="A4" s="246"/>
      <c r="B4" s="113" t="s">
        <v>633</v>
      </c>
      <c r="C4" s="82"/>
      <c r="D4" s="82"/>
      <c r="E4" s="247"/>
    </row>
    <row r="5" spans="1:5" ht="10" customHeight="1" x14ac:dyDescent="0.35">
      <c r="A5" s="246"/>
      <c r="B5" s="82"/>
      <c r="C5" s="82"/>
      <c r="D5" s="82"/>
      <c r="E5" s="247"/>
    </row>
    <row r="6" spans="1:5" ht="5" customHeight="1" x14ac:dyDescent="0.35">
      <c r="A6" s="246"/>
      <c r="B6" s="79"/>
      <c r="C6" s="79"/>
      <c r="D6" s="79"/>
      <c r="E6" s="246"/>
    </row>
    <row r="7" spans="1:5" ht="22" customHeight="1" thickBot="1" x14ac:dyDescent="0.4">
      <c r="A7" s="246"/>
      <c r="B7" s="80" t="s">
        <v>572</v>
      </c>
      <c r="C7" s="80"/>
      <c r="D7" s="80"/>
      <c r="E7" s="246"/>
    </row>
    <row r="8" spans="1:5" s="2" customFormat="1" ht="19" customHeight="1" x14ac:dyDescent="0.35">
      <c r="A8" s="248"/>
      <c r="B8" s="251" t="s">
        <v>573</v>
      </c>
      <c r="C8" s="252" t="s">
        <v>220</v>
      </c>
      <c r="D8" s="252"/>
      <c r="E8" s="248"/>
    </row>
    <row r="9" spans="1:5" s="2" customFormat="1" ht="19" customHeight="1" x14ac:dyDescent="0.35">
      <c r="A9" s="248"/>
      <c r="B9" s="249" t="s">
        <v>574</v>
      </c>
      <c r="C9" s="250" t="str">
        <f>Prefixo&amp;" — Não alterar (garante ID único na consolidação)"</f>
        <v>VL — Não alterar (garante ID único na consolidação)</v>
      </c>
      <c r="D9" s="250"/>
      <c r="E9" s="248"/>
    </row>
    <row r="10" spans="1:5" s="2" customFormat="1" ht="19" customHeight="1" x14ac:dyDescent="0.35">
      <c r="A10" s="248"/>
      <c r="B10" s="249" t="s">
        <v>4</v>
      </c>
      <c r="C10" s="250" t="s">
        <v>5</v>
      </c>
      <c r="D10" s="250"/>
      <c r="E10" s="248"/>
    </row>
    <row r="11" spans="1:5" s="2" customFormat="1" ht="19" customHeight="1" x14ac:dyDescent="0.35">
      <c r="A11" s="248"/>
      <c r="B11" s="249" t="s">
        <v>6</v>
      </c>
      <c r="C11" s="250" t="s">
        <v>7</v>
      </c>
      <c r="D11" s="250"/>
      <c r="E11" s="248"/>
    </row>
    <row r="12" spans="1:5" s="2" customFormat="1" ht="19" customHeight="1" x14ac:dyDescent="0.35">
      <c r="A12" s="248"/>
      <c r="B12" s="249" t="s">
        <v>575</v>
      </c>
      <c r="C12" s="250" t="s">
        <v>576</v>
      </c>
      <c r="D12" s="250"/>
      <c r="E12" s="248"/>
    </row>
    <row r="13" spans="1:5" s="2" customFormat="1" ht="19" customHeight="1" x14ac:dyDescent="0.35">
      <c r="A13" s="248"/>
      <c r="B13" s="249" t="s">
        <v>577</v>
      </c>
      <c r="C13" s="253">
        <f ca="1">TODAY()</f>
        <v>46233</v>
      </c>
      <c r="D13" s="250"/>
      <c r="E13" s="248"/>
    </row>
    <row r="14" spans="1:5" ht="12" customHeight="1" x14ac:dyDescent="0.35">
      <c r="A14" s="246"/>
      <c r="B14" s="77"/>
      <c r="C14" s="77"/>
      <c r="D14" s="77"/>
      <c r="E14" s="246"/>
    </row>
    <row r="15" spans="1:5" ht="22" customHeight="1" thickBot="1" x14ac:dyDescent="0.4">
      <c r="A15" s="246"/>
      <c r="B15" s="81" t="s">
        <v>578</v>
      </c>
      <c r="C15" s="81"/>
      <c r="D15" s="81"/>
      <c r="E15" s="246"/>
    </row>
    <row r="16" spans="1:5" ht="17" customHeight="1" x14ac:dyDescent="0.35">
      <c r="A16" s="246"/>
      <c r="B16" s="77" t="s">
        <v>579</v>
      </c>
      <c r="C16" s="77"/>
      <c r="D16" s="77"/>
      <c r="E16" s="246"/>
    </row>
    <row r="17" spans="1:5" ht="17" customHeight="1" x14ac:dyDescent="0.35">
      <c r="A17" s="246"/>
      <c r="B17" s="77" t="s">
        <v>847</v>
      </c>
      <c r="C17" s="77"/>
      <c r="D17" s="77"/>
      <c r="E17" s="246"/>
    </row>
    <row r="18" spans="1:5" ht="17" customHeight="1" x14ac:dyDescent="0.35">
      <c r="A18" s="246"/>
      <c r="B18" s="77" t="s">
        <v>848</v>
      </c>
      <c r="C18" s="77"/>
      <c r="D18" s="77"/>
      <c r="E18" s="246"/>
    </row>
    <row r="19" spans="1:5" ht="12" customHeight="1" x14ac:dyDescent="0.35">
      <c r="A19" s="246"/>
      <c r="B19" s="77"/>
      <c r="C19" s="77"/>
      <c r="D19" s="77"/>
      <c r="E19" s="246"/>
    </row>
    <row r="20" spans="1:5" ht="22" customHeight="1" thickBot="1" x14ac:dyDescent="0.4">
      <c r="A20" s="246"/>
      <c r="B20" s="81" t="s">
        <v>857</v>
      </c>
      <c r="C20" s="81"/>
      <c r="D20" s="81"/>
      <c r="E20" s="246"/>
    </row>
    <row r="21" spans="1:5" ht="24" customHeight="1" x14ac:dyDescent="0.35">
      <c r="A21" s="246"/>
      <c r="B21" s="399" t="s">
        <v>580</v>
      </c>
      <c r="C21" s="400" t="s">
        <v>581</v>
      </c>
      <c r="D21" s="399" t="s">
        <v>582</v>
      </c>
      <c r="E21" s="246"/>
    </row>
    <row r="22" spans="1:5" ht="30" customHeight="1" x14ac:dyDescent="0.35">
      <c r="A22" s="246"/>
      <c r="B22" s="83" t="s">
        <v>84</v>
      </c>
      <c r="C22" s="84" t="s">
        <v>849</v>
      </c>
      <c r="D22" s="85" t="s">
        <v>583</v>
      </c>
      <c r="E22" s="246"/>
    </row>
    <row r="23" spans="1:5" ht="30" customHeight="1" x14ac:dyDescent="0.35">
      <c r="A23" s="246"/>
      <c r="B23" s="86" t="s">
        <v>85</v>
      </c>
      <c r="C23" s="87" t="s">
        <v>850</v>
      </c>
      <c r="D23" s="88" t="s">
        <v>584</v>
      </c>
      <c r="E23" s="246"/>
    </row>
    <row r="24" spans="1:5" ht="30" customHeight="1" x14ac:dyDescent="0.35">
      <c r="A24" s="246"/>
      <c r="B24" s="89" t="s">
        <v>585</v>
      </c>
      <c r="C24" s="91" t="s">
        <v>851</v>
      </c>
      <c r="D24" s="90" t="s">
        <v>586</v>
      </c>
      <c r="E24" s="246"/>
    </row>
    <row r="25" spans="1:5" ht="30" customHeight="1" x14ac:dyDescent="0.35">
      <c r="A25" s="246"/>
      <c r="B25" s="86" t="s">
        <v>87</v>
      </c>
      <c r="C25" s="87" t="s">
        <v>852</v>
      </c>
      <c r="D25" s="88" t="s">
        <v>587</v>
      </c>
      <c r="E25" s="246"/>
    </row>
    <row r="26" spans="1:5" ht="30" customHeight="1" x14ac:dyDescent="0.35">
      <c r="A26" s="246"/>
      <c r="B26" s="89" t="s">
        <v>588</v>
      </c>
      <c r="C26" s="91" t="s">
        <v>851</v>
      </c>
      <c r="D26" s="90" t="s">
        <v>589</v>
      </c>
      <c r="E26" s="246"/>
    </row>
    <row r="27" spans="1:5" ht="30" customHeight="1" x14ac:dyDescent="0.35">
      <c r="A27" s="246"/>
      <c r="B27" s="86" t="s">
        <v>89</v>
      </c>
      <c r="C27" s="87" t="s">
        <v>853</v>
      </c>
      <c r="D27" s="88" t="s">
        <v>590</v>
      </c>
      <c r="E27" s="246"/>
    </row>
    <row r="28" spans="1:5" ht="30" customHeight="1" x14ac:dyDescent="0.35">
      <c r="A28" s="246"/>
      <c r="B28" s="92" t="s">
        <v>90</v>
      </c>
      <c r="C28" s="94" t="s">
        <v>854</v>
      </c>
      <c r="D28" s="93" t="s">
        <v>591</v>
      </c>
      <c r="E28" s="246"/>
    </row>
    <row r="29" spans="1:5" ht="30" customHeight="1" x14ac:dyDescent="0.35">
      <c r="A29" s="246"/>
      <c r="B29" s="86" t="s">
        <v>592</v>
      </c>
      <c r="C29" s="87" t="s">
        <v>855</v>
      </c>
      <c r="D29" s="88" t="s">
        <v>593</v>
      </c>
      <c r="E29" s="246"/>
    </row>
    <row r="30" spans="1:5" ht="12" customHeight="1" x14ac:dyDescent="0.35">
      <c r="A30" s="246"/>
      <c r="B30" s="77"/>
      <c r="C30" s="77"/>
      <c r="D30" s="77"/>
      <c r="E30" s="246"/>
    </row>
    <row r="31" spans="1:5" ht="22" customHeight="1" thickBot="1" x14ac:dyDescent="0.4">
      <c r="A31" s="246"/>
      <c r="B31" s="81" t="s">
        <v>856</v>
      </c>
      <c r="C31" s="81"/>
      <c r="D31" s="81"/>
      <c r="E31" s="246"/>
    </row>
    <row r="32" spans="1:5" ht="24" customHeight="1" x14ac:dyDescent="0.35">
      <c r="A32" s="246"/>
      <c r="B32" s="399" t="s">
        <v>594</v>
      </c>
      <c r="C32" s="400" t="s">
        <v>581</v>
      </c>
      <c r="D32" s="399" t="s">
        <v>595</v>
      </c>
      <c r="E32" s="246"/>
    </row>
    <row r="33" spans="1:5" ht="30" customHeight="1" x14ac:dyDescent="0.35">
      <c r="A33" s="246"/>
      <c r="B33" s="83" t="s">
        <v>596</v>
      </c>
      <c r="C33" s="84" t="s">
        <v>597</v>
      </c>
      <c r="D33" s="85" t="s">
        <v>598</v>
      </c>
      <c r="E33" s="246"/>
    </row>
    <row r="34" spans="1:5" ht="30" customHeight="1" x14ac:dyDescent="0.35">
      <c r="A34" s="246"/>
      <c r="B34" s="86" t="s">
        <v>204</v>
      </c>
      <c r="C34" s="95" t="s">
        <v>599</v>
      </c>
      <c r="D34" s="88" t="s">
        <v>836</v>
      </c>
      <c r="E34" s="246"/>
    </row>
    <row r="35" spans="1:5" ht="30" customHeight="1" x14ac:dyDescent="0.35">
      <c r="A35" s="246"/>
      <c r="B35" s="83" t="s">
        <v>600</v>
      </c>
      <c r="C35" s="84" t="s">
        <v>597</v>
      </c>
      <c r="D35" s="85" t="s">
        <v>601</v>
      </c>
      <c r="E35" s="246"/>
    </row>
    <row r="36" spans="1:5" ht="30" customHeight="1" x14ac:dyDescent="0.35">
      <c r="A36" s="246"/>
      <c r="B36" s="86" t="s">
        <v>602</v>
      </c>
      <c r="C36" s="96" t="s">
        <v>603</v>
      </c>
      <c r="D36" s="88" t="s">
        <v>937</v>
      </c>
      <c r="E36" s="246"/>
    </row>
    <row r="37" spans="1:5" ht="30" customHeight="1" x14ac:dyDescent="0.35">
      <c r="A37" s="246"/>
      <c r="B37" s="83" t="s">
        <v>604</v>
      </c>
      <c r="C37" s="97" t="s">
        <v>599</v>
      </c>
      <c r="D37" s="85" t="s">
        <v>605</v>
      </c>
      <c r="E37" s="246"/>
    </row>
    <row r="38" spans="1:5" ht="30" customHeight="1" x14ac:dyDescent="0.35">
      <c r="A38" s="246"/>
      <c r="B38" s="86" t="s">
        <v>84</v>
      </c>
      <c r="C38" s="96" t="s">
        <v>603</v>
      </c>
      <c r="D38" s="88" t="s">
        <v>606</v>
      </c>
      <c r="E38" s="246"/>
    </row>
    <row r="39" spans="1:5" ht="30" customHeight="1" x14ac:dyDescent="0.35">
      <c r="A39" s="246"/>
      <c r="B39" s="83" t="s">
        <v>85</v>
      </c>
      <c r="C39" s="98" t="s">
        <v>603</v>
      </c>
      <c r="D39" s="85" t="s">
        <v>607</v>
      </c>
      <c r="E39" s="246"/>
    </row>
    <row r="40" spans="1:5" ht="30" customHeight="1" x14ac:dyDescent="0.35">
      <c r="A40" s="246"/>
      <c r="B40" s="86" t="s">
        <v>585</v>
      </c>
      <c r="C40" s="99" t="s">
        <v>608</v>
      </c>
      <c r="D40" s="88" t="s">
        <v>609</v>
      </c>
      <c r="E40" s="246"/>
    </row>
    <row r="41" spans="1:5" ht="30" customHeight="1" x14ac:dyDescent="0.35">
      <c r="A41" s="246"/>
      <c r="B41" s="83" t="s">
        <v>87</v>
      </c>
      <c r="C41" s="98" t="s">
        <v>603</v>
      </c>
      <c r="D41" s="85" t="s">
        <v>610</v>
      </c>
      <c r="E41" s="246"/>
    </row>
    <row r="42" spans="1:5" ht="30" customHeight="1" x14ac:dyDescent="0.35">
      <c r="A42" s="246"/>
      <c r="B42" s="86" t="s">
        <v>588</v>
      </c>
      <c r="C42" s="99" t="s">
        <v>608</v>
      </c>
      <c r="D42" s="88" t="s">
        <v>611</v>
      </c>
      <c r="E42" s="246"/>
    </row>
    <row r="43" spans="1:5" ht="30" customHeight="1" x14ac:dyDescent="0.35">
      <c r="A43" s="246"/>
      <c r="B43" s="83" t="s">
        <v>89</v>
      </c>
      <c r="C43" s="98" t="s">
        <v>603</v>
      </c>
      <c r="D43" s="85" t="s">
        <v>612</v>
      </c>
      <c r="E43" s="246"/>
    </row>
    <row r="44" spans="1:5" ht="30" customHeight="1" x14ac:dyDescent="0.35">
      <c r="A44" s="246"/>
      <c r="B44" s="86" t="s">
        <v>90</v>
      </c>
      <c r="C44" s="96" t="s">
        <v>603</v>
      </c>
      <c r="D44" s="88" t="s">
        <v>613</v>
      </c>
      <c r="E44" s="246"/>
    </row>
    <row r="45" spans="1:5" ht="30" customHeight="1" x14ac:dyDescent="0.35">
      <c r="A45" s="246"/>
      <c r="B45" s="83" t="s">
        <v>614</v>
      </c>
      <c r="C45" s="98" t="s">
        <v>603</v>
      </c>
      <c r="D45" s="85" t="s">
        <v>615</v>
      </c>
      <c r="E45" s="246"/>
    </row>
    <row r="46" spans="1:5" ht="30" customHeight="1" x14ac:dyDescent="0.35">
      <c r="A46" s="246"/>
      <c r="B46" s="86" t="s">
        <v>616</v>
      </c>
      <c r="C46" s="96" t="s">
        <v>603</v>
      </c>
      <c r="D46" s="88" t="s">
        <v>617</v>
      </c>
      <c r="E46" s="246"/>
    </row>
    <row r="47" spans="1:5" ht="30" customHeight="1" x14ac:dyDescent="0.35">
      <c r="A47" s="246"/>
      <c r="B47" s="83" t="s">
        <v>618</v>
      </c>
      <c r="C47" s="97" t="s">
        <v>597</v>
      </c>
      <c r="D47" s="85" t="s">
        <v>619</v>
      </c>
      <c r="E47" s="246"/>
    </row>
    <row r="48" spans="1:5" ht="30" customHeight="1" x14ac:dyDescent="0.35">
      <c r="A48" s="246"/>
      <c r="B48" s="86" t="s">
        <v>838</v>
      </c>
      <c r="C48" s="87" t="s">
        <v>839</v>
      </c>
      <c r="D48" s="88" t="s">
        <v>840</v>
      </c>
      <c r="E48" s="246"/>
    </row>
    <row r="49" spans="1:5" ht="12" customHeight="1" x14ac:dyDescent="0.35">
      <c r="A49" s="246"/>
      <c r="B49" s="77"/>
      <c r="C49" s="77"/>
      <c r="D49" s="77"/>
      <c r="E49" s="246"/>
    </row>
    <row r="50" spans="1:5" ht="22" customHeight="1" x14ac:dyDescent="0.35">
      <c r="A50" s="246"/>
      <c r="B50" s="80" t="s">
        <v>620</v>
      </c>
      <c r="C50" s="80"/>
      <c r="D50" s="80"/>
      <c r="E50" s="246"/>
    </row>
    <row r="51" spans="1:5" ht="19" customHeight="1" x14ac:dyDescent="0.35">
      <c r="A51" s="246"/>
      <c r="B51" s="102" t="s">
        <v>0</v>
      </c>
      <c r="C51" s="103"/>
      <c r="D51" s="106"/>
      <c r="E51" s="246"/>
    </row>
    <row r="52" spans="1:5" ht="19" customHeight="1" x14ac:dyDescent="0.35">
      <c r="A52" s="246"/>
      <c r="B52" s="101" t="s">
        <v>621</v>
      </c>
      <c r="C52" s="100"/>
      <c r="D52" s="107"/>
      <c r="E52" s="246"/>
    </row>
    <row r="53" spans="1:5" ht="19" customHeight="1" x14ac:dyDescent="0.35">
      <c r="A53" s="246"/>
      <c r="B53" s="101" t="s">
        <v>1</v>
      </c>
      <c r="C53" s="100"/>
      <c r="D53" s="107"/>
      <c r="E53" s="246"/>
    </row>
    <row r="54" spans="1:5" ht="19" customHeight="1" x14ac:dyDescent="0.35">
      <c r="A54" s="246"/>
      <c r="B54" s="101" t="s">
        <v>622</v>
      </c>
      <c r="C54" s="100"/>
      <c r="D54" s="107"/>
      <c r="E54" s="246"/>
    </row>
    <row r="55" spans="1:5" ht="19" customHeight="1" x14ac:dyDescent="0.35">
      <c r="A55" s="246"/>
      <c r="B55" s="104" t="s">
        <v>623</v>
      </c>
      <c r="C55" s="105"/>
      <c r="D55" s="108"/>
      <c r="E55" s="246"/>
    </row>
    <row r="56" spans="1:5" ht="16" customHeight="1" x14ac:dyDescent="0.35">
      <c r="A56" s="246"/>
      <c r="B56" s="77"/>
      <c r="C56" s="77"/>
      <c r="D56" s="77"/>
      <c r="E56" s="246"/>
    </row>
    <row r="57" spans="1:5" ht="20" customHeight="1" x14ac:dyDescent="0.35">
      <c r="A57" s="246"/>
      <c r="B57" s="111" t="str">
        <f>"SGPI · Sistema de Gestão de Processos Integrados — Torre Financeira CSC · Arquivo: "&amp;NomeArquivo</f>
        <v>SGPI · Sistema de Gestão de Processos Integrados — Torre Financeira CSC · Arquivo: base-atividades-viviane_lima</v>
      </c>
      <c r="C57" s="109"/>
      <c r="D57" s="110" t="str">
        <f ca="1">"Documento controlado · Atualizado em "&amp;TEXT(TODAY(),"dd/mm/aaaa")</f>
        <v>Documento controlado · Atualizado em 30/07/2026</v>
      </c>
      <c r="E57" s="246"/>
    </row>
    <row r="58" spans="1:5" x14ac:dyDescent="0.35">
      <c r="A58" s="246"/>
      <c r="B58" s="77"/>
      <c r="C58" s="77"/>
      <c r="D58" s="77"/>
      <c r="E58" s="246"/>
    </row>
    <row r="59" spans="1:5" x14ac:dyDescent="0.35"/>
    <row r="60" spans="1:5" x14ac:dyDescent="0.35"/>
    <row r="61" spans="1:5" x14ac:dyDescent="0.35"/>
    <row r="62" spans="1:5" x14ac:dyDescent="0.35"/>
    <row r="63" spans="1:5" x14ac:dyDescent="0.35"/>
    <row r="64" spans="1:5" x14ac:dyDescent="0.35"/>
    <row r="65" x14ac:dyDescent="0.35"/>
    <row r="66" x14ac:dyDescent="0.35"/>
    <row r="67" x14ac:dyDescent="0.35"/>
    <row r="68" x14ac:dyDescent="0.35"/>
    <row r="69" x14ac:dyDescent="0.35"/>
    <row r="70" x14ac:dyDescent="0.35"/>
    <row r="71" x14ac:dyDescent="0.35"/>
    <row r="72" x14ac:dyDescent="0.35"/>
    <row r="73" x14ac:dyDescent="0.35"/>
    <row r="74" x14ac:dyDescent="0.35"/>
    <row r="75" x14ac:dyDescent="0.35"/>
    <row r="76" x14ac:dyDescent="0.35"/>
    <row r="77" x14ac:dyDescent="0.35"/>
    <row r="78" x14ac:dyDescent="0.35"/>
    <row r="79" x14ac:dyDescent="0.35"/>
    <row r="80" x14ac:dyDescent="0.35"/>
    <row r="81" x14ac:dyDescent="0.35"/>
    <row r="82" x14ac:dyDescent="0.35"/>
    <row r="83" x14ac:dyDescent="0.35"/>
    <row r="84" x14ac:dyDescent="0.35"/>
    <row r="85" x14ac:dyDescent="0.35"/>
    <row r="86" x14ac:dyDescent="0.35"/>
    <row r="87" x14ac:dyDescent="0.35"/>
    <row r="88" x14ac:dyDescent="0.35"/>
    <row r="89" x14ac:dyDescent="0.35"/>
    <row r="90" x14ac:dyDescent="0.35"/>
    <row r="91" x14ac:dyDescent="0.35"/>
    <row r="92" x14ac:dyDescent="0.35"/>
    <row r="93" x14ac:dyDescent="0.35"/>
    <row r="94" x14ac:dyDescent="0.35"/>
    <row r="95" x14ac:dyDescent="0.35"/>
    <row r="96" x14ac:dyDescent="0.35"/>
    <row r="97" x14ac:dyDescent="0.35"/>
    <row r="98" x14ac:dyDescent="0.35"/>
    <row r="99" x14ac:dyDescent="0.35"/>
    <row r="100" x14ac:dyDescent="0.35"/>
    <row r="101" x14ac:dyDescent="0.35"/>
    <row r="102" x14ac:dyDescent="0.35"/>
    <row r="103" x14ac:dyDescent="0.35"/>
    <row r="104" x14ac:dyDescent="0.35"/>
    <row r="105" x14ac:dyDescent="0.35"/>
    <row r="106" x14ac:dyDescent="0.35"/>
    <row r="107" x14ac:dyDescent="0.35"/>
    <row r="108" x14ac:dyDescent="0.35"/>
    <row r="109" x14ac:dyDescent="0.35"/>
    <row r="110" x14ac:dyDescent="0.35"/>
    <row r="111" x14ac:dyDescent="0.35"/>
    <row r="112" x14ac:dyDescent="0.35"/>
    <row r="113" x14ac:dyDescent="0.35"/>
    <row r="114" x14ac:dyDescent="0.35"/>
    <row r="115" x14ac:dyDescent="0.35"/>
    <row r="116" x14ac:dyDescent="0.35"/>
    <row r="117" x14ac:dyDescent="0.35"/>
    <row r="118" x14ac:dyDescent="0.35"/>
    <row r="119" x14ac:dyDescent="0.35"/>
    <row r="120" x14ac:dyDescent="0.35"/>
    <row r="121" x14ac:dyDescent="0.35"/>
    <row r="122" x14ac:dyDescent="0.35"/>
    <row r="123" x14ac:dyDescent="0.35"/>
    <row r="124" x14ac:dyDescent="0.35"/>
    <row r="125" x14ac:dyDescent="0.35"/>
    <row r="126" x14ac:dyDescent="0.35"/>
    <row r="127" x14ac:dyDescent="0.35"/>
    <row r="128" x14ac:dyDescent="0.35"/>
    <row r="129" x14ac:dyDescent="0.35"/>
    <row r="130" x14ac:dyDescent="0.35"/>
    <row r="131" x14ac:dyDescent="0.35"/>
    <row r="132" x14ac:dyDescent="0.35"/>
    <row r="133" x14ac:dyDescent="0.35"/>
    <row r="134" x14ac:dyDescent="0.35"/>
    <row r="135" x14ac:dyDescent="0.35"/>
    <row r="136" x14ac:dyDescent="0.35"/>
    <row r="137" x14ac:dyDescent="0.35"/>
    <row r="138" x14ac:dyDescent="0.35"/>
    <row r="139" x14ac:dyDescent="0.35"/>
    <row r="140" x14ac:dyDescent="0.35"/>
    <row r="141" x14ac:dyDescent="0.35"/>
    <row r="142" x14ac:dyDescent="0.35"/>
    <row r="143" x14ac:dyDescent="0.35"/>
    <row r="144" x14ac:dyDescent="0.35"/>
    <row r="145" x14ac:dyDescent="0.35"/>
    <row r="146" x14ac:dyDescent="0.35"/>
    <row r="147" x14ac:dyDescent="0.35"/>
    <row r="148" x14ac:dyDescent="0.35"/>
    <row r="149" x14ac:dyDescent="0.35"/>
    <row r="150" x14ac:dyDescent="0.35"/>
    <row r="151" x14ac:dyDescent="0.35"/>
    <row r="152" x14ac:dyDescent="0.35"/>
    <row r="153" x14ac:dyDescent="0.35"/>
    <row r="154" x14ac:dyDescent="0.35"/>
    <row r="155" x14ac:dyDescent="0.35"/>
    <row r="156" x14ac:dyDescent="0.35"/>
    <row r="157" x14ac:dyDescent="0.35"/>
    <row r="158" x14ac:dyDescent="0.35"/>
    <row r="159" x14ac:dyDescent="0.35"/>
    <row r="160" x14ac:dyDescent="0.35"/>
    <row r="161" x14ac:dyDescent="0.35"/>
    <row r="162" x14ac:dyDescent="0.35"/>
    <row r="163" x14ac:dyDescent="0.35"/>
    <row r="164" x14ac:dyDescent="0.35"/>
    <row r="165" x14ac:dyDescent="0.35"/>
    <row r="166" x14ac:dyDescent="0.35"/>
    <row r="167" x14ac:dyDescent="0.35"/>
    <row r="168" x14ac:dyDescent="0.35"/>
    <row r="169" x14ac:dyDescent="0.35"/>
    <row r="170" x14ac:dyDescent="0.35"/>
    <row r="171" x14ac:dyDescent="0.35"/>
    <row r="172" x14ac:dyDescent="0.35"/>
    <row r="173" x14ac:dyDescent="0.35"/>
    <row r="174" x14ac:dyDescent="0.35"/>
    <row r="175" x14ac:dyDescent="0.35"/>
    <row r="176" x14ac:dyDescent="0.35"/>
    <row r="177" x14ac:dyDescent="0.35"/>
    <row r="178" x14ac:dyDescent="0.35"/>
    <row r="179" x14ac:dyDescent="0.35"/>
    <row r="180" x14ac:dyDescent="0.35"/>
    <row r="181" x14ac:dyDescent="0.35"/>
    <row r="182" x14ac:dyDescent="0.35"/>
    <row r="183" x14ac:dyDescent="0.35"/>
    <row r="184" x14ac:dyDescent="0.35"/>
    <row r="185" x14ac:dyDescent="0.35"/>
    <row r="186" x14ac:dyDescent="0.35"/>
    <row r="187" x14ac:dyDescent="0.35"/>
    <row r="188" x14ac:dyDescent="0.35"/>
    <row r="189" x14ac:dyDescent="0.35"/>
    <row r="190" x14ac:dyDescent="0.35"/>
    <row r="191" x14ac:dyDescent="0.35"/>
    <row r="192" x14ac:dyDescent="0.35"/>
    <row r="193" x14ac:dyDescent="0.35"/>
    <row r="194" x14ac:dyDescent="0.35"/>
    <row r="195" x14ac:dyDescent="0.35"/>
    <row r="196" x14ac:dyDescent="0.35"/>
    <row r="197" x14ac:dyDescent="0.35"/>
    <row r="198" x14ac:dyDescent="0.35"/>
    <row r="199" x14ac:dyDescent="0.35"/>
    <row r="200" x14ac:dyDescent="0.35"/>
    <row r="201" x14ac:dyDescent="0.35"/>
    <row r="202" x14ac:dyDescent="0.35"/>
    <row r="203" x14ac:dyDescent="0.35"/>
    <row r="204" x14ac:dyDescent="0.35"/>
    <row r="205" x14ac:dyDescent="0.35"/>
    <row r="206" x14ac:dyDescent="0.35"/>
    <row r="207" x14ac:dyDescent="0.35"/>
    <row r="208" x14ac:dyDescent="0.35"/>
    <row r="209" x14ac:dyDescent="0.35"/>
    <row r="210" x14ac:dyDescent="0.35"/>
    <row r="211" x14ac:dyDescent="0.35"/>
    <row r="212" x14ac:dyDescent="0.35"/>
    <row r="213" x14ac:dyDescent="0.35"/>
    <row r="214" x14ac:dyDescent="0.35"/>
    <row r="215" x14ac:dyDescent="0.35"/>
    <row r="216" x14ac:dyDescent="0.35"/>
    <row r="217" x14ac:dyDescent="0.35"/>
    <row r="218" x14ac:dyDescent="0.35"/>
    <row r="219" x14ac:dyDescent="0.35"/>
    <row r="220" x14ac:dyDescent="0.35"/>
    <row r="221" x14ac:dyDescent="0.35"/>
    <row r="222" x14ac:dyDescent="0.35"/>
    <row r="223" x14ac:dyDescent="0.35"/>
    <row r="224" x14ac:dyDescent="0.35"/>
    <row r="225" x14ac:dyDescent="0.35"/>
    <row r="226" x14ac:dyDescent="0.35"/>
    <row r="227" x14ac:dyDescent="0.35"/>
    <row r="228" x14ac:dyDescent="0.35"/>
    <row r="229" x14ac:dyDescent="0.35"/>
    <row r="230" x14ac:dyDescent="0.35"/>
    <row r="231" x14ac:dyDescent="0.35"/>
    <row r="232" x14ac:dyDescent="0.35"/>
    <row r="233" x14ac:dyDescent="0.35"/>
    <row r="234" x14ac:dyDescent="0.35"/>
    <row r="235" x14ac:dyDescent="0.35"/>
    <row r="236" x14ac:dyDescent="0.35"/>
    <row r="237" x14ac:dyDescent="0.35"/>
    <row r="238" x14ac:dyDescent="0.35"/>
    <row r="239" x14ac:dyDescent="0.35"/>
    <row r="240" x14ac:dyDescent="0.35"/>
    <row r="241" x14ac:dyDescent="0.35"/>
    <row r="242" x14ac:dyDescent="0.35"/>
    <row r="243" x14ac:dyDescent="0.35"/>
    <row r="244" x14ac:dyDescent="0.35"/>
    <row r="245" x14ac:dyDescent="0.35"/>
    <row r="246" x14ac:dyDescent="0.35"/>
    <row r="247" x14ac:dyDescent="0.35"/>
    <row r="248" x14ac:dyDescent="0.35"/>
    <row r="249" x14ac:dyDescent="0.35"/>
    <row r="250" x14ac:dyDescent="0.35"/>
    <row r="251" x14ac:dyDescent="0.35"/>
    <row r="252" x14ac:dyDescent="0.35"/>
    <row r="253" x14ac:dyDescent="0.35"/>
    <row r="254" x14ac:dyDescent="0.35"/>
    <row r="255" x14ac:dyDescent="0.35"/>
    <row r="256" x14ac:dyDescent="0.35"/>
    <row r="257" x14ac:dyDescent="0.35"/>
    <row r="258" x14ac:dyDescent="0.35"/>
    <row r="259" x14ac:dyDescent="0.35"/>
    <row r="260" x14ac:dyDescent="0.35"/>
    <row r="261" x14ac:dyDescent="0.35"/>
    <row r="262" x14ac:dyDescent="0.35"/>
    <row r="263" x14ac:dyDescent="0.35"/>
    <row r="264" x14ac:dyDescent="0.35"/>
    <row r="265" x14ac:dyDescent="0.35"/>
    <row r="266" x14ac:dyDescent="0.35"/>
    <row r="267" x14ac:dyDescent="0.35"/>
    <row r="268" x14ac:dyDescent="0.35"/>
    <row r="269" x14ac:dyDescent="0.35"/>
    <row r="270" x14ac:dyDescent="0.35"/>
    <row r="271" x14ac:dyDescent="0.35"/>
    <row r="272" x14ac:dyDescent="0.35"/>
    <row r="273" x14ac:dyDescent="0.35"/>
    <row r="274" x14ac:dyDescent="0.35"/>
    <row r="275" x14ac:dyDescent="0.35"/>
    <row r="276" x14ac:dyDescent="0.35"/>
    <row r="277" x14ac:dyDescent="0.35"/>
    <row r="278" x14ac:dyDescent="0.35"/>
    <row r="279" x14ac:dyDescent="0.35"/>
    <row r="280" x14ac:dyDescent="0.35"/>
    <row r="281" x14ac:dyDescent="0.35"/>
    <row r="282" x14ac:dyDescent="0.35"/>
    <row r="283" x14ac:dyDescent="0.35"/>
    <row r="284" x14ac:dyDescent="0.35"/>
    <row r="285" x14ac:dyDescent="0.35"/>
    <row r="286" x14ac:dyDescent="0.35"/>
    <row r="287" x14ac:dyDescent="0.35"/>
    <row r="288" x14ac:dyDescent="0.35"/>
    <row r="289" x14ac:dyDescent="0.35"/>
    <row r="290" x14ac:dyDescent="0.35"/>
    <row r="291" x14ac:dyDescent="0.35"/>
    <row r="292" x14ac:dyDescent="0.35"/>
    <row r="293" x14ac:dyDescent="0.35"/>
    <row r="294" x14ac:dyDescent="0.35"/>
    <row r="295" x14ac:dyDescent="0.35"/>
    <row r="296" x14ac:dyDescent="0.35"/>
    <row r="297" x14ac:dyDescent="0.35"/>
    <row r="298" x14ac:dyDescent="0.35"/>
    <row r="299" x14ac:dyDescent="0.35"/>
    <row r="300" x14ac:dyDescent="0.35"/>
    <row r="301" x14ac:dyDescent="0.35"/>
    <row r="302" x14ac:dyDescent="0.35"/>
    <row r="303" x14ac:dyDescent="0.35"/>
    <row r="304" x14ac:dyDescent="0.35"/>
    <row r="305" x14ac:dyDescent="0.35"/>
    <row r="306" x14ac:dyDescent="0.35"/>
    <row r="307" x14ac:dyDescent="0.35"/>
    <row r="308" x14ac:dyDescent="0.35"/>
    <row r="309" x14ac:dyDescent="0.35"/>
    <row r="310" x14ac:dyDescent="0.35"/>
    <row r="311" x14ac:dyDescent="0.35"/>
    <row r="312" x14ac:dyDescent="0.35"/>
    <row r="313" x14ac:dyDescent="0.35"/>
    <row r="314" x14ac:dyDescent="0.35"/>
    <row r="315" x14ac:dyDescent="0.35"/>
    <row r="316" x14ac:dyDescent="0.35"/>
    <row r="317" x14ac:dyDescent="0.35"/>
    <row r="318" x14ac:dyDescent="0.35"/>
    <row r="319" x14ac:dyDescent="0.35"/>
    <row r="320" x14ac:dyDescent="0.35"/>
    <row r="321" x14ac:dyDescent="0.35"/>
    <row r="322" x14ac:dyDescent="0.35"/>
    <row r="323" x14ac:dyDescent="0.35"/>
    <row r="324" x14ac:dyDescent="0.35"/>
    <row r="325" x14ac:dyDescent="0.35"/>
    <row r="326" x14ac:dyDescent="0.35"/>
    <row r="327" x14ac:dyDescent="0.35"/>
    <row r="328" x14ac:dyDescent="0.35"/>
    <row r="329" x14ac:dyDescent="0.35"/>
    <row r="330" x14ac:dyDescent="0.35"/>
    <row r="331" x14ac:dyDescent="0.35"/>
    <row r="332" x14ac:dyDescent="0.35"/>
    <row r="333" x14ac:dyDescent="0.35"/>
    <row r="334" x14ac:dyDescent="0.35"/>
    <row r="335" x14ac:dyDescent="0.35"/>
    <row r="336" x14ac:dyDescent="0.35"/>
    <row r="337" x14ac:dyDescent="0.35"/>
    <row r="338" x14ac:dyDescent="0.35"/>
    <row r="339" x14ac:dyDescent="0.35"/>
    <row r="340" x14ac:dyDescent="0.35"/>
    <row r="341" x14ac:dyDescent="0.35"/>
    <row r="342" x14ac:dyDescent="0.35"/>
    <row r="343" x14ac:dyDescent="0.35"/>
    <row r="344" x14ac:dyDescent="0.35"/>
    <row r="345" x14ac:dyDescent="0.35"/>
    <row r="346" x14ac:dyDescent="0.35"/>
    <row r="347" x14ac:dyDescent="0.35"/>
    <row r="348" x14ac:dyDescent="0.35"/>
    <row r="349" x14ac:dyDescent="0.35"/>
    <row r="350" x14ac:dyDescent="0.35"/>
    <row r="351" x14ac:dyDescent="0.35"/>
    <row r="352" x14ac:dyDescent="0.35"/>
    <row r="353" x14ac:dyDescent="0.35"/>
    <row r="354" x14ac:dyDescent="0.35"/>
    <row r="355" x14ac:dyDescent="0.35"/>
    <row r="356" x14ac:dyDescent="0.35"/>
    <row r="357" x14ac:dyDescent="0.35"/>
    <row r="358" x14ac:dyDescent="0.35"/>
    <row r="359" x14ac:dyDescent="0.35"/>
    <row r="360" x14ac:dyDescent="0.35"/>
    <row r="361" x14ac:dyDescent="0.35"/>
    <row r="362" x14ac:dyDescent="0.35"/>
    <row r="363" x14ac:dyDescent="0.35"/>
    <row r="364" x14ac:dyDescent="0.35"/>
    <row r="365" x14ac:dyDescent="0.35"/>
    <row r="366" x14ac:dyDescent="0.35"/>
    <row r="367" x14ac:dyDescent="0.35"/>
    <row r="368" x14ac:dyDescent="0.35"/>
    <row r="369" x14ac:dyDescent="0.35"/>
    <row r="370" x14ac:dyDescent="0.35"/>
    <row r="371" x14ac:dyDescent="0.35"/>
    <row r="372" x14ac:dyDescent="0.35"/>
    <row r="373" x14ac:dyDescent="0.35"/>
    <row r="374" x14ac:dyDescent="0.35"/>
    <row r="375" x14ac:dyDescent="0.35"/>
    <row r="376" x14ac:dyDescent="0.35"/>
    <row r="377" x14ac:dyDescent="0.35"/>
    <row r="378" x14ac:dyDescent="0.35"/>
    <row r="379" x14ac:dyDescent="0.35"/>
    <row r="380" x14ac:dyDescent="0.35"/>
    <row r="381" x14ac:dyDescent="0.35"/>
    <row r="382" x14ac:dyDescent="0.35"/>
    <row r="383" x14ac:dyDescent="0.35"/>
    <row r="384" x14ac:dyDescent="0.35"/>
    <row r="385" x14ac:dyDescent="0.35"/>
    <row r="386" x14ac:dyDescent="0.35"/>
    <row r="387" x14ac:dyDescent="0.35"/>
    <row r="388" x14ac:dyDescent="0.35"/>
    <row r="389" x14ac:dyDescent="0.35"/>
    <row r="390" x14ac:dyDescent="0.35"/>
    <row r="391" x14ac:dyDescent="0.35"/>
    <row r="392" x14ac:dyDescent="0.35"/>
    <row r="393" x14ac:dyDescent="0.35"/>
    <row r="394" x14ac:dyDescent="0.35"/>
    <row r="395" x14ac:dyDescent="0.35"/>
    <row r="396" x14ac:dyDescent="0.35"/>
    <row r="397" x14ac:dyDescent="0.35"/>
    <row r="398" x14ac:dyDescent="0.35"/>
    <row r="399" x14ac:dyDescent="0.35"/>
    <row r="400" x14ac:dyDescent="0.35"/>
    <row r="401" x14ac:dyDescent="0.35"/>
    <row r="402" x14ac:dyDescent="0.35"/>
    <row r="403" x14ac:dyDescent="0.35"/>
    <row r="404" x14ac:dyDescent="0.35"/>
    <row r="405" x14ac:dyDescent="0.35"/>
    <row r="406" x14ac:dyDescent="0.35"/>
    <row r="407" x14ac:dyDescent="0.35"/>
    <row r="408" x14ac:dyDescent="0.35"/>
    <row r="409" x14ac:dyDescent="0.35"/>
    <row r="410" x14ac:dyDescent="0.35"/>
    <row r="411" x14ac:dyDescent="0.35"/>
    <row r="412" x14ac:dyDescent="0.35"/>
    <row r="413" x14ac:dyDescent="0.35"/>
    <row r="414" x14ac:dyDescent="0.35"/>
    <row r="415" x14ac:dyDescent="0.35"/>
    <row r="416" x14ac:dyDescent="0.35"/>
    <row r="417" x14ac:dyDescent="0.35"/>
    <row r="418" x14ac:dyDescent="0.35"/>
    <row r="419" x14ac:dyDescent="0.35"/>
    <row r="420" x14ac:dyDescent="0.35"/>
    <row r="421" x14ac:dyDescent="0.35"/>
    <row r="422" x14ac:dyDescent="0.35"/>
    <row r="423" x14ac:dyDescent="0.35"/>
    <row r="424" x14ac:dyDescent="0.35"/>
    <row r="425" x14ac:dyDescent="0.35"/>
    <row r="426" x14ac:dyDescent="0.35"/>
    <row r="427" x14ac:dyDescent="0.35"/>
    <row r="428" x14ac:dyDescent="0.35"/>
    <row r="429" x14ac:dyDescent="0.35"/>
    <row r="430" x14ac:dyDescent="0.35"/>
    <row r="431" x14ac:dyDescent="0.35"/>
    <row r="432" x14ac:dyDescent="0.35"/>
    <row r="433" x14ac:dyDescent="0.35"/>
    <row r="434" x14ac:dyDescent="0.35"/>
    <row r="435" x14ac:dyDescent="0.35"/>
    <row r="436" x14ac:dyDescent="0.35"/>
    <row r="437" x14ac:dyDescent="0.35"/>
    <row r="438" x14ac:dyDescent="0.35"/>
    <row r="439" x14ac:dyDescent="0.35"/>
    <row r="440" x14ac:dyDescent="0.35"/>
    <row r="441" x14ac:dyDescent="0.35"/>
    <row r="442" x14ac:dyDescent="0.35"/>
    <row r="443" x14ac:dyDescent="0.35"/>
    <row r="444" x14ac:dyDescent="0.35"/>
    <row r="445" x14ac:dyDescent="0.35"/>
    <row r="446" x14ac:dyDescent="0.35"/>
    <row r="447" x14ac:dyDescent="0.35"/>
    <row r="448" x14ac:dyDescent="0.35"/>
    <row r="449" x14ac:dyDescent="0.35"/>
    <row r="450" x14ac:dyDescent="0.35"/>
    <row r="451" x14ac:dyDescent="0.35"/>
    <row r="452" x14ac:dyDescent="0.35"/>
    <row r="453" x14ac:dyDescent="0.35"/>
    <row r="454" x14ac:dyDescent="0.35"/>
    <row r="455" x14ac:dyDescent="0.35"/>
    <row r="456" x14ac:dyDescent="0.35"/>
    <row r="457" x14ac:dyDescent="0.35"/>
    <row r="458" x14ac:dyDescent="0.35"/>
    <row r="459" x14ac:dyDescent="0.35"/>
    <row r="460" x14ac:dyDescent="0.35"/>
    <row r="461" x14ac:dyDescent="0.35"/>
    <row r="462" x14ac:dyDescent="0.35"/>
    <row r="463" x14ac:dyDescent="0.35"/>
    <row r="464" x14ac:dyDescent="0.35"/>
    <row r="465" x14ac:dyDescent="0.35"/>
    <row r="466" x14ac:dyDescent="0.35"/>
    <row r="467" x14ac:dyDescent="0.35"/>
    <row r="468" x14ac:dyDescent="0.35"/>
    <row r="469" x14ac:dyDescent="0.35"/>
    <row r="470" x14ac:dyDescent="0.35"/>
    <row r="471" x14ac:dyDescent="0.35"/>
    <row r="472" x14ac:dyDescent="0.35"/>
    <row r="473" x14ac:dyDescent="0.35"/>
    <row r="474" x14ac:dyDescent="0.35"/>
    <row r="475" x14ac:dyDescent="0.35"/>
    <row r="476" x14ac:dyDescent="0.35"/>
    <row r="477" x14ac:dyDescent="0.35"/>
    <row r="478" x14ac:dyDescent="0.35"/>
    <row r="479" x14ac:dyDescent="0.35"/>
    <row r="480" x14ac:dyDescent="0.35"/>
    <row r="481" x14ac:dyDescent="0.35"/>
    <row r="482" x14ac:dyDescent="0.35"/>
    <row r="483" x14ac:dyDescent="0.35"/>
    <row r="484" x14ac:dyDescent="0.35"/>
    <row r="485" x14ac:dyDescent="0.35"/>
    <row r="486" x14ac:dyDescent="0.35"/>
    <row r="487" x14ac:dyDescent="0.35"/>
    <row r="488" x14ac:dyDescent="0.35"/>
    <row r="489" x14ac:dyDescent="0.35"/>
    <row r="490" x14ac:dyDescent="0.35"/>
    <row r="491" x14ac:dyDescent="0.35"/>
    <row r="492" x14ac:dyDescent="0.35"/>
    <row r="493" x14ac:dyDescent="0.35"/>
    <row r="494" x14ac:dyDescent="0.35"/>
    <row r="495" x14ac:dyDescent="0.35"/>
    <row r="496" x14ac:dyDescent="0.35"/>
    <row r="497" x14ac:dyDescent="0.35"/>
    <row r="498" x14ac:dyDescent="0.35"/>
    <row r="499" x14ac:dyDescent="0.35"/>
    <row r="500" x14ac:dyDescent="0.35"/>
    <row r="501" x14ac:dyDescent="0.35"/>
    <row r="502" x14ac:dyDescent="0.35"/>
    <row r="503" x14ac:dyDescent="0.35"/>
    <row r="504" x14ac:dyDescent="0.35"/>
    <row r="505" x14ac:dyDescent="0.35"/>
    <row r="506" x14ac:dyDescent="0.35"/>
    <row r="507" x14ac:dyDescent="0.35"/>
    <row r="508" x14ac:dyDescent="0.35"/>
    <row r="509" x14ac:dyDescent="0.35"/>
    <row r="510" x14ac:dyDescent="0.35"/>
    <row r="511" x14ac:dyDescent="0.35"/>
    <row r="512" x14ac:dyDescent="0.35"/>
    <row r="513" x14ac:dyDescent="0.35"/>
    <row r="514" x14ac:dyDescent="0.35"/>
    <row r="515" x14ac:dyDescent="0.35"/>
    <row r="516" x14ac:dyDescent="0.35"/>
    <row r="517" x14ac:dyDescent="0.35"/>
    <row r="518" x14ac:dyDescent="0.35"/>
    <row r="519" x14ac:dyDescent="0.35"/>
    <row r="520" x14ac:dyDescent="0.35"/>
    <row r="521" x14ac:dyDescent="0.35"/>
    <row r="522" x14ac:dyDescent="0.35"/>
    <row r="523" x14ac:dyDescent="0.35"/>
    <row r="524" x14ac:dyDescent="0.35"/>
    <row r="525" x14ac:dyDescent="0.35"/>
    <row r="526" x14ac:dyDescent="0.35"/>
    <row r="527" x14ac:dyDescent="0.35"/>
    <row r="528" x14ac:dyDescent="0.35"/>
    <row r="529" x14ac:dyDescent="0.35"/>
    <row r="530" x14ac:dyDescent="0.35"/>
    <row r="531" x14ac:dyDescent="0.35"/>
    <row r="532" x14ac:dyDescent="0.35"/>
    <row r="533" x14ac:dyDescent="0.35"/>
    <row r="534" x14ac:dyDescent="0.35"/>
    <row r="535" x14ac:dyDescent="0.35"/>
    <row r="536" x14ac:dyDescent="0.35"/>
    <row r="537" x14ac:dyDescent="0.35"/>
    <row r="538" x14ac:dyDescent="0.35"/>
    <row r="539" x14ac:dyDescent="0.35"/>
    <row r="540" x14ac:dyDescent="0.35"/>
    <row r="541" x14ac:dyDescent="0.35"/>
    <row r="542" x14ac:dyDescent="0.35"/>
    <row r="543" x14ac:dyDescent="0.35"/>
    <row r="544" x14ac:dyDescent="0.35"/>
    <row r="545" x14ac:dyDescent="0.35"/>
    <row r="546" x14ac:dyDescent="0.35"/>
    <row r="547" x14ac:dyDescent="0.35"/>
    <row r="548" x14ac:dyDescent="0.35"/>
    <row r="549" x14ac:dyDescent="0.35"/>
    <row r="550" x14ac:dyDescent="0.35"/>
    <row r="551" x14ac:dyDescent="0.35"/>
    <row r="552" x14ac:dyDescent="0.35"/>
    <row r="553" x14ac:dyDescent="0.35"/>
    <row r="554" x14ac:dyDescent="0.35"/>
    <row r="555" x14ac:dyDescent="0.35"/>
    <row r="556" x14ac:dyDescent="0.35"/>
    <row r="557" x14ac:dyDescent="0.35"/>
    <row r="558" x14ac:dyDescent="0.35"/>
    <row r="559" x14ac:dyDescent="0.35"/>
    <row r="560" x14ac:dyDescent="0.35"/>
    <row r="561" x14ac:dyDescent="0.35"/>
    <row r="562" x14ac:dyDescent="0.35"/>
    <row r="563" x14ac:dyDescent="0.35"/>
    <row r="564" x14ac:dyDescent="0.35"/>
    <row r="565" x14ac:dyDescent="0.35"/>
    <row r="566" x14ac:dyDescent="0.35"/>
    <row r="567" x14ac:dyDescent="0.35"/>
    <row r="568" x14ac:dyDescent="0.35"/>
    <row r="569" x14ac:dyDescent="0.35"/>
    <row r="570" x14ac:dyDescent="0.35"/>
    <row r="571" x14ac:dyDescent="0.35"/>
    <row r="572" x14ac:dyDescent="0.35"/>
    <row r="573" x14ac:dyDescent="0.35"/>
    <row r="574" x14ac:dyDescent="0.35"/>
    <row r="575" x14ac:dyDescent="0.35"/>
    <row r="576" x14ac:dyDescent="0.35"/>
    <row r="577" x14ac:dyDescent="0.35"/>
    <row r="578" x14ac:dyDescent="0.35"/>
    <row r="579" x14ac:dyDescent="0.35"/>
    <row r="580" x14ac:dyDescent="0.35"/>
    <row r="581" x14ac:dyDescent="0.35"/>
    <row r="582" x14ac:dyDescent="0.35"/>
    <row r="583" x14ac:dyDescent="0.35"/>
    <row r="584" x14ac:dyDescent="0.35"/>
    <row r="585" x14ac:dyDescent="0.35"/>
    <row r="586" x14ac:dyDescent="0.35"/>
    <row r="587" x14ac:dyDescent="0.35"/>
    <row r="588" x14ac:dyDescent="0.35"/>
    <row r="589" x14ac:dyDescent="0.35"/>
    <row r="590" x14ac:dyDescent="0.35"/>
    <row r="591" x14ac:dyDescent="0.35"/>
    <row r="592" x14ac:dyDescent="0.35"/>
    <row r="593" x14ac:dyDescent="0.35"/>
    <row r="594" x14ac:dyDescent="0.35"/>
    <row r="595" x14ac:dyDescent="0.35"/>
    <row r="596" x14ac:dyDescent="0.35"/>
    <row r="597" x14ac:dyDescent="0.35"/>
    <row r="598" x14ac:dyDescent="0.35"/>
    <row r="599" x14ac:dyDescent="0.35"/>
    <row r="600" x14ac:dyDescent="0.35"/>
    <row r="601" x14ac:dyDescent="0.35"/>
    <row r="602" x14ac:dyDescent="0.35"/>
    <row r="603" x14ac:dyDescent="0.35"/>
    <row r="604" x14ac:dyDescent="0.35"/>
    <row r="605" x14ac:dyDescent="0.35"/>
    <row r="606" x14ac:dyDescent="0.35"/>
    <row r="607" x14ac:dyDescent="0.35"/>
    <row r="608" x14ac:dyDescent="0.35"/>
    <row r="609" x14ac:dyDescent="0.35"/>
    <row r="610" x14ac:dyDescent="0.35"/>
    <row r="611" x14ac:dyDescent="0.35"/>
    <row r="612" x14ac:dyDescent="0.35"/>
    <row r="613" x14ac:dyDescent="0.35"/>
    <row r="614" x14ac:dyDescent="0.35"/>
    <row r="615" x14ac:dyDescent="0.35"/>
    <row r="616" x14ac:dyDescent="0.35"/>
    <row r="617" x14ac:dyDescent="0.35"/>
    <row r="618" x14ac:dyDescent="0.35"/>
    <row r="619" x14ac:dyDescent="0.35"/>
    <row r="620" x14ac:dyDescent="0.35"/>
    <row r="621" x14ac:dyDescent="0.35"/>
    <row r="622" x14ac:dyDescent="0.35"/>
    <row r="623" x14ac:dyDescent="0.35"/>
    <row r="624" x14ac:dyDescent="0.35"/>
    <row r="625" x14ac:dyDescent="0.35"/>
    <row r="626" x14ac:dyDescent="0.35"/>
    <row r="627" x14ac:dyDescent="0.35"/>
    <row r="628" x14ac:dyDescent="0.35"/>
    <row r="629" x14ac:dyDescent="0.35"/>
    <row r="630" x14ac:dyDescent="0.35"/>
    <row r="631" x14ac:dyDescent="0.35"/>
    <row r="632" x14ac:dyDescent="0.35"/>
    <row r="633" x14ac:dyDescent="0.35"/>
    <row r="634" x14ac:dyDescent="0.35"/>
    <row r="635" x14ac:dyDescent="0.35"/>
    <row r="636" x14ac:dyDescent="0.35"/>
    <row r="637" x14ac:dyDescent="0.35"/>
    <row r="638" x14ac:dyDescent="0.35"/>
    <row r="639" x14ac:dyDescent="0.35"/>
    <row r="640" x14ac:dyDescent="0.35"/>
    <row r="641" x14ac:dyDescent="0.35"/>
    <row r="642" x14ac:dyDescent="0.35"/>
    <row r="643" x14ac:dyDescent="0.35"/>
    <row r="644" x14ac:dyDescent="0.35"/>
    <row r="645" x14ac:dyDescent="0.35"/>
    <row r="646" x14ac:dyDescent="0.35"/>
    <row r="647" x14ac:dyDescent="0.35"/>
    <row r="648" x14ac:dyDescent="0.35"/>
    <row r="649" x14ac:dyDescent="0.35"/>
    <row r="650" x14ac:dyDescent="0.35"/>
    <row r="651" x14ac:dyDescent="0.35"/>
    <row r="652" x14ac:dyDescent="0.35"/>
    <row r="653" x14ac:dyDescent="0.35"/>
    <row r="654" x14ac:dyDescent="0.35"/>
    <row r="655" x14ac:dyDescent="0.35"/>
    <row r="656" x14ac:dyDescent="0.35"/>
    <row r="657" x14ac:dyDescent="0.35"/>
    <row r="658" x14ac:dyDescent="0.35"/>
    <row r="659" x14ac:dyDescent="0.35"/>
    <row r="660" x14ac:dyDescent="0.35"/>
    <row r="661" x14ac:dyDescent="0.35"/>
    <row r="662" x14ac:dyDescent="0.35"/>
    <row r="663" x14ac:dyDescent="0.35"/>
    <row r="664" x14ac:dyDescent="0.35"/>
    <row r="665" x14ac:dyDescent="0.35"/>
    <row r="666" x14ac:dyDescent="0.35"/>
    <row r="667" x14ac:dyDescent="0.35"/>
    <row r="668" x14ac:dyDescent="0.35"/>
    <row r="669" x14ac:dyDescent="0.35"/>
    <row r="670" x14ac:dyDescent="0.35"/>
    <row r="671" x14ac:dyDescent="0.35"/>
    <row r="672" x14ac:dyDescent="0.35"/>
    <row r="673" x14ac:dyDescent="0.35"/>
    <row r="674" x14ac:dyDescent="0.35"/>
    <row r="675" x14ac:dyDescent="0.35"/>
    <row r="676" x14ac:dyDescent="0.35"/>
    <row r="677" x14ac:dyDescent="0.35"/>
    <row r="678" x14ac:dyDescent="0.35"/>
    <row r="679" x14ac:dyDescent="0.35"/>
    <row r="680" x14ac:dyDescent="0.35"/>
    <row r="681" x14ac:dyDescent="0.35"/>
    <row r="682" x14ac:dyDescent="0.35"/>
    <row r="683" x14ac:dyDescent="0.35"/>
    <row r="684" x14ac:dyDescent="0.35"/>
    <row r="685" x14ac:dyDescent="0.35"/>
    <row r="686" x14ac:dyDescent="0.35"/>
    <row r="687" x14ac:dyDescent="0.35"/>
    <row r="688" x14ac:dyDescent="0.35"/>
    <row r="689" x14ac:dyDescent="0.35"/>
    <row r="690" x14ac:dyDescent="0.35"/>
    <row r="691" x14ac:dyDescent="0.35"/>
    <row r="692" x14ac:dyDescent="0.35"/>
    <row r="693" x14ac:dyDescent="0.35"/>
    <row r="694" x14ac:dyDescent="0.35"/>
    <row r="695" x14ac:dyDescent="0.35"/>
    <row r="696" x14ac:dyDescent="0.35"/>
    <row r="697" x14ac:dyDescent="0.35"/>
    <row r="698" x14ac:dyDescent="0.35"/>
    <row r="699" x14ac:dyDescent="0.35"/>
    <row r="700" x14ac:dyDescent="0.35"/>
    <row r="701" x14ac:dyDescent="0.35"/>
    <row r="702" x14ac:dyDescent="0.35"/>
    <row r="703" x14ac:dyDescent="0.35"/>
    <row r="704" x14ac:dyDescent="0.35"/>
    <row r="705" x14ac:dyDescent="0.35"/>
    <row r="706" x14ac:dyDescent="0.35"/>
    <row r="707" x14ac:dyDescent="0.35"/>
    <row r="708" x14ac:dyDescent="0.35"/>
    <row r="709" x14ac:dyDescent="0.35"/>
    <row r="710" x14ac:dyDescent="0.35"/>
    <row r="711" x14ac:dyDescent="0.35"/>
    <row r="712" x14ac:dyDescent="0.35"/>
    <row r="713" x14ac:dyDescent="0.35"/>
    <row r="714" x14ac:dyDescent="0.35"/>
    <row r="715" x14ac:dyDescent="0.35"/>
    <row r="716" x14ac:dyDescent="0.35"/>
    <row r="717" x14ac:dyDescent="0.35"/>
    <row r="718" x14ac:dyDescent="0.35"/>
    <row r="719" x14ac:dyDescent="0.35"/>
    <row r="720" x14ac:dyDescent="0.35"/>
    <row r="721" x14ac:dyDescent="0.35"/>
    <row r="722" x14ac:dyDescent="0.35"/>
    <row r="723" x14ac:dyDescent="0.35"/>
    <row r="724" x14ac:dyDescent="0.35"/>
    <row r="725" x14ac:dyDescent="0.35"/>
    <row r="726" x14ac:dyDescent="0.35"/>
    <row r="727" x14ac:dyDescent="0.35"/>
    <row r="728" x14ac:dyDescent="0.35"/>
    <row r="729" x14ac:dyDescent="0.35"/>
    <row r="730" x14ac:dyDescent="0.35"/>
    <row r="731" x14ac:dyDescent="0.35"/>
    <row r="732" x14ac:dyDescent="0.35"/>
    <row r="733" x14ac:dyDescent="0.35"/>
    <row r="734" x14ac:dyDescent="0.35"/>
    <row r="735" x14ac:dyDescent="0.35"/>
    <row r="736" x14ac:dyDescent="0.35"/>
    <row r="737" x14ac:dyDescent="0.35"/>
    <row r="738" x14ac:dyDescent="0.35"/>
    <row r="739" x14ac:dyDescent="0.35"/>
    <row r="740" x14ac:dyDescent="0.35"/>
    <row r="741" x14ac:dyDescent="0.35"/>
    <row r="742" x14ac:dyDescent="0.35"/>
    <row r="743" x14ac:dyDescent="0.35"/>
    <row r="744" x14ac:dyDescent="0.35"/>
    <row r="745" x14ac:dyDescent="0.35"/>
    <row r="746" x14ac:dyDescent="0.35"/>
    <row r="747" x14ac:dyDescent="0.35"/>
    <row r="748" x14ac:dyDescent="0.35"/>
    <row r="749" x14ac:dyDescent="0.35"/>
    <row r="750" x14ac:dyDescent="0.35"/>
    <row r="751" x14ac:dyDescent="0.35"/>
    <row r="752" x14ac:dyDescent="0.35"/>
    <row r="753" x14ac:dyDescent="0.35"/>
    <row r="754" x14ac:dyDescent="0.35"/>
    <row r="755" x14ac:dyDescent="0.35"/>
    <row r="756" x14ac:dyDescent="0.35"/>
    <row r="757" x14ac:dyDescent="0.35"/>
    <row r="758" x14ac:dyDescent="0.35"/>
    <row r="759" x14ac:dyDescent="0.35"/>
    <row r="760" x14ac:dyDescent="0.35"/>
    <row r="761" x14ac:dyDescent="0.35"/>
    <row r="762" x14ac:dyDescent="0.35"/>
    <row r="763" x14ac:dyDescent="0.35"/>
    <row r="764" x14ac:dyDescent="0.35"/>
    <row r="765" x14ac:dyDescent="0.35"/>
    <row r="766" x14ac:dyDescent="0.35"/>
    <row r="767" x14ac:dyDescent="0.35"/>
    <row r="768" x14ac:dyDescent="0.35"/>
    <row r="769" x14ac:dyDescent="0.35"/>
    <row r="770" x14ac:dyDescent="0.35"/>
    <row r="771" x14ac:dyDescent="0.35"/>
    <row r="772" x14ac:dyDescent="0.35"/>
    <row r="773" x14ac:dyDescent="0.35"/>
    <row r="774" x14ac:dyDescent="0.35"/>
    <row r="775" x14ac:dyDescent="0.35"/>
    <row r="776" x14ac:dyDescent="0.35"/>
    <row r="777" x14ac:dyDescent="0.35"/>
    <row r="778" x14ac:dyDescent="0.35"/>
    <row r="779" x14ac:dyDescent="0.35"/>
    <row r="780" x14ac:dyDescent="0.35"/>
    <row r="781" x14ac:dyDescent="0.35"/>
    <row r="782" x14ac:dyDescent="0.35"/>
    <row r="783" x14ac:dyDescent="0.35"/>
    <row r="784" x14ac:dyDescent="0.35"/>
    <row r="785" x14ac:dyDescent="0.35"/>
    <row r="786" x14ac:dyDescent="0.35"/>
    <row r="787" x14ac:dyDescent="0.35"/>
    <row r="788" x14ac:dyDescent="0.35"/>
    <row r="789" x14ac:dyDescent="0.35"/>
    <row r="790" x14ac:dyDescent="0.35"/>
    <row r="791" x14ac:dyDescent="0.35"/>
    <row r="792" x14ac:dyDescent="0.35"/>
    <row r="793" x14ac:dyDescent="0.35"/>
    <row r="794" x14ac:dyDescent="0.35"/>
    <row r="795" x14ac:dyDescent="0.35"/>
    <row r="796" x14ac:dyDescent="0.35"/>
    <row r="797" x14ac:dyDescent="0.35"/>
    <row r="798" x14ac:dyDescent="0.35"/>
    <row r="799" x14ac:dyDescent="0.35"/>
    <row r="800" x14ac:dyDescent="0.35"/>
    <row r="801" x14ac:dyDescent="0.35"/>
    <row r="802" x14ac:dyDescent="0.35"/>
    <row r="803" x14ac:dyDescent="0.35"/>
    <row r="804" x14ac:dyDescent="0.35"/>
    <row r="805" x14ac:dyDescent="0.35"/>
    <row r="806" x14ac:dyDescent="0.35"/>
    <row r="807" x14ac:dyDescent="0.35"/>
    <row r="808" x14ac:dyDescent="0.35"/>
    <row r="809" x14ac:dyDescent="0.35"/>
    <row r="810" x14ac:dyDescent="0.35"/>
    <row r="811" x14ac:dyDescent="0.35"/>
    <row r="812" x14ac:dyDescent="0.35"/>
    <row r="813" x14ac:dyDescent="0.35"/>
    <row r="814" x14ac:dyDescent="0.35"/>
    <row r="815" x14ac:dyDescent="0.35"/>
    <row r="816" x14ac:dyDescent="0.35"/>
    <row r="817" x14ac:dyDescent="0.35"/>
    <row r="818" x14ac:dyDescent="0.35"/>
    <row r="819" x14ac:dyDescent="0.35"/>
    <row r="820" x14ac:dyDescent="0.35"/>
    <row r="821" x14ac:dyDescent="0.35"/>
    <row r="822" x14ac:dyDescent="0.35"/>
    <row r="823" x14ac:dyDescent="0.35"/>
    <row r="824" x14ac:dyDescent="0.35"/>
    <row r="825" x14ac:dyDescent="0.35"/>
    <row r="826" x14ac:dyDescent="0.35"/>
    <row r="827" x14ac:dyDescent="0.35"/>
    <row r="828" x14ac:dyDescent="0.35"/>
    <row r="829" x14ac:dyDescent="0.35"/>
    <row r="830" x14ac:dyDescent="0.35"/>
    <row r="831" x14ac:dyDescent="0.35"/>
    <row r="832" x14ac:dyDescent="0.35"/>
    <row r="833" x14ac:dyDescent="0.35"/>
    <row r="834" x14ac:dyDescent="0.35"/>
    <row r="835" x14ac:dyDescent="0.35"/>
    <row r="836" x14ac:dyDescent="0.35"/>
    <row r="837" x14ac:dyDescent="0.35"/>
    <row r="838" x14ac:dyDescent="0.35"/>
    <row r="839" x14ac:dyDescent="0.35"/>
    <row r="840" x14ac:dyDescent="0.35"/>
    <row r="841" x14ac:dyDescent="0.35"/>
    <row r="842" x14ac:dyDescent="0.35"/>
    <row r="843" x14ac:dyDescent="0.35"/>
    <row r="844" x14ac:dyDescent="0.35"/>
    <row r="845" x14ac:dyDescent="0.35"/>
    <row r="846" x14ac:dyDescent="0.35"/>
    <row r="847" x14ac:dyDescent="0.35"/>
    <row r="848" x14ac:dyDescent="0.35"/>
    <row r="849" x14ac:dyDescent="0.35"/>
    <row r="850" x14ac:dyDescent="0.35"/>
    <row r="851" x14ac:dyDescent="0.35"/>
    <row r="852" x14ac:dyDescent="0.35"/>
    <row r="853" x14ac:dyDescent="0.35"/>
    <row r="854" x14ac:dyDescent="0.35"/>
    <row r="855" x14ac:dyDescent="0.35"/>
    <row r="856" x14ac:dyDescent="0.35"/>
    <row r="857" x14ac:dyDescent="0.35"/>
    <row r="858" x14ac:dyDescent="0.35"/>
    <row r="859" x14ac:dyDescent="0.35"/>
    <row r="860" x14ac:dyDescent="0.35"/>
    <row r="861" x14ac:dyDescent="0.35"/>
    <row r="862" x14ac:dyDescent="0.35"/>
    <row r="863" x14ac:dyDescent="0.35"/>
    <row r="864" x14ac:dyDescent="0.35"/>
    <row r="865" x14ac:dyDescent="0.35"/>
    <row r="866" x14ac:dyDescent="0.35"/>
    <row r="867" x14ac:dyDescent="0.35"/>
    <row r="868" x14ac:dyDescent="0.35"/>
    <row r="869" x14ac:dyDescent="0.35"/>
    <row r="870" x14ac:dyDescent="0.35"/>
    <row r="871" x14ac:dyDescent="0.35"/>
    <row r="872" x14ac:dyDescent="0.35"/>
    <row r="873" x14ac:dyDescent="0.35"/>
    <row r="874" x14ac:dyDescent="0.35"/>
    <row r="875" x14ac:dyDescent="0.35"/>
    <row r="876" x14ac:dyDescent="0.35"/>
    <row r="877" x14ac:dyDescent="0.35"/>
    <row r="878" x14ac:dyDescent="0.35"/>
    <row r="879" x14ac:dyDescent="0.35"/>
    <row r="880" x14ac:dyDescent="0.35"/>
    <row r="881" x14ac:dyDescent="0.35"/>
    <row r="882" x14ac:dyDescent="0.35"/>
    <row r="883" x14ac:dyDescent="0.35"/>
    <row r="884" x14ac:dyDescent="0.35"/>
    <row r="885" x14ac:dyDescent="0.35"/>
    <row r="886" x14ac:dyDescent="0.35"/>
    <row r="887" x14ac:dyDescent="0.35"/>
    <row r="888" x14ac:dyDescent="0.35"/>
    <row r="889" x14ac:dyDescent="0.35"/>
    <row r="890" x14ac:dyDescent="0.35"/>
    <row r="891" x14ac:dyDescent="0.35"/>
    <row r="892" x14ac:dyDescent="0.35"/>
    <row r="893" x14ac:dyDescent="0.35"/>
    <row r="894" x14ac:dyDescent="0.35"/>
    <row r="895" x14ac:dyDescent="0.35"/>
    <row r="896" x14ac:dyDescent="0.35"/>
    <row r="897" x14ac:dyDescent="0.35"/>
    <row r="898" x14ac:dyDescent="0.35"/>
    <row r="899" x14ac:dyDescent="0.35"/>
    <row r="900" x14ac:dyDescent="0.35"/>
    <row r="901" x14ac:dyDescent="0.35"/>
    <row r="902" x14ac:dyDescent="0.35"/>
    <row r="903" x14ac:dyDescent="0.35"/>
    <row r="904" x14ac:dyDescent="0.35"/>
    <row r="905" x14ac:dyDescent="0.35"/>
    <row r="906" x14ac:dyDescent="0.35"/>
    <row r="907" x14ac:dyDescent="0.35"/>
    <row r="908" x14ac:dyDescent="0.35"/>
    <row r="909" x14ac:dyDescent="0.35"/>
    <row r="910" x14ac:dyDescent="0.35"/>
    <row r="911" x14ac:dyDescent="0.35"/>
    <row r="912" x14ac:dyDescent="0.35"/>
    <row r="913" x14ac:dyDescent="0.35"/>
    <row r="914" x14ac:dyDescent="0.35"/>
    <row r="915" x14ac:dyDescent="0.35"/>
    <row r="916" x14ac:dyDescent="0.35"/>
    <row r="917" x14ac:dyDescent="0.35"/>
    <row r="918" x14ac:dyDescent="0.35"/>
    <row r="919" x14ac:dyDescent="0.35"/>
    <row r="920" x14ac:dyDescent="0.35"/>
    <row r="921" x14ac:dyDescent="0.35"/>
    <row r="922" x14ac:dyDescent="0.35"/>
    <row r="923" x14ac:dyDescent="0.35"/>
    <row r="924" x14ac:dyDescent="0.35"/>
    <row r="925" x14ac:dyDescent="0.35"/>
    <row r="926" x14ac:dyDescent="0.35"/>
    <row r="927" x14ac:dyDescent="0.35"/>
    <row r="928" x14ac:dyDescent="0.35"/>
    <row r="929" x14ac:dyDescent="0.35"/>
    <row r="930" x14ac:dyDescent="0.35"/>
    <row r="931" x14ac:dyDescent="0.35"/>
    <row r="932" x14ac:dyDescent="0.35"/>
    <row r="933" x14ac:dyDescent="0.35"/>
    <row r="934" x14ac:dyDescent="0.35"/>
    <row r="935" x14ac:dyDescent="0.35"/>
    <row r="936" x14ac:dyDescent="0.35"/>
    <row r="937" x14ac:dyDescent="0.35"/>
    <row r="938" x14ac:dyDescent="0.35"/>
    <row r="939" x14ac:dyDescent="0.35"/>
    <row r="940" x14ac:dyDescent="0.35"/>
    <row r="941" x14ac:dyDescent="0.35"/>
    <row r="942" x14ac:dyDescent="0.35"/>
    <row r="943" x14ac:dyDescent="0.35"/>
    <row r="944" x14ac:dyDescent="0.35"/>
    <row r="945" x14ac:dyDescent="0.35"/>
    <row r="946" x14ac:dyDescent="0.35"/>
    <row r="947" x14ac:dyDescent="0.35"/>
    <row r="948" x14ac:dyDescent="0.35"/>
    <row r="949" x14ac:dyDescent="0.35"/>
    <row r="950" x14ac:dyDescent="0.35"/>
    <row r="951" x14ac:dyDescent="0.35"/>
    <row r="952" x14ac:dyDescent="0.35"/>
    <row r="953" x14ac:dyDescent="0.35"/>
    <row r="954" x14ac:dyDescent="0.35"/>
    <row r="955" x14ac:dyDescent="0.35"/>
    <row r="956" x14ac:dyDescent="0.35"/>
    <row r="957" x14ac:dyDescent="0.35"/>
    <row r="958" x14ac:dyDescent="0.35"/>
    <row r="959" x14ac:dyDescent="0.35"/>
    <row r="960" x14ac:dyDescent="0.35"/>
    <row r="961" x14ac:dyDescent="0.35"/>
    <row r="962" x14ac:dyDescent="0.35"/>
    <row r="963" x14ac:dyDescent="0.35"/>
    <row r="964" x14ac:dyDescent="0.35"/>
    <row r="965" x14ac:dyDescent="0.35"/>
    <row r="966" x14ac:dyDescent="0.35"/>
    <row r="967" x14ac:dyDescent="0.35"/>
    <row r="968" x14ac:dyDescent="0.35"/>
    <row r="969" x14ac:dyDescent="0.35"/>
    <row r="970" x14ac:dyDescent="0.35"/>
    <row r="971" x14ac:dyDescent="0.35"/>
    <row r="972" x14ac:dyDescent="0.35"/>
    <row r="973" x14ac:dyDescent="0.35"/>
    <row r="974" x14ac:dyDescent="0.35"/>
    <row r="975" x14ac:dyDescent="0.35"/>
    <row r="976" x14ac:dyDescent="0.35"/>
    <row r="977" x14ac:dyDescent="0.35"/>
    <row r="978" x14ac:dyDescent="0.35"/>
    <row r="979" x14ac:dyDescent="0.35"/>
    <row r="980" x14ac:dyDescent="0.35"/>
    <row r="981" x14ac:dyDescent="0.35"/>
    <row r="982" x14ac:dyDescent="0.35"/>
    <row r="983" x14ac:dyDescent="0.35"/>
    <row r="984" x14ac:dyDescent="0.35"/>
    <row r="985" x14ac:dyDescent="0.35"/>
    <row r="986" x14ac:dyDescent="0.35"/>
    <row r="987" x14ac:dyDescent="0.35"/>
    <row r="988" x14ac:dyDescent="0.35"/>
    <row r="989" x14ac:dyDescent="0.35"/>
    <row r="990" x14ac:dyDescent="0.35"/>
    <row r="991" x14ac:dyDescent="0.35"/>
    <row r="992" x14ac:dyDescent="0.35"/>
    <row r="993" x14ac:dyDescent="0.35"/>
    <row r="994" x14ac:dyDescent="0.35"/>
    <row r="995" x14ac:dyDescent="0.35"/>
    <row r="996" x14ac:dyDescent="0.35"/>
    <row r="997" x14ac:dyDescent="0.35"/>
    <row r="998" x14ac:dyDescent="0.35"/>
    <row r="999" x14ac:dyDescent="0.35"/>
    <row r="1000" x14ac:dyDescent="0.35"/>
    <row r="1001" x14ac:dyDescent="0.35"/>
    <row r="1002" x14ac:dyDescent="0.35"/>
    <row r="1003" x14ac:dyDescent="0.35"/>
    <row r="1004" x14ac:dyDescent="0.35"/>
    <row r="1005" x14ac:dyDescent="0.35"/>
    <row r="1006" x14ac:dyDescent="0.35"/>
    <row r="1007" x14ac:dyDescent="0.35"/>
    <row r="1008" x14ac:dyDescent="0.35"/>
    <row r="1009" x14ac:dyDescent="0.35"/>
    <row r="1010" x14ac:dyDescent="0.35"/>
    <row r="1011" x14ac:dyDescent="0.35"/>
    <row r="1012" x14ac:dyDescent="0.35"/>
    <row r="1013" x14ac:dyDescent="0.35"/>
    <row r="1014" x14ac:dyDescent="0.35"/>
    <row r="1015" x14ac:dyDescent="0.35"/>
    <row r="1016" x14ac:dyDescent="0.35"/>
    <row r="1017" x14ac:dyDescent="0.35"/>
    <row r="1018" x14ac:dyDescent="0.35"/>
    <row r="1019" x14ac:dyDescent="0.35"/>
    <row r="1020" x14ac:dyDescent="0.35"/>
    <row r="1021" x14ac:dyDescent="0.35"/>
    <row r="1022" x14ac:dyDescent="0.35"/>
    <row r="1023" x14ac:dyDescent="0.35"/>
    <row r="1024" x14ac:dyDescent="0.35"/>
    <row r="1025" x14ac:dyDescent="0.35"/>
    <row r="1026" x14ac:dyDescent="0.35"/>
    <row r="1027" x14ac:dyDescent="0.35"/>
    <row r="1028" x14ac:dyDescent="0.35"/>
    <row r="1029" x14ac:dyDescent="0.35"/>
    <row r="1030" x14ac:dyDescent="0.35"/>
    <row r="1031" x14ac:dyDescent="0.35"/>
    <row r="1032" x14ac:dyDescent="0.35"/>
    <row r="1033" x14ac:dyDescent="0.35"/>
    <row r="1034" x14ac:dyDescent="0.35"/>
    <row r="1035" x14ac:dyDescent="0.35"/>
    <row r="1036" x14ac:dyDescent="0.35"/>
    <row r="1037" x14ac:dyDescent="0.35"/>
    <row r="1038" x14ac:dyDescent="0.35"/>
    <row r="1039" x14ac:dyDescent="0.35"/>
    <row r="1040" x14ac:dyDescent="0.35"/>
    <row r="1041" x14ac:dyDescent="0.35"/>
    <row r="1042" x14ac:dyDescent="0.35"/>
    <row r="1043" x14ac:dyDescent="0.35"/>
    <row r="1044" x14ac:dyDescent="0.35"/>
    <row r="1045" x14ac:dyDescent="0.35"/>
    <row r="1046" x14ac:dyDescent="0.35"/>
    <row r="1047" x14ac:dyDescent="0.35"/>
    <row r="1048" x14ac:dyDescent="0.35"/>
    <row r="1049" x14ac:dyDescent="0.35"/>
    <row r="1050" x14ac:dyDescent="0.35"/>
    <row r="1051" x14ac:dyDescent="0.35"/>
    <row r="1052" x14ac:dyDescent="0.35"/>
    <row r="1053" x14ac:dyDescent="0.35"/>
    <row r="1054" x14ac:dyDescent="0.35"/>
    <row r="1055" x14ac:dyDescent="0.35"/>
    <row r="1056" x14ac:dyDescent="0.35"/>
    <row r="1057" x14ac:dyDescent="0.35"/>
    <row r="1058" x14ac:dyDescent="0.35"/>
    <row r="1059" x14ac:dyDescent="0.35"/>
    <row r="1060" x14ac:dyDescent="0.35"/>
    <row r="1061" x14ac:dyDescent="0.35"/>
    <row r="1062" x14ac:dyDescent="0.35"/>
    <row r="1063" x14ac:dyDescent="0.35"/>
    <row r="1064" x14ac:dyDescent="0.35"/>
    <row r="1065" x14ac:dyDescent="0.35"/>
    <row r="1066" x14ac:dyDescent="0.35"/>
    <row r="1067" x14ac:dyDescent="0.35"/>
    <row r="1068" x14ac:dyDescent="0.35"/>
    <row r="1069" x14ac:dyDescent="0.35"/>
    <row r="1070" x14ac:dyDescent="0.35"/>
    <row r="1071" x14ac:dyDescent="0.35"/>
    <row r="1072" x14ac:dyDescent="0.35"/>
    <row r="1073" x14ac:dyDescent="0.35"/>
    <row r="1074" x14ac:dyDescent="0.35"/>
    <row r="1075" x14ac:dyDescent="0.35"/>
    <row r="1076" x14ac:dyDescent="0.35"/>
    <row r="1077" x14ac:dyDescent="0.35"/>
    <row r="1078" x14ac:dyDescent="0.35"/>
    <row r="1079" x14ac:dyDescent="0.35"/>
    <row r="1080" x14ac:dyDescent="0.35"/>
    <row r="1081" x14ac:dyDescent="0.35"/>
    <row r="1082" x14ac:dyDescent="0.35"/>
    <row r="1083" x14ac:dyDescent="0.35"/>
    <row r="1084" x14ac:dyDescent="0.35"/>
    <row r="1085" x14ac:dyDescent="0.35"/>
    <row r="1086" x14ac:dyDescent="0.35"/>
    <row r="1087" x14ac:dyDescent="0.35"/>
    <row r="1088" x14ac:dyDescent="0.35"/>
    <row r="1089" x14ac:dyDescent="0.35"/>
    <row r="1090" x14ac:dyDescent="0.35"/>
    <row r="1091" x14ac:dyDescent="0.35"/>
    <row r="1092" x14ac:dyDescent="0.35"/>
    <row r="1093" x14ac:dyDescent="0.35"/>
    <row r="1094" x14ac:dyDescent="0.35"/>
    <row r="1095" x14ac:dyDescent="0.35"/>
    <row r="1096" x14ac:dyDescent="0.35"/>
    <row r="1097" x14ac:dyDescent="0.35"/>
    <row r="1098" x14ac:dyDescent="0.35"/>
    <row r="1099" x14ac:dyDescent="0.35"/>
    <row r="1100" x14ac:dyDescent="0.35"/>
    <row r="1101" x14ac:dyDescent="0.35"/>
    <row r="1102" x14ac:dyDescent="0.35"/>
    <row r="1103" x14ac:dyDescent="0.35"/>
    <row r="1104" x14ac:dyDescent="0.35"/>
    <row r="1105" x14ac:dyDescent="0.35"/>
    <row r="1106" x14ac:dyDescent="0.35"/>
    <row r="1107" x14ac:dyDescent="0.35"/>
    <row r="1108" x14ac:dyDescent="0.35"/>
    <row r="1109" x14ac:dyDescent="0.35"/>
    <row r="1110" x14ac:dyDescent="0.35"/>
    <row r="1111" x14ac:dyDescent="0.35"/>
    <row r="1112" x14ac:dyDescent="0.35"/>
    <row r="1113" x14ac:dyDescent="0.35"/>
    <row r="1114" x14ac:dyDescent="0.35"/>
    <row r="1115" x14ac:dyDescent="0.35"/>
    <row r="1116" x14ac:dyDescent="0.35"/>
    <row r="1117" x14ac:dyDescent="0.35"/>
    <row r="1118" x14ac:dyDescent="0.35"/>
    <row r="1119" x14ac:dyDescent="0.35"/>
    <row r="1120" x14ac:dyDescent="0.35"/>
    <row r="1121" x14ac:dyDescent="0.35"/>
    <row r="1122" x14ac:dyDescent="0.35"/>
    <row r="1123" x14ac:dyDescent="0.35"/>
    <row r="1124" x14ac:dyDescent="0.35"/>
    <row r="1125" x14ac:dyDescent="0.35"/>
    <row r="1126" x14ac:dyDescent="0.35"/>
    <row r="1127" x14ac:dyDescent="0.35"/>
    <row r="1128" x14ac:dyDescent="0.35"/>
    <row r="1129" x14ac:dyDescent="0.35"/>
    <row r="1130" x14ac:dyDescent="0.35"/>
    <row r="1131" x14ac:dyDescent="0.35"/>
    <row r="1132" x14ac:dyDescent="0.35"/>
    <row r="1133" x14ac:dyDescent="0.35"/>
    <row r="1134" x14ac:dyDescent="0.35"/>
    <row r="1135" x14ac:dyDescent="0.35"/>
    <row r="1136" x14ac:dyDescent="0.35"/>
    <row r="1137" x14ac:dyDescent="0.35"/>
    <row r="1138" x14ac:dyDescent="0.35"/>
    <row r="1139" x14ac:dyDescent="0.35"/>
    <row r="1140" x14ac:dyDescent="0.35"/>
    <row r="1141" x14ac:dyDescent="0.35"/>
    <row r="1142" x14ac:dyDescent="0.35"/>
    <row r="1143" x14ac:dyDescent="0.35"/>
    <row r="1144" x14ac:dyDescent="0.35"/>
    <row r="1145" x14ac:dyDescent="0.35"/>
    <row r="1146" x14ac:dyDescent="0.35"/>
    <row r="1147" x14ac:dyDescent="0.35"/>
    <row r="1148" x14ac:dyDescent="0.35"/>
    <row r="1149" x14ac:dyDescent="0.35"/>
    <row r="1150" x14ac:dyDescent="0.35"/>
    <row r="1151" x14ac:dyDescent="0.35"/>
    <row r="1152" x14ac:dyDescent="0.35"/>
    <row r="1153" x14ac:dyDescent="0.35"/>
    <row r="1154" x14ac:dyDescent="0.35"/>
    <row r="1155" x14ac:dyDescent="0.35"/>
    <row r="1156" x14ac:dyDescent="0.35"/>
    <row r="1157" x14ac:dyDescent="0.35"/>
    <row r="1158" x14ac:dyDescent="0.35"/>
    <row r="1159" x14ac:dyDescent="0.35"/>
    <row r="1160" x14ac:dyDescent="0.35"/>
    <row r="1161" x14ac:dyDescent="0.35"/>
    <row r="1162" x14ac:dyDescent="0.35"/>
    <row r="1163" x14ac:dyDescent="0.35"/>
    <row r="1164" x14ac:dyDescent="0.35"/>
    <row r="1165" x14ac:dyDescent="0.35"/>
    <row r="1166" x14ac:dyDescent="0.35"/>
    <row r="1167" x14ac:dyDescent="0.35"/>
    <row r="1168" x14ac:dyDescent="0.35"/>
    <row r="1169" x14ac:dyDescent="0.35"/>
    <row r="1170" x14ac:dyDescent="0.35"/>
    <row r="1171" x14ac:dyDescent="0.35"/>
    <row r="1172" x14ac:dyDescent="0.35"/>
    <row r="1173" x14ac:dyDescent="0.35"/>
    <row r="1174" x14ac:dyDescent="0.35"/>
    <row r="1175" x14ac:dyDescent="0.35"/>
    <row r="1176" x14ac:dyDescent="0.35"/>
    <row r="1177" x14ac:dyDescent="0.35"/>
    <row r="1178" x14ac:dyDescent="0.35"/>
    <row r="1179" x14ac:dyDescent="0.35"/>
    <row r="1180" x14ac:dyDescent="0.35"/>
    <row r="1181" x14ac:dyDescent="0.35"/>
    <row r="1182" x14ac:dyDescent="0.35"/>
    <row r="1183" x14ac:dyDescent="0.35"/>
    <row r="1184" x14ac:dyDescent="0.35"/>
    <row r="1185" x14ac:dyDescent="0.35"/>
    <row r="1186" x14ac:dyDescent="0.35"/>
    <row r="1187" x14ac:dyDescent="0.35"/>
    <row r="1188" x14ac:dyDescent="0.35"/>
    <row r="1189" x14ac:dyDescent="0.35"/>
    <row r="1190" x14ac:dyDescent="0.35"/>
    <row r="1191" x14ac:dyDescent="0.35"/>
    <row r="1192" x14ac:dyDescent="0.35"/>
    <row r="1193" x14ac:dyDescent="0.35"/>
    <row r="1194" x14ac:dyDescent="0.35"/>
    <row r="1195" x14ac:dyDescent="0.35"/>
    <row r="1196" x14ac:dyDescent="0.35"/>
    <row r="1197" x14ac:dyDescent="0.35"/>
    <row r="1198" x14ac:dyDescent="0.35"/>
    <row r="1199" x14ac:dyDescent="0.35"/>
    <row r="1200" x14ac:dyDescent="0.35"/>
    <row r="1201" x14ac:dyDescent="0.35"/>
    <row r="1202" x14ac:dyDescent="0.35"/>
    <row r="1203" x14ac:dyDescent="0.35"/>
    <row r="1204" x14ac:dyDescent="0.35"/>
    <row r="1205" x14ac:dyDescent="0.35"/>
    <row r="1206" x14ac:dyDescent="0.35"/>
    <row r="1207" x14ac:dyDescent="0.35"/>
    <row r="1208" x14ac:dyDescent="0.35"/>
    <row r="1209" x14ac:dyDescent="0.35"/>
    <row r="1210" x14ac:dyDescent="0.35"/>
    <row r="1211" x14ac:dyDescent="0.35"/>
    <row r="1212" x14ac:dyDescent="0.35"/>
    <row r="1213" x14ac:dyDescent="0.35"/>
    <row r="1214" x14ac:dyDescent="0.35"/>
    <row r="1215" x14ac:dyDescent="0.35"/>
    <row r="1216" x14ac:dyDescent="0.35"/>
    <row r="1217" x14ac:dyDescent="0.35"/>
    <row r="1218" x14ac:dyDescent="0.35"/>
    <row r="1219" x14ac:dyDescent="0.35"/>
    <row r="1220" x14ac:dyDescent="0.35"/>
    <row r="1221" x14ac:dyDescent="0.35"/>
    <row r="1222" x14ac:dyDescent="0.35"/>
    <row r="1223" x14ac:dyDescent="0.35"/>
    <row r="1224" x14ac:dyDescent="0.35"/>
    <row r="1225" x14ac:dyDescent="0.35"/>
    <row r="1226" x14ac:dyDescent="0.35"/>
    <row r="1227" x14ac:dyDescent="0.35"/>
    <row r="1228" x14ac:dyDescent="0.35"/>
    <row r="1229" x14ac:dyDescent="0.35"/>
    <row r="1230" x14ac:dyDescent="0.35"/>
    <row r="1231" x14ac:dyDescent="0.35"/>
    <row r="1232" x14ac:dyDescent="0.35"/>
    <row r="1233" x14ac:dyDescent="0.35"/>
    <row r="1234" x14ac:dyDescent="0.35"/>
    <row r="1235" x14ac:dyDescent="0.35"/>
    <row r="1236" x14ac:dyDescent="0.35"/>
    <row r="1237" x14ac:dyDescent="0.35"/>
    <row r="1238" x14ac:dyDescent="0.35"/>
    <row r="1239" x14ac:dyDescent="0.35"/>
    <row r="1240" x14ac:dyDescent="0.35"/>
    <row r="1241" x14ac:dyDescent="0.35"/>
    <row r="1242" x14ac:dyDescent="0.35"/>
    <row r="1243" x14ac:dyDescent="0.35"/>
    <row r="1244" x14ac:dyDescent="0.35"/>
    <row r="1245" x14ac:dyDescent="0.35"/>
    <row r="1246" x14ac:dyDescent="0.35"/>
    <row r="1247" x14ac:dyDescent="0.35"/>
    <row r="1248" x14ac:dyDescent="0.35"/>
    <row r="1249" x14ac:dyDescent="0.35"/>
    <row r="1250" x14ac:dyDescent="0.35"/>
    <row r="1251" x14ac:dyDescent="0.35"/>
    <row r="1252" x14ac:dyDescent="0.35"/>
    <row r="1253" x14ac:dyDescent="0.35"/>
    <row r="1254" x14ac:dyDescent="0.35"/>
    <row r="1255" x14ac:dyDescent="0.35"/>
    <row r="1256" x14ac:dyDescent="0.35"/>
    <row r="1257" x14ac:dyDescent="0.35"/>
    <row r="1258" x14ac:dyDescent="0.35"/>
    <row r="1259" x14ac:dyDescent="0.35"/>
    <row r="1260" x14ac:dyDescent="0.35"/>
    <row r="1261" x14ac:dyDescent="0.35"/>
    <row r="1262" x14ac:dyDescent="0.35"/>
    <row r="1263" x14ac:dyDescent="0.35"/>
    <row r="1264" x14ac:dyDescent="0.35"/>
    <row r="1265" x14ac:dyDescent="0.35"/>
    <row r="1266" x14ac:dyDescent="0.35"/>
    <row r="1267" x14ac:dyDescent="0.35"/>
    <row r="1268" x14ac:dyDescent="0.35"/>
    <row r="1269" x14ac:dyDescent="0.35"/>
    <row r="1270" x14ac:dyDescent="0.35"/>
    <row r="1271" x14ac:dyDescent="0.35"/>
    <row r="1272" x14ac:dyDescent="0.35"/>
    <row r="1273" x14ac:dyDescent="0.35"/>
    <row r="1274" x14ac:dyDescent="0.35"/>
    <row r="1275" x14ac:dyDescent="0.35"/>
    <row r="1276" x14ac:dyDescent="0.35"/>
    <row r="1277" x14ac:dyDescent="0.35"/>
    <row r="1278" x14ac:dyDescent="0.35"/>
    <row r="1279" x14ac:dyDescent="0.35"/>
    <row r="1280" x14ac:dyDescent="0.35"/>
    <row r="1281" x14ac:dyDescent="0.35"/>
    <row r="1282" x14ac:dyDescent="0.35"/>
    <row r="1283" x14ac:dyDescent="0.35"/>
    <row r="1284" x14ac:dyDescent="0.35"/>
    <row r="1285" x14ac:dyDescent="0.35"/>
    <row r="1286" x14ac:dyDescent="0.35"/>
    <row r="1287" x14ac:dyDescent="0.35"/>
    <row r="1288" x14ac:dyDescent="0.35"/>
    <row r="1289" x14ac:dyDescent="0.35"/>
    <row r="1290" x14ac:dyDescent="0.35"/>
    <row r="1291" x14ac:dyDescent="0.35"/>
    <row r="1292" x14ac:dyDescent="0.35"/>
    <row r="1293" x14ac:dyDescent="0.35"/>
    <row r="1294" x14ac:dyDescent="0.35"/>
    <row r="1295" x14ac:dyDescent="0.35"/>
    <row r="1296" x14ac:dyDescent="0.35"/>
    <row r="1297" x14ac:dyDescent="0.35"/>
    <row r="1298" x14ac:dyDescent="0.35"/>
    <row r="1299" x14ac:dyDescent="0.35"/>
    <row r="1300" x14ac:dyDescent="0.35"/>
    <row r="1301" x14ac:dyDescent="0.35"/>
    <row r="1302" x14ac:dyDescent="0.35"/>
    <row r="1303" x14ac:dyDescent="0.35"/>
    <row r="1304" x14ac:dyDescent="0.35"/>
    <row r="1305" x14ac:dyDescent="0.35"/>
    <row r="1306" x14ac:dyDescent="0.35"/>
    <row r="1307" x14ac:dyDescent="0.35"/>
    <row r="1308" x14ac:dyDescent="0.35"/>
    <row r="1309" x14ac:dyDescent="0.35"/>
    <row r="1310" x14ac:dyDescent="0.35"/>
    <row r="1311" x14ac:dyDescent="0.35"/>
    <row r="1312" x14ac:dyDescent="0.35"/>
    <row r="1313" x14ac:dyDescent="0.35"/>
    <row r="1314" x14ac:dyDescent="0.35"/>
    <row r="1315" x14ac:dyDescent="0.35"/>
    <row r="1316" x14ac:dyDescent="0.35"/>
    <row r="1317" x14ac:dyDescent="0.35"/>
    <row r="1318" x14ac:dyDescent="0.35"/>
    <row r="1319" x14ac:dyDescent="0.35"/>
    <row r="1320" x14ac:dyDescent="0.35"/>
    <row r="1321" x14ac:dyDescent="0.35"/>
    <row r="1322" x14ac:dyDescent="0.35"/>
    <row r="1323" x14ac:dyDescent="0.35"/>
    <row r="1324" x14ac:dyDescent="0.35"/>
    <row r="1325" x14ac:dyDescent="0.35"/>
    <row r="1326" x14ac:dyDescent="0.35"/>
    <row r="1327" x14ac:dyDescent="0.35"/>
    <row r="1328" x14ac:dyDescent="0.35"/>
    <row r="1329" x14ac:dyDescent="0.35"/>
    <row r="1330" x14ac:dyDescent="0.35"/>
    <row r="1331" x14ac:dyDescent="0.35"/>
    <row r="1332" x14ac:dyDescent="0.35"/>
    <row r="1333" x14ac:dyDescent="0.35"/>
    <row r="1334" x14ac:dyDescent="0.35"/>
    <row r="1335" x14ac:dyDescent="0.35"/>
    <row r="1336" x14ac:dyDescent="0.35"/>
    <row r="1337" x14ac:dyDescent="0.35"/>
    <row r="1338" x14ac:dyDescent="0.35"/>
    <row r="1339" x14ac:dyDescent="0.35"/>
    <row r="1340" x14ac:dyDescent="0.35"/>
    <row r="1341" x14ac:dyDescent="0.35"/>
    <row r="1342" x14ac:dyDescent="0.35"/>
    <row r="1343" x14ac:dyDescent="0.35"/>
    <row r="1344" x14ac:dyDescent="0.35"/>
    <row r="1345" x14ac:dyDescent="0.35"/>
    <row r="1346" x14ac:dyDescent="0.35"/>
    <row r="1347" x14ac:dyDescent="0.35"/>
    <row r="1348" x14ac:dyDescent="0.35"/>
    <row r="1349" x14ac:dyDescent="0.35"/>
    <row r="1350" x14ac:dyDescent="0.35"/>
    <row r="1351" x14ac:dyDescent="0.35"/>
    <row r="1352" x14ac:dyDescent="0.35"/>
    <row r="1353" x14ac:dyDescent="0.35"/>
    <row r="1354" x14ac:dyDescent="0.35"/>
    <row r="1355" x14ac:dyDescent="0.35"/>
    <row r="1356" x14ac:dyDescent="0.35"/>
    <row r="1357" x14ac:dyDescent="0.35"/>
    <row r="1358" x14ac:dyDescent="0.35"/>
    <row r="1359" x14ac:dyDescent="0.35"/>
    <row r="1360" x14ac:dyDescent="0.35"/>
    <row r="1361" x14ac:dyDescent="0.35"/>
    <row r="1362" x14ac:dyDescent="0.35"/>
    <row r="1363" x14ac:dyDescent="0.35"/>
    <row r="1364" x14ac:dyDescent="0.35"/>
    <row r="1365" x14ac:dyDescent="0.35"/>
    <row r="1366" x14ac:dyDescent="0.35"/>
    <row r="1367" x14ac:dyDescent="0.35"/>
    <row r="1368" x14ac:dyDescent="0.35"/>
    <row r="1369" x14ac:dyDescent="0.35"/>
    <row r="1370" x14ac:dyDescent="0.35"/>
    <row r="1371" x14ac:dyDescent="0.35"/>
    <row r="1372" x14ac:dyDescent="0.35"/>
    <row r="1373" x14ac:dyDescent="0.35"/>
    <row r="1374" x14ac:dyDescent="0.35"/>
    <row r="1375" x14ac:dyDescent="0.35"/>
    <row r="1376" x14ac:dyDescent="0.35"/>
    <row r="1377" x14ac:dyDescent="0.35"/>
    <row r="1378" x14ac:dyDescent="0.35"/>
    <row r="1379" x14ac:dyDescent="0.35"/>
    <row r="1380" x14ac:dyDescent="0.35"/>
    <row r="1381" x14ac:dyDescent="0.35"/>
    <row r="1382" x14ac:dyDescent="0.35"/>
    <row r="1383" x14ac:dyDescent="0.35"/>
    <row r="1384" x14ac:dyDescent="0.35"/>
    <row r="1385" x14ac:dyDescent="0.35"/>
    <row r="1386" x14ac:dyDescent="0.35"/>
    <row r="1387" x14ac:dyDescent="0.35"/>
    <row r="1388" x14ac:dyDescent="0.35"/>
    <row r="1389" x14ac:dyDescent="0.35"/>
    <row r="1390" x14ac:dyDescent="0.35"/>
    <row r="1391" x14ac:dyDescent="0.35"/>
    <row r="1392" x14ac:dyDescent="0.35"/>
    <row r="1393" x14ac:dyDescent="0.35"/>
    <row r="1394" x14ac:dyDescent="0.35"/>
    <row r="1395" x14ac:dyDescent="0.35"/>
    <row r="1396" x14ac:dyDescent="0.35"/>
    <row r="1397" x14ac:dyDescent="0.35"/>
    <row r="1398" x14ac:dyDescent="0.35"/>
    <row r="1399" x14ac:dyDescent="0.35"/>
    <row r="1400" x14ac:dyDescent="0.35"/>
    <row r="1401" x14ac:dyDescent="0.35"/>
    <row r="1402" x14ac:dyDescent="0.35"/>
    <row r="1403" x14ac:dyDescent="0.35"/>
    <row r="1404" x14ac:dyDescent="0.35"/>
    <row r="1405" x14ac:dyDescent="0.35"/>
    <row r="1406" x14ac:dyDescent="0.35"/>
    <row r="1407" x14ac:dyDescent="0.35"/>
    <row r="1408" x14ac:dyDescent="0.35"/>
    <row r="1409" x14ac:dyDescent="0.35"/>
    <row r="1410" x14ac:dyDescent="0.35"/>
    <row r="1411" x14ac:dyDescent="0.35"/>
    <row r="1412" x14ac:dyDescent="0.35"/>
    <row r="1413" x14ac:dyDescent="0.35"/>
    <row r="1414" x14ac:dyDescent="0.35"/>
    <row r="1415" x14ac:dyDescent="0.35"/>
    <row r="1416" x14ac:dyDescent="0.35"/>
    <row r="1417" x14ac:dyDescent="0.35"/>
    <row r="1418" x14ac:dyDescent="0.35"/>
    <row r="1419" x14ac:dyDescent="0.35"/>
    <row r="1420" x14ac:dyDescent="0.35"/>
    <row r="1421" x14ac:dyDescent="0.35"/>
    <row r="1422" x14ac:dyDescent="0.35"/>
    <row r="1423" x14ac:dyDescent="0.35"/>
    <row r="1424" x14ac:dyDescent="0.35"/>
    <row r="1425" x14ac:dyDescent="0.35"/>
    <row r="1426" x14ac:dyDescent="0.35"/>
    <row r="1427" x14ac:dyDescent="0.35"/>
    <row r="1428" x14ac:dyDescent="0.35"/>
    <row r="1429" x14ac:dyDescent="0.35"/>
    <row r="1430" x14ac:dyDescent="0.35"/>
    <row r="1431" x14ac:dyDescent="0.35"/>
    <row r="1432" x14ac:dyDescent="0.35"/>
    <row r="1433" x14ac:dyDescent="0.35"/>
    <row r="1434" x14ac:dyDescent="0.35"/>
    <row r="1435" x14ac:dyDescent="0.35"/>
    <row r="1436" x14ac:dyDescent="0.35"/>
    <row r="1437" x14ac:dyDescent="0.35"/>
    <row r="1438" x14ac:dyDescent="0.35"/>
    <row r="1439" x14ac:dyDescent="0.35"/>
    <row r="1440" x14ac:dyDescent="0.35"/>
    <row r="1441" x14ac:dyDescent="0.35"/>
    <row r="1442" x14ac:dyDescent="0.35"/>
    <row r="1443" x14ac:dyDescent="0.35"/>
    <row r="1444" x14ac:dyDescent="0.35"/>
    <row r="1445" x14ac:dyDescent="0.35"/>
    <row r="1446" x14ac:dyDescent="0.35"/>
    <row r="1447" x14ac:dyDescent="0.35"/>
    <row r="1448" x14ac:dyDescent="0.35"/>
    <row r="1449" x14ac:dyDescent="0.35"/>
    <row r="1450" x14ac:dyDescent="0.35"/>
    <row r="1451" x14ac:dyDescent="0.35"/>
    <row r="1452" x14ac:dyDescent="0.35"/>
    <row r="1453" x14ac:dyDescent="0.35"/>
    <row r="1454" x14ac:dyDescent="0.35"/>
    <row r="1455" x14ac:dyDescent="0.35"/>
    <row r="1456" x14ac:dyDescent="0.35"/>
    <row r="1457" x14ac:dyDescent="0.35"/>
    <row r="1458" x14ac:dyDescent="0.35"/>
    <row r="1459" x14ac:dyDescent="0.35"/>
    <row r="1460" x14ac:dyDescent="0.35"/>
    <row r="1461" x14ac:dyDescent="0.35"/>
    <row r="1462" x14ac:dyDescent="0.35"/>
    <row r="1463" x14ac:dyDescent="0.35"/>
    <row r="1464" x14ac:dyDescent="0.35"/>
    <row r="1465" x14ac:dyDescent="0.35"/>
    <row r="1466" x14ac:dyDescent="0.35"/>
    <row r="1467" x14ac:dyDescent="0.35"/>
    <row r="1468" x14ac:dyDescent="0.35"/>
    <row r="1469" x14ac:dyDescent="0.35"/>
    <row r="1470" x14ac:dyDescent="0.35"/>
    <row r="1471" x14ac:dyDescent="0.35"/>
    <row r="1472" x14ac:dyDescent="0.35"/>
    <row r="1473" x14ac:dyDescent="0.35"/>
    <row r="1474" x14ac:dyDescent="0.35"/>
    <row r="1475" x14ac:dyDescent="0.35"/>
    <row r="1476" x14ac:dyDescent="0.35"/>
    <row r="1477" x14ac:dyDescent="0.35"/>
    <row r="1478" x14ac:dyDescent="0.35"/>
    <row r="1479" x14ac:dyDescent="0.35"/>
    <row r="1480" x14ac:dyDescent="0.35"/>
    <row r="1481" x14ac:dyDescent="0.35"/>
    <row r="1482" x14ac:dyDescent="0.35"/>
    <row r="1483" x14ac:dyDescent="0.35"/>
    <row r="1484" x14ac:dyDescent="0.35"/>
    <row r="1485" x14ac:dyDescent="0.35"/>
    <row r="1486" x14ac:dyDescent="0.35"/>
    <row r="1487" x14ac:dyDescent="0.35"/>
    <row r="1488" x14ac:dyDescent="0.35"/>
    <row r="1489" x14ac:dyDescent="0.35"/>
    <row r="1490" x14ac:dyDescent="0.35"/>
    <row r="1491" x14ac:dyDescent="0.35"/>
    <row r="1492" x14ac:dyDescent="0.35"/>
    <row r="1493" x14ac:dyDescent="0.35"/>
    <row r="1494" x14ac:dyDescent="0.35"/>
    <row r="1495" x14ac:dyDescent="0.35"/>
    <row r="1496" x14ac:dyDescent="0.35"/>
    <row r="1497" x14ac:dyDescent="0.35"/>
    <row r="1498" x14ac:dyDescent="0.35"/>
    <row r="1499" x14ac:dyDescent="0.35"/>
    <row r="1500" x14ac:dyDescent="0.35"/>
    <row r="1501" x14ac:dyDescent="0.35"/>
    <row r="1502" x14ac:dyDescent="0.35"/>
    <row r="1503" x14ac:dyDescent="0.35"/>
    <row r="1504" x14ac:dyDescent="0.35"/>
    <row r="1505" x14ac:dyDescent="0.35"/>
    <row r="1506" x14ac:dyDescent="0.35"/>
    <row r="1507" x14ac:dyDescent="0.35"/>
    <row r="1508" x14ac:dyDescent="0.35"/>
    <row r="1509" x14ac:dyDescent="0.35"/>
    <row r="1510" x14ac:dyDescent="0.35"/>
    <row r="1511" x14ac:dyDescent="0.35"/>
    <row r="1512" x14ac:dyDescent="0.35"/>
    <row r="1513" x14ac:dyDescent="0.35"/>
    <row r="1514" x14ac:dyDescent="0.35"/>
    <row r="1515" x14ac:dyDescent="0.35"/>
    <row r="1516" x14ac:dyDescent="0.35"/>
    <row r="1517" x14ac:dyDescent="0.35"/>
    <row r="1518" x14ac:dyDescent="0.35"/>
    <row r="1519" x14ac:dyDescent="0.35"/>
    <row r="1520" x14ac:dyDescent="0.35"/>
    <row r="1521" x14ac:dyDescent="0.35"/>
    <row r="1522" x14ac:dyDescent="0.35"/>
    <row r="1523" x14ac:dyDescent="0.35"/>
    <row r="1524" x14ac:dyDescent="0.35"/>
    <row r="1525" x14ac:dyDescent="0.35"/>
    <row r="1526" x14ac:dyDescent="0.35"/>
    <row r="1527" x14ac:dyDescent="0.35"/>
    <row r="1528" x14ac:dyDescent="0.35"/>
    <row r="1529" x14ac:dyDescent="0.35"/>
    <row r="1530" x14ac:dyDescent="0.35"/>
    <row r="1531" x14ac:dyDescent="0.35"/>
    <row r="1532" x14ac:dyDescent="0.35"/>
    <row r="1533" x14ac:dyDescent="0.35"/>
    <row r="1534" x14ac:dyDescent="0.35"/>
    <row r="1535" x14ac:dyDescent="0.35"/>
    <row r="1536" x14ac:dyDescent="0.35"/>
    <row r="1537" x14ac:dyDescent="0.35"/>
    <row r="1538" x14ac:dyDescent="0.35"/>
    <row r="1539" x14ac:dyDescent="0.35"/>
    <row r="1540" x14ac:dyDescent="0.35"/>
    <row r="1541" x14ac:dyDescent="0.35"/>
    <row r="1542" x14ac:dyDescent="0.35"/>
    <row r="1543" x14ac:dyDescent="0.35"/>
    <row r="1544" x14ac:dyDescent="0.35"/>
    <row r="1545" x14ac:dyDescent="0.35"/>
    <row r="1546" x14ac:dyDescent="0.35"/>
    <row r="1547" x14ac:dyDescent="0.35"/>
    <row r="1548" x14ac:dyDescent="0.35"/>
    <row r="1549" x14ac:dyDescent="0.35"/>
    <row r="1550" x14ac:dyDescent="0.35"/>
    <row r="1551" x14ac:dyDescent="0.35"/>
    <row r="1552" x14ac:dyDescent="0.35"/>
    <row r="1553" x14ac:dyDescent="0.35"/>
    <row r="1554" x14ac:dyDescent="0.35"/>
    <row r="1555" x14ac:dyDescent="0.35"/>
    <row r="1556" x14ac:dyDescent="0.35"/>
    <row r="1557" x14ac:dyDescent="0.35"/>
    <row r="1558" x14ac:dyDescent="0.35"/>
    <row r="1559" x14ac:dyDescent="0.35"/>
    <row r="1560" x14ac:dyDescent="0.35"/>
    <row r="1561" x14ac:dyDescent="0.35"/>
    <row r="1562" x14ac:dyDescent="0.35"/>
    <row r="1563" x14ac:dyDescent="0.35"/>
    <row r="1564" x14ac:dyDescent="0.35"/>
    <row r="1565" x14ac:dyDescent="0.35"/>
    <row r="1566" x14ac:dyDescent="0.35"/>
    <row r="1567" x14ac:dyDescent="0.35"/>
    <row r="1568" x14ac:dyDescent="0.35"/>
    <row r="1569" x14ac:dyDescent="0.35"/>
    <row r="1570" x14ac:dyDescent="0.35"/>
    <row r="1571" x14ac:dyDescent="0.35"/>
    <row r="1572" x14ac:dyDescent="0.35"/>
    <row r="1573" x14ac:dyDescent="0.35"/>
    <row r="1574" x14ac:dyDescent="0.35"/>
    <row r="1575" x14ac:dyDescent="0.35"/>
    <row r="1576" x14ac:dyDescent="0.35"/>
    <row r="1577" x14ac:dyDescent="0.35"/>
    <row r="1578" x14ac:dyDescent="0.35"/>
    <row r="1579" x14ac:dyDescent="0.35"/>
    <row r="1580" x14ac:dyDescent="0.35"/>
    <row r="1581" x14ac:dyDescent="0.35"/>
    <row r="1582" x14ac:dyDescent="0.35"/>
    <row r="1583" x14ac:dyDescent="0.35"/>
    <row r="1584" x14ac:dyDescent="0.35"/>
    <row r="1585" x14ac:dyDescent="0.35"/>
    <row r="1586" x14ac:dyDescent="0.35"/>
    <row r="1587" x14ac:dyDescent="0.35"/>
    <row r="1588" x14ac:dyDescent="0.35"/>
    <row r="1589" x14ac:dyDescent="0.35"/>
    <row r="1590" x14ac:dyDescent="0.35"/>
    <row r="1591" x14ac:dyDescent="0.35"/>
    <row r="1592" x14ac:dyDescent="0.35"/>
    <row r="1593" x14ac:dyDescent="0.35"/>
    <row r="1594" x14ac:dyDescent="0.35"/>
    <row r="1595" x14ac:dyDescent="0.35"/>
    <row r="1596" x14ac:dyDescent="0.35"/>
    <row r="1597" x14ac:dyDescent="0.35"/>
    <row r="1598" x14ac:dyDescent="0.35"/>
    <row r="1599" x14ac:dyDescent="0.35"/>
    <row r="1600" x14ac:dyDescent="0.35"/>
    <row r="1601" x14ac:dyDescent="0.35"/>
    <row r="1602" x14ac:dyDescent="0.35"/>
    <row r="1603" x14ac:dyDescent="0.35"/>
    <row r="1604" x14ac:dyDescent="0.35"/>
    <row r="1605" x14ac:dyDescent="0.35"/>
    <row r="1606" x14ac:dyDescent="0.35"/>
    <row r="1607" x14ac:dyDescent="0.35"/>
    <row r="1608" x14ac:dyDescent="0.35"/>
    <row r="1609" x14ac:dyDescent="0.35"/>
    <row r="1610" x14ac:dyDescent="0.35"/>
    <row r="1611" x14ac:dyDescent="0.35"/>
    <row r="1612" x14ac:dyDescent="0.35"/>
    <row r="1613" x14ac:dyDescent="0.35"/>
    <row r="1614" x14ac:dyDescent="0.35"/>
    <row r="1615" x14ac:dyDescent="0.35"/>
    <row r="1616" x14ac:dyDescent="0.35"/>
    <row r="1617" x14ac:dyDescent="0.35"/>
    <row r="1618" x14ac:dyDescent="0.35"/>
    <row r="1619" x14ac:dyDescent="0.35"/>
    <row r="1620" x14ac:dyDescent="0.35"/>
    <row r="1621" x14ac:dyDescent="0.35"/>
    <row r="1622" x14ac:dyDescent="0.35"/>
    <row r="1623" x14ac:dyDescent="0.35"/>
    <row r="1624" x14ac:dyDescent="0.35"/>
    <row r="1625" x14ac:dyDescent="0.35"/>
    <row r="1626" x14ac:dyDescent="0.35"/>
    <row r="1627" x14ac:dyDescent="0.35"/>
    <row r="1628" x14ac:dyDescent="0.35"/>
    <row r="1629" x14ac:dyDescent="0.35"/>
    <row r="1630" x14ac:dyDescent="0.35"/>
    <row r="1631" x14ac:dyDescent="0.35"/>
    <row r="1632" x14ac:dyDescent="0.35"/>
    <row r="1633" x14ac:dyDescent="0.35"/>
    <row r="1634" x14ac:dyDescent="0.35"/>
    <row r="1635" x14ac:dyDescent="0.35"/>
    <row r="1636" x14ac:dyDescent="0.35"/>
    <row r="1637" x14ac:dyDescent="0.35"/>
    <row r="1638" x14ac:dyDescent="0.35"/>
    <row r="1639" x14ac:dyDescent="0.35"/>
    <row r="1640" x14ac:dyDescent="0.35"/>
    <row r="1641" x14ac:dyDescent="0.35"/>
    <row r="1642" x14ac:dyDescent="0.35"/>
    <row r="1643" x14ac:dyDescent="0.35"/>
    <row r="1644" x14ac:dyDescent="0.35"/>
    <row r="1645" x14ac:dyDescent="0.35"/>
    <row r="1646" x14ac:dyDescent="0.35"/>
    <row r="1647" x14ac:dyDescent="0.35"/>
    <row r="1648" x14ac:dyDescent="0.35"/>
    <row r="1649" x14ac:dyDescent="0.35"/>
    <row r="1650" x14ac:dyDescent="0.35"/>
    <row r="1651" x14ac:dyDescent="0.35"/>
    <row r="1652" x14ac:dyDescent="0.35"/>
    <row r="1653" x14ac:dyDescent="0.35"/>
    <row r="1654" x14ac:dyDescent="0.35"/>
    <row r="1655" x14ac:dyDescent="0.35"/>
    <row r="1656" x14ac:dyDescent="0.35"/>
    <row r="1657" x14ac:dyDescent="0.35"/>
    <row r="1658" x14ac:dyDescent="0.35"/>
    <row r="1659" x14ac:dyDescent="0.35"/>
    <row r="1660" x14ac:dyDescent="0.35"/>
    <row r="1661" x14ac:dyDescent="0.35"/>
    <row r="1662" x14ac:dyDescent="0.35"/>
    <row r="1663" x14ac:dyDescent="0.35"/>
    <row r="1664" x14ac:dyDescent="0.35"/>
    <row r="1665" x14ac:dyDescent="0.35"/>
    <row r="1666" x14ac:dyDescent="0.35"/>
    <row r="1667" x14ac:dyDescent="0.35"/>
    <row r="1668" x14ac:dyDescent="0.35"/>
    <row r="1669" x14ac:dyDescent="0.35"/>
    <row r="1670" x14ac:dyDescent="0.35"/>
    <row r="1671" x14ac:dyDescent="0.35"/>
    <row r="1672" x14ac:dyDescent="0.35"/>
    <row r="1673" x14ac:dyDescent="0.35"/>
    <row r="1674" x14ac:dyDescent="0.35"/>
    <row r="1675" x14ac:dyDescent="0.35"/>
    <row r="1676" x14ac:dyDescent="0.35"/>
    <row r="1677" x14ac:dyDescent="0.35"/>
    <row r="1678" x14ac:dyDescent="0.35"/>
    <row r="1679" x14ac:dyDescent="0.35"/>
    <row r="1680" x14ac:dyDescent="0.35"/>
    <row r="1681" x14ac:dyDescent="0.35"/>
    <row r="1682" x14ac:dyDescent="0.35"/>
    <row r="1683" x14ac:dyDescent="0.35"/>
    <row r="1684" x14ac:dyDescent="0.35"/>
    <row r="1685" x14ac:dyDescent="0.35"/>
    <row r="1686" x14ac:dyDescent="0.35"/>
    <row r="1687" x14ac:dyDescent="0.35"/>
    <row r="1688" x14ac:dyDescent="0.35"/>
    <row r="1689" x14ac:dyDescent="0.35"/>
    <row r="1690" x14ac:dyDescent="0.35"/>
    <row r="1691" x14ac:dyDescent="0.35"/>
    <row r="1692" x14ac:dyDescent="0.35"/>
    <row r="1693" x14ac:dyDescent="0.35"/>
    <row r="1694" x14ac:dyDescent="0.35"/>
    <row r="1695" x14ac:dyDescent="0.35"/>
    <row r="1696" x14ac:dyDescent="0.35"/>
    <row r="1697" x14ac:dyDescent="0.35"/>
    <row r="1698" x14ac:dyDescent="0.35"/>
    <row r="1699" x14ac:dyDescent="0.35"/>
    <row r="1700" x14ac:dyDescent="0.35"/>
    <row r="1701" x14ac:dyDescent="0.35"/>
    <row r="1702" x14ac:dyDescent="0.35"/>
    <row r="1703" x14ac:dyDescent="0.35"/>
    <row r="1704" x14ac:dyDescent="0.35"/>
    <row r="1705" x14ac:dyDescent="0.35"/>
    <row r="1706" x14ac:dyDescent="0.35"/>
    <row r="1707" x14ac:dyDescent="0.35"/>
    <row r="1708" x14ac:dyDescent="0.35"/>
    <row r="1709" x14ac:dyDescent="0.35"/>
    <row r="1710" x14ac:dyDescent="0.35"/>
    <row r="1711" x14ac:dyDescent="0.35"/>
    <row r="1712" x14ac:dyDescent="0.35"/>
    <row r="1713" x14ac:dyDescent="0.35"/>
    <row r="1714" x14ac:dyDescent="0.35"/>
    <row r="1715" x14ac:dyDescent="0.35"/>
    <row r="1716" x14ac:dyDescent="0.35"/>
    <row r="1717" x14ac:dyDescent="0.35"/>
    <row r="1718" x14ac:dyDescent="0.35"/>
    <row r="1719" x14ac:dyDescent="0.35"/>
    <row r="1720" x14ac:dyDescent="0.35"/>
    <row r="1721" x14ac:dyDescent="0.35"/>
    <row r="1722" x14ac:dyDescent="0.35"/>
    <row r="1723" x14ac:dyDescent="0.35"/>
    <row r="1724" x14ac:dyDescent="0.35"/>
    <row r="1725" x14ac:dyDescent="0.35"/>
    <row r="1726" x14ac:dyDescent="0.35"/>
    <row r="1727" x14ac:dyDescent="0.35"/>
    <row r="1728" x14ac:dyDescent="0.35"/>
    <row r="1729" x14ac:dyDescent="0.35"/>
    <row r="1730" x14ac:dyDescent="0.35"/>
    <row r="1731" x14ac:dyDescent="0.35"/>
    <row r="1732" x14ac:dyDescent="0.35"/>
    <row r="1733" x14ac:dyDescent="0.35"/>
    <row r="1734" x14ac:dyDescent="0.35"/>
    <row r="1735" x14ac:dyDescent="0.35"/>
    <row r="1736" x14ac:dyDescent="0.35"/>
    <row r="1737" x14ac:dyDescent="0.35"/>
    <row r="1738" x14ac:dyDescent="0.35"/>
    <row r="1739" x14ac:dyDescent="0.35"/>
    <row r="1740" x14ac:dyDescent="0.35"/>
    <row r="1741" x14ac:dyDescent="0.35"/>
    <row r="1742" x14ac:dyDescent="0.35"/>
    <row r="1743" x14ac:dyDescent="0.35"/>
    <row r="1744" x14ac:dyDescent="0.35"/>
    <row r="1745" x14ac:dyDescent="0.35"/>
    <row r="1746" x14ac:dyDescent="0.35"/>
    <row r="1747" x14ac:dyDescent="0.35"/>
    <row r="1748" x14ac:dyDescent="0.35"/>
    <row r="1749" x14ac:dyDescent="0.35"/>
    <row r="1750" x14ac:dyDescent="0.35"/>
    <row r="1751" x14ac:dyDescent="0.35"/>
    <row r="1752" x14ac:dyDescent="0.35"/>
    <row r="1753" x14ac:dyDescent="0.35"/>
    <row r="1754" x14ac:dyDescent="0.35"/>
    <row r="1755" x14ac:dyDescent="0.35"/>
    <row r="1756" x14ac:dyDescent="0.35"/>
    <row r="1757" x14ac:dyDescent="0.35"/>
    <row r="1758" x14ac:dyDescent="0.35"/>
    <row r="1759" x14ac:dyDescent="0.35"/>
    <row r="1760" x14ac:dyDescent="0.35"/>
    <row r="1761" x14ac:dyDescent="0.35"/>
    <row r="1762" x14ac:dyDescent="0.35"/>
    <row r="1763" x14ac:dyDescent="0.35"/>
    <row r="1764" x14ac:dyDescent="0.35"/>
    <row r="1765" x14ac:dyDescent="0.35"/>
    <row r="1766" x14ac:dyDescent="0.35"/>
    <row r="1767" x14ac:dyDescent="0.35"/>
    <row r="1768" x14ac:dyDescent="0.35"/>
    <row r="1769" x14ac:dyDescent="0.35"/>
    <row r="1770" x14ac:dyDescent="0.35"/>
    <row r="1771" x14ac:dyDescent="0.35"/>
    <row r="1772" x14ac:dyDescent="0.35"/>
    <row r="1773" x14ac:dyDescent="0.35"/>
    <row r="1774" x14ac:dyDescent="0.35"/>
    <row r="1775" x14ac:dyDescent="0.35"/>
    <row r="1776" x14ac:dyDescent="0.35"/>
    <row r="1777" x14ac:dyDescent="0.35"/>
    <row r="1778" x14ac:dyDescent="0.35"/>
    <row r="1779" x14ac:dyDescent="0.35"/>
    <row r="1780" x14ac:dyDescent="0.35"/>
    <row r="1781" x14ac:dyDescent="0.35"/>
    <row r="1782" x14ac:dyDescent="0.35"/>
    <row r="1783" x14ac:dyDescent="0.35"/>
    <row r="1784" x14ac:dyDescent="0.35"/>
    <row r="1785" x14ac:dyDescent="0.35"/>
    <row r="1786" x14ac:dyDescent="0.35"/>
    <row r="1787" x14ac:dyDescent="0.35"/>
    <row r="1788" x14ac:dyDescent="0.35"/>
    <row r="1789" x14ac:dyDescent="0.35"/>
    <row r="1790" x14ac:dyDescent="0.35"/>
    <row r="1791" x14ac:dyDescent="0.35"/>
    <row r="1792" x14ac:dyDescent="0.35"/>
    <row r="1793" x14ac:dyDescent="0.35"/>
    <row r="1794" x14ac:dyDescent="0.35"/>
    <row r="1795" x14ac:dyDescent="0.35"/>
    <row r="1796" x14ac:dyDescent="0.35"/>
    <row r="1797" x14ac:dyDescent="0.35"/>
    <row r="1798" x14ac:dyDescent="0.35"/>
    <row r="1799" x14ac:dyDescent="0.35"/>
    <row r="1800" x14ac:dyDescent="0.35"/>
    <row r="1801" x14ac:dyDescent="0.35"/>
    <row r="1802" x14ac:dyDescent="0.35"/>
    <row r="1803" x14ac:dyDescent="0.35"/>
    <row r="1804" x14ac:dyDescent="0.35"/>
    <row r="1805" x14ac:dyDescent="0.35"/>
    <row r="1806" x14ac:dyDescent="0.35"/>
    <row r="1807" x14ac:dyDescent="0.35"/>
    <row r="1808" x14ac:dyDescent="0.35"/>
    <row r="1809" x14ac:dyDescent="0.35"/>
    <row r="1810" x14ac:dyDescent="0.35"/>
    <row r="1811" x14ac:dyDescent="0.35"/>
    <row r="1812" x14ac:dyDescent="0.35"/>
    <row r="1813" x14ac:dyDescent="0.35"/>
    <row r="1814" x14ac:dyDescent="0.35"/>
    <row r="1815" x14ac:dyDescent="0.35"/>
    <row r="1816" x14ac:dyDescent="0.35"/>
    <row r="1817" x14ac:dyDescent="0.35"/>
    <row r="1818" x14ac:dyDescent="0.35"/>
    <row r="1819" x14ac:dyDescent="0.35"/>
    <row r="1820" x14ac:dyDescent="0.35"/>
    <row r="1821" x14ac:dyDescent="0.35"/>
    <row r="1822" x14ac:dyDescent="0.35"/>
    <row r="1823" x14ac:dyDescent="0.35"/>
    <row r="1824" x14ac:dyDescent="0.35"/>
    <row r="1825" x14ac:dyDescent="0.35"/>
    <row r="1826" x14ac:dyDescent="0.35"/>
    <row r="1827" x14ac:dyDescent="0.35"/>
    <row r="1828" x14ac:dyDescent="0.35"/>
    <row r="1829" x14ac:dyDescent="0.35"/>
    <row r="1830" x14ac:dyDescent="0.35"/>
    <row r="1831" x14ac:dyDescent="0.35"/>
    <row r="1832" x14ac:dyDescent="0.35"/>
    <row r="1833" x14ac:dyDescent="0.35"/>
    <row r="1834" x14ac:dyDescent="0.35"/>
    <row r="1835" x14ac:dyDescent="0.35"/>
    <row r="1836" x14ac:dyDescent="0.35"/>
    <row r="1837" x14ac:dyDescent="0.35"/>
    <row r="1838" x14ac:dyDescent="0.35"/>
    <row r="1839" x14ac:dyDescent="0.35"/>
    <row r="1840" x14ac:dyDescent="0.35"/>
    <row r="1841" x14ac:dyDescent="0.35"/>
    <row r="1842" x14ac:dyDescent="0.35"/>
    <row r="1843" x14ac:dyDescent="0.35"/>
    <row r="1844" x14ac:dyDescent="0.35"/>
    <row r="1845" x14ac:dyDescent="0.35"/>
    <row r="1846" x14ac:dyDescent="0.35"/>
    <row r="1847" x14ac:dyDescent="0.35"/>
    <row r="1848" x14ac:dyDescent="0.35"/>
    <row r="1849" x14ac:dyDescent="0.35"/>
    <row r="1850" x14ac:dyDescent="0.35"/>
    <row r="1851" x14ac:dyDescent="0.35"/>
    <row r="1852" x14ac:dyDescent="0.35"/>
    <row r="1853" x14ac:dyDescent="0.35"/>
    <row r="1854" x14ac:dyDescent="0.35"/>
    <row r="1855" x14ac:dyDescent="0.35"/>
    <row r="1856" x14ac:dyDescent="0.35"/>
    <row r="1857" x14ac:dyDescent="0.35"/>
    <row r="1858" x14ac:dyDescent="0.35"/>
    <row r="1859" x14ac:dyDescent="0.35"/>
    <row r="1860" x14ac:dyDescent="0.35"/>
    <row r="1861" x14ac:dyDescent="0.35"/>
    <row r="1862" x14ac:dyDescent="0.35"/>
    <row r="1863" x14ac:dyDescent="0.35"/>
    <row r="1864" x14ac:dyDescent="0.35"/>
    <row r="1865" x14ac:dyDescent="0.35"/>
    <row r="1866" x14ac:dyDescent="0.35"/>
    <row r="1867" x14ac:dyDescent="0.35"/>
    <row r="1868" x14ac:dyDescent="0.35"/>
    <row r="1869" x14ac:dyDescent="0.35"/>
    <row r="1870" x14ac:dyDescent="0.35"/>
    <row r="1871" x14ac:dyDescent="0.35"/>
    <row r="1872" x14ac:dyDescent="0.35"/>
    <row r="1873" x14ac:dyDescent="0.35"/>
    <row r="1874" x14ac:dyDescent="0.35"/>
    <row r="1875" x14ac:dyDescent="0.35"/>
    <row r="1876" x14ac:dyDescent="0.35"/>
    <row r="1877" x14ac:dyDescent="0.35"/>
    <row r="1878" x14ac:dyDescent="0.35"/>
    <row r="1879" x14ac:dyDescent="0.35"/>
    <row r="1880" x14ac:dyDescent="0.35"/>
    <row r="1881" x14ac:dyDescent="0.35"/>
    <row r="1882" x14ac:dyDescent="0.35"/>
    <row r="1883" x14ac:dyDescent="0.35"/>
    <row r="1884" x14ac:dyDescent="0.35"/>
    <row r="1885" x14ac:dyDescent="0.35"/>
    <row r="1886" x14ac:dyDescent="0.35"/>
    <row r="1887" x14ac:dyDescent="0.35"/>
    <row r="1888" x14ac:dyDescent="0.35"/>
    <row r="1889" x14ac:dyDescent="0.35"/>
    <row r="1890" x14ac:dyDescent="0.35"/>
    <row r="1891" x14ac:dyDescent="0.35"/>
    <row r="1892" x14ac:dyDescent="0.35"/>
    <row r="1893" x14ac:dyDescent="0.35"/>
    <row r="1894" x14ac:dyDescent="0.35"/>
    <row r="1895" x14ac:dyDescent="0.35"/>
    <row r="1896" x14ac:dyDescent="0.35"/>
    <row r="1897" x14ac:dyDescent="0.35"/>
    <row r="1898" x14ac:dyDescent="0.35"/>
    <row r="1899" x14ac:dyDescent="0.35"/>
    <row r="1900" x14ac:dyDescent="0.35"/>
    <row r="1901" x14ac:dyDescent="0.35"/>
    <row r="1902" x14ac:dyDescent="0.35"/>
    <row r="1903" x14ac:dyDescent="0.35"/>
    <row r="1904" x14ac:dyDescent="0.35"/>
    <row r="1905" x14ac:dyDescent="0.35"/>
    <row r="1906" x14ac:dyDescent="0.35"/>
    <row r="1907" x14ac:dyDescent="0.35"/>
    <row r="1908" x14ac:dyDescent="0.35"/>
    <row r="1909" x14ac:dyDescent="0.35"/>
    <row r="1910" x14ac:dyDescent="0.35"/>
    <row r="1911" x14ac:dyDescent="0.35"/>
    <row r="1912" x14ac:dyDescent="0.35"/>
    <row r="1913" x14ac:dyDescent="0.35"/>
    <row r="1914" x14ac:dyDescent="0.35"/>
    <row r="1915" x14ac:dyDescent="0.35"/>
    <row r="1916" x14ac:dyDescent="0.35"/>
    <row r="1917" x14ac:dyDescent="0.35"/>
    <row r="1918" x14ac:dyDescent="0.35"/>
    <row r="1919" x14ac:dyDescent="0.35"/>
    <row r="1920" x14ac:dyDescent="0.35"/>
    <row r="1921" x14ac:dyDescent="0.35"/>
    <row r="1922" x14ac:dyDescent="0.35"/>
    <row r="1923" x14ac:dyDescent="0.35"/>
    <row r="1924" x14ac:dyDescent="0.35"/>
    <row r="1925" x14ac:dyDescent="0.35"/>
    <row r="1926" x14ac:dyDescent="0.35"/>
    <row r="1927" x14ac:dyDescent="0.35"/>
    <row r="1928" x14ac:dyDescent="0.35"/>
    <row r="1929" x14ac:dyDescent="0.35"/>
    <row r="1930" x14ac:dyDescent="0.35"/>
    <row r="1931" x14ac:dyDescent="0.35"/>
    <row r="1932" x14ac:dyDescent="0.35"/>
    <row r="1933" x14ac:dyDescent="0.35"/>
    <row r="1934" x14ac:dyDescent="0.35"/>
    <row r="1935" x14ac:dyDescent="0.35"/>
    <row r="1936" x14ac:dyDescent="0.35"/>
    <row r="1937" x14ac:dyDescent="0.35"/>
    <row r="1938" x14ac:dyDescent="0.35"/>
    <row r="1939" x14ac:dyDescent="0.35"/>
    <row r="1940" x14ac:dyDescent="0.35"/>
    <row r="1941" x14ac:dyDescent="0.35"/>
    <row r="1942" x14ac:dyDescent="0.35"/>
    <row r="1943" x14ac:dyDescent="0.35"/>
    <row r="1944" x14ac:dyDescent="0.35"/>
    <row r="1945" x14ac:dyDescent="0.35"/>
    <row r="1946" x14ac:dyDescent="0.35"/>
    <row r="1947" x14ac:dyDescent="0.35"/>
    <row r="1948" x14ac:dyDescent="0.35"/>
    <row r="1949" x14ac:dyDescent="0.35"/>
    <row r="1950" x14ac:dyDescent="0.35"/>
    <row r="1951" x14ac:dyDescent="0.35"/>
    <row r="1952" x14ac:dyDescent="0.35"/>
    <row r="1953" x14ac:dyDescent="0.35"/>
    <row r="1954" x14ac:dyDescent="0.35"/>
    <row r="1955" x14ac:dyDescent="0.35"/>
    <row r="1956" x14ac:dyDescent="0.35"/>
    <row r="1957" x14ac:dyDescent="0.35"/>
    <row r="1958" x14ac:dyDescent="0.35"/>
    <row r="1959" x14ac:dyDescent="0.35"/>
    <row r="1960" x14ac:dyDescent="0.35"/>
    <row r="1961" x14ac:dyDescent="0.35"/>
    <row r="1962" x14ac:dyDescent="0.35"/>
    <row r="1963" x14ac:dyDescent="0.35"/>
    <row r="1964" x14ac:dyDescent="0.35"/>
    <row r="1965" x14ac:dyDescent="0.35"/>
    <row r="1966" x14ac:dyDescent="0.35"/>
    <row r="1967" x14ac:dyDescent="0.35"/>
    <row r="1968" x14ac:dyDescent="0.35"/>
    <row r="1969" x14ac:dyDescent="0.35"/>
    <row r="1970" x14ac:dyDescent="0.35"/>
    <row r="1971" x14ac:dyDescent="0.35"/>
    <row r="1972" x14ac:dyDescent="0.35"/>
    <row r="1973" x14ac:dyDescent="0.35"/>
    <row r="1974" x14ac:dyDescent="0.35"/>
    <row r="1975" x14ac:dyDescent="0.35"/>
    <row r="1976" x14ac:dyDescent="0.35"/>
    <row r="1977" x14ac:dyDescent="0.35"/>
    <row r="1978" x14ac:dyDescent="0.35"/>
    <row r="1979" x14ac:dyDescent="0.35"/>
    <row r="1980" x14ac:dyDescent="0.35"/>
    <row r="1981" x14ac:dyDescent="0.35"/>
    <row r="1982" x14ac:dyDescent="0.35"/>
    <row r="1983" x14ac:dyDescent="0.35"/>
    <row r="1984" x14ac:dyDescent="0.35"/>
    <row r="1985" x14ac:dyDescent="0.35"/>
    <row r="1986" x14ac:dyDescent="0.35"/>
    <row r="1987" x14ac:dyDescent="0.35"/>
    <row r="1988" x14ac:dyDescent="0.35"/>
    <row r="1989" x14ac:dyDescent="0.35"/>
    <row r="1990" x14ac:dyDescent="0.35"/>
    <row r="1991" x14ac:dyDescent="0.35"/>
    <row r="1992" x14ac:dyDescent="0.35"/>
    <row r="1993" x14ac:dyDescent="0.35"/>
    <row r="1994" x14ac:dyDescent="0.35"/>
    <row r="1995" x14ac:dyDescent="0.35"/>
    <row r="1996" x14ac:dyDescent="0.35"/>
    <row r="1997" x14ac:dyDescent="0.35"/>
    <row r="1998" x14ac:dyDescent="0.35"/>
    <row r="1999" x14ac:dyDescent="0.35"/>
    <row r="2000" x14ac:dyDescent="0.35"/>
    <row r="2001" x14ac:dyDescent="0.35"/>
    <row r="2002" x14ac:dyDescent="0.35"/>
    <row r="2003" x14ac:dyDescent="0.35"/>
    <row r="2004" x14ac:dyDescent="0.35"/>
    <row r="2005" x14ac:dyDescent="0.35"/>
    <row r="2006" x14ac:dyDescent="0.35"/>
    <row r="2007" x14ac:dyDescent="0.35"/>
    <row r="2008" x14ac:dyDescent="0.35"/>
    <row r="2009" x14ac:dyDescent="0.35"/>
    <row r="2010" x14ac:dyDescent="0.35"/>
    <row r="2011" x14ac:dyDescent="0.35"/>
    <row r="2012" x14ac:dyDescent="0.35"/>
    <row r="2013" x14ac:dyDescent="0.35"/>
    <row r="2014" x14ac:dyDescent="0.35"/>
    <row r="2015" x14ac:dyDescent="0.35"/>
    <row r="2016" x14ac:dyDescent="0.35"/>
    <row r="2017" x14ac:dyDescent="0.35"/>
    <row r="2018" x14ac:dyDescent="0.35"/>
    <row r="2019" x14ac:dyDescent="0.35"/>
    <row r="2020" x14ac:dyDescent="0.35"/>
    <row r="2021" x14ac:dyDescent="0.35"/>
    <row r="2022" x14ac:dyDescent="0.35"/>
    <row r="2023" x14ac:dyDescent="0.35"/>
    <row r="2024" x14ac:dyDescent="0.35"/>
    <row r="2025" x14ac:dyDescent="0.35"/>
    <row r="2026" x14ac:dyDescent="0.35"/>
    <row r="2027" x14ac:dyDescent="0.35"/>
    <row r="2028" x14ac:dyDescent="0.35"/>
    <row r="2029" x14ac:dyDescent="0.35"/>
    <row r="2030" x14ac:dyDescent="0.35"/>
    <row r="2031" x14ac:dyDescent="0.35"/>
    <row r="2032" x14ac:dyDescent="0.35"/>
    <row r="2033" x14ac:dyDescent="0.35"/>
    <row r="2034" x14ac:dyDescent="0.35"/>
    <row r="2035" x14ac:dyDescent="0.35"/>
    <row r="2036" x14ac:dyDescent="0.35"/>
    <row r="2037" x14ac:dyDescent="0.35"/>
    <row r="2038" x14ac:dyDescent="0.35"/>
    <row r="2039" x14ac:dyDescent="0.35"/>
    <row r="2040" x14ac:dyDescent="0.35"/>
    <row r="2041" x14ac:dyDescent="0.35"/>
    <row r="2042" x14ac:dyDescent="0.35"/>
    <row r="2043" x14ac:dyDescent="0.35"/>
    <row r="2044" x14ac:dyDescent="0.35"/>
    <row r="2045" x14ac:dyDescent="0.35"/>
    <row r="2046" x14ac:dyDescent="0.35"/>
    <row r="2047" x14ac:dyDescent="0.35"/>
    <row r="2048" x14ac:dyDescent="0.35"/>
    <row r="2049" x14ac:dyDescent="0.35"/>
    <row r="2050" x14ac:dyDescent="0.35"/>
    <row r="2051" x14ac:dyDescent="0.35"/>
    <row r="2052" x14ac:dyDescent="0.35"/>
    <row r="2053" x14ac:dyDescent="0.35"/>
    <row r="2054" x14ac:dyDescent="0.35"/>
    <row r="2055" x14ac:dyDescent="0.35"/>
    <row r="2056" x14ac:dyDescent="0.35"/>
    <row r="2057" x14ac:dyDescent="0.35"/>
    <row r="2058" x14ac:dyDescent="0.35"/>
    <row r="2059" x14ac:dyDescent="0.35"/>
    <row r="2060" x14ac:dyDescent="0.35"/>
    <row r="2061" x14ac:dyDescent="0.35"/>
    <row r="2062" x14ac:dyDescent="0.35"/>
    <row r="2063" x14ac:dyDescent="0.35"/>
    <row r="2064" x14ac:dyDescent="0.35"/>
    <row r="2065" x14ac:dyDescent="0.35"/>
    <row r="2066" x14ac:dyDescent="0.35"/>
    <row r="2067" x14ac:dyDescent="0.35"/>
    <row r="2068" x14ac:dyDescent="0.35"/>
    <row r="2069" x14ac:dyDescent="0.35"/>
    <row r="2070" x14ac:dyDescent="0.35"/>
    <row r="2071" x14ac:dyDescent="0.35"/>
    <row r="2072" x14ac:dyDescent="0.35"/>
    <row r="2073" x14ac:dyDescent="0.35"/>
    <row r="2074" x14ac:dyDescent="0.35"/>
    <row r="2075" x14ac:dyDescent="0.35"/>
    <row r="2076" x14ac:dyDescent="0.35"/>
    <row r="2077" x14ac:dyDescent="0.35"/>
    <row r="2078" x14ac:dyDescent="0.35"/>
    <row r="2079" x14ac:dyDescent="0.35"/>
    <row r="2080" x14ac:dyDescent="0.35"/>
    <row r="2081" x14ac:dyDescent="0.35"/>
    <row r="2082" x14ac:dyDescent="0.35"/>
    <row r="2083" x14ac:dyDescent="0.35"/>
    <row r="2084" x14ac:dyDescent="0.35"/>
    <row r="2085" x14ac:dyDescent="0.35"/>
    <row r="2086" x14ac:dyDescent="0.35"/>
    <row r="2087" x14ac:dyDescent="0.35"/>
    <row r="2088" x14ac:dyDescent="0.35"/>
    <row r="2089" x14ac:dyDescent="0.35"/>
    <row r="2090" x14ac:dyDescent="0.35"/>
    <row r="2091" x14ac:dyDescent="0.35"/>
    <row r="2092" x14ac:dyDescent="0.35"/>
    <row r="2093" x14ac:dyDescent="0.35"/>
    <row r="2094" x14ac:dyDescent="0.35"/>
    <row r="2095" x14ac:dyDescent="0.35"/>
    <row r="2096" x14ac:dyDescent="0.35"/>
    <row r="2097" x14ac:dyDescent="0.35"/>
    <row r="2098" x14ac:dyDescent="0.35"/>
    <row r="2099" x14ac:dyDescent="0.35"/>
    <row r="2100" x14ac:dyDescent="0.35"/>
    <row r="2101" x14ac:dyDescent="0.35"/>
    <row r="2102" x14ac:dyDescent="0.35"/>
    <row r="2103" x14ac:dyDescent="0.35"/>
    <row r="2104" x14ac:dyDescent="0.35"/>
    <row r="2105" x14ac:dyDescent="0.35"/>
    <row r="2106" x14ac:dyDescent="0.35"/>
    <row r="2107" x14ac:dyDescent="0.35"/>
    <row r="2108" x14ac:dyDescent="0.35"/>
    <row r="2109" x14ac:dyDescent="0.35"/>
    <row r="2110" x14ac:dyDescent="0.35"/>
    <row r="2111" x14ac:dyDescent="0.35"/>
    <row r="2112" x14ac:dyDescent="0.35"/>
    <row r="2113" x14ac:dyDescent="0.35"/>
    <row r="2114" x14ac:dyDescent="0.35"/>
    <row r="2115" x14ac:dyDescent="0.35"/>
    <row r="2116" x14ac:dyDescent="0.35"/>
    <row r="2117" x14ac:dyDescent="0.35"/>
    <row r="2118" x14ac:dyDescent="0.35"/>
    <row r="2119" x14ac:dyDescent="0.35"/>
    <row r="2120" x14ac:dyDescent="0.35"/>
    <row r="2121" x14ac:dyDescent="0.35"/>
    <row r="2122" x14ac:dyDescent="0.35"/>
    <row r="2123" x14ac:dyDescent="0.35"/>
    <row r="2124" x14ac:dyDescent="0.35"/>
    <row r="2125" x14ac:dyDescent="0.35"/>
    <row r="2126" x14ac:dyDescent="0.35"/>
    <row r="2127" x14ac:dyDescent="0.35"/>
    <row r="2128" x14ac:dyDescent="0.35"/>
    <row r="2129" x14ac:dyDescent="0.35"/>
    <row r="2130" x14ac:dyDescent="0.35"/>
    <row r="2131" x14ac:dyDescent="0.35"/>
    <row r="2132" x14ac:dyDescent="0.35"/>
    <row r="2133" x14ac:dyDescent="0.35"/>
    <row r="2134" x14ac:dyDescent="0.35"/>
    <row r="2135" x14ac:dyDescent="0.35"/>
    <row r="2136" x14ac:dyDescent="0.35"/>
    <row r="2137" x14ac:dyDescent="0.35"/>
    <row r="2138" x14ac:dyDescent="0.35"/>
    <row r="2139" x14ac:dyDescent="0.35"/>
    <row r="2140" x14ac:dyDescent="0.35"/>
    <row r="2141" x14ac:dyDescent="0.35"/>
    <row r="2142" x14ac:dyDescent="0.35"/>
    <row r="2143" x14ac:dyDescent="0.35"/>
    <row r="2144" x14ac:dyDescent="0.35"/>
    <row r="2145" x14ac:dyDescent="0.35"/>
    <row r="2146" x14ac:dyDescent="0.35"/>
    <row r="2147" x14ac:dyDescent="0.35"/>
    <row r="2148" x14ac:dyDescent="0.35"/>
    <row r="2149" x14ac:dyDescent="0.35"/>
    <row r="2150" x14ac:dyDescent="0.35"/>
    <row r="2151" x14ac:dyDescent="0.35"/>
    <row r="2152" x14ac:dyDescent="0.35"/>
    <row r="2153" x14ac:dyDescent="0.35"/>
    <row r="2154" x14ac:dyDescent="0.35"/>
    <row r="2155" x14ac:dyDescent="0.35"/>
    <row r="2156" x14ac:dyDescent="0.35"/>
    <row r="2157" x14ac:dyDescent="0.35"/>
    <row r="2158" x14ac:dyDescent="0.35"/>
    <row r="2159" x14ac:dyDescent="0.35"/>
    <row r="2160" x14ac:dyDescent="0.35"/>
    <row r="2161" x14ac:dyDescent="0.35"/>
    <row r="2162" x14ac:dyDescent="0.35"/>
    <row r="2163" x14ac:dyDescent="0.35"/>
    <row r="2164" x14ac:dyDescent="0.35"/>
    <row r="2165" x14ac:dyDescent="0.35"/>
    <row r="2166" x14ac:dyDescent="0.35"/>
    <row r="2167" x14ac:dyDescent="0.35"/>
    <row r="2168" x14ac:dyDescent="0.35"/>
    <row r="2169" x14ac:dyDescent="0.35"/>
    <row r="2170" x14ac:dyDescent="0.35"/>
    <row r="2171" x14ac:dyDescent="0.35"/>
    <row r="2172" x14ac:dyDescent="0.35"/>
    <row r="2173" x14ac:dyDescent="0.35"/>
    <row r="2174" x14ac:dyDescent="0.35"/>
    <row r="2175" x14ac:dyDescent="0.35"/>
    <row r="2176" x14ac:dyDescent="0.35"/>
    <row r="2177" x14ac:dyDescent="0.35"/>
    <row r="2178" x14ac:dyDescent="0.35"/>
    <row r="2179" x14ac:dyDescent="0.35"/>
    <row r="2180" x14ac:dyDescent="0.35"/>
    <row r="2181" x14ac:dyDescent="0.35"/>
    <row r="2182" x14ac:dyDescent="0.35"/>
    <row r="2183" x14ac:dyDescent="0.35"/>
    <row r="2184" x14ac:dyDescent="0.35"/>
    <row r="2185" x14ac:dyDescent="0.35"/>
    <row r="2186" x14ac:dyDescent="0.35"/>
    <row r="2187" x14ac:dyDescent="0.35"/>
    <row r="2188" x14ac:dyDescent="0.35"/>
    <row r="2189" x14ac:dyDescent="0.35"/>
    <row r="2190" x14ac:dyDescent="0.35"/>
    <row r="2191" x14ac:dyDescent="0.35"/>
    <row r="2192" x14ac:dyDescent="0.35"/>
    <row r="2193" x14ac:dyDescent="0.35"/>
    <row r="2194" x14ac:dyDescent="0.35"/>
    <row r="2195" x14ac:dyDescent="0.35"/>
    <row r="2196" x14ac:dyDescent="0.35"/>
    <row r="2197" x14ac:dyDescent="0.35"/>
    <row r="2198" x14ac:dyDescent="0.35"/>
    <row r="2199" x14ac:dyDescent="0.35"/>
    <row r="2200" x14ac:dyDescent="0.35"/>
    <row r="2201" x14ac:dyDescent="0.35"/>
    <row r="2202" x14ac:dyDescent="0.35"/>
    <row r="2203" x14ac:dyDescent="0.35"/>
    <row r="2204" x14ac:dyDescent="0.35"/>
    <row r="2205" x14ac:dyDescent="0.35"/>
    <row r="2206" x14ac:dyDescent="0.35"/>
    <row r="2207" x14ac:dyDescent="0.35"/>
    <row r="2208" x14ac:dyDescent="0.35"/>
    <row r="2209" x14ac:dyDescent="0.35"/>
    <row r="2210" x14ac:dyDescent="0.35"/>
    <row r="2211" x14ac:dyDescent="0.35"/>
    <row r="2212" x14ac:dyDescent="0.35"/>
    <row r="2213" x14ac:dyDescent="0.35"/>
    <row r="2214" x14ac:dyDescent="0.35"/>
    <row r="2215" x14ac:dyDescent="0.35"/>
    <row r="2216" x14ac:dyDescent="0.35"/>
    <row r="2217" x14ac:dyDescent="0.35"/>
    <row r="2218" x14ac:dyDescent="0.35"/>
    <row r="2219" x14ac:dyDescent="0.35"/>
    <row r="2220" x14ac:dyDescent="0.35"/>
    <row r="2221" x14ac:dyDescent="0.35"/>
    <row r="2222" x14ac:dyDescent="0.35"/>
    <row r="2223" x14ac:dyDescent="0.35"/>
    <row r="2224" x14ac:dyDescent="0.35"/>
    <row r="2225" x14ac:dyDescent="0.35"/>
    <row r="2226" x14ac:dyDescent="0.35"/>
    <row r="2227" x14ac:dyDescent="0.35"/>
    <row r="2228" x14ac:dyDescent="0.35"/>
    <row r="2229" x14ac:dyDescent="0.35"/>
    <row r="2230" x14ac:dyDescent="0.35"/>
    <row r="2231" x14ac:dyDescent="0.35"/>
    <row r="2232" x14ac:dyDescent="0.35"/>
    <row r="2233" x14ac:dyDescent="0.35"/>
    <row r="2234" x14ac:dyDescent="0.35"/>
    <row r="2235" x14ac:dyDescent="0.35"/>
    <row r="2236" x14ac:dyDescent="0.35"/>
    <row r="2237" x14ac:dyDescent="0.35"/>
    <row r="2238" x14ac:dyDescent="0.35"/>
    <row r="2239" x14ac:dyDescent="0.35"/>
    <row r="2240" x14ac:dyDescent="0.35"/>
    <row r="2241" x14ac:dyDescent="0.35"/>
    <row r="2242" x14ac:dyDescent="0.35"/>
    <row r="2243" x14ac:dyDescent="0.35"/>
    <row r="2244" x14ac:dyDescent="0.35"/>
    <row r="2245" x14ac:dyDescent="0.35"/>
    <row r="2246" x14ac:dyDescent="0.35"/>
    <row r="2247" x14ac:dyDescent="0.35"/>
    <row r="2248" x14ac:dyDescent="0.35"/>
    <row r="2249" x14ac:dyDescent="0.35"/>
    <row r="2250" x14ac:dyDescent="0.35"/>
    <row r="2251" x14ac:dyDescent="0.35"/>
    <row r="2252" x14ac:dyDescent="0.35"/>
    <row r="2253" x14ac:dyDescent="0.35"/>
    <row r="2254" x14ac:dyDescent="0.35"/>
    <row r="2255" x14ac:dyDescent="0.35"/>
    <row r="2256" x14ac:dyDescent="0.35"/>
    <row r="2257" x14ac:dyDescent="0.35"/>
    <row r="2258" x14ac:dyDescent="0.35"/>
    <row r="2259" x14ac:dyDescent="0.35"/>
    <row r="2260" x14ac:dyDescent="0.35"/>
    <row r="2261" x14ac:dyDescent="0.35"/>
    <row r="2262" x14ac:dyDescent="0.35"/>
    <row r="2263" x14ac:dyDescent="0.35"/>
    <row r="2264" x14ac:dyDescent="0.35"/>
    <row r="2265" x14ac:dyDescent="0.35"/>
    <row r="2266" x14ac:dyDescent="0.35"/>
    <row r="2267" x14ac:dyDescent="0.35"/>
    <row r="2268" x14ac:dyDescent="0.35"/>
    <row r="2269" x14ac:dyDescent="0.35"/>
    <row r="2270" x14ac:dyDescent="0.35"/>
    <row r="2271" x14ac:dyDescent="0.35"/>
    <row r="2272" x14ac:dyDescent="0.35"/>
    <row r="2273" x14ac:dyDescent="0.35"/>
    <row r="2274" x14ac:dyDescent="0.35"/>
    <row r="2275" x14ac:dyDescent="0.35"/>
    <row r="2276" x14ac:dyDescent="0.35"/>
    <row r="2277" x14ac:dyDescent="0.35"/>
    <row r="2278" x14ac:dyDescent="0.35"/>
    <row r="2279" x14ac:dyDescent="0.35"/>
    <row r="2280" x14ac:dyDescent="0.35"/>
    <row r="2281" x14ac:dyDescent="0.35"/>
    <row r="2282" x14ac:dyDescent="0.35"/>
    <row r="2283" x14ac:dyDescent="0.35"/>
    <row r="2284" x14ac:dyDescent="0.35"/>
    <row r="2285" x14ac:dyDescent="0.35"/>
    <row r="2286" x14ac:dyDescent="0.35"/>
    <row r="2287" x14ac:dyDescent="0.35"/>
    <row r="2288" x14ac:dyDescent="0.35"/>
    <row r="2289" x14ac:dyDescent="0.35"/>
    <row r="2290" x14ac:dyDescent="0.35"/>
    <row r="2291" x14ac:dyDescent="0.35"/>
    <row r="2292" x14ac:dyDescent="0.35"/>
    <row r="2293" x14ac:dyDescent="0.35"/>
    <row r="2294" x14ac:dyDescent="0.35"/>
    <row r="2295" x14ac:dyDescent="0.35"/>
    <row r="2296" x14ac:dyDescent="0.35"/>
    <row r="2297" x14ac:dyDescent="0.35"/>
    <row r="2298" x14ac:dyDescent="0.35"/>
    <row r="2299" x14ac:dyDescent="0.35"/>
    <row r="2300" x14ac:dyDescent="0.35"/>
    <row r="2301" x14ac:dyDescent="0.35"/>
    <row r="2302" x14ac:dyDescent="0.35"/>
    <row r="2303" x14ac:dyDescent="0.35"/>
    <row r="2304" x14ac:dyDescent="0.35"/>
    <row r="2305" x14ac:dyDescent="0.35"/>
    <row r="2306" x14ac:dyDescent="0.35"/>
    <row r="2307" x14ac:dyDescent="0.35"/>
    <row r="2308" x14ac:dyDescent="0.35"/>
    <row r="2309" x14ac:dyDescent="0.35"/>
    <row r="2310" x14ac:dyDescent="0.35"/>
    <row r="2311" x14ac:dyDescent="0.35"/>
    <row r="2312" x14ac:dyDescent="0.35"/>
    <row r="2313" x14ac:dyDescent="0.35"/>
    <row r="2314" x14ac:dyDescent="0.35"/>
    <row r="2315" x14ac:dyDescent="0.35"/>
    <row r="2316" x14ac:dyDescent="0.35"/>
    <row r="2317" x14ac:dyDescent="0.35"/>
    <row r="2318" x14ac:dyDescent="0.35"/>
    <row r="2319" x14ac:dyDescent="0.35"/>
    <row r="2320" x14ac:dyDescent="0.35"/>
    <row r="2321" x14ac:dyDescent="0.35"/>
    <row r="2322" x14ac:dyDescent="0.35"/>
    <row r="2323" x14ac:dyDescent="0.35"/>
    <row r="2324" x14ac:dyDescent="0.35"/>
    <row r="2325" x14ac:dyDescent="0.35"/>
    <row r="2326" x14ac:dyDescent="0.35"/>
    <row r="2327" x14ac:dyDescent="0.35"/>
    <row r="2328" x14ac:dyDescent="0.35"/>
    <row r="2329" x14ac:dyDescent="0.35"/>
    <row r="2330" x14ac:dyDescent="0.35"/>
    <row r="2331" x14ac:dyDescent="0.35"/>
    <row r="2332" x14ac:dyDescent="0.35"/>
    <row r="2333" x14ac:dyDescent="0.35"/>
    <row r="2334" x14ac:dyDescent="0.35"/>
    <row r="2335" x14ac:dyDescent="0.35"/>
    <row r="2336" x14ac:dyDescent="0.35"/>
    <row r="2337" x14ac:dyDescent="0.35"/>
    <row r="2338" x14ac:dyDescent="0.35"/>
    <row r="2339" x14ac:dyDescent="0.35"/>
    <row r="2340" x14ac:dyDescent="0.35"/>
    <row r="2341" x14ac:dyDescent="0.35"/>
    <row r="2342" x14ac:dyDescent="0.35"/>
    <row r="2343" x14ac:dyDescent="0.35"/>
    <row r="2344" x14ac:dyDescent="0.35"/>
    <row r="2345" x14ac:dyDescent="0.35"/>
    <row r="2346" x14ac:dyDescent="0.35"/>
    <row r="2347" x14ac:dyDescent="0.35"/>
    <row r="2348" x14ac:dyDescent="0.35"/>
    <row r="2349" x14ac:dyDescent="0.35"/>
    <row r="2350" x14ac:dyDescent="0.35"/>
    <row r="2351" x14ac:dyDescent="0.35"/>
    <row r="2352" x14ac:dyDescent="0.35"/>
    <row r="2353" x14ac:dyDescent="0.35"/>
    <row r="2354" x14ac:dyDescent="0.35"/>
    <row r="2355" x14ac:dyDescent="0.35"/>
    <row r="2356" x14ac:dyDescent="0.35"/>
    <row r="2357" x14ac:dyDescent="0.35"/>
    <row r="2358" x14ac:dyDescent="0.35"/>
    <row r="2359" x14ac:dyDescent="0.35"/>
    <row r="2360" x14ac:dyDescent="0.35"/>
    <row r="2361" x14ac:dyDescent="0.35"/>
    <row r="2362" x14ac:dyDescent="0.35"/>
    <row r="2363" x14ac:dyDescent="0.35"/>
    <row r="2364" x14ac:dyDescent="0.35"/>
    <row r="2365" x14ac:dyDescent="0.35"/>
    <row r="2366" x14ac:dyDescent="0.35"/>
    <row r="2367" x14ac:dyDescent="0.35"/>
    <row r="2368" x14ac:dyDescent="0.35"/>
    <row r="2369" x14ac:dyDescent="0.35"/>
    <row r="2370" x14ac:dyDescent="0.35"/>
    <row r="2371" x14ac:dyDescent="0.35"/>
    <row r="2372" x14ac:dyDescent="0.35"/>
    <row r="2373" x14ac:dyDescent="0.35"/>
    <row r="2374" x14ac:dyDescent="0.35"/>
    <row r="2375" x14ac:dyDescent="0.35"/>
    <row r="2376" x14ac:dyDescent="0.35"/>
    <row r="2377" x14ac:dyDescent="0.35"/>
    <row r="2378" x14ac:dyDescent="0.35"/>
    <row r="2379" x14ac:dyDescent="0.35"/>
    <row r="2380" x14ac:dyDescent="0.35"/>
    <row r="2381" x14ac:dyDescent="0.35"/>
    <row r="2382" x14ac:dyDescent="0.35"/>
    <row r="2383" x14ac:dyDescent="0.35"/>
    <row r="2384" x14ac:dyDescent="0.35"/>
    <row r="2385" x14ac:dyDescent="0.35"/>
    <row r="2386" x14ac:dyDescent="0.35"/>
    <row r="2387" x14ac:dyDescent="0.35"/>
    <row r="2388" x14ac:dyDescent="0.35"/>
    <row r="2389" x14ac:dyDescent="0.35"/>
    <row r="2390" x14ac:dyDescent="0.35"/>
    <row r="2391" x14ac:dyDescent="0.35"/>
    <row r="2392" x14ac:dyDescent="0.35"/>
    <row r="2393" x14ac:dyDescent="0.35"/>
    <row r="2394" x14ac:dyDescent="0.35"/>
    <row r="2395" x14ac:dyDescent="0.35"/>
    <row r="2396" x14ac:dyDescent="0.35"/>
    <row r="2397" x14ac:dyDescent="0.35"/>
    <row r="2398" x14ac:dyDescent="0.35"/>
    <row r="2399" x14ac:dyDescent="0.35"/>
    <row r="2400" x14ac:dyDescent="0.35"/>
    <row r="2401" x14ac:dyDescent="0.35"/>
    <row r="2402" x14ac:dyDescent="0.35"/>
    <row r="2403" x14ac:dyDescent="0.35"/>
    <row r="2404" x14ac:dyDescent="0.35"/>
    <row r="2405" x14ac:dyDescent="0.35"/>
    <row r="2406" x14ac:dyDescent="0.35"/>
    <row r="2407" x14ac:dyDescent="0.35"/>
    <row r="2408" x14ac:dyDescent="0.35"/>
    <row r="2409" x14ac:dyDescent="0.35"/>
    <row r="2410" x14ac:dyDescent="0.35"/>
    <row r="2411" x14ac:dyDescent="0.35"/>
    <row r="2412" x14ac:dyDescent="0.35"/>
    <row r="2413" x14ac:dyDescent="0.35"/>
    <row r="2414" x14ac:dyDescent="0.35"/>
    <row r="2415" x14ac:dyDescent="0.35"/>
    <row r="2416" x14ac:dyDescent="0.35"/>
    <row r="2417" x14ac:dyDescent="0.35"/>
    <row r="2418" x14ac:dyDescent="0.35"/>
    <row r="2419" x14ac:dyDescent="0.35"/>
    <row r="2420" x14ac:dyDescent="0.35"/>
    <row r="2421" x14ac:dyDescent="0.35"/>
    <row r="2422" x14ac:dyDescent="0.35"/>
    <row r="2423" x14ac:dyDescent="0.35"/>
    <row r="2424" x14ac:dyDescent="0.35"/>
    <row r="2425" x14ac:dyDescent="0.35"/>
    <row r="2426" x14ac:dyDescent="0.35"/>
    <row r="2427" x14ac:dyDescent="0.35"/>
    <row r="2428" x14ac:dyDescent="0.35"/>
    <row r="2429" x14ac:dyDescent="0.35"/>
    <row r="2430" x14ac:dyDescent="0.35"/>
    <row r="2431" x14ac:dyDescent="0.35"/>
    <row r="2432" x14ac:dyDescent="0.35"/>
    <row r="2433" x14ac:dyDescent="0.35"/>
    <row r="2434" x14ac:dyDescent="0.35"/>
    <row r="2435" x14ac:dyDescent="0.35"/>
    <row r="2436" x14ac:dyDescent="0.35"/>
    <row r="2437" x14ac:dyDescent="0.35"/>
    <row r="2438" x14ac:dyDescent="0.35"/>
    <row r="2439" x14ac:dyDescent="0.35"/>
    <row r="2440" x14ac:dyDescent="0.35"/>
    <row r="2441" x14ac:dyDescent="0.35"/>
    <row r="2442" x14ac:dyDescent="0.35"/>
    <row r="2443" x14ac:dyDescent="0.35"/>
    <row r="2444" x14ac:dyDescent="0.35"/>
    <row r="2445" x14ac:dyDescent="0.35"/>
    <row r="2446" x14ac:dyDescent="0.35"/>
    <row r="2447" x14ac:dyDescent="0.35"/>
    <row r="2448" x14ac:dyDescent="0.35"/>
    <row r="2449" x14ac:dyDescent="0.35"/>
    <row r="2450" x14ac:dyDescent="0.35"/>
    <row r="2451" x14ac:dyDescent="0.35"/>
    <row r="2452" x14ac:dyDescent="0.35"/>
    <row r="2453" x14ac:dyDescent="0.35"/>
    <row r="2454" x14ac:dyDescent="0.35"/>
    <row r="2455" x14ac:dyDescent="0.35"/>
    <row r="2456" x14ac:dyDescent="0.35"/>
    <row r="2457" x14ac:dyDescent="0.35"/>
    <row r="2458" x14ac:dyDescent="0.35"/>
    <row r="2459" x14ac:dyDescent="0.35"/>
    <row r="2460" x14ac:dyDescent="0.35"/>
    <row r="2461" x14ac:dyDescent="0.35"/>
    <row r="2462" x14ac:dyDescent="0.35"/>
    <row r="2463" x14ac:dyDescent="0.35"/>
    <row r="2464" x14ac:dyDescent="0.35"/>
    <row r="2465" x14ac:dyDescent="0.35"/>
    <row r="2466" x14ac:dyDescent="0.35"/>
    <row r="2467" x14ac:dyDescent="0.35"/>
    <row r="2468" x14ac:dyDescent="0.35"/>
    <row r="2469" x14ac:dyDescent="0.35"/>
    <row r="2470" x14ac:dyDescent="0.35"/>
    <row r="2471" x14ac:dyDescent="0.35"/>
    <row r="2472" x14ac:dyDescent="0.35"/>
    <row r="2473" x14ac:dyDescent="0.35"/>
    <row r="2474" x14ac:dyDescent="0.35"/>
    <row r="2475" x14ac:dyDescent="0.35"/>
    <row r="2476" x14ac:dyDescent="0.35"/>
    <row r="2477" x14ac:dyDescent="0.35"/>
    <row r="2478" x14ac:dyDescent="0.35"/>
    <row r="2479" x14ac:dyDescent="0.35"/>
    <row r="2480" x14ac:dyDescent="0.35"/>
    <row r="2481" x14ac:dyDescent="0.35"/>
    <row r="2482" x14ac:dyDescent="0.35"/>
    <row r="2483" x14ac:dyDescent="0.35"/>
    <row r="2484" x14ac:dyDescent="0.35"/>
    <row r="2485" x14ac:dyDescent="0.35"/>
    <row r="2486" x14ac:dyDescent="0.35"/>
    <row r="2487" x14ac:dyDescent="0.35"/>
    <row r="2488" x14ac:dyDescent="0.35"/>
    <row r="2489" x14ac:dyDescent="0.35"/>
    <row r="2490" x14ac:dyDescent="0.35"/>
    <row r="2491" x14ac:dyDescent="0.35"/>
    <row r="2492" x14ac:dyDescent="0.35"/>
    <row r="2493" x14ac:dyDescent="0.35"/>
    <row r="2494" x14ac:dyDescent="0.35"/>
    <row r="2495" x14ac:dyDescent="0.35"/>
    <row r="2496" x14ac:dyDescent="0.35"/>
    <row r="2497" x14ac:dyDescent="0.35"/>
    <row r="2498" x14ac:dyDescent="0.35"/>
    <row r="2499" x14ac:dyDescent="0.35"/>
    <row r="2500" x14ac:dyDescent="0.35"/>
    <row r="2501" x14ac:dyDescent="0.35"/>
    <row r="2502" x14ac:dyDescent="0.35"/>
    <row r="2503" x14ac:dyDescent="0.35"/>
    <row r="2504" x14ac:dyDescent="0.35"/>
    <row r="2505" x14ac:dyDescent="0.35"/>
    <row r="2506" x14ac:dyDescent="0.35"/>
    <row r="2507" x14ac:dyDescent="0.35"/>
    <row r="2508" x14ac:dyDescent="0.35"/>
    <row r="2509" x14ac:dyDescent="0.35"/>
    <row r="2510" x14ac:dyDescent="0.35"/>
    <row r="2511" x14ac:dyDescent="0.35"/>
    <row r="2512" x14ac:dyDescent="0.35"/>
    <row r="2513" x14ac:dyDescent="0.35"/>
    <row r="2514" x14ac:dyDescent="0.35"/>
    <row r="2515" x14ac:dyDescent="0.35"/>
    <row r="2516" x14ac:dyDescent="0.35"/>
    <row r="2517" x14ac:dyDescent="0.35"/>
    <row r="2518" x14ac:dyDescent="0.35"/>
    <row r="2519" x14ac:dyDescent="0.35"/>
    <row r="2520" x14ac:dyDescent="0.35"/>
    <row r="2521" x14ac:dyDescent="0.35"/>
    <row r="2522" x14ac:dyDescent="0.35"/>
    <row r="2523" x14ac:dyDescent="0.35"/>
    <row r="2524" x14ac:dyDescent="0.35"/>
    <row r="2525" x14ac:dyDescent="0.35"/>
    <row r="2526" x14ac:dyDescent="0.35"/>
    <row r="2527" x14ac:dyDescent="0.35"/>
    <row r="2528" x14ac:dyDescent="0.35"/>
    <row r="2529" x14ac:dyDescent="0.35"/>
    <row r="2530" x14ac:dyDescent="0.35"/>
    <row r="2531" x14ac:dyDescent="0.35"/>
    <row r="2532" x14ac:dyDescent="0.35"/>
    <row r="2533" x14ac:dyDescent="0.35"/>
    <row r="2534" x14ac:dyDescent="0.35"/>
    <row r="2535" x14ac:dyDescent="0.35"/>
    <row r="2536" x14ac:dyDescent="0.35"/>
    <row r="2537" x14ac:dyDescent="0.35"/>
    <row r="2538" x14ac:dyDescent="0.35"/>
    <row r="2539" x14ac:dyDescent="0.35"/>
    <row r="2540" x14ac:dyDescent="0.35"/>
    <row r="2541" x14ac:dyDescent="0.35"/>
    <row r="2542" x14ac:dyDescent="0.35"/>
    <row r="2543" x14ac:dyDescent="0.35"/>
    <row r="2544" x14ac:dyDescent="0.35"/>
    <row r="2545" x14ac:dyDescent="0.35"/>
    <row r="2546" x14ac:dyDescent="0.35"/>
    <row r="2547" x14ac:dyDescent="0.35"/>
    <row r="2548" x14ac:dyDescent="0.35"/>
    <row r="2549" x14ac:dyDescent="0.35"/>
    <row r="2550" x14ac:dyDescent="0.35"/>
    <row r="2551" x14ac:dyDescent="0.35"/>
    <row r="2552" x14ac:dyDescent="0.35"/>
    <row r="2553" x14ac:dyDescent="0.35"/>
    <row r="2554" x14ac:dyDescent="0.35"/>
    <row r="2555" x14ac:dyDescent="0.35"/>
    <row r="2556" x14ac:dyDescent="0.35"/>
    <row r="2557" x14ac:dyDescent="0.35"/>
    <row r="2558" x14ac:dyDescent="0.35"/>
    <row r="2559" x14ac:dyDescent="0.35"/>
    <row r="2560" x14ac:dyDescent="0.35"/>
    <row r="2561" x14ac:dyDescent="0.35"/>
    <row r="2562" x14ac:dyDescent="0.35"/>
    <row r="2563" x14ac:dyDescent="0.35"/>
    <row r="2564" x14ac:dyDescent="0.35"/>
    <row r="2565" x14ac:dyDescent="0.35"/>
    <row r="2566" x14ac:dyDescent="0.35"/>
    <row r="2567" x14ac:dyDescent="0.35"/>
    <row r="2568" x14ac:dyDescent="0.35"/>
    <row r="2569" x14ac:dyDescent="0.35"/>
    <row r="2570" x14ac:dyDescent="0.35"/>
    <row r="2571" x14ac:dyDescent="0.35"/>
    <row r="2572" x14ac:dyDescent="0.35"/>
    <row r="2573" x14ac:dyDescent="0.35"/>
    <row r="2574" x14ac:dyDescent="0.35"/>
    <row r="2575" x14ac:dyDescent="0.35"/>
    <row r="2576" x14ac:dyDescent="0.35"/>
    <row r="2577" x14ac:dyDescent="0.35"/>
    <row r="2578" x14ac:dyDescent="0.35"/>
    <row r="2579" x14ac:dyDescent="0.35"/>
    <row r="2580" x14ac:dyDescent="0.35"/>
    <row r="2581" x14ac:dyDescent="0.35"/>
    <row r="2582" x14ac:dyDescent="0.35"/>
    <row r="2583" x14ac:dyDescent="0.35"/>
    <row r="2584" x14ac:dyDescent="0.35"/>
    <row r="2585" x14ac:dyDescent="0.35"/>
    <row r="2586" x14ac:dyDescent="0.35"/>
    <row r="2587" x14ac:dyDescent="0.35"/>
    <row r="2588" x14ac:dyDescent="0.35"/>
    <row r="2589" x14ac:dyDescent="0.35"/>
    <row r="2590" x14ac:dyDescent="0.35"/>
    <row r="2591" x14ac:dyDescent="0.35"/>
    <row r="2592" x14ac:dyDescent="0.35"/>
    <row r="2593" x14ac:dyDescent="0.35"/>
    <row r="2594" x14ac:dyDescent="0.35"/>
    <row r="2595" x14ac:dyDescent="0.35"/>
    <row r="2596" x14ac:dyDescent="0.35"/>
    <row r="2597" x14ac:dyDescent="0.35"/>
    <row r="2598" x14ac:dyDescent="0.35"/>
    <row r="2599" x14ac:dyDescent="0.35"/>
    <row r="2600" x14ac:dyDescent="0.35"/>
    <row r="2601" x14ac:dyDescent="0.35"/>
    <row r="2602" x14ac:dyDescent="0.35"/>
    <row r="2603" x14ac:dyDescent="0.35"/>
    <row r="2604" x14ac:dyDescent="0.35"/>
    <row r="2605" x14ac:dyDescent="0.35"/>
    <row r="2606" x14ac:dyDescent="0.35"/>
    <row r="2607" x14ac:dyDescent="0.35"/>
    <row r="2608" x14ac:dyDescent="0.35"/>
    <row r="2609" x14ac:dyDescent="0.35"/>
    <row r="2610" x14ac:dyDescent="0.35"/>
    <row r="2611" x14ac:dyDescent="0.35"/>
    <row r="2612" x14ac:dyDescent="0.35"/>
    <row r="2613" x14ac:dyDescent="0.35"/>
    <row r="2614" x14ac:dyDescent="0.35"/>
    <row r="2615" x14ac:dyDescent="0.35"/>
    <row r="2616" x14ac:dyDescent="0.35"/>
    <row r="2617" x14ac:dyDescent="0.35"/>
    <row r="2618" x14ac:dyDescent="0.35"/>
    <row r="2619" x14ac:dyDescent="0.35"/>
    <row r="2620" x14ac:dyDescent="0.35"/>
    <row r="2621" x14ac:dyDescent="0.35"/>
    <row r="2622" x14ac:dyDescent="0.35"/>
    <row r="2623" x14ac:dyDescent="0.35"/>
    <row r="2624" x14ac:dyDescent="0.35"/>
    <row r="2625" x14ac:dyDescent="0.35"/>
    <row r="2626" x14ac:dyDescent="0.35"/>
    <row r="2627" x14ac:dyDescent="0.35"/>
    <row r="2628" x14ac:dyDescent="0.35"/>
    <row r="2629" x14ac:dyDescent="0.35"/>
    <row r="2630" x14ac:dyDescent="0.35"/>
    <row r="2631" x14ac:dyDescent="0.35"/>
    <row r="2632" x14ac:dyDescent="0.35"/>
    <row r="2633" x14ac:dyDescent="0.35"/>
    <row r="2634" x14ac:dyDescent="0.35"/>
    <row r="2635" x14ac:dyDescent="0.35"/>
    <row r="2636" x14ac:dyDescent="0.35"/>
    <row r="2637" x14ac:dyDescent="0.35"/>
    <row r="2638" x14ac:dyDescent="0.35"/>
    <row r="2639" x14ac:dyDescent="0.35"/>
    <row r="2640" x14ac:dyDescent="0.35"/>
    <row r="2641" x14ac:dyDescent="0.35"/>
    <row r="2642" x14ac:dyDescent="0.35"/>
    <row r="2643" x14ac:dyDescent="0.35"/>
    <row r="2644" x14ac:dyDescent="0.35"/>
    <row r="2645" x14ac:dyDescent="0.35"/>
    <row r="2646" x14ac:dyDescent="0.35"/>
    <row r="2647" x14ac:dyDescent="0.35"/>
    <row r="2648" x14ac:dyDescent="0.35"/>
    <row r="2649" x14ac:dyDescent="0.35"/>
    <row r="2650" x14ac:dyDescent="0.35"/>
    <row r="2651" x14ac:dyDescent="0.35"/>
    <row r="2652" x14ac:dyDescent="0.35"/>
    <row r="2653" x14ac:dyDescent="0.35"/>
    <row r="2654" x14ac:dyDescent="0.35"/>
    <row r="2655" x14ac:dyDescent="0.35"/>
    <row r="2656" x14ac:dyDescent="0.35"/>
    <row r="2657" x14ac:dyDescent="0.35"/>
    <row r="2658" x14ac:dyDescent="0.35"/>
    <row r="2659" x14ac:dyDescent="0.35"/>
    <row r="2660" x14ac:dyDescent="0.35"/>
    <row r="2661" x14ac:dyDescent="0.35"/>
    <row r="2662" x14ac:dyDescent="0.35"/>
    <row r="2663" x14ac:dyDescent="0.35"/>
    <row r="2664" x14ac:dyDescent="0.35"/>
    <row r="2665" x14ac:dyDescent="0.35"/>
    <row r="2666" x14ac:dyDescent="0.35"/>
    <row r="2667" x14ac:dyDescent="0.35"/>
    <row r="2668" x14ac:dyDescent="0.35"/>
    <row r="2669" x14ac:dyDescent="0.35"/>
    <row r="2670" x14ac:dyDescent="0.35"/>
    <row r="2671" x14ac:dyDescent="0.35"/>
    <row r="2672" x14ac:dyDescent="0.35"/>
    <row r="2673" x14ac:dyDescent="0.35"/>
    <row r="2674" x14ac:dyDescent="0.35"/>
    <row r="2675" x14ac:dyDescent="0.35"/>
    <row r="2676" x14ac:dyDescent="0.35"/>
    <row r="2677" x14ac:dyDescent="0.35"/>
    <row r="2678" x14ac:dyDescent="0.35"/>
    <row r="2679" x14ac:dyDescent="0.35"/>
    <row r="2680" x14ac:dyDescent="0.35"/>
    <row r="2681" x14ac:dyDescent="0.35"/>
    <row r="2682" x14ac:dyDescent="0.35"/>
    <row r="2683" x14ac:dyDescent="0.35"/>
    <row r="2684" x14ac:dyDescent="0.35"/>
    <row r="2685" x14ac:dyDescent="0.35"/>
    <row r="2686" x14ac:dyDescent="0.35"/>
    <row r="2687" x14ac:dyDescent="0.35"/>
    <row r="2688" x14ac:dyDescent="0.35"/>
    <row r="2689" x14ac:dyDescent="0.35"/>
    <row r="2690" x14ac:dyDescent="0.35"/>
    <row r="2691" x14ac:dyDescent="0.35"/>
    <row r="2692" x14ac:dyDescent="0.35"/>
    <row r="2693" x14ac:dyDescent="0.35"/>
    <row r="2694" x14ac:dyDescent="0.35"/>
    <row r="2695" x14ac:dyDescent="0.35"/>
    <row r="2696" x14ac:dyDescent="0.35"/>
    <row r="2697" x14ac:dyDescent="0.35"/>
    <row r="2698" x14ac:dyDescent="0.35"/>
    <row r="2699" x14ac:dyDescent="0.35"/>
    <row r="2700" x14ac:dyDescent="0.35"/>
    <row r="2701" x14ac:dyDescent="0.35"/>
    <row r="2702" x14ac:dyDescent="0.35"/>
    <row r="2703" x14ac:dyDescent="0.35"/>
    <row r="2704" x14ac:dyDescent="0.35"/>
    <row r="2705" x14ac:dyDescent="0.35"/>
    <row r="2706" x14ac:dyDescent="0.35"/>
    <row r="2707" x14ac:dyDescent="0.35"/>
    <row r="2708" x14ac:dyDescent="0.35"/>
    <row r="2709" x14ac:dyDescent="0.35"/>
    <row r="2710" x14ac:dyDescent="0.35"/>
    <row r="2711" x14ac:dyDescent="0.35"/>
    <row r="2712" x14ac:dyDescent="0.35"/>
    <row r="2713" x14ac:dyDescent="0.35"/>
    <row r="2714" x14ac:dyDescent="0.35"/>
    <row r="2715" x14ac:dyDescent="0.35"/>
    <row r="2716" x14ac:dyDescent="0.35"/>
    <row r="2717" x14ac:dyDescent="0.35"/>
    <row r="2718" x14ac:dyDescent="0.35"/>
    <row r="2719" x14ac:dyDescent="0.35"/>
    <row r="2720" x14ac:dyDescent="0.35"/>
    <row r="2721" x14ac:dyDescent="0.35"/>
    <row r="2722" x14ac:dyDescent="0.35"/>
    <row r="2723" x14ac:dyDescent="0.35"/>
    <row r="2724" x14ac:dyDescent="0.35"/>
    <row r="2725" x14ac:dyDescent="0.35"/>
    <row r="2726" x14ac:dyDescent="0.35"/>
    <row r="2727" x14ac:dyDescent="0.35"/>
    <row r="2728" x14ac:dyDescent="0.35"/>
    <row r="2729" x14ac:dyDescent="0.35"/>
    <row r="2730" x14ac:dyDescent="0.35"/>
    <row r="2731" x14ac:dyDescent="0.35"/>
    <row r="2732" x14ac:dyDescent="0.35"/>
    <row r="2733" x14ac:dyDescent="0.35"/>
    <row r="2734" x14ac:dyDescent="0.35"/>
    <row r="2735" x14ac:dyDescent="0.35"/>
    <row r="2736" x14ac:dyDescent="0.35"/>
    <row r="2737" x14ac:dyDescent="0.35"/>
    <row r="2738" x14ac:dyDescent="0.35"/>
    <row r="2739" x14ac:dyDescent="0.35"/>
    <row r="2740" x14ac:dyDescent="0.35"/>
    <row r="2741" x14ac:dyDescent="0.35"/>
    <row r="2742" x14ac:dyDescent="0.35"/>
    <row r="2743" x14ac:dyDescent="0.35"/>
    <row r="2744" x14ac:dyDescent="0.35"/>
    <row r="2745" x14ac:dyDescent="0.35"/>
    <row r="2746" x14ac:dyDescent="0.35"/>
    <row r="2747" x14ac:dyDescent="0.35"/>
    <row r="2748" x14ac:dyDescent="0.35"/>
    <row r="2749" x14ac:dyDescent="0.35"/>
    <row r="2750" x14ac:dyDescent="0.35"/>
    <row r="2751" x14ac:dyDescent="0.35"/>
    <row r="2752" x14ac:dyDescent="0.35"/>
    <row r="2753" x14ac:dyDescent="0.35"/>
    <row r="2754" x14ac:dyDescent="0.35"/>
    <row r="2755" x14ac:dyDescent="0.35"/>
    <row r="2756" x14ac:dyDescent="0.35"/>
    <row r="2757" x14ac:dyDescent="0.35"/>
    <row r="2758" x14ac:dyDescent="0.35"/>
    <row r="2759" x14ac:dyDescent="0.35"/>
    <row r="2760" x14ac:dyDescent="0.35"/>
    <row r="2761" x14ac:dyDescent="0.35"/>
    <row r="2762" x14ac:dyDescent="0.35"/>
    <row r="2763" x14ac:dyDescent="0.35"/>
    <row r="2764" x14ac:dyDescent="0.35"/>
    <row r="2765" x14ac:dyDescent="0.35"/>
    <row r="2766" x14ac:dyDescent="0.35"/>
    <row r="2767" x14ac:dyDescent="0.35"/>
    <row r="2768" x14ac:dyDescent="0.35"/>
    <row r="2769" x14ac:dyDescent="0.35"/>
    <row r="2770" x14ac:dyDescent="0.35"/>
    <row r="2771" x14ac:dyDescent="0.35"/>
    <row r="2772" x14ac:dyDescent="0.35"/>
    <row r="2773" x14ac:dyDescent="0.35"/>
    <row r="2774" x14ac:dyDescent="0.35"/>
    <row r="2775" x14ac:dyDescent="0.35"/>
    <row r="2776" x14ac:dyDescent="0.35"/>
    <row r="2777" x14ac:dyDescent="0.35"/>
    <row r="2778" x14ac:dyDescent="0.35"/>
    <row r="2779" x14ac:dyDescent="0.35"/>
    <row r="2780" x14ac:dyDescent="0.35"/>
    <row r="2781" x14ac:dyDescent="0.35"/>
    <row r="2782" x14ac:dyDescent="0.35"/>
    <row r="2783" x14ac:dyDescent="0.35"/>
    <row r="2784" x14ac:dyDescent="0.35"/>
    <row r="2785" x14ac:dyDescent="0.35"/>
    <row r="2786" x14ac:dyDescent="0.35"/>
    <row r="2787" x14ac:dyDescent="0.35"/>
    <row r="2788" x14ac:dyDescent="0.35"/>
    <row r="2789" x14ac:dyDescent="0.35"/>
    <row r="2790" x14ac:dyDescent="0.35"/>
    <row r="2791" x14ac:dyDescent="0.35"/>
    <row r="2792" x14ac:dyDescent="0.35"/>
    <row r="2793" x14ac:dyDescent="0.35"/>
    <row r="2794" x14ac:dyDescent="0.35"/>
    <row r="2795" x14ac:dyDescent="0.35"/>
    <row r="2796" x14ac:dyDescent="0.35"/>
    <row r="2797" x14ac:dyDescent="0.35"/>
    <row r="2798" x14ac:dyDescent="0.35"/>
    <row r="2799" x14ac:dyDescent="0.35"/>
    <row r="2800" x14ac:dyDescent="0.35"/>
    <row r="2801" x14ac:dyDescent="0.35"/>
    <row r="2802" x14ac:dyDescent="0.35"/>
    <row r="2803" x14ac:dyDescent="0.35"/>
    <row r="2804" x14ac:dyDescent="0.35"/>
    <row r="2805" x14ac:dyDescent="0.35"/>
    <row r="2806" x14ac:dyDescent="0.35"/>
    <row r="2807" x14ac:dyDescent="0.35"/>
    <row r="2808" x14ac:dyDescent="0.35"/>
    <row r="2809" x14ac:dyDescent="0.35"/>
    <row r="2810" x14ac:dyDescent="0.35"/>
    <row r="2811" x14ac:dyDescent="0.35"/>
    <row r="2812" x14ac:dyDescent="0.35"/>
    <row r="2813" x14ac:dyDescent="0.35"/>
    <row r="2814" x14ac:dyDescent="0.35"/>
    <row r="2815" x14ac:dyDescent="0.35"/>
    <row r="2816" x14ac:dyDescent="0.35"/>
    <row r="2817" x14ac:dyDescent="0.35"/>
    <row r="2818" x14ac:dyDescent="0.35"/>
    <row r="2819" x14ac:dyDescent="0.35"/>
    <row r="2820" x14ac:dyDescent="0.35"/>
    <row r="2821" x14ac:dyDescent="0.35"/>
    <row r="2822" x14ac:dyDescent="0.35"/>
    <row r="2823" x14ac:dyDescent="0.35"/>
    <row r="2824" x14ac:dyDescent="0.35"/>
    <row r="2825" x14ac:dyDescent="0.35"/>
    <row r="2826" x14ac:dyDescent="0.35"/>
    <row r="2827" x14ac:dyDescent="0.35"/>
    <row r="2828" x14ac:dyDescent="0.35"/>
    <row r="2829" x14ac:dyDescent="0.35"/>
    <row r="2830" x14ac:dyDescent="0.35"/>
    <row r="2831" x14ac:dyDescent="0.35"/>
    <row r="2832" x14ac:dyDescent="0.35"/>
    <row r="2833" x14ac:dyDescent="0.35"/>
    <row r="2834" x14ac:dyDescent="0.35"/>
    <row r="2835" x14ac:dyDescent="0.35"/>
    <row r="2836" x14ac:dyDescent="0.35"/>
    <row r="2837" x14ac:dyDescent="0.35"/>
    <row r="2838" x14ac:dyDescent="0.35"/>
    <row r="2839" x14ac:dyDescent="0.35"/>
    <row r="2840" x14ac:dyDescent="0.35"/>
    <row r="2841" x14ac:dyDescent="0.35"/>
    <row r="2842" x14ac:dyDescent="0.35"/>
    <row r="2843" x14ac:dyDescent="0.35"/>
    <row r="2844" x14ac:dyDescent="0.35"/>
    <row r="2845" x14ac:dyDescent="0.35"/>
    <row r="2846" x14ac:dyDescent="0.35"/>
    <row r="2847" x14ac:dyDescent="0.35"/>
    <row r="2848" x14ac:dyDescent="0.35"/>
    <row r="2849" x14ac:dyDescent="0.35"/>
    <row r="2850" x14ac:dyDescent="0.35"/>
    <row r="2851" x14ac:dyDescent="0.35"/>
    <row r="2852" x14ac:dyDescent="0.35"/>
    <row r="2853" x14ac:dyDescent="0.35"/>
    <row r="2854" x14ac:dyDescent="0.35"/>
    <row r="2855" x14ac:dyDescent="0.35"/>
    <row r="2856" x14ac:dyDescent="0.35"/>
    <row r="2857" x14ac:dyDescent="0.35"/>
    <row r="2858" x14ac:dyDescent="0.35"/>
    <row r="2859" x14ac:dyDescent="0.35"/>
    <row r="2860" x14ac:dyDescent="0.35"/>
    <row r="2861" x14ac:dyDescent="0.35"/>
    <row r="2862" x14ac:dyDescent="0.35"/>
    <row r="2863" x14ac:dyDescent="0.35"/>
    <row r="2864" x14ac:dyDescent="0.35"/>
    <row r="2865" x14ac:dyDescent="0.35"/>
    <row r="2866" x14ac:dyDescent="0.35"/>
    <row r="2867" x14ac:dyDescent="0.35"/>
    <row r="2868" x14ac:dyDescent="0.35"/>
    <row r="2869" x14ac:dyDescent="0.35"/>
    <row r="2870" x14ac:dyDescent="0.35"/>
    <row r="2871" x14ac:dyDescent="0.35"/>
    <row r="2872" x14ac:dyDescent="0.35"/>
    <row r="2873" x14ac:dyDescent="0.35"/>
    <row r="2874" x14ac:dyDescent="0.35"/>
    <row r="2875" x14ac:dyDescent="0.35"/>
    <row r="2876" x14ac:dyDescent="0.35"/>
    <row r="2877" x14ac:dyDescent="0.35"/>
    <row r="2878" x14ac:dyDescent="0.35"/>
    <row r="2879" x14ac:dyDescent="0.35"/>
    <row r="2880" x14ac:dyDescent="0.35"/>
    <row r="2881" x14ac:dyDescent="0.35"/>
    <row r="2882" x14ac:dyDescent="0.35"/>
    <row r="2883" x14ac:dyDescent="0.35"/>
    <row r="2884" x14ac:dyDescent="0.35"/>
    <row r="2885" x14ac:dyDescent="0.35"/>
    <row r="2886" x14ac:dyDescent="0.35"/>
    <row r="2887" x14ac:dyDescent="0.35"/>
    <row r="2888" x14ac:dyDescent="0.35"/>
    <row r="2889" x14ac:dyDescent="0.35"/>
    <row r="2890" x14ac:dyDescent="0.35"/>
    <row r="2891" x14ac:dyDescent="0.35"/>
    <row r="2892" x14ac:dyDescent="0.35"/>
    <row r="2893" x14ac:dyDescent="0.35"/>
    <row r="2894" x14ac:dyDescent="0.35"/>
    <row r="2895" x14ac:dyDescent="0.35"/>
    <row r="2896" x14ac:dyDescent="0.35"/>
    <row r="2897" x14ac:dyDescent="0.35"/>
    <row r="2898" x14ac:dyDescent="0.35"/>
    <row r="2899" x14ac:dyDescent="0.35"/>
    <row r="2900" x14ac:dyDescent="0.35"/>
    <row r="2901" x14ac:dyDescent="0.35"/>
    <row r="2902" x14ac:dyDescent="0.35"/>
    <row r="2903" x14ac:dyDescent="0.35"/>
    <row r="2904" x14ac:dyDescent="0.35"/>
    <row r="2905" x14ac:dyDescent="0.35"/>
    <row r="2906" x14ac:dyDescent="0.35"/>
    <row r="2907" x14ac:dyDescent="0.35"/>
    <row r="2908" x14ac:dyDescent="0.35"/>
    <row r="2909" x14ac:dyDescent="0.35"/>
    <row r="2910" x14ac:dyDescent="0.35"/>
    <row r="2911" x14ac:dyDescent="0.35"/>
    <row r="2912" x14ac:dyDescent="0.35"/>
    <row r="2913" x14ac:dyDescent="0.35"/>
    <row r="2914" x14ac:dyDescent="0.35"/>
    <row r="2915" x14ac:dyDescent="0.35"/>
    <row r="2916" x14ac:dyDescent="0.35"/>
    <row r="2917" x14ac:dyDescent="0.35"/>
    <row r="2918" x14ac:dyDescent="0.35"/>
    <row r="2919" x14ac:dyDescent="0.35"/>
    <row r="2920" x14ac:dyDescent="0.35"/>
    <row r="2921" x14ac:dyDescent="0.35"/>
    <row r="2922" x14ac:dyDescent="0.35"/>
    <row r="2923" x14ac:dyDescent="0.35"/>
    <row r="2924" x14ac:dyDescent="0.35"/>
    <row r="2925" x14ac:dyDescent="0.35"/>
    <row r="2926" x14ac:dyDescent="0.35"/>
    <row r="2927" x14ac:dyDescent="0.35"/>
    <row r="2928" x14ac:dyDescent="0.35"/>
    <row r="2929" x14ac:dyDescent="0.35"/>
    <row r="2930" x14ac:dyDescent="0.35"/>
    <row r="2931" x14ac:dyDescent="0.35"/>
    <row r="2932" x14ac:dyDescent="0.35"/>
    <row r="2933" x14ac:dyDescent="0.35"/>
    <row r="2934" x14ac:dyDescent="0.35"/>
    <row r="2935" x14ac:dyDescent="0.35"/>
    <row r="2936" x14ac:dyDescent="0.35"/>
    <row r="2937" x14ac:dyDescent="0.35"/>
    <row r="2938" x14ac:dyDescent="0.35"/>
    <row r="2939" x14ac:dyDescent="0.35"/>
    <row r="2940" x14ac:dyDescent="0.35"/>
    <row r="2941" x14ac:dyDescent="0.35"/>
    <row r="2942" x14ac:dyDescent="0.35"/>
    <row r="2943" x14ac:dyDescent="0.35"/>
    <row r="2944" x14ac:dyDescent="0.35"/>
    <row r="2945" x14ac:dyDescent="0.35"/>
    <row r="2946" x14ac:dyDescent="0.35"/>
    <row r="2947" x14ac:dyDescent="0.35"/>
    <row r="2948" x14ac:dyDescent="0.35"/>
    <row r="2949" x14ac:dyDescent="0.35"/>
    <row r="2950" x14ac:dyDescent="0.35"/>
    <row r="2951" x14ac:dyDescent="0.35"/>
    <row r="2952" x14ac:dyDescent="0.35"/>
    <row r="2953" x14ac:dyDescent="0.35"/>
    <row r="2954" x14ac:dyDescent="0.35"/>
    <row r="2955" x14ac:dyDescent="0.35"/>
    <row r="2956" x14ac:dyDescent="0.35"/>
    <row r="2957" x14ac:dyDescent="0.35"/>
    <row r="2958" x14ac:dyDescent="0.35"/>
    <row r="2959" x14ac:dyDescent="0.35"/>
    <row r="2960" x14ac:dyDescent="0.35"/>
    <row r="2961" x14ac:dyDescent="0.35"/>
    <row r="2962" x14ac:dyDescent="0.35"/>
    <row r="2963" x14ac:dyDescent="0.35"/>
    <row r="2964" x14ac:dyDescent="0.35"/>
    <row r="2965" x14ac:dyDescent="0.35"/>
    <row r="2966" x14ac:dyDescent="0.35"/>
    <row r="2967" x14ac:dyDescent="0.35"/>
    <row r="2968" x14ac:dyDescent="0.35"/>
    <row r="2969" x14ac:dyDescent="0.35"/>
    <row r="2970" x14ac:dyDescent="0.35"/>
    <row r="2971" x14ac:dyDescent="0.35"/>
    <row r="2972" x14ac:dyDescent="0.35"/>
    <row r="2973" x14ac:dyDescent="0.35"/>
    <row r="2974" x14ac:dyDescent="0.35"/>
    <row r="2975" x14ac:dyDescent="0.35"/>
    <row r="2976" x14ac:dyDescent="0.35"/>
    <row r="2977" x14ac:dyDescent="0.35"/>
    <row r="2978" x14ac:dyDescent="0.35"/>
    <row r="2979" x14ac:dyDescent="0.35"/>
    <row r="2980" x14ac:dyDescent="0.35"/>
    <row r="2981" x14ac:dyDescent="0.35"/>
    <row r="2982" x14ac:dyDescent="0.35"/>
    <row r="2983" x14ac:dyDescent="0.35"/>
    <row r="2984" x14ac:dyDescent="0.35"/>
    <row r="2985" x14ac:dyDescent="0.35"/>
    <row r="2986" x14ac:dyDescent="0.35"/>
    <row r="2987" x14ac:dyDescent="0.35"/>
    <row r="2988" x14ac:dyDescent="0.35"/>
    <row r="2989" x14ac:dyDescent="0.35"/>
    <row r="2990" x14ac:dyDescent="0.35"/>
    <row r="2991" x14ac:dyDescent="0.35"/>
    <row r="2992" x14ac:dyDescent="0.35"/>
    <row r="2993" x14ac:dyDescent="0.35"/>
    <row r="2994" x14ac:dyDescent="0.35"/>
    <row r="2995" x14ac:dyDescent="0.35"/>
    <row r="2996" x14ac:dyDescent="0.35"/>
    <row r="2997" x14ac:dyDescent="0.35"/>
    <row r="2998" x14ac:dyDescent="0.35"/>
    <row r="2999" x14ac:dyDescent="0.35"/>
    <row r="3000" x14ac:dyDescent="0.35"/>
    <row r="3001" x14ac:dyDescent="0.35"/>
    <row r="3002" x14ac:dyDescent="0.35"/>
    <row r="3003" x14ac:dyDescent="0.35"/>
    <row r="3004" x14ac:dyDescent="0.35"/>
    <row r="3005" x14ac:dyDescent="0.35"/>
    <row r="3006" x14ac:dyDescent="0.35"/>
    <row r="3007" x14ac:dyDescent="0.35"/>
    <row r="3008" x14ac:dyDescent="0.35"/>
    <row r="3009" x14ac:dyDescent="0.35"/>
    <row r="3010" x14ac:dyDescent="0.35"/>
    <row r="3011" x14ac:dyDescent="0.35"/>
    <row r="3012" x14ac:dyDescent="0.35"/>
    <row r="3013" x14ac:dyDescent="0.35"/>
    <row r="3014" x14ac:dyDescent="0.35"/>
    <row r="3015" x14ac:dyDescent="0.35"/>
    <row r="3016" x14ac:dyDescent="0.35"/>
    <row r="3017" x14ac:dyDescent="0.35"/>
    <row r="3018" x14ac:dyDescent="0.35"/>
    <row r="3019" x14ac:dyDescent="0.35"/>
    <row r="3020" x14ac:dyDescent="0.35"/>
    <row r="3021" x14ac:dyDescent="0.35"/>
    <row r="3022" x14ac:dyDescent="0.35"/>
    <row r="3023" x14ac:dyDescent="0.35"/>
    <row r="3024" x14ac:dyDescent="0.35"/>
    <row r="3025" x14ac:dyDescent="0.35"/>
    <row r="3026" x14ac:dyDescent="0.35"/>
    <row r="3027" x14ac:dyDescent="0.35"/>
    <row r="3028" x14ac:dyDescent="0.35"/>
    <row r="3029" x14ac:dyDescent="0.35"/>
    <row r="3030" x14ac:dyDescent="0.35"/>
    <row r="3031" x14ac:dyDescent="0.35"/>
    <row r="3032" x14ac:dyDescent="0.35"/>
    <row r="3033" x14ac:dyDescent="0.35"/>
    <row r="3034" x14ac:dyDescent="0.35"/>
    <row r="3035" x14ac:dyDescent="0.35"/>
    <row r="3036" x14ac:dyDescent="0.35"/>
    <row r="3037" x14ac:dyDescent="0.35"/>
    <row r="3038" x14ac:dyDescent="0.35"/>
    <row r="3039" x14ac:dyDescent="0.35"/>
    <row r="3040" x14ac:dyDescent="0.35"/>
    <row r="3041" x14ac:dyDescent="0.35"/>
    <row r="3042" x14ac:dyDescent="0.35"/>
    <row r="3043" x14ac:dyDescent="0.35"/>
    <row r="3044" x14ac:dyDescent="0.35"/>
    <row r="3045" x14ac:dyDescent="0.35"/>
    <row r="3046" x14ac:dyDescent="0.35"/>
    <row r="3047" x14ac:dyDescent="0.35"/>
    <row r="3048" x14ac:dyDescent="0.35"/>
    <row r="3049" x14ac:dyDescent="0.35"/>
    <row r="3050" x14ac:dyDescent="0.35"/>
    <row r="3051" x14ac:dyDescent="0.35"/>
    <row r="3052" x14ac:dyDescent="0.35"/>
    <row r="3053" x14ac:dyDescent="0.35"/>
    <row r="3054" x14ac:dyDescent="0.35"/>
    <row r="3055" x14ac:dyDescent="0.35"/>
    <row r="3056" x14ac:dyDescent="0.35"/>
    <row r="3057" x14ac:dyDescent="0.35"/>
    <row r="3058" x14ac:dyDescent="0.35"/>
    <row r="3059" x14ac:dyDescent="0.35"/>
    <row r="3060" x14ac:dyDescent="0.35"/>
    <row r="3061" x14ac:dyDescent="0.35"/>
    <row r="3062" x14ac:dyDescent="0.35"/>
    <row r="3063" x14ac:dyDescent="0.35"/>
    <row r="3064" x14ac:dyDescent="0.35"/>
    <row r="3065" x14ac:dyDescent="0.35"/>
    <row r="3066" x14ac:dyDescent="0.35"/>
    <row r="3067" x14ac:dyDescent="0.35"/>
    <row r="3068" x14ac:dyDescent="0.35"/>
    <row r="3069" x14ac:dyDescent="0.35"/>
    <row r="3070" x14ac:dyDescent="0.35"/>
    <row r="3071" x14ac:dyDescent="0.35"/>
    <row r="3072" x14ac:dyDescent="0.35"/>
    <row r="3073" x14ac:dyDescent="0.35"/>
    <row r="3074" x14ac:dyDescent="0.35"/>
    <row r="3075" x14ac:dyDescent="0.35"/>
    <row r="3076" x14ac:dyDescent="0.35"/>
    <row r="3077" x14ac:dyDescent="0.35"/>
    <row r="3078" x14ac:dyDescent="0.35"/>
    <row r="3079" x14ac:dyDescent="0.35"/>
    <row r="3080" x14ac:dyDescent="0.35"/>
    <row r="3081" x14ac:dyDescent="0.35"/>
    <row r="3082" x14ac:dyDescent="0.35"/>
    <row r="3083" x14ac:dyDescent="0.35"/>
    <row r="3084" x14ac:dyDescent="0.35"/>
    <row r="3085" x14ac:dyDescent="0.35"/>
    <row r="3086" x14ac:dyDescent="0.35"/>
    <row r="3087" x14ac:dyDescent="0.35"/>
    <row r="3088" x14ac:dyDescent="0.35"/>
    <row r="3089" x14ac:dyDescent="0.35"/>
    <row r="3090" x14ac:dyDescent="0.35"/>
    <row r="3091" x14ac:dyDescent="0.35"/>
    <row r="3092" x14ac:dyDescent="0.35"/>
    <row r="3093" x14ac:dyDescent="0.35"/>
    <row r="3094" x14ac:dyDescent="0.35"/>
    <row r="3095" x14ac:dyDescent="0.35"/>
    <row r="3096" x14ac:dyDescent="0.35"/>
    <row r="3097" x14ac:dyDescent="0.35"/>
    <row r="3098" x14ac:dyDescent="0.35"/>
    <row r="3099" x14ac:dyDescent="0.35"/>
    <row r="3100" x14ac:dyDescent="0.35"/>
    <row r="3101" x14ac:dyDescent="0.35"/>
    <row r="3102" x14ac:dyDescent="0.35"/>
    <row r="3103" x14ac:dyDescent="0.35"/>
    <row r="3104" x14ac:dyDescent="0.35"/>
    <row r="3105" x14ac:dyDescent="0.35"/>
    <row r="3106" x14ac:dyDescent="0.35"/>
    <row r="3107" x14ac:dyDescent="0.35"/>
    <row r="3108" x14ac:dyDescent="0.35"/>
    <row r="3109" x14ac:dyDescent="0.35"/>
    <row r="3110" x14ac:dyDescent="0.35"/>
    <row r="3111" x14ac:dyDescent="0.35"/>
    <row r="3112" x14ac:dyDescent="0.35"/>
    <row r="3113" x14ac:dyDescent="0.35"/>
    <row r="3114" x14ac:dyDescent="0.35"/>
    <row r="3115" x14ac:dyDescent="0.35"/>
    <row r="3116" x14ac:dyDescent="0.35"/>
    <row r="3117" x14ac:dyDescent="0.35"/>
    <row r="3118" x14ac:dyDescent="0.35"/>
    <row r="3119" x14ac:dyDescent="0.35"/>
    <row r="3120" x14ac:dyDescent="0.35"/>
    <row r="3121" x14ac:dyDescent="0.35"/>
    <row r="3122" x14ac:dyDescent="0.35"/>
    <row r="3123" x14ac:dyDescent="0.35"/>
    <row r="3124" x14ac:dyDescent="0.35"/>
    <row r="3125" x14ac:dyDescent="0.35"/>
    <row r="3126" x14ac:dyDescent="0.35"/>
    <row r="3127" x14ac:dyDescent="0.35"/>
    <row r="3128" x14ac:dyDescent="0.35"/>
    <row r="3129" x14ac:dyDescent="0.35"/>
    <row r="3130" x14ac:dyDescent="0.35"/>
    <row r="3131" x14ac:dyDescent="0.35"/>
    <row r="3132" x14ac:dyDescent="0.35"/>
    <row r="3133" x14ac:dyDescent="0.35"/>
    <row r="3134" x14ac:dyDescent="0.35"/>
    <row r="3135" x14ac:dyDescent="0.35"/>
    <row r="3136" x14ac:dyDescent="0.35"/>
    <row r="3137" x14ac:dyDescent="0.35"/>
    <row r="3138" x14ac:dyDescent="0.35"/>
    <row r="3139" x14ac:dyDescent="0.35"/>
    <row r="3140" x14ac:dyDescent="0.35"/>
    <row r="3141" x14ac:dyDescent="0.35"/>
    <row r="3142" x14ac:dyDescent="0.35"/>
    <row r="3143" x14ac:dyDescent="0.35"/>
    <row r="3144" x14ac:dyDescent="0.35"/>
    <row r="3145" x14ac:dyDescent="0.35"/>
    <row r="3146" x14ac:dyDescent="0.35"/>
    <row r="3147" x14ac:dyDescent="0.35"/>
    <row r="3148" x14ac:dyDescent="0.35"/>
    <row r="3149" x14ac:dyDescent="0.35"/>
    <row r="3150" x14ac:dyDescent="0.35"/>
    <row r="3151" x14ac:dyDescent="0.35"/>
    <row r="3152" x14ac:dyDescent="0.35"/>
    <row r="3153" x14ac:dyDescent="0.35"/>
    <row r="3154" x14ac:dyDescent="0.35"/>
    <row r="3155" x14ac:dyDescent="0.35"/>
    <row r="3156" x14ac:dyDescent="0.35"/>
    <row r="3157" x14ac:dyDescent="0.35"/>
    <row r="3158" x14ac:dyDescent="0.35"/>
    <row r="3159" x14ac:dyDescent="0.35"/>
    <row r="3160" x14ac:dyDescent="0.35"/>
    <row r="3161" x14ac:dyDescent="0.35"/>
    <row r="3162" x14ac:dyDescent="0.35"/>
    <row r="3163" x14ac:dyDescent="0.35"/>
    <row r="3164" x14ac:dyDescent="0.35"/>
    <row r="3165" x14ac:dyDescent="0.35"/>
    <row r="3166" x14ac:dyDescent="0.35"/>
    <row r="3167" x14ac:dyDescent="0.35"/>
    <row r="3168" x14ac:dyDescent="0.35"/>
    <row r="3169" x14ac:dyDescent="0.35"/>
    <row r="3170" x14ac:dyDescent="0.35"/>
    <row r="3171" x14ac:dyDescent="0.35"/>
    <row r="3172" x14ac:dyDescent="0.35"/>
    <row r="3173" x14ac:dyDescent="0.35"/>
    <row r="3174" x14ac:dyDescent="0.35"/>
    <row r="3175" x14ac:dyDescent="0.35"/>
    <row r="3176" x14ac:dyDescent="0.35"/>
    <row r="3177" x14ac:dyDescent="0.35"/>
    <row r="3178" x14ac:dyDescent="0.35"/>
    <row r="3179" x14ac:dyDescent="0.35"/>
    <row r="3180" x14ac:dyDescent="0.35"/>
    <row r="3181" x14ac:dyDescent="0.35"/>
    <row r="3182" x14ac:dyDescent="0.35"/>
    <row r="3183" x14ac:dyDescent="0.35"/>
    <row r="3184" x14ac:dyDescent="0.35"/>
    <row r="3185" x14ac:dyDescent="0.35"/>
    <row r="3186" x14ac:dyDescent="0.35"/>
    <row r="3187" x14ac:dyDescent="0.35"/>
    <row r="3188" x14ac:dyDescent="0.35"/>
    <row r="3189" x14ac:dyDescent="0.35"/>
    <row r="3190" x14ac:dyDescent="0.35"/>
    <row r="3191" x14ac:dyDescent="0.35"/>
    <row r="3192" x14ac:dyDescent="0.35"/>
    <row r="3193" x14ac:dyDescent="0.35"/>
    <row r="3194" x14ac:dyDescent="0.35"/>
    <row r="3195" x14ac:dyDescent="0.35"/>
    <row r="3196" x14ac:dyDescent="0.35"/>
    <row r="3197" x14ac:dyDescent="0.35"/>
    <row r="3198" x14ac:dyDescent="0.35"/>
    <row r="3199" x14ac:dyDescent="0.35"/>
    <row r="3200" x14ac:dyDescent="0.35"/>
    <row r="3201" x14ac:dyDescent="0.35"/>
    <row r="3202" x14ac:dyDescent="0.35"/>
    <row r="3203" x14ac:dyDescent="0.35"/>
    <row r="3204" x14ac:dyDescent="0.35"/>
    <row r="3205" x14ac:dyDescent="0.35"/>
    <row r="3206" x14ac:dyDescent="0.35"/>
    <row r="3207" x14ac:dyDescent="0.35"/>
    <row r="3208" x14ac:dyDescent="0.35"/>
    <row r="3209" x14ac:dyDescent="0.35"/>
    <row r="3210" x14ac:dyDescent="0.35"/>
    <row r="3211" x14ac:dyDescent="0.35"/>
    <row r="3212" x14ac:dyDescent="0.35"/>
    <row r="3213" x14ac:dyDescent="0.35"/>
    <row r="3214" x14ac:dyDescent="0.35"/>
    <row r="3215" x14ac:dyDescent="0.35"/>
    <row r="3216" x14ac:dyDescent="0.35"/>
    <row r="3217" x14ac:dyDescent="0.35"/>
    <row r="3218" x14ac:dyDescent="0.35"/>
    <row r="3219" x14ac:dyDescent="0.35"/>
    <row r="3220" x14ac:dyDescent="0.35"/>
    <row r="3221" x14ac:dyDescent="0.35"/>
    <row r="3222" x14ac:dyDescent="0.35"/>
    <row r="3223" x14ac:dyDescent="0.35"/>
    <row r="3224" x14ac:dyDescent="0.35"/>
    <row r="3225" x14ac:dyDescent="0.35"/>
    <row r="3226" x14ac:dyDescent="0.35"/>
    <row r="3227" x14ac:dyDescent="0.35"/>
    <row r="3228" x14ac:dyDescent="0.35"/>
    <row r="3229" x14ac:dyDescent="0.35"/>
    <row r="3230" x14ac:dyDescent="0.35"/>
    <row r="3231" x14ac:dyDescent="0.35"/>
    <row r="3232" x14ac:dyDescent="0.35"/>
    <row r="3233" x14ac:dyDescent="0.35"/>
    <row r="3234" x14ac:dyDescent="0.35"/>
    <row r="3235" x14ac:dyDescent="0.35"/>
    <row r="3236" x14ac:dyDescent="0.35"/>
    <row r="3237" x14ac:dyDescent="0.35"/>
    <row r="3238" x14ac:dyDescent="0.35"/>
    <row r="3239" x14ac:dyDescent="0.35"/>
    <row r="3240" x14ac:dyDescent="0.35"/>
    <row r="3241" x14ac:dyDescent="0.35"/>
    <row r="3242" x14ac:dyDescent="0.35"/>
    <row r="3243" x14ac:dyDescent="0.35"/>
    <row r="3244" x14ac:dyDescent="0.35"/>
    <row r="3245" x14ac:dyDescent="0.35"/>
    <row r="3246" x14ac:dyDescent="0.35"/>
    <row r="3247" x14ac:dyDescent="0.35"/>
    <row r="3248" x14ac:dyDescent="0.35"/>
    <row r="3249" x14ac:dyDescent="0.35"/>
    <row r="3250" x14ac:dyDescent="0.35"/>
    <row r="3251" x14ac:dyDescent="0.35"/>
    <row r="3252" x14ac:dyDescent="0.35"/>
    <row r="3253" x14ac:dyDescent="0.35"/>
    <row r="3254" x14ac:dyDescent="0.35"/>
    <row r="3255" x14ac:dyDescent="0.35"/>
    <row r="3256" x14ac:dyDescent="0.35"/>
    <row r="3257" x14ac:dyDescent="0.35"/>
    <row r="3258" x14ac:dyDescent="0.35"/>
    <row r="3259" x14ac:dyDescent="0.35"/>
    <row r="3260" x14ac:dyDescent="0.35"/>
    <row r="3261" x14ac:dyDescent="0.35"/>
    <row r="3262" x14ac:dyDescent="0.35"/>
    <row r="3263" x14ac:dyDescent="0.35"/>
    <row r="3264" x14ac:dyDescent="0.35"/>
    <row r="3265" x14ac:dyDescent="0.35"/>
    <row r="3266" x14ac:dyDescent="0.35"/>
    <row r="3267" x14ac:dyDescent="0.35"/>
    <row r="3268" x14ac:dyDescent="0.35"/>
    <row r="3269" x14ac:dyDescent="0.35"/>
    <row r="3270" x14ac:dyDescent="0.35"/>
    <row r="3271" x14ac:dyDescent="0.35"/>
    <row r="3272" x14ac:dyDescent="0.35"/>
    <row r="3273" x14ac:dyDescent="0.35"/>
    <row r="3274" x14ac:dyDescent="0.35"/>
    <row r="3275" x14ac:dyDescent="0.35"/>
    <row r="3276" x14ac:dyDescent="0.35"/>
    <row r="3277" x14ac:dyDescent="0.35"/>
    <row r="3278" x14ac:dyDescent="0.35"/>
    <row r="3279" x14ac:dyDescent="0.35"/>
    <row r="3280" x14ac:dyDescent="0.35"/>
    <row r="3281" x14ac:dyDescent="0.35"/>
    <row r="3282" x14ac:dyDescent="0.35"/>
    <row r="3283" x14ac:dyDescent="0.35"/>
    <row r="3284" x14ac:dyDescent="0.35"/>
    <row r="3285" x14ac:dyDescent="0.35"/>
    <row r="3286" x14ac:dyDescent="0.35"/>
    <row r="3287" x14ac:dyDescent="0.35"/>
    <row r="3288" x14ac:dyDescent="0.35"/>
    <row r="3289" x14ac:dyDescent="0.35"/>
    <row r="3290" x14ac:dyDescent="0.35"/>
    <row r="3291" x14ac:dyDescent="0.35"/>
    <row r="3292" x14ac:dyDescent="0.35"/>
    <row r="3293" x14ac:dyDescent="0.35"/>
    <row r="3294" x14ac:dyDescent="0.35"/>
    <row r="3295" x14ac:dyDescent="0.35"/>
    <row r="3296" x14ac:dyDescent="0.35"/>
    <row r="3297" x14ac:dyDescent="0.35"/>
    <row r="3298" x14ac:dyDescent="0.35"/>
    <row r="3299" x14ac:dyDescent="0.35"/>
    <row r="3300" x14ac:dyDescent="0.35"/>
    <row r="3301" x14ac:dyDescent="0.35"/>
    <row r="3302" x14ac:dyDescent="0.35"/>
    <row r="3303" x14ac:dyDescent="0.35"/>
    <row r="3304" x14ac:dyDescent="0.35"/>
    <row r="3305" x14ac:dyDescent="0.35"/>
    <row r="3306" x14ac:dyDescent="0.35"/>
    <row r="3307" x14ac:dyDescent="0.35"/>
    <row r="3308" x14ac:dyDescent="0.35"/>
    <row r="3309" x14ac:dyDescent="0.35"/>
    <row r="3310" x14ac:dyDescent="0.35"/>
    <row r="3311" x14ac:dyDescent="0.35"/>
    <row r="3312" x14ac:dyDescent="0.35"/>
    <row r="3313" x14ac:dyDescent="0.35"/>
    <row r="3314" x14ac:dyDescent="0.35"/>
    <row r="3315" x14ac:dyDescent="0.35"/>
    <row r="3316" x14ac:dyDescent="0.35"/>
    <row r="3317" x14ac:dyDescent="0.35"/>
    <row r="3318" x14ac:dyDescent="0.35"/>
    <row r="3319" x14ac:dyDescent="0.35"/>
    <row r="3320" x14ac:dyDescent="0.35"/>
    <row r="3321" x14ac:dyDescent="0.35"/>
    <row r="3322" x14ac:dyDescent="0.35"/>
    <row r="3323" x14ac:dyDescent="0.35"/>
    <row r="3324" x14ac:dyDescent="0.35"/>
    <row r="3325" x14ac:dyDescent="0.35"/>
    <row r="3326" x14ac:dyDescent="0.35"/>
    <row r="3327" x14ac:dyDescent="0.35"/>
    <row r="3328" x14ac:dyDescent="0.35"/>
    <row r="3329" x14ac:dyDescent="0.35"/>
    <row r="3330" x14ac:dyDescent="0.35"/>
    <row r="3331" x14ac:dyDescent="0.35"/>
    <row r="3332" x14ac:dyDescent="0.35"/>
    <row r="3333" x14ac:dyDescent="0.35"/>
    <row r="3334" x14ac:dyDescent="0.35"/>
    <row r="3335" x14ac:dyDescent="0.35"/>
    <row r="3336" x14ac:dyDescent="0.35"/>
    <row r="3337" x14ac:dyDescent="0.35"/>
    <row r="3338" x14ac:dyDescent="0.35"/>
    <row r="3339" x14ac:dyDescent="0.35"/>
    <row r="3340" x14ac:dyDescent="0.35"/>
    <row r="3341" x14ac:dyDescent="0.35"/>
    <row r="3342" x14ac:dyDescent="0.35"/>
    <row r="3343" x14ac:dyDescent="0.35"/>
    <row r="3344" x14ac:dyDescent="0.35"/>
    <row r="3345" x14ac:dyDescent="0.35"/>
    <row r="3346" x14ac:dyDescent="0.35"/>
    <row r="3347" x14ac:dyDescent="0.35"/>
    <row r="3348" x14ac:dyDescent="0.35"/>
    <row r="3349" x14ac:dyDescent="0.35"/>
    <row r="3350" x14ac:dyDescent="0.35"/>
    <row r="3351" x14ac:dyDescent="0.35"/>
    <row r="3352" x14ac:dyDescent="0.35"/>
    <row r="3353" x14ac:dyDescent="0.35"/>
    <row r="3354" x14ac:dyDescent="0.35"/>
    <row r="3355" x14ac:dyDescent="0.35"/>
    <row r="3356" x14ac:dyDescent="0.35"/>
    <row r="3357" x14ac:dyDescent="0.35"/>
    <row r="3358" x14ac:dyDescent="0.35"/>
    <row r="3359" x14ac:dyDescent="0.35"/>
    <row r="3360" x14ac:dyDescent="0.35"/>
    <row r="3361" x14ac:dyDescent="0.35"/>
    <row r="3362" x14ac:dyDescent="0.35"/>
    <row r="3363" x14ac:dyDescent="0.35"/>
    <row r="3364" x14ac:dyDescent="0.35"/>
    <row r="3365" x14ac:dyDescent="0.35"/>
    <row r="3366" x14ac:dyDescent="0.35"/>
    <row r="3367" x14ac:dyDescent="0.35"/>
    <row r="3368" x14ac:dyDescent="0.35"/>
    <row r="3369" x14ac:dyDescent="0.35"/>
    <row r="3370" x14ac:dyDescent="0.35"/>
    <row r="3371" x14ac:dyDescent="0.35"/>
    <row r="3372" x14ac:dyDescent="0.35"/>
    <row r="3373" x14ac:dyDescent="0.35"/>
    <row r="3374" x14ac:dyDescent="0.35"/>
    <row r="3375" x14ac:dyDescent="0.35"/>
    <row r="3376" x14ac:dyDescent="0.35"/>
    <row r="3377" x14ac:dyDescent="0.35"/>
    <row r="3378" x14ac:dyDescent="0.35"/>
    <row r="3379" x14ac:dyDescent="0.35"/>
    <row r="3380" x14ac:dyDescent="0.35"/>
    <row r="3381" x14ac:dyDescent="0.35"/>
    <row r="3382" x14ac:dyDescent="0.35"/>
    <row r="3383" x14ac:dyDescent="0.35"/>
    <row r="3384" x14ac:dyDescent="0.35"/>
    <row r="3385" x14ac:dyDescent="0.35"/>
    <row r="3386" x14ac:dyDescent="0.35"/>
    <row r="3387" x14ac:dyDescent="0.35"/>
    <row r="3388" x14ac:dyDescent="0.35"/>
    <row r="3389" x14ac:dyDescent="0.35"/>
    <row r="3390" x14ac:dyDescent="0.35"/>
    <row r="3391" x14ac:dyDescent="0.35"/>
    <row r="3392" x14ac:dyDescent="0.35"/>
    <row r="3393" x14ac:dyDescent="0.35"/>
    <row r="3394" x14ac:dyDescent="0.35"/>
    <row r="3395" x14ac:dyDescent="0.35"/>
    <row r="3396" x14ac:dyDescent="0.35"/>
    <row r="3397" x14ac:dyDescent="0.35"/>
    <row r="3398" x14ac:dyDescent="0.35"/>
    <row r="3399" x14ac:dyDescent="0.35"/>
    <row r="3400" x14ac:dyDescent="0.35"/>
    <row r="3401" x14ac:dyDescent="0.35"/>
    <row r="3402" x14ac:dyDescent="0.35"/>
    <row r="3403" x14ac:dyDescent="0.35"/>
    <row r="3404" x14ac:dyDescent="0.35"/>
    <row r="3405" x14ac:dyDescent="0.35"/>
    <row r="3406" x14ac:dyDescent="0.35"/>
    <row r="3407" x14ac:dyDescent="0.35"/>
    <row r="3408" x14ac:dyDescent="0.35"/>
    <row r="3409" x14ac:dyDescent="0.35"/>
    <row r="3410" x14ac:dyDescent="0.35"/>
    <row r="3411" x14ac:dyDescent="0.35"/>
    <row r="3412" x14ac:dyDescent="0.35"/>
    <row r="3413" x14ac:dyDescent="0.35"/>
    <row r="3414" x14ac:dyDescent="0.35"/>
    <row r="3415" x14ac:dyDescent="0.35"/>
    <row r="3416" x14ac:dyDescent="0.35"/>
    <row r="3417" x14ac:dyDescent="0.35"/>
    <row r="3418" x14ac:dyDescent="0.35"/>
    <row r="3419" x14ac:dyDescent="0.35"/>
    <row r="3420" x14ac:dyDescent="0.35"/>
    <row r="3421" x14ac:dyDescent="0.35"/>
    <row r="3422" x14ac:dyDescent="0.35"/>
    <row r="3423" x14ac:dyDescent="0.35"/>
    <row r="3424" x14ac:dyDescent="0.35"/>
    <row r="3425" x14ac:dyDescent="0.35"/>
    <row r="3426" x14ac:dyDescent="0.35"/>
    <row r="3427" x14ac:dyDescent="0.35"/>
    <row r="3428" x14ac:dyDescent="0.35"/>
    <row r="3429" x14ac:dyDescent="0.35"/>
    <row r="3430" x14ac:dyDescent="0.35"/>
    <row r="3431" x14ac:dyDescent="0.35"/>
    <row r="3432" x14ac:dyDescent="0.35"/>
    <row r="3433" x14ac:dyDescent="0.35"/>
    <row r="3434" x14ac:dyDescent="0.35"/>
    <row r="3435" x14ac:dyDescent="0.35"/>
    <row r="3436" x14ac:dyDescent="0.35"/>
    <row r="3437" x14ac:dyDescent="0.35"/>
    <row r="3438" x14ac:dyDescent="0.35"/>
    <row r="3439" x14ac:dyDescent="0.35"/>
    <row r="3440" x14ac:dyDescent="0.35"/>
    <row r="3441" x14ac:dyDescent="0.35"/>
    <row r="3442" x14ac:dyDescent="0.35"/>
    <row r="3443" x14ac:dyDescent="0.35"/>
    <row r="3444" x14ac:dyDescent="0.35"/>
    <row r="3445" x14ac:dyDescent="0.35"/>
    <row r="3446" x14ac:dyDescent="0.35"/>
    <row r="3447" x14ac:dyDescent="0.35"/>
    <row r="3448" x14ac:dyDescent="0.35"/>
    <row r="3449" x14ac:dyDescent="0.35"/>
    <row r="3450" x14ac:dyDescent="0.35"/>
    <row r="3451" x14ac:dyDescent="0.35"/>
    <row r="3452" x14ac:dyDescent="0.35"/>
    <row r="3453" x14ac:dyDescent="0.35"/>
    <row r="3454" x14ac:dyDescent="0.35"/>
    <row r="3455" x14ac:dyDescent="0.35"/>
    <row r="3456" x14ac:dyDescent="0.35"/>
    <row r="3457" x14ac:dyDescent="0.35"/>
    <row r="3458" x14ac:dyDescent="0.35"/>
    <row r="3459" x14ac:dyDescent="0.35"/>
    <row r="3460" x14ac:dyDescent="0.35"/>
    <row r="3461" x14ac:dyDescent="0.35"/>
    <row r="3462" x14ac:dyDescent="0.35"/>
    <row r="3463" x14ac:dyDescent="0.35"/>
    <row r="3464" x14ac:dyDescent="0.35"/>
    <row r="3465" x14ac:dyDescent="0.35"/>
    <row r="3466" x14ac:dyDescent="0.35"/>
    <row r="3467" x14ac:dyDescent="0.35"/>
    <row r="3468" x14ac:dyDescent="0.35"/>
    <row r="3469" x14ac:dyDescent="0.35"/>
    <row r="3470" x14ac:dyDescent="0.35"/>
    <row r="3471" x14ac:dyDescent="0.35"/>
    <row r="3472" x14ac:dyDescent="0.35"/>
    <row r="3473" x14ac:dyDescent="0.35"/>
    <row r="3474" x14ac:dyDescent="0.35"/>
    <row r="3475" x14ac:dyDescent="0.35"/>
    <row r="3476" x14ac:dyDescent="0.35"/>
    <row r="3477" x14ac:dyDescent="0.35"/>
    <row r="3478" x14ac:dyDescent="0.35"/>
    <row r="3479" x14ac:dyDescent="0.35"/>
    <row r="3480" x14ac:dyDescent="0.35"/>
    <row r="3481" x14ac:dyDescent="0.35"/>
    <row r="3482" x14ac:dyDescent="0.35"/>
    <row r="3483" x14ac:dyDescent="0.35"/>
    <row r="3484" x14ac:dyDescent="0.35"/>
    <row r="3485" x14ac:dyDescent="0.35"/>
    <row r="3486" x14ac:dyDescent="0.35"/>
    <row r="3487" x14ac:dyDescent="0.35"/>
    <row r="3488" x14ac:dyDescent="0.35"/>
    <row r="3489" x14ac:dyDescent="0.35"/>
    <row r="3490" x14ac:dyDescent="0.35"/>
    <row r="3491" x14ac:dyDescent="0.35"/>
    <row r="3492" x14ac:dyDescent="0.35"/>
    <row r="3493" x14ac:dyDescent="0.35"/>
    <row r="3494" x14ac:dyDescent="0.35"/>
    <row r="3495" x14ac:dyDescent="0.35"/>
    <row r="3496" x14ac:dyDescent="0.35"/>
    <row r="3497" x14ac:dyDescent="0.35"/>
    <row r="3498" x14ac:dyDescent="0.35"/>
    <row r="3499" x14ac:dyDescent="0.35"/>
    <row r="3500" x14ac:dyDescent="0.35"/>
    <row r="3501" x14ac:dyDescent="0.35"/>
    <row r="3502" x14ac:dyDescent="0.35"/>
    <row r="3503" x14ac:dyDescent="0.35"/>
    <row r="3504" x14ac:dyDescent="0.35"/>
    <row r="3505" x14ac:dyDescent="0.35"/>
    <row r="3506" x14ac:dyDescent="0.35"/>
    <row r="3507" x14ac:dyDescent="0.35"/>
    <row r="3508" x14ac:dyDescent="0.35"/>
    <row r="3509" x14ac:dyDescent="0.35"/>
    <row r="3510" x14ac:dyDescent="0.35"/>
    <row r="3511" x14ac:dyDescent="0.35"/>
    <row r="3512" x14ac:dyDescent="0.35"/>
    <row r="3513" x14ac:dyDescent="0.35"/>
    <row r="3514" x14ac:dyDescent="0.35"/>
    <row r="3515" x14ac:dyDescent="0.35"/>
    <row r="3516" x14ac:dyDescent="0.35"/>
    <row r="3517" x14ac:dyDescent="0.35"/>
    <row r="3518" x14ac:dyDescent="0.35"/>
    <row r="3519" x14ac:dyDescent="0.35"/>
    <row r="3520" x14ac:dyDescent="0.35"/>
    <row r="3521" x14ac:dyDescent="0.35"/>
    <row r="3522" x14ac:dyDescent="0.35"/>
    <row r="3523" x14ac:dyDescent="0.35"/>
    <row r="3524" x14ac:dyDescent="0.35"/>
    <row r="3525" x14ac:dyDescent="0.35"/>
    <row r="3526" x14ac:dyDescent="0.35"/>
    <row r="3527" x14ac:dyDescent="0.35"/>
    <row r="3528" x14ac:dyDescent="0.35"/>
    <row r="3529" x14ac:dyDescent="0.35"/>
    <row r="3530" x14ac:dyDescent="0.35"/>
    <row r="3531" x14ac:dyDescent="0.35"/>
    <row r="3532" x14ac:dyDescent="0.35"/>
    <row r="3533" x14ac:dyDescent="0.35"/>
    <row r="3534" x14ac:dyDescent="0.35"/>
    <row r="3535" x14ac:dyDescent="0.35"/>
    <row r="3536" x14ac:dyDescent="0.35"/>
    <row r="3537" x14ac:dyDescent="0.35"/>
    <row r="3538" x14ac:dyDescent="0.35"/>
    <row r="3539" x14ac:dyDescent="0.35"/>
    <row r="3540" x14ac:dyDescent="0.35"/>
    <row r="3541" x14ac:dyDescent="0.35"/>
    <row r="3542" x14ac:dyDescent="0.35"/>
    <row r="3543" x14ac:dyDescent="0.35"/>
    <row r="3544" x14ac:dyDescent="0.35"/>
    <row r="3545" x14ac:dyDescent="0.35"/>
    <row r="3546" x14ac:dyDescent="0.35"/>
    <row r="3547" x14ac:dyDescent="0.35"/>
    <row r="3548" x14ac:dyDescent="0.35"/>
    <row r="3549" x14ac:dyDescent="0.35"/>
    <row r="3550" x14ac:dyDescent="0.35"/>
    <row r="3551" x14ac:dyDescent="0.35"/>
    <row r="3552" x14ac:dyDescent="0.35"/>
    <row r="3553" x14ac:dyDescent="0.35"/>
    <row r="3554" x14ac:dyDescent="0.35"/>
    <row r="3555" x14ac:dyDescent="0.35"/>
    <row r="3556" x14ac:dyDescent="0.35"/>
    <row r="3557" x14ac:dyDescent="0.35"/>
    <row r="3558" x14ac:dyDescent="0.35"/>
    <row r="3559" x14ac:dyDescent="0.35"/>
    <row r="3560" x14ac:dyDescent="0.35"/>
    <row r="3561" x14ac:dyDescent="0.35"/>
    <row r="3562" x14ac:dyDescent="0.35"/>
    <row r="3563" x14ac:dyDescent="0.35"/>
    <row r="3564" x14ac:dyDescent="0.35"/>
    <row r="3565" x14ac:dyDescent="0.35"/>
    <row r="3566" x14ac:dyDescent="0.35"/>
    <row r="3567" x14ac:dyDescent="0.35"/>
    <row r="3568" x14ac:dyDescent="0.35"/>
    <row r="3569" x14ac:dyDescent="0.35"/>
    <row r="3570" x14ac:dyDescent="0.35"/>
    <row r="3571" x14ac:dyDescent="0.35"/>
    <row r="3572" x14ac:dyDescent="0.35"/>
    <row r="3573" x14ac:dyDescent="0.35"/>
    <row r="3574" x14ac:dyDescent="0.35"/>
    <row r="3575" x14ac:dyDescent="0.35"/>
    <row r="3576" x14ac:dyDescent="0.35"/>
    <row r="3577" x14ac:dyDescent="0.35"/>
    <row r="3578" x14ac:dyDescent="0.35"/>
    <row r="3579" x14ac:dyDescent="0.35"/>
    <row r="3580" x14ac:dyDescent="0.35"/>
    <row r="3581" x14ac:dyDescent="0.35"/>
    <row r="3582" x14ac:dyDescent="0.35"/>
    <row r="3583" x14ac:dyDescent="0.35"/>
    <row r="3584" x14ac:dyDescent="0.35"/>
    <row r="3585" x14ac:dyDescent="0.35"/>
    <row r="3586" x14ac:dyDescent="0.35"/>
    <row r="3587" x14ac:dyDescent="0.35"/>
    <row r="3588" x14ac:dyDescent="0.35"/>
    <row r="3589" x14ac:dyDescent="0.35"/>
    <row r="3590" x14ac:dyDescent="0.35"/>
    <row r="3591" x14ac:dyDescent="0.35"/>
    <row r="3592" x14ac:dyDescent="0.35"/>
    <row r="3593" x14ac:dyDescent="0.35"/>
    <row r="3594" x14ac:dyDescent="0.35"/>
    <row r="3595" x14ac:dyDescent="0.35"/>
    <row r="3596" x14ac:dyDescent="0.35"/>
    <row r="3597" x14ac:dyDescent="0.35"/>
    <row r="3598" x14ac:dyDescent="0.35"/>
    <row r="3599" x14ac:dyDescent="0.35"/>
    <row r="3600" x14ac:dyDescent="0.35"/>
    <row r="3601" x14ac:dyDescent="0.35"/>
    <row r="3602" x14ac:dyDescent="0.35"/>
    <row r="3603" x14ac:dyDescent="0.35"/>
    <row r="3604" x14ac:dyDescent="0.35"/>
    <row r="3605" x14ac:dyDescent="0.35"/>
    <row r="3606" x14ac:dyDescent="0.35"/>
    <row r="3607" x14ac:dyDescent="0.35"/>
    <row r="3608" x14ac:dyDescent="0.35"/>
    <row r="3609" x14ac:dyDescent="0.35"/>
    <row r="3610" x14ac:dyDescent="0.35"/>
    <row r="3611" x14ac:dyDescent="0.35"/>
    <row r="3612" x14ac:dyDescent="0.35"/>
    <row r="3613" x14ac:dyDescent="0.35"/>
    <row r="3614" x14ac:dyDescent="0.35"/>
    <row r="3615" x14ac:dyDescent="0.35"/>
    <row r="3616" x14ac:dyDescent="0.35"/>
    <row r="3617" x14ac:dyDescent="0.35"/>
    <row r="3618" x14ac:dyDescent="0.35"/>
    <row r="3619" x14ac:dyDescent="0.35"/>
    <row r="3620" x14ac:dyDescent="0.35"/>
    <row r="3621" x14ac:dyDescent="0.35"/>
    <row r="3622" x14ac:dyDescent="0.35"/>
    <row r="3623" x14ac:dyDescent="0.35"/>
    <row r="3624" x14ac:dyDescent="0.35"/>
    <row r="3625" x14ac:dyDescent="0.35"/>
    <row r="3626" x14ac:dyDescent="0.35"/>
    <row r="3627" x14ac:dyDescent="0.35"/>
    <row r="3628" x14ac:dyDescent="0.35"/>
    <row r="3629" x14ac:dyDescent="0.35"/>
    <row r="3630" x14ac:dyDescent="0.35"/>
    <row r="3631" x14ac:dyDescent="0.35"/>
    <row r="3632" x14ac:dyDescent="0.35"/>
    <row r="3633" x14ac:dyDescent="0.35"/>
    <row r="3634" x14ac:dyDescent="0.35"/>
    <row r="3635" x14ac:dyDescent="0.35"/>
    <row r="3636" x14ac:dyDescent="0.35"/>
    <row r="3637" x14ac:dyDescent="0.35"/>
    <row r="3638" x14ac:dyDescent="0.35"/>
    <row r="3639" x14ac:dyDescent="0.35"/>
    <row r="3640" x14ac:dyDescent="0.35"/>
    <row r="3641" x14ac:dyDescent="0.35"/>
    <row r="3642" x14ac:dyDescent="0.35"/>
    <row r="3643" x14ac:dyDescent="0.35"/>
    <row r="3644" x14ac:dyDescent="0.35"/>
    <row r="3645" x14ac:dyDescent="0.35"/>
    <row r="3646" x14ac:dyDescent="0.35"/>
    <row r="3647" x14ac:dyDescent="0.35"/>
    <row r="3648" x14ac:dyDescent="0.35"/>
    <row r="3649" x14ac:dyDescent="0.35"/>
    <row r="3650" x14ac:dyDescent="0.35"/>
    <row r="3651" x14ac:dyDescent="0.35"/>
    <row r="3652" x14ac:dyDescent="0.35"/>
    <row r="3653" x14ac:dyDescent="0.35"/>
    <row r="3654" x14ac:dyDescent="0.35"/>
    <row r="3655" x14ac:dyDescent="0.35"/>
    <row r="3656" x14ac:dyDescent="0.35"/>
    <row r="3657" x14ac:dyDescent="0.35"/>
    <row r="3658" x14ac:dyDescent="0.35"/>
    <row r="3659" x14ac:dyDescent="0.35"/>
    <row r="3660" x14ac:dyDescent="0.35"/>
    <row r="3661" x14ac:dyDescent="0.35"/>
    <row r="3662" x14ac:dyDescent="0.35"/>
    <row r="3663" x14ac:dyDescent="0.35"/>
    <row r="3664" x14ac:dyDescent="0.35"/>
    <row r="3665" x14ac:dyDescent="0.35"/>
    <row r="3666" x14ac:dyDescent="0.35"/>
    <row r="3667" x14ac:dyDescent="0.35"/>
    <row r="3668" x14ac:dyDescent="0.35"/>
    <row r="3669" x14ac:dyDescent="0.35"/>
    <row r="3670" x14ac:dyDescent="0.35"/>
    <row r="3671" x14ac:dyDescent="0.35"/>
    <row r="3672" x14ac:dyDescent="0.35"/>
    <row r="3673" x14ac:dyDescent="0.35"/>
    <row r="3674" x14ac:dyDescent="0.35"/>
    <row r="3675" x14ac:dyDescent="0.35"/>
    <row r="3676" x14ac:dyDescent="0.35"/>
    <row r="3677" x14ac:dyDescent="0.35"/>
    <row r="3678" x14ac:dyDescent="0.35"/>
    <row r="3679" x14ac:dyDescent="0.35"/>
    <row r="3680" x14ac:dyDescent="0.35"/>
    <row r="3681" x14ac:dyDescent="0.35"/>
    <row r="3682" x14ac:dyDescent="0.35"/>
    <row r="3683" x14ac:dyDescent="0.35"/>
    <row r="3684" x14ac:dyDescent="0.35"/>
    <row r="3685" x14ac:dyDescent="0.35"/>
    <row r="3686" x14ac:dyDescent="0.35"/>
    <row r="3687" x14ac:dyDescent="0.35"/>
    <row r="3688" x14ac:dyDescent="0.35"/>
    <row r="3689" x14ac:dyDescent="0.35"/>
    <row r="3690" x14ac:dyDescent="0.35"/>
    <row r="3691" x14ac:dyDescent="0.35"/>
    <row r="3692" x14ac:dyDescent="0.35"/>
    <row r="3693" x14ac:dyDescent="0.35"/>
    <row r="3694" x14ac:dyDescent="0.35"/>
    <row r="3695" x14ac:dyDescent="0.35"/>
    <row r="3696" x14ac:dyDescent="0.35"/>
    <row r="3697" x14ac:dyDescent="0.35"/>
    <row r="3698" x14ac:dyDescent="0.35"/>
    <row r="3699" x14ac:dyDescent="0.35"/>
    <row r="3700" x14ac:dyDescent="0.35"/>
    <row r="3701" x14ac:dyDescent="0.35"/>
    <row r="3702" x14ac:dyDescent="0.35"/>
    <row r="3703" x14ac:dyDescent="0.35"/>
    <row r="3704" x14ac:dyDescent="0.35"/>
    <row r="3705" x14ac:dyDescent="0.35"/>
    <row r="3706" x14ac:dyDescent="0.35"/>
    <row r="3707" x14ac:dyDescent="0.35"/>
    <row r="3708" x14ac:dyDescent="0.35"/>
    <row r="3709" x14ac:dyDescent="0.35"/>
    <row r="3710" x14ac:dyDescent="0.35"/>
    <row r="3711" x14ac:dyDescent="0.35"/>
    <row r="3712" x14ac:dyDescent="0.35"/>
    <row r="3713" x14ac:dyDescent="0.35"/>
    <row r="3714" x14ac:dyDescent="0.35"/>
    <row r="3715" x14ac:dyDescent="0.35"/>
    <row r="3716" x14ac:dyDescent="0.35"/>
    <row r="3717" x14ac:dyDescent="0.35"/>
    <row r="3718" x14ac:dyDescent="0.35"/>
    <row r="3719" x14ac:dyDescent="0.35"/>
    <row r="3720" x14ac:dyDescent="0.35"/>
    <row r="3721" x14ac:dyDescent="0.35"/>
    <row r="3722" x14ac:dyDescent="0.35"/>
    <row r="3723" x14ac:dyDescent="0.35"/>
    <row r="3724" x14ac:dyDescent="0.35"/>
    <row r="3725" x14ac:dyDescent="0.35"/>
    <row r="3726" x14ac:dyDescent="0.35"/>
    <row r="3727" x14ac:dyDescent="0.35"/>
    <row r="3728" x14ac:dyDescent="0.35"/>
    <row r="3729" x14ac:dyDescent="0.35"/>
    <row r="3730" x14ac:dyDescent="0.35"/>
    <row r="3731" x14ac:dyDescent="0.35"/>
    <row r="3732" x14ac:dyDescent="0.35"/>
    <row r="3733" x14ac:dyDescent="0.35"/>
    <row r="3734" x14ac:dyDescent="0.35"/>
    <row r="3735" x14ac:dyDescent="0.35"/>
    <row r="3736" x14ac:dyDescent="0.35"/>
    <row r="3737" x14ac:dyDescent="0.35"/>
    <row r="3738" x14ac:dyDescent="0.35"/>
    <row r="3739" x14ac:dyDescent="0.35"/>
    <row r="3740" x14ac:dyDescent="0.35"/>
    <row r="3741" x14ac:dyDescent="0.35"/>
    <row r="3742" x14ac:dyDescent="0.35"/>
    <row r="3743" x14ac:dyDescent="0.35"/>
    <row r="3744" x14ac:dyDescent="0.35"/>
    <row r="3745" x14ac:dyDescent="0.35"/>
    <row r="3746" x14ac:dyDescent="0.35"/>
    <row r="3747" x14ac:dyDescent="0.35"/>
    <row r="3748" x14ac:dyDescent="0.35"/>
    <row r="3749" x14ac:dyDescent="0.35"/>
    <row r="3750" x14ac:dyDescent="0.35"/>
    <row r="3751" x14ac:dyDescent="0.35"/>
    <row r="3752" x14ac:dyDescent="0.35"/>
    <row r="3753" x14ac:dyDescent="0.35"/>
    <row r="3754" x14ac:dyDescent="0.35"/>
    <row r="3755" x14ac:dyDescent="0.35"/>
    <row r="3756" x14ac:dyDescent="0.35"/>
    <row r="3757" x14ac:dyDescent="0.35"/>
    <row r="3758" x14ac:dyDescent="0.35"/>
    <row r="3759" x14ac:dyDescent="0.35"/>
    <row r="3760" x14ac:dyDescent="0.35"/>
    <row r="3761" x14ac:dyDescent="0.35"/>
    <row r="3762" x14ac:dyDescent="0.35"/>
    <row r="3763" x14ac:dyDescent="0.35"/>
    <row r="3764" x14ac:dyDescent="0.35"/>
    <row r="3765" x14ac:dyDescent="0.35"/>
    <row r="3766" x14ac:dyDescent="0.35"/>
    <row r="3767" x14ac:dyDescent="0.35"/>
    <row r="3768" x14ac:dyDescent="0.35"/>
    <row r="3769" x14ac:dyDescent="0.35"/>
    <row r="3770" x14ac:dyDescent="0.35"/>
    <row r="3771" x14ac:dyDescent="0.35"/>
    <row r="3772" x14ac:dyDescent="0.35"/>
    <row r="3773" x14ac:dyDescent="0.35"/>
    <row r="3774" x14ac:dyDescent="0.35"/>
    <row r="3775" x14ac:dyDescent="0.35"/>
    <row r="3776" x14ac:dyDescent="0.35"/>
    <row r="3777" x14ac:dyDescent="0.35"/>
    <row r="3778" x14ac:dyDescent="0.35"/>
    <row r="3779" x14ac:dyDescent="0.35"/>
    <row r="3780" x14ac:dyDescent="0.35"/>
    <row r="3781" x14ac:dyDescent="0.35"/>
    <row r="3782" x14ac:dyDescent="0.35"/>
    <row r="3783" x14ac:dyDescent="0.35"/>
    <row r="3784" x14ac:dyDescent="0.35"/>
    <row r="3785" x14ac:dyDescent="0.35"/>
    <row r="3786" x14ac:dyDescent="0.35"/>
    <row r="3787" x14ac:dyDescent="0.35"/>
    <row r="3788" x14ac:dyDescent="0.35"/>
    <row r="3789" x14ac:dyDescent="0.35"/>
    <row r="3790" x14ac:dyDescent="0.35"/>
    <row r="3791" x14ac:dyDescent="0.35"/>
    <row r="3792" x14ac:dyDescent="0.35"/>
    <row r="3793" x14ac:dyDescent="0.35"/>
    <row r="3794" x14ac:dyDescent="0.35"/>
    <row r="3795" x14ac:dyDescent="0.35"/>
    <row r="3796" x14ac:dyDescent="0.35"/>
    <row r="3797" x14ac:dyDescent="0.35"/>
    <row r="3798" x14ac:dyDescent="0.35"/>
    <row r="3799" x14ac:dyDescent="0.35"/>
    <row r="3800" x14ac:dyDescent="0.35"/>
    <row r="3801" x14ac:dyDescent="0.35"/>
    <row r="3802" x14ac:dyDescent="0.35"/>
    <row r="3803" x14ac:dyDescent="0.35"/>
    <row r="3804" x14ac:dyDescent="0.35"/>
    <row r="3805" x14ac:dyDescent="0.35"/>
    <row r="3806" x14ac:dyDescent="0.35"/>
    <row r="3807" x14ac:dyDescent="0.35"/>
    <row r="3808" x14ac:dyDescent="0.35"/>
    <row r="3809" x14ac:dyDescent="0.35"/>
    <row r="3810" x14ac:dyDescent="0.35"/>
    <row r="3811" x14ac:dyDescent="0.35"/>
    <row r="3812" x14ac:dyDescent="0.35"/>
    <row r="3813" x14ac:dyDescent="0.35"/>
    <row r="3814" x14ac:dyDescent="0.35"/>
    <row r="3815" x14ac:dyDescent="0.35"/>
    <row r="3816" x14ac:dyDescent="0.35"/>
    <row r="3817" x14ac:dyDescent="0.35"/>
    <row r="3818" x14ac:dyDescent="0.35"/>
    <row r="3819" x14ac:dyDescent="0.35"/>
    <row r="3820" x14ac:dyDescent="0.35"/>
    <row r="3821" x14ac:dyDescent="0.35"/>
    <row r="3822" x14ac:dyDescent="0.35"/>
    <row r="3823" x14ac:dyDescent="0.35"/>
    <row r="3824" x14ac:dyDescent="0.35"/>
    <row r="3825" x14ac:dyDescent="0.35"/>
    <row r="3826" x14ac:dyDescent="0.35"/>
    <row r="3827" x14ac:dyDescent="0.35"/>
    <row r="3828" x14ac:dyDescent="0.35"/>
    <row r="3829" x14ac:dyDescent="0.35"/>
    <row r="3830" x14ac:dyDescent="0.35"/>
    <row r="3831" x14ac:dyDescent="0.35"/>
    <row r="3832" x14ac:dyDescent="0.35"/>
    <row r="3833" x14ac:dyDescent="0.35"/>
    <row r="3834" x14ac:dyDescent="0.35"/>
    <row r="3835" x14ac:dyDescent="0.35"/>
    <row r="3836" x14ac:dyDescent="0.35"/>
    <row r="3837" x14ac:dyDescent="0.35"/>
    <row r="3838" x14ac:dyDescent="0.35"/>
    <row r="3839" x14ac:dyDescent="0.35"/>
    <row r="3840" x14ac:dyDescent="0.35"/>
    <row r="3841" x14ac:dyDescent="0.35"/>
    <row r="3842" x14ac:dyDescent="0.35"/>
    <row r="3843" x14ac:dyDescent="0.35"/>
    <row r="3844" x14ac:dyDescent="0.35"/>
    <row r="3845" x14ac:dyDescent="0.35"/>
    <row r="3846" x14ac:dyDescent="0.35"/>
    <row r="3847" x14ac:dyDescent="0.35"/>
    <row r="3848" x14ac:dyDescent="0.35"/>
    <row r="3849" x14ac:dyDescent="0.35"/>
    <row r="3850" x14ac:dyDescent="0.35"/>
    <row r="3851" x14ac:dyDescent="0.35"/>
    <row r="3852" x14ac:dyDescent="0.35"/>
    <row r="3853" x14ac:dyDescent="0.35"/>
    <row r="3854" x14ac:dyDescent="0.35"/>
    <row r="3855" x14ac:dyDescent="0.35"/>
    <row r="3856" x14ac:dyDescent="0.35"/>
    <row r="3857" x14ac:dyDescent="0.35"/>
    <row r="3858" x14ac:dyDescent="0.35"/>
    <row r="3859" x14ac:dyDescent="0.35"/>
    <row r="3860" x14ac:dyDescent="0.35"/>
    <row r="3861" x14ac:dyDescent="0.35"/>
    <row r="3862" x14ac:dyDescent="0.35"/>
    <row r="3863" x14ac:dyDescent="0.35"/>
    <row r="3864" x14ac:dyDescent="0.35"/>
    <row r="3865" x14ac:dyDescent="0.35"/>
    <row r="3866" x14ac:dyDescent="0.35"/>
    <row r="3867" x14ac:dyDescent="0.35"/>
    <row r="3868" x14ac:dyDescent="0.35"/>
    <row r="3869" x14ac:dyDescent="0.35"/>
    <row r="3870" x14ac:dyDescent="0.35"/>
    <row r="3871" x14ac:dyDescent="0.35"/>
    <row r="3872" x14ac:dyDescent="0.35"/>
    <row r="3873" x14ac:dyDescent="0.35"/>
    <row r="3874" x14ac:dyDescent="0.35"/>
    <row r="3875" x14ac:dyDescent="0.35"/>
    <row r="3876" x14ac:dyDescent="0.35"/>
    <row r="3877" x14ac:dyDescent="0.35"/>
    <row r="3878" x14ac:dyDescent="0.35"/>
    <row r="3879" x14ac:dyDescent="0.35"/>
    <row r="3880" x14ac:dyDescent="0.35"/>
    <row r="3881" x14ac:dyDescent="0.35"/>
    <row r="3882" x14ac:dyDescent="0.35"/>
    <row r="3883" x14ac:dyDescent="0.35"/>
    <row r="3884" x14ac:dyDescent="0.35"/>
    <row r="3885" x14ac:dyDescent="0.35"/>
    <row r="3886" x14ac:dyDescent="0.35"/>
    <row r="3887" x14ac:dyDescent="0.35"/>
    <row r="3888" x14ac:dyDescent="0.35"/>
    <row r="3889" x14ac:dyDescent="0.35"/>
    <row r="3890" x14ac:dyDescent="0.35"/>
    <row r="3891" x14ac:dyDescent="0.35"/>
    <row r="3892" x14ac:dyDescent="0.35"/>
    <row r="3893" x14ac:dyDescent="0.35"/>
    <row r="3894" x14ac:dyDescent="0.35"/>
    <row r="3895" x14ac:dyDescent="0.35"/>
    <row r="3896" x14ac:dyDescent="0.35"/>
    <row r="3897" x14ac:dyDescent="0.35"/>
    <row r="3898" x14ac:dyDescent="0.35"/>
    <row r="3899" x14ac:dyDescent="0.35"/>
    <row r="3900" x14ac:dyDescent="0.35"/>
    <row r="3901" x14ac:dyDescent="0.35"/>
    <row r="3902" x14ac:dyDescent="0.35"/>
    <row r="3903" x14ac:dyDescent="0.35"/>
    <row r="3904" x14ac:dyDescent="0.35"/>
    <row r="3905" x14ac:dyDescent="0.35"/>
    <row r="3906" x14ac:dyDescent="0.35"/>
    <row r="3907" x14ac:dyDescent="0.35"/>
    <row r="3908" x14ac:dyDescent="0.35"/>
    <row r="3909" x14ac:dyDescent="0.35"/>
    <row r="3910" x14ac:dyDescent="0.35"/>
    <row r="3911" x14ac:dyDescent="0.35"/>
    <row r="3912" x14ac:dyDescent="0.35"/>
    <row r="3913" x14ac:dyDescent="0.35"/>
    <row r="3914" x14ac:dyDescent="0.35"/>
    <row r="3915" x14ac:dyDescent="0.35"/>
    <row r="3916" x14ac:dyDescent="0.35"/>
    <row r="3917" x14ac:dyDescent="0.35"/>
    <row r="3918" x14ac:dyDescent="0.35"/>
    <row r="3919" x14ac:dyDescent="0.35"/>
    <row r="3920" x14ac:dyDescent="0.35"/>
    <row r="3921" x14ac:dyDescent="0.35"/>
    <row r="3922" x14ac:dyDescent="0.35"/>
    <row r="3923" x14ac:dyDescent="0.35"/>
    <row r="3924" x14ac:dyDescent="0.35"/>
    <row r="3925" x14ac:dyDescent="0.35"/>
    <row r="3926" x14ac:dyDescent="0.35"/>
    <row r="3927" x14ac:dyDescent="0.35"/>
    <row r="3928" x14ac:dyDescent="0.35"/>
    <row r="3929" x14ac:dyDescent="0.35"/>
    <row r="3930" x14ac:dyDescent="0.35"/>
    <row r="3931" x14ac:dyDescent="0.35"/>
    <row r="3932" x14ac:dyDescent="0.35"/>
    <row r="3933" x14ac:dyDescent="0.35"/>
    <row r="3934" x14ac:dyDescent="0.35"/>
    <row r="3935" x14ac:dyDescent="0.35"/>
    <row r="3936" x14ac:dyDescent="0.35"/>
    <row r="3937" x14ac:dyDescent="0.35"/>
    <row r="3938" x14ac:dyDescent="0.35"/>
    <row r="3939" x14ac:dyDescent="0.35"/>
    <row r="3940" x14ac:dyDescent="0.35"/>
    <row r="3941" x14ac:dyDescent="0.35"/>
    <row r="3942" x14ac:dyDescent="0.35"/>
    <row r="3943" x14ac:dyDescent="0.35"/>
    <row r="3944" x14ac:dyDescent="0.35"/>
    <row r="3945" x14ac:dyDescent="0.35"/>
    <row r="3946" x14ac:dyDescent="0.35"/>
    <row r="3947" x14ac:dyDescent="0.35"/>
    <row r="3948" x14ac:dyDescent="0.35"/>
    <row r="3949" x14ac:dyDescent="0.35"/>
    <row r="3950" x14ac:dyDescent="0.35"/>
    <row r="3951" x14ac:dyDescent="0.35"/>
    <row r="3952" x14ac:dyDescent="0.35"/>
    <row r="3953" x14ac:dyDescent="0.35"/>
    <row r="3954" x14ac:dyDescent="0.35"/>
    <row r="3955" x14ac:dyDescent="0.35"/>
    <row r="3956" x14ac:dyDescent="0.35"/>
    <row r="3957" x14ac:dyDescent="0.35"/>
    <row r="3958" x14ac:dyDescent="0.35"/>
    <row r="3959" x14ac:dyDescent="0.35"/>
    <row r="3960" x14ac:dyDescent="0.35"/>
    <row r="3961" x14ac:dyDescent="0.35"/>
    <row r="3962" x14ac:dyDescent="0.35"/>
    <row r="3963" x14ac:dyDescent="0.35"/>
    <row r="3964" x14ac:dyDescent="0.35"/>
    <row r="3965" x14ac:dyDescent="0.35"/>
    <row r="3966" x14ac:dyDescent="0.35"/>
    <row r="3967" x14ac:dyDescent="0.35"/>
    <row r="3968" x14ac:dyDescent="0.35"/>
    <row r="3969" x14ac:dyDescent="0.35"/>
    <row r="3970" x14ac:dyDescent="0.35"/>
    <row r="3971" x14ac:dyDescent="0.35"/>
    <row r="3972" x14ac:dyDescent="0.35"/>
    <row r="3973" x14ac:dyDescent="0.35"/>
    <row r="3974" x14ac:dyDescent="0.35"/>
    <row r="3975" x14ac:dyDescent="0.35"/>
    <row r="3976" x14ac:dyDescent="0.35"/>
    <row r="3977" x14ac:dyDescent="0.35"/>
    <row r="3978" x14ac:dyDescent="0.35"/>
    <row r="3979" x14ac:dyDescent="0.35"/>
    <row r="3980" x14ac:dyDescent="0.35"/>
    <row r="3981" x14ac:dyDescent="0.35"/>
    <row r="3982" x14ac:dyDescent="0.35"/>
    <row r="3983" x14ac:dyDescent="0.35"/>
    <row r="3984" x14ac:dyDescent="0.35"/>
    <row r="3985" x14ac:dyDescent="0.35"/>
    <row r="3986" x14ac:dyDescent="0.35"/>
    <row r="3987" x14ac:dyDescent="0.35"/>
    <row r="3988" x14ac:dyDescent="0.35"/>
    <row r="3989" x14ac:dyDescent="0.35"/>
    <row r="3990" x14ac:dyDescent="0.35"/>
    <row r="3991" x14ac:dyDescent="0.35"/>
    <row r="3992" x14ac:dyDescent="0.35"/>
    <row r="3993" x14ac:dyDescent="0.35"/>
    <row r="3994" x14ac:dyDescent="0.35"/>
    <row r="3995" x14ac:dyDescent="0.35"/>
    <row r="3996" x14ac:dyDescent="0.35"/>
    <row r="3997" x14ac:dyDescent="0.35"/>
    <row r="3998" x14ac:dyDescent="0.35"/>
    <row r="3999" x14ac:dyDescent="0.35"/>
    <row r="4000" x14ac:dyDescent="0.35"/>
    <row r="4001" x14ac:dyDescent="0.35"/>
    <row r="4002" x14ac:dyDescent="0.35"/>
    <row r="4003" x14ac:dyDescent="0.35"/>
    <row r="4004" x14ac:dyDescent="0.35"/>
    <row r="4005" x14ac:dyDescent="0.35"/>
    <row r="4006" x14ac:dyDescent="0.35"/>
    <row r="4007" x14ac:dyDescent="0.35"/>
    <row r="4008" x14ac:dyDescent="0.35"/>
    <row r="4009" x14ac:dyDescent="0.35"/>
    <row r="4010" x14ac:dyDescent="0.35"/>
    <row r="4011" x14ac:dyDescent="0.35"/>
    <row r="4012" x14ac:dyDescent="0.35"/>
    <row r="4013" x14ac:dyDescent="0.35"/>
    <row r="4014" x14ac:dyDescent="0.35"/>
    <row r="4015" x14ac:dyDescent="0.35"/>
    <row r="4016" x14ac:dyDescent="0.35"/>
    <row r="4017" x14ac:dyDescent="0.35"/>
    <row r="4018" x14ac:dyDescent="0.35"/>
    <row r="4019" x14ac:dyDescent="0.35"/>
    <row r="4020" x14ac:dyDescent="0.35"/>
    <row r="4021" x14ac:dyDescent="0.35"/>
    <row r="4022" x14ac:dyDescent="0.35"/>
    <row r="4023" x14ac:dyDescent="0.35"/>
    <row r="4024" x14ac:dyDescent="0.35"/>
    <row r="4025" x14ac:dyDescent="0.35"/>
    <row r="4026" x14ac:dyDescent="0.35"/>
    <row r="4027" x14ac:dyDescent="0.35"/>
    <row r="4028" x14ac:dyDescent="0.35"/>
    <row r="4029" x14ac:dyDescent="0.35"/>
    <row r="4030" x14ac:dyDescent="0.35"/>
    <row r="4031" x14ac:dyDescent="0.35"/>
    <row r="4032" x14ac:dyDescent="0.35"/>
    <row r="4033" x14ac:dyDescent="0.35"/>
    <row r="4034" x14ac:dyDescent="0.35"/>
    <row r="4035" x14ac:dyDescent="0.35"/>
    <row r="4036" x14ac:dyDescent="0.35"/>
    <row r="4037" x14ac:dyDescent="0.35"/>
    <row r="4038" x14ac:dyDescent="0.35"/>
    <row r="4039" x14ac:dyDescent="0.35"/>
    <row r="4040" x14ac:dyDescent="0.35"/>
    <row r="4041" x14ac:dyDescent="0.35"/>
    <row r="4042" x14ac:dyDescent="0.35"/>
    <row r="4043" x14ac:dyDescent="0.35"/>
    <row r="4044" x14ac:dyDescent="0.35"/>
    <row r="4045" x14ac:dyDescent="0.35"/>
    <row r="4046" x14ac:dyDescent="0.35"/>
    <row r="4047" x14ac:dyDescent="0.35"/>
    <row r="4048" x14ac:dyDescent="0.35"/>
    <row r="4049" x14ac:dyDescent="0.35"/>
    <row r="4050" x14ac:dyDescent="0.35"/>
    <row r="4051" x14ac:dyDescent="0.35"/>
    <row r="4052" x14ac:dyDescent="0.35"/>
    <row r="4053" x14ac:dyDescent="0.35"/>
    <row r="4054" x14ac:dyDescent="0.35"/>
    <row r="4055" x14ac:dyDescent="0.35"/>
    <row r="4056" x14ac:dyDescent="0.35"/>
    <row r="4057" x14ac:dyDescent="0.35"/>
    <row r="4058" x14ac:dyDescent="0.35"/>
    <row r="4059" x14ac:dyDescent="0.35"/>
    <row r="4060" x14ac:dyDescent="0.35"/>
    <row r="4061" x14ac:dyDescent="0.35"/>
    <row r="4062" x14ac:dyDescent="0.35"/>
    <row r="4063" x14ac:dyDescent="0.35"/>
    <row r="4064" x14ac:dyDescent="0.35"/>
    <row r="4065" x14ac:dyDescent="0.35"/>
    <row r="4066" x14ac:dyDescent="0.35"/>
    <row r="4067" x14ac:dyDescent="0.35"/>
    <row r="4068" x14ac:dyDescent="0.35"/>
    <row r="4069" x14ac:dyDescent="0.35"/>
    <row r="4070" x14ac:dyDescent="0.35"/>
    <row r="4071" x14ac:dyDescent="0.35"/>
    <row r="4072" x14ac:dyDescent="0.35"/>
    <row r="4073" x14ac:dyDescent="0.35"/>
    <row r="4074" x14ac:dyDescent="0.35"/>
    <row r="4075" x14ac:dyDescent="0.35"/>
    <row r="4076" x14ac:dyDescent="0.35"/>
    <row r="4077" x14ac:dyDescent="0.35"/>
    <row r="4078" x14ac:dyDescent="0.35"/>
    <row r="4079" x14ac:dyDescent="0.35"/>
    <row r="4080" x14ac:dyDescent="0.35"/>
    <row r="4081" x14ac:dyDescent="0.35"/>
    <row r="4082" x14ac:dyDescent="0.35"/>
    <row r="4083" x14ac:dyDescent="0.35"/>
    <row r="4084" x14ac:dyDescent="0.35"/>
    <row r="4085" x14ac:dyDescent="0.35"/>
    <row r="4086" x14ac:dyDescent="0.35"/>
    <row r="4087" x14ac:dyDescent="0.35"/>
    <row r="4088" x14ac:dyDescent="0.35"/>
    <row r="4089" x14ac:dyDescent="0.35"/>
    <row r="4090" x14ac:dyDescent="0.35"/>
    <row r="4091" x14ac:dyDescent="0.35"/>
    <row r="4092" x14ac:dyDescent="0.35"/>
    <row r="4093" x14ac:dyDescent="0.35"/>
    <row r="4094" x14ac:dyDescent="0.35"/>
    <row r="4095" x14ac:dyDescent="0.35"/>
    <row r="4096" x14ac:dyDescent="0.35"/>
    <row r="4097" x14ac:dyDescent="0.35"/>
    <row r="4098" x14ac:dyDescent="0.35"/>
    <row r="4099" x14ac:dyDescent="0.35"/>
    <row r="4100" x14ac:dyDescent="0.35"/>
    <row r="4101" x14ac:dyDescent="0.35"/>
    <row r="4102" x14ac:dyDescent="0.35"/>
    <row r="4103" x14ac:dyDescent="0.35"/>
    <row r="4104" x14ac:dyDescent="0.35"/>
    <row r="4105" x14ac:dyDescent="0.35"/>
    <row r="4106" x14ac:dyDescent="0.35"/>
    <row r="4107" x14ac:dyDescent="0.35"/>
    <row r="4108" x14ac:dyDescent="0.35"/>
    <row r="4109" x14ac:dyDescent="0.35"/>
    <row r="4110" x14ac:dyDescent="0.35"/>
    <row r="4111" x14ac:dyDescent="0.35"/>
    <row r="4112" x14ac:dyDescent="0.35"/>
    <row r="4113" x14ac:dyDescent="0.35"/>
    <row r="4114" x14ac:dyDescent="0.35"/>
    <row r="4115" x14ac:dyDescent="0.35"/>
    <row r="4116" x14ac:dyDescent="0.35"/>
    <row r="4117" x14ac:dyDescent="0.35"/>
    <row r="4118" x14ac:dyDescent="0.35"/>
    <row r="4119" x14ac:dyDescent="0.35"/>
    <row r="4120" x14ac:dyDescent="0.35"/>
    <row r="4121" x14ac:dyDescent="0.35"/>
    <row r="4122" x14ac:dyDescent="0.35"/>
    <row r="4123" x14ac:dyDescent="0.35"/>
    <row r="4124" x14ac:dyDescent="0.35"/>
    <row r="4125" x14ac:dyDescent="0.35"/>
    <row r="4126" x14ac:dyDescent="0.35"/>
    <row r="4127" x14ac:dyDescent="0.35"/>
    <row r="4128" x14ac:dyDescent="0.35"/>
    <row r="4129" x14ac:dyDescent="0.35"/>
    <row r="4130" x14ac:dyDescent="0.35"/>
    <row r="4131" x14ac:dyDescent="0.35"/>
    <row r="4132" x14ac:dyDescent="0.35"/>
    <row r="4133" x14ac:dyDescent="0.35"/>
    <row r="4134" x14ac:dyDescent="0.35"/>
    <row r="4135" x14ac:dyDescent="0.35"/>
    <row r="4136" x14ac:dyDescent="0.35"/>
    <row r="4137" x14ac:dyDescent="0.35"/>
    <row r="4138" x14ac:dyDescent="0.35"/>
    <row r="4139" x14ac:dyDescent="0.35"/>
    <row r="4140" x14ac:dyDescent="0.35"/>
    <row r="4141" x14ac:dyDescent="0.35"/>
    <row r="4142" x14ac:dyDescent="0.35"/>
    <row r="4143" x14ac:dyDescent="0.35"/>
    <row r="4144" x14ac:dyDescent="0.35"/>
    <row r="4145" x14ac:dyDescent="0.35"/>
    <row r="4146" x14ac:dyDescent="0.35"/>
    <row r="4147" x14ac:dyDescent="0.35"/>
    <row r="4148" x14ac:dyDescent="0.35"/>
    <row r="4149" x14ac:dyDescent="0.35"/>
    <row r="4150" x14ac:dyDescent="0.35"/>
    <row r="4151" x14ac:dyDescent="0.35"/>
    <row r="4152" x14ac:dyDescent="0.35"/>
    <row r="4153" x14ac:dyDescent="0.35"/>
    <row r="4154" x14ac:dyDescent="0.35"/>
    <row r="4155" x14ac:dyDescent="0.35"/>
    <row r="4156" x14ac:dyDescent="0.35"/>
    <row r="4157" x14ac:dyDescent="0.35"/>
    <row r="4158" x14ac:dyDescent="0.35"/>
    <row r="4159" x14ac:dyDescent="0.35"/>
    <row r="4160" x14ac:dyDescent="0.35"/>
    <row r="4161" x14ac:dyDescent="0.35"/>
    <row r="4162" x14ac:dyDescent="0.35"/>
    <row r="4163" x14ac:dyDescent="0.35"/>
    <row r="4164" x14ac:dyDescent="0.35"/>
    <row r="4165" x14ac:dyDescent="0.35"/>
    <row r="4166" x14ac:dyDescent="0.35"/>
    <row r="4167" x14ac:dyDescent="0.35"/>
    <row r="4168" x14ac:dyDescent="0.35"/>
    <row r="4169" x14ac:dyDescent="0.35"/>
    <row r="4170" x14ac:dyDescent="0.35"/>
    <row r="4171" x14ac:dyDescent="0.35"/>
    <row r="4172" x14ac:dyDescent="0.35"/>
    <row r="4173" x14ac:dyDescent="0.35"/>
    <row r="4174" x14ac:dyDescent="0.35"/>
    <row r="4175" x14ac:dyDescent="0.35"/>
    <row r="4176" x14ac:dyDescent="0.35"/>
    <row r="4177" x14ac:dyDescent="0.35"/>
    <row r="4178" x14ac:dyDescent="0.35"/>
    <row r="4179" x14ac:dyDescent="0.35"/>
    <row r="4180" x14ac:dyDescent="0.35"/>
    <row r="4181" x14ac:dyDescent="0.35"/>
    <row r="4182" x14ac:dyDescent="0.35"/>
    <row r="4183" x14ac:dyDescent="0.35"/>
    <row r="4184" x14ac:dyDescent="0.35"/>
    <row r="4185" x14ac:dyDescent="0.35"/>
    <row r="4186" x14ac:dyDescent="0.35"/>
    <row r="4187" x14ac:dyDescent="0.35"/>
    <row r="4188" x14ac:dyDescent="0.35"/>
    <row r="4189" x14ac:dyDescent="0.35"/>
    <row r="4190" x14ac:dyDescent="0.35"/>
    <row r="4191" x14ac:dyDescent="0.35"/>
    <row r="4192" x14ac:dyDescent="0.35"/>
    <row r="4193" x14ac:dyDescent="0.35"/>
    <row r="4194" x14ac:dyDescent="0.35"/>
    <row r="4195" x14ac:dyDescent="0.35"/>
    <row r="4196" x14ac:dyDescent="0.35"/>
    <row r="4197" x14ac:dyDescent="0.35"/>
    <row r="4198" x14ac:dyDescent="0.35"/>
    <row r="4199" x14ac:dyDescent="0.35"/>
    <row r="4200" x14ac:dyDescent="0.35"/>
    <row r="4201" x14ac:dyDescent="0.35"/>
    <row r="4202" x14ac:dyDescent="0.35"/>
    <row r="4203" x14ac:dyDescent="0.35"/>
    <row r="4204" x14ac:dyDescent="0.35"/>
    <row r="4205" x14ac:dyDescent="0.35"/>
    <row r="4206" x14ac:dyDescent="0.35"/>
    <row r="4207" x14ac:dyDescent="0.35"/>
    <row r="4208" x14ac:dyDescent="0.35"/>
    <row r="4209" x14ac:dyDescent="0.35"/>
    <row r="4210" x14ac:dyDescent="0.35"/>
    <row r="4211" x14ac:dyDescent="0.35"/>
    <row r="4212" x14ac:dyDescent="0.35"/>
    <row r="4213" x14ac:dyDescent="0.35"/>
    <row r="4214" x14ac:dyDescent="0.35"/>
    <row r="4215" x14ac:dyDescent="0.35"/>
    <row r="4216" x14ac:dyDescent="0.35"/>
    <row r="4217" x14ac:dyDescent="0.35"/>
    <row r="4218" x14ac:dyDescent="0.35"/>
    <row r="4219" x14ac:dyDescent="0.35"/>
    <row r="4220" x14ac:dyDescent="0.35"/>
    <row r="4221" x14ac:dyDescent="0.35"/>
    <row r="4222" x14ac:dyDescent="0.35"/>
    <row r="4223" x14ac:dyDescent="0.35"/>
    <row r="4224" x14ac:dyDescent="0.35"/>
    <row r="4225" x14ac:dyDescent="0.35"/>
    <row r="4226" x14ac:dyDescent="0.35"/>
    <row r="4227" x14ac:dyDescent="0.35"/>
    <row r="4228" x14ac:dyDescent="0.35"/>
    <row r="4229" x14ac:dyDescent="0.35"/>
    <row r="4230" x14ac:dyDescent="0.35"/>
    <row r="4231" x14ac:dyDescent="0.35"/>
    <row r="4232" x14ac:dyDescent="0.35"/>
    <row r="4233" x14ac:dyDescent="0.35"/>
    <row r="4234" x14ac:dyDescent="0.35"/>
    <row r="4235" x14ac:dyDescent="0.35"/>
    <row r="4236" x14ac:dyDescent="0.35"/>
    <row r="4237" x14ac:dyDescent="0.35"/>
    <row r="4238" x14ac:dyDescent="0.35"/>
    <row r="4239" x14ac:dyDescent="0.35"/>
    <row r="4240" x14ac:dyDescent="0.35"/>
    <row r="4241" x14ac:dyDescent="0.35"/>
    <row r="4242" x14ac:dyDescent="0.35"/>
    <row r="4243" x14ac:dyDescent="0.35"/>
    <row r="4244" x14ac:dyDescent="0.35"/>
    <row r="4245" x14ac:dyDescent="0.35"/>
    <row r="4246" x14ac:dyDescent="0.35"/>
    <row r="4247" x14ac:dyDescent="0.35"/>
    <row r="4248" x14ac:dyDescent="0.35"/>
    <row r="4249" x14ac:dyDescent="0.35"/>
    <row r="4250" x14ac:dyDescent="0.35"/>
    <row r="4251" x14ac:dyDescent="0.35"/>
    <row r="4252" x14ac:dyDescent="0.35"/>
    <row r="4253" x14ac:dyDescent="0.35"/>
    <row r="4254" x14ac:dyDescent="0.35"/>
    <row r="4255" x14ac:dyDescent="0.35"/>
    <row r="4256" x14ac:dyDescent="0.35"/>
    <row r="4257" x14ac:dyDescent="0.35"/>
    <row r="4258" x14ac:dyDescent="0.35"/>
    <row r="4259" x14ac:dyDescent="0.35"/>
    <row r="4260" x14ac:dyDescent="0.35"/>
    <row r="4261" x14ac:dyDescent="0.35"/>
    <row r="4262" x14ac:dyDescent="0.35"/>
    <row r="4263" x14ac:dyDescent="0.35"/>
    <row r="4264" x14ac:dyDescent="0.35"/>
    <row r="4265" x14ac:dyDescent="0.35"/>
    <row r="4266" x14ac:dyDescent="0.35"/>
    <row r="4267" x14ac:dyDescent="0.35"/>
    <row r="4268" x14ac:dyDescent="0.35"/>
    <row r="4269" x14ac:dyDescent="0.35"/>
    <row r="4270" x14ac:dyDescent="0.35"/>
    <row r="4271" x14ac:dyDescent="0.35"/>
    <row r="4272" x14ac:dyDescent="0.35"/>
    <row r="4273" x14ac:dyDescent="0.35"/>
    <row r="4274" x14ac:dyDescent="0.35"/>
    <row r="4275" x14ac:dyDescent="0.35"/>
    <row r="4276" x14ac:dyDescent="0.35"/>
    <row r="4277" x14ac:dyDescent="0.35"/>
    <row r="4278" x14ac:dyDescent="0.35"/>
    <row r="4279" x14ac:dyDescent="0.35"/>
    <row r="4280" x14ac:dyDescent="0.35"/>
    <row r="4281" x14ac:dyDescent="0.35"/>
    <row r="4282" x14ac:dyDescent="0.35"/>
    <row r="4283" x14ac:dyDescent="0.35"/>
    <row r="4284" x14ac:dyDescent="0.35"/>
    <row r="4285" x14ac:dyDescent="0.35"/>
    <row r="4286" x14ac:dyDescent="0.35"/>
    <row r="4287" x14ac:dyDescent="0.35"/>
    <row r="4288" x14ac:dyDescent="0.35"/>
    <row r="4289" x14ac:dyDescent="0.35"/>
    <row r="4290" x14ac:dyDescent="0.35"/>
    <row r="4291" x14ac:dyDescent="0.35"/>
    <row r="4292" x14ac:dyDescent="0.35"/>
    <row r="4293" x14ac:dyDescent="0.35"/>
    <row r="4294" x14ac:dyDescent="0.35"/>
    <row r="4295" x14ac:dyDescent="0.35"/>
    <row r="4296" x14ac:dyDescent="0.35"/>
    <row r="4297" x14ac:dyDescent="0.35"/>
    <row r="4298" x14ac:dyDescent="0.35"/>
    <row r="4299" x14ac:dyDescent="0.35"/>
    <row r="4300" x14ac:dyDescent="0.35"/>
    <row r="4301" x14ac:dyDescent="0.35"/>
    <row r="4302" x14ac:dyDescent="0.35"/>
    <row r="4303" x14ac:dyDescent="0.35"/>
    <row r="4304" x14ac:dyDescent="0.35"/>
    <row r="4305" x14ac:dyDescent="0.35"/>
    <row r="4306" x14ac:dyDescent="0.35"/>
    <row r="4307" x14ac:dyDescent="0.35"/>
    <row r="4308" x14ac:dyDescent="0.35"/>
    <row r="4309" x14ac:dyDescent="0.35"/>
    <row r="4310" x14ac:dyDescent="0.35"/>
    <row r="4311" x14ac:dyDescent="0.35"/>
    <row r="4312" x14ac:dyDescent="0.35"/>
    <row r="4313" x14ac:dyDescent="0.35"/>
    <row r="4314" x14ac:dyDescent="0.35"/>
    <row r="4315" x14ac:dyDescent="0.35"/>
    <row r="4316" x14ac:dyDescent="0.35"/>
    <row r="4317" x14ac:dyDescent="0.35"/>
    <row r="4318" x14ac:dyDescent="0.35"/>
    <row r="4319" x14ac:dyDescent="0.35"/>
    <row r="4320" x14ac:dyDescent="0.35"/>
    <row r="4321" x14ac:dyDescent="0.35"/>
    <row r="4322" x14ac:dyDescent="0.35"/>
    <row r="4323" x14ac:dyDescent="0.35"/>
    <row r="4324" x14ac:dyDescent="0.35"/>
    <row r="4325" x14ac:dyDescent="0.35"/>
    <row r="4326" x14ac:dyDescent="0.35"/>
    <row r="4327" x14ac:dyDescent="0.35"/>
    <row r="4328" x14ac:dyDescent="0.35"/>
    <row r="4329" x14ac:dyDescent="0.35"/>
    <row r="4330" x14ac:dyDescent="0.35"/>
    <row r="4331" x14ac:dyDescent="0.35"/>
    <row r="4332" x14ac:dyDescent="0.35"/>
    <row r="4333" x14ac:dyDescent="0.35"/>
    <row r="4334" x14ac:dyDescent="0.35"/>
    <row r="4335" x14ac:dyDescent="0.35"/>
    <row r="4336" x14ac:dyDescent="0.35"/>
    <row r="4337" x14ac:dyDescent="0.35"/>
    <row r="4338" x14ac:dyDescent="0.35"/>
    <row r="4339" x14ac:dyDescent="0.35"/>
    <row r="4340" x14ac:dyDescent="0.35"/>
    <row r="4341" x14ac:dyDescent="0.35"/>
    <row r="4342" x14ac:dyDescent="0.35"/>
    <row r="4343" x14ac:dyDescent="0.35"/>
    <row r="4344" x14ac:dyDescent="0.35"/>
    <row r="4345" x14ac:dyDescent="0.35"/>
    <row r="4346" x14ac:dyDescent="0.35"/>
    <row r="4347" x14ac:dyDescent="0.35"/>
    <row r="4348" x14ac:dyDescent="0.35"/>
    <row r="4349" x14ac:dyDescent="0.35"/>
    <row r="4350" x14ac:dyDescent="0.35"/>
    <row r="4351" x14ac:dyDescent="0.35"/>
    <row r="4352" x14ac:dyDescent="0.35"/>
    <row r="4353" x14ac:dyDescent="0.35"/>
    <row r="4354" x14ac:dyDescent="0.35"/>
    <row r="4355" x14ac:dyDescent="0.35"/>
    <row r="4356" x14ac:dyDescent="0.35"/>
    <row r="4357" x14ac:dyDescent="0.35"/>
    <row r="4358" x14ac:dyDescent="0.35"/>
    <row r="4359" x14ac:dyDescent="0.35"/>
    <row r="4360" x14ac:dyDescent="0.35"/>
    <row r="4361" x14ac:dyDescent="0.35"/>
    <row r="4362" x14ac:dyDescent="0.35"/>
    <row r="4363" x14ac:dyDescent="0.35"/>
    <row r="4364" x14ac:dyDescent="0.35"/>
    <row r="4365" x14ac:dyDescent="0.35"/>
    <row r="4366" x14ac:dyDescent="0.35"/>
    <row r="4367" x14ac:dyDescent="0.35"/>
    <row r="4368" x14ac:dyDescent="0.35"/>
    <row r="4369" x14ac:dyDescent="0.35"/>
    <row r="4370" x14ac:dyDescent="0.35"/>
    <row r="4371" x14ac:dyDescent="0.35"/>
    <row r="4372" x14ac:dyDescent="0.35"/>
    <row r="4373" x14ac:dyDescent="0.35"/>
    <row r="4374" x14ac:dyDescent="0.35"/>
    <row r="4375" x14ac:dyDescent="0.35"/>
    <row r="4376" x14ac:dyDescent="0.35"/>
    <row r="4377" x14ac:dyDescent="0.35"/>
    <row r="4378" x14ac:dyDescent="0.35"/>
    <row r="4379" x14ac:dyDescent="0.35"/>
    <row r="4380" x14ac:dyDescent="0.35"/>
    <row r="4381" x14ac:dyDescent="0.35"/>
    <row r="4382" x14ac:dyDescent="0.35"/>
    <row r="4383" x14ac:dyDescent="0.35"/>
    <row r="4384" x14ac:dyDescent="0.35"/>
    <row r="4385" x14ac:dyDescent="0.35"/>
    <row r="4386" x14ac:dyDescent="0.35"/>
    <row r="4387" x14ac:dyDescent="0.35"/>
    <row r="4388" x14ac:dyDescent="0.35"/>
    <row r="4389" x14ac:dyDescent="0.35"/>
    <row r="4390" x14ac:dyDescent="0.35"/>
    <row r="4391" x14ac:dyDescent="0.35"/>
    <row r="4392" x14ac:dyDescent="0.35"/>
    <row r="4393" x14ac:dyDescent="0.35"/>
    <row r="4394" x14ac:dyDescent="0.35"/>
    <row r="4395" x14ac:dyDescent="0.35"/>
    <row r="4396" x14ac:dyDescent="0.35"/>
    <row r="4397" x14ac:dyDescent="0.35"/>
    <row r="4398" x14ac:dyDescent="0.35"/>
    <row r="4399" x14ac:dyDescent="0.35"/>
    <row r="4400" x14ac:dyDescent="0.35"/>
    <row r="4401" x14ac:dyDescent="0.35"/>
    <row r="4402" x14ac:dyDescent="0.35"/>
    <row r="4403" x14ac:dyDescent="0.35"/>
    <row r="4404" x14ac:dyDescent="0.35"/>
    <row r="4405" x14ac:dyDescent="0.35"/>
    <row r="4406" x14ac:dyDescent="0.35"/>
    <row r="4407" x14ac:dyDescent="0.35"/>
    <row r="4408" x14ac:dyDescent="0.35"/>
    <row r="4409" x14ac:dyDescent="0.35"/>
    <row r="4410" x14ac:dyDescent="0.35"/>
    <row r="4411" x14ac:dyDescent="0.35"/>
    <row r="4412" x14ac:dyDescent="0.35"/>
    <row r="4413" x14ac:dyDescent="0.35"/>
    <row r="4414" x14ac:dyDescent="0.35"/>
    <row r="4415" x14ac:dyDescent="0.35"/>
    <row r="4416" x14ac:dyDescent="0.35"/>
    <row r="4417" x14ac:dyDescent="0.35"/>
    <row r="4418" x14ac:dyDescent="0.35"/>
    <row r="4419" x14ac:dyDescent="0.35"/>
    <row r="4420" x14ac:dyDescent="0.35"/>
    <row r="4421" x14ac:dyDescent="0.35"/>
    <row r="4422" x14ac:dyDescent="0.35"/>
    <row r="4423" x14ac:dyDescent="0.35"/>
    <row r="4424" x14ac:dyDescent="0.35"/>
    <row r="4425" x14ac:dyDescent="0.35"/>
    <row r="4426" x14ac:dyDescent="0.35"/>
    <row r="4427" x14ac:dyDescent="0.35"/>
    <row r="4428" x14ac:dyDescent="0.35"/>
    <row r="4429" x14ac:dyDescent="0.35"/>
    <row r="4430" x14ac:dyDescent="0.35"/>
    <row r="4431" x14ac:dyDescent="0.35"/>
    <row r="4432" x14ac:dyDescent="0.35"/>
    <row r="4433" x14ac:dyDescent="0.35"/>
    <row r="4434" x14ac:dyDescent="0.35"/>
    <row r="4435" x14ac:dyDescent="0.35"/>
    <row r="4436" x14ac:dyDescent="0.35"/>
    <row r="4437" x14ac:dyDescent="0.35"/>
    <row r="4438" x14ac:dyDescent="0.35"/>
    <row r="4439" x14ac:dyDescent="0.35"/>
    <row r="4440" x14ac:dyDescent="0.35"/>
    <row r="4441" x14ac:dyDescent="0.35"/>
    <row r="4442" x14ac:dyDescent="0.35"/>
    <row r="4443" x14ac:dyDescent="0.35"/>
    <row r="4444" x14ac:dyDescent="0.35"/>
    <row r="4445" x14ac:dyDescent="0.35"/>
    <row r="4446" x14ac:dyDescent="0.35"/>
    <row r="4447" x14ac:dyDescent="0.35"/>
    <row r="4448" x14ac:dyDescent="0.35"/>
    <row r="4449" x14ac:dyDescent="0.35"/>
    <row r="4450" x14ac:dyDescent="0.35"/>
    <row r="4451" x14ac:dyDescent="0.35"/>
    <row r="4452" x14ac:dyDescent="0.35"/>
    <row r="4453" x14ac:dyDescent="0.35"/>
    <row r="4454" x14ac:dyDescent="0.35"/>
    <row r="4455" x14ac:dyDescent="0.35"/>
    <row r="4456" x14ac:dyDescent="0.35"/>
    <row r="4457" x14ac:dyDescent="0.35"/>
    <row r="4458" x14ac:dyDescent="0.35"/>
    <row r="4459" x14ac:dyDescent="0.35"/>
    <row r="4460" x14ac:dyDescent="0.35"/>
    <row r="4461" x14ac:dyDescent="0.35"/>
    <row r="4462" x14ac:dyDescent="0.35"/>
    <row r="4463" x14ac:dyDescent="0.35"/>
    <row r="4464" x14ac:dyDescent="0.35"/>
    <row r="4465" x14ac:dyDescent="0.35"/>
    <row r="4466" x14ac:dyDescent="0.35"/>
    <row r="4467" x14ac:dyDescent="0.35"/>
    <row r="4468" x14ac:dyDescent="0.35"/>
    <row r="4469" x14ac:dyDescent="0.35"/>
    <row r="4470" x14ac:dyDescent="0.35"/>
    <row r="4471" x14ac:dyDescent="0.35"/>
    <row r="4472" x14ac:dyDescent="0.35"/>
    <row r="4473" x14ac:dyDescent="0.35"/>
    <row r="4474" x14ac:dyDescent="0.35"/>
    <row r="4475" x14ac:dyDescent="0.35"/>
    <row r="4476" x14ac:dyDescent="0.35"/>
    <row r="4477" x14ac:dyDescent="0.35"/>
    <row r="4478" x14ac:dyDescent="0.35"/>
    <row r="4479" x14ac:dyDescent="0.35"/>
    <row r="4480" x14ac:dyDescent="0.35"/>
    <row r="4481" x14ac:dyDescent="0.35"/>
    <row r="4482" x14ac:dyDescent="0.35"/>
    <row r="4483" x14ac:dyDescent="0.35"/>
    <row r="4484" x14ac:dyDescent="0.35"/>
    <row r="4485" x14ac:dyDescent="0.35"/>
    <row r="4486" x14ac:dyDescent="0.35"/>
    <row r="4487" x14ac:dyDescent="0.35"/>
    <row r="4488" x14ac:dyDescent="0.35"/>
    <row r="4489" x14ac:dyDescent="0.35"/>
    <row r="4490" x14ac:dyDescent="0.35"/>
    <row r="4491" x14ac:dyDescent="0.35"/>
    <row r="4492" x14ac:dyDescent="0.35"/>
    <row r="4493" x14ac:dyDescent="0.35"/>
    <row r="4494" x14ac:dyDescent="0.35"/>
    <row r="4495" x14ac:dyDescent="0.35"/>
    <row r="4496" x14ac:dyDescent="0.35"/>
    <row r="4497" x14ac:dyDescent="0.35"/>
    <row r="4498" x14ac:dyDescent="0.35"/>
    <row r="4499" x14ac:dyDescent="0.35"/>
    <row r="4500" x14ac:dyDescent="0.35"/>
    <row r="4501" x14ac:dyDescent="0.35"/>
    <row r="4502" x14ac:dyDescent="0.35"/>
    <row r="4503" x14ac:dyDescent="0.35"/>
    <row r="4504" x14ac:dyDescent="0.35"/>
    <row r="4505" x14ac:dyDescent="0.35"/>
    <row r="4506" x14ac:dyDescent="0.35"/>
    <row r="4507" x14ac:dyDescent="0.35"/>
    <row r="4508" x14ac:dyDescent="0.35"/>
    <row r="4509" x14ac:dyDescent="0.35"/>
    <row r="4510" x14ac:dyDescent="0.35"/>
    <row r="4511" x14ac:dyDescent="0.35"/>
    <row r="4512" x14ac:dyDescent="0.35"/>
    <row r="4513" x14ac:dyDescent="0.35"/>
    <row r="4514" x14ac:dyDescent="0.35"/>
    <row r="4515" x14ac:dyDescent="0.35"/>
    <row r="4516" x14ac:dyDescent="0.35"/>
    <row r="4517" x14ac:dyDescent="0.35"/>
    <row r="4518" x14ac:dyDescent="0.35"/>
    <row r="4519" x14ac:dyDescent="0.35"/>
    <row r="4520" x14ac:dyDescent="0.35"/>
    <row r="4521" x14ac:dyDescent="0.35"/>
    <row r="4522" x14ac:dyDescent="0.35"/>
    <row r="4523" x14ac:dyDescent="0.35"/>
    <row r="4524" x14ac:dyDescent="0.35"/>
    <row r="4525" x14ac:dyDescent="0.35"/>
    <row r="4526" x14ac:dyDescent="0.35"/>
    <row r="4527" x14ac:dyDescent="0.35"/>
    <row r="4528" x14ac:dyDescent="0.35"/>
    <row r="4529" x14ac:dyDescent="0.35"/>
    <row r="4530" x14ac:dyDescent="0.35"/>
    <row r="4531" x14ac:dyDescent="0.35"/>
    <row r="4532" x14ac:dyDescent="0.35"/>
    <row r="4533" x14ac:dyDescent="0.35"/>
    <row r="4534" x14ac:dyDescent="0.35"/>
    <row r="4535" x14ac:dyDescent="0.35"/>
    <row r="4536" x14ac:dyDescent="0.35"/>
    <row r="4537" x14ac:dyDescent="0.35"/>
    <row r="4538" x14ac:dyDescent="0.35"/>
    <row r="4539" x14ac:dyDescent="0.35"/>
    <row r="4540" x14ac:dyDescent="0.35"/>
    <row r="4541" x14ac:dyDescent="0.35"/>
    <row r="4542" x14ac:dyDescent="0.35"/>
    <row r="4543" x14ac:dyDescent="0.35"/>
    <row r="4544" x14ac:dyDescent="0.35"/>
    <row r="4545" x14ac:dyDescent="0.35"/>
    <row r="4546" x14ac:dyDescent="0.35"/>
    <row r="4547" x14ac:dyDescent="0.35"/>
    <row r="4548" x14ac:dyDescent="0.35"/>
    <row r="4549" x14ac:dyDescent="0.35"/>
    <row r="4550" x14ac:dyDescent="0.35"/>
    <row r="4551" x14ac:dyDescent="0.35"/>
    <row r="4552" x14ac:dyDescent="0.35"/>
    <row r="4553" x14ac:dyDescent="0.35"/>
    <row r="4554" x14ac:dyDescent="0.35"/>
    <row r="4555" x14ac:dyDescent="0.35"/>
    <row r="4556" x14ac:dyDescent="0.35"/>
    <row r="4557" x14ac:dyDescent="0.35"/>
    <row r="4558" x14ac:dyDescent="0.35"/>
    <row r="4559" x14ac:dyDescent="0.35"/>
    <row r="4560" x14ac:dyDescent="0.35"/>
    <row r="4561" x14ac:dyDescent="0.35"/>
    <row r="4562" x14ac:dyDescent="0.35"/>
    <row r="4563" x14ac:dyDescent="0.35"/>
    <row r="4564" x14ac:dyDescent="0.35"/>
    <row r="4565" x14ac:dyDescent="0.35"/>
    <row r="4566" x14ac:dyDescent="0.35"/>
    <row r="4567" x14ac:dyDescent="0.35"/>
    <row r="4568" x14ac:dyDescent="0.35"/>
    <row r="4569" x14ac:dyDescent="0.35"/>
    <row r="4570" x14ac:dyDescent="0.35"/>
    <row r="4571" x14ac:dyDescent="0.35"/>
    <row r="4572" x14ac:dyDescent="0.35"/>
    <row r="4573" x14ac:dyDescent="0.35"/>
    <row r="4574" x14ac:dyDescent="0.35"/>
    <row r="4575" x14ac:dyDescent="0.35"/>
    <row r="4576" x14ac:dyDescent="0.35"/>
    <row r="4577" x14ac:dyDescent="0.35"/>
    <row r="4578" x14ac:dyDescent="0.35"/>
    <row r="4579" x14ac:dyDescent="0.35"/>
    <row r="4580" x14ac:dyDescent="0.35"/>
    <row r="4581" x14ac:dyDescent="0.35"/>
    <row r="4582" x14ac:dyDescent="0.35"/>
    <row r="4583" x14ac:dyDescent="0.35"/>
    <row r="4584" x14ac:dyDescent="0.35"/>
    <row r="4585" x14ac:dyDescent="0.35"/>
    <row r="4586" x14ac:dyDescent="0.35"/>
    <row r="4587" x14ac:dyDescent="0.35"/>
    <row r="4588" x14ac:dyDescent="0.35"/>
    <row r="4589" x14ac:dyDescent="0.35"/>
    <row r="4590" x14ac:dyDescent="0.35"/>
    <row r="4591" x14ac:dyDescent="0.35"/>
    <row r="4592" x14ac:dyDescent="0.35"/>
    <row r="4593" x14ac:dyDescent="0.35"/>
    <row r="4594" x14ac:dyDescent="0.35"/>
    <row r="4595" x14ac:dyDescent="0.35"/>
    <row r="4596" x14ac:dyDescent="0.35"/>
    <row r="4597" x14ac:dyDescent="0.35"/>
    <row r="4598" x14ac:dyDescent="0.35"/>
    <row r="4599" x14ac:dyDescent="0.35"/>
    <row r="4600" x14ac:dyDescent="0.35"/>
    <row r="4601" x14ac:dyDescent="0.35"/>
    <row r="4602" x14ac:dyDescent="0.35"/>
    <row r="4603" x14ac:dyDescent="0.35"/>
    <row r="4604" x14ac:dyDescent="0.35"/>
    <row r="4605" x14ac:dyDescent="0.35"/>
    <row r="4606" x14ac:dyDescent="0.35"/>
    <row r="4607" x14ac:dyDescent="0.35"/>
    <row r="4608" x14ac:dyDescent="0.35"/>
    <row r="4609" x14ac:dyDescent="0.35"/>
    <row r="4610" x14ac:dyDescent="0.35"/>
    <row r="4611" x14ac:dyDescent="0.35"/>
    <row r="4612" x14ac:dyDescent="0.35"/>
    <row r="4613" x14ac:dyDescent="0.35"/>
    <row r="4614" x14ac:dyDescent="0.35"/>
    <row r="4615" x14ac:dyDescent="0.35"/>
    <row r="4616" x14ac:dyDescent="0.35"/>
    <row r="4617" x14ac:dyDescent="0.35"/>
    <row r="4618" x14ac:dyDescent="0.35"/>
    <row r="4619" x14ac:dyDescent="0.35"/>
    <row r="4620" x14ac:dyDescent="0.35"/>
    <row r="4621" x14ac:dyDescent="0.35"/>
    <row r="4622" x14ac:dyDescent="0.35"/>
    <row r="4623" x14ac:dyDescent="0.35"/>
    <row r="4624" x14ac:dyDescent="0.35"/>
    <row r="4625" x14ac:dyDescent="0.35"/>
    <row r="4626" x14ac:dyDescent="0.35"/>
    <row r="4627" x14ac:dyDescent="0.35"/>
    <row r="4628" x14ac:dyDescent="0.35"/>
    <row r="4629" x14ac:dyDescent="0.35"/>
    <row r="4630" x14ac:dyDescent="0.35"/>
    <row r="4631" x14ac:dyDescent="0.35"/>
    <row r="4632" x14ac:dyDescent="0.35"/>
    <row r="4633" x14ac:dyDescent="0.35"/>
    <row r="4634" x14ac:dyDescent="0.35"/>
    <row r="4635" x14ac:dyDescent="0.35"/>
    <row r="4636" x14ac:dyDescent="0.35"/>
    <row r="4637" x14ac:dyDescent="0.35"/>
    <row r="4638" x14ac:dyDescent="0.35"/>
    <row r="4639" x14ac:dyDescent="0.35"/>
    <row r="4640" x14ac:dyDescent="0.35"/>
    <row r="4641" x14ac:dyDescent="0.35"/>
    <row r="4642" x14ac:dyDescent="0.35"/>
    <row r="4643" x14ac:dyDescent="0.35"/>
    <row r="4644" x14ac:dyDescent="0.35"/>
    <row r="4645" x14ac:dyDescent="0.35"/>
    <row r="4646" x14ac:dyDescent="0.35"/>
    <row r="4647" x14ac:dyDescent="0.35"/>
    <row r="4648" x14ac:dyDescent="0.35"/>
    <row r="4649" x14ac:dyDescent="0.35"/>
    <row r="4650" x14ac:dyDescent="0.35"/>
    <row r="4651" x14ac:dyDescent="0.35"/>
    <row r="4652" x14ac:dyDescent="0.35"/>
    <row r="4653" x14ac:dyDescent="0.35"/>
    <row r="4654" x14ac:dyDescent="0.35"/>
    <row r="4655" x14ac:dyDescent="0.35"/>
    <row r="4656" x14ac:dyDescent="0.35"/>
    <row r="4657" x14ac:dyDescent="0.35"/>
    <row r="4658" x14ac:dyDescent="0.35"/>
    <row r="4659" x14ac:dyDescent="0.35"/>
    <row r="4660" x14ac:dyDescent="0.35"/>
    <row r="4661" x14ac:dyDescent="0.35"/>
    <row r="4662" x14ac:dyDescent="0.35"/>
    <row r="4663" x14ac:dyDescent="0.35"/>
    <row r="4664" x14ac:dyDescent="0.35"/>
    <row r="4665" x14ac:dyDescent="0.35"/>
    <row r="4666" x14ac:dyDescent="0.35"/>
    <row r="4667" x14ac:dyDescent="0.35"/>
    <row r="4668" x14ac:dyDescent="0.35"/>
    <row r="4669" x14ac:dyDescent="0.35"/>
    <row r="4670" x14ac:dyDescent="0.35"/>
    <row r="4671" x14ac:dyDescent="0.35"/>
    <row r="4672" x14ac:dyDescent="0.35"/>
    <row r="4673" x14ac:dyDescent="0.35"/>
    <row r="4674" x14ac:dyDescent="0.35"/>
    <row r="4675" x14ac:dyDescent="0.35"/>
    <row r="4676" x14ac:dyDescent="0.35"/>
    <row r="4677" x14ac:dyDescent="0.35"/>
    <row r="4678" x14ac:dyDescent="0.35"/>
    <row r="4679" x14ac:dyDescent="0.35"/>
    <row r="4680" x14ac:dyDescent="0.35"/>
    <row r="4681" x14ac:dyDescent="0.35"/>
    <row r="4682" x14ac:dyDescent="0.35"/>
    <row r="4683" x14ac:dyDescent="0.35"/>
    <row r="4684" x14ac:dyDescent="0.35"/>
    <row r="4685" x14ac:dyDescent="0.35"/>
    <row r="4686" x14ac:dyDescent="0.35"/>
    <row r="4687" x14ac:dyDescent="0.35"/>
    <row r="4688" x14ac:dyDescent="0.35"/>
    <row r="4689" x14ac:dyDescent="0.35"/>
    <row r="4690" x14ac:dyDescent="0.35"/>
    <row r="4691" x14ac:dyDescent="0.35"/>
    <row r="4692" x14ac:dyDescent="0.35"/>
    <row r="4693" x14ac:dyDescent="0.35"/>
    <row r="4694" x14ac:dyDescent="0.35"/>
    <row r="4695" x14ac:dyDescent="0.35"/>
    <row r="4696" x14ac:dyDescent="0.35"/>
    <row r="4697" x14ac:dyDescent="0.35"/>
    <row r="4698" x14ac:dyDescent="0.35"/>
    <row r="4699" x14ac:dyDescent="0.35"/>
    <row r="4700" x14ac:dyDescent="0.35"/>
    <row r="4701" x14ac:dyDescent="0.35"/>
    <row r="4702" x14ac:dyDescent="0.35"/>
    <row r="4703" x14ac:dyDescent="0.35"/>
    <row r="4704" x14ac:dyDescent="0.35"/>
    <row r="4705" x14ac:dyDescent="0.35"/>
    <row r="4706" x14ac:dyDescent="0.35"/>
    <row r="4707" x14ac:dyDescent="0.35"/>
    <row r="4708" x14ac:dyDescent="0.35"/>
    <row r="4709" x14ac:dyDescent="0.35"/>
    <row r="4710" x14ac:dyDescent="0.35"/>
    <row r="4711" x14ac:dyDescent="0.35"/>
    <row r="4712" x14ac:dyDescent="0.35"/>
    <row r="4713" x14ac:dyDescent="0.35"/>
    <row r="4714" x14ac:dyDescent="0.35"/>
    <row r="4715" x14ac:dyDescent="0.35"/>
    <row r="4716" x14ac:dyDescent="0.35"/>
    <row r="4717" x14ac:dyDescent="0.35"/>
    <row r="4718" x14ac:dyDescent="0.35"/>
    <row r="4719" x14ac:dyDescent="0.35"/>
    <row r="4720" x14ac:dyDescent="0.35"/>
    <row r="4721" x14ac:dyDescent="0.35"/>
    <row r="4722" x14ac:dyDescent="0.35"/>
    <row r="4723" x14ac:dyDescent="0.35"/>
    <row r="4724" x14ac:dyDescent="0.35"/>
    <row r="4725" x14ac:dyDescent="0.35"/>
    <row r="4726" x14ac:dyDescent="0.35"/>
    <row r="4727" x14ac:dyDescent="0.35"/>
    <row r="4728" x14ac:dyDescent="0.35"/>
    <row r="4729" x14ac:dyDescent="0.35"/>
    <row r="4730" x14ac:dyDescent="0.35"/>
    <row r="4731" x14ac:dyDescent="0.35"/>
    <row r="4732" x14ac:dyDescent="0.35"/>
    <row r="4733" x14ac:dyDescent="0.35"/>
    <row r="4734" x14ac:dyDescent="0.35"/>
    <row r="4735" x14ac:dyDescent="0.35"/>
    <row r="4736" x14ac:dyDescent="0.35"/>
    <row r="4737" x14ac:dyDescent="0.35"/>
    <row r="4738" x14ac:dyDescent="0.35"/>
    <row r="4739" x14ac:dyDescent="0.35"/>
    <row r="4740" x14ac:dyDescent="0.35"/>
    <row r="4741" x14ac:dyDescent="0.35"/>
    <row r="4742" x14ac:dyDescent="0.35"/>
    <row r="4743" x14ac:dyDescent="0.35"/>
    <row r="4744" x14ac:dyDescent="0.35"/>
    <row r="4745" x14ac:dyDescent="0.35"/>
    <row r="4746" x14ac:dyDescent="0.35"/>
    <row r="4747" x14ac:dyDescent="0.35"/>
    <row r="4748" x14ac:dyDescent="0.35"/>
    <row r="4749" x14ac:dyDescent="0.35"/>
    <row r="4750" x14ac:dyDescent="0.35"/>
    <row r="4751" x14ac:dyDescent="0.35"/>
    <row r="4752" x14ac:dyDescent="0.35"/>
    <row r="4753" x14ac:dyDescent="0.35"/>
    <row r="4754" x14ac:dyDescent="0.35"/>
    <row r="4755" x14ac:dyDescent="0.35"/>
    <row r="4756" x14ac:dyDescent="0.35"/>
    <row r="4757" x14ac:dyDescent="0.35"/>
    <row r="4758" x14ac:dyDescent="0.35"/>
    <row r="4759" x14ac:dyDescent="0.35"/>
    <row r="4760" x14ac:dyDescent="0.35"/>
    <row r="4761" x14ac:dyDescent="0.35"/>
    <row r="4762" x14ac:dyDescent="0.35"/>
    <row r="4763" x14ac:dyDescent="0.35"/>
    <row r="4764" x14ac:dyDescent="0.35"/>
    <row r="4765" x14ac:dyDescent="0.35"/>
    <row r="4766" x14ac:dyDescent="0.35"/>
    <row r="4767" x14ac:dyDescent="0.35"/>
    <row r="4768" x14ac:dyDescent="0.35"/>
    <row r="4769" x14ac:dyDescent="0.35"/>
    <row r="4770" x14ac:dyDescent="0.35"/>
    <row r="4771" x14ac:dyDescent="0.35"/>
    <row r="4772" x14ac:dyDescent="0.35"/>
    <row r="4773" x14ac:dyDescent="0.35"/>
    <row r="4774" x14ac:dyDescent="0.35"/>
    <row r="4775" x14ac:dyDescent="0.35"/>
    <row r="4776" x14ac:dyDescent="0.35"/>
    <row r="4777" x14ac:dyDescent="0.35"/>
    <row r="4778" x14ac:dyDescent="0.35"/>
    <row r="4779" x14ac:dyDescent="0.35"/>
    <row r="4780" x14ac:dyDescent="0.35"/>
    <row r="4781" x14ac:dyDescent="0.35"/>
    <row r="4782" x14ac:dyDescent="0.35"/>
    <row r="4783" x14ac:dyDescent="0.35"/>
    <row r="4784" x14ac:dyDescent="0.35"/>
    <row r="4785" x14ac:dyDescent="0.35"/>
    <row r="4786" x14ac:dyDescent="0.35"/>
    <row r="4787" x14ac:dyDescent="0.35"/>
    <row r="4788" x14ac:dyDescent="0.35"/>
    <row r="4789" x14ac:dyDescent="0.35"/>
    <row r="4790" x14ac:dyDescent="0.35"/>
    <row r="4791" x14ac:dyDescent="0.35"/>
    <row r="4792" x14ac:dyDescent="0.35"/>
    <row r="4793" x14ac:dyDescent="0.35"/>
    <row r="4794" x14ac:dyDescent="0.35"/>
    <row r="4795" x14ac:dyDescent="0.35"/>
    <row r="4796" x14ac:dyDescent="0.35"/>
    <row r="4797" x14ac:dyDescent="0.35"/>
    <row r="4798" x14ac:dyDescent="0.35"/>
    <row r="4799" x14ac:dyDescent="0.35"/>
    <row r="4800" x14ac:dyDescent="0.35"/>
    <row r="4801" x14ac:dyDescent="0.35"/>
    <row r="4802" x14ac:dyDescent="0.35"/>
    <row r="4803" x14ac:dyDescent="0.35"/>
    <row r="4804" x14ac:dyDescent="0.35"/>
    <row r="4805" x14ac:dyDescent="0.35"/>
    <row r="4806" x14ac:dyDescent="0.35"/>
    <row r="4807" x14ac:dyDescent="0.35"/>
    <row r="4808" x14ac:dyDescent="0.35"/>
    <row r="4809" x14ac:dyDescent="0.35"/>
    <row r="4810" x14ac:dyDescent="0.35"/>
    <row r="4811" x14ac:dyDescent="0.35"/>
    <row r="4812" x14ac:dyDescent="0.35"/>
    <row r="4813" x14ac:dyDescent="0.35"/>
    <row r="4814" x14ac:dyDescent="0.35"/>
    <row r="4815" x14ac:dyDescent="0.35"/>
    <row r="4816" x14ac:dyDescent="0.35"/>
    <row r="4817" x14ac:dyDescent="0.35"/>
    <row r="4818" x14ac:dyDescent="0.35"/>
    <row r="4819" x14ac:dyDescent="0.35"/>
    <row r="4820" x14ac:dyDescent="0.35"/>
    <row r="4821" x14ac:dyDescent="0.35"/>
    <row r="4822" x14ac:dyDescent="0.35"/>
    <row r="4823" x14ac:dyDescent="0.35"/>
    <row r="4824" x14ac:dyDescent="0.35"/>
    <row r="4825" x14ac:dyDescent="0.35"/>
    <row r="4826" x14ac:dyDescent="0.35"/>
    <row r="4827" x14ac:dyDescent="0.35"/>
    <row r="4828" x14ac:dyDescent="0.35"/>
    <row r="4829" x14ac:dyDescent="0.35"/>
    <row r="4830" x14ac:dyDescent="0.35"/>
    <row r="4831" x14ac:dyDescent="0.35"/>
    <row r="4832" x14ac:dyDescent="0.35"/>
    <row r="4833" x14ac:dyDescent="0.35"/>
    <row r="4834" x14ac:dyDescent="0.35"/>
    <row r="4835" x14ac:dyDescent="0.35"/>
    <row r="4836" x14ac:dyDescent="0.35"/>
    <row r="4837" x14ac:dyDescent="0.35"/>
    <row r="4838" x14ac:dyDescent="0.35"/>
    <row r="4839" x14ac:dyDescent="0.35"/>
    <row r="4840" x14ac:dyDescent="0.35"/>
    <row r="4841" x14ac:dyDescent="0.35"/>
    <row r="4842" x14ac:dyDescent="0.35"/>
    <row r="4843" x14ac:dyDescent="0.35"/>
    <row r="4844" x14ac:dyDescent="0.35"/>
    <row r="4845" x14ac:dyDescent="0.35"/>
    <row r="4846" x14ac:dyDescent="0.35"/>
    <row r="4847" x14ac:dyDescent="0.35"/>
    <row r="4848" x14ac:dyDescent="0.35"/>
    <row r="4849" x14ac:dyDescent="0.35"/>
    <row r="4850" x14ac:dyDescent="0.35"/>
    <row r="4851" x14ac:dyDescent="0.35"/>
    <row r="4852" x14ac:dyDescent="0.35"/>
    <row r="4853" x14ac:dyDescent="0.35"/>
    <row r="4854" x14ac:dyDescent="0.35"/>
    <row r="4855" x14ac:dyDescent="0.35"/>
    <row r="4856" x14ac:dyDescent="0.35"/>
    <row r="4857" x14ac:dyDescent="0.35"/>
    <row r="4858" x14ac:dyDescent="0.35"/>
    <row r="4859" x14ac:dyDescent="0.35"/>
    <row r="4860" x14ac:dyDescent="0.35"/>
    <row r="4861" x14ac:dyDescent="0.35"/>
    <row r="4862" x14ac:dyDescent="0.35"/>
    <row r="4863" x14ac:dyDescent="0.35"/>
    <row r="4864" x14ac:dyDescent="0.35"/>
    <row r="4865" x14ac:dyDescent="0.35"/>
    <row r="4866" x14ac:dyDescent="0.35"/>
    <row r="4867" x14ac:dyDescent="0.35"/>
    <row r="4868" x14ac:dyDescent="0.35"/>
    <row r="4869" x14ac:dyDescent="0.35"/>
    <row r="4870" x14ac:dyDescent="0.35"/>
    <row r="4871" x14ac:dyDescent="0.35"/>
    <row r="4872" x14ac:dyDescent="0.35"/>
    <row r="4873" x14ac:dyDescent="0.35"/>
    <row r="4874" x14ac:dyDescent="0.35"/>
    <row r="4875" x14ac:dyDescent="0.35"/>
    <row r="4876" x14ac:dyDescent="0.35"/>
    <row r="4877" x14ac:dyDescent="0.35"/>
    <row r="4878" x14ac:dyDescent="0.35"/>
    <row r="4879" x14ac:dyDescent="0.35"/>
    <row r="4880" x14ac:dyDescent="0.35"/>
    <row r="4881" x14ac:dyDescent="0.35"/>
    <row r="4882" x14ac:dyDescent="0.35"/>
    <row r="4883" x14ac:dyDescent="0.35"/>
    <row r="4884" x14ac:dyDescent="0.35"/>
    <row r="4885" x14ac:dyDescent="0.35"/>
    <row r="4886" x14ac:dyDescent="0.35"/>
    <row r="4887" x14ac:dyDescent="0.35"/>
    <row r="4888" x14ac:dyDescent="0.35"/>
    <row r="4889" x14ac:dyDescent="0.35"/>
    <row r="4890" x14ac:dyDescent="0.35"/>
    <row r="4891" x14ac:dyDescent="0.35"/>
    <row r="4892" x14ac:dyDescent="0.35"/>
    <row r="4893" x14ac:dyDescent="0.35"/>
    <row r="4894" x14ac:dyDescent="0.35"/>
    <row r="4895" x14ac:dyDescent="0.35"/>
    <row r="4896" x14ac:dyDescent="0.35"/>
    <row r="4897" x14ac:dyDescent="0.35"/>
    <row r="4898" x14ac:dyDescent="0.35"/>
    <row r="4899" x14ac:dyDescent="0.35"/>
    <row r="4900" x14ac:dyDescent="0.35"/>
    <row r="4901" x14ac:dyDescent="0.35"/>
    <row r="4902" x14ac:dyDescent="0.35"/>
    <row r="4903" x14ac:dyDescent="0.35"/>
    <row r="4904" x14ac:dyDescent="0.35"/>
    <row r="4905" x14ac:dyDescent="0.35"/>
    <row r="4906" x14ac:dyDescent="0.35"/>
    <row r="4907" x14ac:dyDescent="0.35"/>
    <row r="4908" x14ac:dyDescent="0.35"/>
    <row r="4909" x14ac:dyDescent="0.35"/>
    <row r="4910" x14ac:dyDescent="0.35"/>
    <row r="4911" x14ac:dyDescent="0.35"/>
    <row r="4912" x14ac:dyDescent="0.35"/>
    <row r="4913" x14ac:dyDescent="0.35"/>
    <row r="4914" x14ac:dyDescent="0.35"/>
    <row r="4915" x14ac:dyDescent="0.35"/>
    <row r="4916" x14ac:dyDescent="0.35"/>
    <row r="4917" x14ac:dyDescent="0.35"/>
    <row r="4918" x14ac:dyDescent="0.35"/>
    <row r="4919" x14ac:dyDescent="0.35"/>
    <row r="4920" x14ac:dyDescent="0.35"/>
    <row r="4921" x14ac:dyDescent="0.35"/>
    <row r="4922" x14ac:dyDescent="0.35"/>
    <row r="4923" x14ac:dyDescent="0.35"/>
    <row r="4924" x14ac:dyDescent="0.35"/>
    <row r="4925" x14ac:dyDescent="0.35"/>
    <row r="4926" x14ac:dyDescent="0.35"/>
    <row r="4927" x14ac:dyDescent="0.35"/>
    <row r="4928" x14ac:dyDescent="0.35"/>
    <row r="4929" x14ac:dyDescent="0.35"/>
    <row r="4930" x14ac:dyDescent="0.35"/>
    <row r="4931" x14ac:dyDescent="0.35"/>
    <row r="4932" x14ac:dyDescent="0.35"/>
    <row r="4933" x14ac:dyDescent="0.35"/>
    <row r="4934" x14ac:dyDescent="0.35"/>
    <row r="4935" x14ac:dyDescent="0.35"/>
    <row r="4936" x14ac:dyDescent="0.35"/>
    <row r="4937" x14ac:dyDescent="0.35"/>
    <row r="4938" x14ac:dyDescent="0.35"/>
    <row r="4939" x14ac:dyDescent="0.35"/>
    <row r="4940" x14ac:dyDescent="0.35"/>
    <row r="4941" x14ac:dyDescent="0.35"/>
    <row r="4942" x14ac:dyDescent="0.35"/>
    <row r="4943" x14ac:dyDescent="0.35"/>
    <row r="4944" x14ac:dyDescent="0.35"/>
    <row r="4945" x14ac:dyDescent="0.35"/>
    <row r="4946" x14ac:dyDescent="0.35"/>
    <row r="4947" x14ac:dyDescent="0.35"/>
    <row r="4948" x14ac:dyDescent="0.35"/>
    <row r="4949" x14ac:dyDescent="0.35"/>
    <row r="4950" x14ac:dyDescent="0.35"/>
    <row r="4951" x14ac:dyDescent="0.35"/>
    <row r="4952" x14ac:dyDescent="0.35"/>
    <row r="4953" x14ac:dyDescent="0.35"/>
    <row r="4954" x14ac:dyDescent="0.35"/>
    <row r="4955" x14ac:dyDescent="0.35"/>
    <row r="4956" x14ac:dyDescent="0.35"/>
    <row r="4957" x14ac:dyDescent="0.35"/>
    <row r="4958" x14ac:dyDescent="0.35"/>
    <row r="4959" x14ac:dyDescent="0.35"/>
    <row r="4960" x14ac:dyDescent="0.35"/>
    <row r="4961" x14ac:dyDescent="0.35"/>
    <row r="4962" x14ac:dyDescent="0.35"/>
    <row r="4963" x14ac:dyDescent="0.35"/>
    <row r="4964" x14ac:dyDescent="0.35"/>
    <row r="4965" x14ac:dyDescent="0.35"/>
    <row r="4966" x14ac:dyDescent="0.35"/>
    <row r="4967" x14ac:dyDescent="0.35"/>
    <row r="4968" x14ac:dyDescent="0.35"/>
    <row r="4969" x14ac:dyDescent="0.35"/>
    <row r="4970" x14ac:dyDescent="0.35"/>
    <row r="4971" x14ac:dyDescent="0.35"/>
    <row r="4972" x14ac:dyDescent="0.35"/>
    <row r="4973" x14ac:dyDescent="0.35"/>
    <row r="4974" x14ac:dyDescent="0.35"/>
    <row r="4975" x14ac:dyDescent="0.35"/>
    <row r="4976" x14ac:dyDescent="0.35"/>
    <row r="4977" x14ac:dyDescent="0.35"/>
    <row r="4978" x14ac:dyDescent="0.35"/>
    <row r="4979" x14ac:dyDescent="0.35"/>
    <row r="4980" x14ac:dyDescent="0.35"/>
    <row r="4981" x14ac:dyDescent="0.35"/>
    <row r="4982" x14ac:dyDescent="0.35"/>
    <row r="4983" x14ac:dyDescent="0.35"/>
    <row r="4984" x14ac:dyDescent="0.35"/>
    <row r="4985" x14ac:dyDescent="0.35"/>
    <row r="4986" x14ac:dyDescent="0.35"/>
    <row r="4987" x14ac:dyDescent="0.35"/>
    <row r="4988" x14ac:dyDescent="0.35"/>
    <row r="4989" x14ac:dyDescent="0.35"/>
    <row r="4990" x14ac:dyDescent="0.35"/>
    <row r="4991" x14ac:dyDescent="0.35"/>
    <row r="4992" x14ac:dyDescent="0.35"/>
    <row r="4993" x14ac:dyDescent="0.35"/>
    <row r="4994" x14ac:dyDescent="0.35"/>
    <row r="4995" x14ac:dyDescent="0.35"/>
    <row r="4996" x14ac:dyDescent="0.35"/>
    <row r="4997" x14ac:dyDescent="0.35"/>
    <row r="4998" x14ac:dyDescent="0.35"/>
    <row r="4999" x14ac:dyDescent="0.35"/>
    <row r="5000" x14ac:dyDescent="0.35"/>
    <row r="5001" x14ac:dyDescent="0.35"/>
    <row r="5002" x14ac:dyDescent="0.35"/>
    <row r="5003" x14ac:dyDescent="0.35"/>
    <row r="5004" x14ac:dyDescent="0.35"/>
    <row r="5005" x14ac:dyDescent="0.35"/>
    <row r="5006" x14ac:dyDescent="0.35"/>
    <row r="5007" x14ac:dyDescent="0.35"/>
    <row r="5008" x14ac:dyDescent="0.35"/>
    <row r="5009" x14ac:dyDescent="0.35"/>
    <row r="5010" x14ac:dyDescent="0.35"/>
    <row r="5011" x14ac:dyDescent="0.35"/>
    <row r="5012" x14ac:dyDescent="0.35"/>
    <row r="5013" x14ac:dyDescent="0.35"/>
    <row r="5014" x14ac:dyDescent="0.35"/>
    <row r="5015" x14ac:dyDescent="0.35"/>
    <row r="5016" x14ac:dyDescent="0.35"/>
    <row r="5017" x14ac:dyDescent="0.35"/>
    <row r="5018" x14ac:dyDescent="0.35"/>
    <row r="5019" x14ac:dyDescent="0.35"/>
    <row r="5020" x14ac:dyDescent="0.35"/>
    <row r="5021" x14ac:dyDescent="0.35"/>
    <row r="5022" x14ac:dyDescent="0.35"/>
    <row r="5023" x14ac:dyDescent="0.35"/>
    <row r="5024" x14ac:dyDescent="0.35"/>
    <row r="5025" x14ac:dyDescent="0.35"/>
    <row r="5026" x14ac:dyDescent="0.35"/>
    <row r="5027" x14ac:dyDescent="0.35"/>
    <row r="5028" x14ac:dyDescent="0.35"/>
    <row r="5029" x14ac:dyDescent="0.35"/>
    <row r="5030" x14ac:dyDescent="0.35"/>
    <row r="5031" x14ac:dyDescent="0.35"/>
    <row r="5032" x14ac:dyDescent="0.35"/>
    <row r="5033" x14ac:dyDescent="0.35"/>
    <row r="5034" x14ac:dyDescent="0.35"/>
    <row r="5035" x14ac:dyDescent="0.35"/>
    <row r="5036" x14ac:dyDescent="0.35"/>
    <row r="5037" x14ac:dyDescent="0.35"/>
    <row r="5038" x14ac:dyDescent="0.35"/>
    <row r="5039" x14ac:dyDescent="0.35"/>
    <row r="5040" x14ac:dyDescent="0.35"/>
    <row r="5041" x14ac:dyDescent="0.35"/>
    <row r="5042" x14ac:dyDescent="0.35"/>
    <row r="5043" x14ac:dyDescent="0.35"/>
    <row r="5044" x14ac:dyDescent="0.35"/>
    <row r="5045" x14ac:dyDescent="0.35"/>
    <row r="5046" x14ac:dyDescent="0.35"/>
    <row r="5047" x14ac:dyDescent="0.35"/>
    <row r="5048" x14ac:dyDescent="0.35"/>
    <row r="5049" x14ac:dyDescent="0.35"/>
    <row r="5050" x14ac:dyDescent="0.35"/>
    <row r="5051" x14ac:dyDescent="0.35"/>
    <row r="5052" x14ac:dyDescent="0.35"/>
    <row r="5053" x14ac:dyDescent="0.35"/>
    <row r="5054" x14ac:dyDescent="0.35"/>
    <row r="5055" x14ac:dyDescent="0.35"/>
    <row r="5056" x14ac:dyDescent="0.35"/>
    <row r="5057" x14ac:dyDescent="0.35"/>
    <row r="5058" x14ac:dyDescent="0.35"/>
    <row r="5059" x14ac:dyDescent="0.35"/>
    <row r="5060" x14ac:dyDescent="0.35"/>
    <row r="5061" x14ac:dyDescent="0.35"/>
    <row r="5062" x14ac:dyDescent="0.35"/>
    <row r="5063" x14ac:dyDescent="0.35"/>
    <row r="5064" x14ac:dyDescent="0.35"/>
    <row r="5065" x14ac:dyDescent="0.35"/>
    <row r="5066" x14ac:dyDescent="0.35"/>
    <row r="5067" x14ac:dyDescent="0.35"/>
    <row r="5068" x14ac:dyDescent="0.35"/>
    <row r="5069" x14ac:dyDescent="0.35"/>
    <row r="5070" x14ac:dyDescent="0.35"/>
    <row r="5071" x14ac:dyDescent="0.35"/>
    <row r="5072" x14ac:dyDescent="0.35"/>
    <row r="5073" x14ac:dyDescent="0.35"/>
    <row r="5074" x14ac:dyDescent="0.35"/>
    <row r="5075" x14ac:dyDescent="0.35"/>
    <row r="5076" x14ac:dyDescent="0.35"/>
    <row r="5077" x14ac:dyDescent="0.35"/>
    <row r="5078" x14ac:dyDescent="0.35"/>
    <row r="5079" x14ac:dyDescent="0.35"/>
    <row r="5080" x14ac:dyDescent="0.35"/>
    <row r="5081" x14ac:dyDescent="0.35"/>
    <row r="5082" x14ac:dyDescent="0.35"/>
    <row r="5083" x14ac:dyDescent="0.35"/>
    <row r="5084" x14ac:dyDescent="0.35"/>
    <row r="5085" x14ac:dyDescent="0.35"/>
    <row r="5086" x14ac:dyDescent="0.35"/>
    <row r="5087" x14ac:dyDescent="0.35"/>
    <row r="5088" x14ac:dyDescent="0.35"/>
    <row r="5089" x14ac:dyDescent="0.35"/>
    <row r="5090" x14ac:dyDescent="0.35"/>
    <row r="5091" x14ac:dyDescent="0.35"/>
    <row r="5092" x14ac:dyDescent="0.35"/>
    <row r="5093" x14ac:dyDescent="0.35"/>
    <row r="5094" x14ac:dyDescent="0.35"/>
    <row r="5095" x14ac:dyDescent="0.35"/>
    <row r="5096" x14ac:dyDescent="0.35"/>
    <row r="5097" x14ac:dyDescent="0.35"/>
    <row r="5098" x14ac:dyDescent="0.35"/>
    <row r="5099" x14ac:dyDescent="0.35"/>
    <row r="5100" x14ac:dyDescent="0.35"/>
    <row r="5101" x14ac:dyDescent="0.35"/>
    <row r="5102" x14ac:dyDescent="0.35"/>
    <row r="5103" x14ac:dyDescent="0.35"/>
    <row r="5104" x14ac:dyDescent="0.35"/>
    <row r="5105" x14ac:dyDescent="0.35"/>
    <row r="5106" x14ac:dyDescent="0.35"/>
    <row r="5107" x14ac:dyDescent="0.35"/>
    <row r="5108" x14ac:dyDescent="0.35"/>
    <row r="5109" x14ac:dyDescent="0.35"/>
    <row r="5110" x14ac:dyDescent="0.35"/>
    <row r="5111" x14ac:dyDescent="0.35"/>
    <row r="5112" x14ac:dyDescent="0.35"/>
    <row r="5113" x14ac:dyDescent="0.35"/>
    <row r="5114" x14ac:dyDescent="0.35"/>
    <row r="5115" x14ac:dyDescent="0.35"/>
    <row r="5116" x14ac:dyDescent="0.35"/>
    <row r="5117" x14ac:dyDescent="0.35"/>
    <row r="5118" x14ac:dyDescent="0.35"/>
    <row r="5119" x14ac:dyDescent="0.35"/>
    <row r="5120" x14ac:dyDescent="0.35"/>
    <row r="5121" x14ac:dyDescent="0.35"/>
    <row r="5122" x14ac:dyDescent="0.35"/>
    <row r="5123" x14ac:dyDescent="0.35"/>
    <row r="5124" x14ac:dyDescent="0.35"/>
    <row r="5125" x14ac:dyDescent="0.35"/>
    <row r="5126" x14ac:dyDescent="0.35"/>
    <row r="5127" x14ac:dyDescent="0.35"/>
    <row r="5128" x14ac:dyDescent="0.35"/>
    <row r="5129" x14ac:dyDescent="0.35"/>
    <row r="5130" x14ac:dyDescent="0.35"/>
    <row r="5131" x14ac:dyDescent="0.35"/>
    <row r="5132" x14ac:dyDescent="0.35"/>
    <row r="5133" x14ac:dyDescent="0.35"/>
    <row r="5134" x14ac:dyDescent="0.35"/>
    <row r="5135" x14ac:dyDescent="0.35"/>
    <row r="5136" x14ac:dyDescent="0.35"/>
    <row r="5137" x14ac:dyDescent="0.35"/>
    <row r="5138" x14ac:dyDescent="0.35"/>
    <row r="5139" x14ac:dyDescent="0.35"/>
    <row r="5140" x14ac:dyDescent="0.35"/>
    <row r="5141" x14ac:dyDescent="0.35"/>
    <row r="5142" x14ac:dyDescent="0.35"/>
    <row r="5143" x14ac:dyDescent="0.35"/>
    <row r="5144" x14ac:dyDescent="0.35"/>
    <row r="5145" x14ac:dyDescent="0.35"/>
    <row r="5146" x14ac:dyDescent="0.35"/>
    <row r="5147" x14ac:dyDescent="0.35"/>
    <row r="5148" x14ac:dyDescent="0.35"/>
    <row r="5149" x14ac:dyDescent="0.35"/>
    <row r="5150" x14ac:dyDescent="0.35"/>
    <row r="5151" x14ac:dyDescent="0.35"/>
    <row r="5152" x14ac:dyDescent="0.35"/>
    <row r="5153" x14ac:dyDescent="0.35"/>
    <row r="5154" x14ac:dyDescent="0.35"/>
    <row r="5155" x14ac:dyDescent="0.35"/>
    <row r="5156" x14ac:dyDescent="0.35"/>
    <row r="5157" x14ac:dyDescent="0.35"/>
    <row r="5158" x14ac:dyDescent="0.35"/>
    <row r="5159" x14ac:dyDescent="0.35"/>
    <row r="5160" x14ac:dyDescent="0.35"/>
    <row r="5161" x14ac:dyDescent="0.35"/>
    <row r="5162" x14ac:dyDescent="0.35"/>
    <row r="5163" x14ac:dyDescent="0.35"/>
    <row r="5164" x14ac:dyDescent="0.35"/>
    <row r="5165" x14ac:dyDescent="0.35"/>
    <row r="5166" x14ac:dyDescent="0.35"/>
    <row r="5167" x14ac:dyDescent="0.35"/>
    <row r="5168" x14ac:dyDescent="0.35"/>
    <row r="5169" x14ac:dyDescent="0.35"/>
    <row r="5170" x14ac:dyDescent="0.35"/>
    <row r="5171" x14ac:dyDescent="0.35"/>
    <row r="5172" x14ac:dyDescent="0.35"/>
    <row r="5173" x14ac:dyDescent="0.35"/>
    <row r="5174" x14ac:dyDescent="0.35"/>
    <row r="5175" x14ac:dyDescent="0.35"/>
    <row r="5176" x14ac:dyDescent="0.35"/>
    <row r="5177" x14ac:dyDescent="0.35"/>
    <row r="5178" x14ac:dyDescent="0.35"/>
    <row r="5179" x14ac:dyDescent="0.35"/>
    <row r="5180" x14ac:dyDescent="0.35"/>
    <row r="5181" x14ac:dyDescent="0.35"/>
    <row r="5182" x14ac:dyDescent="0.35"/>
    <row r="5183" x14ac:dyDescent="0.35"/>
    <row r="5184" x14ac:dyDescent="0.35"/>
    <row r="5185" x14ac:dyDescent="0.35"/>
    <row r="5186" x14ac:dyDescent="0.35"/>
    <row r="5187" x14ac:dyDescent="0.35"/>
    <row r="5188" x14ac:dyDescent="0.35"/>
    <row r="5189" x14ac:dyDescent="0.35"/>
    <row r="5190" x14ac:dyDescent="0.35"/>
    <row r="5191" x14ac:dyDescent="0.35"/>
    <row r="5192" x14ac:dyDescent="0.35"/>
    <row r="5193" x14ac:dyDescent="0.35"/>
    <row r="5194" x14ac:dyDescent="0.35"/>
    <row r="5195" x14ac:dyDescent="0.35"/>
    <row r="5196" x14ac:dyDescent="0.35"/>
    <row r="5197" x14ac:dyDescent="0.35"/>
    <row r="5198" x14ac:dyDescent="0.35"/>
    <row r="5199" x14ac:dyDescent="0.35"/>
    <row r="5200" x14ac:dyDescent="0.35"/>
    <row r="5201" x14ac:dyDescent="0.35"/>
    <row r="5202" x14ac:dyDescent="0.35"/>
    <row r="5203" x14ac:dyDescent="0.35"/>
    <row r="5204" x14ac:dyDescent="0.35"/>
    <row r="5205" x14ac:dyDescent="0.35"/>
    <row r="5206" x14ac:dyDescent="0.35"/>
    <row r="5207" x14ac:dyDescent="0.35"/>
    <row r="5208" x14ac:dyDescent="0.35"/>
    <row r="5209" x14ac:dyDescent="0.35"/>
    <row r="5210" x14ac:dyDescent="0.35"/>
    <row r="5211" x14ac:dyDescent="0.35"/>
    <row r="5212" x14ac:dyDescent="0.35"/>
    <row r="5213" x14ac:dyDescent="0.35"/>
    <row r="5214" x14ac:dyDescent="0.35"/>
    <row r="5215" x14ac:dyDescent="0.35"/>
    <row r="5216" x14ac:dyDescent="0.35"/>
    <row r="5217" x14ac:dyDescent="0.35"/>
    <row r="5218" x14ac:dyDescent="0.35"/>
    <row r="5219" x14ac:dyDescent="0.35"/>
    <row r="5220" x14ac:dyDescent="0.35"/>
    <row r="5221" x14ac:dyDescent="0.35"/>
    <row r="5222" x14ac:dyDescent="0.35"/>
    <row r="5223" x14ac:dyDescent="0.35"/>
    <row r="5224" x14ac:dyDescent="0.35"/>
    <row r="5225" x14ac:dyDescent="0.35"/>
    <row r="5226" x14ac:dyDescent="0.35"/>
    <row r="5227" x14ac:dyDescent="0.35"/>
    <row r="5228" x14ac:dyDescent="0.35"/>
    <row r="5229" x14ac:dyDescent="0.35"/>
    <row r="5230" x14ac:dyDescent="0.35"/>
    <row r="5231" x14ac:dyDescent="0.35"/>
    <row r="5232" x14ac:dyDescent="0.35"/>
    <row r="5233" x14ac:dyDescent="0.35"/>
    <row r="5234" x14ac:dyDescent="0.35"/>
    <row r="5235" x14ac:dyDescent="0.35"/>
    <row r="5236" x14ac:dyDescent="0.35"/>
    <row r="5237" x14ac:dyDescent="0.35"/>
    <row r="5238" x14ac:dyDescent="0.35"/>
    <row r="5239" x14ac:dyDescent="0.35"/>
    <row r="5240" x14ac:dyDescent="0.35"/>
    <row r="5241" x14ac:dyDescent="0.35"/>
    <row r="5242" x14ac:dyDescent="0.35"/>
    <row r="5243" x14ac:dyDescent="0.35"/>
    <row r="5244" x14ac:dyDescent="0.35"/>
    <row r="5245" x14ac:dyDescent="0.35"/>
    <row r="5246" x14ac:dyDescent="0.35"/>
    <row r="5247" x14ac:dyDescent="0.35"/>
    <row r="5248" x14ac:dyDescent="0.35"/>
    <row r="5249" x14ac:dyDescent="0.35"/>
    <row r="5250" x14ac:dyDescent="0.35"/>
    <row r="5251" x14ac:dyDescent="0.35"/>
    <row r="5252" x14ac:dyDescent="0.35"/>
    <row r="5253" x14ac:dyDescent="0.35"/>
    <row r="5254" x14ac:dyDescent="0.35"/>
    <row r="5255" x14ac:dyDescent="0.35"/>
    <row r="5256" x14ac:dyDescent="0.35"/>
    <row r="5257" x14ac:dyDescent="0.35"/>
    <row r="5258" x14ac:dyDescent="0.35"/>
    <row r="5259" x14ac:dyDescent="0.35"/>
    <row r="5260" x14ac:dyDescent="0.35"/>
    <row r="5261" x14ac:dyDescent="0.35"/>
    <row r="5262" x14ac:dyDescent="0.35"/>
    <row r="5263" x14ac:dyDescent="0.35"/>
    <row r="5264" x14ac:dyDescent="0.35"/>
    <row r="5265" x14ac:dyDescent="0.35"/>
    <row r="5266" x14ac:dyDescent="0.35"/>
    <row r="5267" x14ac:dyDescent="0.35"/>
    <row r="5268" x14ac:dyDescent="0.35"/>
    <row r="5269" x14ac:dyDescent="0.35"/>
    <row r="5270" x14ac:dyDescent="0.35"/>
    <row r="5271" x14ac:dyDescent="0.35"/>
    <row r="5272" x14ac:dyDescent="0.35"/>
    <row r="5273" x14ac:dyDescent="0.35"/>
    <row r="5274" x14ac:dyDescent="0.35"/>
    <row r="5275" x14ac:dyDescent="0.35"/>
    <row r="5276" x14ac:dyDescent="0.35"/>
    <row r="5277" x14ac:dyDescent="0.35"/>
    <row r="5278" x14ac:dyDescent="0.35"/>
    <row r="5279" x14ac:dyDescent="0.35"/>
    <row r="5280" x14ac:dyDescent="0.35"/>
    <row r="5281" x14ac:dyDescent="0.35"/>
    <row r="5282" x14ac:dyDescent="0.35"/>
    <row r="5283" x14ac:dyDescent="0.35"/>
    <row r="5284" x14ac:dyDescent="0.35"/>
    <row r="5285" x14ac:dyDescent="0.35"/>
    <row r="5286" x14ac:dyDescent="0.35"/>
    <row r="5287" x14ac:dyDescent="0.35"/>
    <row r="5288" x14ac:dyDescent="0.35"/>
    <row r="5289" x14ac:dyDescent="0.35"/>
    <row r="5290" x14ac:dyDescent="0.35"/>
    <row r="5291" x14ac:dyDescent="0.35"/>
    <row r="5292" x14ac:dyDescent="0.35"/>
    <row r="5293" x14ac:dyDescent="0.35"/>
    <row r="5294" x14ac:dyDescent="0.35"/>
    <row r="5295" x14ac:dyDescent="0.35"/>
    <row r="5296" x14ac:dyDescent="0.35"/>
    <row r="5297" x14ac:dyDescent="0.35"/>
    <row r="5298" x14ac:dyDescent="0.35"/>
    <row r="5299" x14ac:dyDescent="0.35"/>
    <row r="5300" x14ac:dyDescent="0.35"/>
    <row r="5301" x14ac:dyDescent="0.35"/>
    <row r="5302" x14ac:dyDescent="0.35"/>
    <row r="5303" x14ac:dyDescent="0.35"/>
    <row r="5304" x14ac:dyDescent="0.35"/>
    <row r="5305" x14ac:dyDescent="0.35"/>
    <row r="5306" x14ac:dyDescent="0.35"/>
    <row r="5307" x14ac:dyDescent="0.35"/>
    <row r="5308" x14ac:dyDescent="0.35"/>
    <row r="5309" x14ac:dyDescent="0.35"/>
    <row r="5310" x14ac:dyDescent="0.35"/>
    <row r="5311" x14ac:dyDescent="0.35"/>
    <row r="5312" x14ac:dyDescent="0.35"/>
    <row r="5313" x14ac:dyDescent="0.35"/>
    <row r="5314" x14ac:dyDescent="0.35"/>
    <row r="5315" x14ac:dyDescent="0.35"/>
    <row r="5316" x14ac:dyDescent="0.35"/>
    <row r="5317" x14ac:dyDescent="0.35"/>
    <row r="5318" x14ac:dyDescent="0.35"/>
    <row r="5319" x14ac:dyDescent="0.35"/>
    <row r="5320" x14ac:dyDescent="0.35"/>
    <row r="5321" x14ac:dyDescent="0.35"/>
    <row r="5322" x14ac:dyDescent="0.35"/>
    <row r="5323" x14ac:dyDescent="0.35"/>
    <row r="5324" x14ac:dyDescent="0.35"/>
    <row r="5325" x14ac:dyDescent="0.35"/>
    <row r="5326" x14ac:dyDescent="0.35"/>
    <row r="5327" x14ac:dyDescent="0.35"/>
    <row r="5328" x14ac:dyDescent="0.35"/>
    <row r="5329" x14ac:dyDescent="0.35"/>
    <row r="5330" x14ac:dyDescent="0.35"/>
    <row r="5331" x14ac:dyDescent="0.35"/>
    <row r="5332" x14ac:dyDescent="0.35"/>
    <row r="5333" x14ac:dyDescent="0.35"/>
    <row r="5334" x14ac:dyDescent="0.35"/>
    <row r="5335" x14ac:dyDescent="0.35"/>
    <row r="5336" x14ac:dyDescent="0.35"/>
    <row r="5337" x14ac:dyDescent="0.35"/>
    <row r="5338" x14ac:dyDescent="0.35"/>
    <row r="5339" x14ac:dyDescent="0.35"/>
    <row r="5340" x14ac:dyDescent="0.35"/>
    <row r="5341" x14ac:dyDescent="0.35"/>
    <row r="5342" x14ac:dyDescent="0.35"/>
    <row r="5343" x14ac:dyDescent="0.35"/>
    <row r="5344" x14ac:dyDescent="0.35"/>
    <row r="5345" x14ac:dyDescent="0.35"/>
    <row r="5346" x14ac:dyDescent="0.35"/>
    <row r="5347" x14ac:dyDescent="0.35"/>
    <row r="5348" x14ac:dyDescent="0.35"/>
    <row r="5349" x14ac:dyDescent="0.35"/>
    <row r="5350" x14ac:dyDescent="0.35"/>
    <row r="5351" x14ac:dyDescent="0.35"/>
    <row r="5352" x14ac:dyDescent="0.35"/>
    <row r="5353" x14ac:dyDescent="0.35"/>
    <row r="5354" x14ac:dyDescent="0.35"/>
    <row r="5355" x14ac:dyDescent="0.35"/>
    <row r="5356" x14ac:dyDescent="0.35"/>
    <row r="5357" x14ac:dyDescent="0.35"/>
    <row r="5358" x14ac:dyDescent="0.35"/>
    <row r="5359" x14ac:dyDescent="0.35"/>
    <row r="5360" x14ac:dyDescent="0.35"/>
    <row r="5361" x14ac:dyDescent="0.35"/>
    <row r="5362" x14ac:dyDescent="0.35"/>
    <row r="5363" x14ac:dyDescent="0.35"/>
    <row r="5364" x14ac:dyDescent="0.35"/>
    <row r="5365" x14ac:dyDescent="0.35"/>
    <row r="5366" x14ac:dyDescent="0.35"/>
    <row r="5367" x14ac:dyDescent="0.35"/>
    <row r="5368" x14ac:dyDescent="0.35"/>
    <row r="5369" x14ac:dyDescent="0.35"/>
    <row r="5370" x14ac:dyDescent="0.35"/>
    <row r="5371" x14ac:dyDescent="0.35"/>
    <row r="5372" x14ac:dyDescent="0.35"/>
    <row r="5373" x14ac:dyDescent="0.35"/>
    <row r="5374" x14ac:dyDescent="0.35"/>
    <row r="5375" x14ac:dyDescent="0.35"/>
    <row r="5376" x14ac:dyDescent="0.35"/>
    <row r="5377" x14ac:dyDescent="0.35"/>
    <row r="5378" x14ac:dyDescent="0.35"/>
    <row r="5379" x14ac:dyDescent="0.35"/>
    <row r="5380" x14ac:dyDescent="0.35"/>
    <row r="5381" x14ac:dyDescent="0.35"/>
    <row r="5382" x14ac:dyDescent="0.35"/>
    <row r="5383" x14ac:dyDescent="0.35"/>
    <row r="5384" x14ac:dyDescent="0.35"/>
    <row r="5385" x14ac:dyDescent="0.35"/>
    <row r="5386" x14ac:dyDescent="0.35"/>
    <row r="5387" x14ac:dyDescent="0.35"/>
    <row r="5388" x14ac:dyDescent="0.35"/>
    <row r="5389" x14ac:dyDescent="0.35"/>
    <row r="5390" x14ac:dyDescent="0.35"/>
    <row r="5391" x14ac:dyDescent="0.35"/>
    <row r="5392" x14ac:dyDescent="0.35"/>
    <row r="5393" x14ac:dyDescent="0.35"/>
    <row r="5394" x14ac:dyDescent="0.35"/>
    <row r="5395" x14ac:dyDescent="0.35"/>
    <row r="5396" x14ac:dyDescent="0.35"/>
    <row r="5397" x14ac:dyDescent="0.35"/>
    <row r="5398" x14ac:dyDescent="0.35"/>
    <row r="5399" x14ac:dyDescent="0.35"/>
    <row r="5400" x14ac:dyDescent="0.35"/>
    <row r="5401" x14ac:dyDescent="0.35"/>
    <row r="5402" x14ac:dyDescent="0.35"/>
    <row r="5403" x14ac:dyDescent="0.35"/>
    <row r="5404" x14ac:dyDescent="0.35"/>
    <row r="5405" x14ac:dyDescent="0.35"/>
    <row r="5406" x14ac:dyDescent="0.35"/>
    <row r="5407" x14ac:dyDescent="0.35"/>
    <row r="5408" x14ac:dyDescent="0.35"/>
    <row r="5409" x14ac:dyDescent="0.35"/>
    <row r="5410" x14ac:dyDescent="0.35"/>
    <row r="5411" x14ac:dyDescent="0.35"/>
    <row r="5412" x14ac:dyDescent="0.35"/>
    <row r="5413" x14ac:dyDescent="0.35"/>
    <row r="5414" x14ac:dyDescent="0.35"/>
    <row r="5415" x14ac:dyDescent="0.35"/>
    <row r="5416" x14ac:dyDescent="0.35"/>
    <row r="5417" x14ac:dyDescent="0.35"/>
    <row r="5418" x14ac:dyDescent="0.35"/>
    <row r="5419" x14ac:dyDescent="0.35"/>
    <row r="5420" x14ac:dyDescent="0.35"/>
    <row r="5421" x14ac:dyDescent="0.35"/>
    <row r="5422" x14ac:dyDescent="0.35"/>
    <row r="5423" x14ac:dyDescent="0.35"/>
    <row r="5424" x14ac:dyDescent="0.35"/>
    <row r="5425" x14ac:dyDescent="0.35"/>
    <row r="5426" x14ac:dyDescent="0.35"/>
    <row r="5427" x14ac:dyDescent="0.35"/>
    <row r="5428" x14ac:dyDescent="0.35"/>
    <row r="5429" x14ac:dyDescent="0.35"/>
    <row r="5430" x14ac:dyDescent="0.35"/>
    <row r="5431" x14ac:dyDescent="0.35"/>
    <row r="5432" x14ac:dyDescent="0.35"/>
    <row r="5433" x14ac:dyDescent="0.35"/>
    <row r="5434" x14ac:dyDescent="0.35"/>
    <row r="5435" x14ac:dyDescent="0.35"/>
    <row r="5436" x14ac:dyDescent="0.35"/>
    <row r="5437" x14ac:dyDescent="0.35"/>
    <row r="5438" x14ac:dyDescent="0.35"/>
    <row r="5439" x14ac:dyDescent="0.35"/>
    <row r="5440" x14ac:dyDescent="0.35"/>
    <row r="5441" x14ac:dyDescent="0.35"/>
    <row r="5442" x14ac:dyDescent="0.35"/>
    <row r="5443" x14ac:dyDescent="0.35"/>
    <row r="5444" x14ac:dyDescent="0.35"/>
    <row r="5445" x14ac:dyDescent="0.35"/>
    <row r="5446" x14ac:dyDescent="0.35"/>
    <row r="5447" x14ac:dyDescent="0.35"/>
    <row r="5448" x14ac:dyDescent="0.35"/>
    <row r="5449" x14ac:dyDescent="0.35"/>
    <row r="5450" x14ac:dyDescent="0.35"/>
    <row r="5451" x14ac:dyDescent="0.35"/>
    <row r="5452" x14ac:dyDescent="0.35"/>
    <row r="5453" x14ac:dyDescent="0.35"/>
    <row r="5454" x14ac:dyDescent="0.35"/>
    <row r="5455" x14ac:dyDescent="0.35"/>
    <row r="5456" x14ac:dyDescent="0.35"/>
    <row r="5457" x14ac:dyDescent="0.35"/>
    <row r="5458" x14ac:dyDescent="0.35"/>
    <row r="5459" x14ac:dyDescent="0.35"/>
    <row r="5460" x14ac:dyDescent="0.35"/>
    <row r="5461" x14ac:dyDescent="0.35"/>
    <row r="5462" x14ac:dyDescent="0.35"/>
    <row r="5463" x14ac:dyDescent="0.35"/>
    <row r="5464" x14ac:dyDescent="0.35"/>
    <row r="5465" x14ac:dyDescent="0.35"/>
    <row r="5466" x14ac:dyDescent="0.35"/>
    <row r="5467" x14ac:dyDescent="0.35"/>
    <row r="5468" x14ac:dyDescent="0.35"/>
    <row r="5469" x14ac:dyDescent="0.35"/>
    <row r="5470" x14ac:dyDescent="0.35"/>
    <row r="5471" x14ac:dyDescent="0.35"/>
    <row r="5472" x14ac:dyDescent="0.35"/>
    <row r="5473" x14ac:dyDescent="0.35"/>
    <row r="5474" x14ac:dyDescent="0.35"/>
    <row r="5475" x14ac:dyDescent="0.35"/>
    <row r="5476" x14ac:dyDescent="0.35"/>
    <row r="5477" x14ac:dyDescent="0.35"/>
    <row r="5478" x14ac:dyDescent="0.35"/>
    <row r="5479" x14ac:dyDescent="0.35"/>
    <row r="5480" x14ac:dyDescent="0.35"/>
    <row r="5481" x14ac:dyDescent="0.35"/>
    <row r="5482" x14ac:dyDescent="0.35"/>
    <row r="5483" x14ac:dyDescent="0.35"/>
    <row r="5484" x14ac:dyDescent="0.35"/>
    <row r="5485" x14ac:dyDescent="0.35"/>
    <row r="5486" x14ac:dyDescent="0.35"/>
    <row r="5487" x14ac:dyDescent="0.35"/>
    <row r="5488" x14ac:dyDescent="0.35"/>
    <row r="5489" x14ac:dyDescent="0.35"/>
    <row r="5490" x14ac:dyDescent="0.35"/>
    <row r="5491" x14ac:dyDescent="0.35"/>
    <row r="5492" x14ac:dyDescent="0.35"/>
    <row r="5493" x14ac:dyDescent="0.35"/>
    <row r="5494" x14ac:dyDescent="0.35"/>
    <row r="5495" x14ac:dyDescent="0.35"/>
    <row r="5496" x14ac:dyDescent="0.35"/>
    <row r="5497" x14ac:dyDescent="0.35"/>
    <row r="5498" x14ac:dyDescent="0.35"/>
    <row r="5499" x14ac:dyDescent="0.35"/>
    <row r="5500" x14ac:dyDescent="0.35"/>
    <row r="5501" x14ac:dyDescent="0.35"/>
    <row r="5502" x14ac:dyDescent="0.35"/>
    <row r="5503" x14ac:dyDescent="0.35"/>
    <row r="5504" x14ac:dyDescent="0.35"/>
    <row r="5505" x14ac:dyDescent="0.35"/>
    <row r="5506" x14ac:dyDescent="0.35"/>
    <row r="5507" x14ac:dyDescent="0.35"/>
    <row r="5508" x14ac:dyDescent="0.35"/>
    <row r="5509" x14ac:dyDescent="0.35"/>
    <row r="5510" x14ac:dyDescent="0.35"/>
    <row r="5511" x14ac:dyDescent="0.35"/>
    <row r="5512" x14ac:dyDescent="0.35"/>
    <row r="5513" x14ac:dyDescent="0.35"/>
    <row r="5514" x14ac:dyDescent="0.35"/>
    <row r="5515" x14ac:dyDescent="0.35"/>
    <row r="5516" x14ac:dyDescent="0.35"/>
    <row r="5517" x14ac:dyDescent="0.35"/>
    <row r="5518" x14ac:dyDescent="0.35"/>
    <row r="5519" x14ac:dyDescent="0.35"/>
    <row r="5520" x14ac:dyDescent="0.35"/>
    <row r="5521" x14ac:dyDescent="0.35"/>
    <row r="5522" x14ac:dyDescent="0.35"/>
    <row r="5523" x14ac:dyDescent="0.35"/>
    <row r="5524" x14ac:dyDescent="0.35"/>
    <row r="5525" x14ac:dyDescent="0.35"/>
    <row r="5526" x14ac:dyDescent="0.35"/>
    <row r="5527" x14ac:dyDescent="0.35"/>
    <row r="5528" x14ac:dyDescent="0.35"/>
    <row r="5529" x14ac:dyDescent="0.35"/>
    <row r="5530" x14ac:dyDescent="0.35"/>
    <row r="5531" x14ac:dyDescent="0.35"/>
    <row r="5532" x14ac:dyDescent="0.35"/>
    <row r="5533" x14ac:dyDescent="0.35"/>
    <row r="5534" x14ac:dyDescent="0.35"/>
    <row r="5535" x14ac:dyDescent="0.35"/>
    <row r="5536" x14ac:dyDescent="0.35"/>
    <row r="5537" x14ac:dyDescent="0.35"/>
    <row r="5538" x14ac:dyDescent="0.35"/>
    <row r="5539" x14ac:dyDescent="0.35"/>
    <row r="5540" x14ac:dyDescent="0.35"/>
    <row r="5541" x14ac:dyDescent="0.35"/>
    <row r="5542" x14ac:dyDescent="0.35"/>
    <row r="5543" x14ac:dyDescent="0.35"/>
    <row r="5544" x14ac:dyDescent="0.35"/>
    <row r="5545" x14ac:dyDescent="0.35"/>
    <row r="5546" x14ac:dyDescent="0.35"/>
    <row r="5547" x14ac:dyDescent="0.35"/>
    <row r="5548" x14ac:dyDescent="0.35"/>
    <row r="5549" x14ac:dyDescent="0.35"/>
    <row r="5550" x14ac:dyDescent="0.35"/>
    <row r="5551" x14ac:dyDescent="0.35"/>
    <row r="5552" x14ac:dyDescent="0.35"/>
    <row r="5553" x14ac:dyDescent="0.35"/>
    <row r="5554" x14ac:dyDescent="0.35"/>
    <row r="5555" x14ac:dyDescent="0.35"/>
    <row r="5556" x14ac:dyDescent="0.35"/>
    <row r="5557" x14ac:dyDescent="0.35"/>
    <row r="5558" x14ac:dyDescent="0.35"/>
    <row r="5559" x14ac:dyDescent="0.35"/>
    <row r="5560" x14ac:dyDescent="0.35"/>
    <row r="5561" x14ac:dyDescent="0.35"/>
    <row r="5562" x14ac:dyDescent="0.35"/>
    <row r="5563" x14ac:dyDescent="0.35"/>
    <row r="5564" x14ac:dyDescent="0.35"/>
    <row r="5565" x14ac:dyDescent="0.35"/>
    <row r="5566" x14ac:dyDescent="0.35"/>
    <row r="5567" x14ac:dyDescent="0.35"/>
    <row r="5568" x14ac:dyDescent="0.35"/>
    <row r="5569" x14ac:dyDescent="0.35"/>
    <row r="5570" x14ac:dyDescent="0.35"/>
    <row r="5571" x14ac:dyDescent="0.35"/>
    <row r="5572" x14ac:dyDescent="0.35"/>
    <row r="5573" x14ac:dyDescent="0.35"/>
    <row r="5574" x14ac:dyDescent="0.35"/>
    <row r="5575" x14ac:dyDescent="0.35"/>
    <row r="5576" x14ac:dyDescent="0.35"/>
    <row r="5577" x14ac:dyDescent="0.35"/>
    <row r="5578" x14ac:dyDescent="0.35"/>
    <row r="5579" x14ac:dyDescent="0.35"/>
    <row r="5580" x14ac:dyDescent="0.35"/>
    <row r="5581" x14ac:dyDescent="0.35"/>
    <row r="5582" x14ac:dyDescent="0.35"/>
    <row r="5583" x14ac:dyDescent="0.35"/>
    <row r="5584" x14ac:dyDescent="0.35"/>
    <row r="5585" x14ac:dyDescent="0.35"/>
    <row r="5586" x14ac:dyDescent="0.35"/>
    <row r="5587" x14ac:dyDescent="0.35"/>
    <row r="5588" x14ac:dyDescent="0.35"/>
    <row r="5589" x14ac:dyDescent="0.35"/>
    <row r="5590" x14ac:dyDescent="0.35"/>
    <row r="5591" x14ac:dyDescent="0.35"/>
    <row r="5592" x14ac:dyDescent="0.35"/>
    <row r="5593" x14ac:dyDescent="0.35"/>
    <row r="5594" x14ac:dyDescent="0.35"/>
    <row r="5595" x14ac:dyDescent="0.35"/>
    <row r="5596" x14ac:dyDescent="0.35"/>
    <row r="5597" x14ac:dyDescent="0.35"/>
    <row r="5598" x14ac:dyDescent="0.35"/>
    <row r="5599" x14ac:dyDescent="0.35"/>
    <row r="5600" x14ac:dyDescent="0.35"/>
    <row r="5601" x14ac:dyDescent="0.35"/>
    <row r="5602" x14ac:dyDescent="0.35"/>
    <row r="5603" x14ac:dyDescent="0.35"/>
    <row r="5604" x14ac:dyDescent="0.35"/>
    <row r="5605" x14ac:dyDescent="0.35"/>
    <row r="5606" x14ac:dyDescent="0.35"/>
    <row r="5607" x14ac:dyDescent="0.35"/>
    <row r="5608" x14ac:dyDescent="0.35"/>
    <row r="5609" x14ac:dyDescent="0.35"/>
    <row r="5610" x14ac:dyDescent="0.35"/>
    <row r="5611" x14ac:dyDescent="0.35"/>
    <row r="5612" x14ac:dyDescent="0.35"/>
    <row r="5613" x14ac:dyDescent="0.35"/>
    <row r="5614" x14ac:dyDescent="0.35"/>
    <row r="5615" x14ac:dyDescent="0.35"/>
    <row r="5616" x14ac:dyDescent="0.35"/>
    <row r="5617" x14ac:dyDescent="0.35"/>
    <row r="5618" x14ac:dyDescent="0.35"/>
    <row r="5619" x14ac:dyDescent="0.35"/>
    <row r="5620" x14ac:dyDescent="0.35"/>
    <row r="5621" x14ac:dyDescent="0.35"/>
    <row r="5622" x14ac:dyDescent="0.35"/>
    <row r="5623" x14ac:dyDescent="0.35"/>
    <row r="5624" x14ac:dyDescent="0.35"/>
    <row r="5625" x14ac:dyDescent="0.35"/>
    <row r="5626" x14ac:dyDescent="0.35"/>
    <row r="5627" x14ac:dyDescent="0.35"/>
    <row r="5628" x14ac:dyDescent="0.35"/>
    <row r="5629" x14ac:dyDescent="0.35"/>
    <row r="5630" x14ac:dyDescent="0.35"/>
    <row r="5631" x14ac:dyDescent="0.35"/>
    <row r="5632" x14ac:dyDescent="0.35"/>
    <row r="5633" x14ac:dyDescent="0.35"/>
    <row r="5634" x14ac:dyDescent="0.35"/>
    <row r="5635" x14ac:dyDescent="0.35"/>
    <row r="5636" x14ac:dyDescent="0.35"/>
    <row r="5637" x14ac:dyDescent="0.35"/>
    <row r="5638" x14ac:dyDescent="0.35"/>
    <row r="5639" x14ac:dyDescent="0.35"/>
    <row r="5640" x14ac:dyDescent="0.35"/>
    <row r="5641" x14ac:dyDescent="0.35"/>
    <row r="5642" x14ac:dyDescent="0.35"/>
    <row r="5643" x14ac:dyDescent="0.35"/>
    <row r="5644" x14ac:dyDescent="0.35"/>
    <row r="5645" x14ac:dyDescent="0.35"/>
    <row r="5646" x14ac:dyDescent="0.35"/>
    <row r="5647" x14ac:dyDescent="0.35"/>
    <row r="5648" x14ac:dyDescent="0.35"/>
    <row r="5649" x14ac:dyDescent="0.35"/>
    <row r="5650" x14ac:dyDescent="0.35"/>
    <row r="5651" x14ac:dyDescent="0.35"/>
    <row r="5652" x14ac:dyDescent="0.35"/>
    <row r="5653" x14ac:dyDescent="0.35"/>
    <row r="5654" x14ac:dyDescent="0.35"/>
    <row r="5655" x14ac:dyDescent="0.35"/>
    <row r="5656" x14ac:dyDescent="0.35"/>
    <row r="5657" x14ac:dyDescent="0.35"/>
    <row r="5658" x14ac:dyDescent="0.35"/>
    <row r="5659" x14ac:dyDescent="0.35"/>
    <row r="5660" x14ac:dyDescent="0.35"/>
    <row r="5661" x14ac:dyDescent="0.35"/>
    <row r="5662" x14ac:dyDescent="0.35"/>
    <row r="5663" x14ac:dyDescent="0.35"/>
    <row r="5664" x14ac:dyDescent="0.35"/>
    <row r="5665" x14ac:dyDescent="0.35"/>
    <row r="5666" x14ac:dyDescent="0.35"/>
    <row r="5667" x14ac:dyDescent="0.35"/>
    <row r="5668" x14ac:dyDescent="0.35"/>
    <row r="5669" x14ac:dyDescent="0.35"/>
    <row r="5670" x14ac:dyDescent="0.35"/>
    <row r="5671" x14ac:dyDescent="0.35"/>
    <row r="5672" x14ac:dyDescent="0.35"/>
    <row r="5673" x14ac:dyDescent="0.35"/>
    <row r="5674" x14ac:dyDescent="0.35"/>
    <row r="5675" x14ac:dyDescent="0.35"/>
    <row r="5676" x14ac:dyDescent="0.35"/>
    <row r="5677" x14ac:dyDescent="0.35"/>
    <row r="5678" x14ac:dyDescent="0.35"/>
    <row r="5679" x14ac:dyDescent="0.35"/>
    <row r="5680" x14ac:dyDescent="0.35"/>
    <row r="5681" x14ac:dyDescent="0.35"/>
    <row r="5682" x14ac:dyDescent="0.35"/>
    <row r="5683" x14ac:dyDescent="0.35"/>
    <row r="5684" x14ac:dyDescent="0.35"/>
    <row r="5685" x14ac:dyDescent="0.35"/>
    <row r="5686" x14ac:dyDescent="0.35"/>
    <row r="5687" x14ac:dyDescent="0.35"/>
    <row r="5688" x14ac:dyDescent="0.35"/>
    <row r="5689" x14ac:dyDescent="0.35"/>
    <row r="5690" x14ac:dyDescent="0.35"/>
    <row r="5691" x14ac:dyDescent="0.35"/>
    <row r="5692" x14ac:dyDescent="0.35"/>
    <row r="5693" x14ac:dyDescent="0.35"/>
    <row r="5694" x14ac:dyDescent="0.35"/>
    <row r="5695" x14ac:dyDescent="0.35"/>
    <row r="5696" x14ac:dyDescent="0.35"/>
    <row r="5697" x14ac:dyDescent="0.35"/>
    <row r="5698" x14ac:dyDescent="0.35"/>
    <row r="5699" x14ac:dyDescent="0.35"/>
    <row r="5700" x14ac:dyDescent="0.35"/>
    <row r="5701" x14ac:dyDescent="0.35"/>
    <row r="5702" x14ac:dyDescent="0.35"/>
    <row r="5703" x14ac:dyDescent="0.35"/>
    <row r="5704" x14ac:dyDescent="0.35"/>
    <row r="5705" x14ac:dyDescent="0.35"/>
    <row r="5706" x14ac:dyDescent="0.35"/>
    <row r="5707" x14ac:dyDescent="0.35"/>
    <row r="5708" x14ac:dyDescent="0.35"/>
    <row r="5709" x14ac:dyDescent="0.35"/>
    <row r="5710" x14ac:dyDescent="0.35"/>
    <row r="5711" x14ac:dyDescent="0.35"/>
    <row r="5712" x14ac:dyDescent="0.35"/>
    <row r="5713" x14ac:dyDescent="0.35"/>
    <row r="5714" x14ac:dyDescent="0.35"/>
    <row r="5715" x14ac:dyDescent="0.35"/>
    <row r="5716" x14ac:dyDescent="0.35"/>
    <row r="5717" x14ac:dyDescent="0.35"/>
    <row r="5718" x14ac:dyDescent="0.35"/>
    <row r="5719" x14ac:dyDescent="0.35"/>
    <row r="5720" x14ac:dyDescent="0.35"/>
    <row r="5721" x14ac:dyDescent="0.35"/>
    <row r="5722" x14ac:dyDescent="0.35"/>
    <row r="5723" x14ac:dyDescent="0.35"/>
    <row r="5724" x14ac:dyDescent="0.35"/>
    <row r="5725" x14ac:dyDescent="0.35"/>
    <row r="5726" x14ac:dyDescent="0.35"/>
    <row r="5727" x14ac:dyDescent="0.35"/>
    <row r="5728" x14ac:dyDescent="0.35"/>
    <row r="5729" x14ac:dyDescent="0.35"/>
    <row r="5730" x14ac:dyDescent="0.35"/>
    <row r="5731" x14ac:dyDescent="0.35"/>
    <row r="5732" x14ac:dyDescent="0.35"/>
    <row r="5733" x14ac:dyDescent="0.35"/>
    <row r="5734" x14ac:dyDescent="0.35"/>
    <row r="5735" x14ac:dyDescent="0.35"/>
    <row r="5736" x14ac:dyDescent="0.35"/>
    <row r="5737" x14ac:dyDescent="0.35"/>
    <row r="5738" x14ac:dyDescent="0.35"/>
    <row r="5739" x14ac:dyDescent="0.35"/>
    <row r="5740" x14ac:dyDescent="0.35"/>
    <row r="5741" x14ac:dyDescent="0.35"/>
    <row r="5742" x14ac:dyDescent="0.35"/>
    <row r="5743" x14ac:dyDescent="0.35"/>
    <row r="5744" x14ac:dyDescent="0.35"/>
    <row r="5745" x14ac:dyDescent="0.35"/>
    <row r="5746" x14ac:dyDescent="0.35"/>
    <row r="5747" x14ac:dyDescent="0.35"/>
    <row r="5748" x14ac:dyDescent="0.35"/>
    <row r="5749" x14ac:dyDescent="0.35"/>
    <row r="5750" x14ac:dyDescent="0.35"/>
    <row r="5751" x14ac:dyDescent="0.35"/>
    <row r="5752" x14ac:dyDescent="0.35"/>
    <row r="5753" x14ac:dyDescent="0.35"/>
    <row r="5754" x14ac:dyDescent="0.35"/>
    <row r="5755" x14ac:dyDescent="0.35"/>
    <row r="5756" x14ac:dyDescent="0.35"/>
    <row r="5757" x14ac:dyDescent="0.35"/>
    <row r="5758" x14ac:dyDescent="0.35"/>
    <row r="5759" x14ac:dyDescent="0.35"/>
    <row r="5760" x14ac:dyDescent="0.35"/>
    <row r="5761" x14ac:dyDescent="0.35"/>
    <row r="5762" x14ac:dyDescent="0.35"/>
    <row r="5763" x14ac:dyDescent="0.35"/>
    <row r="5764" x14ac:dyDescent="0.35"/>
    <row r="5765" x14ac:dyDescent="0.35"/>
    <row r="5766" x14ac:dyDescent="0.35"/>
    <row r="5767" x14ac:dyDescent="0.35"/>
    <row r="5768" x14ac:dyDescent="0.35"/>
    <row r="5769" x14ac:dyDescent="0.35"/>
    <row r="5770" x14ac:dyDescent="0.35"/>
    <row r="5771" x14ac:dyDescent="0.35"/>
    <row r="5772" x14ac:dyDescent="0.35"/>
    <row r="5773" x14ac:dyDescent="0.35"/>
    <row r="5774" x14ac:dyDescent="0.35"/>
    <row r="5775" x14ac:dyDescent="0.35"/>
    <row r="5776" x14ac:dyDescent="0.35"/>
    <row r="5777" x14ac:dyDescent="0.35"/>
    <row r="5778" x14ac:dyDescent="0.35"/>
    <row r="5779" x14ac:dyDescent="0.35"/>
    <row r="5780" x14ac:dyDescent="0.35"/>
    <row r="5781" x14ac:dyDescent="0.35"/>
    <row r="5782" x14ac:dyDescent="0.35"/>
    <row r="5783" x14ac:dyDescent="0.35"/>
    <row r="5784" x14ac:dyDescent="0.35"/>
    <row r="5785" x14ac:dyDescent="0.35"/>
    <row r="5786" x14ac:dyDescent="0.35"/>
    <row r="5787" x14ac:dyDescent="0.35"/>
    <row r="5788" x14ac:dyDescent="0.35"/>
    <row r="5789" x14ac:dyDescent="0.35"/>
    <row r="5790" x14ac:dyDescent="0.35"/>
    <row r="5791" x14ac:dyDescent="0.35"/>
    <row r="5792" x14ac:dyDescent="0.35"/>
    <row r="5793" x14ac:dyDescent="0.35"/>
    <row r="5794" x14ac:dyDescent="0.35"/>
    <row r="5795" x14ac:dyDescent="0.35"/>
    <row r="5796" x14ac:dyDescent="0.35"/>
    <row r="5797" x14ac:dyDescent="0.35"/>
    <row r="5798" x14ac:dyDescent="0.35"/>
    <row r="5799" x14ac:dyDescent="0.35"/>
    <row r="5800" x14ac:dyDescent="0.35"/>
    <row r="5801" x14ac:dyDescent="0.35"/>
    <row r="5802" x14ac:dyDescent="0.35"/>
    <row r="5803" x14ac:dyDescent="0.35"/>
    <row r="5804" x14ac:dyDescent="0.35"/>
    <row r="5805" x14ac:dyDescent="0.35"/>
    <row r="5806" x14ac:dyDescent="0.35"/>
    <row r="5807" x14ac:dyDescent="0.35"/>
    <row r="5808" x14ac:dyDescent="0.35"/>
    <row r="5809" x14ac:dyDescent="0.35"/>
    <row r="5810" x14ac:dyDescent="0.35"/>
    <row r="5811" x14ac:dyDescent="0.35"/>
    <row r="5812" x14ac:dyDescent="0.35"/>
    <row r="5813" x14ac:dyDescent="0.35"/>
    <row r="5814" x14ac:dyDescent="0.35"/>
    <row r="5815" x14ac:dyDescent="0.35"/>
    <row r="5816" x14ac:dyDescent="0.35"/>
    <row r="5817" x14ac:dyDescent="0.35"/>
    <row r="5818" x14ac:dyDescent="0.35"/>
    <row r="5819" x14ac:dyDescent="0.35"/>
    <row r="5820" x14ac:dyDescent="0.35"/>
    <row r="5821" x14ac:dyDescent="0.35"/>
    <row r="5822" x14ac:dyDescent="0.35"/>
    <row r="5823" x14ac:dyDescent="0.35"/>
    <row r="5824" x14ac:dyDescent="0.35"/>
    <row r="5825" x14ac:dyDescent="0.35"/>
    <row r="5826" x14ac:dyDescent="0.35"/>
    <row r="5827" x14ac:dyDescent="0.35"/>
    <row r="5828" x14ac:dyDescent="0.35"/>
    <row r="5829" x14ac:dyDescent="0.35"/>
    <row r="5830" x14ac:dyDescent="0.35"/>
    <row r="5831" x14ac:dyDescent="0.35"/>
    <row r="5832" x14ac:dyDescent="0.35"/>
    <row r="5833" x14ac:dyDescent="0.35"/>
    <row r="5834" x14ac:dyDescent="0.35"/>
    <row r="5835" x14ac:dyDescent="0.35"/>
    <row r="5836" x14ac:dyDescent="0.35"/>
    <row r="5837" x14ac:dyDescent="0.35"/>
    <row r="5838" x14ac:dyDescent="0.35"/>
    <row r="5839" x14ac:dyDescent="0.35"/>
    <row r="5840" x14ac:dyDescent="0.35"/>
    <row r="5841" x14ac:dyDescent="0.35"/>
    <row r="5842" x14ac:dyDescent="0.35"/>
    <row r="5843" x14ac:dyDescent="0.35"/>
    <row r="5844" x14ac:dyDescent="0.35"/>
    <row r="5845" x14ac:dyDescent="0.35"/>
    <row r="5846" x14ac:dyDescent="0.35"/>
    <row r="5847" x14ac:dyDescent="0.35"/>
    <row r="5848" x14ac:dyDescent="0.35"/>
    <row r="5849" x14ac:dyDescent="0.35"/>
    <row r="5850" x14ac:dyDescent="0.35"/>
    <row r="5851" x14ac:dyDescent="0.35"/>
    <row r="5852" x14ac:dyDescent="0.35"/>
    <row r="5853" x14ac:dyDescent="0.35"/>
    <row r="5854" x14ac:dyDescent="0.35"/>
    <row r="5855" x14ac:dyDescent="0.35"/>
    <row r="5856" x14ac:dyDescent="0.35"/>
    <row r="5857" x14ac:dyDescent="0.35"/>
    <row r="5858" x14ac:dyDescent="0.35"/>
    <row r="5859" x14ac:dyDescent="0.35"/>
    <row r="5860" x14ac:dyDescent="0.35"/>
    <row r="5861" x14ac:dyDescent="0.35"/>
    <row r="5862" x14ac:dyDescent="0.35"/>
    <row r="5863" x14ac:dyDescent="0.35"/>
    <row r="5864" x14ac:dyDescent="0.35"/>
    <row r="5865" x14ac:dyDescent="0.35"/>
    <row r="5866" x14ac:dyDescent="0.35"/>
    <row r="5867" x14ac:dyDescent="0.35"/>
    <row r="5868" x14ac:dyDescent="0.35"/>
    <row r="5869" x14ac:dyDescent="0.35"/>
    <row r="5870" x14ac:dyDescent="0.35"/>
    <row r="5871" x14ac:dyDescent="0.35"/>
    <row r="5872" x14ac:dyDescent="0.35"/>
    <row r="5873" x14ac:dyDescent="0.35"/>
    <row r="5874" x14ac:dyDescent="0.35"/>
    <row r="5875" x14ac:dyDescent="0.35"/>
    <row r="5876" x14ac:dyDescent="0.35"/>
    <row r="5877" x14ac:dyDescent="0.35"/>
    <row r="5878" x14ac:dyDescent="0.35"/>
    <row r="5879" x14ac:dyDescent="0.35"/>
    <row r="5880" x14ac:dyDescent="0.35"/>
    <row r="5881" x14ac:dyDescent="0.35"/>
    <row r="5882" x14ac:dyDescent="0.35"/>
    <row r="5883" x14ac:dyDescent="0.35"/>
    <row r="5884" x14ac:dyDescent="0.35"/>
    <row r="5885" x14ac:dyDescent="0.35"/>
    <row r="5886" x14ac:dyDescent="0.35"/>
    <row r="5887" x14ac:dyDescent="0.35"/>
    <row r="5888" x14ac:dyDescent="0.35"/>
    <row r="5889" x14ac:dyDescent="0.35"/>
    <row r="5890" x14ac:dyDescent="0.35"/>
    <row r="5891" x14ac:dyDescent="0.35"/>
    <row r="5892" x14ac:dyDescent="0.35"/>
    <row r="5893" x14ac:dyDescent="0.35"/>
    <row r="5894" x14ac:dyDescent="0.35"/>
    <row r="5895" x14ac:dyDescent="0.35"/>
    <row r="5896" x14ac:dyDescent="0.35"/>
    <row r="5897" x14ac:dyDescent="0.35"/>
    <row r="5898" x14ac:dyDescent="0.35"/>
    <row r="5899" x14ac:dyDescent="0.35"/>
    <row r="5900" x14ac:dyDescent="0.35"/>
    <row r="5901" x14ac:dyDescent="0.35"/>
    <row r="5902" x14ac:dyDescent="0.35"/>
    <row r="5903" x14ac:dyDescent="0.35"/>
    <row r="5904" x14ac:dyDescent="0.35"/>
    <row r="5905" x14ac:dyDescent="0.35"/>
    <row r="5906" x14ac:dyDescent="0.35"/>
    <row r="5907" x14ac:dyDescent="0.35"/>
    <row r="5908" x14ac:dyDescent="0.35"/>
    <row r="5909" x14ac:dyDescent="0.35"/>
    <row r="5910" x14ac:dyDescent="0.35"/>
    <row r="5911" x14ac:dyDescent="0.35"/>
    <row r="5912" x14ac:dyDescent="0.35"/>
    <row r="5913" x14ac:dyDescent="0.35"/>
    <row r="5914" x14ac:dyDescent="0.35"/>
    <row r="5915" x14ac:dyDescent="0.35"/>
    <row r="5916" x14ac:dyDescent="0.35"/>
    <row r="5917" x14ac:dyDescent="0.35"/>
    <row r="5918" x14ac:dyDescent="0.35"/>
    <row r="5919" x14ac:dyDescent="0.35"/>
    <row r="5920" x14ac:dyDescent="0.35"/>
    <row r="5921" x14ac:dyDescent="0.35"/>
    <row r="5922" x14ac:dyDescent="0.35"/>
    <row r="5923" x14ac:dyDescent="0.35"/>
    <row r="5924" x14ac:dyDescent="0.35"/>
    <row r="5925" x14ac:dyDescent="0.35"/>
    <row r="5926" x14ac:dyDescent="0.35"/>
    <row r="5927" x14ac:dyDescent="0.35"/>
    <row r="5928" x14ac:dyDescent="0.35"/>
    <row r="5929" x14ac:dyDescent="0.35"/>
    <row r="5930" x14ac:dyDescent="0.35"/>
    <row r="5931" x14ac:dyDescent="0.35"/>
    <row r="5932" x14ac:dyDescent="0.35"/>
    <row r="5933" x14ac:dyDescent="0.35"/>
    <row r="5934" x14ac:dyDescent="0.35"/>
    <row r="5935" x14ac:dyDescent="0.35"/>
    <row r="5936" x14ac:dyDescent="0.35"/>
    <row r="5937" x14ac:dyDescent="0.35"/>
    <row r="5938" x14ac:dyDescent="0.35"/>
    <row r="5939" x14ac:dyDescent="0.35"/>
    <row r="5940" x14ac:dyDescent="0.35"/>
    <row r="5941" x14ac:dyDescent="0.35"/>
    <row r="5942" x14ac:dyDescent="0.35"/>
    <row r="5943" x14ac:dyDescent="0.35"/>
    <row r="5944" x14ac:dyDescent="0.35"/>
    <row r="5945" x14ac:dyDescent="0.35"/>
    <row r="5946" x14ac:dyDescent="0.35"/>
    <row r="5947" x14ac:dyDescent="0.35"/>
    <row r="5948" x14ac:dyDescent="0.35"/>
    <row r="5949" x14ac:dyDescent="0.35"/>
    <row r="5950" x14ac:dyDescent="0.35"/>
    <row r="5951" x14ac:dyDescent="0.35"/>
    <row r="5952" x14ac:dyDescent="0.35"/>
    <row r="5953" x14ac:dyDescent="0.35"/>
    <row r="5954" x14ac:dyDescent="0.35"/>
    <row r="5955" x14ac:dyDescent="0.35"/>
    <row r="5956" x14ac:dyDescent="0.35"/>
    <row r="5957" x14ac:dyDescent="0.35"/>
    <row r="5958" x14ac:dyDescent="0.35"/>
    <row r="5959" x14ac:dyDescent="0.35"/>
    <row r="5960" x14ac:dyDescent="0.35"/>
    <row r="5961" x14ac:dyDescent="0.35"/>
    <row r="5962" x14ac:dyDescent="0.35"/>
    <row r="5963" x14ac:dyDescent="0.35"/>
    <row r="5964" x14ac:dyDescent="0.35"/>
    <row r="5965" x14ac:dyDescent="0.35"/>
    <row r="5966" x14ac:dyDescent="0.35"/>
    <row r="5967" x14ac:dyDescent="0.35"/>
    <row r="5968" x14ac:dyDescent="0.35"/>
    <row r="5969" x14ac:dyDescent="0.35"/>
    <row r="5970" x14ac:dyDescent="0.35"/>
    <row r="5971" x14ac:dyDescent="0.35"/>
    <row r="5972" x14ac:dyDescent="0.35"/>
    <row r="5973" x14ac:dyDescent="0.35"/>
    <row r="5974" x14ac:dyDescent="0.35"/>
    <row r="5975" x14ac:dyDescent="0.35"/>
    <row r="5976" x14ac:dyDescent="0.35"/>
    <row r="5977" x14ac:dyDescent="0.35"/>
    <row r="5978" x14ac:dyDescent="0.35"/>
    <row r="5979" x14ac:dyDescent="0.35"/>
    <row r="5980" x14ac:dyDescent="0.35"/>
    <row r="5981" x14ac:dyDescent="0.35"/>
    <row r="5982" x14ac:dyDescent="0.35"/>
    <row r="5983" x14ac:dyDescent="0.35"/>
    <row r="5984" x14ac:dyDescent="0.35"/>
    <row r="5985" x14ac:dyDescent="0.35"/>
    <row r="5986" x14ac:dyDescent="0.35"/>
    <row r="5987" x14ac:dyDescent="0.35"/>
    <row r="5988" x14ac:dyDescent="0.35"/>
    <row r="5989" x14ac:dyDescent="0.35"/>
    <row r="5990" x14ac:dyDescent="0.35"/>
    <row r="5991" x14ac:dyDescent="0.35"/>
    <row r="5992" x14ac:dyDescent="0.35"/>
    <row r="5993" x14ac:dyDescent="0.35"/>
    <row r="5994" x14ac:dyDescent="0.35"/>
    <row r="5995" x14ac:dyDescent="0.35"/>
    <row r="5996" x14ac:dyDescent="0.35"/>
    <row r="5997" x14ac:dyDescent="0.35"/>
    <row r="5998" x14ac:dyDescent="0.35"/>
    <row r="5999" x14ac:dyDescent="0.35"/>
    <row r="6000" x14ac:dyDescent="0.35"/>
    <row r="6001" x14ac:dyDescent="0.35"/>
    <row r="6002" x14ac:dyDescent="0.35"/>
    <row r="6003" x14ac:dyDescent="0.35"/>
    <row r="6004" x14ac:dyDescent="0.35"/>
    <row r="6005" x14ac:dyDescent="0.35"/>
    <row r="6006" x14ac:dyDescent="0.35"/>
    <row r="6007" x14ac:dyDescent="0.35"/>
    <row r="6008" x14ac:dyDescent="0.35"/>
    <row r="6009" x14ac:dyDescent="0.35"/>
    <row r="6010" x14ac:dyDescent="0.35"/>
    <row r="6011" x14ac:dyDescent="0.35"/>
    <row r="6012" x14ac:dyDescent="0.35"/>
    <row r="6013" x14ac:dyDescent="0.35"/>
    <row r="6014" x14ac:dyDescent="0.35"/>
    <row r="6015" x14ac:dyDescent="0.35"/>
    <row r="6016" x14ac:dyDescent="0.35"/>
    <row r="6017" x14ac:dyDescent="0.35"/>
    <row r="6018" x14ac:dyDescent="0.35"/>
    <row r="6019" x14ac:dyDescent="0.35"/>
    <row r="6020" x14ac:dyDescent="0.35"/>
    <row r="6021" x14ac:dyDescent="0.35"/>
    <row r="6022" x14ac:dyDescent="0.35"/>
    <row r="6023" x14ac:dyDescent="0.35"/>
    <row r="6024" x14ac:dyDescent="0.35"/>
    <row r="6025" x14ac:dyDescent="0.35"/>
    <row r="6026" x14ac:dyDescent="0.35"/>
    <row r="6027" x14ac:dyDescent="0.35"/>
    <row r="6028" x14ac:dyDescent="0.35"/>
    <row r="6029" x14ac:dyDescent="0.35"/>
    <row r="6030" x14ac:dyDescent="0.35"/>
    <row r="6031" x14ac:dyDescent="0.35"/>
    <row r="6032" x14ac:dyDescent="0.35"/>
    <row r="6033" x14ac:dyDescent="0.35"/>
    <row r="6034" x14ac:dyDescent="0.35"/>
    <row r="6035" x14ac:dyDescent="0.35"/>
    <row r="6036" x14ac:dyDescent="0.35"/>
    <row r="6037" x14ac:dyDescent="0.35"/>
    <row r="6038" x14ac:dyDescent="0.35"/>
    <row r="6039" x14ac:dyDescent="0.35"/>
    <row r="6040" x14ac:dyDescent="0.35"/>
    <row r="6041" x14ac:dyDescent="0.35"/>
    <row r="6042" x14ac:dyDescent="0.35"/>
    <row r="6043" x14ac:dyDescent="0.35"/>
    <row r="6044" x14ac:dyDescent="0.35"/>
    <row r="6045" x14ac:dyDescent="0.35"/>
    <row r="6046" x14ac:dyDescent="0.35"/>
    <row r="6047" x14ac:dyDescent="0.35"/>
    <row r="6048" x14ac:dyDescent="0.35"/>
    <row r="6049" x14ac:dyDescent="0.35"/>
    <row r="6050" x14ac:dyDescent="0.35"/>
    <row r="6051" x14ac:dyDescent="0.35"/>
    <row r="6052" x14ac:dyDescent="0.35"/>
    <row r="6053" x14ac:dyDescent="0.35"/>
    <row r="6054" x14ac:dyDescent="0.35"/>
    <row r="6055" x14ac:dyDescent="0.35"/>
    <row r="6056" x14ac:dyDescent="0.35"/>
    <row r="6057" x14ac:dyDescent="0.35"/>
    <row r="6058" x14ac:dyDescent="0.35"/>
    <row r="6059" x14ac:dyDescent="0.35"/>
    <row r="6060" x14ac:dyDescent="0.35"/>
    <row r="6061" x14ac:dyDescent="0.35"/>
    <row r="6062" x14ac:dyDescent="0.35"/>
    <row r="6063" x14ac:dyDescent="0.35"/>
    <row r="6064" x14ac:dyDescent="0.35"/>
    <row r="6065" x14ac:dyDescent="0.35"/>
    <row r="6066" x14ac:dyDescent="0.35"/>
    <row r="6067" x14ac:dyDescent="0.35"/>
    <row r="6068" x14ac:dyDescent="0.35"/>
    <row r="6069" x14ac:dyDescent="0.35"/>
    <row r="6070" x14ac:dyDescent="0.35"/>
    <row r="6071" x14ac:dyDescent="0.35"/>
    <row r="6072" x14ac:dyDescent="0.35"/>
    <row r="6073" x14ac:dyDescent="0.35"/>
    <row r="6074" x14ac:dyDescent="0.35"/>
    <row r="6075" x14ac:dyDescent="0.35"/>
    <row r="6076" x14ac:dyDescent="0.35"/>
    <row r="6077" x14ac:dyDescent="0.35"/>
    <row r="6078" x14ac:dyDescent="0.35"/>
    <row r="6079" x14ac:dyDescent="0.35"/>
    <row r="6080" x14ac:dyDescent="0.35"/>
    <row r="6081" x14ac:dyDescent="0.35"/>
    <row r="6082" x14ac:dyDescent="0.35"/>
    <row r="6083" x14ac:dyDescent="0.35"/>
    <row r="6084" x14ac:dyDescent="0.35"/>
    <row r="6085" x14ac:dyDescent="0.35"/>
    <row r="6086" x14ac:dyDescent="0.35"/>
    <row r="6087" x14ac:dyDescent="0.35"/>
    <row r="6088" x14ac:dyDescent="0.35"/>
    <row r="6089" x14ac:dyDescent="0.35"/>
    <row r="6090" x14ac:dyDescent="0.35"/>
    <row r="6091" x14ac:dyDescent="0.35"/>
    <row r="6092" x14ac:dyDescent="0.35"/>
    <row r="6093" x14ac:dyDescent="0.35"/>
    <row r="6094" x14ac:dyDescent="0.35"/>
    <row r="6095" x14ac:dyDescent="0.35"/>
    <row r="6096" x14ac:dyDescent="0.35"/>
    <row r="6097" x14ac:dyDescent="0.35"/>
    <row r="6098" x14ac:dyDescent="0.35"/>
    <row r="6099" x14ac:dyDescent="0.35"/>
    <row r="6100" x14ac:dyDescent="0.35"/>
    <row r="6101" x14ac:dyDescent="0.35"/>
    <row r="6102" x14ac:dyDescent="0.35"/>
    <row r="6103" x14ac:dyDescent="0.35"/>
    <row r="6104" x14ac:dyDescent="0.35"/>
    <row r="6105" x14ac:dyDescent="0.35"/>
    <row r="6106" x14ac:dyDescent="0.35"/>
    <row r="6107" x14ac:dyDescent="0.35"/>
    <row r="6108" x14ac:dyDescent="0.35"/>
    <row r="6109" x14ac:dyDescent="0.35"/>
    <row r="6110" x14ac:dyDescent="0.35"/>
    <row r="6111" x14ac:dyDescent="0.35"/>
    <row r="6112" x14ac:dyDescent="0.35"/>
    <row r="6113" x14ac:dyDescent="0.35"/>
    <row r="6114" x14ac:dyDescent="0.35"/>
    <row r="6115" x14ac:dyDescent="0.35"/>
    <row r="6116" x14ac:dyDescent="0.35"/>
    <row r="6117" x14ac:dyDescent="0.35"/>
    <row r="6118" x14ac:dyDescent="0.35"/>
    <row r="6119" x14ac:dyDescent="0.35"/>
    <row r="6120" x14ac:dyDescent="0.35"/>
    <row r="6121" x14ac:dyDescent="0.35"/>
    <row r="6122" x14ac:dyDescent="0.35"/>
    <row r="6123" x14ac:dyDescent="0.35"/>
    <row r="6124" x14ac:dyDescent="0.35"/>
    <row r="6125" x14ac:dyDescent="0.35"/>
    <row r="6126" x14ac:dyDescent="0.35"/>
    <row r="6127" x14ac:dyDescent="0.35"/>
    <row r="6128" x14ac:dyDescent="0.35"/>
    <row r="6129" x14ac:dyDescent="0.35"/>
    <row r="6130" x14ac:dyDescent="0.35"/>
    <row r="6131" x14ac:dyDescent="0.35"/>
    <row r="6132" x14ac:dyDescent="0.35"/>
    <row r="6133" x14ac:dyDescent="0.35"/>
    <row r="6134" x14ac:dyDescent="0.35"/>
    <row r="6135" x14ac:dyDescent="0.35"/>
    <row r="6136" x14ac:dyDescent="0.35"/>
    <row r="6137" x14ac:dyDescent="0.35"/>
    <row r="6138" x14ac:dyDescent="0.35"/>
    <row r="6139" x14ac:dyDescent="0.35"/>
    <row r="6140" x14ac:dyDescent="0.35"/>
    <row r="6141" x14ac:dyDescent="0.35"/>
    <row r="6142" x14ac:dyDescent="0.35"/>
    <row r="6143" x14ac:dyDescent="0.35"/>
    <row r="6144" x14ac:dyDescent="0.35"/>
    <row r="6145" x14ac:dyDescent="0.35"/>
    <row r="6146" x14ac:dyDescent="0.35"/>
    <row r="6147" x14ac:dyDescent="0.35"/>
    <row r="6148" x14ac:dyDescent="0.35"/>
    <row r="6149" x14ac:dyDescent="0.35"/>
    <row r="6150" x14ac:dyDescent="0.35"/>
    <row r="6151" x14ac:dyDescent="0.35"/>
    <row r="6152" x14ac:dyDescent="0.35"/>
    <row r="6153" x14ac:dyDescent="0.35"/>
    <row r="6154" x14ac:dyDescent="0.35"/>
    <row r="6155" x14ac:dyDescent="0.35"/>
    <row r="6156" x14ac:dyDescent="0.35"/>
    <row r="6157" x14ac:dyDescent="0.35"/>
    <row r="6158" x14ac:dyDescent="0.35"/>
    <row r="6159" x14ac:dyDescent="0.35"/>
    <row r="6160" x14ac:dyDescent="0.35"/>
    <row r="6161" x14ac:dyDescent="0.35"/>
    <row r="6162" x14ac:dyDescent="0.35"/>
    <row r="6163" x14ac:dyDescent="0.35"/>
    <row r="6164" x14ac:dyDescent="0.35"/>
    <row r="6165" x14ac:dyDescent="0.35"/>
    <row r="6166" x14ac:dyDescent="0.35"/>
    <row r="6167" x14ac:dyDescent="0.35"/>
    <row r="6168" x14ac:dyDescent="0.35"/>
    <row r="6169" x14ac:dyDescent="0.35"/>
    <row r="6170" x14ac:dyDescent="0.35"/>
    <row r="6171" x14ac:dyDescent="0.35"/>
    <row r="6172" x14ac:dyDescent="0.35"/>
    <row r="6173" x14ac:dyDescent="0.35"/>
    <row r="6174" x14ac:dyDescent="0.35"/>
    <row r="6175" x14ac:dyDescent="0.35"/>
    <row r="6176" x14ac:dyDescent="0.35"/>
    <row r="6177" x14ac:dyDescent="0.35"/>
    <row r="6178" x14ac:dyDescent="0.35"/>
    <row r="6179" x14ac:dyDescent="0.35"/>
    <row r="6180" x14ac:dyDescent="0.35"/>
    <row r="6181" x14ac:dyDescent="0.35"/>
    <row r="6182" x14ac:dyDescent="0.35"/>
    <row r="6183" x14ac:dyDescent="0.35"/>
    <row r="6184" x14ac:dyDescent="0.35"/>
    <row r="6185" x14ac:dyDescent="0.35"/>
    <row r="6186" x14ac:dyDescent="0.35"/>
    <row r="6187" x14ac:dyDescent="0.35"/>
    <row r="6188" x14ac:dyDescent="0.35"/>
    <row r="6189" x14ac:dyDescent="0.35"/>
    <row r="6190" x14ac:dyDescent="0.35"/>
    <row r="6191" x14ac:dyDescent="0.35"/>
    <row r="6192" x14ac:dyDescent="0.35"/>
    <row r="6193" x14ac:dyDescent="0.35"/>
    <row r="6194" x14ac:dyDescent="0.35"/>
    <row r="6195" x14ac:dyDescent="0.35"/>
    <row r="6196" x14ac:dyDescent="0.35"/>
    <row r="6197" x14ac:dyDescent="0.35"/>
    <row r="6198" x14ac:dyDescent="0.35"/>
    <row r="6199" x14ac:dyDescent="0.35"/>
    <row r="6200" x14ac:dyDescent="0.35"/>
    <row r="6201" x14ac:dyDescent="0.35"/>
    <row r="6202" x14ac:dyDescent="0.35"/>
    <row r="6203" x14ac:dyDescent="0.35"/>
    <row r="6204" x14ac:dyDescent="0.35"/>
    <row r="6205" x14ac:dyDescent="0.35"/>
    <row r="6206" x14ac:dyDescent="0.35"/>
    <row r="6207" x14ac:dyDescent="0.35"/>
    <row r="6208" x14ac:dyDescent="0.35"/>
    <row r="6209" x14ac:dyDescent="0.35"/>
    <row r="6210" x14ac:dyDescent="0.35"/>
    <row r="6211" x14ac:dyDescent="0.35"/>
    <row r="6212" x14ac:dyDescent="0.35"/>
    <row r="6213" x14ac:dyDescent="0.35"/>
    <row r="6214" x14ac:dyDescent="0.35"/>
    <row r="6215" x14ac:dyDescent="0.35"/>
    <row r="6216" x14ac:dyDescent="0.35"/>
    <row r="6217" x14ac:dyDescent="0.35"/>
    <row r="6218" x14ac:dyDescent="0.35"/>
    <row r="6219" x14ac:dyDescent="0.35"/>
    <row r="6220" x14ac:dyDescent="0.35"/>
    <row r="6221" x14ac:dyDescent="0.35"/>
    <row r="6222" x14ac:dyDescent="0.35"/>
    <row r="6223" x14ac:dyDescent="0.35"/>
    <row r="6224" x14ac:dyDescent="0.35"/>
    <row r="6225" x14ac:dyDescent="0.35"/>
    <row r="6226" x14ac:dyDescent="0.35"/>
    <row r="6227" x14ac:dyDescent="0.35"/>
    <row r="6228" x14ac:dyDescent="0.35"/>
    <row r="6229" x14ac:dyDescent="0.35"/>
    <row r="6230" x14ac:dyDescent="0.35"/>
    <row r="6231" x14ac:dyDescent="0.35"/>
    <row r="6232" x14ac:dyDescent="0.35"/>
    <row r="6233" x14ac:dyDescent="0.35"/>
    <row r="6234" x14ac:dyDescent="0.35"/>
    <row r="6235" x14ac:dyDescent="0.35"/>
    <row r="6236" x14ac:dyDescent="0.35"/>
    <row r="6237" x14ac:dyDescent="0.35"/>
    <row r="6238" x14ac:dyDescent="0.35"/>
    <row r="6239" x14ac:dyDescent="0.35"/>
    <row r="6240" x14ac:dyDescent="0.35"/>
    <row r="6241" x14ac:dyDescent="0.35"/>
    <row r="6242" x14ac:dyDescent="0.35"/>
    <row r="6243" x14ac:dyDescent="0.35"/>
    <row r="6244" x14ac:dyDescent="0.35"/>
    <row r="6245" x14ac:dyDescent="0.35"/>
    <row r="6246" x14ac:dyDescent="0.35"/>
    <row r="6247" x14ac:dyDescent="0.35"/>
    <row r="6248" x14ac:dyDescent="0.35"/>
    <row r="6249" x14ac:dyDescent="0.35"/>
    <row r="6250" x14ac:dyDescent="0.35"/>
    <row r="6251" x14ac:dyDescent="0.35"/>
    <row r="6252" x14ac:dyDescent="0.35"/>
    <row r="6253" x14ac:dyDescent="0.35"/>
    <row r="6254" x14ac:dyDescent="0.35"/>
    <row r="6255" x14ac:dyDescent="0.35"/>
    <row r="6256" x14ac:dyDescent="0.35"/>
    <row r="6257" x14ac:dyDescent="0.35"/>
    <row r="6258" x14ac:dyDescent="0.35"/>
    <row r="6259" x14ac:dyDescent="0.35"/>
    <row r="6260" x14ac:dyDescent="0.35"/>
    <row r="6261" x14ac:dyDescent="0.35"/>
    <row r="6262" x14ac:dyDescent="0.35"/>
    <row r="6263" x14ac:dyDescent="0.35"/>
    <row r="6264" x14ac:dyDescent="0.35"/>
    <row r="6265" x14ac:dyDescent="0.35"/>
    <row r="6266" x14ac:dyDescent="0.35"/>
    <row r="6267" x14ac:dyDescent="0.35"/>
    <row r="6268" x14ac:dyDescent="0.35"/>
    <row r="6269" x14ac:dyDescent="0.35"/>
    <row r="6270" x14ac:dyDescent="0.35"/>
    <row r="6271" x14ac:dyDescent="0.35"/>
    <row r="6272" x14ac:dyDescent="0.35"/>
    <row r="6273" x14ac:dyDescent="0.35"/>
    <row r="6274" x14ac:dyDescent="0.35"/>
    <row r="6275" x14ac:dyDescent="0.35"/>
    <row r="6276" x14ac:dyDescent="0.35"/>
    <row r="6277" x14ac:dyDescent="0.35"/>
    <row r="6278" x14ac:dyDescent="0.35"/>
    <row r="6279" x14ac:dyDescent="0.35"/>
    <row r="6280" x14ac:dyDescent="0.35"/>
    <row r="6281" x14ac:dyDescent="0.35"/>
    <row r="6282" x14ac:dyDescent="0.35"/>
    <row r="6283" x14ac:dyDescent="0.35"/>
    <row r="6284" x14ac:dyDescent="0.35"/>
    <row r="6285" x14ac:dyDescent="0.35"/>
    <row r="6286" x14ac:dyDescent="0.35"/>
    <row r="6287" x14ac:dyDescent="0.35"/>
    <row r="6288" x14ac:dyDescent="0.35"/>
    <row r="6289" x14ac:dyDescent="0.35"/>
    <row r="6290" x14ac:dyDescent="0.35"/>
    <row r="6291" x14ac:dyDescent="0.35"/>
    <row r="6292" x14ac:dyDescent="0.35"/>
    <row r="6293" x14ac:dyDescent="0.35"/>
    <row r="6294" x14ac:dyDescent="0.35"/>
    <row r="6295" x14ac:dyDescent="0.35"/>
    <row r="6296" x14ac:dyDescent="0.35"/>
    <row r="6297" x14ac:dyDescent="0.35"/>
    <row r="6298" x14ac:dyDescent="0.35"/>
    <row r="6299" x14ac:dyDescent="0.35"/>
    <row r="6300" x14ac:dyDescent="0.35"/>
    <row r="6301" x14ac:dyDescent="0.35"/>
    <row r="6302" x14ac:dyDescent="0.35"/>
    <row r="6303" x14ac:dyDescent="0.35"/>
    <row r="6304" x14ac:dyDescent="0.35"/>
    <row r="6305" x14ac:dyDescent="0.35"/>
    <row r="6306" x14ac:dyDescent="0.35"/>
    <row r="6307" x14ac:dyDescent="0.35"/>
    <row r="6308" x14ac:dyDescent="0.35"/>
    <row r="6309" x14ac:dyDescent="0.35"/>
    <row r="6310" x14ac:dyDescent="0.35"/>
    <row r="6311" x14ac:dyDescent="0.35"/>
    <row r="6312" x14ac:dyDescent="0.35"/>
    <row r="6313" x14ac:dyDescent="0.35"/>
    <row r="6314" x14ac:dyDescent="0.35"/>
    <row r="6315" x14ac:dyDescent="0.35"/>
    <row r="6316" x14ac:dyDescent="0.35"/>
    <row r="6317" x14ac:dyDescent="0.35"/>
    <row r="6318" x14ac:dyDescent="0.35"/>
    <row r="6319" x14ac:dyDescent="0.35"/>
    <row r="6320" x14ac:dyDescent="0.35"/>
    <row r="6321" x14ac:dyDescent="0.35"/>
    <row r="6322" x14ac:dyDescent="0.35"/>
    <row r="6323" x14ac:dyDescent="0.35"/>
    <row r="6324" x14ac:dyDescent="0.35"/>
    <row r="6325" x14ac:dyDescent="0.35"/>
    <row r="6326" x14ac:dyDescent="0.35"/>
    <row r="6327" x14ac:dyDescent="0.35"/>
    <row r="6328" x14ac:dyDescent="0.35"/>
    <row r="6329" x14ac:dyDescent="0.35"/>
    <row r="6330" x14ac:dyDescent="0.35"/>
    <row r="6331" x14ac:dyDescent="0.35"/>
    <row r="6332" x14ac:dyDescent="0.35"/>
    <row r="6333" x14ac:dyDescent="0.35"/>
    <row r="6334" x14ac:dyDescent="0.35"/>
    <row r="6335" x14ac:dyDescent="0.35"/>
    <row r="6336" x14ac:dyDescent="0.35"/>
    <row r="6337" x14ac:dyDescent="0.35"/>
    <row r="6338" x14ac:dyDescent="0.35"/>
    <row r="6339" x14ac:dyDescent="0.35"/>
    <row r="6340" x14ac:dyDescent="0.35"/>
    <row r="6341" x14ac:dyDescent="0.35"/>
    <row r="6342" x14ac:dyDescent="0.35"/>
    <row r="6343" x14ac:dyDescent="0.35"/>
    <row r="6344" x14ac:dyDescent="0.35"/>
    <row r="6345" x14ac:dyDescent="0.35"/>
    <row r="6346" x14ac:dyDescent="0.35"/>
    <row r="6347" x14ac:dyDescent="0.35"/>
    <row r="6348" x14ac:dyDescent="0.35"/>
    <row r="6349" x14ac:dyDescent="0.35"/>
    <row r="6350" x14ac:dyDescent="0.35"/>
    <row r="6351" x14ac:dyDescent="0.35"/>
    <row r="6352" x14ac:dyDescent="0.35"/>
    <row r="6353" x14ac:dyDescent="0.35"/>
    <row r="6354" x14ac:dyDescent="0.35"/>
    <row r="6355" x14ac:dyDescent="0.35"/>
    <row r="6356" x14ac:dyDescent="0.35"/>
    <row r="6357" x14ac:dyDescent="0.35"/>
    <row r="6358" x14ac:dyDescent="0.35"/>
    <row r="6359" x14ac:dyDescent="0.35"/>
    <row r="6360" x14ac:dyDescent="0.35"/>
    <row r="6361" x14ac:dyDescent="0.35"/>
    <row r="6362" x14ac:dyDescent="0.35"/>
    <row r="6363" x14ac:dyDescent="0.35"/>
    <row r="6364" x14ac:dyDescent="0.35"/>
    <row r="6365" x14ac:dyDescent="0.35"/>
    <row r="6366" x14ac:dyDescent="0.35"/>
    <row r="6367" x14ac:dyDescent="0.35"/>
    <row r="6368" x14ac:dyDescent="0.35"/>
    <row r="6369" x14ac:dyDescent="0.35"/>
    <row r="6370" x14ac:dyDescent="0.35"/>
    <row r="6371" x14ac:dyDescent="0.35"/>
    <row r="6372" x14ac:dyDescent="0.35"/>
    <row r="6373" x14ac:dyDescent="0.35"/>
    <row r="6374" x14ac:dyDescent="0.35"/>
    <row r="6375" x14ac:dyDescent="0.35"/>
    <row r="6376" x14ac:dyDescent="0.35"/>
    <row r="6377" x14ac:dyDescent="0.35"/>
    <row r="6378" x14ac:dyDescent="0.35"/>
    <row r="6379" x14ac:dyDescent="0.35"/>
    <row r="6380" x14ac:dyDescent="0.35"/>
    <row r="6381" x14ac:dyDescent="0.35"/>
    <row r="6382" x14ac:dyDescent="0.35"/>
    <row r="6383" x14ac:dyDescent="0.35"/>
    <row r="6384" x14ac:dyDescent="0.35"/>
    <row r="6385" x14ac:dyDescent="0.35"/>
    <row r="6386" x14ac:dyDescent="0.35"/>
    <row r="6387" x14ac:dyDescent="0.35"/>
    <row r="6388" x14ac:dyDescent="0.35"/>
    <row r="6389" x14ac:dyDescent="0.35"/>
    <row r="6390" x14ac:dyDescent="0.35"/>
    <row r="6391" x14ac:dyDescent="0.35"/>
    <row r="6392" x14ac:dyDescent="0.35"/>
    <row r="6393" x14ac:dyDescent="0.35"/>
    <row r="6394" x14ac:dyDescent="0.35"/>
    <row r="6395" x14ac:dyDescent="0.35"/>
    <row r="6396" x14ac:dyDescent="0.35"/>
    <row r="6397" x14ac:dyDescent="0.35"/>
    <row r="6398" x14ac:dyDescent="0.35"/>
    <row r="6399" x14ac:dyDescent="0.35"/>
    <row r="6400" x14ac:dyDescent="0.35"/>
    <row r="6401" x14ac:dyDescent="0.35"/>
    <row r="6402" x14ac:dyDescent="0.35"/>
    <row r="6403" x14ac:dyDescent="0.35"/>
    <row r="6404" x14ac:dyDescent="0.35"/>
    <row r="6405" x14ac:dyDescent="0.35"/>
    <row r="6406" x14ac:dyDescent="0.35"/>
    <row r="6407" x14ac:dyDescent="0.35"/>
    <row r="6408" x14ac:dyDescent="0.35"/>
    <row r="6409" x14ac:dyDescent="0.35"/>
    <row r="6410" x14ac:dyDescent="0.35"/>
    <row r="6411" x14ac:dyDescent="0.35"/>
    <row r="6412" x14ac:dyDescent="0.35"/>
    <row r="6413" x14ac:dyDescent="0.35"/>
    <row r="6414" x14ac:dyDescent="0.35"/>
    <row r="6415" x14ac:dyDescent="0.35"/>
    <row r="6416" x14ac:dyDescent="0.35"/>
    <row r="6417" x14ac:dyDescent="0.35"/>
    <row r="6418" x14ac:dyDescent="0.35"/>
    <row r="6419" x14ac:dyDescent="0.35"/>
    <row r="6420" x14ac:dyDescent="0.35"/>
    <row r="6421" x14ac:dyDescent="0.35"/>
    <row r="6422" x14ac:dyDescent="0.35"/>
    <row r="6423" x14ac:dyDescent="0.35"/>
    <row r="6424" x14ac:dyDescent="0.35"/>
    <row r="6425" x14ac:dyDescent="0.35"/>
    <row r="6426" x14ac:dyDescent="0.35"/>
    <row r="6427" x14ac:dyDescent="0.35"/>
    <row r="6428" x14ac:dyDescent="0.35"/>
    <row r="6429" x14ac:dyDescent="0.35"/>
    <row r="6430" x14ac:dyDescent="0.35"/>
    <row r="6431" x14ac:dyDescent="0.35"/>
    <row r="6432" x14ac:dyDescent="0.35"/>
    <row r="6433" x14ac:dyDescent="0.35"/>
    <row r="6434" x14ac:dyDescent="0.35"/>
    <row r="6435" x14ac:dyDescent="0.35"/>
    <row r="6436" x14ac:dyDescent="0.35"/>
    <row r="6437" x14ac:dyDescent="0.35"/>
    <row r="6438" x14ac:dyDescent="0.35"/>
    <row r="6439" x14ac:dyDescent="0.35"/>
    <row r="6440" x14ac:dyDescent="0.35"/>
    <row r="6441" x14ac:dyDescent="0.35"/>
    <row r="6442" x14ac:dyDescent="0.35"/>
    <row r="6443" x14ac:dyDescent="0.35"/>
    <row r="6444" x14ac:dyDescent="0.35"/>
    <row r="6445" x14ac:dyDescent="0.35"/>
    <row r="6446" x14ac:dyDescent="0.35"/>
    <row r="6447" x14ac:dyDescent="0.35"/>
    <row r="6448" x14ac:dyDescent="0.35"/>
    <row r="6449" x14ac:dyDescent="0.35"/>
    <row r="6450" x14ac:dyDescent="0.35"/>
    <row r="6451" x14ac:dyDescent="0.35"/>
    <row r="6452" x14ac:dyDescent="0.35"/>
    <row r="6453" x14ac:dyDescent="0.35"/>
    <row r="6454" x14ac:dyDescent="0.35"/>
    <row r="6455" x14ac:dyDescent="0.35"/>
    <row r="6456" x14ac:dyDescent="0.35"/>
    <row r="6457" x14ac:dyDescent="0.35"/>
    <row r="6458" x14ac:dyDescent="0.35"/>
    <row r="6459" x14ac:dyDescent="0.35"/>
    <row r="6460" x14ac:dyDescent="0.35"/>
    <row r="6461" x14ac:dyDescent="0.35"/>
    <row r="6462" x14ac:dyDescent="0.35"/>
    <row r="6463" x14ac:dyDescent="0.35"/>
    <row r="6464" x14ac:dyDescent="0.35"/>
    <row r="6465" x14ac:dyDescent="0.35"/>
    <row r="6466" x14ac:dyDescent="0.35"/>
    <row r="6467" x14ac:dyDescent="0.35"/>
    <row r="6468" x14ac:dyDescent="0.35"/>
    <row r="6469" x14ac:dyDescent="0.35"/>
    <row r="6470" x14ac:dyDescent="0.35"/>
    <row r="6471" x14ac:dyDescent="0.35"/>
    <row r="6472" x14ac:dyDescent="0.35"/>
    <row r="6473" x14ac:dyDescent="0.35"/>
    <row r="6474" x14ac:dyDescent="0.35"/>
    <row r="6475" x14ac:dyDescent="0.35"/>
    <row r="6476" x14ac:dyDescent="0.35"/>
    <row r="6477" x14ac:dyDescent="0.35"/>
    <row r="6478" x14ac:dyDescent="0.35"/>
    <row r="6479" x14ac:dyDescent="0.35"/>
    <row r="6480" x14ac:dyDescent="0.35"/>
    <row r="6481" x14ac:dyDescent="0.35"/>
    <row r="6482" x14ac:dyDescent="0.35"/>
    <row r="6483" x14ac:dyDescent="0.35"/>
    <row r="6484" x14ac:dyDescent="0.35"/>
    <row r="6485" x14ac:dyDescent="0.35"/>
    <row r="6486" x14ac:dyDescent="0.35"/>
    <row r="6487" x14ac:dyDescent="0.35"/>
    <row r="6488" x14ac:dyDescent="0.35"/>
    <row r="6489" x14ac:dyDescent="0.35"/>
    <row r="6490" x14ac:dyDescent="0.35"/>
    <row r="6491" x14ac:dyDescent="0.35"/>
    <row r="6492" x14ac:dyDescent="0.35"/>
    <row r="6493" x14ac:dyDescent="0.35"/>
    <row r="6494" x14ac:dyDescent="0.35"/>
    <row r="6495" x14ac:dyDescent="0.35"/>
    <row r="6496" x14ac:dyDescent="0.35"/>
    <row r="6497" x14ac:dyDescent="0.35"/>
    <row r="6498" x14ac:dyDescent="0.35"/>
    <row r="6499" x14ac:dyDescent="0.35"/>
    <row r="6500" x14ac:dyDescent="0.35"/>
    <row r="6501" x14ac:dyDescent="0.35"/>
    <row r="6502" x14ac:dyDescent="0.35"/>
    <row r="6503" x14ac:dyDescent="0.35"/>
    <row r="6504" x14ac:dyDescent="0.35"/>
    <row r="6505" x14ac:dyDescent="0.35"/>
    <row r="6506" x14ac:dyDescent="0.35"/>
    <row r="6507" x14ac:dyDescent="0.35"/>
    <row r="6508" x14ac:dyDescent="0.35"/>
    <row r="6509" x14ac:dyDescent="0.35"/>
    <row r="6510" x14ac:dyDescent="0.35"/>
    <row r="6511" x14ac:dyDescent="0.35"/>
    <row r="6512" x14ac:dyDescent="0.35"/>
    <row r="6513" x14ac:dyDescent="0.35"/>
    <row r="6514" x14ac:dyDescent="0.35"/>
    <row r="6515" x14ac:dyDescent="0.35"/>
    <row r="6516" x14ac:dyDescent="0.35"/>
    <row r="6517" x14ac:dyDescent="0.35"/>
    <row r="6518" x14ac:dyDescent="0.35"/>
    <row r="6519" x14ac:dyDescent="0.35"/>
    <row r="6520" x14ac:dyDescent="0.35"/>
    <row r="6521" x14ac:dyDescent="0.35"/>
    <row r="6522" x14ac:dyDescent="0.35"/>
    <row r="6523" x14ac:dyDescent="0.35"/>
    <row r="6524" x14ac:dyDescent="0.35"/>
    <row r="6525" x14ac:dyDescent="0.35"/>
    <row r="6526" x14ac:dyDescent="0.35"/>
    <row r="6527" x14ac:dyDescent="0.35"/>
    <row r="6528" x14ac:dyDescent="0.35"/>
    <row r="6529" x14ac:dyDescent="0.35"/>
    <row r="6530" x14ac:dyDescent="0.35"/>
    <row r="6531" x14ac:dyDescent="0.35"/>
    <row r="6532" x14ac:dyDescent="0.35"/>
    <row r="6533" x14ac:dyDescent="0.35"/>
    <row r="6534" x14ac:dyDescent="0.35"/>
    <row r="6535" x14ac:dyDescent="0.35"/>
    <row r="6536" x14ac:dyDescent="0.35"/>
    <row r="6537" x14ac:dyDescent="0.35"/>
    <row r="6538" x14ac:dyDescent="0.35"/>
    <row r="6539" x14ac:dyDescent="0.35"/>
    <row r="6540" x14ac:dyDescent="0.35"/>
    <row r="6541" x14ac:dyDescent="0.35"/>
    <row r="6542" x14ac:dyDescent="0.35"/>
    <row r="6543" x14ac:dyDescent="0.35"/>
    <row r="6544" x14ac:dyDescent="0.35"/>
    <row r="6545" x14ac:dyDescent="0.35"/>
    <row r="6546" x14ac:dyDescent="0.35"/>
    <row r="6547" x14ac:dyDescent="0.35"/>
    <row r="6548" x14ac:dyDescent="0.35"/>
    <row r="6549" x14ac:dyDescent="0.35"/>
    <row r="6550" x14ac:dyDescent="0.35"/>
    <row r="6551" x14ac:dyDescent="0.35"/>
    <row r="6552" x14ac:dyDescent="0.35"/>
    <row r="6553" x14ac:dyDescent="0.35"/>
    <row r="6554" x14ac:dyDescent="0.35"/>
    <row r="6555" x14ac:dyDescent="0.35"/>
    <row r="6556" x14ac:dyDescent="0.35"/>
    <row r="6557" x14ac:dyDescent="0.35"/>
    <row r="6558" x14ac:dyDescent="0.35"/>
    <row r="6559" x14ac:dyDescent="0.35"/>
    <row r="6560" x14ac:dyDescent="0.35"/>
    <row r="6561" x14ac:dyDescent="0.35"/>
    <row r="6562" x14ac:dyDescent="0.35"/>
    <row r="6563" x14ac:dyDescent="0.35"/>
    <row r="6564" x14ac:dyDescent="0.35"/>
    <row r="6565" x14ac:dyDescent="0.35"/>
    <row r="6566" x14ac:dyDescent="0.35"/>
    <row r="6567" x14ac:dyDescent="0.35"/>
    <row r="6568" x14ac:dyDescent="0.35"/>
    <row r="6569" x14ac:dyDescent="0.35"/>
    <row r="6570" x14ac:dyDescent="0.35"/>
    <row r="6571" x14ac:dyDescent="0.35"/>
    <row r="6572" x14ac:dyDescent="0.35"/>
    <row r="6573" x14ac:dyDescent="0.35"/>
    <row r="6574" x14ac:dyDescent="0.35"/>
    <row r="6575" x14ac:dyDescent="0.35"/>
    <row r="6576" x14ac:dyDescent="0.35"/>
    <row r="6577" x14ac:dyDescent="0.35"/>
    <row r="6578" x14ac:dyDescent="0.35"/>
    <row r="6579" x14ac:dyDescent="0.35"/>
    <row r="6580" x14ac:dyDescent="0.35"/>
    <row r="6581" x14ac:dyDescent="0.35"/>
    <row r="6582" x14ac:dyDescent="0.35"/>
    <row r="6583" x14ac:dyDescent="0.35"/>
    <row r="6584" x14ac:dyDescent="0.35"/>
    <row r="6585" x14ac:dyDescent="0.35"/>
    <row r="6586" x14ac:dyDescent="0.35"/>
    <row r="6587" x14ac:dyDescent="0.35"/>
    <row r="6588" x14ac:dyDescent="0.35"/>
    <row r="6589" x14ac:dyDescent="0.35"/>
    <row r="6590" x14ac:dyDescent="0.35"/>
    <row r="6591" x14ac:dyDescent="0.35"/>
    <row r="6592" x14ac:dyDescent="0.35"/>
    <row r="6593" x14ac:dyDescent="0.35"/>
    <row r="6594" x14ac:dyDescent="0.35"/>
    <row r="6595" x14ac:dyDescent="0.35"/>
    <row r="6596" x14ac:dyDescent="0.35"/>
    <row r="6597" x14ac:dyDescent="0.35"/>
    <row r="6598" x14ac:dyDescent="0.35"/>
    <row r="6599" x14ac:dyDescent="0.35"/>
    <row r="6600" x14ac:dyDescent="0.35"/>
    <row r="6601" x14ac:dyDescent="0.35"/>
    <row r="6602" x14ac:dyDescent="0.35"/>
    <row r="6603" x14ac:dyDescent="0.35"/>
    <row r="6604" x14ac:dyDescent="0.35"/>
    <row r="6605" x14ac:dyDescent="0.35"/>
    <row r="6606" x14ac:dyDescent="0.35"/>
    <row r="6607" x14ac:dyDescent="0.35"/>
    <row r="6608" x14ac:dyDescent="0.35"/>
    <row r="6609" x14ac:dyDescent="0.35"/>
    <row r="6610" x14ac:dyDescent="0.35"/>
    <row r="6611" x14ac:dyDescent="0.35"/>
    <row r="6612" x14ac:dyDescent="0.35"/>
    <row r="6613" x14ac:dyDescent="0.35"/>
    <row r="6614" x14ac:dyDescent="0.35"/>
    <row r="6615" x14ac:dyDescent="0.35"/>
    <row r="6616" x14ac:dyDescent="0.35"/>
    <row r="6617" x14ac:dyDescent="0.35"/>
    <row r="6618" x14ac:dyDescent="0.35"/>
    <row r="6619" x14ac:dyDescent="0.35"/>
    <row r="6620" x14ac:dyDescent="0.35"/>
    <row r="6621" x14ac:dyDescent="0.35"/>
    <row r="6622" x14ac:dyDescent="0.35"/>
    <row r="6623" x14ac:dyDescent="0.35"/>
    <row r="6624" x14ac:dyDescent="0.35"/>
    <row r="6625" x14ac:dyDescent="0.35"/>
    <row r="6626" x14ac:dyDescent="0.35"/>
    <row r="6627" x14ac:dyDescent="0.35"/>
    <row r="6628" x14ac:dyDescent="0.35"/>
    <row r="6629" x14ac:dyDescent="0.35"/>
    <row r="6630" x14ac:dyDescent="0.35"/>
    <row r="6631" x14ac:dyDescent="0.35"/>
    <row r="6632" x14ac:dyDescent="0.35"/>
    <row r="6633" x14ac:dyDescent="0.35"/>
    <row r="6634" x14ac:dyDescent="0.35"/>
    <row r="6635" x14ac:dyDescent="0.35"/>
    <row r="6636" x14ac:dyDescent="0.35"/>
    <row r="6637" x14ac:dyDescent="0.35"/>
    <row r="6638" x14ac:dyDescent="0.35"/>
    <row r="6639" x14ac:dyDescent="0.35"/>
    <row r="6640" x14ac:dyDescent="0.35"/>
    <row r="6641" x14ac:dyDescent="0.35"/>
    <row r="6642" x14ac:dyDescent="0.35"/>
    <row r="6643" x14ac:dyDescent="0.35"/>
    <row r="6644" x14ac:dyDescent="0.35"/>
    <row r="6645" x14ac:dyDescent="0.35"/>
    <row r="6646" x14ac:dyDescent="0.35"/>
    <row r="6647" x14ac:dyDescent="0.35"/>
    <row r="6648" x14ac:dyDescent="0.35"/>
    <row r="6649" x14ac:dyDescent="0.35"/>
    <row r="6650" x14ac:dyDescent="0.35"/>
    <row r="6651" x14ac:dyDescent="0.35"/>
    <row r="6652" x14ac:dyDescent="0.35"/>
    <row r="6653" x14ac:dyDescent="0.35"/>
    <row r="6654" x14ac:dyDescent="0.35"/>
    <row r="6655" x14ac:dyDescent="0.35"/>
    <row r="6656" x14ac:dyDescent="0.35"/>
    <row r="6657" x14ac:dyDescent="0.35"/>
    <row r="6658" x14ac:dyDescent="0.35"/>
    <row r="6659" x14ac:dyDescent="0.35"/>
    <row r="6660" x14ac:dyDescent="0.35"/>
    <row r="6661" x14ac:dyDescent="0.35"/>
    <row r="6662" x14ac:dyDescent="0.35"/>
    <row r="6663" x14ac:dyDescent="0.35"/>
    <row r="6664" x14ac:dyDescent="0.35"/>
    <row r="6665" x14ac:dyDescent="0.35"/>
    <row r="6666" x14ac:dyDescent="0.35"/>
    <row r="6667" x14ac:dyDescent="0.35"/>
    <row r="6668" x14ac:dyDescent="0.35"/>
    <row r="6669" x14ac:dyDescent="0.35"/>
    <row r="6670" x14ac:dyDescent="0.35"/>
    <row r="6671" x14ac:dyDescent="0.35"/>
    <row r="6672" x14ac:dyDescent="0.35"/>
    <row r="6673" x14ac:dyDescent="0.35"/>
    <row r="6674" x14ac:dyDescent="0.35"/>
    <row r="6675" x14ac:dyDescent="0.35"/>
    <row r="6676" x14ac:dyDescent="0.35"/>
    <row r="6677" x14ac:dyDescent="0.35"/>
    <row r="6678" x14ac:dyDescent="0.35"/>
    <row r="6679" x14ac:dyDescent="0.35"/>
    <row r="6680" x14ac:dyDescent="0.35"/>
    <row r="6681" x14ac:dyDescent="0.35"/>
    <row r="6682" x14ac:dyDescent="0.35"/>
    <row r="6683" x14ac:dyDescent="0.35"/>
    <row r="6684" x14ac:dyDescent="0.35"/>
    <row r="6685" x14ac:dyDescent="0.35"/>
    <row r="6686" x14ac:dyDescent="0.35"/>
    <row r="6687" x14ac:dyDescent="0.35"/>
    <row r="6688" x14ac:dyDescent="0.35"/>
    <row r="6689" x14ac:dyDescent="0.35"/>
    <row r="6690" x14ac:dyDescent="0.35"/>
    <row r="6691" x14ac:dyDescent="0.35"/>
    <row r="6692" x14ac:dyDescent="0.35"/>
    <row r="6693" x14ac:dyDescent="0.35"/>
    <row r="6694" x14ac:dyDescent="0.35"/>
    <row r="6695" x14ac:dyDescent="0.35"/>
    <row r="6696" x14ac:dyDescent="0.35"/>
    <row r="6697" x14ac:dyDescent="0.35"/>
    <row r="6698" x14ac:dyDescent="0.35"/>
    <row r="6699" x14ac:dyDescent="0.35"/>
    <row r="6700" x14ac:dyDescent="0.35"/>
    <row r="6701" x14ac:dyDescent="0.35"/>
    <row r="6702" x14ac:dyDescent="0.35"/>
    <row r="6703" x14ac:dyDescent="0.35"/>
    <row r="6704" x14ac:dyDescent="0.35"/>
    <row r="6705" x14ac:dyDescent="0.35"/>
    <row r="6706" x14ac:dyDescent="0.35"/>
    <row r="6707" x14ac:dyDescent="0.35"/>
    <row r="6708" x14ac:dyDescent="0.35"/>
    <row r="6709" x14ac:dyDescent="0.35"/>
    <row r="6710" x14ac:dyDescent="0.35"/>
    <row r="6711" x14ac:dyDescent="0.35"/>
    <row r="6712" x14ac:dyDescent="0.35"/>
    <row r="6713" x14ac:dyDescent="0.35"/>
    <row r="6714" x14ac:dyDescent="0.35"/>
    <row r="6715" x14ac:dyDescent="0.35"/>
    <row r="6716" x14ac:dyDescent="0.35"/>
    <row r="6717" x14ac:dyDescent="0.35"/>
    <row r="6718" x14ac:dyDescent="0.35"/>
    <row r="6719" x14ac:dyDescent="0.35"/>
    <row r="6720" x14ac:dyDescent="0.35"/>
    <row r="6721" x14ac:dyDescent="0.35"/>
    <row r="6722" x14ac:dyDescent="0.35"/>
    <row r="6723" x14ac:dyDescent="0.35"/>
    <row r="6724" x14ac:dyDescent="0.35"/>
    <row r="6725" x14ac:dyDescent="0.35"/>
    <row r="6726" x14ac:dyDescent="0.35"/>
    <row r="6727" x14ac:dyDescent="0.35"/>
    <row r="6728" x14ac:dyDescent="0.35"/>
    <row r="6729" x14ac:dyDescent="0.35"/>
    <row r="6730" x14ac:dyDescent="0.35"/>
    <row r="6731" x14ac:dyDescent="0.35"/>
    <row r="6732" x14ac:dyDescent="0.35"/>
    <row r="6733" x14ac:dyDescent="0.35"/>
    <row r="6734" x14ac:dyDescent="0.35"/>
    <row r="6735" x14ac:dyDescent="0.35"/>
    <row r="6736" x14ac:dyDescent="0.35"/>
    <row r="6737" x14ac:dyDescent="0.35"/>
    <row r="6738" x14ac:dyDescent="0.35"/>
    <row r="6739" x14ac:dyDescent="0.35"/>
    <row r="6740" x14ac:dyDescent="0.35"/>
    <row r="6741" x14ac:dyDescent="0.35"/>
    <row r="6742" x14ac:dyDescent="0.35"/>
    <row r="6743" x14ac:dyDescent="0.35"/>
    <row r="6744" x14ac:dyDescent="0.35"/>
    <row r="6745" x14ac:dyDescent="0.35"/>
    <row r="6746" x14ac:dyDescent="0.35"/>
    <row r="6747" x14ac:dyDescent="0.35"/>
    <row r="6748" x14ac:dyDescent="0.35"/>
    <row r="6749" x14ac:dyDescent="0.35"/>
    <row r="6750" x14ac:dyDescent="0.35"/>
    <row r="6751" x14ac:dyDescent="0.35"/>
    <row r="6752" x14ac:dyDescent="0.35"/>
    <row r="6753" x14ac:dyDescent="0.35"/>
    <row r="6754" x14ac:dyDescent="0.35"/>
    <row r="6755" x14ac:dyDescent="0.35"/>
    <row r="6756" x14ac:dyDescent="0.35"/>
    <row r="6757" x14ac:dyDescent="0.35"/>
    <row r="6758" x14ac:dyDescent="0.35"/>
    <row r="6759" x14ac:dyDescent="0.35"/>
    <row r="6760" x14ac:dyDescent="0.35"/>
    <row r="6761" x14ac:dyDescent="0.35"/>
    <row r="6762" x14ac:dyDescent="0.35"/>
    <row r="6763" x14ac:dyDescent="0.35"/>
    <row r="6764" x14ac:dyDescent="0.35"/>
    <row r="6765" x14ac:dyDescent="0.35"/>
    <row r="6766" x14ac:dyDescent="0.35"/>
    <row r="6767" x14ac:dyDescent="0.35"/>
    <row r="6768" x14ac:dyDescent="0.35"/>
    <row r="6769" x14ac:dyDescent="0.35"/>
    <row r="6770" x14ac:dyDescent="0.35"/>
    <row r="6771" x14ac:dyDescent="0.35"/>
    <row r="6772" x14ac:dyDescent="0.35"/>
    <row r="6773" x14ac:dyDescent="0.35"/>
    <row r="6774" x14ac:dyDescent="0.35"/>
    <row r="6775" x14ac:dyDescent="0.35"/>
    <row r="6776" x14ac:dyDescent="0.35"/>
    <row r="6777" x14ac:dyDescent="0.35"/>
    <row r="6778" x14ac:dyDescent="0.35"/>
    <row r="6779" x14ac:dyDescent="0.35"/>
    <row r="6780" x14ac:dyDescent="0.35"/>
    <row r="6781" x14ac:dyDescent="0.35"/>
    <row r="6782" x14ac:dyDescent="0.35"/>
    <row r="6783" x14ac:dyDescent="0.35"/>
    <row r="6784" x14ac:dyDescent="0.35"/>
    <row r="6785" x14ac:dyDescent="0.35"/>
    <row r="6786" x14ac:dyDescent="0.35"/>
    <row r="6787" x14ac:dyDescent="0.35"/>
    <row r="6788" x14ac:dyDescent="0.35"/>
    <row r="6789" x14ac:dyDescent="0.35"/>
    <row r="6790" x14ac:dyDescent="0.35"/>
    <row r="6791" x14ac:dyDescent="0.35"/>
    <row r="6792" x14ac:dyDescent="0.35"/>
    <row r="6793" x14ac:dyDescent="0.35"/>
    <row r="6794" x14ac:dyDescent="0.35"/>
    <row r="6795" x14ac:dyDescent="0.35"/>
    <row r="6796" x14ac:dyDescent="0.35"/>
    <row r="6797" x14ac:dyDescent="0.35"/>
    <row r="6798" x14ac:dyDescent="0.35"/>
    <row r="6799" x14ac:dyDescent="0.35"/>
    <row r="6800" x14ac:dyDescent="0.35"/>
    <row r="6801" x14ac:dyDescent="0.35"/>
    <row r="6802" x14ac:dyDescent="0.35"/>
    <row r="6803" x14ac:dyDescent="0.35"/>
    <row r="6804" x14ac:dyDescent="0.35"/>
    <row r="6805" x14ac:dyDescent="0.35"/>
    <row r="6806" x14ac:dyDescent="0.35"/>
    <row r="6807" x14ac:dyDescent="0.35"/>
    <row r="6808" x14ac:dyDescent="0.35"/>
    <row r="6809" x14ac:dyDescent="0.35"/>
    <row r="6810" x14ac:dyDescent="0.35"/>
    <row r="6811" x14ac:dyDescent="0.35"/>
    <row r="6812" x14ac:dyDescent="0.35"/>
    <row r="6813" x14ac:dyDescent="0.35"/>
    <row r="6814" x14ac:dyDescent="0.35"/>
    <row r="6815" x14ac:dyDescent="0.35"/>
    <row r="6816" x14ac:dyDescent="0.35"/>
    <row r="6817" x14ac:dyDescent="0.35"/>
    <row r="6818" x14ac:dyDescent="0.35"/>
    <row r="6819" x14ac:dyDescent="0.35"/>
    <row r="6820" x14ac:dyDescent="0.35"/>
    <row r="6821" x14ac:dyDescent="0.35"/>
    <row r="6822" x14ac:dyDescent="0.35"/>
    <row r="6823" x14ac:dyDescent="0.35"/>
    <row r="6824" x14ac:dyDescent="0.35"/>
    <row r="6825" x14ac:dyDescent="0.35"/>
    <row r="6826" x14ac:dyDescent="0.35"/>
    <row r="6827" x14ac:dyDescent="0.35"/>
    <row r="6828" x14ac:dyDescent="0.35"/>
    <row r="6829" x14ac:dyDescent="0.35"/>
    <row r="6830" x14ac:dyDescent="0.35"/>
    <row r="6831" x14ac:dyDescent="0.35"/>
    <row r="6832" x14ac:dyDescent="0.35"/>
    <row r="6833" x14ac:dyDescent="0.35"/>
    <row r="6834" x14ac:dyDescent="0.35"/>
    <row r="6835" x14ac:dyDescent="0.35"/>
    <row r="6836" x14ac:dyDescent="0.35"/>
    <row r="6837" x14ac:dyDescent="0.35"/>
    <row r="6838" x14ac:dyDescent="0.35"/>
    <row r="6839" x14ac:dyDescent="0.35"/>
    <row r="6840" x14ac:dyDescent="0.35"/>
    <row r="6841" x14ac:dyDescent="0.35"/>
    <row r="6842" x14ac:dyDescent="0.35"/>
    <row r="6843" x14ac:dyDescent="0.35"/>
    <row r="6844" x14ac:dyDescent="0.35"/>
    <row r="6845" x14ac:dyDescent="0.35"/>
    <row r="6846" x14ac:dyDescent="0.35"/>
    <row r="6847" x14ac:dyDescent="0.35"/>
    <row r="6848" x14ac:dyDescent="0.35"/>
    <row r="6849" x14ac:dyDescent="0.35"/>
    <row r="6850" x14ac:dyDescent="0.35"/>
    <row r="6851" x14ac:dyDescent="0.35"/>
    <row r="6852" x14ac:dyDescent="0.35"/>
    <row r="6853" x14ac:dyDescent="0.35"/>
    <row r="6854" x14ac:dyDescent="0.35"/>
    <row r="6855" x14ac:dyDescent="0.35"/>
    <row r="6856" x14ac:dyDescent="0.35"/>
    <row r="6857" x14ac:dyDescent="0.35"/>
    <row r="6858" x14ac:dyDescent="0.35"/>
    <row r="6859" x14ac:dyDescent="0.35"/>
    <row r="6860" x14ac:dyDescent="0.35"/>
    <row r="6861" x14ac:dyDescent="0.35"/>
    <row r="6862" x14ac:dyDescent="0.35"/>
    <row r="6863" x14ac:dyDescent="0.35"/>
    <row r="6864" x14ac:dyDescent="0.35"/>
    <row r="6865" x14ac:dyDescent="0.35"/>
    <row r="6866" x14ac:dyDescent="0.35"/>
    <row r="6867" x14ac:dyDescent="0.35"/>
    <row r="6868" x14ac:dyDescent="0.35"/>
    <row r="6869" x14ac:dyDescent="0.35"/>
    <row r="6870" x14ac:dyDescent="0.35"/>
    <row r="6871" x14ac:dyDescent="0.35"/>
    <row r="6872" x14ac:dyDescent="0.35"/>
    <row r="6873" x14ac:dyDescent="0.35"/>
    <row r="6874" x14ac:dyDescent="0.35"/>
    <row r="6875" x14ac:dyDescent="0.35"/>
    <row r="6876" x14ac:dyDescent="0.35"/>
    <row r="6877" x14ac:dyDescent="0.35"/>
    <row r="6878" x14ac:dyDescent="0.35"/>
    <row r="6879" x14ac:dyDescent="0.35"/>
    <row r="6880" x14ac:dyDescent="0.35"/>
    <row r="6881" x14ac:dyDescent="0.35"/>
    <row r="6882" x14ac:dyDescent="0.35"/>
    <row r="6883" x14ac:dyDescent="0.35"/>
    <row r="6884" x14ac:dyDescent="0.35"/>
    <row r="6885" x14ac:dyDescent="0.35"/>
    <row r="6886" x14ac:dyDescent="0.35"/>
    <row r="6887" x14ac:dyDescent="0.35"/>
    <row r="6888" x14ac:dyDescent="0.35"/>
    <row r="6889" x14ac:dyDescent="0.35"/>
    <row r="6890" x14ac:dyDescent="0.35"/>
    <row r="6891" x14ac:dyDescent="0.35"/>
    <row r="6892" x14ac:dyDescent="0.35"/>
    <row r="6893" x14ac:dyDescent="0.35"/>
    <row r="6894" x14ac:dyDescent="0.35"/>
    <row r="6895" x14ac:dyDescent="0.35"/>
    <row r="6896" x14ac:dyDescent="0.35"/>
    <row r="6897" x14ac:dyDescent="0.35"/>
    <row r="6898" x14ac:dyDescent="0.35"/>
    <row r="6899" x14ac:dyDescent="0.35"/>
    <row r="6900" x14ac:dyDescent="0.35"/>
    <row r="6901" x14ac:dyDescent="0.35"/>
    <row r="6902" x14ac:dyDescent="0.35"/>
    <row r="6903" x14ac:dyDescent="0.35"/>
    <row r="6904" x14ac:dyDescent="0.35"/>
    <row r="6905" x14ac:dyDescent="0.35"/>
    <row r="6906" x14ac:dyDescent="0.35"/>
    <row r="6907" x14ac:dyDescent="0.35"/>
    <row r="6908" x14ac:dyDescent="0.35"/>
    <row r="6909" x14ac:dyDescent="0.35"/>
    <row r="6910" x14ac:dyDescent="0.35"/>
    <row r="6911" x14ac:dyDescent="0.35"/>
    <row r="6912" x14ac:dyDescent="0.35"/>
    <row r="6913" x14ac:dyDescent="0.35"/>
    <row r="6914" x14ac:dyDescent="0.35"/>
    <row r="6915" x14ac:dyDescent="0.35"/>
    <row r="6916" x14ac:dyDescent="0.35"/>
    <row r="6917" x14ac:dyDescent="0.35"/>
    <row r="6918" x14ac:dyDescent="0.35"/>
    <row r="6919" x14ac:dyDescent="0.35"/>
    <row r="6920" x14ac:dyDescent="0.35"/>
    <row r="6921" x14ac:dyDescent="0.35"/>
    <row r="6922" x14ac:dyDescent="0.35"/>
    <row r="6923" x14ac:dyDescent="0.35"/>
    <row r="6924" x14ac:dyDescent="0.35"/>
    <row r="6925" x14ac:dyDescent="0.35"/>
    <row r="6926" x14ac:dyDescent="0.35"/>
    <row r="6927" x14ac:dyDescent="0.35"/>
    <row r="6928" x14ac:dyDescent="0.35"/>
    <row r="6929" x14ac:dyDescent="0.35"/>
    <row r="6930" x14ac:dyDescent="0.35"/>
    <row r="6931" x14ac:dyDescent="0.35"/>
    <row r="6932" x14ac:dyDescent="0.35"/>
    <row r="6933" x14ac:dyDescent="0.35"/>
    <row r="6934" x14ac:dyDescent="0.35"/>
    <row r="6935" x14ac:dyDescent="0.35"/>
    <row r="6936" x14ac:dyDescent="0.35"/>
    <row r="6937" x14ac:dyDescent="0.35"/>
    <row r="6938" x14ac:dyDescent="0.35"/>
    <row r="6939" x14ac:dyDescent="0.35"/>
    <row r="6940" x14ac:dyDescent="0.35"/>
    <row r="6941" x14ac:dyDescent="0.35"/>
    <row r="6942" x14ac:dyDescent="0.35"/>
    <row r="6943" x14ac:dyDescent="0.35"/>
    <row r="6944" x14ac:dyDescent="0.35"/>
    <row r="6945" x14ac:dyDescent="0.35"/>
    <row r="6946" x14ac:dyDescent="0.35"/>
    <row r="6947" x14ac:dyDescent="0.35"/>
    <row r="6948" x14ac:dyDescent="0.35"/>
    <row r="6949" x14ac:dyDescent="0.35"/>
    <row r="6950" x14ac:dyDescent="0.35"/>
    <row r="6951" x14ac:dyDescent="0.35"/>
    <row r="6952" x14ac:dyDescent="0.35"/>
    <row r="6953" x14ac:dyDescent="0.35"/>
    <row r="6954" x14ac:dyDescent="0.35"/>
    <row r="6955" x14ac:dyDescent="0.35"/>
    <row r="6956" x14ac:dyDescent="0.35"/>
    <row r="6957" x14ac:dyDescent="0.35"/>
    <row r="6958" x14ac:dyDescent="0.35"/>
    <row r="6959" x14ac:dyDescent="0.35"/>
    <row r="6960" x14ac:dyDescent="0.35"/>
    <row r="6961" x14ac:dyDescent="0.35"/>
    <row r="6962" x14ac:dyDescent="0.35"/>
    <row r="6963" x14ac:dyDescent="0.35"/>
    <row r="6964" x14ac:dyDescent="0.35"/>
    <row r="6965" x14ac:dyDescent="0.35"/>
    <row r="6966" x14ac:dyDescent="0.35"/>
    <row r="6967" x14ac:dyDescent="0.35"/>
    <row r="6968" x14ac:dyDescent="0.35"/>
    <row r="6969" x14ac:dyDescent="0.35"/>
    <row r="6970" x14ac:dyDescent="0.35"/>
    <row r="6971" x14ac:dyDescent="0.35"/>
    <row r="6972" x14ac:dyDescent="0.35"/>
    <row r="6973" x14ac:dyDescent="0.35"/>
    <row r="6974" x14ac:dyDescent="0.35"/>
    <row r="6975" x14ac:dyDescent="0.35"/>
    <row r="6976" x14ac:dyDescent="0.35"/>
    <row r="6977" x14ac:dyDescent="0.35"/>
    <row r="6978" x14ac:dyDescent="0.35"/>
    <row r="6979" x14ac:dyDescent="0.35"/>
    <row r="6980" x14ac:dyDescent="0.35"/>
    <row r="6981" x14ac:dyDescent="0.35"/>
    <row r="6982" x14ac:dyDescent="0.35"/>
    <row r="6983" x14ac:dyDescent="0.35"/>
    <row r="6984" x14ac:dyDescent="0.35"/>
    <row r="6985" x14ac:dyDescent="0.35"/>
    <row r="6986" x14ac:dyDescent="0.35"/>
    <row r="6987" x14ac:dyDescent="0.35"/>
    <row r="6988" x14ac:dyDescent="0.35"/>
    <row r="6989" x14ac:dyDescent="0.35"/>
    <row r="6990" x14ac:dyDescent="0.35"/>
    <row r="6991" x14ac:dyDescent="0.35"/>
    <row r="6992" x14ac:dyDescent="0.35"/>
    <row r="6993" x14ac:dyDescent="0.35"/>
    <row r="6994" x14ac:dyDescent="0.35"/>
    <row r="6995" x14ac:dyDescent="0.35"/>
    <row r="6996" x14ac:dyDescent="0.35"/>
    <row r="6997" x14ac:dyDescent="0.35"/>
    <row r="6998" x14ac:dyDescent="0.35"/>
    <row r="6999" x14ac:dyDescent="0.35"/>
    <row r="7000" x14ac:dyDescent="0.35"/>
    <row r="7001" x14ac:dyDescent="0.35"/>
    <row r="7002" x14ac:dyDescent="0.35"/>
    <row r="7003" x14ac:dyDescent="0.35"/>
    <row r="7004" x14ac:dyDescent="0.35"/>
    <row r="7005" x14ac:dyDescent="0.35"/>
    <row r="7006" x14ac:dyDescent="0.35"/>
    <row r="7007" x14ac:dyDescent="0.35"/>
    <row r="7008" x14ac:dyDescent="0.35"/>
    <row r="7009" x14ac:dyDescent="0.35"/>
    <row r="7010" x14ac:dyDescent="0.35"/>
    <row r="7011" x14ac:dyDescent="0.35"/>
    <row r="7012" x14ac:dyDescent="0.35"/>
    <row r="7013" x14ac:dyDescent="0.35"/>
    <row r="7014" x14ac:dyDescent="0.35"/>
    <row r="7015" x14ac:dyDescent="0.35"/>
    <row r="7016" x14ac:dyDescent="0.35"/>
    <row r="7017" x14ac:dyDescent="0.35"/>
    <row r="7018" x14ac:dyDescent="0.35"/>
    <row r="7019" x14ac:dyDescent="0.35"/>
    <row r="7020" x14ac:dyDescent="0.35"/>
    <row r="7021" x14ac:dyDescent="0.35"/>
    <row r="7022" x14ac:dyDescent="0.35"/>
    <row r="7023" x14ac:dyDescent="0.35"/>
    <row r="7024" x14ac:dyDescent="0.35"/>
    <row r="7025" x14ac:dyDescent="0.35"/>
    <row r="7026" x14ac:dyDescent="0.35"/>
    <row r="7027" x14ac:dyDescent="0.35"/>
    <row r="7028" x14ac:dyDescent="0.35"/>
    <row r="7029" x14ac:dyDescent="0.35"/>
    <row r="7030" x14ac:dyDescent="0.35"/>
    <row r="7031" x14ac:dyDescent="0.35"/>
    <row r="7032" x14ac:dyDescent="0.35"/>
    <row r="7033" x14ac:dyDescent="0.35"/>
    <row r="7034" x14ac:dyDescent="0.35"/>
    <row r="7035" x14ac:dyDescent="0.35"/>
    <row r="7036" x14ac:dyDescent="0.35"/>
    <row r="7037" x14ac:dyDescent="0.35"/>
    <row r="7038" x14ac:dyDescent="0.35"/>
    <row r="7039" x14ac:dyDescent="0.35"/>
    <row r="7040" x14ac:dyDescent="0.35"/>
    <row r="7041" x14ac:dyDescent="0.35"/>
    <row r="7042" x14ac:dyDescent="0.35"/>
    <row r="7043" x14ac:dyDescent="0.35"/>
    <row r="7044" x14ac:dyDescent="0.35"/>
    <row r="7045" x14ac:dyDescent="0.35"/>
    <row r="7046" x14ac:dyDescent="0.35"/>
    <row r="7047" x14ac:dyDescent="0.35"/>
    <row r="7048" x14ac:dyDescent="0.35"/>
    <row r="7049" x14ac:dyDescent="0.35"/>
    <row r="7050" x14ac:dyDescent="0.35"/>
    <row r="7051" x14ac:dyDescent="0.35"/>
    <row r="7052" x14ac:dyDescent="0.35"/>
    <row r="7053" x14ac:dyDescent="0.35"/>
    <row r="7054" x14ac:dyDescent="0.35"/>
    <row r="7055" x14ac:dyDescent="0.35"/>
    <row r="7056" x14ac:dyDescent="0.35"/>
    <row r="7057" x14ac:dyDescent="0.35"/>
    <row r="7058" x14ac:dyDescent="0.35"/>
    <row r="7059" x14ac:dyDescent="0.35"/>
    <row r="7060" x14ac:dyDescent="0.35"/>
    <row r="7061" x14ac:dyDescent="0.35"/>
    <row r="7062" x14ac:dyDescent="0.35"/>
    <row r="7063" x14ac:dyDescent="0.35"/>
    <row r="7064" x14ac:dyDescent="0.35"/>
    <row r="7065" x14ac:dyDescent="0.35"/>
    <row r="7066" x14ac:dyDescent="0.35"/>
    <row r="7067" x14ac:dyDescent="0.35"/>
    <row r="7068" x14ac:dyDescent="0.35"/>
    <row r="7069" x14ac:dyDescent="0.35"/>
    <row r="7070" x14ac:dyDescent="0.35"/>
    <row r="7071" x14ac:dyDescent="0.35"/>
    <row r="7072" x14ac:dyDescent="0.35"/>
    <row r="7073" x14ac:dyDescent="0.35"/>
    <row r="7074" x14ac:dyDescent="0.35"/>
    <row r="7075" x14ac:dyDescent="0.35"/>
    <row r="7076" x14ac:dyDescent="0.35"/>
    <row r="7077" x14ac:dyDescent="0.35"/>
    <row r="7078" x14ac:dyDescent="0.35"/>
    <row r="7079" x14ac:dyDescent="0.35"/>
    <row r="7080" x14ac:dyDescent="0.35"/>
    <row r="7081" x14ac:dyDescent="0.35"/>
    <row r="7082" x14ac:dyDescent="0.35"/>
    <row r="7083" x14ac:dyDescent="0.35"/>
    <row r="7084" x14ac:dyDescent="0.35"/>
    <row r="7085" x14ac:dyDescent="0.35"/>
    <row r="7086" x14ac:dyDescent="0.35"/>
    <row r="7087" x14ac:dyDescent="0.35"/>
    <row r="7088" x14ac:dyDescent="0.35"/>
    <row r="7089" x14ac:dyDescent="0.35"/>
    <row r="7090" x14ac:dyDescent="0.35"/>
    <row r="7091" x14ac:dyDescent="0.35"/>
    <row r="7092" x14ac:dyDescent="0.35"/>
    <row r="7093" x14ac:dyDescent="0.35"/>
    <row r="7094" x14ac:dyDescent="0.35"/>
    <row r="7095" x14ac:dyDescent="0.35"/>
    <row r="7096" x14ac:dyDescent="0.35"/>
    <row r="7097" x14ac:dyDescent="0.35"/>
    <row r="7098" x14ac:dyDescent="0.35"/>
    <row r="7099" x14ac:dyDescent="0.35"/>
    <row r="7100" x14ac:dyDescent="0.35"/>
    <row r="7101" x14ac:dyDescent="0.35"/>
    <row r="7102" x14ac:dyDescent="0.35"/>
    <row r="7103" x14ac:dyDescent="0.35"/>
    <row r="7104" x14ac:dyDescent="0.35"/>
    <row r="7105" x14ac:dyDescent="0.35"/>
    <row r="7106" x14ac:dyDescent="0.35"/>
    <row r="7107" x14ac:dyDescent="0.35"/>
    <row r="7108" x14ac:dyDescent="0.35"/>
    <row r="7109" x14ac:dyDescent="0.35"/>
    <row r="7110" x14ac:dyDescent="0.35"/>
    <row r="7111" x14ac:dyDescent="0.35"/>
    <row r="7112" x14ac:dyDescent="0.35"/>
    <row r="7113" x14ac:dyDescent="0.35"/>
    <row r="7114" x14ac:dyDescent="0.35"/>
    <row r="7115" x14ac:dyDescent="0.35"/>
    <row r="7116" x14ac:dyDescent="0.35"/>
    <row r="7117" x14ac:dyDescent="0.35"/>
    <row r="7118" x14ac:dyDescent="0.35"/>
    <row r="7119" x14ac:dyDescent="0.35"/>
    <row r="7120" x14ac:dyDescent="0.35"/>
    <row r="7121" x14ac:dyDescent="0.35"/>
    <row r="7122" x14ac:dyDescent="0.35"/>
    <row r="7123" x14ac:dyDescent="0.35"/>
    <row r="7124" x14ac:dyDescent="0.35"/>
    <row r="7125" x14ac:dyDescent="0.35"/>
    <row r="7126" x14ac:dyDescent="0.35"/>
    <row r="7127" x14ac:dyDescent="0.35"/>
    <row r="7128" x14ac:dyDescent="0.35"/>
    <row r="7129" x14ac:dyDescent="0.35"/>
    <row r="7130" x14ac:dyDescent="0.35"/>
    <row r="7131" x14ac:dyDescent="0.35"/>
    <row r="7132" x14ac:dyDescent="0.35"/>
    <row r="7133" x14ac:dyDescent="0.35"/>
    <row r="7134" x14ac:dyDescent="0.35"/>
    <row r="7135" x14ac:dyDescent="0.35"/>
    <row r="7136" x14ac:dyDescent="0.35"/>
    <row r="7137" x14ac:dyDescent="0.35"/>
    <row r="7138" x14ac:dyDescent="0.35"/>
    <row r="7139" x14ac:dyDescent="0.35"/>
    <row r="7140" x14ac:dyDescent="0.35"/>
    <row r="7141" x14ac:dyDescent="0.35"/>
    <row r="7142" x14ac:dyDescent="0.35"/>
    <row r="7143" x14ac:dyDescent="0.35"/>
    <row r="7144" x14ac:dyDescent="0.35"/>
    <row r="7145" x14ac:dyDescent="0.35"/>
    <row r="7146" x14ac:dyDescent="0.35"/>
    <row r="7147" x14ac:dyDescent="0.35"/>
    <row r="7148" x14ac:dyDescent="0.35"/>
    <row r="7149" x14ac:dyDescent="0.35"/>
    <row r="7150" x14ac:dyDescent="0.35"/>
    <row r="7151" x14ac:dyDescent="0.35"/>
    <row r="7152" x14ac:dyDescent="0.35"/>
    <row r="7153" x14ac:dyDescent="0.35"/>
    <row r="7154" x14ac:dyDescent="0.35"/>
    <row r="7155" x14ac:dyDescent="0.35"/>
    <row r="7156" x14ac:dyDescent="0.35"/>
    <row r="7157" x14ac:dyDescent="0.35"/>
    <row r="7158" x14ac:dyDescent="0.35"/>
    <row r="7159" x14ac:dyDescent="0.35"/>
    <row r="7160" x14ac:dyDescent="0.35"/>
    <row r="7161" x14ac:dyDescent="0.35"/>
    <row r="7162" x14ac:dyDescent="0.35"/>
    <row r="7163" x14ac:dyDescent="0.35"/>
    <row r="7164" x14ac:dyDescent="0.35"/>
    <row r="7165" x14ac:dyDescent="0.35"/>
    <row r="7166" x14ac:dyDescent="0.35"/>
    <row r="7167" x14ac:dyDescent="0.35"/>
    <row r="7168" x14ac:dyDescent="0.35"/>
    <row r="7169" x14ac:dyDescent="0.35"/>
    <row r="7170" x14ac:dyDescent="0.35"/>
    <row r="7171" x14ac:dyDescent="0.35"/>
    <row r="7172" x14ac:dyDescent="0.35"/>
    <row r="7173" x14ac:dyDescent="0.35"/>
    <row r="7174" x14ac:dyDescent="0.35"/>
    <row r="7175" x14ac:dyDescent="0.35"/>
    <row r="7176" x14ac:dyDescent="0.35"/>
    <row r="7177" x14ac:dyDescent="0.35"/>
    <row r="7178" x14ac:dyDescent="0.35"/>
    <row r="7179" x14ac:dyDescent="0.35"/>
    <row r="7180" x14ac:dyDescent="0.35"/>
    <row r="7181" x14ac:dyDescent="0.35"/>
    <row r="7182" x14ac:dyDescent="0.35"/>
    <row r="7183" x14ac:dyDescent="0.35"/>
    <row r="7184" x14ac:dyDescent="0.35"/>
    <row r="7185" x14ac:dyDescent="0.35"/>
    <row r="7186" x14ac:dyDescent="0.35"/>
    <row r="7187" x14ac:dyDescent="0.35"/>
    <row r="7188" x14ac:dyDescent="0.35"/>
    <row r="7189" x14ac:dyDescent="0.35"/>
    <row r="7190" x14ac:dyDescent="0.35"/>
    <row r="7191" x14ac:dyDescent="0.35"/>
    <row r="7192" x14ac:dyDescent="0.35"/>
    <row r="7193" x14ac:dyDescent="0.35"/>
    <row r="7194" x14ac:dyDescent="0.35"/>
    <row r="7195" x14ac:dyDescent="0.35"/>
    <row r="7196" x14ac:dyDescent="0.35"/>
    <row r="7197" x14ac:dyDescent="0.35"/>
    <row r="7198" x14ac:dyDescent="0.35"/>
    <row r="7199" x14ac:dyDescent="0.35"/>
    <row r="7200" x14ac:dyDescent="0.35"/>
    <row r="7201" x14ac:dyDescent="0.35"/>
    <row r="7202" x14ac:dyDescent="0.35"/>
    <row r="7203" x14ac:dyDescent="0.35"/>
    <row r="7204" x14ac:dyDescent="0.35"/>
    <row r="7205" x14ac:dyDescent="0.35"/>
    <row r="7206" x14ac:dyDescent="0.35"/>
    <row r="7207" x14ac:dyDescent="0.35"/>
    <row r="7208" x14ac:dyDescent="0.35"/>
    <row r="7209" x14ac:dyDescent="0.35"/>
    <row r="7210" x14ac:dyDescent="0.35"/>
    <row r="7211" x14ac:dyDescent="0.35"/>
    <row r="7212" x14ac:dyDescent="0.35"/>
    <row r="7213" x14ac:dyDescent="0.35"/>
    <row r="7214" x14ac:dyDescent="0.35"/>
    <row r="7215" x14ac:dyDescent="0.35"/>
    <row r="7216" x14ac:dyDescent="0.35"/>
    <row r="7217" x14ac:dyDescent="0.35"/>
    <row r="7218" x14ac:dyDescent="0.35"/>
    <row r="7219" x14ac:dyDescent="0.35"/>
    <row r="7220" x14ac:dyDescent="0.35"/>
    <row r="7221" x14ac:dyDescent="0.35"/>
    <row r="7222" x14ac:dyDescent="0.35"/>
    <row r="7223" x14ac:dyDescent="0.35"/>
    <row r="7224" x14ac:dyDescent="0.35"/>
    <row r="7225" x14ac:dyDescent="0.35"/>
    <row r="7226" x14ac:dyDescent="0.35"/>
    <row r="7227" x14ac:dyDescent="0.35"/>
    <row r="7228" x14ac:dyDescent="0.35"/>
    <row r="7229" x14ac:dyDescent="0.35"/>
    <row r="7230" x14ac:dyDescent="0.35"/>
    <row r="7231" x14ac:dyDescent="0.35"/>
    <row r="7232" x14ac:dyDescent="0.35"/>
    <row r="7233" x14ac:dyDescent="0.35"/>
    <row r="7234" x14ac:dyDescent="0.35"/>
    <row r="7235" x14ac:dyDescent="0.35"/>
    <row r="7236" x14ac:dyDescent="0.35"/>
    <row r="7237" x14ac:dyDescent="0.35"/>
    <row r="7238" x14ac:dyDescent="0.35"/>
    <row r="7239" x14ac:dyDescent="0.35"/>
    <row r="7240" x14ac:dyDescent="0.35"/>
    <row r="7241" x14ac:dyDescent="0.35"/>
    <row r="7242" x14ac:dyDescent="0.35"/>
    <row r="7243" x14ac:dyDescent="0.35"/>
    <row r="7244" x14ac:dyDescent="0.35"/>
    <row r="7245" x14ac:dyDescent="0.35"/>
    <row r="7246" x14ac:dyDescent="0.35"/>
    <row r="7247" x14ac:dyDescent="0.35"/>
    <row r="7248" x14ac:dyDescent="0.35"/>
    <row r="7249" x14ac:dyDescent="0.35"/>
    <row r="7250" x14ac:dyDescent="0.35"/>
    <row r="7251" x14ac:dyDescent="0.35"/>
    <row r="7252" x14ac:dyDescent="0.35"/>
    <row r="7253" x14ac:dyDescent="0.35"/>
    <row r="7254" x14ac:dyDescent="0.35"/>
    <row r="7255" x14ac:dyDescent="0.35"/>
    <row r="7256" x14ac:dyDescent="0.35"/>
    <row r="7257" x14ac:dyDescent="0.35"/>
    <row r="7258" x14ac:dyDescent="0.35"/>
    <row r="7259" x14ac:dyDescent="0.35"/>
    <row r="7260" x14ac:dyDescent="0.35"/>
    <row r="7261" x14ac:dyDescent="0.35"/>
    <row r="7262" x14ac:dyDescent="0.35"/>
    <row r="7263" x14ac:dyDescent="0.35"/>
    <row r="7264" x14ac:dyDescent="0.35"/>
    <row r="7265" x14ac:dyDescent="0.35"/>
    <row r="7266" x14ac:dyDescent="0.35"/>
    <row r="7267" x14ac:dyDescent="0.35"/>
    <row r="7268" x14ac:dyDescent="0.35"/>
    <row r="7269" x14ac:dyDescent="0.35"/>
    <row r="7270" x14ac:dyDescent="0.35"/>
    <row r="7271" x14ac:dyDescent="0.35"/>
    <row r="7272" x14ac:dyDescent="0.35"/>
    <row r="7273" x14ac:dyDescent="0.35"/>
    <row r="7274" x14ac:dyDescent="0.35"/>
    <row r="7275" x14ac:dyDescent="0.35"/>
    <row r="7276" x14ac:dyDescent="0.35"/>
    <row r="7277" x14ac:dyDescent="0.35"/>
    <row r="7278" x14ac:dyDescent="0.35"/>
    <row r="7279" x14ac:dyDescent="0.35"/>
    <row r="7280" x14ac:dyDescent="0.35"/>
    <row r="7281" x14ac:dyDescent="0.35"/>
    <row r="7282" x14ac:dyDescent="0.35"/>
    <row r="7283" x14ac:dyDescent="0.35"/>
    <row r="7284" x14ac:dyDescent="0.35"/>
    <row r="7285" x14ac:dyDescent="0.35"/>
    <row r="7286" x14ac:dyDescent="0.35"/>
    <row r="7287" x14ac:dyDescent="0.35"/>
    <row r="7288" x14ac:dyDescent="0.35"/>
    <row r="7289" x14ac:dyDescent="0.35"/>
    <row r="7290" x14ac:dyDescent="0.35"/>
    <row r="7291" x14ac:dyDescent="0.35"/>
    <row r="7292" x14ac:dyDescent="0.35"/>
    <row r="7293" x14ac:dyDescent="0.35"/>
    <row r="7294" x14ac:dyDescent="0.35"/>
    <row r="7295" x14ac:dyDescent="0.35"/>
    <row r="7296" x14ac:dyDescent="0.35"/>
    <row r="7297" x14ac:dyDescent="0.35"/>
    <row r="7298" x14ac:dyDescent="0.35"/>
    <row r="7299" x14ac:dyDescent="0.35"/>
    <row r="7300" x14ac:dyDescent="0.35"/>
    <row r="7301" x14ac:dyDescent="0.35"/>
    <row r="7302" x14ac:dyDescent="0.35"/>
    <row r="7303" x14ac:dyDescent="0.35"/>
    <row r="7304" x14ac:dyDescent="0.35"/>
    <row r="7305" x14ac:dyDescent="0.35"/>
    <row r="7306" x14ac:dyDescent="0.35"/>
    <row r="7307" x14ac:dyDescent="0.35"/>
    <row r="7308" x14ac:dyDescent="0.35"/>
    <row r="7309" x14ac:dyDescent="0.35"/>
    <row r="7310" x14ac:dyDescent="0.35"/>
    <row r="7311" x14ac:dyDescent="0.35"/>
    <row r="7312" x14ac:dyDescent="0.35"/>
    <row r="7313" x14ac:dyDescent="0.35"/>
    <row r="7314" x14ac:dyDescent="0.35"/>
    <row r="7315" x14ac:dyDescent="0.35"/>
    <row r="7316" x14ac:dyDescent="0.35"/>
    <row r="7317" x14ac:dyDescent="0.35"/>
    <row r="7318" x14ac:dyDescent="0.35"/>
    <row r="7319" x14ac:dyDescent="0.35"/>
    <row r="7320" x14ac:dyDescent="0.35"/>
    <row r="7321" x14ac:dyDescent="0.35"/>
    <row r="7322" x14ac:dyDescent="0.35"/>
    <row r="7323" x14ac:dyDescent="0.35"/>
    <row r="7324" x14ac:dyDescent="0.35"/>
    <row r="7325" x14ac:dyDescent="0.35"/>
    <row r="7326" x14ac:dyDescent="0.35"/>
    <row r="7327" x14ac:dyDescent="0.35"/>
    <row r="7328" x14ac:dyDescent="0.35"/>
    <row r="7329" x14ac:dyDescent="0.35"/>
    <row r="7330" x14ac:dyDescent="0.35"/>
    <row r="7331" x14ac:dyDescent="0.35"/>
    <row r="7332" x14ac:dyDescent="0.35"/>
    <row r="7333" x14ac:dyDescent="0.35"/>
    <row r="7334" x14ac:dyDescent="0.35"/>
    <row r="7335" x14ac:dyDescent="0.35"/>
    <row r="7336" x14ac:dyDescent="0.35"/>
    <row r="7337" x14ac:dyDescent="0.35"/>
    <row r="7338" x14ac:dyDescent="0.35"/>
    <row r="7339" x14ac:dyDescent="0.35"/>
    <row r="7340" x14ac:dyDescent="0.35"/>
    <row r="7341" x14ac:dyDescent="0.35"/>
    <row r="7342" x14ac:dyDescent="0.35"/>
    <row r="7343" x14ac:dyDescent="0.35"/>
    <row r="7344" x14ac:dyDescent="0.35"/>
    <row r="7345" x14ac:dyDescent="0.35"/>
    <row r="7346" x14ac:dyDescent="0.35"/>
    <row r="7347" x14ac:dyDescent="0.35"/>
    <row r="7348" x14ac:dyDescent="0.35"/>
    <row r="7349" x14ac:dyDescent="0.35"/>
    <row r="7350" x14ac:dyDescent="0.35"/>
    <row r="7351" x14ac:dyDescent="0.35"/>
    <row r="7352" x14ac:dyDescent="0.35"/>
    <row r="7353" x14ac:dyDescent="0.35"/>
    <row r="7354" x14ac:dyDescent="0.35"/>
    <row r="7355" x14ac:dyDescent="0.35"/>
    <row r="7356" x14ac:dyDescent="0.35"/>
    <row r="7357" x14ac:dyDescent="0.35"/>
    <row r="7358" x14ac:dyDescent="0.35"/>
    <row r="7359" x14ac:dyDescent="0.35"/>
    <row r="7360" x14ac:dyDescent="0.35"/>
    <row r="7361" x14ac:dyDescent="0.35"/>
    <row r="7362" x14ac:dyDescent="0.35"/>
    <row r="7363" x14ac:dyDescent="0.35"/>
    <row r="7364" x14ac:dyDescent="0.35"/>
    <row r="7365" x14ac:dyDescent="0.35"/>
    <row r="7366" x14ac:dyDescent="0.35"/>
    <row r="7367" x14ac:dyDescent="0.35"/>
    <row r="7368" x14ac:dyDescent="0.35"/>
    <row r="7369" x14ac:dyDescent="0.35"/>
    <row r="7370" x14ac:dyDescent="0.35"/>
    <row r="7371" x14ac:dyDescent="0.35"/>
    <row r="7372" x14ac:dyDescent="0.35"/>
    <row r="7373" x14ac:dyDescent="0.35"/>
    <row r="7374" x14ac:dyDescent="0.35"/>
    <row r="7375" x14ac:dyDescent="0.35"/>
    <row r="7376" x14ac:dyDescent="0.35"/>
    <row r="7377" x14ac:dyDescent="0.35"/>
    <row r="7378" x14ac:dyDescent="0.35"/>
    <row r="7379" x14ac:dyDescent="0.35"/>
    <row r="7380" x14ac:dyDescent="0.35"/>
    <row r="7381" x14ac:dyDescent="0.35"/>
    <row r="7382" x14ac:dyDescent="0.35"/>
    <row r="7383" x14ac:dyDescent="0.35"/>
    <row r="7384" x14ac:dyDescent="0.35"/>
    <row r="7385" x14ac:dyDescent="0.35"/>
    <row r="7386" x14ac:dyDescent="0.35"/>
    <row r="7387" x14ac:dyDescent="0.35"/>
    <row r="7388" x14ac:dyDescent="0.35"/>
    <row r="7389" x14ac:dyDescent="0.35"/>
    <row r="7390" x14ac:dyDescent="0.35"/>
    <row r="7391" x14ac:dyDescent="0.35"/>
    <row r="7392" x14ac:dyDescent="0.35"/>
    <row r="7393" x14ac:dyDescent="0.35"/>
    <row r="7394" x14ac:dyDescent="0.35"/>
    <row r="7395" x14ac:dyDescent="0.35"/>
    <row r="7396" x14ac:dyDescent="0.35"/>
    <row r="7397" x14ac:dyDescent="0.35"/>
    <row r="7398" x14ac:dyDescent="0.35"/>
    <row r="7399" x14ac:dyDescent="0.35"/>
    <row r="7400" x14ac:dyDescent="0.35"/>
    <row r="7401" x14ac:dyDescent="0.35"/>
    <row r="7402" x14ac:dyDescent="0.35"/>
    <row r="7403" x14ac:dyDescent="0.35"/>
    <row r="7404" x14ac:dyDescent="0.35"/>
    <row r="7405" x14ac:dyDescent="0.35"/>
    <row r="7406" x14ac:dyDescent="0.35"/>
    <row r="7407" x14ac:dyDescent="0.35"/>
    <row r="7408" x14ac:dyDescent="0.35"/>
    <row r="7409" x14ac:dyDescent="0.35"/>
    <row r="7410" x14ac:dyDescent="0.35"/>
    <row r="7411" x14ac:dyDescent="0.35"/>
    <row r="7412" x14ac:dyDescent="0.35"/>
    <row r="7413" x14ac:dyDescent="0.35"/>
    <row r="7414" x14ac:dyDescent="0.35"/>
    <row r="7415" x14ac:dyDescent="0.35"/>
    <row r="7416" x14ac:dyDescent="0.35"/>
    <row r="7417" x14ac:dyDescent="0.35"/>
    <row r="7418" x14ac:dyDescent="0.35"/>
    <row r="7419" x14ac:dyDescent="0.35"/>
    <row r="7420" x14ac:dyDescent="0.35"/>
    <row r="7421" x14ac:dyDescent="0.35"/>
    <row r="7422" x14ac:dyDescent="0.35"/>
    <row r="7423" x14ac:dyDescent="0.35"/>
    <row r="7424" x14ac:dyDescent="0.35"/>
    <row r="7425" x14ac:dyDescent="0.35"/>
    <row r="7426" x14ac:dyDescent="0.35"/>
    <row r="7427" x14ac:dyDescent="0.35"/>
    <row r="7428" x14ac:dyDescent="0.35"/>
    <row r="7429" x14ac:dyDescent="0.35"/>
    <row r="7430" x14ac:dyDescent="0.35"/>
    <row r="7431" x14ac:dyDescent="0.35"/>
    <row r="7432" x14ac:dyDescent="0.35"/>
    <row r="7433" x14ac:dyDescent="0.35"/>
    <row r="7434" x14ac:dyDescent="0.35"/>
    <row r="7435" x14ac:dyDescent="0.35"/>
    <row r="7436" x14ac:dyDescent="0.35"/>
    <row r="7437" x14ac:dyDescent="0.35"/>
    <row r="7438" x14ac:dyDescent="0.35"/>
    <row r="7439" x14ac:dyDescent="0.35"/>
    <row r="7440" x14ac:dyDescent="0.35"/>
    <row r="7441" x14ac:dyDescent="0.35"/>
    <row r="7442" x14ac:dyDescent="0.35"/>
    <row r="7443" x14ac:dyDescent="0.35"/>
    <row r="7444" x14ac:dyDescent="0.35"/>
    <row r="7445" x14ac:dyDescent="0.35"/>
    <row r="7446" x14ac:dyDescent="0.35"/>
    <row r="7447" x14ac:dyDescent="0.35"/>
    <row r="7448" x14ac:dyDescent="0.35"/>
    <row r="7449" x14ac:dyDescent="0.35"/>
    <row r="7450" x14ac:dyDescent="0.35"/>
    <row r="7451" x14ac:dyDescent="0.35"/>
    <row r="7452" x14ac:dyDescent="0.35"/>
    <row r="7453" x14ac:dyDescent="0.35"/>
    <row r="7454" x14ac:dyDescent="0.35"/>
    <row r="7455" x14ac:dyDescent="0.35"/>
    <row r="7456" x14ac:dyDescent="0.35"/>
    <row r="7457" x14ac:dyDescent="0.35"/>
    <row r="7458" x14ac:dyDescent="0.35"/>
    <row r="7459" x14ac:dyDescent="0.35"/>
    <row r="7460" x14ac:dyDescent="0.35"/>
    <row r="7461" x14ac:dyDescent="0.35"/>
    <row r="7462" x14ac:dyDescent="0.35"/>
    <row r="7463" x14ac:dyDescent="0.35"/>
    <row r="7464" x14ac:dyDescent="0.35"/>
    <row r="7465" x14ac:dyDescent="0.35"/>
    <row r="7466" x14ac:dyDescent="0.35"/>
    <row r="7467" x14ac:dyDescent="0.35"/>
    <row r="7468" x14ac:dyDescent="0.35"/>
    <row r="7469" x14ac:dyDescent="0.35"/>
    <row r="7470" x14ac:dyDescent="0.35"/>
    <row r="7471" x14ac:dyDescent="0.35"/>
    <row r="7472" x14ac:dyDescent="0.35"/>
    <row r="7473" x14ac:dyDescent="0.35"/>
    <row r="7474" x14ac:dyDescent="0.35"/>
    <row r="7475" x14ac:dyDescent="0.35"/>
    <row r="7476" x14ac:dyDescent="0.35"/>
    <row r="7477" x14ac:dyDescent="0.35"/>
    <row r="7478" x14ac:dyDescent="0.35"/>
    <row r="7479" x14ac:dyDescent="0.35"/>
    <row r="7480" x14ac:dyDescent="0.35"/>
    <row r="7481" x14ac:dyDescent="0.35"/>
    <row r="7482" x14ac:dyDescent="0.35"/>
    <row r="7483" x14ac:dyDescent="0.35"/>
    <row r="7484" x14ac:dyDescent="0.35"/>
    <row r="7485" x14ac:dyDescent="0.35"/>
    <row r="7486" x14ac:dyDescent="0.35"/>
    <row r="7487" x14ac:dyDescent="0.35"/>
    <row r="7488" x14ac:dyDescent="0.35"/>
    <row r="7489" x14ac:dyDescent="0.35"/>
    <row r="7490" x14ac:dyDescent="0.35"/>
    <row r="7491" x14ac:dyDescent="0.35"/>
    <row r="7492" x14ac:dyDescent="0.35"/>
    <row r="7493" x14ac:dyDescent="0.35"/>
    <row r="7494" x14ac:dyDescent="0.35"/>
    <row r="7495" x14ac:dyDescent="0.35"/>
    <row r="7496" x14ac:dyDescent="0.35"/>
    <row r="7497" x14ac:dyDescent="0.35"/>
    <row r="7498" x14ac:dyDescent="0.35"/>
    <row r="7499" x14ac:dyDescent="0.35"/>
    <row r="7500" x14ac:dyDescent="0.35"/>
    <row r="7501" x14ac:dyDescent="0.35"/>
    <row r="7502" x14ac:dyDescent="0.35"/>
    <row r="7503" x14ac:dyDescent="0.35"/>
    <row r="7504" x14ac:dyDescent="0.35"/>
    <row r="7505" x14ac:dyDescent="0.35"/>
    <row r="7506" x14ac:dyDescent="0.35"/>
    <row r="7507" x14ac:dyDescent="0.35"/>
    <row r="7508" x14ac:dyDescent="0.35"/>
    <row r="7509" x14ac:dyDescent="0.35"/>
    <row r="7510" x14ac:dyDescent="0.35"/>
    <row r="7511" x14ac:dyDescent="0.35"/>
    <row r="7512" x14ac:dyDescent="0.35"/>
    <row r="7513" x14ac:dyDescent="0.35"/>
    <row r="7514" x14ac:dyDescent="0.35"/>
    <row r="7515" x14ac:dyDescent="0.35"/>
    <row r="7516" x14ac:dyDescent="0.35"/>
    <row r="7517" x14ac:dyDescent="0.35"/>
    <row r="7518" x14ac:dyDescent="0.35"/>
    <row r="7519" x14ac:dyDescent="0.35"/>
    <row r="7520" x14ac:dyDescent="0.35"/>
    <row r="7521" x14ac:dyDescent="0.35"/>
    <row r="7522" x14ac:dyDescent="0.35"/>
    <row r="7523" x14ac:dyDescent="0.35"/>
    <row r="7524" x14ac:dyDescent="0.35"/>
    <row r="7525" x14ac:dyDescent="0.35"/>
    <row r="7526" x14ac:dyDescent="0.35"/>
    <row r="7527" x14ac:dyDescent="0.35"/>
    <row r="7528" x14ac:dyDescent="0.35"/>
    <row r="7529" x14ac:dyDescent="0.35"/>
    <row r="7530" x14ac:dyDescent="0.35"/>
    <row r="7531" x14ac:dyDescent="0.35"/>
    <row r="7532" x14ac:dyDescent="0.35"/>
    <row r="7533" x14ac:dyDescent="0.35"/>
    <row r="7534" x14ac:dyDescent="0.35"/>
    <row r="7535" x14ac:dyDescent="0.35"/>
    <row r="7536" x14ac:dyDescent="0.35"/>
    <row r="7537" x14ac:dyDescent="0.35"/>
    <row r="7538" x14ac:dyDescent="0.35"/>
    <row r="7539" x14ac:dyDescent="0.35"/>
    <row r="7540" x14ac:dyDescent="0.35"/>
    <row r="7541" x14ac:dyDescent="0.35"/>
    <row r="7542" x14ac:dyDescent="0.35"/>
    <row r="7543" x14ac:dyDescent="0.35"/>
    <row r="7544" x14ac:dyDescent="0.35"/>
    <row r="7545" x14ac:dyDescent="0.35"/>
    <row r="7546" x14ac:dyDescent="0.35"/>
    <row r="7547" x14ac:dyDescent="0.35"/>
    <row r="7548" x14ac:dyDescent="0.35"/>
    <row r="7549" x14ac:dyDescent="0.35"/>
    <row r="7550" x14ac:dyDescent="0.35"/>
    <row r="7551" x14ac:dyDescent="0.35"/>
    <row r="7552" x14ac:dyDescent="0.35"/>
    <row r="7553" x14ac:dyDescent="0.35"/>
    <row r="7554" x14ac:dyDescent="0.35"/>
    <row r="7555" x14ac:dyDescent="0.35"/>
    <row r="7556" x14ac:dyDescent="0.35"/>
    <row r="7557" x14ac:dyDescent="0.35"/>
    <row r="7558" x14ac:dyDescent="0.35"/>
    <row r="7559" x14ac:dyDescent="0.35"/>
    <row r="7560" x14ac:dyDescent="0.35"/>
    <row r="7561" x14ac:dyDescent="0.35"/>
    <row r="7562" x14ac:dyDescent="0.35"/>
    <row r="7563" x14ac:dyDescent="0.35"/>
    <row r="7564" x14ac:dyDescent="0.35"/>
    <row r="7565" x14ac:dyDescent="0.35"/>
    <row r="7566" x14ac:dyDescent="0.35"/>
    <row r="7567" x14ac:dyDescent="0.35"/>
    <row r="7568" x14ac:dyDescent="0.35"/>
    <row r="7569" x14ac:dyDescent="0.35"/>
    <row r="7570" x14ac:dyDescent="0.35"/>
    <row r="7571" x14ac:dyDescent="0.35"/>
    <row r="7572" x14ac:dyDescent="0.35"/>
    <row r="7573" x14ac:dyDescent="0.35"/>
    <row r="7574" x14ac:dyDescent="0.35"/>
    <row r="7575" x14ac:dyDescent="0.35"/>
    <row r="7576" x14ac:dyDescent="0.35"/>
    <row r="7577" x14ac:dyDescent="0.35"/>
    <row r="7578" x14ac:dyDescent="0.35"/>
    <row r="7579" x14ac:dyDescent="0.35"/>
    <row r="7580" x14ac:dyDescent="0.35"/>
    <row r="7581" x14ac:dyDescent="0.35"/>
    <row r="7582" x14ac:dyDescent="0.35"/>
    <row r="7583" x14ac:dyDescent="0.35"/>
    <row r="7584" x14ac:dyDescent="0.35"/>
    <row r="7585" x14ac:dyDescent="0.35"/>
    <row r="7586" x14ac:dyDescent="0.35"/>
    <row r="7587" x14ac:dyDescent="0.35"/>
    <row r="7588" x14ac:dyDescent="0.35"/>
    <row r="7589" x14ac:dyDescent="0.35"/>
    <row r="7590" x14ac:dyDescent="0.35"/>
    <row r="7591" x14ac:dyDescent="0.35"/>
    <row r="7592" x14ac:dyDescent="0.35"/>
    <row r="7593" x14ac:dyDescent="0.35"/>
    <row r="7594" x14ac:dyDescent="0.35"/>
    <row r="7595" x14ac:dyDescent="0.35"/>
    <row r="7596" x14ac:dyDescent="0.35"/>
    <row r="7597" x14ac:dyDescent="0.35"/>
    <row r="7598" x14ac:dyDescent="0.35"/>
    <row r="7599" x14ac:dyDescent="0.35"/>
    <row r="7600" x14ac:dyDescent="0.35"/>
    <row r="7601" x14ac:dyDescent="0.35"/>
    <row r="7602" x14ac:dyDescent="0.35"/>
    <row r="7603" x14ac:dyDescent="0.35"/>
    <row r="7604" x14ac:dyDescent="0.35"/>
    <row r="7605" x14ac:dyDescent="0.35"/>
    <row r="7606" x14ac:dyDescent="0.35"/>
    <row r="7607" x14ac:dyDescent="0.35"/>
    <row r="7608" x14ac:dyDescent="0.35"/>
    <row r="7609" x14ac:dyDescent="0.35"/>
    <row r="7610" x14ac:dyDescent="0.35"/>
    <row r="7611" x14ac:dyDescent="0.35"/>
    <row r="7612" x14ac:dyDescent="0.35"/>
    <row r="7613" x14ac:dyDescent="0.35"/>
    <row r="7614" x14ac:dyDescent="0.35"/>
    <row r="7615" x14ac:dyDescent="0.35"/>
    <row r="7616" x14ac:dyDescent="0.35"/>
    <row r="7617" x14ac:dyDescent="0.35"/>
    <row r="7618" x14ac:dyDescent="0.35"/>
    <row r="7619" x14ac:dyDescent="0.35"/>
    <row r="7620" x14ac:dyDescent="0.35"/>
    <row r="7621" x14ac:dyDescent="0.35"/>
    <row r="7622" x14ac:dyDescent="0.35"/>
    <row r="7623" x14ac:dyDescent="0.35"/>
    <row r="7624" x14ac:dyDescent="0.35"/>
    <row r="7625" x14ac:dyDescent="0.35"/>
    <row r="7626" x14ac:dyDescent="0.35"/>
    <row r="7627" x14ac:dyDescent="0.35"/>
    <row r="7628" x14ac:dyDescent="0.35"/>
    <row r="7629" x14ac:dyDescent="0.35"/>
    <row r="7630" x14ac:dyDescent="0.35"/>
    <row r="7631" x14ac:dyDescent="0.35"/>
    <row r="7632" x14ac:dyDescent="0.35"/>
    <row r="7633" x14ac:dyDescent="0.35"/>
    <row r="7634" x14ac:dyDescent="0.35"/>
    <row r="7635" x14ac:dyDescent="0.35"/>
    <row r="7636" x14ac:dyDescent="0.35"/>
    <row r="7637" x14ac:dyDescent="0.35"/>
    <row r="7638" x14ac:dyDescent="0.35"/>
    <row r="7639" x14ac:dyDescent="0.35"/>
    <row r="7640" x14ac:dyDescent="0.35"/>
    <row r="7641" x14ac:dyDescent="0.35"/>
    <row r="7642" x14ac:dyDescent="0.35"/>
    <row r="7643" x14ac:dyDescent="0.35"/>
    <row r="7644" x14ac:dyDescent="0.35"/>
    <row r="7645" x14ac:dyDescent="0.35"/>
    <row r="7646" x14ac:dyDescent="0.35"/>
    <row r="7647" x14ac:dyDescent="0.35"/>
    <row r="7648" x14ac:dyDescent="0.35"/>
    <row r="7649" x14ac:dyDescent="0.35"/>
    <row r="7650" x14ac:dyDescent="0.35"/>
    <row r="7651" x14ac:dyDescent="0.35"/>
    <row r="7652" x14ac:dyDescent="0.35"/>
    <row r="7653" x14ac:dyDescent="0.35"/>
    <row r="7654" x14ac:dyDescent="0.35"/>
    <row r="7655" x14ac:dyDescent="0.35"/>
    <row r="7656" x14ac:dyDescent="0.35"/>
    <row r="7657" x14ac:dyDescent="0.35"/>
    <row r="7658" x14ac:dyDescent="0.35"/>
    <row r="7659" x14ac:dyDescent="0.35"/>
    <row r="7660" x14ac:dyDescent="0.35"/>
    <row r="7661" x14ac:dyDescent="0.35"/>
    <row r="7662" x14ac:dyDescent="0.35"/>
    <row r="7663" x14ac:dyDescent="0.35"/>
    <row r="7664" x14ac:dyDescent="0.35"/>
    <row r="7665" x14ac:dyDescent="0.35"/>
    <row r="7666" x14ac:dyDescent="0.35"/>
    <row r="7667" x14ac:dyDescent="0.35"/>
    <row r="7668" x14ac:dyDescent="0.35"/>
    <row r="7669" x14ac:dyDescent="0.35"/>
    <row r="7670" x14ac:dyDescent="0.35"/>
    <row r="7671" x14ac:dyDescent="0.35"/>
    <row r="7672" x14ac:dyDescent="0.35"/>
    <row r="7673" x14ac:dyDescent="0.35"/>
    <row r="7674" x14ac:dyDescent="0.35"/>
    <row r="7675" x14ac:dyDescent="0.35"/>
    <row r="7676" x14ac:dyDescent="0.35"/>
    <row r="7677" x14ac:dyDescent="0.35"/>
    <row r="7678" x14ac:dyDescent="0.35"/>
    <row r="7679" x14ac:dyDescent="0.35"/>
    <row r="7680" x14ac:dyDescent="0.35"/>
    <row r="7681" x14ac:dyDescent="0.35"/>
    <row r="7682" x14ac:dyDescent="0.35"/>
    <row r="7683" x14ac:dyDescent="0.35"/>
    <row r="7684" x14ac:dyDescent="0.35"/>
    <row r="7685" x14ac:dyDescent="0.35"/>
    <row r="7686" x14ac:dyDescent="0.35"/>
    <row r="7687" x14ac:dyDescent="0.35"/>
    <row r="7688" x14ac:dyDescent="0.35"/>
    <row r="7689" x14ac:dyDescent="0.35"/>
    <row r="7690" x14ac:dyDescent="0.35"/>
    <row r="7691" x14ac:dyDescent="0.35"/>
    <row r="7692" x14ac:dyDescent="0.35"/>
    <row r="7693" x14ac:dyDescent="0.35"/>
    <row r="7694" x14ac:dyDescent="0.35"/>
    <row r="7695" x14ac:dyDescent="0.35"/>
    <row r="7696" x14ac:dyDescent="0.35"/>
    <row r="7697" x14ac:dyDescent="0.35"/>
    <row r="7698" x14ac:dyDescent="0.35"/>
    <row r="7699" x14ac:dyDescent="0.35"/>
    <row r="7700" x14ac:dyDescent="0.35"/>
    <row r="7701" x14ac:dyDescent="0.35"/>
    <row r="7702" x14ac:dyDescent="0.35"/>
    <row r="7703" x14ac:dyDescent="0.35"/>
    <row r="7704" x14ac:dyDescent="0.35"/>
    <row r="7705" x14ac:dyDescent="0.35"/>
    <row r="7706" x14ac:dyDescent="0.35"/>
    <row r="7707" x14ac:dyDescent="0.35"/>
    <row r="7708" x14ac:dyDescent="0.35"/>
    <row r="7709" x14ac:dyDescent="0.35"/>
    <row r="7710" x14ac:dyDescent="0.35"/>
    <row r="7711" x14ac:dyDescent="0.35"/>
    <row r="7712" x14ac:dyDescent="0.35"/>
    <row r="7713" x14ac:dyDescent="0.35"/>
    <row r="7714" x14ac:dyDescent="0.35"/>
    <row r="7715" x14ac:dyDescent="0.35"/>
    <row r="7716" x14ac:dyDescent="0.35"/>
    <row r="7717" x14ac:dyDescent="0.35"/>
    <row r="7718" x14ac:dyDescent="0.35"/>
    <row r="7719" x14ac:dyDescent="0.35"/>
    <row r="7720" x14ac:dyDescent="0.35"/>
    <row r="7721" x14ac:dyDescent="0.35"/>
    <row r="7722" x14ac:dyDescent="0.35"/>
    <row r="7723" x14ac:dyDescent="0.35"/>
    <row r="7724" x14ac:dyDescent="0.35"/>
    <row r="7725" x14ac:dyDescent="0.35"/>
    <row r="7726" x14ac:dyDescent="0.35"/>
    <row r="7727" x14ac:dyDescent="0.35"/>
    <row r="7728" x14ac:dyDescent="0.35"/>
    <row r="7729" x14ac:dyDescent="0.35"/>
    <row r="7730" x14ac:dyDescent="0.35"/>
    <row r="7731" x14ac:dyDescent="0.35"/>
    <row r="7732" x14ac:dyDescent="0.35"/>
    <row r="7733" x14ac:dyDescent="0.35"/>
    <row r="7734" x14ac:dyDescent="0.35"/>
    <row r="7735" x14ac:dyDescent="0.35"/>
    <row r="7736" x14ac:dyDescent="0.35"/>
    <row r="7737" x14ac:dyDescent="0.35"/>
    <row r="7738" x14ac:dyDescent="0.35"/>
    <row r="7739" x14ac:dyDescent="0.35"/>
    <row r="7740" x14ac:dyDescent="0.35"/>
    <row r="7741" x14ac:dyDescent="0.35"/>
    <row r="7742" x14ac:dyDescent="0.35"/>
    <row r="7743" x14ac:dyDescent="0.35"/>
    <row r="7744" x14ac:dyDescent="0.35"/>
    <row r="7745" x14ac:dyDescent="0.35"/>
    <row r="7746" x14ac:dyDescent="0.35"/>
    <row r="7747" x14ac:dyDescent="0.35"/>
    <row r="7748" x14ac:dyDescent="0.35"/>
    <row r="7749" x14ac:dyDescent="0.35"/>
    <row r="7750" x14ac:dyDescent="0.35"/>
    <row r="7751" x14ac:dyDescent="0.35"/>
    <row r="7752" x14ac:dyDescent="0.35"/>
    <row r="7753" x14ac:dyDescent="0.35"/>
    <row r="7754" x14ac:dyDescent="0.35"/>
    <row r="7755" x14ac:dyDescent="0.35"/>
    <row r="7756" x14ac:dyDescent="0.35"/>
    <row r="7757" x14ac:dyDescent="0.35"/>
    <row r="7758" x14ac:dyDescent="0.35"/>
    <row r="7759" x14ac:dyDescent="0.35"/>
    <row r="7760" x14ac:dyDescent="0.35"/>
    <row r="7761" x14ac:dyDescent="0.35"/>
    <row r="7762" x14ac:dyDescent="0.35"/>
    <row r="7763" x14ac:dyDescent="0.35"/>
    <row r="7764" x14ac:dyDescent="0.35"/>
    <row r="7765" x14ac:dyDescent="0.35"/>
    <row r="7766" x14ac:dyDescent="0.35"/>
    <row r="7767" x14ac:dyDescent="0.35"/>
    <row r="7768" x14ac:dyDescent="0.35"/>
    <row r="7769" x14ac:dyDescent="0.35"/>
    <row r="7770" x14ac:dyDescent="0.35"/>
    <row r="7771" x14ac:dyDescent="0.35"/>
    <row r="7772" x14ac:dyDescent="0.35"/>
    <row r="7773" x14ac:dyDescent="0.35"/>
    <row r="7774" x14ac:dyDescent="0.35"/>
    <row r="7775" x14ac:dyDescent="0.35"/>
    <row r="7776" x14ac:dyDescent="0.35"/>
    <row r="7777" x14ac:dyDescent="0.35"/>
    <row r="7778" x14ac:dyDescent="0.35"/>
    <row r="7779" x14ac:dyDescent="0.35"/>
    <row r="7780" x14ac:dyDescent="0.35"/>
    <row r="7781" x14ac:dyDescent="0.35"/>
    <row r="7782" x14ac:dyDescent="0.35"/>
    <row r="7783" x14ac:dyDescent="0.35"/>
    <row r="7784" x14ac:dyDescent="0.35"/>
    <row r="7785" x14ac:dyDescent="0.35"/>
    <row r="7786" x14ac:dyDescent="0.35"/>
    <row r="7787" x14ac:dyDescent="0.35"/>
    <row r="7788" x14ac:dyDescent="0.35"/>
    <row r="7789" x14ac:dyDescent="0.35"/>
    <row r="7790" x14ac:dyDescent="0.35"/>
    <row r="7791" x14ac:dyDescent="0.35"/>
    <row r="7792" x14ac:dyDescent="0.35"/>
    <row r="7793" x14ac:dyDescent="0.35"/>
    <row r="7794" x14ac:dyDescent="0.35"/>
    <row r="7795" x14ac:dyDescent="0.35"/>
    <row r="7796" x14ac:dyDescent="0.35"/>
    <row r="7797" x14ac:dyDescent="0.35"/>
    <row r="7798" x14ac:dyDescent="0.35"/>
    <row r="7799" x14ac:dyDescent="0.35"/>
    <row r="7800" x14ac:dyDescent="0.35"/>
    <row r="7801" x14ac:dyDescent="0.35"/>
    <row r="7802" x14ac:dyDescent="0.35"/>
    <row r="7803" x14ac:dyDescent="0.35"/>
    <row r="7804" x14ac:dyDescent="0.35"/>
    <row r="7805" x14ac:dyDescent="0.35"/>
    <row r="7806" x14ac:dyDescent="0.35"/>
    <row r="7807" x14ac:dyDescent="0.35"/>
    <row r="7808" x14ac:dyDescent="0.35"/>
    <row r="7809" x14ac:dyDescent="0.35"/>
    <row r="7810" x14ac:dyDescent="0.35"/>
    <row r="7811" x14ac:dyDescent="0.35"/>
    <row r="7812" x14ac:dyDescent="0.35"/>
    <row r="7813" x14ac:dyDescent="0.35"/>
    <row r="7814" x14ac:dyDescent="0.35"/>
    <row r="7815" x14ac:dyDescent="0.35"/>
    <row r="7816" x14ac:dyDescent="0.35"/>
    <row r="7817" x14ac:dyDescent="0.35"/>
    <row r="7818" x14ac:dyDescent="0.35"/>
    <row r="7819" x14ac:dyDescent="0.35"/>
    <row r="7820" x14ac:dyDescent="0.35"/>
    <row r="7821" x14ac:dyDescent="0.35"/>
    <row r="7822" x14ac:dyDescent="0.35"/>
    <row r="7823" x14ac:dyDescent="0.35"/>
    <row r="7824" x14ac:dyDescent="0.35"/>
    <row r="7825" x14ac:dyDescent="0.35"/>
    <row r="7826" x14ac:dyDescent="0.35"/>
    <row r="7827" x14ac:dyDescent="0.35"/>
    <row r="7828" x14ac:dyDescent="0.35"/>
    <row r="7829" x14ac:dyDescent="0.35"/>
    <row r="7830" x14ac:dyDescent="0.35"/>
    <row r="7831" x14ac:dyDescent="0.35"/>
    <row r="7832" x14ac:dyDescent="0.35"/>
    <row r="7833" x14ac:dyDescent="0.35"/>
    <row r="7834" x14ac:dyDescent="0.35"/>
    <row r="7835" x14ac:dyDescent="0.35"/>
    <row r="7836" x14ac:dyDescent="0.35"/>
    <row r="7837" x14ac:dyDescent="0.35"/>
    <row r="7838" x14ac:dyDescent="0.35"/>
    <row r="7839" x14ac:dyDescent="0.35"/>
    <row r="7840" x14ac:dyDescent="0.35"/>
    <row r="7841" x14ac:dyDescent="0.35"/>
    <row r="7842" x14ac:dyDescent="0.35"/>
    <row r="7843" x14ac:dyDescent="0.35"/>
    <row r="7844" x14ac:dyDescent="0.35"/>
    <row r="7845" x14ac:dyDescent="0.35"/>
    <row r="7846" x14ac:dyDescent="0.35"/>
    <row r="7847" x14ac:dyDescent="0.35"/>
    <row r="7848" x14ac:dyDescent="0.35"/>
    <row r="7849" x14ac:dyDescent="0.35"/>
    <row r="7850" x14ac:dyDescent="0.35"/>
    <row r="7851" x14ac:dyDescent="0.35"/>
    <row r="7852" x14ac:dyDescent="0.35"/>
    <row r="7853" x14ac:dyDescent="0.35"/>
    <row r="7854" x14ac:dyDescent="0.35"/>
    <row r="7855" x14ac:dyDescent="0.35"/>
    <row r="7856" x14ac:dyDescent="0.35"/>
    <row r="7857" x14ac:dyDescent="0.35"/>
    <row r="7858" x14ac:dyDescent="0.35"/>
    <row r="7859" x14ac:dyDescent="0.35"/>
    <row r="7860" x14ac:dyDescent="0.35"/>
    <row r="7861" x14ac:dyDescent="0.35"/>
    <row r="7862" x14ac:dyDescent="0.35"/>
    <row r="7863" x14ac:dyDescent="0.35"/>
    <row r="7864" x14ac:dyDescent="0.35"/>
    <row r="7865" x14ac:dyDescent="0.35"/>
    <row r="7866" x14ac:dyDescent="0.35"/>
    <row r="7867" x14ac:dyDescent="0.35"/>
    <row r="7868" x14ac:dyDescent="0.35"/>
    <row r="7869" x14ac:dyDescent="0.35"/>
    <row r="7870" x14ac:dyDescent="0.35"/>
    <row r="7871" x14ac:dyDescent="0.35"/>
    <row r="7872" x14ac:dyDescent="0.35"/>
    <row r="7873" x14ac:dyDescent="0.35"/>
    <row r="7874" x14ac:dyDescent="0.35"/>
    <row r="7875" x14ac:dyDescent="0.35"/>
    <row r="7876" x14ac:dyDescent="0.35"/>
    <row r="7877" x14ac:dyDescent="0.35"/>
    <row r="7878" x14ac:dyDescent="0.35"/>
    <row r="7879" x14ac:dyDescent="0.35"/>
    <row r="7880" x14ac:dyDescent="0.35"/>
    <row r="7881" x14ac:dyDescent="0.35"/>
    <row r="7882" x14ac:dyDescent="0.35"/>
    <row r="7883" x14ac:dyDescent="0.35"/>
    <row r="7884" x14ac:dyDescent="0.35"/>
    <row r="7885" x14ac:dyDescent="0.35"/>
    <row r="7886" x14ac:dyDescent="0.35"/>
    <row r="7887" x14ac:dyDescent="0.35"/>
    <row r="7888" x14ac:dyDescent="0.35"/>
    <row r="7889" x14ac:dyDescent="0.35"/>
    <row r="7890" x14ac:dyDescent="0.35"/>
    <row r="7891" x14ac:dyDescent="0.35"/>
    <row r="7892" x14ac:dyDescent="0.35"/>
    <row r="7893" x14ac:dyDescent="0.35"/>
    <row r="7894" x14ac:dyDescent="0.35"/>
    <row r="7895" x14ac:dyDescent="0.35"/>
    <row r="7896" x14ac:dyDescent="0.35"/>
    <row r="7897" x14ac:dyDescent="0.35"/>
    <row r="7898" x14ac:dyDescent="0.35"/>
    <row r="7899" x14ac:dyDescent="0.35"/>
    <row r="7900" x14ac:dyDescent="0.35"/>
    <row r="7901" x14ac:dyDescent="0.35"/>
    <row r="7902" x14ac:dyDescent="0.35"/>
    <row r="7903" x14ac:dyDescent="0.35"/>
    <row r="7904" x14ac:dyDescent="0.35"/>
    <row r="7905" x14ac:dyDescent="0.35"/>
    <row r="7906" x14ac:dyDescent="0.35"/>
    <row r="7907" x14ac:dyDescent="0.35"/>
    <row r="7908" x14ac:dyDescent="0.35"/>
    <row r="7909" x14ac:dyDescent="0.35"/>
    <row r="7910" x14ac:dyDescent="0.35"/>
    <row r="7911" x14ac:dyDescent="0.35"/>
    <row r="7912" x14ac:dyDescent="0.35"/>
    <row r="7913" x14ac:dyDescent="0.35"/>
    <row r="7914" x14ac:dyDescent="0.35"/>
    <row r="7915" x14ac:dyDescent="0.35"/>
    <row r="7916" x14ac:dyDescent="0.35"/>
    <row r="7917" x14ac:dyDescent="0.35"/>
    <row r="7918" x14ac:dyDescent="0.35"/>
    <row r="7919" x14ac:dyDescent="0.35"/>
    <row r="7920" x14ac:dyDescent="0.35"/>
    <row r="7921" x14ac:dyDescent="0.35"/>
    <row r="7922" x14ac:dyDescent="0.35"/>
    <row r="7923" x14ac:dyDescent="0.35"/>
    <row r="7924" x14ac:dyDescent="0.35"/>
    <row r="7925" x14ac:dyDescent="0.35"/>
    <row r="7926" x14ac:dyDescent="0.35"/>
    <row r="7927" x14ac:dyDescent="0.35"/>
    <row r="7928" x14ac:dyDescent="0.35"/>
    <row r="7929" x14ac:dyDescent="0.35"/>
    <row r="7930" x14ac:dyDescent="0.35"/>
    <row r="7931" x14ac:dyDescent="0.35"/>
    <row r="7932" x14ac:dyDescent="0.35"/>
    <row r="7933" x14ac:dyDescent="0.35"/>
    <row r="7934" x14ac:dyDescent="0.35"/>
    <row r="7935" x14ac:dyDescent="0.35"/>
    <row r="7936" x14ac:dyDescent="0.35"/>
    <row r="7937" x14ac:dyDescent="0.35"/>
    <row r="7938" x14ac:dyDescent="0.35"/>
    <row r="7939" x14ac:dyDescent="0.35"/>
    <row r="7940" x14ac:dyDescent="0.35"/>
    <row r="7941" x14ac:dyDescent="0.35"/>
    <row r="7942" x14ac:dyDescent="0.35"/>
    <row r="7943" x14ac:dyDescent="0.35"/>
    <row r="7944" x14ac:dyDescent="0.35"/>
    <row r="7945" x14ac:dyDescent="0.35"/>
    <row r="7946" x14ac:dyDescent="0.35"/>
    <row r="7947" x14ac:dyDescent="0.35"/>
    <row r="7948" x14ac:dyDescent="0.35"/>
    <row r="7949" x14ac:dyDescent="0.35"/>
    <row r="7950" x14ac:dyDescent="0.35"/>
    <row r="7951" x14ac:dyDescent="0.35"/>
    <row r="7952" x14ac:dyDescent="0.35"/>
    <row r="7953" x14ac:dyDescent="0.35"/>
    <row r="7954" x14ac:dyDescent="0.35"/>
    <row r="7955" x14ac:dyDescent="0.35"/>
    <row r="7956" x14ac:dyDescent="0.35"/>
    <row r="7957" x14ac:dyDescent="0.35"/>
    <row r="7958" x14ac:dyDescent="0.35"/>
    <row r="7959" x14ac:dyDescent="0.35"/>
    <row r="7960" x14ac:dyDescent="0.35"/>
    <row r="7961" x14ac:dyDescent="0.35"/>
    <row r="7962" x14ac:dyDescent="0.35"/>
    <row r="7963" x14ac:dyDescent="0.35"/>
    <row r="7964" x14ac:dyDescent="0.35"/>
    <row r="7965" x14ac:dyDescent="0.35"/>
    <row r="7966" x14ac:dyDescent="0.35"/>
    <row r="7967" x14ac:dyDescent="0.35"/>
    <row r="7968" x14ac:dyDescent="0.35"/>
    <row r="7969" x14ac:dyDescent="0.35"/>
    <row r="7970" x14ac:dyDescent="0.35"/>
    <row r="7971" x14ac:dyDescent="0.35"/>
    <row r="7972" x14ac:dyDescent="0.35"/>
    <row r="7973" x14ac:dyDescent="0.35"/>
    <row r="7974" x14ac:dyDescent="0.35"/>
    <row r="7975" x14ac:dyDescent="0.35"/>
    <row r="7976" x14ac:dyDescent="0.35"/>
    <row r="7977" x14ac:dyDescent="0.35"/>
    <row r="7978" x14ac:dyDescent="0.35"/>
    <row r="7979" x14ac:dyDescent="0.35"/>
    <row r="7980" x14ac:dyDescent="0.35"/>
    <row r="7981" x14ac:dyDescent="0.35"/>
    <row r="7982" x14ac:dyDescent="0.35"/>
    <row r="7983" x14ac:dyDescent="0.35"/>
    <row r="7984" x14ac:dyDescent="0.35"/>
    <row r="7985" x14ac:dyDescent="0.35"/>
    <row r="7986" x14ac:dyDescent="0.35"/>
    <row r="7987" x14ac:dyDescent="0.35"/>
    <row r="7988" x14ac:dyDescent="0.35"/>
    <row r="7989" x14ac:dyDescent="0.35"/>
    <row r="7990" x14ac:dyDescent="0.35"/>
    <row r="7991" x14ac:dyDescent="0.35"/>
    <row r="7992" x14ac:dyDescent="0.35"/>
    <row r="7993" x14ac:dyDescent="0.35"/>
    <row r="7994" x14ac:dyDescent="0.35"/>
    <row r="7995" x14ac:dyDescent="0.35"/>
    <row r="7996" x14ac:dyDescent="0.35"/>
    <row r="7997" x14ac:dyDescent="0.35"/>
    <row r="7998" x14ac:dyDescent="0.35"/>
    <row r="7999" x14ac:dyDescent="0.35"/>
    <row r="8000" x14ac:dyDescent="0.35"/>
    <row r="8001" x14ac:dyDescent="0.35"/>
    <row r="8002" x14ac:dyDescent="0.35"/>
    <row r="8003" x14ac:dyDescent="0.35"/>
    <row r="8004" x14ac:dyDescent="0.35"/>
    <row r="8005" x14ac:dyDescent="0.35"/>
    <row r="8006" x14ac:dyDescent="0.35"/>
    <row r="8007" x14ac:dyDescent="0.35"/>
    <row r="8008" x14ac:dyDescent="0.35"/>
    <row r="8009" x14ac:dyDescent="0.35"/>
    <row r="8010" x14ac:dyDescent="0.35"/>
    <row r="8011" x14ac:dyDescent="0.35"/>
    <row r="8012" x14ac:dyDescent="0.35"/>
    <row r="8013" x14ac:dyDescent="0.35"/>
    <row r="8014" x14ac:dyDescent="0.35"/>
    <row r="8015" x14ac:dyDescent="0.35"/>
    <row r="8016" x14ac:dyDescent="0.35"/>
    <row r="8017" x14ac:dyDescent="0.35"/>
    <row r="8018" x14ac:dyDescent="0.35"/>
    <row r="8019" x14ac:dyDescent="0.35"/>
    <row r="8020" x14ac:dyDescent="0.35"/>
    <row r="8021" x14ac:dyDescent="0.35"/>
    <row r="8022" x14ac:dyDescent="0.35"/>
    <row r="8023" x14ac:dyDescent="0.35"/>
    <row r="8024" x14ac:dyDescent="0.35"/>
    <row r="8025" x14ac:dyDescent="0.35"/>
    <row r="8026" x14ac:dyDescent="0.35"/>
    <row r="8027" x14ac:dyDescent="0.35"/>
    <row r="8028" x14ac:dyDescent="0.35"/>
    <row r="8029" x14ac:dyDescent="0.35"/>
    <row r="8030" x14ac:dyDescent="0.35"/>
    <row r="8031" x14ac:dyDescent="0.35"/>
    <row r="8032" x14ac:dyDescent="0.35"/>
    <row r="8033" x14ac:dyDescent="0.35"/>
    <row r="8034" x14ac:dyDescent="0.35"/>
    <row r="8035" x14ac:dyDescent="0.35"/>
    <row r="8036" x14ac:dyDescent="0.35"/>
    <row r="8037" x14ac:dyDescent="0.35"/>
    <row r="8038" x14ac:dyDescent="0.35"/>
    <row r="8039" x14ac:dyDescent="0.35"/>
    <row r="8040" x14ac:dyDescent="0.35"/>
    <row r="8041" x14ac:dyDescent="0.35"/>
    <row r="8042" x14ac:dyDescent="0.35"/>
    <row r="8043" x14ac:dyDescent="0.35"/>
    <row r="8044" x14ac:dyDescent="0.35"/>
    <row r="8045" x14ac:dyDescent="0.35"/>
    <row r="8046" x14ac:dyDescent="0.35"/>
    <row r="8047" x14ac:dyDescent="0.35"/>
    <row r="8048" x14ac:dyDescent="0.35"/>
    <row r="8049" x14ac:dyDescent="0.35"/>
    <row r="8050" x14ac:dyDescent="0.35"/>
    <row r="8051" x14ac:dyDescent="0.35"/>
    <row r="8052" x14ac:dyDescent="0.35"/>
    <row r="8053" x14ac:dyDescent="0.35"/>
    <row r="8054" x14ac:dyDescent="0.35"/>
    <row r="8055" x14ac:dyDescent="0.35"/>
    <row r="8056" x14ac:dyDescent="0.35"/>
    <row r="8057" x14ac:dyDescent="0.35"/>
    <row r="8058" x14ac:dyDescent="0.35"/>
    <row r="8059" x14ac:dyDescent="0.35"/>
    <row r="8060" x14ac:dyDescent="0.35"/>
    <row r="8061" x14ac:dyDescent="0.35"/>
    <row r="8062" x14ac:dyDescent="0.35"/>
    <row r="8063" x14ac:dyDescent="0.35"/>
    <row r="8064" x14ac:dyDescent="0.35"/>
    <row r="8065" x14ac:dyDescent="0.35"/>
    <row r="8066" x14ac:dyDescent="0.35"/>
    <row r="8067" x14ac:dyDescent="0.35"/>
    <row r="8068" x14ac:dyDescent="0.35"/>
    <row r="8069" x14ac:dyDescent="0.35"/>
    <row r="8070" x14ac:dyDescent="0.35"/>
    <row r="8071" x14ac:dyDescent="0.35"/>
    <row r="8072" x14ac:dyDescent="0.35"/>
    <row r="8073" x14ac:dyDescent="0.35"/>
    <row r="8074" x14ac:dyDescent="0.35"/>
    <row r="8075" x14ac:dyDescent="0.35"/>
    <row r="8076" x14ac:dyDescent="0.35"/>
    <row r="8077" x14ac:dyDescent="0.35"/>
    <row r="8078" x14ac:dyDescent="0.35"/>
    <row r="8079" x14ac:dyDescent="0.35"/>
    <row r="8080" x14ac:dyDescent="0.35"/>
    <row r="8081" x14ac:dyDescent="0.35"/>
    <row r="8082" x14ac:dyDescent="0.35"/>
    <row r="8083" x14ac:dyDescent="0.35"/>
    <row r="8084" x14ac:dyDescent="0.35"/>
    <row r="8085" x14ac:dyDescent="0.35"/>
    <row r="8086" x14ac:dyDescent="0.35"/>
    <row r="8087" x14ac:dyDescent="0.35"/>
    <row r="8088" x14ac:dyDescent="0.35"/>
    <row r="8089" x14ac:dyDescent="0.35"/>
    <row r="8090" x14ac:dyDescent="0.35"/>
    <row r="8091" x14ac:dyDescent="0.35"/>
    <row r="8092" x14ac:dyDescent="0.35"/>
    <row r="8093" x14ac:dyDescent="0.35"/>
    <row r="8094" x14ac:dyDescent="0.35"/>
    <row r="8095" x14ac:dyDescent="0.35"/>
    <row r="8096" x14ac:dyDescent="0.35"/>
    <row r="8097" x14ac:dyDescent="0.35"/>
    <row r="8098" x14ac:dyDescent="0.35"/>
    <row r="8099" x14ac:dyDescent="0.35"/>
    <row r="8100" x14ac:dyDescent="0.35"/>
    <row r="8101" x14ac:dyDescent="0.35"/>
    <row r="8102" x14ac:dyDescent="0.35"/>
    <row r="8103" x14ac:dyDescent="0.35"/>
    <row r="8104" x14ac:dyDescent="0.35"/>
    <row r="8105" x14ac:dyDescent="0.35"/>
    <row r="8106" x14ac:dyDescent="0.35"/>
    <row r="8107" x14ac:dyDescent="0.35"/>
    <row r="8108" x14ac:dyDescent="0.35"/>
    <row r="8109" x14ac:dyDescent="0.35"/>
    <row r="8110" x14ac:dyDescent="0.35"/>
    <row r="8111" x14ac:dyDescent="0.35"/>
    <row r="8112" x14ac:dyDescent="0.35"/>
    <row r="8113" x14ac:dyDescent="0.35"/>
    <row r="8114" x14ac:dyDescent="0.35"/>
    <row r="8115" x14ac:dyDescent="0.35"/>
    <row r="8116" x14ac:dyDescent="0.35"/>
    <row r="8117" x14ac:dyDescent="0.35"/>
    <row r="8118" x14ac:dyDescent="0.35"/>
    <row r="8119" x14ac:dyDescent="0.35"/>
    <row r="8120" x14ac:dyDescent="0.35"/>
    <row r="8121" x14ac:dyDescent="0.35"/>
    <row r="8122" x14ac:dyDescent="0.35"/>
    <row r="8123" x14ac:dyDescent="0.35"/>
    <row r="8124" x14ac:dyDescent="0.35"/>
    <row r="8125" x14ac:dyDescent="0.35"/>
    <row r="8126" x14ac:dyDescent="0.35"/>
    <row r="8127" x14ac:dyDescent="0.35"/>
    <row r="8128" x14ac:dyDescent="0.35"/>
    <row r="8129" x14ac:dyDescent="0.35"/>
    <row r="8130" x14ac:dyDescent="0.35"/>
    <row r="8131" x14ac:dyDescent="0.35"/>
    <row r="8132" x14ac:dyDescent="0.35"/>
    <row r="8133" x14ac:dyDescent="0.35"/>
    <row r="8134" x14ac:dyDescent="0.35"/>
    <row r="8135" x14ac:dyDescent="0.35"/>
    <row r="8136" x14ac:dyDescent="0.35"/>
    <row r="8137" x14ac:dyDescent="0.35"/>
    <row r="8138" x14ac:dyDescent="0.35"/>
    <row r="8139" x14ac:dyDescent="0.35"/>
    <row r="8140" x14ac:dyDescent="0.35"/>
    <row r="8141" x14ac:dyDescent="0.35"/>
    <row r="8142" x14ac:dyDescent="0.35"/>
    <row r="8143" x14ac:dyDescent="0.35"/>
    <row r="8144" x14ac:dyDescent="0.35"/>
    <row r="8145" x14ac:dyDescent="0.35"/>
    <row r="8146" x14ac:dyDescent="0.35"/>
    <row r="8147" x14ac:dyDescent="0.35"/>
    <row r="8148" x14ac:dyDescent="0.35"/>
    <row r="8149" x14ac:dyDescent="0.35"/>
    <row r="8150" x14ac:dyDescent="0.35"/>
    <row r="8151" x14ac:dyDescent="0.35"/>
    <row r="8152" x14ac:dyDescent="0.35"/>
    <row r="8153" x14ac:dyDescent="0.35"/>
    <row r="8154" x14ac:dyDescent="0.35"/>
    <row r="8155" x14ac:dyDescent="0.35"/>
    <row r="8156" x14ac:dyDescent="0.35"/>
    <row r="8157" x14ac:dyDescent="0.35"/>
    <row r="8158" x14ac:dyDescent="0.35"/>
    <row r="8159" x14ac:dyDescent="0.35"/>
    <row r="8160" x14ac:dyDescent="0.35"/>
    <row r="8161" x14ac:dyDescent="0.35"/>
    <row r="8162" x14ac:dyDescent="0.35"/>
    <row r="8163" x14ac:dyDescent="0.35"/>
    <row r="8164" x14ac:dyDescent="0.35"/>
    <row r="8165" x14ac:dyDescent="0.35"/>
    <row r="8166" x14ac:dyDescent="0.35"/>
    <row r="8167" x14ac:dyDescent="0.35"/>
    <row r="8168" x14ac:dyDescent="0.35"/>
    <row r="8169" x14ac:dyDescent="0.35"/>
    <row r="8170" x14ac:dyDescent="0.35"/>
    <row r="8171" x14ac:dyDescent="0.35"/>
    <row r="8172" x14ac:dyDescent="0.35"/>
    <row r="8173" x14ac:dyDescent="0.35"/>
    <row r="8174" x14ac:dyDescent="0.35"/>
    <row r="8175" x14ac:dyDescent="0.35"/>
    <row r="8176" x14ac:dyDescent="0.35"/>
    <row r="8177" x14ac:dyDescent="0.35"/>
    <row r="8178" x14ac:dyDescent="0.35"/>
    <row r="8179" x14ac:dyDescent="0.35"/>
    <row r="8180" x14ac:dyDescent="0.35"/>
    <row r="8181" x14ac:dyDescent="0.35"/>
    <row r="8182" x14ac:dyDescent="0.35"/>
    <row r="8183" x14ac:dyDescent="0.35"/>
    <row r="8184" x14ac:dyDescent="0.35"/>
    <row r="8185" x14ac:dyDescent="0.35"/>
    <row r="8186" x14ac:dyDescent="0.35"/>
    <row r="8187" x14ac:dyDescent="0.35"/>
    <row r="8188" x14ac:dyDescent="0.35"/>
    <row r="8189" x14ac:dyDescent="0.35"/>
    <row r="8190" x14ac:dyDescent="0.35"/>
    <row r="8191" x14ac:dyDescent="0.35"/>
    <row r="8192" x14ac:dyDescent="0.35"/>
    <row r="8193" x14ac:dyDescent="0.35"/>
    <row r="8194" x14ac:dyDescent="0.35"/>
    <row r="8195" x14ac:dyDescent="0.35"/>
    <row r="8196" x14ac:dyDescent="0.35"/>
    <row r="8197" x14ac:dyDescent="0.35"/>
    <row r="8198" x14ac:dyDescent="0.35"/>
    <row r="8199" x14ac:dyDescent="0.35"/>
    <row r="8200" x14ac:dyDescent="0.35"/>
    <row r="8201" x14ac:dyDescent="0.35"/>
    <row r="8202" x14ac:dyDescent="0.35"/>
    <row r="8203" x14ac:dyDescent="0.35"/>
    <row r="8204" x14ac:dyDescent="0.35"/>
    <row r="8205" x14ac:dyDescent="0.35"/>
    <row r="8206" x14ac:dyDescent="0.35"/>
    <row r="8207" x14ac:dyDescent="0.35"/>
    <row r="8208" x14ac:dyDescent="0.35"/>
    <row r="8209" x14ac:dyDescent="0.35"/>
    <row r="8210" x14ac:dyDescent="0.35"/>
    <row r="8211" x14ac:dyDescent="0.35"/>
    <row r="8212" x14ac:dyDescent="0.35"/>
    <row r="8213" x14ac:dyDescent="0.35"/>
    <row r="8214" x14ac:dyDescent="0.35"/>
    <row r="8215" x14ac:dyDescent="0.35"/>
    <row r="8216" x14ac:dyDescent="0.35"/>
    <row r="8217" x14ac:dyDescent="0.35"/>
    <row r="8218" x14ac:dyDescent="0.35"/>
    <row r="8219" x14ac:dyDescent="0.35"/>
    <row r="8220" x14ac:dyDescent="0.35"/>
    <row r="8221" x14ac:dyDescent="0.35"/>
    <row r="8222" x14ac:dyDescent="0.35"/>
    <row r="8223" x14ac:dyDescent="0.35"/>
    <row r="8224" x14ac:dyDescent="0.35"/>
    <row r="8225" x14ac:dyDescent="0.35"/>
    <row r="8226" x14ac:dyDescent="0.35"/>
    <row r="8227" x14ac:dyDescent="0.35"/>
    <row r="8228" x14ac:dyDescent="0.35"/>
    <row r="8229" x14ac:dyDescent="0.35"/>
    <row r="8230" x14ac:dyDescent="0.35"/>
    <row r="8231" x14ac:dyDescent="0.35"/>
    <row r="8232" x14ac:dyDescent="0.35"/>
    <row r="8233" x14ac:dyDescent="0.35"/>
    <row r="8234" x14ac:dyDescent="0.35"/>
    <row r="8235" x14ac:dyDescent="0.35"/>
    <row r="8236" x14ac:dyDescent="0.35"/>
    <row r="8237" x14ac:dyDescent="0.35"/>
    <row r="8238" x14ac:dyDescent="0.35"/>
    <row r="8239" x14ac:dyDescent="0.35"/>
    <row r="8240" x14ac:dyDescent="0.35"/>
    <row r="8241" x14ac:dyDescent="0.35"/>
    <row r="8242" x14ac:dyDescent="0.35"/>
    <row r="8243" x14ac:dyDescent="0.35"/>
    <row r="8244" x14ac:dyDescent="0.35"/>
    <row r="8245" x14ac:dyDescent="0.35"/>
    <row r="8246" x14ac:dyDescent="0.35"/>
    <row r="8247" x14ac:dyDescent="0.35"/>
    <row r="8248" x14ac:dyDescent="0.35"/>
    <row r="8249" x14ac:dyDescent="0.35"/>
    <row r="8250" x14ac:dyDescent="0.35"/>
    <row r="8251" x14ac:dyDescent="0.35"/>
    <row r="8252" x14ac:dyDescent="0.35"/>
    <row r="8253" x14ac:dyDescent="0.35"/>
    <row r="8254" x14ac:dyDescent="0.35"/>
    <row r="8255" x14ac:dyDescent="0.35"/>
    <row r="8256" x14ac:dyDescent="0.35"/>
    <row r="8257" x14ac:dyDescent="0.35"/>
    <row r="8258" x14ac:dyDescent="0.35"/>
    <row r="8259" x14ac:dyDescent="0.35"/>
    <row r="8260" x14ac:dyDescent="0.35"/>
    <row r="8261" x14ac:dyDescent="0.35"/>
    <row r="8262" x14ac:dyDescent="0.35"/>
    <row r="8263" x14ac:dyDescent="0.35"/>
    <row r="8264" x14ac:dyDescent="0.35"/>
    <row r="8265" x14ac:dyDescent="0.35"/>
    <row r="8266" x14ac:dyDescent="0.35"/>
    <row r="8267" x14ac:dyDescent="0.35"/>
    <row r="8268" x14ac:dyDescent="0.35"/>
    <row r="8269" x14ac:dyDescent="0.35"/>
    <row r="8270" x14ac:dyDescent="0.35"/>
    <row r="8271" x14ac:dyDescent="0.35"/>
    <row r="8272" x14ac:dyDescent="0.35"/>
    <row r="8273" x14ac:dyDescent="0.35"/>
    <row r="8274" x14ac:dyDescent="0.35"/>
    <row r="8275" x14ac:dyDescent="0.35"/>
    <row r="8276" x14ac:dyDescent="0.35"/>
    <row r="8277" x14ac:dyDescent="0.35"/>
    <row r="8278" x14ac:dyDescent="0.35"/>
    <row r="8279" x14ac:dyDescent="0.35"/>
    <row r="8280" x14ac:dyDescent="0.35"/>
    <row r="8281" x14ac:dyDescent="0.35"/>
    <row r="8282" x14ac:dyDescent="0.35"/>
    <row r="8283" x14ac:dyDescent="0.35"/>
    <row r="8284" x14ac:dyDescent="0.35"/>
    <row r="8285" x14ac:dyDescent="0.35"/>
    <row r="8286" x14ac:dyDescent="0.35"/>
    <row r="8287" x14ac:dyDescent="0.35"/>
    <row r="8288" x14ac:dyDescent="0.35"/>
    <row r="8289" x14ac:dyDescent="0.35"/>
    <row r="8290" x14ac:dyDescent="0.35"/>
    <row r="8291" x14ac:dyDescent="0.35"/>
    <row r="8292" x14ac:dyDescent="0.35"/>
    <row r="8293" x14ac:dyDescent="0.35"/>
    <row r="8294" x14ac:dyDescent="0.35"/>
    <row r="8295" x14ac:dyDescent="0.35"/>
    <row r="8296" x14ac:dyDescent="0.35"/>
    <row r="8297" x14ac:dyDescent="0.35"/>
    <row r="8298" x14ac:dyDescent="0.35"/>
    <row r="8299" x14ac:dyDescent="0.35"/>
    <row r="8300" x14ac:dyDescent="0.35"/>
    <row r="8301" x14ac:dyDescent="0.35"/>
    <row r="8302" x14ac:dyDescent="0.35"/>
    <row r="8303" x14ac:dyDescent="0.35"/>
    <row r="8304" x14ac:dyDescent="0.35"/>
    <row r="8305" x14ac:dyDescent="0.35"/>
    <row r="8306" x14ac:dyDescent="0.35"/>
    <row r="8307" x14ac:dyDescent="0.35"/>
    <row r="8308" x14ac:dyDescent="0.35"/>
    <row r="8309" x14ac:dyDescent="0.35"/>
    <row r="8310" x14ac:dyDescent="0.35"/>
    <row r="8311" x14ac:dyDescent="0.35"/>
    <row r="8312" x14ac:dyDescent="0.35"/>
    <row r="8313" x14ac:dyDescent="0.35"/>
    <row r="8314" x14ac:dyDescent="0.35"/>
    <row r="8315" x14ac:dyDescent="0.35"/>
    <row r="8316" x14ac:dyDescent="0.35"/>
    <row r="8317" x14ac:dyDescent="0.35"/>
    <row r="8318" x14ac:dyDescent="0.35"/>
    <row r="8319" x14ac:dyDescent="0.35"/>
    <row r="8320" x14ac:dyDescent="0.35"/>
    <row r="8321" x14ac:dyDescent="0.35"/>
    <row r="8322" x14ac:dyDescent="0.35"/>
    <row r="8323" x14ac:dyDescent="0.35"/>
    <row r="8324" x14ac:dyDescent="0.35"/>
    <row r="8325" x14ac:dyDescent="0.35"/>
    <row r="8326" x14ac:dyDescent="0.35"/>
    <row r="8327" x14ac:dyDescent="0.35"/>
    <row r="8328" x14ac:dyDescent="0.35"/>
    <row r="8329" x14ac:dyDescent="0.35"/>
    <row r="8330" x14ac:dyDescent="0.35"/>
    <row r="8331" x14ac:dyDescent="0.35"/>
    <row r="8332" x14ac:dyDescent="0.35"/>
    <row r="8333" x14ac:dyDescent="0.35"/>
    <row r="8334" x14ac:dyDescent="0.35"/>
    <row r="8335" x14ac:dyDescent="0.35"/>
    <row r="8336" x14ac:dyDescent="0.35"/>
    <row r="8337" x14ac:dyDescent="0.35"/>
    <row r="8338" x14ac:dyDescent="0.35"/>
    <row r="8339" x14ac:dyDescent="0.35"/>
    <row r="8340" x14ac:dyDescent="0.35"/>
    <row r="8341" x14ac:dyDescent="0.35"/>
    <row r="8342" x14ac:dyDescent="0.35"/>
    <row r="8343" x14ac:dyDescent="0.35"/>
    <row r="8344" x14ac:dyDescent="0.35"/>
    <row r="8345" x14ac:dyDescent="0.35"/>
    <row r="8346" x14ac:dyDescent="0.35"/>
    <row r="8347" x14ac:dyDescent="0.35"/>
    <row r="8348" x14ac:dyDescent="0.35"/>
    <row r="8349" x14ac:dyDescent="0.35"/>
    <row r="8350" x14ac:dyDescent="0.35"/>
    <row r="8351" x14ac:dyDescent="0.35"/>
    <row r="8352" x14ac:dyDescent="0.35"/>
    <row r="8353" x14ac:dyDescent="0.35"/>
    <row r="8354" x14ac:dyDescent="0.35"/>
    <row r="8355" x14ac:dyDescent="0.35"/>
    <row r="8356" x14ac:dyDescent="0.35"/>
    <row r="8357" x14ac:dyDescent="0.35"/>
    <row r="8358" x14ac:dyDescent="0.35"/>
    <row r="8359" x14ac:dyDescent="0.35"/>
    <row r="8360" x14ac:dyDescent="0.35"/>
    <row r="8361" x14ac:dyDescent="0.35"/>
    <row r="8362" x14ac:dyDescent="0.35"/>
    <row r="8363" x14ac:dyDescent="0.35"/>
    <row r="8364" x14ac:dyDescent="0.35"/>
    <row r="8365" x14ac:dyDescent="0.35"/>
    <row r="8366" x14ac:dyDescent="0.35"/>
    <row r="8367" x14ac:dyDescent="0.35"/>
    <row r="8368" x14ac:dyDescent="0.35"/>
    <row r="8369" x14ac:dyDescent="0.35"/>
    <row r="8370" x14ac:dyDescent="0.35"/>
    <row r="8371" x14ac:dyDescent="0.35"/>
    <row r="8372" x14ac:dyDescent="0.35"/>
    <row r="8373" x14ac:dyDescent="0.35"/>
    <row r="8374" x14ac:dyDescent="0.35"/>
    <row r="8375" x14ac:dyDescent="0.35"/>
    <row r="8376" x14ac:dyDescent="0.35"/>
    <row r="8377" x14ac:dyDescent="0.35"/>
    <row r="8378" x14ac:dyDescent="0.35"/>
    <row r="8379" x14ac:dyDescent="0.35"/>
    <row r="8380" x14ac:dyDescent="0.35"/>
    <row r="8381" x14ac:dyDescent="0.35"/>
    <row r="8382" x14ac:dyDescent="0.35"/>
    <row r="8383" x14ac:dyDescent="0.35"/>
    <row r="8384" x14ac:dyDescent="0.35"/>
    <row r="8385" x14ac:dyDescent="0.35"/>
    <row r="8386" x14ac:dyDescent="0.35"/>
    <row r="8387" x14ac:dyDescent="0.35"/>
    <row r="8388" x14ac:dyDescent="0.35"/>
    <row r="8389" x14ac:dyDescent="0.35"/>
    <row r="8390" x14ac:dyDescent="0.35"/>
    <row r="8391" x14ac:dyDescent="0.35"/>
    <row r="8392" x14ac:dyDescent="0.35"/>
    <row r="8393" x14ac:dyDescent="0.35"/>
    <row r="8394" x14ac:dyDescent="0.35"/>
    <row r="8395" x14ac:dyDescent="0.35"/>
    <row r="8396" x14ac:dyDescent="0.35"/>
    <row r="8397" x14ac:dyDescent="0.35"/>
    <row r="8398" x14ac:dyDescent="0.35"/>
    <row r="8399" x14ac:dyDescent="0.35"/>
    <row r="8400" x14ac:dyDescent="0.35"/>
    <row r="8401" x14ac:dyDescent="0.35"/>
    <row r="8402" x14ac:dyDescent="0.35"/>
    <row r="8403" x14ac:dyDescent="0.35"/>
    <row r="8404" x14ac:dyDescent="0.35"/>
    <row r="8405" x14ac:dyDescent="0.35"/>
    <row r="8406" x14ac:dyDescent="0.35"/>
    <row r="8407" x14ac:dyDescent="0.35"/>
    <row r="8408" x14ac:dyDescent="0.35"/>
    <row r="8409" x14ac:dyDescent="0.35"/>
    <row r="8410" x14ac:dyDescent="0.35"/>
    <row r="8411" x14ac:dyDescent="0.35"/>
    <row r="8412" x14ac:dyDescent="0.35"/>
    <row r="8413" x14ac:dyDescent="0.35"/>
    <row r="8414" x14ac:dyDescent="0.35"/>
    <row r="8415" x14ac:dyDescent="0.35"/>
    <row r="8416" x14ac:dyDescent="0.35"/>
    <row r="8417" x14ac:dyDescent="0.35"/>
    <row r="8418" x14ac:dyDescent="0.35"/>
    <row r="8419" x14ac:dyDescent="0.35"/>
    <row r="8420" x14ac:dyDescent="0.35"/>
    <row r="8421" x14ac:dyDescent="0.35"/>
    <row r="8422" x14ac:dyDescent="0.35"/>
    <row r="8423" x14ac:dyDescent="0.35"/>
    <row r="8424" x14ac:dyDescent="0.35"/>
    <row r="8425" x14ac:dyDescent="0.35"/>
    <row r="8426" x14ac:dyDescent="0.35"/>
    <row r="8427" x14ac:dyDescent="0.35"/>
    <row r="8428" x14ac:dyDescent="0.35"/>
    <row r="8429" x14ac:dyDescent="0.35"/>
    <row r="8430" x14ac:dyDescent="0.35"/>
    <row r="8431" x14ac:dyDescent="0.35"/>
    <row r="8432" x14ac:dyDescent="0.35"/>
    <row r="8433" x14ac:dyDescent="0.35"/>
    <row r="8434" x14ac:dyDescent="0.35"/>
    <row r="8435" x14ac:dyDescent="0.35"/>
    <row r="8436" x14ac:dyDescent="0.35"/>
    <row r="8437" x14ac:dyDescent="0.35"/>
    <row r="8438" x14ac:dyDescent="0.35"/>
    <row r="8439" x14ac:dyDescent="0.35"/>
    <row r="8440" x14ac:dyDescent="0.35"/>
    <row r="8441" x14ac:dyDescent="0.35"/>
    <row r="8442" x14ac:dyDescent="0.35"/>
    <row r="8443" x14ac:dyDescent="0.35"/>
    <row r="8444" x14ac:dyDescent="0.35"/>
    <row r="8445" x14ac:dyDescent="0.35"/>
    <row r="8446" x14ac:dyDescent="0.35"/>
    <row r="8447" x14ac:dyDescent="0.35"/>
    <row r="8448" x14ac:dyDescent="0.35"/>
    <row r="8449" x14ac:dyDescent="0.35"/>
    <row r="8450" x14ac:dyDescent="0.35"/>
    <row r="8451" x14ac:dyDescent="0.35"/>
    <row r="8452" x14ac:dyDescent="0.35"/>
    <row r="8453" x14ac:dyDescent="0.35"/>
    <row r="8454" x14ac:dyDescent="0.35"/>
    <row r="8455" x14ac:dyDescent="0.35"/>
    <row r="8456" x14ac:dyDescent="0.35"/>
    <row r="8457" x14ac:dyDescent="0.35"/>
    <row r="8458" x14ac:dyDescent="0.35"/>
    <row r="8459" x14ac:dyDescent="0.35"/>
    <row r="8460" x14ac:dyDescent="0.35"/>
    <row r="8461" x14ac:dyDescent="0.35"/>
    <row r="8462" x14ac:dyDescent="0.35"/>
    <row r="8463" x14ac:dyDescent="0.35"/>
    <row r="8464" x14ac:dyDescent="0.35"/>
    <row r="8465" x14ac:dyDescent="0.35"/>
    <row r="8466" x14ac:dyDescent="0.35"/>
    <row r="8467" x14ac:dyDescent="0.35"/>
    <row r="8468" x14ac:dyDescent="0.35"/>
    <row r="8469" x14ac:dyDescent="0.35"/>
    <row r="8470" x14ac:dyDescent="0.35"/>
    <row r="8471" x14ac:dyDescent="0.35"/>
    <row r="8472" x14ac:dyDescent="0.35"/>
    <row r="8473" x14ac:dyDescent="0.35"/>
    <row r="8474" x14ac:dyDescent="0.35"/>
    <row r="8475" x14ac:dyDescent="0.35"/>
    <row r="8476" x14ac:dyDescent="0.35"/>
    <row r="8477" x14ac:dyDescent="0.35"/>
    <row r="8478" x14ac:dyDescent="0.35"/>
    <row r="8479" x14ac:dyDescent="0.35"/>
    <row r="8480" x14ac:dyDescent="0.35"/>
    <row r="8481" x14ac:dyDescent="0.35"/>
    <row r="8482" x14ac:dyDescent="0.35"/>
    <row r="8483" x14ac:dyDescent="0.35"/>
    <row r="8484" x14ac:dyDescent="0.35"/>
    <row r="8485" x14ac:dyDescent="0.35"/>
    <row r="8486" x14ac:dyDescent="0.35"/>
    <row r="8487" x14ac:dyDescent="0.35"/>
    <row r="8488" x14ac:dyDescent="0.35"/>
    <row r="8489" x14ac:dyDescent="0.35"/>
    <row r="8490" x14ac:dyDescent="0.35"/>
    <row r="8491" x14ac:dyDescent="0.35"/>
    <row r="8492" x14ac:dyDescent="0.35"/>
    <row r="8493" x14ac:dyDescent="0.35"/>
    <row r="8494" x14ac:dyDescent="0.35"/>
    <row r="8495" x14ac:dyDescent="0.35"/>
    <row r="8496" x14ac:dyDescent="0.35"/>
    <row r="8497" x14ac:dyDescent="0.35"/>
    <row r="8498" x14ac:dyDescent="0.35"/>
    <row r="8499" x14ac:dyDescent="0.35"/>
    <row r="8500" x14ac:dyDescent="0.35"/>
    <row r="8501" x14ac:dyDescent="0.35"/>
    <row r="8502" x14ac:dyDescent="0.35"/>
    <row r="8503" x14ac:dyDescent="0.35"/>
    <row r="8504" x14ac:dyDescent="0.35"/>
    <row r="8505" x14ac:dyDescent="0.35"/>
    <row r="8506" x14ac:dyDescent="0.35"/>
    <row r="8507" x14ac:dyDescent="0.35"/>
    <row r="8508" x14ac:dyDescent="0.35"/>
    <row r="8509" x14ac:dyDescent="0.35"/>
    <row r="8510" x14ac:dyDescent="0.35"/>
    <row r="8511" x14ac:dyDescent="0.35"/>
    <row r="8512" x14ac:dyDescent="0.35"/>
    <row r="8513" x14ac:dyDescent="0.35"/>
    <row r="8514" x14ac:dyDescent="0.35"/>
    <row r="8515" x14ac:dyDescent="0.35"/>
    <row r="8516" x14ac:dyDescent="0.35"/>
    <row r="8517" x14ac:dyDescent="0.35"/>
    <row r="8518" x14ac:dyDescent="0.35"/>
    <row r="8519" x14ac:dyDescent="0.35"/>
    <row r="8520" x14ac:dyDescent="0.35"/>
    <row r="8521" x14ac:dyDescent="0.35"/>
    <row r="8522" x14ac:dyDescent="0.35"/>
    <row r="8523" x14ac:dyDescent="0.35"/>
    <row r="8524" x14ac:dyDescent="0.35"/>
    <row r="8525" x14ac:dyDescent="0.35"/>
    <row r="8526" x14ac:dyDescent="0.35"/>
    <row r="8527" x14ac:dyDescent="0.35"/>
    <row r="8528" x14ac:dyDescent="0.35"/>
    <row r="8529" x14ac:dyDescent="0.35"/>
    <row r="8530" x14ac:dyDescent="0.35"/>
    <row r="8531" x14ac:dyDescent="0.35"/>
    <row r="8532" x14ac:dyDescent="0.35"/>
    <row r="8533" x14ac:dyDescent="0.35"/>
    <row r="8534" x14ac:dyDescent="0.35"/>
    <row r="8535" x14ac:dyDescent="0.35"/>
    <row r="8536" x14ac:dyDescent="0.35"/>
    <row r="8537" x14ac:dyDescent="0.35"/>
    <row r="8538" x14ac:dyDescent="0.35"/>
    <row r="8539" x14ac:dyDescent="0.35"/>
    <row r="8540" x14ac:dyDescent="0.35"/>
    <row r="8541" x14ac:dyDescent="0.35"/>
    <row r="8542" x14ac:dyDescent="0.35"/>
    <row r="8543" x14ac:dyDescent="0.35"/>
    <row r="8544" x14ac:dyDescent="0.35"/>
    <row r="8545" x14ac:dyDescent="0.35"/>
    <row r="8546" x14ac:dyDescent="0.35"/>
    <row r="8547" x14ac:dyDescent="0.35"/>
    <row r="8548" x14ac:dyDescent="0.35"/>
    <row r="8549" x14ac:dyDescent="0.35"/>
    <row r="8550" x14ac:dyDescent="0.35"/>
    <row r="8551" x14ac:dyDescent="0.35"/>
    <row r="8552" x14ac:dyDescent="0.35"/>
    <row r="8553" x14ac:dyDescent="0.35"/>
    <row r="8554" x14ac:dyDescent="0.35"/>
    <row r="8555" x14ac:dyDescent="0.35"/>
    <row r="8556" x14ac:dyDescent="0.35"/>
    <row r="8557" x14ac:dyDescent="0.35"/>
    <row r="8558" x14ac:dyDescent="0.35"/>
    <row r="8559" x14ac:dyDescent="0.35"/>
    <row r="8560" x14ac:dyDescent="0.35"/>
    <row r="8561" x14ac:dyDescent="0.35"/>
    <row r="8562" x14ac:dyDescent="0.35"/>
    <row r="8563" x14ac:dyDescent="0.35"/>
    <row r="8564" x14ac:dyDescent="0.35"/>
    <row r="8565" x14ac:dyDescent="0.35"/>
    <row r="8566" x14ac:dyDescent="0.35"/>
    <row r="8567" x14ac:dyDescent="0.35"/>
    <row r="8568" x14ac:dyDescent="0.35"/>
    <row r="8569" x14ac:dyDescent="0.35"/>
    <row r="8570" x14ac:dyDescent="0.35"/>
    <row r="8571" x14ac:dyDescent="0.35"/>
    <row r="8572" x14ac:dyDescent="0.35"/>
    <row r="8573" x14ac:dyDescent="0.35"/>
    <row r="8574" x14ac:dyDescent="0.35"/>
    <row r="8575" x14ac:dyDescent="0.35"/>
    <row r="8576" x14ac:dyDescent="0.35"/>
    <row r="8577" x14ac:dyDescent="0.35"/>
    <row r="8578" x14ac:dyDescent="0.35"/>
    <row r="8579" x14ac:dyDescent="0.35"/>
    <row r="8580" x14ac:dyDescent="0.35"/>
    <row r="8581" x14ac:dyDescent="0.35"/>
    <row r="8582" x14ac:dyDescent="0.35"/>
    <row r="8583" x14ac:dyDescent="0.35"/>
    <row r="8584" x14ac:dyDescent="0.35"/>
    <row r="8585" x14ac:dyDescent="0.35"/>
    <row r="8586" x14ac:dyDescent="0.35"/>
    <row r="8587" x14ac:dyDescent="0.35"/>
    <row r="8588" x14ac:dyDescent="0.35"/>
    <row r="8589" x14ac:dyDescent="0.35"/>
    <row r="8590" x14ac:dyDescent="0.35"/>
    <row r="8591" x14ac:dyDescent="0.35"/>
    <row r="8592" x14ac:dyDescent="0.35"/>
    <row r="8593" x14ac:dyDescent="0.35"/>
    <row r="8594" x14ac:dyDescent="0.35"/>
    <row r="8595" x14ac:dyDescent="0.35"/>
    <row r="8596" x14ac:dyDescent="0.35"/>
    <row r="8597" x14ac:dyDescent="0.35"/>
    <row r="8598" x14ac:dyDescent="0.35"/>
    <row r="8599" x14ac:dyDescent="0.35"/>
    <row r="8600" x14ac:dyDescent="0.35"/>
    <row r="8601" x14ac:dyDescent="0.35"/>
    <row r="8602" x14ac:dyDescent="0.35"/>
    <row r="8603" x14ac:dyDescent="0.35"/>
    <row r="8604" x14ac:dyDescent="0.35"/>
    <row r="8605" x14ac:dyDescent="0.35"/>
    <row r="8606" x14ac:dyDescent="0.35"/>
    <row r="8607" x14ac:dyDescent="0.35"/>
    <row r="8608" x14ac:dyDescent="0.35"/>
    <row r="8609" x14ac:dyDescent="0.35"/>
    <row r="8610" x14ac:dyDescent="0.35"/>
    <row r="8611" x14ac:dyDescent="0.35"/>
    <row r="8612" x14ac:dyDescent="0.35"/>
    <row r="8613" x14ac:dyDescent="0.35"/>
    <row r="8614" x14ac:dyDescent="0.35"/>
    <row r="8615" x14ac:dyDescent="0.35"/>
    <row r="8616" x14ac:dyDescent="0.35"/>
    <row r="8617" x14ac:dyDescent="0.35"/>
    <row r="8618" x14ac:dyDescent="0.35"/>
    <row r="8619" x14ac:dyDescent="0.35"/>
    <row r="8620" x14ac:dyDescent="0.35"/>
    <row r="8621" x14ac:dyDescent="0.35"/>
    <row r="8622" x14ac:dyDescent="0.35"/>
    <row r="8623" x14ac:dyDescent="0.35"/>
    <row r="8624" x14ac:dyDescent="0.35"/>
    <row r="8625" x14ac:dyDescent="0.35"/>
    <row r="8626" x14ac:dyDescent="0.35"/>
    <row r="8627" x14ac:dyDescent="0.35"/>
    <row r="8628" x14ac:dyDescent="0.35"/>
    <row r="8629" x14ac:dyDescent="0.35"/>
    <row r="8630" x14ac:dyDescent="0.35"/>
    <row r="8631" x14ac:dyDescent="0.35"/>
    <row r="8632" x14ac:dyDescent="0.35"/>
    <row r="8633" x14ac:dyDescent="0.35"/>
    <row r="8634" x14ac:dyDescent="0.35"/>
    <row r="8635" x14ac:dyDescent="0.35"/>
    <row r="8636" x14ac:dyDescent="0.35"/>
    <row r="8637" x14ac:dyDescent="0.35"/>
    <row r="8638" x14ac:dyDescent="0.35"/>
    <row r="8639" x14ac:dyDescent="0.35"/>
    <row r="8640" x14ac:dyDescent="0.35"/>
    <row r="8641" x14ac:dyDescent="0.35"/>
    <row r="8642" x14ac:dyDescent="0.35"/>
    <row r="8643" x14ac:dyDescent="0.35"/>
    <row r="8644" x14ac:dyDescent="0.35"/>
    <row r="8645" x14ac:dyDescent="0.35"/>
    <row r="8646" x14ac:dyDescent="0.35"/>
    <row r="8647" x14ac:dyDescent="0.35"/>
    <row r="8648" x14ac:dyDescent="0.35"/>
    <row r="8649" x14ac:dyDescent="0.35"/>
    <row r="8650" x14ac:dyDescent="0.35"/>
    <row r="8651" x14ac:dyDescent="0.35"/>
    <row r="8652" x14ac:dyDescent="0.35"/>
    <row r="8653" x14ac:dyDescent="0.35"/>
    <row r="8654" x14ac:dyDescent="0.35"/>
    <row r="8655" x14ac:dyDescent="0.35"/>
    <row r="8656" x14ac:dyDescent="0.35"/>
    <row r="8657" x14ac:dyDescent="0.35"/>
    <row r="8658" x14ac:dyDescent="0.35"/>
    <row r="8659" x14ac:dyDescent="0.35"/>
    <row r="8660" x14ac:dyDescent="0.35"/>
    <row r="8661" x14ac:dyDescent="0.35"/>
    <row r="8662" x14ac:dyDescent="0.35"/>
    <row r="8663" x14ac:dyDescent="0.35"/>
    <row r="8664" x14ac:dyDescent="0.35"/>
    <row r="8665" x14ac:dyDescent="0.35"/>
    <row r="8666" x14ac:dyDescent="0.35"/>
    <row r="8667" x14ac:dyDescent="0.35"/>
    <row r="8668" x14ac:dyDescent="0.35"/>
    <row r="8669" x14ac:dyDescent="0.35"/>
    <row r="8670" x14ac:dyDescent="0.35"/>
    <row r="8671" x14ac:dyDescent="0.35"/>
    <row r="8672" x14ac:dyDescent="0.35"/>
    <row r="8673" x14ac:dyDescent="0.35"/>
    <row r="8674" x14ac:dyDescent="0.35"/>
    <row r="8675" x14ac:dyDescent="0.35"/>
    <row r="8676" x14ac:dyDescent="0.35"/>
    <row r="8677" x14ac:dyDescent="0.35"/>
    <row r="8678" x14ac:dyDescent="0.35"/>
    <row r="8679" x14ac:dyDescent="0.35"/>
    <row r="8680" x14ac:dyDescent="0.35"/>
    <row r="8681" x14ac:dyDescent="0.35"/>
    <row r="8682" x14ac:dyDescent="0.35"/>
    <row r="8683" x14ac:dyDescent="0.35"/>
    <row r="8684" x14ac:dyDescent="0.35"/>
    <row r="8685" x14ac:dyDescent="0.35"/>
    <row r="8686" x14ac:dyDescent="0.35"/>
    <row r="8687" x14ac:dyDescent="0.35"/>
    <row r="8688" x14ac:dyDescent="0.35"/>
    <row r="8689" x14ac:dyDescent="0.35"/>
    <row r="8690" x14ac:dyDescent="0.35"/>
    <row r="8691" x14ac:dyDescent="0.35"/>
    <row r="8692" x14ac:dyDescent="0.35"/>
    <row r="8693" x14ac:dyDescent="0.35"/>
    <row r="8694" x14ac:dyDescent="0.35"/>
    <row r="8695" x14ac:dyDescent="0.35"/>
    <row r="8696" x14ac:dyDescent="0.35"/>
    <row r="8697" x14ac:dyDescent="0.35"/>
    <row r="8698" x14ac:dyDescent="0.35"/>
    <row r="8699" x14ac:dyDescent="0.35"/>
    <row r="8700" x14ac:dyDescent="0.35"/>
    <row r="8701" x14ac:dyDescent="0.35"/>
    <row r="8702" x14ac:dyDescent="0.35"/>
    <row r="8703" x14ac:dyDescent="0.35"/>
    <row r="8704" x14ac:dyDescent="0.35"/>
    <row r="8705" x14ac:dyDescent="0.35"/>
    <row r="8706" x14ac:dyDescent="0.35"/>
    <row r="8707" x14ac:dyDescent="0.35"/>
    <row r="8708" x14ac:dyDescent="0.35"/>
    <row r="8709" x14ac:dyDescent="0.35"/>
    <row r="8710" x14ac:dyDescent="0.35"/>
    <row r="8711" x14ac:dyDescent="0.35"/>
    <row r="8712" x14ac:dyDescent="0.35"/>
    <row r="8713" x14ac:dyDescent="0.35"/>
    <row r="8714" x14ac:dyDescent="0.35"/>
    <row r="8715" x14ac:dyDescent="0.35"/>
    <row r="8716" x14ac:dyDescent="0.35"/>
    <row r="8717" x14ac:dyDescent="0.35"/>
    <row r="8718" x14ac:dyDescent="0.35"/>
    <row r="8719" x14ac:dyDescent="0.35"/>
    <row r="8720" x14ac:dyDescent="0.35"/>
    <row r="8721" x14ac:dyDescent="0.35"/>
    <row r="8722" x14ac:dyDescent="0.35"/>
    <row r="8723" x14ac:dyDescent="0.35"/>
    <row r="8724" x14ac:dyDescent="0.35"/>
    <row r="8725" x14ac:dyDescent="0.35"/>
    <row r="8726" x14ac:dyDescent="0.35"/>
    <row r="8727" x14ac:dyDescent="0.35"/>
    <row r="8728" x14ac:dyDescent="0.35"/>
    <row r="8729" x14ac:dyDescent="0.35"/>
    <row r="8730" x14ac:dyDescent="0.35"/>
    <row r="8731" x14ac:dyDescent="0.35"/>
    <row r="8732" x14ac:dyDescent="0.35"/>
    <row r="8733" x14ac:dyDescent="0.35"/>
    <row r="8734" x14ac:dyDescent="0.35"/>
    <row r="8735" x14ac:dyDescent="0.35"/>
    <row r="8736" x14ac:dyDescent="0.35"/>
    <row r="8737" x14ac:dyDescent="0.35"/>
    <row r="8738" x14ac:dyDescent="0.35"/>
    <row r="8739" x14ac:dyDescent="0.35"/>
    <row r="8740" x14ac:dyDescent="0.35"/>
    <row r="8741" x14ac:dyDescent="0.35"/>
    <row r="8742" x14ac:dyDescent="0.35"/>
    <row r="8743" x14ac:dyDescent="0.35"/>
    <row r="8744" x14ac:dyDescent="0.35"/>
    <row r="8745" x14ac:dyDescent="0.35"/>
    <row r="8746" x14ac:dyDescent="0.35"/>
    <row r="8747" x14ac:dyDescent="0.35"/>
    <row r="8748" x14ac:dyDescent="0.35"/>
    <row r="8749" x14ac:dyDescent="0.35"/>
    <row r="8750" x14ac:dyDescent="0.35"/>
    <row r="8751" x14ac:dyDescent="0.35"/>
    <row r="8752" x14ac:dyDescent="0.35"/>
    <row r="8753" x14ac:dyDescent="0.35"/>
    <row r="8754" x14ac:dyDescent="0.35"/>
    <row r="8755" x14ac:dyDescent="0.35"/>
    <row r="8756" x14ac:dyDescent="0.35"/>
    <row r="8757" x14ac:dyDescent="0.35"/>
    <row r="8758" x14ac:dyDescent="0.35"/>
    <row r="8759" x14ac:dyDescent="0.35"/>
    <row r="8760" x14ac:dyDescent="0.35"/>
    <row r="8761" x14ac:dyDescent="0.35"/>
    <row r="8762" x14ac:dyDescent="0.35"/>
    <row r="8763" x14ac:dyDescent="0.35"/>
    <row r="8764" x14ac:dyDescent="0.35"/>
    <row r="8765" x14ac:dyDescent="0.35"/>
    <row r="8766" x14ac:dyDescent="0.35"/>
    <row r="8767" x14ac:dyDescent="0.35"/>
    <row r="8768" x14ac:dyDescent="0.35"/>
    <row r="8769" x14ac:dyDescent="0.35"/>
    <row r="8770" x14ac:dyDescent="0.35"/>
    <row r="8771" x14ac:dyDescent="0.35"/>
    <row r="8772" x14ac:dyDescent="0.35"/>
    <row r="8773" x14ac:dyDescent="0.35"/>
    <row r="8774" x14ac:dyDescent="0.35"/>
    <row r="8775" x14ac:dyDescent="0.35"/>
    <row r="8776" x14ac:dyDescent="0.35"/>
    <row r="8777" x14ac:dyDescent="0.35"/>
    <row r="8778" x14ac:dyDescent="0.35"/>
    <row r="8779" x14ac:dyDescent="0.35"/>
    <row r="8780" x14ac:dyDescent="0.35"/>
    <row r="8781" x14ac:dyDescent="0.35"/>
    <row r="8782" x14ac:dyDescent="0.35"/>
    <row r="8783" x14ac:dyDescent="0.35"/>
    <row r="8784" x14ac:dyDescent="0.35"/>
    <row r="8785" x14ac:dyDescent="0.35"/>
    <row r="8786" x14ac:dyDescent="0.35"/>
    <row r="8787" x14ac:dyDescent="0.35"/>
    <row r="8788" x14ac:dyDescent="0.35"/>
    <row r="8789" x14ac:dyDescent="0.35"/>
    <row r="8790" x14ac:dyDescent="0.35"/>
    <row r="8791" x14ac:dyDescent="0.35"/>
    <row r="8792" x14ac:dyDescent="0.35"/>
    <row r="8793" x14ac:dyDescent="0.35"/>
    <row r="8794" x14ac:dyDescent="0.35"/>
    <row r="8795" x14ac:dyDescent="0.35"/>
    <row r="8796" x14ac:dyDescent="0.35"/>
    <row r="8797" x14ac:dyDescent="0.35"/>
    <row r="8798" x14ac:dyDescent="0.35"/>
    <row r="8799" x14ac:dyDescent="0.35"/>
    <row r="8800" x14ac:dyDescent="0.35"/>
    <row r="8801" x14ac:dyDescent="0.35"/>
    <row r="8802" x14ac:dyDescent="0.35"/>
    <row r="8803" x14ac:dyDescent="0.35"/>
    <row r="8804" x14ac:dyDescent="0.35"/>
    <row r="8805" x14ac:dyDescent="0.35"/>
    <row r="8806" x14ac:dyDescent="0.35"/>
    <row r="8807" x14ac:dyDescent="0.35"/>
    <row r="8808" x14ac:dyDescent="0.35"/>
    <row r="8809" x14ac:dyDescent="0.35"/>
    <row r="8810" x14ac:dyDescent="0.35"/>
    <row r="8811" x14ac:dyDescent="0.35"/>
    <row r="8812" x14ac:dyDescent="0.35"/>
    <row r="8813" x14ac:dyDescent="0.35"/>
    <row r="8814" x14ac:dyDescent="0.35"/>
    <row r="8815" x14ac:dyDescent="0.35"/>
    <row r="8816" x14ac:dyDescent="0.35"/>
    <row r="8817" x14ac:dyDescent="0.35"/>
    <row r="8818" x14ac:dyDescent="0.35"/>
    <row r="8819" x14ac:dyDescent="0.35"/>
    <row r="8820" x14ac:dyDescent="0.35"/>
    <row r="8821" x14ac:dyDescent="0.35"/>
    <row r="8822" x14ac:dyDescent="0.35"/>
    <row r="8823" x14ac:dyDescent="0.35"/>
    <row r="8824" x14ac:dyDescent="0.35"/>
    <row r="8825" x14ac:dyDescent="0.35"/>
    <row r="8826" x14ac:dyDescent="0.35"/>
    <row r="8827" x14ac:dyDescent="0.35"/>
    <row r="8828" x14ac:dyDescent="0.35"/>
    <row r="8829" x14ac:dyDescent="0.35"/>
    <row r="8830" x14ac:dyDescent="0.35"/>
    <row r="8831" x14ac:dyDescent="0.35"/>
    <row r="8832" x14ac:dyDescent="0.35"/>
    <row r="8833" x14ac:dyDescent="0.35"/>
    <row r="8834" x14ac:dyDescent="0.35"/>
    <row r="8835" x14ac:dyDescent="0.35"/>
    <row r="8836" x14ac:dyDescent="0.35"/>
    <row r="8837" x14ac:dyDescent="0.35"/>
    <row r="8838" x14ac:dyDescent="0.35"/>
    <row r="8839" x14ac:dyDescent="0.35"/>
    <row r="8840" x14ac:dyDescent="0.35"/>
    <row r="8841" x14ac:dyDescent="0.35"/>
    <row r="8842" x14ac:dyDescent="0.35"/>
    <row r="8843" x14ac:dyDescent="0.35"/>
    <row r="8844" x14ac:dyDescent="0.35"/>
    <row r="8845" x14ac:dyDescent="0.35"/>
    <row r="8846" x14ac:dyDescent="0.35"/>
    <row r="8847" x14ac:dyDescent="0.35"/>
    <row r="8848" x14ac:dyDescent="0.35"/>
    <row r="8849" x14ac:dyDescent="0.35"/>
    <row r="8850" x14ac:dyDescent="0.35"/>
    <row r="8851" x14ac:dyDescent="0.35"/>
    <row r="8852" x14ac:dyDescent="0.35"/>
    <row r="8853" x14ac:dyDescent="0.35"/>
    <row r="8854" x14ac:dyDescent="0.35"/>
    <row r="8855" x14ac:dyDescent="0.35"/>
    <row r="8856" x14ac:dyDescent="0.35"/>
    <row r="8857" x14ac:dyDescent="0.35"/>
    <row r="8858" x14ac:dyDescent="0.35"/>
    <row r="8859" x14ac:dyDescent="0.35"/>
    <row r="8860" x14ac:dyDescent="0.35"/>
    <row r="8861" x14ac:dyDescent="0.35"/>
    <row r="8862" x14ac:dyDescent="0.35"/>
    <row r="8863" x14ac:dyDescent="0.35"/>
    <row r="8864" x14ac:dyDescent="0.35"/>
    <row r="8865" x14ac:dyDescent="0.35"/>
    <row r="8866" x14ac:dyDescent="0.35"/>
    <row r="8867" x14ac:dyDescent="0.35"/>
    <row r="8868" x14ac:dyDescent="0.35"/>
    <row r="8869" x14ac:dyDescent="0.35"/>
    <row r="8870" x14ac:dyDescent="0.35"/>
    <row r="8871" x14ac:dyDescent="0.35"/>
    <row r="8872" x14ac:dyDescent="0.35"/>
    <row r="8873" x14ac:dyDescent="0.35"/>
    <row r="8874" x14ac:dyDescent="0.35"/>
    <row r="8875" x14ac:dyDescent="0.35"/>
    <row r="8876" x14ac:dyDescent="0.35"/>
    <row r="8877" x14ac:dyDescent="0.35"/>
    <row r="8878" x14ac:dyDescent="0.35"/>
    <row r="8879" x14ac:dyDescent="0.35"/>
    <row r="8880" x14ac:dyDescent="0.35"/>
    <row r="8881" x14ac:dyDescent="0.35"/>
    <row r="8882" x14ac:dyDescent="0.35"/>
    <row r="8883" x14ac:dyDescent="0.35"/>
    <row r="8884" x14ac:dyDescent="0.35"/>
    <row r="8885" x14ac:dyDescent="0.35"/>
    <row r="8886" x14ac:dyDescent="0.35"/>
    <row r="8887" x14ac:dyDescent="0.35"/>
    <row r="8888" x14ac:dyDescent="0.35"/>
    <row r="8889" x14ac:dyDescent="0.35"/>
    <row r="8890" x14ac:dyDescent="0.35"/>
    <row r="8891" x14ac:dyDescent="0.35"/>
    <row r="8892" x14ac:dyDescent="0.35"/>
    <row r="8893" x14ac:dyDescent="0.35"/>
    <row r="8894" x14ac:dyDescent="0.35"/>
    <row r="8895" x14ac:dyDescent="0.35"/>
    <row r="8896" x14ac:dyDescent="0.35"/>
    <row r="8897" x14ac:dyDescent="0.35"/>
    <row r="8898" x14ac:dyDescent="0.35"/>
    <row r="8899" x14ac:dyDescent="0.35"/>
    <row r="8900" x14ac:dyDescent="0.35"/>
    <row r="8901" x14ac:dyDescent="0.35"/>
    <row r="8902" x14ac:dyDescent="0.35"/>
    <row r="8903" x14ac:dyDescent="0.35"/>
    <row r="8904" x14ac:dyDescent="0.35"/>
    <row r="8905" x14ac:dyDescent="0.35"/>
    <row r="8906" x14ac:dyDescent="0.35"/>
    <row r="8907" x14ac:dyDescent="0.35"/>
    <row r="8908" x14ac:dyDescent="0.35"/>
    <row r="8909" x14ac:dyDescent="0.35"/>
    <row r="8910" x14ac:dyDescent="0.35"/>
    <row r="8911" x14ac:dyDescent="0.35"/>
    <row r="8912" x14ac:dyDescent="0.35"/>
    <row r="8913" x14ac:dyDescent="0.35"/>
    <row r="8914" x14ac:dyDescent="0.35"/>
    <row r="8915" x14ac:dyDescent="0.35"/>
    <row r="8916" x14ac:dyDescent="0.35"/>
    <row r="8917" x14ac:dyDescent="0.35"/>
    <row r="8918" x14ac:dyDescent="0.35"/>
    <row r="8919" x14ac:dyDescent="0.35"/>
    <row r="8920" x14ac:dyDescent="0.35"/>
    <row r="8921" x14ac:dyDescent="0.35"/>
    <row r="8922" x14ac:dyDescent="0.35"/>
    <row r="8923" x14ac:dyDescent="0.35"/>
    <row r="8924" x14ac:dyDescent="0.35"/>
    <row r="8925" x14ac:dyDescent="0.35"/>
    <row r="8926" x14ac:dyDescent="0.35"/>
    <row r="8927" x14ac:dyDescent="0.35"/>
    <row r="8928" x14ac:dyDescent="0.35"/>
    <row r="8929" x14ac:dyDescent="0.35"/>
    <row r="8930" x14ac:dyDescent="0.35"/>
    <row r="8931" x14ac:dyDescent="0.35"/>
    <row r="8932" x14ac:dyDescent="0.35"/>
    <row r="8933" x14ac:dyDescent="0.35"/>
    <row r="8934" x14ac:dyDescent="0.35"/>
    <row r="8935" x14ac:dyDescent="0.35"/>
    <row r="8936" x14ac:dyDescent="0.35"/>
    <row r="8937" x14ac:dyDescent="0.35"/>
    <row r="8938" x14ac:dyDescent="0.35"/>
    <row r="8939" x14ac:dyDescent="0.35"/>
    <row r="8940" x14ac:dyDescent="0.35"/>
    <row r="8941" x14ac:dyDescent="0.35"/>
    <row r="8942" x14ac:dyDescent="0.35"/>
    <row r="8943" x14ac:dyDescent="0.35"/>
    <row r="8944" x14ac:dyDescent="0.35"/>
    <row r="8945" x14ac:dyDescent="0.35"/>
    <row r="8946" x14ac:dyDescent="0.35"/>
    <row r="8947" x14ac:dyDescent="0.35"/>
    <row r="8948" x14ac:dyDescent="0.35"/>
    <row r="8949" x14ac:dyDescent="0.35"/>
    <row r="8950" x14ac:dyDescent="0.35"/>
    <row r="8951" x14ac:dyDescent="0.35"/>
    <row r="8952" x14ac:dyDescent="0.35"/>
    <row r="8953" x14ac:dyDescent="0.35"/>
    <row r="8954" x14ac:dyDescent="0.35"/>
    <row r="8955" x14ac:dyDescent="0.35"/>
    <row r="8956" x14ac:dyDescent="0.35"/>
    <row r="8957" x14ac:dyDescent="0.35"/>
    <row r="8958" x14ac:dyDescent="0.35"/>
    <row r="8959" x14ac:dyDescent="0.35"/>
    <row r="8960" x14ac:dyDescent="0.35"/>
    <row r="8961" x14ac:dyDescent="0.35"/>
    <row r="8962" x14ac:dyDescent="0.35"/>
    <row r="8963" x14ac:dyDescent="0.35"/>
    <row r="8964" x14ac:dyDescent="0.35"/>
    <row r="8965" x14ac:dyDescent="0.35"/>
    <row r="8966" x14ac:dyDescent="0.35"/>
    <row r="8967" x14ac:dyDescent="0.35"/>
    <row r="8968" x14ac:dyDescent="0.35"/>
    <row r="8969" x14ac:dyDescent="0.35"/>
    <row r="8970" x14ac:dyDescent="0.35"/>
    <row r="8971" x14ac:dyDescent="0.35"/>
    <row r="8972" x14ac:dyDescent="0.35"/>
    <row r="8973" x14ac:dyDescent="0.35"/>
    <row r="8974" x14ac:dyDescent="0.35"/>
    <row r="8975" x14ac:dyDescent="0.35"/>
    <row r="8976" x14ac:dyDescent="0.35"/>
    <row r="8977" x14ac:dyDescent="0.35"/>
    <row r="8978" x14ac:dyDescent="0.35"/>
    <row r="8979" x14ac:dyDescent="0.35"/>
    <row r="8980" x14ac:dyDescent="0.35"/>
    <row r="8981" x14ac:dyDescent="0.35"/>
    <row r="8982" x14ac:dyDescent="0.35"/>
    <row r="8983" x14ac:dyDescent="0.35"/>
    <row r="8984" x14ac:dyDescent="0.35"/>
    <row r="8985" x14ac:dyDescent="0.35"/>
    <row r="8986" x14ac:dyDescent="0.35"/>
    <row r="8987" x14ac:dyDescent="0.35"/>
    <row r="8988" x14ac:dyDescent="0.35"/>
    <row r="8989" x14ac:dyDescent="0.35"/>
    <row r="8990" x14ac:dyDescent="0.35"/>
    <row r="8991" x14ac:dyDescent="0.35"/>
    <row r="8992" x14ac:dyDescent="0.35"/>
    <row r="8993" x14ac:dyDescent="0.35"/>
    <row r="8994" x14ac:dyDescent="0.35"/>
    <row r="8995" x14ac:dyDescent="0.35"/>
    <row r="8996" x14ac:dyDescent="0.35"/>
    <row r="8997" x14ac:dyDescent="0.35"/>
    <row r="8998" x14ac:dyDescent="0.35"/>
    <row r="8999" x14ac:dyDescent="0.35"/>
    <row r="9000" x14ac:dyDescent="0.35"/>
    <row r="9001" x14ac:dyDescent="0.35"/>
    <row r="9002" x14ac:dyDescent="0.35"/>
    <row r="9003" x14ac:dyDescent="0.35"/>
    <row r="9004" x14ac:dyDescent="0.35"/>
    <row r="9005" x14ac:dyDescent="0.35"/>
    <row r="9006" x14ac:dyDescent="0.35"/>
    <row r="9007" x14ac:dyDescent="0.35"/>
    <row r="9008" x14ac:dyDescent="0.35"/>
    <row r="9009" x14ac:dyDescent="0.35"/>
    <row r="9010" x14ac:dyDescent="0.35"/>
    <row r="9011" x14ac:dyDescent="0.35"/>
    <row r="9012" x14ac:dyDescent="0.35"/>
    <row r="9013" x14ac:dyDescent="0.35"/>
    <row r="9014" x14ac:dyDescent="0.35"/>
    <row r="9015" x14ac:dyDescent="0.35"/>
    <row r="9016" x14ac:dyDescent="0.35"/>
    <row r="9017" x14ac:dyDescent="0.35"/>
    <row r="9018" x14ac:dyDescent="0.35"/>
    <row r="9019" x14ac:dyDescent="0.35"/>
    <row r="9020" x14ac:dyDescent="0.35"/>
    <row r="9021" x14ac:dyDescent="0.35"/>
    <row r="9022" x14ac:dyDescent="0.35"/>
    <row r="9023" x14ac:dyDescent="0.35"/>
    <row r="9024" x14ac:dyDescent="0.35"/>
    <row r="9025" x14ac:dyDescent="0.35"/>
    <row r="9026" x14ac:dyDescent="0.35"/>
    <row r="9027" x14ac:dyDescent="0.35"/>
    <row r="9028" x14ac:dyDescent="0.35"/>
    <row r="9029" x14ac:dyDescent="0.35"/>
    <row r="9030" x14ac:dyDescent="0.35"/>
    <row r="9031" x14ac:dyDescent="0.35"/>
    <row r="9032" x14ac:dyDescent="0.35"/>
    <row r="9033" x14ac:dyDescent="0.35"/>
    <row r="9034" x14ac:dyDescent="0.35"/>
    <row r="9035" x14ac:dyDescent="0.35"/>
    <row r="9036" x14ac:dyDescent="0.35"/>
    <row r="9037" x14ac:dyDescent="0.35"/>
    <row r="9038" x14ac:dyDescent="0.35"/>
    <row r="9039" x14ac:dyDescent="0.35"/>
    <row r="9040" x14ac:dyDescent="0.35"/>
    <row r="9041" x14ac:dyDescent="0.35"/>
    <row r="9042" x14ac:dyDescent="0.35"/>
    <row r="9043" x14ac:dyDescent="0.35"/>
    <row r="9044" x14ac:dyDescent="0.35"/>
    <row r="9045" x14ac:dyDescent="0.35"/>
    <row r="9046" x14ac:dyDescent="0.35"/>
    <row r="9047" x14ac:dyDescent="0.35"/>
    <row r="9048" x14ac:dyDescent="0.35"/>
    <row r="9049" x14ac:dyDescent="0.35"/>
    <row r="9050" x14ac:dyDescent="0.35"/>
    <row r="9051" x14ac:dyDescent="0.35"/>
    <row r="9052" x14ac:dyDescent="0.35"/>
    <row r="9053" x14ac:dyDescent="0.35"/>
    <row r="9054" x14ac:dyDescent="0.35"/>
    <row r="9055" x14ac:dyDescent="0.35"/>
    <row r="9056" x14ac:dyDescent="0.35"/>
    <row r="9057" x14ac:dyDescent="0.35"/>
    <row r="9058" x14ac:dyDescent="0.35"/>
    <row r="9059" x14ac:dyDescent="0.35"/>
    <row r="9060" x14ac:dyDescent="0.35"/>
    <row r="9061" x14ac:dyDescent="0.35"/>
    <row r="9062" x14ac:dyDescent="0.35"/>
    <row r="9063" x14ac:dyDescent="0.35"/>
    <row r="9064" x14ac:dyDescent="0.35"/>
    <row r="9065" x14ac:dyDescent="0.35"/>
    <row r="9066" x14ac:dyDescent="0.35"/>
    <row r="9067" x14ac:dyDescent="0.35"/>
    <row r="9068" x14ac:dyDescent="0.35"/>
    <row r="9069" x14ac:dyDescent="0.35"/>
    <row r="9070" x14ac:dyDescent="0.35"/>
    <row r="9071" x14ac:dyDescent="0.35"/>
    <row r="9072" x14ac:dyDescent="0.35"/>
    <row r="9073" x14ac:dyDescent="0.35"/>
    <row r="9074" x14ac:dyDescent="0.35"/>
    <row r="9075" x14ac:dyDescent="0.35"/>
    <row r="9076" x14ac:dyDescent="0.35"/>
    <row r="9077" x14ac:dyDescent="0.35"/>
    <row r="9078" x14ac:dyDescent="0.35"/>
    <row r="9079" x14ac:dyDescent="0.35"/>
    <row r="9080" x14ac:dyDescent="0.35"/>
    <row r="9081" x14ac:dyDescent="0.35"/>
    <row r="9082" x14ac:dyDescent="0.35"/>
    <row r="9083" x14ac:dyDescent="0.35"/>
    <row r="9084" x14ac:dyDescent="0.35"/>
    <row r="9085" x14ac:dyDescent="0.35"/>
    <row r="9086" x14ac:dyDescent="0.35"/>
    <row r="9087" x14ac:dyDescent="0.35"/>
    <row r="9088" x14ac:dyDescent="0.35"/>
    <row r="9089" x14ac:dyDescent="0.35"/>
    <row r="9090" x14ac:dyDescent="0.35"/>
    <row r="9091" x14ac:dyDescent="0.35"/>
    <row r="9092" x14ac:dyDescent="0.35"/>
    <row r="9093" x14ac:dyDescent="0.35"/>
    <row r="9094" x14ac:dyDescent="0.35"/>
    <row r="9095" x14ac:dyDescent="0.35"/>
    <row r="9096" x14ac:dyDescent="0.35"/>
    <row r="9097" x14ac:dyDescent="0.35"/>
    <row r="9098" x14ac:dyDescent="0.35"/>
    <row r="9099" x14ac:dyDescent="0.35"/>
    <row r="9100" x14ac:dyDescent="0.35"/>
    <row r="9101" x14ac:dyDescent="0.35"/>
    <row r="9102" x14ac:dyDescent="0.35"/>
    <row r="9103" x14ac:dyDescent="0.35"/>
    <row r="9104" x14ac:dyDescent="0.35"/>
    <row r="9105" x14ac:dyDescent="0.35"/>
    <row r="9106" x14ac:dyDescent="0.35"/>
    <row r="9107" x14ac:dyDescent="0.35"/>
    <row r="9108" x14ac:dyDescent="0.35"/>
    <row r="9109" x14ac:dyDescent="0.35"/>
    <row r="9110" x14ac:dyDescent="0.35"/>
    <row r="9111" x14ac:dyDescent="0.35"/>
    <row r="9112" x14ac:dyDescent="0.35"/>
    <row r="9113" x14ac:dyDescent="0.35"/>
    <row r="9114" x14ac:dyDescent="0.35"/>
    <row r="9115" x14ac:dyDescent="0.35"/>
    <row r="9116" x14ac:dyDescent="0.35"/>
    <row r="9117" x14ac:dyDescent="0.35"/>
    <row r="9118" x14ac:dyDescent="0.35"/>
    <row r="9119" x14ac:dyDescent="0.35"/>
    <row r="9120" x14ac:dyDescent="0.35"/>
    <row r="9121" x14ac:dyDescent="0.35"/>
    <row r="9122" x14ac:dyDescent="0.35"/>
    <row r="9123" x14ac:dyDescent="0.35"/>
    <row r="9124" x14ac:dyDescent="0.35"/>
    <row r="9125" x14ac:dyDescent="0.35"/>
    <row r="9126" x14ac:dyDescent="0.35"/>
    <row r="9127" x14ac:dyDescent="0.35"/>
    <row r="9128" x14ac:dyDescent="0.35"/>
    <row r="9129" x14ac:dyDescent="0.35"/>
    <row r="9130" x14ac:dyDescent="0.35"/>
    <row r="9131" x14ac:dyDescent="0.35"/>
    <row r="9132" x14ac:dyDescent="0.35"/>
    <row r="9133" x14ac:dyDescent="0.35"/>
    <row r="9134" x14ac:dyDescent="0.35"/>
    <row r="9135" x14ac:dyDescent="0.35"/>
    <row r="9136" x14ac:dyDescent="0.35"/>
    <row r="9137" x14ac:dyDescent="0.35"/>
    <row r="9138" x14ac:dyDescent="0.35"/>
    <row r="9139" x14ac:dyDescent="0.35"/>
    <row r="9140" x14ac:dyDescent="0.35"/>
    <row r="9141" x14ac:dyDescent="0.35"/>
    <row r="9142" x14ac:dyDescent="0.35"/>
    <row r="9143" x14ac:dyDescent="0.35"/>
    <row r="9144" x14ac:dyDescent="0.35"/>
    <row r="9145" x14ac:dyDescent="0.35"/>
    <row r="9146" x14ac:dyDescent="0.35"/>
    <row r="9147" x14ac:dyDescent="0.35"/>
    <row r="9148" x14ac:dyDescent="0.35"/>
    <row r="9149" x14ac:dyDescent="0.35"/>
    <row r="9150" x14ac:dyDescent="0.35"/>
    <row r="9151" x14ac:dyDescent="0.35"/>
    <row r="9152" x14ac:dyDescent="0.35"/>
    <row r="9153" x14ac:dyDescent="0.35"/>
    <row r="9154" x14ac:dyDescent="0.35"/>
    <row r="9155" x14ac:dyDescent="0.35"/>
    <row r="9156" x14ac:dyDescent="0.35"/>
    <row r="9157" x14ac:dyDescent="0.35"/>
    <row r="9158" x14ac:dyDescent="0.35"/>
    <row r="9159" x14ac:dyDescent="0.35"/>
    <row r="9160" x14ac:dyDescent="0.35"/>
    <row r="9161" x14ac:dyDescent="0.35"/>
    <row r="9162" x14ac:dyDescent="0.35"/>
    <row r="9163" x14ac:dyDescent="0.35"/>
    <row r="9164" x14ac:dyDescent="0.35"/>
    <row r="9165" x14ac:dyDescent="0.35"/>
    <row r="9166" x14ac:dyDescent="0.35"/>
    <row r="9167" x14ac:dyDescent="0.35"/>
    <row r="9168" x14ac:dyDescent="0.35"/>
    <row r="9169" x14ac:dyDescent="0.35"/>
    <row r="9170" x14ac:dyDescent="0.35"/>
    <row r="9171" x14ac:dyDescent="0.35"/>
    <row r="9172" x14ac:dyDescent="0.35"/>
    <row r="9173" x14ac:dyDescent="0.35"/>
    <row r="9174" x14ac:dyDescent="0.35"/>
    <row r="9175" x14ac:dyDescent="0.35"/>
    <row r="9176" x14ac:dyDescent="0.35"/>
    <row r="9177" x14ac:dyDescent="0.35"/>
    <row r="9178" x14ac:dyDescent="0.35"/>
    <row r="9179" x14ac:dyDescent="0.35"/>
    <row r="9180" x14ac:dyDescent="0.35"/>
    <row r="9181" x14ac:dyDescent="0.35"/>
    <row r="9182" x14ac:dyDescent="0.35"/>
    <row r="9183" x14ac:dyDescent="0.35"/>
    <row r="9184" x14ac:dyDescent="0.35"/>
    <row r="9185" x14ac:dyDescent="0.35"/>
    <row r="9186" x14ac:dyDescent="0.35"/>
    <row r="9187" x14ac:dyDescent="0.35"/>
    <row r="9188" x14ac:dyDescent="0.35"/>
    <row r="9189" x14ac:dyDescent="0.35"/>
    <row r="9190" x14ac:dyDescent="0.35"/>
    <row r="9191" x14ac:dyDescent="0.35"/>
    <row r="9192" x14ac:dyDescent="0.35"/>
    <row r="9193" x14ac:dyDescent="0.35"/>
    <row r="9194" x14ac:dyDescent="0.35"/>
    <row r="9195" x14ac:dyDescent="0.35"/>
    <row r="9196" x14ac:dyDescent="0.35"/>
    <row r="9197" x14ac:dyDescent="0.35"/>
    <row r="9198" x14ac:dyDescent="0.35"/>
    <row r="9199" x14ac:dyDescent="0.35"/>
    <row r="9200" x14ac:dyDescent="0.35"/>
    <row r="9201" x14ac:dyDescent="0.35"/>
    <row r="9202" x14ac:dyDescent="0.35"/>
    <row r="9203" x14ac:dyDescent="0.35"/>
    <row r="9204" x14ac:dyDescent="0.35"/>
    <row r="9205" x14ac:dyDescent="0.35"/>
    <row r="9206" x14ac:dyDescent="0.35"/>
    <row r="9207" x14ac:dyDescent="0.35"/>
    <row r="9208" x14ac:dyDescent="0.35"/>
    <row r="9209" x14ac:dyDescent="0.35"/>
    <row r="9210" x14ac:dyDescent="0.35"/>
    <row r="9211" x14ac:dyDescent="0.35"/>
    <row r="9212" x14ac:dyDescent="0.35"/>
    <row r="9213" x14ac:dyDescent="0.35"/>
    <row r="9214" x14ac:dyDescent="0.35"/>
    <row r="9215" x14ac:dyDescent="0.35"/>
    <row r="9216" x14ac:dyDescent="0.35"/>
    <row r="9217" x14ac:dyDescent="0.35"/>
    <row r="9218" x14ac:dyDescent="0.35"/>
    <row r="9219" x14ac:dyDescent="0.35"/>
    <row r="9220" x14ac:dyDescent="0.35"/>
    <row r="9221" x14ac:dyDescent="0.35"/>
    <row r="9222" x14ac:dyDescent="0.35"/>
    <row r="9223" x14ac:dyDescent="0.35"/>
    <row r="9224" x14ac:dyDescent="0.35"/>
    <row r="9225" x14ac:dyDescent="0.35"/>
    <row r="9226" x14ac:dyDescent="0.35"/>
    <row r="9227" x14ac:dyDescent="0.35"/>
    <row r="9228" x14ac:dyDescent="0.35"/>
    <row r="9229" x14ac:dyDescent="0.35"/>
    <row r="9230" x14ac:dyDescent="0.35"/>
    <row r="9231" x14ac:dyDescent="0.35"/>
    <row r="9232" x14ac:dyDescent="0.35"/>
    <row r="9233" x14ac:dyDescent="0.35"/>
    <row r="9234" x14ac:dyDescent="0.35"/>
    <row r="9235" x14ac:dyDescent="0.35"/>
    <row r="9236" x14ac:dyDescent="0.35"/>
    <row r="9237" x14ac:dyDescent="0.35"/>
    <row r="9238" x14ac:dyDescent="0.35"/>
    <row r="9239" x14ac:dyDescent="0.35"/>
    <row r="9240" x14ac:dyDescent="0.35"/>
    <row r="9241" x14ac:dyDescent="0.35"/>
    <row r="9242" x14ac:dyDescent="0.35"/>
    <row r="9243" x14ac:dyDescent="0.35"/>
    <row r="9244" x14ac:dyDescent="0.35"/>
    <row r="9245" x14ac:dyDescent="0.35"/>
    <row r="9246" x14ac:dyDescent="0.35"/>
    <row r="9247" x14ac:dyDescent="0.35"/>
    <row r="9248" x14ac:dyDescent="0.35"/>
    <row r="9249" x14ac:dyDescent="0.35"/>
    <row r="9250" x14ac:dyDescent="0.35"/>
    <row r="9251" x14ac:dyDescent="0.35"/>
    <row r="9252" x14ac:dyDescent="0.35"/>
    <row r="9253" x14ac:dyDescent="0.35"/>
    <row r="9254" x14ac:dyDescent="0.35"/>
    <row r="9255" x14ac:dyDescent="0.35"/>
    <row r="9256" x14ac:dyDescent="0.35"/>
    <row r="9257" x14ac:dyDescent="0.35"/>
    <row r="9258" x14ac:dyDescent="0.35"/>
    <row r="9259" x14ac:dyDescent="0.35"/>
    <row r="9260" x14ac:dyDescent="0.35"/>
    <row r="9261" x14ac:dyDescent="0.35"/>
    <row r="9262" x14ac:dyDescent="0.35"/>
    <row r="9263" x14ac:dyDescent="0.35"/>
    <row r="9264" x14ac:dyDescent="0.35"/>
    <row r="9265" x14ac:dyDescent="0.35"/>
    <row r="9266" x14ac:dyDescent="0.35"/>
    <row r="9267" x14ac:dyDescent="0.35"/>
    <row r="9268" x14ac:dyDescent="0.35"/>
    <row r="9269" x14ac:dyDescent="0.35"/>
    <row r="9270" x14ac:dyDescent="0.35"/>
    <row r="9271" x14ac:dyDescent="0.35"/>
    <row r="9272" x14ac:dyDescent="0.35"/>
    <row r="9273" x14ac:dyDescent="0.35"/>
    <row r="9274" x14ac:dyDescent="0.35"/>
    <row r="9275" x14ac:dyDescent="0.35"/>
    <row r="9276" x14ac:dyDescent="0.35"/>
    <row r="9277" x14ac:dyDescent="0.35"/>
    <row r="9278" x14ac:dyDescent="0.35"/>
    <row r="9279" x14ac:dyDescent="0.35"/>
    <row r="9280" x14ac:dyDescent="0.35"/>
    <row r="9281" x14ac:dyDescent="0.35"/>
    <row r="9282" x14ac:dyDescent="0.35"/>
    <row r="9283" x14ac:dyDescent="0.35"/>
    <row r="9284" x14ac:dyDescent="0.35"/>
    <row r="9285" x14ac:dyDescent="0.35"/>
    <row r="9286" x14ac:dyDescent="0.35"/>
    <row r="9287" x14ac:dyDescent="0.35"/>
    <row r="9288" x14ac:dyDescent="0.35"/>
    <row r="9289" x14ac:dyDescent="0.35"/>
    <row r="9290" x14ac:dyDescent="0.35"/>
    <row r="9291" x14ac:dyDescent="0.35"/>
    <row r="9292" x14ac:dyDescent="0.35"/>
    <row r="9293" x14ac:dyDescent="0.35"/>
    <row r="9294" x14ac:dyDescent="0.35"/>
    <row r="9295" x14ac:dyDescent="0.35"/>
    <row r="9296" x14ac:dyDescent="0.35"/>
    <row r="9297" x14ac:dyDescent="0.35"/>
    <row r="9298" x14ac:dyDescent="0.35"/>
    <row r="9299" x14ac:dyDescent="0.35"/>
    <row r="9300" x14ac:dyDescent="0.35"/>
    <row r="9301" x14ac:dyDescent="0.35"/>
    <row r="9302" x14ac:dyDescent="0.35"/>
    <row r="9303" x14ac:dyDescent="0.35"/>
    <row r="9304" x14ac:dyDescent="0.35"/>
    <row r="9305" x14ac:dyDescent="0.35"/>
    <row r="9306" x14ac:dyDescent="0.35"/>
    <row r="9307" x14ac:dyDescent="0.35"/>
    <row r="9308" x14ac:dyDescent="0.35"/>
    <row r="9309" x14ac:dyDescent="0.35"/>
    <row r="9310" x14ac:dyDescent="0.35"/>
    <row r="9311" x14ac:dyDescent="0.35"/>
    <row r="9312" x14ac:dyDescent="0.35"/>
    <row r="9313" x14ac:dyDescent="0.35"/>
    <row r="9314" x14ac:dyDescent="0.35"/>
    <row r="9315" x14ac:dyDescent="0.35"/>
    <row r="9316" x14ac:dyDescent="0.35"/>
    <row r="9317" x14ac:dyDescent="0.35"/>
    <row r="9318" x14ac:dyDescent="0.35"/>
    <row r="9319" x14ac:dyDescent="0.35"/>
    <row r="9320" x14ac:dyDescent="0.35"/>
    <row r="9321" x14ac:dyDescent="0.35"/>
    <row r="9322" x14ac:dyDescent="0.35"/>
    <row r="9323" x14ac:dyDescent="0.35"/>
    <row r="9324" x14ac:dyDescent="0.35"/>
    <row r="9325" x14ac:dyDescent="0.35"/>
    <row r="9326" x14ac:dyDescent="0.35"/>
    <row r="9327" x14ac:dyDescent="0.35"/>
    <row r="9328" x14ac:dyDescent="0.35"/>
    <row r="9329" x14ac:dyDescent="0.35"/>
    <row r="9330" x14ac:dyDescent="0.35"/>
    <row r="9331" x14ac:dyDescent="0.35"/>
    <row r="9332" x14ac:dyDescent="0.35"/>
    <row r="9333" x14ac:dyDescent="0.35"/>
    <row r="9334" x14ac:dyDescent="0.35"/>
    <row r="9335" x14ac:dyDescent="0.35"/>
    <row r="9336" x14ac:dyDescent="0.35"/>
    <row r="9337" x14ac:dyDescent="0.35"/>
    <row r="9338" x14ac:dyDescent="0.35"/>
    <row r="9339" x14ac:dyDescent="0.35"/>
    <row r="9340" x14ac:dyDescent="0.35"/>
    <row r="9341" x14ac:dyDescent="0.35"/>
    <row r="9342" x14ac:dyDescent="0.35"/>
    <row r="9343" x14ac:dyDescent="0.35"/>
    <row r="9344" x14ac:dyDescent="0.35"/>
    <row r="9345" x14ac:dyDescent="0.35"/>
    <row r="9346" x14ac:dyDescent="0.35"/>
    <row r="9347" x14ac:dyDescent="0.35"/>
    <row r="9348" x14ac:dyDescent="0.35"/>
    <row r="9349" x14ac:dyDescent="0.35"/>
    <row r="9350" x14ac:dyDescent="0.35"/>
    <row r="9351" x14ac:dyDescent="0.35"/>
    <row r="9352" x14ac:dyDescent="0.35"/>
    <row r="9353" x14ac:dyDescent="0.35"/>
    <row r="9354" x14ac:dyDescent="0.35"/>
    <row r="9355" x14ac:dyDescent="0.35"/>
    <row r="9356" x14ac:dyDescent="0.35"/>
    <row r="9357" x14ac:dyDescent="0.35"/>
    <row r="9358" x14ac:dyDescent="0.35"/>
    <row r="9359" x14ac:dyDescent="0.35"/>
    <row r="9360" x14ac:dyDescent="0.35"/>
    <row r="9361" x14ac:dyDescent="0.35"/>
    <row r="9362" x14ac:dyDescent="0.35"/>
    <row r="9363" x14ac:dyDescent="0.35"/>
    <row r="9364" x14ac:dyDescent="0.35"/>
    <row r="9365" x14ac:dyDescent="0.35"/>
    <row r="9366" x14ac:dyDescent="0.35"/>
    <row r="9367" x14ac:dyDescent="0.35"/>
    <row r="9368" x14ac:dyDescent="0.35"/>
    <row r="9369" x14ac:dyDescent="0.35"/>
    <row r="9370" x14ac:dyDescent="0.35"/>
    <row r="9371" x14ac:dyDescent="0.35"/>
    <row r="9372" x14ac:dyDescent="0.35"/>
    <row r="9373" x14ac:dyDescent="0.35"/>
    <row r="9374" x14ac:dyDescent="0.35"/>
    <row r="9375" x14ac:dyDescent="0.35"/>
    <row r="9376" x14ac:dyDescent="0.35"/>
    <row r="9377" x14ac:dyDescent="0.35"/>
    <row r="9378" x14ac:dyDescent="0.35"/>
    <row r="9379" x14ac:dyDescent="0.35"/>
    <row r="9380" x14ac:dyDescent="0.35"/>
    <row r="9381" x14ac:dyDescent="0.35"/>
    <row r="9382" x14ac:dyDescent="0.35"/>
    <row r="9383" x14ac:dyDescent="0.35"/>
    <row r="9384" x14ac:dyDescent="0.35"/>
    <row r="9385" x14ac:dyDescent="0.35"/>
    <row r="9386" x14ac:dyDescent="0.35"/>
    <row r="9387" x14ac:dyDescent="0.35"/>
    <row r="9388" x14ac:dyDescent="0.35"/>
    <row r="9389" x14ac:dyDescent="0.35"/>
    <row r="9390" x14ac:dyDescent="0.35"/>
    <row r="9391" x14ac:dyDescent="0.35"/>
    <row r="9392" x14ac:dyDescent="0.35"/>
    <row r="9393" x14ac:dyDescent="0.35"/>
    <row r="9394" x14ac:dyDescent="0.35"/>
    <row r="9395" x14ac:dyDescent="0.35"/>
    <row r="9396" x14ac:dyDescent="0.35"/>
    <row r="9397" x14ac:dyDescent="0.35"/>
    <row r="9398" x14ac:dyDescent="0.35"/>
    <row r="9399" x14ac:dyDescent="0.35"/>
    <row r="9400" x14ac:dyDescent="0.35"/>
    <row r="9401" x14ac:dyDescent="0.35"/>
    <row r="9402" x14ac:dyDescent="0.35"/>
    <row r="9403" x14ac:dyDescent="0.35"/>
    <row r="9404" x14ac:dyDescent="0.35"/>
    <row r="9405" x14ac:dyDescent="0.35"/>
    <row r="9406" x14ac:dyDescent="0.35"/>
    <row r="9407" x14ac:dyDescent="0.35"/>
    <row r="9408" x14ac:dyDescent="0.35"/>
    <row r="9409" x14ac:dyDescent="0.35"/>
    <row r="9410" x14ac:dyDescent="0.35"/>
    <row r="9411" x14ac:dyDescent="0.35"/>
    <row r="9412" x14ac:dyDescent="0.35"/>
    <row r="9413" x14ac:dyDescent="0.35"/>
    <row r="9414" x14ac:dyDescent="0.35"/>
    <row r="9415" x14ac:dyDescent="0.35"/>
    <row r="9416" x14ac:dyDescent="0.35"/>
    <row r="9417" x14ac:dyDescent="0.35"/>
    <row r="9418" x14ac:dyDescent="0.35"/>
    <row r="9419" x14ac:dyDescent="0.35"/>
    <row r="9420" x14ac:dyDescent="0.35"/>
    <row r="9421" x14ac:dyDescent="0.35"/>
    <row r="9422" x14ac:dyDescent="0.35"/>
    <row r="9423" x14ac:dyDescent="0.35"/>
    <row r="9424" x14ac:dyDescent="0.35"/>
    <row r="9425" x14ac:dyDescent="0.35"/>
    <row r="9426" x14ac:dyDescent="0.35"/>
    <row r="9427" x14ac:dyDescent="0.35"/>
    <row r="9428" x14ac:dyDescent="0.35"/>
    <row r="9429" x14ac:dyDescent="0.35"/>
    <row r="9430" x14ac:dyDescent="0.35"/>
    <row r="9431" x14ac:dyDescent="0.35"/>
    <row r="9432" x14ac:dyDescent="0.35"/>
    <row r="9433" x14ac:dyDescent="0.35"/>
    <row r="9434" x14ac:dyDescent="0.35"/>
    <row r="9435" x14ac:dyDescent="0.35"/>
    <row r="9436" x14ac:dyDescent="0.35"/>
    <row r="9437" x14ac:dyDescent="0.35"/>
    <row r="9438" x14ac:dyDescent="0.35"/>
    <row r="9439" x14ac:dyDescent="0.35"/>
    <row r="9440" x14ac:dyDescent="0.35"/>
    <row r="9441" x14ac:dyDescent="0.35"/>
    <row r="9442" x14ac:dyDescent="0.35"/>
    <row r="9443" x14ac:dyDescent="0.35"/>
    <row r="9444" x14ac:dyDescent="0.35"/>
    <row r="9445" x14ac:dyDescent="0.35"/>
    <row r="9446" x14ac:dyDescent="0.35"/>
    <row r="9447" x14ac:dyDescent="0.35"/>
    <row r="9448" x14ac:dyDescent="0.35"/>
    <row r="9449" x14ac:dyDescent="0.35"/>
    <row r="9450" x14ac:dyDescent="0.35"/>
    <row r="9451" x14ac:dyDescent="0.35"/>
    <row r="9452" x14ac:dyDescent="0.35"/>
    <row r="9453" x14ac:dyDescent="0.35"/>
    <row r="9454" x14ac:dyDescent="0.35"/>
    <row r="9455" x14ac:dyDescent="0.35"/>
    <row r="9456" x14ac:dyDescent="0.35"/>
    <row r="9457" x14ac:dyDescent="0.35"/>
    <row r="9458" x14ac:dyDescent="0.35"/>
    <row r="9459" x14ac:dyDescent="0.35"/>
    <row r="9460" x14ac:dyDescent="0.35"/>
    <row r="9461" x14ac:dyDescent="0.35"/>
    <row r="9462" x14ac:dyDescent="0.35"/>
    <row r="9463" x14ac:dyDescent="0.35"/>
    <row r="9464" x14ac:dyDescent="0.35"/>
    <row r="9465" x14ac:dyDescent="0.35"/>
    <row r="9466" x14ac:dyDescent="0.35"/>
    <row r="9467" x14ac:dyDescent="0.35"/>
    <row r="9468" x14ac:dyDescent="0.35"/>
    <row r="9469" x14ac:dyDescent="0.35"/>
    <row r="9470" x14ac:dyDescent="0.35"/>
    <row r="9471" x14ac:dyDescent="0.35"/>
    <row r="9472" x14ac:dyDescent="0.35"/>
    <row r="9473" x14ac:dyDescent="0.35"/>
    <row r="9474" x14ac:dyDescent="0.35"/>
    <row r="9475" x14ac:dyDescent="0.35"/>
    <row r="9476" x14ac:dyDescent="0.35"/>
    <row r="9477" x14ac:dyDescent="0.35"/>
    <row r="9478" x14ac:dyDescent="0.35"/>
    <row r="9479" x14ac:dyDescent="0.35"/>
    <row r="9480" x14ac:dyDescent="0.35"/>
    <row r="9481" x14ac:dyDescent="0.35"/>
    <row r="9482" x14ac:dyDescent="0.35"/>
    <row r="9483" x14ac:dyDescent="0.35"/>
    <row r="9484" x14ac:dyDescent="0.35"/>
    <row r="9485" x14ac:dyDescent="0.35"/>
    <row r="9486" x14ac:dyDescent="0.35"/>
    <row r="9487" x14ac:dyDescent="0.35"/>
    <row r="9488" x14ac:dyDescent="0.35"/>
    <row r="9489" x14ac:dyDescent="0.35"/>
    <row r="9490" x14ac:dyDescent="0.35"/>
    <row r="9491" x14ac:dyDescent="0.35"/>
    <row r="9492" x14ac:dyDescent="0.35"/>
    <row r="9493" x14ac:dyDescent="0.35"/>
    <row r="9494" x14ac:dyDescent="0.35"/>
    <row r="9495" x14ac:dyDescent="0.35"/>
    <row r="9496" x14ac:dyDescent="0.35"/>
    <row r="9497" x14ac:dyDescent="0.35"/>
    <row r="9498" x14ac:dyDescent="0.35"/>
    <row r="9499" x14ac:dyDescent="0.35"/>
    <row r="9500" x14ac:dyDescent="0.35"/>
    <row r="9501" x14ac:dyDescent="0.35"/>
    <row r="9502" x14ac:dyDescent="0.35"/>
    <row r="9503" x14ac:dyDescent="0.35"/>
    <row r="9504" x14ac:dyDescent="0.35"/>
    <row r="9505" x14ac:dyDescent="0.35"/>
    <row r="9506" x14ac:dyDescent="0.35"/>
    <row r="9507" x14ac:dyDescent="0.35"/>
    <row r="9508" x14ac:dyDescent="0.35"/>
    <row r="9509" x14ac:dyDescent="0.35"/>
    <row r="9510" x14ac:dyDescent="0.35"/>
    <row r="9511" x14ac:dyDescent="0.35"/>
    <row r="9512" x14ac:dyDescent="0.35"/>
    <row r="9513" x14ac:dyDescent="0.35"/>
    <row r="9514" x14ac:dyDescent="0.35"/>
    <row r="9515" x14ac:dyDescent="0.35"/>
    <row r="9516" x14ac:dyDescent="0.35"/>
    <row r="9517" x14ac:dyDescent="0.35"/>
    <row r="9518" x14ac:dyDescent="0.35"/>
    <row r="9519" x14ac:dyDescent="0.35"/>
    <row r="9520" x14ac:dyDescent="0.35"/>
    <row r="9521" x14ac:dyDescent="0.35"/>
    <row r="9522" x14ac:dyDescent="0.35"/>
    <row r="9523" x14ac:dyDescent="0.35"/>
    <row r="9524" x14ac:dyDescent="0.35"/>
    <row r="9525" x14ac:dyDescent="0.35"/>
    <row r="9526" x14ac:dyDescent="0.35"/>
    <row r="9527" x14ac:dyDescent="0.35"/>
    <row r="9528" x14ac:dyDescent="0.35"/>
    <row r="9529" x14ac:dyDescent="0.35"/>
    <row r="9530" x14ac:dyDescent="0.35"/>
    <row r="9531" x14ac:dyDescent="0.35"/>
    <row r="9532" x14ac:dyDescent="0.35"/>
    <row r="9533" x14ac:dyDescent="0.35"/>
    <row r="9534" x14ac:dyDescent="0.35"/>
    <row r="9535" x14ac:dyDescent="0.35"/>
    <row r="9536" x14ac:dyDescent="0.35"/>
    <row r="9537" x14ac:dyDescent="0.35"/>
    <row r="9538" x14ac:dyDescent="0.35"/>
    <row r="9539" x14ac:dyDescent="0.35"/>
    <row r="9540" x14ac:dyDescent="0.35"/>
    <row r="9541" x14ac:dyDescent="0.35"/>
    <row r="9542" x14ac:dyDescent="0.35"/>
    <row r="9543" x14ac:dyDescent="0.35"/>
    <row r="9544" x14ac:dyDescent="0.35"/>
    <row r="9545" x14ac:dyDescent="0.35"/>
    <row r="9546" x14ac:dyDescent="0.35"/>
    <row r="9547" x14ac:dyDescent="0.35"/>
    <row r="9548" x14ac:dyDescent="0.35"/>
    <row r="9549" x14ac:dyDescent="0.35"/>
    <row r="9550" x14ac:dyDescent="0.35"/>
    <row r="9551" x14ac:dyDescent="0.35"/>
    <row r="9552" x14ac:dyDescent="0.35"/>
    <row r="9553" x14ac:dyDescent="0.35"/>
    <row r="9554" x14ac:dyDescent="0.35"/>
    <row r="9555" x14ac:dyDescent="0.35"/>
    <row r="9556" x14ac:dyDescent="0.35"/>
    <row r="9557" x14ac:dyDescent="0.35"/>
    <row r="9558" x14ac:dyDescent="0.35"/>
    <row r="9559" x14ac:dyDescent="0.35"/>
    <row r="9560" x14ac:dyDescent="0.35"/>
    <row r="9561" x14ac:dyDescent="0.35"/>
    <row r="9562" x14ac:dyDescent="0.35"/>
    <row r="9563" x14ac:dyDescent="0.35"/>
    <row r="9564" x14ac:dyDescent="0.35"/>
    <row r="9565" x14ac:dyDescent="0.35"/>
    <row r="9566" x14ac:dyDescent="0.35"/>
    <row r="9567" x14ac:dyDescent="0.35"/>
    <row r="9568" x14ac:dyDescent="0.35"/>
    <row r="9569" x14ac:dyDescent="0.35"/>
    <row r="9570" x14ac:dyDescent="0.35"/>
    <row r="9571" x14ac:dyDescent="0.35"/>
    <row r="9572" x14ac:dyDescent="0.35"/>
    <row r="9573" x14ac:dyDescent="0.35"/>
    <row r="9574" x14ac:dyDescent="0.35"/>
    <row r="9575" x14ac:dyDescent="0.35"/>
    <row r="9576" x14ac:dyDescent="0.35"/>
    <row r="9577" x14ac:dyDescent="0.35"/>
    <row r="9578" x14ac:dyDescent="0.35"/>
    <row r="9579" x14ac:dyDescent="0.35"/>
    <row r="9580" x14ac:dyDescent="0.35"/>
    <row r="9581" x14ac:dyDescent="0.35"/>
    <row r="9582" x14ac:dyDescent="0.35"/>
    <row r="9583" x14ac:dyDescent="0.35"/>
    <row r="9584" x14ac:dyDescent="0.35"/>
    <row r="9585" x14ac:dyDescent="0.35"/>
    <row r="9586" x14ac:dyDescent="0.35"/>
    <row r="9587" x14ac:dyDescent="0.35"/>
    <row r="9588" x14ac:dyDescent="0.35"/>
    <row r="9589" x14ac:dyDescent="0.35"/>
    <row r="9590" x14ac:dyDescent="0.35"/>
    <row r="9591" x14ac:dyDescent="0.35"/>
    <row r="9592" x14ac:dyDescent="0.35"/>
    <row r="9593" x14ac:dyDescent="0.35"/>
    <row r="9594" x14ac:dyDescent="0.35"/>
    <row r="9595" x14ac:dyDescent="0.35"/>
    <row r="9596" x14ac:dyDescent="0.35"/>
    <row r="9597" x14ac:dyDescent="0.35"/>
    <row r="9598" x14ac:dyDescent="0.35"/>
    <row r="9599" x14ac:dyDescent="0.35"/>
    <row r="9600" x14ac:dyDescent="0.35"/>
    <row r="9601" x14ac:dyDescent="0.35"/>
    <row r="9602" x14ac:dyDescent="0.35"/>
    <row r="9603" x14ac:dyDescent="0.35"/>
    <row r="9604" x14ac:dyDescent="0.35"/>
    <row r="9605" x14ac:dyDescent="0.35"/>
    <row r="9606" x14ac:dyDescent="0.35"/>
    <row r="9607" x14ac:dyDescent="0.35"/>
    <row r="9608" x14ac:dyDescent="0.35"/>
    <row r="9609" x14ac:dyDescent="0.35"/>
    <row r="9610" x14ac:dyDescent="0.35"/>
    <row r="9611" x14ac:dyDescent="0.35"/>
    <row r="9612" x14ac:dyDescent="0.35"/>
    <row r="9613" x14ac:dyDescent="0.35"/>
    <row r="9614" x14ac:dyDescent="0.35"/>
    <row r="9615" x14ac:dyDescent="0.35"/>
    <row r="9616" x14ac:dyDescent="0.35"/>
    <row r="9617" x14ac:dyDescent="0.35"/>
    <row r="9618" x14ac:dyDescent="0.35"/>
    <row r="9619" x14ac:dyDescent="0.35"/>
    <row r="9620" x14ac:dyDescent="0.35"/>
    <row r="9621" x14ac:dyDescent="0.35"/>
    <row r="9622" x14ac:dyDescent="0.35"/>
    <row r="9623" x14ac:dyDescent="0.35"/>
    <row r="9624" x14ac:dyDescent="0.35"/>
    <row r="9625" x14ac:dyDescent="0.35"/>
    <row r="9626" x14ac:dyDescent="0.35"/>
    <row r="9627" x14ac:dyDescent="0.35"/>
    <row r="9628" x14ac:dyDescent="0.35"/>
    <row r="9629" x14ac:dyDescent="0.35"/>
    <row r="9630" x14ac:dyDescent="0.35"/>
    <row r="9631" x14ac:dyDescent="0.35"/>
    <row r="9632" x14ac:dyDescent="0.35"/>
    <row r="9633" x14ac:dyDescent="0.35"/>
    <row r="9634" x14ac:dyDescent="0.35"/>
    <row r="9635" x14ac:dyDescent="0.35"/>
    <row r="9636" x14ac:dyDescent="0.35"/>
    <row r="9637" x14ac:dyDescent="0.35"/>
    <row r="9638" x14ac:dyDescent="0.35"/>
    <row r="9639" x14ac:dyDescent="0.35"/>
    <row r="9640" x14ac:dyDescent="0.35"/>
    <row r="9641" x14ac:dyDescent="0.35"/>
    <row r="9642" x14ac:dyDescent="0.35"/>
    <row r="9643" x14ac:dyDescent="0.35"/>
    <row r="9644" x14ac:dyDescent="0.35"/>
    <row r="9645" x14ac:dyDescent="0.35"/>
    <row r="9646" x14ac:dyDescent="0.35"/>
    <row r="9647" x14ac:dyDescent="0.35"/>
    <row r="9648" x14ac:dyDescent="0.35"/>
    <row r="9649" x14ac:dyDescent="0.35"/>
    <row r="9650" x14ac:dyDescent="0.35"/>
    <row r="9651" x14ac:dyDescent="0.35"/>
    <row r="9652" x14ac:dyDescent="0.35"/>
    <row r="9653" x14ac:dyDescent="0.35"/>
    <row r="9654" x14ac:dyDescent="0.35"/>
    <row r="9655" x14ac:dyDescent="0.35"/>
    <row r="9656" x14ac:dyDescent="0.35"/>
    <row r="9657" x14ac:dyDescent="0.35"/>
    <row r="9658" x14ac:dyDescent="0.35"/>
    <row r="9659" x14ac:dyDescent="0.35"/>
    <row r="9660" x14ac:dyDescent="0.35"/>
    <row r="9661" x14ac:dyDescent="0.35"/>
    <row r="9662" x14ac:dyDescent="0.35"/>
    <row r="9663" x14ac:dyDescent="0.35"/>
    <row r="9664" x14ac:dyDescent="0.35"/>
    <row r="9665" x14ac:dyDescent="0.35"/>
    <row r="9666" x14ac:dyDescent="0.35"/>
    <row r="9667" x14ac:dyDescent="0.35"/>
    <row r="9668" x14ac:dyDescent="0.35"/>
    <row r="9669" x14ac:dyDescent="0.35"/>
    <row r="9670" x14ac:dyDescent="0.35"/>
    <row r="9671" x14ac:dyDescent="0.35"/>
    <row r="9672" x14ac:dyDescent="0.35"/>
    <row r="9673" x14ac:dyDescent="0.35"/>
    <row r="9674" x14ac:dyDescent="0.35"/>
    <row r="9675" x14ac:dyDescent="0.35"/>
    <row r="9676" x14ac:dyDescent="0.35"/>
    <row r="9677" x14ac:dyDescent="0.35"/>
    <row r="9678" x14ac:dyDescent="0.35"/>
    <row r="9679" x14ac:dyDescent="0.35"/>
    <row r="9680" x14ac:dyDescent="0.35"/>
    <row r="9681" x14ac:dyDescent="0.35"/>
    <row r="9682" x14ac:dyDescent="0.35"/>
    <row r="9683" x14ac:dyDescent="0.35"/>
    <row r="9684" x14ac:dyDescent="0.35"/>
    <row r="9685" x14ac:dyDescent="0.35"/>
    <row r="9686" x14ac:dyDescent="0.35"/>
    <row r="9687" x14ac:dyDescent="0.35"/>
    <row r="9688" x14ac:dyDescent="0.35"/>
    <row r="9689" x14ac:dyDescent="0.35"/>
    <row r="9690" x14ac:dyDescent="0.35"/>
    <row r="9691" x14ac:dyDescent="0.35"/>
    <row r="9692" x14ac:dyDescent="0.35"/>
    <row r="9693" x14ac:dyDescent="0.35"/>
    <row r="9694" x14ac:dyDescent="0.35"/>
    <row r="9695" x14ac:dyDescent="0.35"/>
    <row r="9696" x14ac:dyDescent="0.35"/>
    <row r="9697" x14ac:dyDescent="0.35"/>
    <row r="9698" x14ac:dyDescent="0.35"/>
    <row r="9699" x14ac:dyDescent="0.35"/>
    <row r="9700" x14ac:dyDescent="0.35"/>
    <row r="9701" x14ac:dyDescent="0.35"/>
    <row r="9702" x14ac:dyDescent="0.35"/>
    <row r="9703" x14ac:dyDescent="0.35"/>
    <row r="9704" x14ac:dyDescent="0.35"/>
    <row r="9705" x14ac:dyDescent="0.35"/>
    <row r="9706" x14ac:dyDescent="0.35"/>
    <row r="9707" x14ac:dyDescent="0.35"/>
    <row r="9708" x14ac:dyDescent="0.35"/>
    <row r="9709" x14ac:dyDescent="0.35"/>
    <row r="9710" x14ac:dyDescent="0.35"/>
    <row r="9711" x14ac:dyDescent="0.35"/>
    <row r="9712" x14ac:dyDescent="0.35"/>
    <row r="9713" x14ac:dyDescent="0.35"/>
    <row r="9714" x14ac:dyDescent="0.35"/>
    <row r="9715" x14ac:dyDescent="0.35"/>
    <row r="9716" x14ac:dyDescent="0.35"/>
    <row r="9717" x14ac:dyDescent="0.35"/>
    <row r="9718" x14ac:dyDescent="0.35"/>
    <row r="9719" x14ac:dyDescent="0.35"/>
    <row r="9720" x14ac:dyDescent="0.35"/>
    <row r="9721" x14ac:dyDescent="0.35"/>
    <row r="9722" x14ac:dyDescent="0.35"/>
    <row r="9723" x14ac:dyDescent="0.35"/>
    <row r="9724" x14ac:dyDescent="0.35"/>
    <row r="9725" x14ac:dyDescent="0.35"/>
    <row r="9726" x14ac:dyDescent="0.35"/>
    <row r="9727" x14ac:dyDescent="0.35"/>
    <row r="9728" x14ac:dyDescent="0.35"/>
    <row r="9729" x14ac:dyDescent="0.35"/>
    <row r="9730" x14ac:dyDescent="0.35"/>
    <row r="9731" x14ac:dyDescent="0.35"/>
    <row r="9732" x14ac:dyDescent="0.35"/>
    <row r="9733" x14ac:dyDescent="0.35"/>
    <row r="9734" x14ac:dyDescent="0.35"/>
    <row r="9735" x14ac:dyDescent="0.35"/>
    <row r="9736" x14ac:dyDescent="0.35"/>
    <row r="9737" x14ac:dyDescent="0.35"/>
    <row r="9738" x14ac:dyDescent="0.35"/>
    <row r="9739" x14ac:dyDescent="0.35"/>
    <row r="9740" x14ac:dyDescent="0.35"/>
    <row r="9741" x14ac:dyDescent="0.35"/>
    <row r="9742" x14ac:dyDescent="0.35"/>
    <row r="9743" x14ac:dyDescent="0.35"/>
    <row r="9744" x14ac:dyDescent="0.35"/>
    <row r="9745" x14ac:dyDescent="0.35"/>
    <row r="9746" x14ac:dyDescent="0.35"/>
    <row r="9747" x14ac:dyDescent="0.35"/>
    <row r="9748" x14ac:dyDescent="0.35"/>
    <row r="9749" x14ac:dyDescent="0.35"/>
    <row r="9750" x14ac:dyDescent="0.35"/>
    <row r="9751" x14ac:dyDescent="0.35"/>
    <row r="9752" x14ac:dyDescent="0.35"/>
    <row r="9753" x14ac:dyDescent="0.35"/>
    <row r="9754" x14ac:dyDescent="0.35"/>
    <row r="9755" x14ac:dyDescent="0.35"/>
    <row r="9756" x14ac:dyDescent="0.35"/>
    <row r="9757" x14ac:dyDescent="0.35"/>
    <row r="9758" x14ac:dyDescent="0.35"/>
    <row r="9759" x14ac:dyDescent="0.35"/>
    <row r="9760" x14ac:dyDescent="0.35"/>
    <row r="9761" x14ac:dyDescent="0.35"/>
    <row r="9762" x14ac:dyDescent="0.35"/>
    <row r="9763" x14ac:dyDescent="0.35"/>
    <row r="9764" x14ac:dyDescent="0.35"/>
    <row r="9765" x14ac:dyDescent="0.35"/>
    <row r="9766" x14ac:dyDescent="0.35"/>
    <row r="9767" x14ac:dyDescent="0.35"/>
    <row r="9768" x14ac:dyDescent="0.35"/>
    <row r="9769" x14ac:dyDescent="0.35"/>
    <row r="9770" x14ac:dyDescent="0.35"/>
    <row r="9771" x14ac:dyDescent="0.35"/>
    <row r="9772" x14ac:dyDescent="0.35"/>
    <row r="9773" x14ac:dyDescent="0.35"/>
    <row r="9774" x14ac:dyDescent="0.35"/>
    <row r="9775" x14ac:dyDescent="0.35"/>
    <row r="9776" x14ac:dyDescent="0.35"/>
    <row r="9777" x14ac:dyDescent="0.35"/>
    <row r="9778" x14ac:dyDescent="0.35"/>
    <row r="9779" x14ac:dyDescent="0.35"/>
    <row r="9780" x14ac:dyDescent="0.35"/>
    <row r="9781" x14ac:dyDescent="0.35"/>
    <row r="9782" x14ac:dyDescent="0.35"/>
    <row r="9783" x14ac:dyDescent="0.35"/>
    <row r="9784" x14ac:dyDescent="0.35"/>
    <row r="9785" x14ac:dyDescent="0.35"/>
    <row r="9786" x14ac:dyDescent="0.35"/>
    <row r="9787" x14ac:dyDescent="0.35"/>
    <row r="9788" x14ac:dyDescent="0.35"/>
    <row r="9789" x14ac:dyDescent="0.35"/>
    <row r="9790" x14ac:dyDescent="0.35"/>
    <row r="9791" x14ac:dyDescent="0.35"/>
    <row r="9792" x14ac:dyDescent="0.35"/>
    <row r="9793" x14ac:dyDescent="0.35"/>
    <row r="9794" x14ac:dyDescent="0.35"/>
    <row r="9795" x14ac:dyDescent="0.35"/>
    <row r="9796" x14ac:dyDescent="0.35"/>
    <row r="9797" x14ac:dyDescent="0.35"/>
    <row r="9798" x14ac:dyDescent="0.35"/>
    <row r="9799" x14ac:dyDescent="0.35"/>
    <row r="9800" x14ac:dyDescent="0.35"/>
    <row r="9801" x14ac:dyDescent="0.35"/>
    <row r="9802" x14ac:dyDescent="0.35"/>
    <row r="9803" x14ac:dyDescent="0.35"/>
    <row r="9804" x14ac:dyDescent="0.35"/>
    <row r="9805" x14ac:dyDescent="0.35"/>
    <row r="9806" x14ac:dyDescent="0.35"/>
    <row r="9807" x14ac:dyDescent="0.35"/>
    <row r="9808" x14ac:dyDescent="0.35"/>
    <row r="9809" x14ac:dyDescent="0.35"/>
    <row r="9810" x14ac:dyDescent="0.35"/>
    <row r="9811" x14ac:dyDescent="0.35"/>
    <row r="9812" x14ac:dyDescent="0.35"/>
    <row r="9813" x14ac:dyDescent="0.35"/>
    <row r="9814" x14ac:dyDescent="0.35"/>
    <row r="9815" x14ac:dyDescent="0.35"/>
    <row r="9816" x14ac:dyDescent="0.35"/>
    <row r="9817" x14ac:dyDescent="0.35"/>
    <row r="9818" x14ac:dyDescent="0.35"/>
    <row r="9819" x14ac:dyDescent="0.35"/>
    <row r="9820" x14ac:dyDescent="0.35"/>
    <row r="9821" x14ac:dyDescent="0.35"/>
    <row r="9822" x14ac:dyDescent="0.35"/>
    <row r="9823" x14ac:dyDescent="0.35"/>
    <row r="9824" x14ac:dyDescent="0.35"/>
    <row r="9825" x14ac:dyDescent="0.35"/>
    <row r="9826" x14ac:dyDescent="0.35"/>
    <row r="9827" x14ac:dyDescent="0.35"/>
    <row r="9828" x14ac:dyDescent="0.35"/>
    <row r="9829" x14ac:dyDescent="0.35"/>
    <row r="9830" x14ac:dyDescent="0.35"/>
    <row r="9831" x14ac:dyDescent="0.35"/>
    <row r="9832" x14ac:dyDescent="0.35"/>
    <row r="9833" x14ac:dyDescent="0.35"/>
    <row r="9834" x14ac:dyDescent="0.35"/>
    <row r="9835" x14ac:dyDescent="0.35"/>
    <row r="9836" x14ac:dyDescent="0.35"/>
    <row r="9837" x14ac:dyDescent="0.35"/>
    <row r="9838" x14ac:dyDescent="0.35"/>
    <row r="9839" x14ac:dyDescent="0.35"/>
    <row r="9840" x14ac:dyDescent="0.35"/>
    <row r="9841" x14ac:dyDescent="0.35"/>
    <row r="9842" x14ac:dyDescent="0.35"/>
    <row r="9843" x14ac:dyDescent="0.35"/>
    <row r="9844" x14ac:dyDescent="0.35"/>
    <row r="9845" x14ac:dyDescent="0.35"/>
    <row r="9846" x14ac:dyDescent="0.35"/>
    <row r="9847" x14ac:dyDescent="0.35"/>
    <row r="9848" x14ac:dyDescent="0.35"/>
    <row r="9849" x14ac:dyDescent="0.35"/>
    <row r="9850" x14ac:dyDescent="0.35"/>
    <row r="9851" x14ac:dyDescent="0.35"/>
    <row r="9852" x14ac:dyDescent="0.35"/>
    <row r="9853" x14ac:dyDescent="0.35"/>
    <row r="9854" x14ac:dyDescent="0.35"/>
    <row r="9855" x14ac:dyDescent="0.35"/>
    <row r="9856" x14ac:dyDescent="0.35"/>
    <row r="9857" x14ac:dyDescent="0.35"/>
    <row r="9858" x14ac:dyDescent="0.35"/>
    <row r="9859" x14ac:dyDescent="0.35"/>
    <row r="9860" x14ac:dyDescent="0.35"/>
    <row r="9861" x14ac:dyDescent="0.35"/>
    <row r="9862" x14ac:dyDescent="0.35"/>
    <row r="9863" x14ac:dyDescent="0.35"/>
    <row r="9864" x14ac:dyDescent="0.35"/>
    <row r="9865" x14ac:dyDescent="0.35"/>
    <row r="9866" x14ac:dyDescent="0.35"/>
    <row r="9867" x14ac:dyDescent="0.35"/>
    <row r="9868" x14ac:dyDescent="0.35"/>
    <row r="9869" x14ac:dyDescent="0.35"/>
    <row r="9870" x14ac:dyDescent="0.35"/>
    <row r="9871" x14ac:dyDescent="0.35"/>
    <row r="9872" x14ac:dyDescent="0.35"/>
    <row r="9873" x14ac:dyDescent="0.35"/>
    <row r="9874" x14ac:dyDescent="0.35"/>
    <row r="9875" x14ac:dyDescent="0.35"/>
    <row r="9876" x14ac:dyDescent="0.35"/>
    <row r="9877" x14ac:dyDescent="0.35"/>
    <row r="9878" x14ac:dyDescent="0.35"/>
    <row r="9879" x14ac:dyDescent="0.35"/>
    <row r="9880" x14ac:dyDescent="0.35"/>
    <row r="9881" x14ac:dyDescent="0.35"/>
    <row r="9882" x14ac:dyDescent="0.35"/>
    <row r="9883" x14ac:dyDescent="0.35"/>
    <row r="9884" x14ac:dyDescent="0.35"/>
    <row r="9885" x14ac:dyDescent="0.35"/>
    <row r="9886" x14ac:dyDescent="0.35"/>
    <row r="9887" x14ac:dyDescent="0.35"/>
    <row r="9888" x14ac:dyDescent="0.35"/>
    <row r="9889" x14ac:dyDescent="0.35"/>
    <row r="9890" x14ac:dyDescent="0.35"/>
    <row r="9891" x14ac:dyDescent="0.35"/>
    <row r="9892" x14ac:dyDescent="0.35"/>
    <row r="9893" x14ac:dyDescent="0.35"/>
    <row r="9894" x14ac:dyDescent="0.35"/>
    <row r="9895" x14ac:dyDescent="0.35"/>
    <row r="9896" x14ac:dyDescent="0.35"/>
    <row r="9897" x14ac:dyDescent="0.35"/>
    <row r="9898" x14ac:dyDescent="0.35"/>
    <row r="9899" x14ac:dyDescent="0.35"/>
    <row r="9900" x14ac:dyDescent="0.35"/>
    <row r="9901" x14ac:dyDescent="0.35"/>
    <row r="9902" x14ac:dyDescent="0.35"/>
    <row r="9903" x14ac:dyDescent="0.35"/>
    <row r="9904" x14ac:dyDescent="0.35"/>
    <row r="9905" x14ac:dyDescent="0.35"/>
    <row r="9906" x14ac:dyDescent="0.35"/>
    <row r="9907" x14ac:dyDescent="0.35"/>
    <row r="9908" x14ac:dyDescent="0.35"/>
    <row r="9909" x14ac:dyDescent="0.35"/>
    <row r="9910" x14ac:dyDescent="0.35"/>
    <row r="9911" x14ac:dyDescent="0.35"/>
    <row r="9912" x14ac:dyDescent="0.35"/>
    <row r="9913" x14ac:dyDescent="0.35"/>
    <row r="9914" x14ac:dyDescent="0.35"/>
    <row r="9915" x14ac:dyDescent="0.35"/>
    <row r="9916" x14ac:dyDescent="0.35"/>
    <row r="9917" x14ac:dyDescent="0.35"/>
    <row r="9918" x14ac:dyDescent="0.35"/>
    <row r="9919" x14ac:dyDescent="0.35"/>
    <row r="9920" x14ac:dyDescent="0.35"/>
    <row r="9921" x14ac:dyDescent="0.35"/>
    <row r="9922" x14ac:dyDescent="0.35"/>
    <row r="9923" x14ac:dyDescent="0.35"/>
    <row r="9924" x14ac:dyDescent="0.35"/>
    <row r="9925" x14ac:dyDescent="0.35"/>
    <row r="9926" x14ac:dyDescent="0.35"/>
    <row r="9927" x14ac:dyDescent="0.35"/>
    <row r="9928" x14ac:dyDescent="0.35"/>
    <row r="9929" x14ac:dyDescent="0.35"/>
    <row r="9930" x14ac:dyDescent="0.35"/>
    <row r="9931" x14ac:dyDescent="0.35"/>
    <row r="9932" x14ac:dyDescent="0.35"/>
    <row r="9933" x14ac:dyDescent="0.35"/>
    <row r="9934" x14ac:dyDescent="0.35"/>
    <row r="9935" x14ac:dyDescent="0.35"/>
    <row r="9936" x14ac:dyDescent="0.35"/>
    <row r="9937" x14ac:dyDescent="0.35"/>
    <row r="9938" x14ac:dyDescent="0.35"/>
    <row r="9939" x14ac:dyDescent="0.35"/>
    <row r="9940" x14ac:dyDescent="0.35"/>
    <row r="9941" x14ac:dyDescent="0.35"/>
    <row r="9942" x14ac:dyDescent="0.35"/>
    <row r="9943" x14ac:dyDescent="0.35"/>
    <row r="9944" x14ac:dyDescent="0.35"/>
    <row r="9945" x14ac:dyDescent="0.35"/>
    <row r="9946" x14ac:dyDescent="0.35"/>
    <row r="9947" x14ac:dyDescent="0.35"/>
    <row r="9948" x14ac:dyDescent="0.35"/>
    <row r="9949" x14ac:dyDescent="0.35"/>
    <row r="9950" x14ac:dyDescent="0.35"/>
    <row r="9951" x14ac:dyDescent="0.35"/>
    <row r="9952" x14ac:dyDescent="0.35"/>
    <row r="9953" x14ac:dyDescent="0.35"/>
    <row r="9954" x14ac:dyDescent="0.35"/>
    <row r="9955" x14ac:dyDescent="0.35"/>
    <row r="9956" x14ac:dyDescent="0.35"/>
    <row r="9957" x14ac:dyDescent="0.35"/>
    <row r="9958" x14ac:dyDescent="0.35"/>
    <row r="9959" x14ac:dyDescent="0.35"/>
    <row r="9960" x14ac:dyDescent="0.35"/>
    <row r="9961" x14ac:dyDescent="0.35"/>
    <row r="9962" x14ac:dyDescent="0.35"/>
    <row r="9963" x14ac:dyDescent="0.35"/>
    <row r="9964" x14ac:dyDescent="0.35"/>
    <row r="9965" x14ac:dyDescent="0.35"/>
    <row r="9966" x14ac:dyDescent="0.35"/>
    <row r="9967" x14ac:dyDescent="0.35"/>
    <row r="9968" x14ac:dyDescent="0.35"/>
    <row r="9969" x14ac:dyDescent="0.35"/>
    <row r="9970" x14ac:dyDescent="0.35"/>
    <row r="9971" x14ac:dyDescent="0.35"/>
    <row r="9972" x14ac:dyDescent="0.35"/>
    <row r="9973" x14ac:dyDescent="0.35"/>
    <row r="9974" x14ac:dyDescent="0.35"/>
    <row r="9975" x14ac:dyDescent="0.35"/>
    <row r="9976" x14ac:dyDescent="0.35"/>
    <row r="9977" x14ac:dyDescent="0.35"/>
    <row r="9978" x14ac:dyDescent="0.35"/>
    <row r="9979" x14ac:dyDescent="0.35"/>
    <row r="9980" x14ac:dyDescent="0.35"/>
    <row r="9981" x14ac:dyDescent="0.35"/>
    <row r="9982" x14ac:dyDescent="0.35"/>
    <row r="9983" x14ac:dyDescent="0.35"/>
    <row r="9984" x14ac:dyDescent="0.35"/>
    <row r="9985" x14ac:dyDescent="0.35"/>
    <row r="9986" x14ac:dyDescent="0.35"/>
    <row r="9987" x14ac:dyDescent="0.35"/>
    <row r="9988" x14ac:dyDescent="0.35"/>
    <row r="9989" x14ac:dyDescent="0.35"/>
    <row r="9990" x14ac:dyDescent="0.35"/>
    <row r="9991" x14ac:dyDescent="0.35"/>
    <row r="9992" x14ac:dyDescent="0.35"/>
    <row r="9993" x14ac:dyDescent="0.35"/>
    <row r="9994" x14ac:dyDescent="0.35"/>
    <row r="9995" x14ac:dyDescent="0.35"/>
    <row r="9996" x14ac:dyDescent="0.35"/>
    <row r="9997" x14ac:dyDescent="0.35"/>
    <row r="9998" x14ac:dyDescent="0.35"/>
    <row r="9999" x14ac:dyDescent="0.35"/>
    <row r="10000" x14ac:dyDescent="0.3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5F3611-B5F7-4683-81B1-F06409F3EE9D}">
  <sheetPr>
    <tabColor rgb="FF2E5AAC"/>
  </sheetPr>
  <dimension ref="A1:AL10000"/>
  <sheetViews>
    <sheetView showGridLines="0" zoomScale="80" zoomScaleNormal="80" workbookViewId="0">
      <pane ySplit="4" topLeftCell="A5" activePane="bottomLeft" state="frozen"/>
      <selection pane="bottomLeft" activeCell="B3" sqref="B3:Q3"/>
    </sheetView>
  </sheetViews>
  <sheetFormatPr defaultColWidth="0" defaultRowHeight="14.5" zeroHeight="1" x14ac:dyDescent="0.35"/>
  <cols>
    <col min="1" max="1" width="1.81640625" customWidth="1"/>
    <col min="2" max="2" width="10" customWidth="1"/>
    <col min="3" max="6" width="10.90625" customWidth="1"/>
    <col min="7" max="8" width="12.7265625" customWidth="1"/>
    <col min="9" max="10" width="10" customWidth="1"/>
    <col min="11" max="12" width="13.6328125" customWidth="1"/>
    <col min="13" max="13" width="10.54296875" customWidth="1"/>
    <col min="14" max="14" width="10" customWidth="1"/>
    <col min="15" max="16" width="11.81640625" customWidth="1"/>
    <col min="17" max="17" width="9.453125" customWidth="1"/>
    <col min="18" max="18" width="2.26953125" customWidth="1" collapsed="1"/>
    <col min="19" max="16384" width="8.7265625" hidden="1"/>
  </cols>
  <sheetData>
    <row r="1" spans="2:38" x14ac:dyDescent="0.35"/>
    <row r="2" spans="2:38" ht="30" customHeight="1" thickBot="1" x14ac:dyDescent="0.4">
      <c r="B2" s="592" t="s">
        <v>859</v>
      </c>
      <c r="C2" s="592"/>
      <c r="D2" s="592"/>
      <c r="E2" s="592"/>
      <c r="F2" s="592"/>
      <c r="G2" s="592"/>
      <c r="H2" s="592"/>
      <c r="I2" s="592"/>
      <c r="J2" s="592"/>
      <c r="K2" s="592"/>
      <c r="L2" s="592"/>
      <c r="M2" s="597" t="str">
        <f ca="1">$T$44</f>
        <v>Atualizado em 30/07/2026</v>
      </c>
      <c r="N2" s="597"/>
      <c r="O2" s="597"/>
      <c r="P2" s="597"/>
      <c r="Q2" s="597"/>
      <c r="S2" t="s">
        <v>867</v>
      </c>
      <c r="T2" cm="1">
        <f t="array" ref="T2">SUMPRODUCT(--(Lançamentos!$C$3:$C$1001&lt;&gt;""))</f>
        <v>0</v>
      </c>
      <c r="V2" t="str" cm="1">
        <f t="array" aca="1" ref="V2" ca="1">IF($T$4=0,"",_xlfn.LET(_xlpm.m,(Lançamentos!$C$3:$C$1001&lt;&gt;"")*(Lançamentos!$AL$3:$AL$1001&lt;&gt;"Encerrado")*(Lançamentos!$AL$3:$AL$1001&lt;&gt;"Cancelado"),_xlpm.ids,_xlfn._xlws.FILTER(Lançamentos!$B$3:$B$1001,_xlpm.m),_xlpm.ativ,_xlfn._xlws.FILTER(Lançamentos!$J$3:$J$1001,_xlpm.m),_xlpm.proj,_xlfn._xlws.FILTER(Lançamentos!$F$3:$F$1001,_xlpm.m),_xlpm.stat,_xlfn._xlws.FILTER(Lançamentos!$AL$3:$AL$1001,_xlpm.m),_xlpm.ini,_xlfn._xlws.FILTER(Lançamentos!$C$3:$C$1001,_xlpm.m),_xlpm.ad,_xlfn._xlws.FILTER(Lançamentos!$AD$3:$AD$1001,_xlpm.m),_xlpm.ae,_xlfn._xlws.FILTER(Lançamentos!$AE$3:$AE$1001,_xlpm.m),_xlpm.af,_xlfn._xlws.FILTER(Lançamentos!$AF$3:$AF$1001,_xlpm.m),_xlpm.ai,_xlfn._xlws.FILTER(Lançamentos!$AI$3:$AI$1001,_xlpm.m),_xlpm.et,_xlfn.XLOOKUP(_xlpm.ids,'Workflow (Tracker)'!$B$26:$B$525,'Workflow (Tracker)'!$M$26:$M$525,""),_xlpm.fluxo,_xlfn.XLOOKUP(_xlpm.ids,'Workflow (Tracker)'!$B$26:$B$525,'Workflow (Tracker)'!$N$26:$N$525,""),_xlpm.bloq,--(_xlfn.XLOOKUP(_xlpm.ids,'Workflow (Tracker)'!$B$26:$B$525,MMULT(--('Workflow (Tracker)'!$E$26:$L$525="Bloqueado"),TRANSPOSE(COLUMN('Workflow (Tracker)'!$E$26:$L$26)^0)),0)&gt;0),_xlpm.dias,TODAY()-_xlpm.ini,_xlpm.atras,--(ISNUMBER(_xlpm.ad)*(1-ISNUMBER(_xlpm.af))*ISNUMBER(_xlpm.ae)*(_xlpm.ae&lt;TODAY())),_xlpm.inc,--ISNUMBER(SEARCH("Incidente Crítico",_xlpm.ai)),_xlpm.sit,IF(_xlpm.inc,"🔴 Incidente crítico",IF(_xlpm.bloq,"🔴 Bloqueada",IF(_xlpm.atras,"🔴 Hypercare atrasado",IF(_xlpm.dias&gt;30,"🔴 Crítico",IF(_xlpm.dias&gt;15,"🟠 Atenção","🟢 Normal"))))),_xlfn.SORTBY(_xlfn.HSTACK(_xlpm.ids,_xlpm.ativ,_xlpm.proj,_xlpm.stat,_xlpm.et,_xlpm.fluxo,_xlpm.dias,_xlpm.sit),_xlpm.ini,1)))</f>
        <v/>
      </c>
      <c r="AE2" t="str" cm="1">
        <f t="array" ref="AE2">IF($T$9=0,"",_xlfn.LET(_xlpm.g,Lançamentos!$W$3:$W$1001,_xlpm.m,(Lançamentos!$C$3:$C$1001&lt;&gt;"")*(Lançamentos!$O$3:$O$1001&lt;&gt;"Apoio")*ISNUMBER(_xlpm.g)*(_xlpm.g&gt;0),_xlpm.id,_xlfn._xlws.FILTER(Lançamentos!$B$3:$B$1001,_xlpm.m),_xlpm.ativ,_xlfn._xlws.FILTER(Lançamentos!$J$3:$J$1001,_xlpm.m),_xlpm.proj,_xlfn._xlws.FILTER(Lançamentos!$F$3:$F$1001,_xlpm.m),_xlpm.ganho,_xlfn._xlws.FILTER(_xlpm.g,_xlpm.m),_xlpm.red,_xlfn._xlws.FILTER(Lançamentos!$X$3:$X$1001,_xlpm.m),_xlpm.ord,_xlfn.SORTBY(_xlfn.HSTACK(_xlpm.ativ,_xlpm.proj,_xlpm.ganho,_xlpm.red,_xlpm.id),_xlpm.ganho,-1),_xlpm.top,_xlfn.TAKE(_xlpm.ord,MIN(5,ROWS(_xlpm.ord))),_xlfn.HSTACK(_xlfn.SEQUENCE(ROWS(_xlpm.top)),_xlpm.top)))</f>
        <v/>
      </c>
      <c r="AL2" t="str" cm="1">
        <f t="array" ref="AL2">IF($T$2=0,"",_xlfn.LET(_xlpm.dim,CHOOSE(MATCH($E$52,{"Projeto","Pilar","Departamento CSC"},0),Lançamentos!$F$3:$F$1001,Lançamentos!$H$3:$H$1001,Lançamentos!$L$3:$L$1001),_xlpm.valid,Lançamentos!$C$3:$C$1001&lt;&gt;"",_xlpm.u,_xlfn.UNIQUE(_xlfn._xlws.FILTER(_xlpm.dim,_xlpm.valid*(_xlpm.dim&lt;&gt;""))),_xlpm.dem,_xlfn.MAP(_xlpm.u,_xlfn.LAMBDA(_xlpm.x,SUM(--_xlpm.valid*--(_xlpm.dim=_xlpm.x)))),_xlpm.conc,_xlfn.MAP(_xlpm.u,_xlfn.LAMBDA(_xlpm.x,SUM(--_xlpm.valid*--(_xlpm.dim=_xlpm.x)*--(Lançamentos!$AL$3:$AL$1001="Encerrado")))),_xlpm.horas,_xlfn.MAP(_xlpm.u,_xlfn.LAMBDA(_xlpm.x,SUMPRODUCT(--_xlpm.valid,--(_xlpm.dim=_xlpm.x),IFERROR(Lançamentos!$T$3:$T$1001,0)))),_xlpm.ganho,_xlfn.MAP(_xlpm.u,_xlfn.LAMBDA(_xlpm.x,SUMPRODUCT(--_xlpm.valid,--(_xlpm.dim=_xlpm.x),--(Lançamentos!$O$3:$O$1001&lt;&gt;"Apoio"),IFERROR(Lançamentos!$W$3:$W$1001,0)))),_xlpm.pct,IFERROR(_xlpm.ganho/$T$9,0),_xlfn.SORTBY(_xlfn.HSTACK(_xlpm.u,_xlpm.dem,_xlpm.conc,_xlpm.horas,_xlpm.ganho,_xlpm.pct),_xlpm.ganho,-1)))</f>
        <v/>
      </c>
    </row>
    <row r="3" spans="2:38" ht="20" customHeight="1" thickTop="1" x14ac:dyDescent="0.35">
      <c r="B3" s="584" t="s">
        <v>220</v>
      </c>
      <c r="C3" s="584"/>
      <c r="D3" s="584"/>
      <c r="E3" s="584"/>
      <c r="F3" s="584"/>
      <c r="G3" s="584"/>
      <c r="H3" s="584"/>
      <c r="I3" s="584"/>
      <c r="J3" s="584"/>
      <c r="K3" s="584"/>
      <c r="L3" s="584"/>
      <c r="M3" s="584"/>
      <c r="N3" s="584"/>
      <c r="O3" s="584"/>
      <c r="P3" s="584"/>
      <c r="Q3" s="584"/>
      <c r="S3" t="s">
        <v>154</v>
      </c>
      <c r="T3">
        <f>COUNTIFS(Lançamentos!$C$3:$C$1001,"&lt;&gt;",Lançamentos!$AL$3:$AL$1001,"Encerrado")</f>
        <v>0</v>
      </c>
    </row>
    <row r="4" spans="2:38" x14ac:dyDescent="0.35">
      <c r="B4" s="585"/>
      <c r="C4" s="585"/>
      <c r="D4" s="585"/>
      <c r="E4" s="585"/>
      <c r="F4" s="585"/>
      <c r="G4" s="585"/>
      <c r="H4" s="585"/>
      <c r="I4" s="585"/>
      <c r="J4" s="585"/>
      <c r="K4" s="585"/>
      <c r="L4" s="585"/>
      <c r="M4" s="585"/>
      <c r="N4" s="585"/>
      <c r="O4" s="585"/>
      <c r="P4" s="585"/>
      <c r="Q4" s="585"/>
      <c r="S4" t="s">
        <v>868</v>
      </c>
      <c r="T4">
        <f>COUNTIFS(Lançamentos!$C$3:$C$1001,"&lt;&gt;",Lançamentos!$AL$3:$AL$1001,"&lt;&gt;Encerrado",Lançamentos!$AL$3:$AL$1001,"&lt;&gt;Cancelado")</f>
        <v>0</v>
      </c>
    </row>
    <row r="5" spans="2:38" ht="23" customHeight="1" thickBot="1" x14ac:dyDescent="0.4">
      <c r="B5" s="593" t="s">
        <v>860</v>
      </c>
      <c r="C5" s="593"/>
      <c r="D5" s="593"/>
      <c r="E5" s="593"/>
      <c r="F5" s="593"/>
      <c r="G5" s="593"/>
      <c r="H5" s="593"/>
      <c r="I5" s="593"/>
      <c r="J5" s="593"/>
      <c r="K5" s="593"/>
      <c r="L5" s="593"/>
      <c r="M5" s="593"/>
      <c r="N5" s="593"/>
      <c r="O5" s="593"/>
      <c r="P5" s="593"/>
      <c r="Q5" s="593"/>
      <c r="S5" t="s">
        <v>869</v>
      </c>
      <c r="T5" cm="1">
        <f t="array" ref="T5">SUMPRODUCT(--(Lançamentos!$C$3:$C$1001&lt;&gt;""),--(Lançamentos!$O$3:$O$1001&lt;&gt;"Apoio"))</f>
        <v>0</v>
      </c>
    </row>
    <row r="6" spans="2:38" ht="23" customHeight="1" thickTop="1" x14ac:dyDescent="0.35">
      <c r="B6" s="477" t="str">
        <f ca="1">"STATUS DO DASHBOARD"&amp;CHAR(10)&amp;IF($T$34="CRÍTICO","🔴 CRÍTICO",IF($T$34="ACOMPANHAR","🟠 ACOMPANHAR","🟢 ESTÁVEL"))</f>
        <v>STATUS DO DASHBOARD
🟢 ESTÁVEL</v>
      </c>
      <c r="C6" s="478"/>
      <c r="D6" s="478"/>
      <c r="E6" s="478"/>
      <c r="F6" s="478"/>
      <c r="G6" s="481" t="str">
        <f ca="1">$T$4&amp;" demandas abertas | "&amp;$T$14&amp;" bloqueios | "&amp;IF($T$17=0,"Hypercare no prazo",$T$17&amp;" Hypercare atrasado(s)")</f>
        <v>0 demandas abertas | 0 bloqueios | Hypercare no prazo</v>
      </c>
      <c r="H6" s="482"/>
      <c r="I6" s="482"/>
      <c r="J6" s="482"/>
      <c r="K6" s="482"/>
      <c r="L6" s="482"/>
      <c r="M6" s="482"/>
      <c r="N6" s="482"/>
      <c r="O6" s="482"/>
      <c r="P6" s="482"/>
      <c r="Q6" s="482"/>
      <c r="S6" t="s">
        <v>870</v>
      </c>
      <c r="T6">
        <f>COUNTIFS(Lançamentos!$C$3:$C$1001,"&lt;&gt;",Lançamentos!$O$3:$O$1001,"&lt;&gt;Apoio",Lançamentos!$AL$3:$AL$1001,"Encerrado")</f>
        <v>0</v>
      </c>
    </row>
    <row r="7" spans="2:38" ht="23" customHeight="1" x14ac:dyDescent="0.35">
      <c r="B7" s="477"/>
      <c r="C7" s="478"/>
      <c r="D7" s="478"/>
      <c r="E7" s="478"/>
      <c r="F7" s="478"/>
      <c r="G7" s="481" t="str">
        <f>"Maior impacto: "&amp;$T$39&amp;" | "&amp;$T$40&amp;" | +"&amp;TEXT($T$36,"0,0")&amp;" h/mês"</f>
        <v>Maior impacto:  |  | +0,0 h/mês</v>
      </c>
      <c r="H7" s="482"/>
      <c r="I7" s="482"/>
      <c r="J7" s="482"/>
      <c r="K7" s="482"/>
      <c r="L7" s="482"/>
      <c r="M7" s="482"/>
      <c r="N7" s="482"/>
      <c r="O7" s="482"/>
      <c r="P7" s="482"/>
      <c r="Q7" s="482"/>
      <c r="S7" t="s">
        <v>871</v>
      </c>
      <c r="T7" t="str">
        <f>IFERROR(T6/T5,"")</f>
        <v/>
      </c>
    </row>
    <row r="8" spans="2:38" ht="23" customHeight="1" thickBot="1" x14ac:dyDescent="0.4">
      <c r="B8" s="479"/>
      <c r="C8" s="480"/>
      <c r="D8" s="480"/>
      <c r="E8" s="480"/>
      <c r="F8" s="480"/>
      <c r="G8" s="481" t="str">
        <f ca="1">"Capacidade: "&amp;TEXT($T$9,"#.##0,0")&amp;" h/mês | "&amp;TEXT($T$10,"#.##0,0")&amp;" h/ano | Mais antiga: "&amp;$T$38&amp;" ("&amp;$T$37&amp;" dias) | Críticas: "&amp;$T$33</f>
        <v>Capacidade: 0,0 h/mês | 0,0 h/ano | Mais antiga:  ( dias) | Críticas: 0</v>
      </c>
      <c r="H8" s="482"/>
      <c r="I8" s="482"/>
      <c r="J8" s="482"/>
      <c r="K8" s="482"/>
      <c r="L8" s="482"/>
      <c r="M8" s="482"/>
      <c r="N8" s="482"/>
      <c r="O8" s="482"/>
      <c r="P8" s="482"/>
      <c r="Q8" s="482"/>
      <c r="S8" t="s">
        <v>872</v>
      </c>
      <c r="T8">
        <f>SUMIFS(Lançamentos!$T$3:$T$1001,Lançamentos!$C$3:$C$1001,"&lt;&gt;")</f>
        <v>0</v>
      </c>
    </row>
    <row r="9" spans="2:38" x14ac:dyDescent="0.35">
      <c r="B9" s="585"/>
      <c r="C9" s="585"/>
      <c r="D9" s="585"/>
      <c r="E9" s="585"/>
      <c r="F9" s="585"/>
      <c r="G9" s="585"/>
      <c r="H9" s="585"/>
      <c r="I9" s="585"/>
      <c r="J9" s="585"/>
      <c r="K9" s="585"/>
      <c r="L9" s="585"/>
      <c r="M9" s="585"/>
      <c r="N9" s="585"/>
      <c r="O9" s="585"/>
      <c r="P9" s="585"/>
      <c r="Q9" s="585"/>
      <c r="S9" t="s">
        <v>873</v>
      </c>
      <c r="T9">
        <f>SUMIFS(Lançamentos!$W$3:$W$1001,Lançamentos!$C$3:$C$1001,"&lt;&gt;",Lançamentos!$O$3:$O$1001,"&lt;&gt;Apoio")</f>
        <v>0</v>
      </c>
    </row>
    <row r="10" spans="2:38" ht="34" customHeight="1" x14ac:dyDescent="0.35">
      <c r="B10" s="483" t="str">
        <f ca="1">TEXT($T$7,"0,0%")&amp;" da carteira como responsável está concluída. As 3 iniciativas de maior impacto representam "&amp;TEXT($T$35,"0,0%")&amp;" do ganho mensal. "&amp;IF(AND($T$14=0,$T$17=0,$T$18=0),"Não existem bloqueios, atrasos de Hypercare ou incidentes críticos.","Existem condições críticas que exigem atuação.")</f>
        <v xml:space="preserve"> da carteira como responsável está concluída. As 3 iniciativas de maior impacto representam  do ganho mensal. Não existem bloqueios, atrasos de Hypercare ou incidentes críticos.</v>
      </c>
      <c r="C10" s="483"/>
      <c r="D10" s="483"/>
      <c r="E10" s="483"/>
      <c r="F10" s="483"/>
      <c r="G10" s="483"/>
      <c r="H10" s="483"/>
      <c r="I10" s="483"/>
      <c r="J10" s="483"/>
      <c r="K10" s="483"/>
      <c r="L10" s="483"/>
      <c r="M10" s="483"/>
      <c r="N10" s="483"/>
      <c r="O10" s="483"/>
      <c r="P10" s="483"/>
      <c r="Q10" s="483"/>
      <c r="S10" t="s">
        <v>874</v>
      </c>
      <c r="T10">
        <f>T9*12</f>
        <v>0</v>
      </c>
    </row>
    <row r="11" spans="2:38" x14ac:dyDescent="0.35">
      <c r="B11" s="585"/>
      <c r="C11" s="585"/>
      <c r="D11" s="585"/>
      <c r="E11" s="585"/>
      <c r="F11" s="585"/>
      <c r="G11" s="585"/>
      <c r="H11" s="585"/>
      <c r="I11" s="585"/>
      <c r="J11" s="585"/>
      <c r="K11" s="585"/>
      <c r="L11" s="585"/>
      <c r="M11" s="585"/>
      <c r="N11" s="585"/>
      <c r="O11" s="585"/>
      <c r="P11" s="585"/>
      <c r="Q11" s="585"/>
      <c r="S11" t="s">
        <v>875</v>
      </c>
      <c r="T11" t="str">
        <f>IFERROR(AVERAGEIFS(Lançamentos!$AK$3:$AK$1001,Lançamentos!$AL$3:$AL$1001,"Encerrado",Lançamentos!$AK$3:$AK$1001,"&gt;=0"),"")</f>
        <v/>
      </c>
    </row>
    <row r="12" spans="2:38" ht="23" customHeight="1" x14ac:dyDescent="0.35">
      <c r="B12" s="594" t="s">
        <v>861</v>
      </c>
      <c r="C12" s="595"/>
      <c r="D12" s="595"/>
      <c r="E12" s="595"/>
      <c r="F12" s="595"/>
      <c r="G12" s="595"/>
      <c r="H12" s="595"/>
      <c r="I12" s="595"/>
      <c r="J12" s="595"/>
      <c r="K12" s="595"/>
      <c r="L12" s="595"/>
      <c r="M12" s="595"/>
      <c r="N12" s="595"/>
      <c r="O12" s="595"/>
      <c r="P12" s="595"/>
      <c r="Q12" s="595"/>
      <c r="S12" t="s">
        <v>876</v>
      </c>
      <c r="T12" t="str">
        <f>IFERROR(T9/T8,"")</f>
        <v/>
      </c>
    </row>
    <row r="13" spans="2:38" ht="20" customHeight="1" x14ac:dyDescent="0.35">
      <c r="B13" s="599" t="s">
        <v>907</v>
      </c>
      <c r="C13" s="600"/>
      <c r="D13" s="600"/>
      <c r="E13" s="600"/>
      <c r="F13" s="605" t="s">
        <v>908</v>
      </c>
      <c r="G13" s="600"/>
      <c r="H13" s="600"/>
      <c r="I13" s="600"/>
      <c r="J13" s="608" t="s">
        <v>624</v>
      </c>
      <c r="K13" s="600"/>
      <c r="L13" s="600"/>
      <c r="M13" s="600"/>
      <c r="N13" s="611" t="s">
        <v>834</v>
      </c>
      <c r="O13" s="600"/>
      <c r="P13" s="600"/>
      <c r="Q13" s="603"/>
      <c r="S13" t="s">
        <v>877</v>
      </c>
      <c r="T13" t="str">
        <f>IFERROR(AVERAGEIFS(Lançamentos!$X$3:$X$1001,Lançamentos!$C$3:$C$1001,"&lt;&gt;",Lançamentos!$U$3:$U$1001,"&gt;0",Lançamentos!$V$3:$V$1001,"&gt;=0"),"")</f>
        <v/>
      </c>
    </row>
    <row r="14" spans="2:38" ht="20" customHeight="1" x14ac:dyDescent="0.35">
      <c r="B14" s="598">
        <f>$T$2</f>
        <v>0</v>
      </c>
      <c r="C14" s="587"/>
      <c r="D14" s="587"/>
      <c r="E14" s="587"/>
      <c r="F14" s="604">
        <f>$T$3</f>
        <v>0</v>
      </c>
      <c r="G14" s="587"/>
      <c r="H14" s="587"/>
      <c r="I14" s="587"/>
      <c r="J14" s="607">
        <f>$T$4</f>
        <v>0</v>
      </c>
      <c r="K14" s="587"/>
      <c r="L14" s="587"/>
      <c r="M14" s="587"/>
      <c r="N14" s="610" t="str">
        <f>TEXT($T$7,"0,0%")&amp;CHAR(10)&amp;$T$6&amp;"/"&amp;$T$5&amp;" como responsável"</f>
        <v xml:space="preserve">
0/0 como responsável</v>
      </c>
      <c r="O14" s="485"/>
      <c r="P14" s="485"/>
      <c r="Q14" s="615"/>
      <c r="S14" t="s">
        <v>878</v>
      </c>
      <c r="T14" cm="1">
        <f t="array" ref="T14">SUMPRODUCT(--('Workflow (Tracker)'!$B$26:$B$525&lt;&gt;""),--(MMULT(--('Workflow (Tracker)'!$E$26:$L$525="Bloqueado"),TRANSPOSE(COLUMN('Workflow (Tracker)'!$E$26:$L$26)^0))&gt;0))</f>
        <v>0</v>
      </c>
    </row>
    <row r="15" spans="2:38" ht="20" customHeight="1" x14ac:dyDescent="0.35">
      <c r="B15" s="601"/>
      <c r="C15" s="602"/>
      <c r="D15" s="602"/>
      <c r="E15" s="602"/>
      <c r="F15" s="606"/>
      <c r="G15" s="602"/>
      <c r="H15" s="602"/>
      <c r="I15" s="602"/>
      <c r="J15" s="609"/>
      <c r="K15" s="602"/>
      <c r="L15" s="602"/>
      <c r="M15" s="602"/>
      <c r="N15" s="612"/>
      <c r="O15" s="613"/>
      <c r="P15" s="613"/>
      <c r="Q15" s="614"/>
      <c r="S15" t="s">
        <v>879</v>
      </c>
      <c r="T15" cm="1">
        <f t="array" ref="T15">SUMPRODUCT(--('Workflow (Tracker)'!$B$26:$B$525&lt;&gt;""),--('Workflow (Tracker)'!$G$26:$G$525&lt;&gt;"Concluído"),--(_xlfn.XLOOKUP('Workflow (Tracker)'!$B$26:$B$525,Lançamentos!$B$3:$B$1001,Lançamentos!$AL$3:$AL$1001,"")&lt;&gt;"Cancelado"))</f>
        <v>0</v>
      </c>
    </row>
    <row r="16" spans="2:38" ht="20" customHeight="1" x14ac:dyDescent="0.35">
      <c r="B16" s="586"/>
      <c r="C16" s="587"/>
      <c r="D16" s="587"/>
      <c r="E16" s="587"/>
      <c r="F16" s="586"/>
      <c r="G16" s="587"/>
      <c r="H16" s="587"/>
      <c r="I16" s="587"/>
      <c r="J16" s="586"/>
      <c r="K16" s="587"/>
      <c r="L16" s="587"/>
      <c r="M16" s="587"/>
      <c r="N16" s="484"/>
      <c r="O16" s="485"/>
      <c r="P16" s="485"/>
      <c r="Q16" s="486"/>
      <c r="S16" t="s">
        <v>880</v>
      </c>
      <c r="T16" cm="1">
        <f t="array" ref="T16">SUMPRODUCT(--('Workflow (Tracker)'!$B$26:$B$525&lt;&gt;""),--('Workflow (Tracker)'!$I$26:$I$525&lt;&gt;"Concluído"),--(_xlfn.XLOOKUP('Workflow (Tracker)'!$B$26:$B$525,Lançamentos!$B$3:$B$1001,Lançamentos!$AL$3:$AL$1001,"")&lt;&gt;"Cancelado"))</f>
        <v>0</v>
      </c>
    </row>
    <row r="17" spans="2:20" ht="20" customHeight="1" x14ac:dyDescent="0.35">
      <c r="B17" s="617" t="s">
        <v>833</v>
      </c>
      <c r="C17" s="600"/>
      <c r="D17" s="600"/>
      <c r="E17" s="600"/>
      <c r="F17" s="620" t="s">
        <v>909</v>
      </c>
      <c r="G17" s="600"/>
      <c r="H17" s="600"/>
      <c r="I17" s="600"/>
      <c r="J17" s="599" t="s">
        <v>910</v>
      </c>
      <c r="K17" s="600"/>
      <c r="L17" s="600"/>
      <c r="M17" s="600"/>
      <c r="N17" s="611" t="s">
        <v>911</v>
      </c>
      <c r="O17" s="600"/>
      <c r="P17" s="600"/>
      <c r="Q17" s="603"/>
      <c r="S17" t="s">
        <v>561</v>
      </c>
      <c r="T17">
        <f ca="1">COUNTIFS(Lançamentos!$C$3:$C$1001,"&lt;&gt;",Lançamentos!$AD$3:$AD$1001,"&lt;&gt;",Lançamentos!$AF$3:$AF$1001,"",Lançamentos!$AE$3:$AE$1001,"&lt;"&amp;TODAY())</f>
        <v>0</v>
      </c>
    </row>
    <row r="18" spans="2:20" ht="20" customHeight="1" x14ac:dyDescent="0.35">
      <c r="B18" s="616" t="str">
        <f>TEXT($T$8,"#.##0,0")&amp;" h"</f>
        <v>0,0 h</v>
      </c>
      <c r="C18" s="587"/>
      <c r="D18" s="587"/>
      <c r="E18" s="587"/>
      <c r="F18" s="619" t="str">
        <f>TEXT($T$9,"#.##0,0")&amp;" h/mês"</f>
        <v>0,0 h/mês</v>
      </c>
      <c r="G18" s="587"/>
      <c r="H18" s="587"/>
      <c r="I18" s="587"/>
      <c r="J18" s="622" t="str">
        <f>TEXT($T$10,"#.##0,0")&amp;" h/ano"</f>
        <v>0,0 h/ano</v>
      </c>
      <c r="K18" s="475"/>
      <c r="L18" s="475"/>
      <c r="M18" s="475"/>
      <c r="N18" s="626" t="str">
        <f>TEXT($T$11,"0,0")&amp;" dias"</f>
        <v xml:space="preserve"> dias</v>
      </c>
      <c r="O18" s="475"/>
      <c r="P18" s="475"/>
      <c r="Q18" s="476"/>
      <c r="S18" t="s">
        <v>560</v>
      </c>
      <c r="T18">
        <f>COUNTIFS(Lançamentos!$C$3:$C$1001,"&lt;&gt;",Lançamentos!$AI$3:$AI$1001,"*Incidente Crítico*")</f>
        <v>0</v>
      </c>
    </row>
    <row r="19" spans="2:20" ht="20" customHeight="1" x14ac:dyDescent="0.35">
      <c r="B19" s="616"/>
      <c r="C19" s="587"/>
      <c r="D19" s="587"/>
      <c r="E19" s="587"/>
      <c r="F19" s="619"/>
      <c r="G19" s="587"/>
      <c r="H19" s="587"/>
      <c r="I19" s="587"/>
      <c r="J19" s="622"/>
      <c r="K19" s="475"/>
      <c r="L19" s="475"/>
      <c r="M19" s="475"/>
      <c r="N19" s="626"/>
      <c r="O19" s="475"/>
      <c r="P19" s="475"/>
      <c r="Q19" s="476"/>
      <c r="S19" t="s">
        <v>881</v>
      </c>
      <c r="T19" cm="1">
        <f t="array" ref="T19">SUMPRODUCT(--(Lançamentos!$C$3:$C$502&lt;&gt;""),--ISNUMBER(SEARCH("Em Estabilização",Lançamentos!$AI$3:$AI$502)),--((('Workflow (Tracker)'!$K$26:$K$525="Concluído")+ISNUMBER(SEARCH("E08",'Workflow (Tracker)'!$M$26:$M$525)))&gt;0))</f>
        <v>0</v>
      </c>
    </row>
    <row r="20" spans="2:20" ht="20" customHeight="1" x14ac:dyDescent="0.35">
      <c r="B20" s="618"/>
      <c r="C20" s="602"/>
      <c r="D20" s="602"/>
      <c r="E20" s="602"/>
      <c r="F20" s="621"/>
      <c r="G20" s="602"/>
      <c r="H20" s="602"/>
      <c r="I20" s="602"/>
      <c r="J20" s="623"/>
      <c r="K20" s="624"/>
      <c r="L20" s="624"/>
      <c r="M20" s="624"/>
      <c r="N20" s="627"/>
      <c r="O20" s="624"/>
      <c r="P20" s="624"/>
      <c r="Q20" s="625"/>
      <c r="S20" t="s">
        <v>882</v>
      </c>
      <c r="T20">
        <f>COUNTIFS(Lançamentos!$C$3:$C$1001,"&lt;&gt;",Lançamentos!$AI$3:$AI$1001,"*Estável*Demanda Encerrada*")</f>
        <v>0</v>
      </c>
    </row>
    <row r="21" spans="2:20" x14ac:dyDescent="0.35">
      <c r="B21" s="585"/>
      <c r="C21" s="585"/>
      <c r="D21" s="585"/>
      <c r="E21" s="585"/>
      <c r="F21" s="585"/>
      <c r="G21" s="585"/>
      <c r="H21" s="585"/>
      <c r="I21" s="585"/>
      <c r="J21" s="585"/>
      <c r="K21" s="585"/>
      <c r="L21" s="585"/>
      <c r="M21" s="585"/>
      <c r="N21" s="585"/>
      <c r="O21" s="585"/>
      <c r="P21" s="585"/>
      <c r="Q21" s="585"/>
      <c r="S21" t="s">
        <v>883</v>
      </c>
      <c r="T21" t="str" cm="1">
        <f t="array" ref="T21">IFERROR(SUMPRODUCT(--(Lançamentos!$C$3:$C$1001&lt;&gt;""),--ISNUMBER(Lançamentos!$AF$3:$AF$1001),--ISNUMBER(Lançamentos!$AE$3:$AE$1001),--(Lançamentos!$AF$3:$AF$1001&lt;=Lançamentos!$AE$3:$AE$1001))/SUMPRODUCT(--(Lançamentos!$C$3:$C$1001&lt;&gt;""),--ISNUMBER(Lançamentos!$AF$3:$AF$1001)),"")</f>
        <v/>
      </c>
    </row>
    <row r="22" spans="2:20" ht="23" customHeight="1" thickBot="1" x14ac:dyDescent="0.4">
      <c r="B22" s="596" t="s">
        <v>862</v>
      </c>
      <c r="C22" s="593"/>
      <c r="D22" s="593"/>
      <c r="E22" s="593"/>
      <c r="F22" s="593"/>
      <c r="G22" s="593"/>
      <c r="H22" s="593"/>
      <c r="I22" s="593"/>
      <c r="J22" s="593"/>
      <c r="K22" s="593"/>
      <c r="L22" s="593"/>
      <c r="M22" s="593"/>
      <c r="N22" s="593"/>
      <c r="O22" s="593"/>
      <c r="P22" s="593"/>
      <c r="Q22" s="593"/>
      <c r="S22" t="s">
        <v>884</v>
      </c>
      <c r="T22" t="str" cm="1">
        <f t="array" ref="T22">IFERROR(SUMPRODUCT(--(Lançamentos!$C$3:$C$1001&lt;&gt;""),--ISNUMBER(Lançamentos!$AD$3:$AD$1001))/SUMPRODUCT(--(Lançamentos!$C$3:$C$1001&lt;&gt;""),--ISNUMBER(Lançamentos!$D$3:$D$1001)),"")</f>
        <v/>
      </c>
    </row>
    <row r="23" spans="2:20" ht="24" customHeight="1" thickTop="1" x14ac:dyDescent="0.35">
      <c r="B23" s="487" t="str">
        <f ca="1">$T$4&amp;" abertas | "&amp;$T$14&amp;" bloqueadas | "&amp;$T$43&amp;" com gate pendente | "&amp;$T$17&amp;" atrasadas | "&amp;$T$18&amp;" incidentes"</f>
        <v>0 abertas | 0 bloqueadas | 0 com gate pendente | 0 atrasadas | 0 incidentes</v>
      </c>
      <c r="C23" s="487"/>
      <c r="D23" s="487"/>
      <c r="E23" s="487"/>
      <c r="F23" s="487"/>
      <c r="G23" s="487"/>
      <c r="H23" s="487"/>
      <c r="I23" s="487"/>
      <c r="J23" s="487"/>
      <c r="K23" s="487"/>
      <c r="L23" s="487"/>
      <c r="M23" s="487"/>
      <c r="N23" s="487"/>
      <c r="O23" s="487"/>
      <c r="P23" s="487"/>
      <c r="Q23" s="487"/>
      <c r="S23" t="s">
        <v>885</v>
      </c>
      <c r="T23" t="str" cm="1">
        <f t="array" ref="T23">IFERROR(AVERAGE(_xlfn._xlws.FILTER(Lançamentos!$AG$3:$AG$1001,(Lançamentos!$C$3:$C$1001&lt;&gt;"")*ISNUMBER(Lançamentos!$AF$3:$AF$1001))),"")</f>
        <v/>
      </c>
    </row>
    <row r="24" spans="2:20" ht="24" customHeight="1" x14ac:dyDescent="0.35">
      <c r="B24" s="488" t="str">
        <f>"Fluxo atual: "&amp;IF($T$42="","sem demandas registradas",$T$42)&amp;" | Gates: E3 "&amp;$T$15&amp;" pendente(s), E5 "&amp;$T$16&amp;" pendente(s) | Exibindo até 5 demandas abertas mais antigas"</f>
        <v>Fluxo atual: sem demandas registradas | Gates: E3 0 pendente(s), E5 0 pendente(s) | Exibindo até 5 demandas abertas mais antigas</v>
      </c>
      <c r="C24" s="488"/>
      <c r="D24" s="488"/>
      <c r="E24" s="488"/>
      <c r="F24" s="488"/>
      <c r="G24" s="488"/>
      <c r="H24" s="488"/>
      <c r="I24" s="488"/>
      <c r="J24" s="488"/>
      <c r="K24" s="488"/>
      <c r="L24" s="488"/>
      <c r="M24" s="488"/>
      <c r="N24" s="488"/>
      <c r="O24" s="488"/>
      <c r="P24" s="488"/>
      <c r="Q24" s="488"/>
      <c r="S24" t="s">
        <v>886</v>
      </c>
      <c r="T24" cm="1">
        <f t="array" ref="T24">SUMPRODUCT(--(Lançamentos!$C$3:$C$1001&lt;&gt;""),--(Lançamentos!$AJ$3:$AJ$1001&lt;&gt;""))</f>
        <v>0</v>
      </c>
    </row>
    <row r="25" spans="2:20" x14ac:dyDescent="0.35">
      <c r="B25" s="585"/>
      <c r="C25" s="585"/>
      <c r="D25" s="585"/>
      <c r="E25" s="585"/>
      <c r="F25" s="585"/>
      <c r="G25" s="585"/>
      <c r="H25" s="585"/>
      <c r="I25" s="585"/>
      <c r="J25" s="585"/>
      <c r="K25" s="585"/>
      <c r="L25" s="585"/>
      <c r="M25" s="585"/>
      <c r="N25" s="585"/>
      <c r="O25" s="585"/>
      <c r="P25" s="585"/>
      <c r="Q25" s="585"/>
      <c r="S25" t="s">
        <v>887</v>
      </c>
      <c r="T25" cm="1">
        <f t="array" ref="T25">SUMPRODUCT(--(Lançamentos!$C$3:$C$1001&lt;&gt;""),--ISNUMBER(Lançamentos!$T$3:$T$1001))</f>
        <v>0</v>
      </c>
    </row>
    <row r="26" spans="2:20" ht="24" customHeight="1" thickBot="1" x14ac:dyDescent="0.4">
      <c r="B26" s="661" t="s">
        <v>126</v>
      </c>
      <c r="C26" s="662" t="s">
        <v>912</v>
      </c>
      <c r="D26" s="662"/>
      <c r="E26" s="662"/>
      <c r="F26" s="662"/>
      <c r="G26" s="663" t="s">
        <v>913</v>
      </c>
      <c r="H26" s="664"/>
      <c r="I26" s="665" t="s">
        <v>914</v>
      </c>
      <c r="J26" s="662"/>
      <c r="K26" s="662" t="s">
        <v>915</v>
      </c>
      <c r="L26" s="662"/>
      <c r="M26" s="666" t="s">
        <v>916</v>
      </c>
      <c r="N26" s="667" t="s">
        <v>917</v>
      </c>
      <c r="O26" s="668" t="s">
        <v>918</v>
      </c>
      <c r="P26" s="663"/>
      <c r="Q26" s="669" t="s">
        <v>919</v>
      </c>
      <c r="S26" t="s">
        <v>888</v>
      </c>
      <c r="T26" cm="1">
        <f t="array" ref="T26">SUMPRODUCT(--(Lançamentos!$C$3:$C$1001&lt;&gt;""),--ISNUMBER(Lançamentos!$U$3:$U$1001),--(Lançamentos!$U$3:$U$1001&gt;0),--ISNUMBER(Lançamentos!$V$3:$V$1001))</f>
        <v>0</v>
      </c>
    </row>
    <row r="27" spans="2:20" ht="25" customHeight="1" x14ac:dyDescent="0.35">
      <c r="B27" s="489" t="str">
        <f ca="1">IFERROR(INDEX(_xlfn.ANCHORARRAY($V$2),1,1),"")</f>
        <v/>
      </c>
      <c r="C27" s="490" t="str">
        <f ca="1">IFERROR(INDEX(_xlfn.ANCHORARRAY($V$2),1,2),"")</f>
        <v/>
      </c>
      <c r="D27" s="490"/>
      <c r="E27" s="490"/>
      <c r="F27" s="490"/>
      <c r="G27" s="491" t="str">
        <f ca="1">IFERROR(INDEX(_xlfn.ANCHORARRAY($V$2),1,3),"")</f>
        <v/>
      </c>
      <c r="H27" s="492"/>
      <c r="I27" s="493" t="str">
        <f ca="1">IFERROR(INDEX(_xlfn.ANCHORARRAY($V$2),1,4),"")</f>
        <v/>
      </c>
      <c r="J27" s="490"/>
      <c r="K27" s="490" t="str">
        <f ca="1">IFERROR(INDEX(_xlfn.ANCHORARRAY($V$2),1,5),"")</f>
        <v/>
      </c>
      <c r="L27" s="490"/>
      <c r="M27" s="494" t="str">
        <f ca="1">IFERROR(INDEX(_xlfn.ANCHORARRAY($V$2),1,6),"")</f>
        <v/>
      </c>
      <c r="N27" s="495" t="str">
        <f ca="1">IFERROR(INDEX(_xlfn.ANCHORARRAY($V$2),1,7),"")</f>
        <v/>
      </c>
      <c r="O27" s="496" t="str">
        <f ca="1">IFERROR(INDEX(_xlfn.ANCHORARRAY($V$2),1,8),"")</f>
        <v/>
      </c>
      <c r="P27" s="491"/>
      <c r="Q27" s="497" t="str">
        <f ca="1">IF($B27="","",HYPERLINK("#'Lançamentos'!B"&amp;MATCH($B27,Lançamentos!$B:$B,0),"Abrir"))</f>
        <v/>
      </c>
      <c r="S27" t="s">
        <v>889</v>
      </c>
      <c r="T27" cm="1">
        <f t="array" ref="T27">SUMPRODUCT(--(Lançamentos!$C$3:$C$1001&lt;&gt;""),--(Lançamentos!$F$3:$F$1001&lt;&gt;""),--ISNUMBER(MATCH(Lançamentos!$F$3:$F$1001,Cadastros!$B$6:$B$48,0)))</f>
        <v>0</v>
      </c>
    </row>
    <row r="28" spans="2:20" ht="25" customHeight="1" x14ac:dyDescent="0.35">
      <c r="B28" s="498" t="str">
        <f ca="1">IFERROR(INDEX(_xlfn.ANCHORARRAY($V$2),2,1),"")</f>
        <v/>
      </c>
      <c r="C28" s="499" t="str">
        <f ca="1">IFERROR(INDEX(_xlfn.ANCHORARRAY($V$2),2,2),"")</f>
        <v/>
      </c>
      <c r="D28" s="499"/>
      <c r="E28" s="499"/>
      <c r="F28" s="499"/>
      <c r="G28" s="500" t="str">
        <f ca="1">IFERROR(INDEX(_xlfn.ANCHORARRAY($V$2),2,3),"")</f>
        <v/>
      </c>
      <c r="H28" s="501"/>
      <c r="I28" s="502" t="str">
        <f ca="1">IFERROR(INDEX(_xlfn.ANCHORARRAY($V$2),2,4),"")</f>
        <v/>
      </c>
      <c r="J28" s="499"/>
      <c r="K28" s="499" t="str">
        <f ca="1">IFERROR(INDEX(_xlfn.ANCHORARRAY($V$2),2,5),"")</f>
        <v/>
      </c>
      <c r="L28" s="499"/>
      <c r="M28" s="503" t="str">
        <f ca="1">IFERROR(INDEX(_xlfn.ANCHORARRAY($V$2),2,6),"")</f>
        <v/>
      </c>
      <c r="N28" s="504" t="str">
        <f ca="1">IFERROR(INDEX(_xlfn.ANCHORARRAY($V$2),2,7),"")</f>
        <v/>
      </c>
      <c r="O28" s="505" t="str">
        <f ca="1">IFERROR(INDEX(_xlfn.ANCHORARRAY($V$2),2,8),"")</f>
        <v/>
      </c>
      <c r="P28" s="500"/>
      <c r="Q28" s="506" t="str">
        <f ca="1">IF($B28="","",HYPERLINK("#'Lançamentos'!B"&amp;MATCH($B28,Lançamentos!$B:$B,0),"Abrir"))</f>
        <v/>
      </c>
      <c r="S28" t="s">
        <v>890</v>
      </c>
      <c r="T28" cm="1">
        <f t="array" ref="T28">SUMPRODUCT(--(Lançamentos!$C$3:$C$1001&lt;&gt;""),--(Lançamentos!$H$3:$H$1001&lt;&gt;""),--ISNUMBER(MATCH(Lançamentos!$H$3:$H$1001,Cadastros!$K$6:$K$48,0)))</f>
        <v>0</v>
      </c>
    </row>
    <row r="29" spans="2:20" ht="25" customHeight="1" x14ac:dyDescent="0.35">
      <c r="B29" s="498" t="str">
        <f ca="1">IFERROR(INDEX(_xlfn.ANCHORARRAY($V$2),3,1),"")</f>
        <v/>
      </c>
      <c r="C29" s="499" t="str">
        <f ca="1">IFERROR(INDEX(_xlfn.ANCHORARRAY($V$2),3,2),"")</f>
        <v/>
      </c>
      <c r="D29" s="499"/>
      <c r="E29" s="499"/>
      <c r="F29" s="499"/>
      <c r="G29" s="500" t="str">
        <f ca="1">IFERROR(INDEX(_xlfn.ANCHORARRAY($V$2),3,3),"")</f>
        <v/>
      </c>
      <c r="H29" s="501"/>
      <c r="I29" s="502" t="str">
        <f ca="1">IFERROR(INDEX(_xlfn.ANCHORARRAY($V$2),3,4),"")</f>
        <v/>
      </c>
      <c r="J29" s="499"/>
      <c r="K29" s="499" t="str">
        <f ca="1">IFERROR(INDEX(_xlfn.ANCHORARRAY($V$2),3,5),"")</f>
        <v/>
      </c>
      <c r="L29" s="499"/>
      <c r="M29" s="503" t="str">
        <f ca="1">IFERROR(INDEX(_xlfn.ANCHORARRAY($V$2),3,6),"")</f>
        <v/>
      </c>
      <c r="N29" s="504" t="str">
        <f ca="1">IFERROR(INDEX(_xlfn.ANCHORARRAY($V$2),3,7),"")</f>
        <v/>
      </c>
      <c r="O29" s="505" t="str">
        <f ca="1">IFERROR(INDEX(_xlfn.ANCHORARRAY($V$2),3,8),"")</f>
        <v/>
      </c>
      <c r="P29" s="500"/>
      <c r="Q29" s="506" t="str">
        <f ca="1">IF($B29="","",HYPERLINK("#'Lançamentos'!B"&amp;MATCH($B29,Lançamentos!$B:$B,0),"Abrir"))</f>
        <v/>
      </c>
      <c r="S29" t="s">
        <v>891</v>
      </c>
      <c r="T29" cm="1">
        <f t="array" ref="T29">SUMPRODUCT(--(Lançamentos!$C$3:$C$1001&lt;&gt;""),--(Lançamentos!$L$3:$L$1001&lt;&gt;""),--ISNUMBER(MATCH(Lançamentos!$L$3:$L$1001,Cadastros!$L$6:$L$48,0)))</f>
        <v>0</v>
      </c>
    </row>
    <row r="30" spans="2:20" ht="25" customHeight="1" x14ac:dyDescent="0.35">
      <c r="B30" s="498" t="str">
        <f ca="1">IFERROR(INDEX(_xlfn.ANCHORARRAY($V$2),4,1),"")</f>
        <v/>
      </c>
      <c r="C30" s="499" t="str">
        <f ca="1">IFERROR(INDEX(_xlfn.ANCHORARRAY($V$2),4,2),"")</f>
        <v/>
      </c>
      <c r="D30" s="499"/>
      <c r="E30" s="499"/>
      <c r="F30" s="499"/>
      <c r="G30" s="500" t="str">
        <f ca="1">IFERROR(INDEX(_xlfn.ANCHORARRAY($V$2),4,3),"")</f>
        <v/>
      </c>
      <c r="H30" s="501"/>
      <c r="I30" s="502" t="str">
        <f ca="1">IFERROR(INDEX(_xlfn.ANCHORARRAY($V$2),4,4),"")</f>
        <v/>
      </c>
      <c r="J30" s="499"/>
      <c r="K30" s="499" t="str">
        <f ca="1">IFERROR(INDEX(_xlfn.ANCHORARRAY($V$2),4,5),"")</f>
        <v/>
      </c>
      <c r="L30" s="499"/>
      <c r="M30" s="503" t="str">
        <f ca="1">IFERROR(INDEX(_xlfn.ANCHORARRAY($V$2),4,6),"")</f>
        <v/>
      </c>
      <c r="N30" s="504" t="str">
        <f ca="1">IFERROR(INDEX(_xlfn.ANCHORARRAY($V$2),4,7),"")</f>
        <v/>
      </c>
      <c r="O30" s="505" t="str">
        <f ca="1">IFERROR(INDEX(_xlfn.ANCHORARRAY($V$2),4,8),"")</f>
        <v/>
      </c>
      <c r="P30" s="500"/>
      <c r="Q30" s="506" t="str">
        <f ca="1">IF($B30="","",HYPERLINK("#'Lançamentos'!B"&amp;MATCH($B30,Lançamentos!$B:$B,0),"Abrir"))</f>
        <v/>
      </c>
      <c r="S30" t="s">
        <v>892</v>
      </c>
      <c r="T30" cm="1">
        <f t="array" ref="T30">SUMPRODUCT(--(Lançamentos!$C$3:$C$1001&lt;&gt;""),--(((Lançamentos!$F$3:$F$1001="")+ISNA(MATCH(Lançamentos!$F$3:$F$1001,Cadastros!$B$6:$B$48,0))+(Lançamentos!$H$3:$H$1001="")+ISNA(MATCH(Lançamentos!$H$3:$H$1001,Cadastros!$K$6:$K$48,0))+(Lançamentos!$L$3:$L$1001="")+ISNA(MATCH(Lançamentos!$L$3:$L$1001,Cadastros!$L$6:$L$48,0)))&gt;0))</f>
        <v>0</v>
      </c>
    </row>
    <row r="31" spans="2:20" ht="25" customHeight="1" x14ac:dyDescent="0.35">
      <c r="B31" s="498" t="str">
        <f ca="1">IFERROR(INDEX(_xlfn.ANCHORARRAY($V$2),5,1),"")</f>
        <v/>
      </c>
      <c r="C31" s="499" t="str">
        <f ca="1">IFERROR(INDEX(_xlfn.ANCHORARRAY($V$2),5,2),"")</f>
        <v/>
      </c>
      <c r="D31" s="499"/>
      <c r="E31" s="499"/>
      <c r="F31" s="499"/>
      <c r="G31" s="500" t="str">
        <f ca="1">IFERROR(INDEX(_xlfn.ANCHORARRAY($V$2),5,3),"")</f>
        <v/>
      </c>
      <c r="H31" s="501"/>
      <c r="I31" s="502" t="str">
        <f ca="1">IFERROR(INDEX(_xlfn.ANCHORARRAY($V$2),5,4),"")</f>
        <v/>
      </c>
      <c r="J31" s="499"/>
      <c r="K31" s="499" t="str">
        <f ca="1">IFERROR(INDEX(_xlfn.ANCHORARRAY($V$2),5,5),"")</f>
        <v/>
      </c>
      <c r="L31" s="499"/>
      <c r="M31" s="503" t="str">
        <f ca="1">IFERROR(INDEX(_xlfn.ANCHORARRAY($V$2),5,6),"")</f>
        <v/>
      </c>
      <c r="N31" s="504" t="str">
        <f ca="1">IFERROR(INDEX(_xlfn.ANCHORARRAY($V$2),5,7),"")</f>
        <v/>
      </c>
      <c r="O31" s="505" t="str">
        <f ca="1">IFERROR(INDEX(_xlfn.ANCHORARRAY($V$2),5,8),"")</f>
        <v/>
      </c>
      <c r="P31" s="500"/>
      <c r="Q31" s="506" t="str">
        <f ca="1">IF($B31="","",HYPERLINK("#'Lançamentos'!B"&amp;MATCH($B31,Lançamentos!$B:$B,0),"Abrir"))</f>
        <v/>
      </c>
      <c r="S31" t="s">
        <v>893</v>
      </c>
      <c r="T31" cm="1">
        <f t="array" ref="T31">SUMPRODUCT(--(Lançamentos!$C$3:$C$1001&lt;&gt;""),--(COUNTIF(Lançamentos!$B$3:$B$1001,Lançamentos!$B$3:$B$1001)&gt;1))</f>
        <v>0</v>
      </c>
    </row>
    <row r="32" spans="2:20" ht="25" hidden="1" customHeight="1" x14ac:dyDescent="0.35">
      <c r="B32" s="498" t="str">
        <f ca="1">IFERROR(INDEX(_xlfn.ANCHORARRAY($V$2),6,1),"")</f>
        <v/>
      </c>
      <c r="C32" s="499" t="str">
        <f ca="1">IFERROR(INDEX(_xlfn.ANCHORARRAY($V$2),6,2),"")</f>
        <v/>
      </c>
      <c r="D32" s="499"/>
      <c r="E32" s="499"/>
      <c r="F32" s="499"/>
      <c r="G32" s="500" t="str">
        <f ca="1">IFERROR(INDEX(_xlfn.ANCHORARRAY($V$2),6,3),"")</f>
        <v/>
      </c>
      <c r="H32" s="501"/>
      <c r="I32" s="502" t="str">
        <f ca="1">IFERROR(INDEX(_xlfn.ANCHORARRAY($V$2),6,4),"")</f>
        <v/>
      </c>
      <c r="J32" s="499"/>
      <c r="K32" s="499" t="str">
        <f ca="1">IFERROR(INDEX(_xlfn.ANCHORARRAY($V$2),6,5),"")</f>
        <v/>
      </c>
      <c r="L32" s="499"/>
      <c r="M32" s="503" t="str">
        <f ca="1">IFERROR(INDEX(_xlfn.ANCHORARRAY($V$2),6,6),"")</f>
        <v/>
      </c>
      <c r="N32" s="504" t="str">
        <f ca="1">IFERROR(INDEX(_xlfn.ANCHORARRAY($V$2),6,7),"")</f>
        <v/>
      </c>
      <c r="O32" s="505" t="str">
        <f ca="1">IFERROR(INDEX(_xlfn.ANCHORARRAY($V$2),6,8),"")</f>
        <v/>
      </c>
      <c r="P32" s="500"/>
      <c r="Q32" s="506" t="str">
        <f ca="1">IF($B32="","",HYPERLINK("#'Lançamentos'!B"&amp;MATCH($B32,Lançamentos!$B:$B,0),"Abrir"))</f>
        <v/>
      </c>
      <c r="S32" t="s">
        <v>894</v>
      </c>
      <c r="T32" cm="1">
        <f t="array" ref="T32">SUMPRODUCT(--(Lançamentos!$C$3:$C$502&lt;&gt;""),--ISNUMBER(SEARCH("Em Estabilização",Lançamentos!$AI$3:$AI$502)),--('Workflow (Tracker)'!$K$26:$K$525&lt;&gt;"Concluído"),--ISERROR(SEARCH("E08",'Workflow (Tracker)'!$M$26:$M$525)))</f>
        <v>0</v>
      </c>
    </row>
    <row r="33" spans="2:20" ht="25" customHeight="1" x14ac:dyDescent="0.35">
      <c r="B33" s="498" t="str">
        <f ca="1">IFERROR(INDEX(_xlfn.ANCHORARRAY($V$2),7,1),"")</f>
        <v/>
      </c>
      <c r="C33" s="499" t="str">
        <f ca="1">IFERROR(INDEX(_xlfn.ANCHORARRAY($V$2),7,2),"")</f>
        <v/>
      </c>
      <c r="D33" s="499"/>
      <c r="E33" s="499"/>
      <c r="F33" s="499"/>
      <c r="G33" s="500" t="str">
        <f ca="1">IFERROR(INDEX(_xlfn.ANCHORARRAY($V$2),7,3),"")</f>
        <v/>
      </c>
      <c r="H33" s="500"/>
      <c r="I33" s="507" t="str">
        <f ca="1">IFERROR(INDEX(_xlfn.ANCHORARRAY($V$2),7,4),"")</f>
        <v/>
      </c>
      <c r="J33" s="507"/>
      <c r="K33" s="507" t="str">
        <f ca="1">IFERROR(INDEX(_xlfn.ANCHORARRAY($V$2),7,5),"")</f>
        <v/>
      </c>
      <c r="L33" s="507"/>
      <c r="M33" s="503" t="str">
        <f ca="1">IFERROR(INDEX(_xlfn.ANCHORARRAY($V$2),7,6),"")</f>
        <v/>
      </c>
      <c r="N33" s="508" t="str">
        <f ca="1">IFERROR(INDEX(_xlfn.ANCHORARRAY($V$2),7,7),"")</f>
        <v/>
      </c>
      <c r="O33" s="500" t="str">
        <f ca="1">IFERROR(INDEX(_xlfn.ANCHORARRAY($V$2),7,8),"")</f>
        <v/>
      </c>
      <c r="P33" s="500"/>
      <c r="Q33" s="506" t="str">
        <f ca="1">IF($B33="","",HYPERLINK("#'Lançamentos'!B"&amp;MATCH($B33,Lançamentos!$B:$B,0),"Abrir"))</f>
        <v/>
      </c>
      <c r="S33" t="s">
        <v>895</v>
      </c>
      <c r="T33" cm="1">
        <f t="array" aca="1" ref="T33" ca="1">SUMPRODUCT(--(Lançamentos!$C$3:$C$502&lt;&gt;""),--(((MMULT(--('Workflow (Tracker)'!$E$26:$L$525="Bloqueado"),TRANSPOSE(COLUMN('Workflow (Tracker)'!$E$26:$L$26)^0))&gt;0)+((Lançamentos!$AD$3:$AD$502&lt;&gt;"")*(Lançamentos!$AF$3:$AF$502="")*(Lançamentos!$AE$3:$AE$502&lt;TODAY()))+ISNUMBER(SEARCH("Incidente Crítico",Lançamentos!$AI$3:$AI$502)))&gt;0))</f>
        <v>0</v>
      </c>
    </row>
    <row r="34" spans="2:20" ht="25" customHeight="1" x14ac:dyDescent="0.35">
      <c r="B34" s="498" t="str">
        <f ca="1">IFERROR(INDEX(_xlfn.ANCHORARRAY($V$2),8,1),"")</f>
        <v/>
      </c>
      <c r="C34" s="499" t="str">
        <f ca="1">IFERROR(INDEX(_xlfn.ANCHORARRAY($V$2),8,2),"")</f>
        <v/>
      </c>
      <c r="D34" s="499"/>
      <c r="E34" s="499"/>
      <c r="F34" s="499"/>
      <c r="G34" s="500" t="str">
        <f ca="1">IFERROR(INDEX(_xlfn.ANCHORARRAY($V$2),8,3),"")</f>
        <v/>
      </c>
      <c r="H34" s="500"/>
      <c r="I34" s="500" t="str">
        <f ca="1">IFERROR(INDEX(_xlfn.ANCHORARRAY($V$2),8,4),"")</f>
        <v/>
      </c>
      <c r="J34" s="500"/>
      <c r="K34" s="500" t="str">
        <f ca="1">IFERROR(INDEX(_xlfn.ANCHORARRAY($V$2),8,5),"")</f>
        <v/>
      </c>
      <c r="L34" s="500"/>
      <c r="M34" s="509" t="str">
        <f ca="1">IFERROR(INDEX(_xlfn.ANCHORARRAY($V$2),8,6),"")</f>
        <v/>
      </c>
      <c r="N34" s="510" t="str">
        <f ca="1">IFERROR(INDEX(_xlfn.ANCHORARRAY($V$2),8,7),"")</f>
        <v/>
      </c>
      <c r="O34" s="500" t="str">
        <f ca="1">IFERROR(INDEX(_xlfn.ANCHORARRAY($V$2),8,8),"")</f>
        <v/>
      </c>
      <c r="P34" s="500"/>
      <c r="Q34" s="506" t="str">
        <f ca="1">IF($B34="","",HYPERLINK("#'Lançamentos'!B"&amp;MATCH($B34,Lançamentos!$B:$B,0),"Abrir"))</f>
        <v/>
      </c>
      <c r="S34" t="s">
        <v>896</v>
      </c>
      <c r="T34" t="str">
        <f ca="1">IF(T33&gt;0,"CRÍTICO",IF(T4&gt;0,"ACOMPANHAR","ESTÁVEL"))</f>
        <v>ESTÁVEL</v>
      </c>
    </row>
    <row r="35" spans="2:20" ht="25" customHeight="1" x14ac:dyDescent="0.35">
      <c r="B35" s="498" t="str">
        <f ca="1">IFERROR(INDEX(_xlfn.ANCHORARRAY($V$2),9,1),"")</f>
        <v/>
      </c>
      <c r="C35" s="499" t="str">
        <f ca="1">IFERROR(INDEX(_xlfn.ANCHORARRAY($V$2),9,2),"")</f>
        <v/>
      </c>
      <c r="D35" s="499"/>
      <c r="E35" s="499"/>
      <c r="F35" s="499"/>
      <c r="G35" s="500" t="str">
        <f ca="1">IFERROR(INDEX(_xlfn.ANCHORARRAY($V$2),9,3),"")</f>
        <v/>
      </c>
      <c r="H35" s="500"/>
      <c r="I35" s="500" t="str">
        <f ca="1">IFERROR(INDEX(_xlfn.ANCHORARRAY($V$2),9,4),"")</f>
        <v/>
      </c>
      <c r="J35" s="500"/>
      <c r="K35" s="500" t="str">
        <f ca="1">IFERROR(INDEX(_xlfn.ANCHORARRAY($V$2),9,5),"")</f>
        <v/>
      </c>
      <c r="L35" s="500"/>
      <c r="M35" s="509" t="str">
        <f ca="1">IFERROR(INDEX(_xlfn.ANCHORARRAY($V$2),9,6),"")</f>
        <v/>
      </c>
      <c r="N35" s="510" t="str">
        <f ca="1">IFERROR(INDEX(_xlfn.ANCHORARRAY($V$2),9,7),"")</f>
        <v/>
      </c>
      <c r="O35" s="500" t="str">
        <f ca="1">IFERROR(INDEX(_xlfn.ANCHORARRAY($V$2),9,8),"")</f>
        <v/>
      </c>
      <c r="P35" s="500"/>
      <c r="Q35" s="506" t="str">
        <f ca="1">IF($B35="","",HYPERLINK("#'Lançamentos'!B"&amp;MATCH($B35,Lançamentos!$B:$B,0),"Abrir"))</f>
        <v/>
      </c>
      <c r="S35" t="s">
        <v>897</v>
      </c>
      <c r="T35" t="str" cm="1">
        <f t="array" ref="T35">_xlfn.LET(_xlpm.g,_xlfn._xlws.FILTER(Lançamentos!$W$3:$W$1001,(Lançamentos!$C$3:$C$1001&lt;&gt;"")*(Lançamentos!$O$3:$O$1001&lt;&gt;"Apoio")*(Lançamentos!$W$3:$W$1001&gt;0)),_xlpm.n,MIN(3,ROWS(_xlpm.g)),IFERROR(SUM(LARGE(_xlpm.g,_xlfn.SEQUENCE(_xlpm.n)))/T9,""))</f>
        <v/>
      </c>
    </row>
    <row r="36" spans="2:20" ht="25" customHeight="1" x14ac:dyDescent="0.35">
      <c r="B36" s="511" t="str">
        <f ca="1">IFERROR(INDEX(_xlfn.ANCHORARRAY($V$2),10,1),"")</f>
        <v/>
      </c>
      <c r="C36" s="512" t="str">
        <f ca="1">IFERROR(INDEX(_xlfn.ANCHORARRAY($V$2),10,2),"")</f>
        <v/>
      </c>
      <c r="D36" s="512"/>
      <c r="E36" s="512"/>
      <c r="F36" s="512"/>
      <c r="G36" s="513" t="str">
        <f ca="1">IFERROR(INDEX(_xlfn.ANCHORARRAY($V$2),10,3),"")</f>
        <v/>
      </c>
      <c r="H36" s="513"/>
      <c r="I36" s="513" t="str">
        <f ca="1">IFERROR(INDEX(_xlfn.ANCHORARRAY($V$2),10,4),"")</f>
        <v/>
      </c>
      <c r="J36" s="513"/>
      <c r="K36" s="513" t="str">
        <f ca="1">IFERROR(INDEX(_xlfn.ANCHORARRAY($V$2),10,5),"")</f>
        <v/>
      </c>
      <c r="L36" s="513"/>
      <c r="M36" s="514" t="str">
        <f ca="1">IFERROR(INDEX(_xlfn.ANCHORARRAY($V$2),10,6),"")</f>
        <v/>
      </c>
      <c r="N36" s="515" t="str">
        <f ca="1">IFERROR(INDEX(_xlfn.ANCHORARRAY($V$2),10,7),"")</f>
        <v/>
      </c>
      <c r="O36" s="513" t="str">
        <f ca="1">IFERROR(INDEX(_xlfn.ANCHORARRAY($V$2),10,8),"")</f>
        <v/>
      </c>
      <c r="P36" s="513"/>
      <c r="Q36" s="516" t="str">
        <f ca="1">IF($B36="","",HYPERLINK("#'Lançamentos'!B"&amp;MATCH($B36,Lançamentos!$B:$B,0),"Abrir"))</f>
        <v/>
      </c>
      <c r="S36" t="s">
        <v>898</v>
      </c>
      <c r="T36">
        <f>IFERROR(_xlfn.MAXIFS(Lançamentos!$W$3:$W$1001,Lançamentos!$C$3:$C$1001,"&lt;&gt;",Lançamentos!$O$3:$O$1001,"&lt;&gt;Apoio"),"")</f>
        <v>0</v>
      </c>
    </row>
    <row r="37" spans="2:20" x14ac:dyDescent="0.35">
      <c r="B37" s="585"/>
      <c r="C37" s="585"/>
      <c r="D37" s="585"/>
      <c r="E37" s="585"/>
      <c r="F37" s="585"/>
      <c r="G37" s="585"/>
      <c r="H37" s="585"/>
      <c r="I37" s="585"/>
      <c r="J37" s="585"/>
      <c r="K37" s="585"/>
      <c r="L37" s="585"/>
      <c r="M37" s="585"/>
      <c r="N37" s="585"/>
      <c r="O37" s="585"/>
      <c r="P37" s="585"/>
      <c r="Q37" s="585"/>
      <c r="S37" t="s">
        <v>899</v>
      </c>
      <c r="T37" t="str" cm="1">
        <f t="array" aca="1" ref="T37" ca="1">_xlfn.LET(_xlpm.m,(Lançamentos!$C$3:$C$1001&lt;&gt;"")*(Lançamentos!$AL$3:$AL$1001&lt;&gt;"Encerrado")*(Lançamentos!$AL$3:$AL$1001&lt;&gt;"Cancelado"),_xlpm.d,_xlfn._xlws.FILTER(Lançamentos!$C$3:$C$1001,_xlpm.m),IFERROR(MAX(TODAY()-_xlpm.d),""))</f>
        <v/>
      </c>
    </row>
    <row r="38" spans="2:20" ht="23" customHeight="1" thickBot="1" x14ac:dyDescent="0.4">
      <c r="B38" s="594" t="s">
        <v>863</v>
      </c>
      <c r="C38" s="595"/>
      <c r="D38" s="595"/>
      <c r="E38" s="595"/>
      <c r="F38" s="595"/>
      <c r="G38" s="595"/>
      <c r="H38" s="595"/>
      <c r="I38" s="595"/>
      <c r="J38" s="595"/>
      <c r="K38" s="595"/>
      <c r="L38" s="595"/>
      <c r="M38" s="595"/>
      <c r="N38" s="595"/>
      <c r="O38" s="595"/>
      <c r="P38" s="595"/>
      <c r="Q38" s="595"/>
      <c r="S38" t="s">
        <v>900</v>
      </c>
      <c r="T38" t="str" cm="1">
        <f t="array" ref="T38">_xlfn.LET(_xlpm.m,(Lançamentos!$C$3:$C$1001&lt;&gt;"")*(Lançamentos!$AL$3:$AL$1001&lt;&gt;"Encerrado")*(Lançamentos!$AL$3:$AL$1001&lt;&gt;"Cancelado"),_xlpm.d,_xlfn._xlws.FILTER(Lançamentos!$C$3:$C$1001,_xlpm.m),_xlpm.ids,_xlfn._xlws.FILTER(Lançamentos!$B$3:$B$1001,_xlpm.m),IFERROR(_xlfn.XLOOKUP(MIN(_xlpm.d),_xlpm.d,_xlpm.ids),""))</f>
        <v/>
      </c>
    </row>
    <row r="39" spans="2:20" ht="22" customHeight="1" x14ac:dyDescent="0.35">
      <c r="B39" s="517" t="str">
        <f>"CAPACIDADE MENSAL LIBERADA"&amp;CHAR(10)&amp;TEXT($T$9,"#.##0,0")&amp;" h/mês"</f>
        <v>CAPACIDADE MENSAL LIBERADA
0,0 h/mês</v>
      </c>
      <c r="C39" s="518"/>
      <c r="D39" s="518"/>
      <c r="E39" s="518"/>
      <c r="F39" s="518"/>
      <c r="G39" s="518"/>
      <c r="H39" s="519" t="str">
        <f>"CAPACIDADE ANUALIZADA"&amp;CHAR(10)&amp;TEXT($T$10,"#.##0,0")&amp;" h/ano"</f>
        <v>CAPACIDADE ANUALIZADA
0,0 h/ano</v>
      </c>
      <c r="I39" s="520"/>
      <c r="J39" s="520"/>
      <c r="K39" s="520"/>
      <c r="L39" s="520"/>
      <c r="M39" s="520"/>
      <c r="N39" s="521" t="str">
        <f>"CONCENTRAÇÃO TOP 3"&amp;CHAR(10)&amp;TEXT($T$35,"0,0%")&amp;" do ganho total"</f>
        <v>CONCENTRAÇÃO TOP 3
 do ganho total</v>
      </c>
      <c r="O39" s="522"/>
      <c r="P39" s="522"/>
      <c r="Q39" s="523"/>
      <c r="S39" t="s">
        <v>901</v>
      </c>
      <c r="T39" t="str">
        <f>IF(T36="","",_xlfn.XLOOKUP(T36,Lançamentos!$W$3:$W$1001,Lançamentos!$J$3:$J$1001,""))</f>
        <v/>
      </c>
    </row>
    <row r="40" spans="2:20" ht="22" customHeight="1" x14ac:dyDescent="0.35">
      <c r="B40" s="524"/>
      <c r="C40" s="525"/>
      <c r="D40" s="525"/>
      <c r="E40" s="525"/>
      <c r="F40" s="525"/>
      <c r="G40" s="525"/>
      <c r="H40" s="526"/>
      <c r="I40" s="527"/>
      <c r="J40" s="527"/>
      <c r="K40" s="527"/>
      <c r="L40" s="527"/>
      <c r="M40" s="527"/>
      <c r="N40" s="528"/>
      <c r="O40" s="529"/>
      <c r="P40" s="529"/>
      <c r="Q40" s="530"/>
      <c r="S40" t="s">
        <v>902</v>
      </c>
      <c r="T40" t="str">
        <f>IF(T36="","",_xlfn.XLOOKUP(T36,Lançamentos!$W$3:$W$1001,Lançamentos!$F$3:$F$1001,""))</f>
        <v/>
      </c>
    </row>
    <row r="41" spans="2:20" ht="22" customHeight="1" x14ac:dyDescent="0.35">
      <c r="B41" s="524"/>
      <c r="C41" s="525"/>
      <c r="D41" s="525"/>
      <c r="E41" s="525"/>
      <c r="F41" s="525"/>
      <c r="G41" s="525"/>
      <c r="H41" s="526"/>
      <c r="I41" s="527"/>
      <c r="J41" s="527"/>
      <c r="K41" s="527"/>
      <c r="L41" s="527"/>
      <c r="M41" s="527"/>
      <c r="N41" s="528"/>
      <c r="O41" s="529"/>
      <c r="P41" s="529"/>
      <c r="Q41" s="530"/>
      <c r="S41" t="s">
        <v>903</v>
      </c>
      <c r="T41" t="str" cm="1">
        <f t="array" ref="T41">IFERROR(_xlfn.TEXTJOIN(", ",TRUE,_xlfn._xlws.FILTER(Lançamentos!$B$3:$B$502,(Lançamentos!$C$3:$C$502&lt;&gt;"")*ISNUMBER(SEARCH("Em Estabilização",Lançamentos!$AI$3:$AI$502))*('Workflow (Tracker)'!$K$26:$K$525&lt;&gt;"Concluído")*ISERROR(SEARCH("E08",'Workflow (Tracker)'!$M$26:$M$525)))),"")</f>
        <v/>
      </c>
    </row>
    <row r="42" spans="2:20" ht="22" customHeight="1" thickBot="1" x14ac:dyDescent="0.4">
      <c r="B42" s="531"/>
      <c r="C42" s="532"/>
      <c r="D42" s="532"/>
      <c r="E42" s="532"/>
      <c r="F42" s="532"/>
      <c r="G42" s="532"/>
      <c r="H42" s="533"/>
      <c r="I42" s="534"/>
      <c r="J42" s="534"/>
      <c r="K42" s="534"/>
      <c r="L42" s="534"/>
      <c r="M42" s="534"/>
      <c r="N42" s="535"/>
      <c r="O42" s="536"/>
      <c r="P42" s="536"/>
      <c r="Q42" s="537"/>
      <c r="S42" t="s">
        <v>904</v>
      </c>
      <c r="T42" t="str" cm="1">
        <f t="array" ref="T42">IF($T$2=0,"",_xlfn.LET(_xlpm.st,_xlfn._xlws.FILTER('Workflow (Tracker)'!$M$26:$M$525,'Workflow (Tracker)'!$B$26:$B$525&lt;&gt;""),_xlpm.u,_xlfn.UNIQUE(_xlpm.st),_xlpm.n,_xlfn.MAP(_xlpm.u,_xlfn.LAMBDA(_xlpm.x,SUM(--(_xlpm.st=_xlpm.x)))),_xlfn.TEXTJOIN(" | ",TRUE,_xlpm.n&amp;" "&amp;SUBSTITUTE(_xlpm.u,"✔ Fluxo concluído","Concluídas"))))</f>
        <v/>
      </c>
    </row>
    <row r="43" spans="2:20" x14ac:dyDescent="0.35">
      <c r="B43" s="585"/>
      <c r="C43" s="585"/>
      <c r="D43" s="585"/>
      <c r="E43" s="585"/>
      <c r="F43" s="585"/>
      <c r="G43" s="585"/>
      <c r="H43" s="585"/>
      <c r="I43" s="585"/>
      <c r="J43" s="585"/>
      <c r="K43" s="585"/>
      <c r="L43" s="585"/>
      <c r="M43" s="585"/>
      <c r="N43" s="585"/>
      <c r="O43" s="585"/>
      <c r="P43" s="585"/>
      <c r="Q43" s="585"/>
      <c r="S43" t="s">
        <v>905</v>
      </c>
      <c r="T43" cm="1">
        <f t="array" ref="T43">SUMPRODUCT(--('Workflow (Tracker)'!$B$26:$B$525&lt;&gt;""),--((('Workflow (Tracker)'!$G$26:$G$525&lt;&gt;"Concluído")+('Workflow (Tracker)'!$I$26:$I$525&lt;&gt;"Concluído"))&gt;0),--(_xlfn.XLOOKUP('Workflow (Tracker)'!$B$26:$B$525,Lançamentos!$B$3:$B$1001,Lançamentos!$AL$3:$AL$1001,"")&lt;&gt;"Cancelado"))</f>
        <v>0</v>
      </c>
    </row>
    <row r="44" spans="2:20" ht="24" customHeight="1" thickBot="1" x14ac:dyDescent="0.4">
      <c r="B44" s="670" t="s">
        <v>920</v>
      </c>
      <c r="C44" s="665" t="s">
        <v>912</v>
      </c>
      <c r="D44" s="662"/>
      <c r="E44" s="662"/>
      <c r="F44" s="662"/>
      <c r="G44" s="671"/>
      <c r="H44" s="668" t="s">
        <v>913</v>
      </c>
      <c r="I44" s="663"/>
      <c r="J44" s="663"/>
      <c r="K44" s="663"/>
      <c r="L44" s="662" t="s">
        <v>921</v>
      </c>
      <c r="M44" s="662"/>
      <c r="N44" s="663" t="s">
        <v>922</v>
      </c>
      <c r="O44" s="663"/>
      <c r="P44" s="663" t="s">
        <v>923</v>
      </c>
      <c r="Q44" s="663"/>
      <c r="S44" t="s">
        <v>906</v>
      </c>
      <c r="T44" t="str">
        <f ca="1">SUBSTITUTE(Capa!$D$57,"Documento controlado · ","")</f>
        <v>Atualizado em 30/07/2026</v>
      </c>
    </row>
    <row r="45" spans="2:20" ht="25" customHeight="1" x14ac:dyDescent="0.35">
      <c r="B45" s="538" t="str">
        <f>IFERROR(INDEX(_xlfn.ANCHORARRAY($AE$2),1,1),"")</f>
        <v/>
      </c>
      <c r="C45" s="539" t="str">
        <f>IFERROR(HYPERLINK("#'Lançamentos'!B"&amp;MATCH(INDEX(_xlfn.ANCHORARRAY($AE$2),1,6),Lançamentos!$B:$B,0),INDEX(_xlfn.ANCHORARRAY($AE$2),1,2)),"")</f>
        <v/>
      </c>
      <c r="D45" s="540"/>
      <c r="E45" s="540"/>
      <c r="F45" s="540"/>
      <c r="G45" s="541"/>
      <c r="H45" s="491" t="str">
        <f>IFERROR(INDEX(_xlfn.ANCHORARRAY($AE$2),1,3),"")</f>
        <v/>
      </c>
      <c r="I45" s="491"/>
      <c r="J45" s="491"/>
      <c r="K45" s="491"/>
      <c r="L45" s="542" t="str">
        <f>IFERROR(INDEX(_xlfn.ANCHORARRAY($AE$2),1,4),"")</f>
        <v/>
      </c>
      <c r="M45" s="542"/>
      <c r="N45" s="543" t="str">
        <f>IFERROR(INDEX(_xlfn.ANCHORARRAY($AE$2),1,5),"")</f>
        <v/>
      </c>
      <c r="O45" s="543"/>
      <c r="P45" s="544" t="str">
        <f>IF($L45="","",REPT("█",ROUND($L45/$T$36*12,0)))</f>
        <v/>
      </c>
      <c r="Q45" s="544"/>
    </row>
    <row r="46" spans="2:20" ht="25" customHeight="1" x14ac:dyDescent="0.35">
      <c r="B46" s="545" t="str">
        <f>IFERROR(INDEX(_xlfn.ANCHORARRAY($AE$2),2,1),"")</f>
        <v/>
      </c>
      <c r="C46" s="546" t="str">
        <f>IFERROR(HYPERLINK("#'Lançamentos'!B"&amp;MATCH(INDEX(_xlfn.ANCHORARRAY($AE$2),2,6),Lançamentos!$B:$B,0),INDEX(_xlfn.ANCHORARRAY($AE$2),2,2)),"")</f>
        <v/>
      </c>
      <c r="D46" s="547"/>
      <c r="E46" s="547"/>
      <c r="F46" s="547"/>
      <c r="G46" s="548"/>
      <c r="H46" s="500" t="str">
        <f>IFERROR(INDEX(_xlfn.ANCHORARRAY($AE$2),2,3),"")</f>
        <v/>
      </c>
      <c r="I46" s="500"/>
      <c r="J46" s="500"/>
      <c r="K46" s="500"/>
      <c r="L46" s="549" t="str">
        <f>IFERROR(INDEX(_xlfn.ANCHORARRAY($AE$2),2,4),"")</f>
        <v/>
      </c>
      <c r="M46" s="549"/>
      <c r="N46" s="550" t="str">
        <f>IFERROR(INDEX(_xlfn.ANCHORARRAY($AE$2),2,5),"")</f>
        <v/>
      </c>
      <c r="O46" s="550"/>
      <c r="P46" s="551" t="str">
        <f>IF($L46="","",REPT("█",ROUND($L46/$T$36*12,0)))</f>
        <v/>
      </c>
      <c r="Q46" s="551"/>
    </row>
    <row r="47" spans="2:20" ht="25" customHeight="1" x14ac:dyDescent="0.35">
      <c r="B47" s="545" t="str">
        <f>IFERROR(INDEX(_xlfn.ANCHORARRAY($AE$2),3,1),"")</f>
        <v/>
      </c>
      <c r="C47" s="546" t="str">
        <f>IFERROR(HYPERLINK("#'Lançamentos'!B"&amp;MATCH(INDEX(_xlfn.ANCHORARRAY($AE$2),3,6),Lançamentos!$B:$B,0),INDEX(_xlfn.ANCHORARRAY($AE$2),3,2)),"")</f>
        <v/>
      </c>
      <c r="D47" s="547"/>
      <c r="E47" s="547"/>
      <c r="F47" s="547"/>
      <c r="G47" s="548"/>
      <c r="H47" s="500" t="str">
        <f>IFERROR(INDEX(_xlfn.ANCHORARRAY($AE$2),3,3),"")</f>
        <v/>
      </c>
      <c r="I47" s="500"/>
      <c r="J47" s="500"/>
      <c r="K47" s="500"/>
      <c r="L47" s="549" t="str">
        <f>IFERROR(INDEX(_xlfn.ANCHORARRAY($AE$2),3,4),"")</f>
        <v/>
      </c>
      <c r="M47" s="549"/>
      <c r="N47" s="550" t="str">
        <f>IFERROR(INDEX(_xlfn.ANCHORARRAY($AE$2),3,5),"")</f>
        <v/>
      </c>
      <c r="O47" s="550"/>
      <c r="P47" s="551" t="str">
        <f>IF($L47="","",REPT("█",ROUND($L47/$T$36*12,0)))</f>
        <v/>
      </c>
      <c r="Q47" s="551"/>
    </row>
    <row r="48" spans="2:20" ht="25" customHeight="1" x14ac:dyDescent="0.35">
      <c r="B48" s="545" t="str">
        <f>IFERROR(INDEX(_xlfn.ANCHORARRAY($AE$2),4,1),"")</f>
        <v/>
      </c>
      <c r="C48" s="546" t="str">
        <f>IFERROR(HYPERLINK("#'Lançamentos'!B"&amp;MATCH(INDEX(_xlfn.ANCHORARRAY($AE$2),4,6),Lançamentos!$B:$B,0),INDEX(_xlfn.ANCHORARRAY($AE$2),4,2)),"")</f>
        <v/>
      </c>
      <c r="D48" s="547"/>
      <c r="E48" s="547"/>
      <c r="F48" s="547"/>
      <c r="G48" s="548"/>
      <c r="H48" s="500" t="str">
        <f>IFERROR(INDEX(_xlfn.ANCHORARRAY($AE$2),4,3),"")</f>
        <v/>
      </c>
      <c r="I48" s="500"/>
      <c r="J48" s="500"/>
      <c r="K48" s="500"/>
      <c r="L48" s="549" t="str">
        <f>IFERROR(INDEX(_xlfn.ANCHORARRAY($AE$2),4,4),"")</f>
        <v/>
      </c>
      <c r="M48" s="549"/>
      <c r="N48" s="550" t="str">
        <f>IFERROR(INDEX(_xlfn.ANCHORARRAY($AE$2),4,5),"")</f>
        <v/>
      </c>
      <c r="O48" s="550"/>
      <c r="P48" s="551" t="str">
        <f>IF($L48="","",REPT("█",ROUND($L48/$T$36*12,0)))</f>
        <v/>
      </c>
      <c r="Q48" s="551"/>
    </row>
    <row r="49" spans="2:17" ht="25" customHeight="1" x14ac:dyDescent="0.35">
      <c r="B49" s="552" t="str">
        <f>IFERROR(INDEX(_xlfn.ANCHORARRAY($AE$2),5,1),"")</f>
        <v/>
      </c>
      <c r="C49" s="553" t="str">
        <f>IFERROR(HYPERLINK("#'Lançamentos'!B"&amp;MATCH(INDEX(_xlfn.ANCHORARRAY($AE$2),5,6),Lançamentos!$B:$B,0),INDEX(_xlfn.ANCHORARRAY($AE$2),5,2)),"")</f>
        <v/>
      </c>
      <c r="D49" s="554"/>
      <c r="E49" s="554"/>
      <c r="F49" s="554"/>
      <c r="G49" s="555"/>
      <c r="H49" s="513" t="str">
        <f>IFERROR(INDEX(_xlfn.ANCHORARRAY($AE$2),5,3),"")</f>
        <v/>
      </c>
      <c r="I49" s="513"/>
      <c r="J49" s="513"/>
      <c r="K49" s="513"/>
      <c r="L49" s="556" t="str">
        <f>IFERROR(INDEX(_xlfn.ANCHORARRAY($AE$2),5,4),"")</f>
        <v/>
      </c>
      <c r="M49" s="556"/>
      <c r="N49" s="557" t="str">
        <f>IFERROR(INDEX(_xlfn.ANCHORARRAY($AE$2),5,5),"")</f>
        <v/>
      </c>
      <c r="O49" s="557"/>
      <c r="P49" s="558" t="str">
        <f>IF($L49="","",REPT("█",ROUND($L49/$T$36*12,0)))</f>
        <v/>
      </c>
      <c r="Q49" s="558"/>
    </row>
    <row r="50" spans="2:17" x14ac:dyDescent="0.35">
      <c r="B50" s="585"/>
      <c r="C50" s="585"/>
      <c r="D50" s="585"/>
      <c r="E50" s="585"/>
      <c r="F50" s="585"/>
      <c r="G50" s="585"/>
      <c r="H50" s="585"/>
      <c r="I50" s="585"/>
      <c r="J50" s="585"/>
      <c r="K50" s="585"/>
      <c r="L50" s="585"/>
      <c r="M50" s="585"/>
      <c r="N50" s="585"/>
      <c r="O50" s="585"/>
      <c r="P50" s="585"/>
      <c r="Q50" s="585"/>
    </row>
    <row r="51" spans="2:17" ht="23" customHeight="1" thickBot="1" x14ac:dyDescent="0.4">
      <c r="B51" s="596" t="s">
        <v>864</v>
      </c>
      <c r="C51" s="593"/>
      <c r="D51" s="593"/>
      <c r="E51" s="595"/>
      <c r="F51" s="595"/>
      <c r="G51" s="595"/>
      <c r="H51" s="593"/>
      <c r="I51" s="593"/>
      <c r="J51" s="593"/>
      <c r="K51" s="593"/>
      <c r="L51" s="593"/>
      <c r="M51" s="593"/>
      <c r="N51" s="593"/>
      <c r="O51" s="593"/>
      <c r="P51" s="593"/>
      <c r="Q51" s="593"/>
    </row>
    <row r="52" spans="2:17" ht="24" customHeight="1" thickTop="1" x14ac:dyDescent="0.35">
      <c r="B52" s="588" t="s">
        <v>924</v>
      </c>
      <c r="C52" s="588"/>
      <c r="D52" s="588"/>
      <c r="E52" s="589" t="s">
        <v>12</v>
      </c>
      <c r="F52" s="590"/>
      <c r="G52" s="591"/>
      <c r="H52" s="559" t="str">
        <f>IFERROR(INDEX(_xlfn.ANCHORARRAY($AL$2),1,1)&amp;" representa "&amp;TEXT(INDEX(_xlfn.ANCHORARRAY($AL$2),1,6),"0,0%")&amp;" do ganho mensal na visão por "&amp;LOWER($E$52)&amp;".","")</f>
        <v/>
      </c>
      <c r="I52" s="559"/>
      <c r="J52" s="559"/>
      <c r="K52" s="559"/>
      <c r="L52" s="559"/>
      <c r="M52" s="559"/>
      <c r="N52" s="559"/>
      <c r="O52" s="559"/>
      <c r="P52" s="559"/>
      <c r="Q52" s="559"/>
    </row>
    <row r="53" spans="2:17" ht="15" thickBot="1" x14ac:dyDescent="0.4">
      <c r="B53" s="585"/>
      <c r="C53" s="585"/>
      <c r="D53" s="585"/>
      <c r="E53" s="585"/>
      <c r="F53" s="585"/>
      <c r="G53" s="585"/>
      <c r="H53" s="585"/>
      <c r="I53" s="585"/>
      <c r="J53" s="585"/>
      <c r="K53" s="585"/>
      <c r="L53" s="585"/>
      <c r="M53" s="585"/>
      <c r="N53" s="585"/>
      <c r="O53" s="585"/>
      <c r="P53" s="585"/>
      <c r="Q53" s="585"/>
    </row>
    <row r="54" spans="2:17" ht="24" customHeight="1" thickBot="1" x14ac:dyDescent="0.4">
      <c r="B54" s="672" t="s">
        <v>925</v>
      </c>
      <c r="C54" s="672"/>
      <c r="D54" s="672"/>
      <c r="E54" s="672"/>
      <c r="F54" s="672"/>
      <c r="G54" s="672" t="s">
        <v>926</v>
      </c>
      <c r="H54" s="672"/>
      <c r="I54" s="672" t="s">
        <v>908</v>
      </c>
      <c r="J54" s="672"/>
      <c r="K54" s="672" t="s">
        <v>927</v>
      </c>
      <c r="L54" s="672"/>
      <c r="M54" s="672" t="s">
        <v>921</v>
      </c>
      <c r="N54" s="672"/>
      <c r="O54" s="669" t="s">
        <v>928</v>
      </c>
      <c r="P54" s="663" t="s">
        <v>923</v>
      </c>
      <c r="Q54" s="663"/>
    </row>
    <row r="55" spans="2:17" ht="23" customHeight="1" x14ac:dyDescent="0.35">
      <c r="B55" s="491" t="str">
        <f>IFERROR(INDEX(_xlfn.ANCHORARRAY($AL$2),1,1),"")</f>
        <v/>
      </c>
      <c r="C55" s="491"/>
      <c r="D55" s="491"/>
      <c r="E55" s="491"/>
      <c r="F55" s="491"/>
      <c r="G55" s="491" t="str">
        <f>IFERROR(INDEX(_xlfn.ANCHORARRAY($AL$2),1,2),"")</f>
        <v/>
      </c>
      <c r="H55" s="491"/>
      <c r="I55" s="491" t="str">
        <f>IFERROR(INDEX(_xlfn.ANCHORARRAY($AL$2),1,3),"")</f>
        <v/>
      </c>
      <c r="J55" s="491"/>
      <c r="K55" s="560" t="str">
        <f>IFERROR(INDEX(_xlfn.ANCHORARRAY($AL$2),1,4),"")</f>
        <v/>
      </c>
      <c r="L55" s="560"/>
      <c r="M55" s="560" t="str">
        <f>IFERROR(INDEX(_xlfn.ANCHORARRAY($AL$2),1,5),"")</f>
        <v/>
      </c>
      <c r="N55" s="560"/>
      <c r="O55" s="561" t="str">
        <f>IFERROR(INDEX(_xlfn.ANCHORARRAY($AL$2),1,6),"")</f>
        <v/>
      </c>
      <c r="P55" s="544" t="str">
        <f>IF($M55="","",REPT("█",ROUND($M55/MAX(INDEX(_xlfn.ANCHORARRAY($AL$2),0,5))*12,0)))</f>
        <v/>
      </c>
      <c r="Q55" s="544"/>
    </row>
    <row r="56" spans="2:17" ht="23" customHeight="1" x14ac:dyDescent="0.35">
      <c r="B56" s="500" t="str">
        <f>IFERROR(INDEX(_xlfn.ANCHORARRAY($AL$2),2,1),"")</f>
        <v/>
      </c>
      <c r="C56" s="500"/>
      <c r="D56" s="500"/>
      <c r="E56" s="500"/>
      <c r="F56" s="500"/>
      <c r="G56" s="500" t="str">
        <f>IFERROR(INDEX(_xlfn.ANCHORARRAY($AL$2),2,2),"")</f>
        <v/>
      </c>
      <c r="H56" s="500"/>
      <c r="I56" s="500" t="str">
        <f>IFERROR(INDEX(_xlfn.ANCHORARRAY($AL$2),2,3),"")</f>
        <v/>
      </c>
      <c r="J56" s="500"/>
      <c r="K56" s="562" t="str">
        <f>IFERROR(INDEX(_xlfn.ANCHORARRAY($AL$2),2,4),"")</f>
        <v/>
      </c>
      <c r="L56" s="562"/>
      <c r="M56" s="562" t="str">
        <f>IFERROR(INDEX(_xlfn.ANCHORARRAY($AL$2),2,5),"")</f>
        <v/>
      </c>
      <c r="N56" s="562"/>
      <c r="O56" s="563" t="str">
        <f>IFERROR(INDEX(_xlfn.ANCHORARRAY($AL$2),2,6),"")</f>
        <v/>
      </c>
      <c r="P56" s="551" t="str">
        <f>IF($M56="","",REPT("█",ROUND($M56/MAX(INDEX(_xlfn.ANCHORARRAY($AL$2),0,5))*12,0)))</f>
        <v/>
      </c>
      <c r="Q56" s="551"/>
    </row>
    <row r="57" spans="2:17" ht="23" customHeight="1" x14ac:dyDescent="0.35">
      <c r="B57" s="500" t="str">
        <f>IFERROR(INDEX(_xlfn.ANCHORARRAY($AL$2),3,1),"")</f>
        <v/>
      </c>
      <c r="C57" s="500"/>
      <c r="D57" s="500"/>
      <c r="E57" s="500"/>
      <c r="F57" s="500"/>
      <c r="G57" s="500" t="str">
        <f>IFERROR(INDEX(_xlfn.ANCHORARRAY($AL$2),3,2),"")</f>
        <v/>
      </c>
      <c r="H57" s="500"/>
      <c r="I57" s="500" t="str">
        <f>IFERROR(INDEX(_xlfn.ANCHORARRAY($AL$2),3,3),"")</f>
        <v/>
      </c>
      <c r="J57" s="500"/>
      <c r="K57" s="562" t="str">
        <f>IFERROR(INDEX(_xlfn.ANCHORARRAY($AL$2),3,4),"")</f>
        <v/>
      </c>
      <c r="L57" s="562"/>
      <c r="M57" s="562" t="str">
        <f>IFERROR(INDEX(_xlfn.ANCHORARRAY($AL$2),3,5),"")</f>
        <v/>
      </c>
      <c r="N57" s="562"/>
      <c r="O57" s="563" t="str">
        <f>IFERROR(INDEX(_xlfn.ANCHORARRAY($AL$2),3,6),"")</f>
        <v/>
      </c>
      <c r="P57" s="551" t="str">
        <f>IF($M57="","",REPT("█",ROUND($M57/MAX(INDEX(_xlfn.ANCHORARRAY($AL$2),0,5))*12,0)))</f>
        <v/>
      </c>
      <c r="Q57" s="551"/>
    </row>
    <row r="58" spans="2:17" ht="23" customHeight="1" x14ac:dyDescent="0.35">
      <c r="B58" s="500" t="str">
        <f>IFERROR(INDEX(_xlfn.ANCHORARRAY($AL$2),4,1),"")</f>
        <v/>
      </c>
      <c r="C58" s="500"/>
      <c r="D58" s="500"/>
      <c r="E58" s="500"/>
      <c r="F58" s="500"/>
      <c r="G58" s="500" t="str">
        <f>IFERROR(INDEX(_xlfn.ANCHORARRAY($AL$2),4,2),"")</f>
        <v/>
      </c>
      <c r="H58" s="500"/>
      <c r="I58" s="500" t="str">
        <f>IFERROR(INDEX(_xlfn.ANCHORARRAY($AL$2),4,3),"")</f>
        <v/>
      </c>
      <c r="J58" s="500"/>
      <c r="K58" s="562" t="str">
        <f>IFERROR(INDEX(_xlfn.ANCHORARRAY($AL$2),4,4),"")</f>
        <v/>
      </c>
      <c r="L58" s="562"/>
      <c r="M58" s="562" t="str">
        <f>IFERROR(INDEX(_xlfn.ANCHORARRAY($AL$2),4,5),"")</f>
        <v/>
      </c>
      <c r="N58" s="562"/>
      <c r="O58" s="563" t="str">
        <f>IFERROR(INDEX(_xlfn.ANCHORARRAY($AL$2),4,6),"")</f>
        <v/>
      </c>
      <c r="P58" s="551" t="str">
        <f>IF($M58="","",REPT("█",ROUND($M58/MAX(INDEX(_xlfn.ANCHORARRAY($AL$2),0,5))*12,0)))</f>
        <v/>
      </c>
      <c r="Q58" s="551"/>
    </row>
    <row r="59" spans="2:17" ht="23" customHeight="1" x14ac:dyDescent="0.35">
      <c r="B59" s="500" t="str">
        <f>IFERROR(INDEX(_xlfn.ANCHORARRAY($AL$2),5,1),"")</f>
        <v/>
      </c>
      <c r="C59" s="500"/>
      <c r="D59" s="500"/>
      <c r="E59" s="500"/>
      <c r="F59" s="500"/>
      <c r="G59" s="500" t="str">
        <f>IFERROR(INDEX(_xlfn.ANCHORARRAY($AL$2),5,2),"")</f>
        <v/>
      </c>
      <c r="H59" s="500"/>
      <c r="I59" s="500" t="str">
        <f>IFERROR(INDEX(_xlfn.ANCHORARRAY($AL$2),5,3),"")</f>
        <v/>
      </c>
      <c r="J59" s="500"/>
      <c r="K59" s="562" t="str">
        <f>IFERROR(INDEX(_xlfn.ANCHORARRAY($AL$2),5,4),"")</f>
        <v/>
      </c>
      <c r="L59" s="562"/>
      <c r="M59" s="562" t="str">
        <f>IFERROR(INDEX(_xlfn.ANCHORARRAY($AL$2),5,5),"")</f>
        <v/>
      </c>
      <c r="N59" s="562"/>
      <c r="O59" s="563" t="str">
        <f>IFERROR(INDEX(_xlfn.ANCHORARRAY($AL$2),5,6),"")</f>
        <v/>
      </c>
      <c r="P59" s="551" t="str">
        <f>IF($M59="","",REPT("█",ROUND($M59/MAX(INDEX(_xlfn.ANCHORARRAY($AL$2),0,5))*12,0)))</f>
        <v/>
      </c>
      <c r="Q59" s="551"/>
    </row>
    <row r="60" spans="2:17" ht="23" customHeight="1" x14ac:dyDescent="0.35">
      <c r="B60" s="500" t="str">
        <f>IFERROR(INDEX(_xlfn.ANCHORARRAY($AL$2),6,1),"")</f>
        <v/>
      </c>
      <c r="C60" s="500"/>
      <c r="D60" s="500"/>
      <c r="E60" s="500"/>
      <c r="F60" s="500"/>
      <c r="G60" s="500" t="str">
        <f>IFERROR(INDEX(_xlfn.ANCHORARRAY($AL$2),6,2),"")</f>
        <v/>
      </c>
      <c r="H60" s="500"/>
      <c r="I60" s="500" t="str">
        <f>IFERROR(INDEX(_xlfn.ANCHORARRAY($AL$2),6,3),"")</f>
        <v/>
      </c>
      <c r="J60" s="500"/>
      <c r="K60" s="562" t="str">
        <f>IFERROR(INDEX(_xlfn.ANCHORARRAY($AL$2),6,4),"")</f>
        <v/>
      </c>
      <c r="L60" s="562"/>
      <c r="M60" s="562" t="str">
        <f>IFERROR(INDEX(_xlfn.ANCHORARRAY($AL$2),6,5),"")</f>
        <v/>
      </c>
      <c r="N60" s="562"/>
      <c r="O60" s="563" t="str">
        <f>IFERROR(INDEX(_xlfn.ANCHORARRAY($AL$2),6,6),"")</f>
        <v/>
      </c>
      <c r="P60" s="551" t="str">
        <f>IF($M60="","",REPT("█",ROUND($M60/MAX(INDEX(_xlfn.ANCHORARRAY($AL$2),0,5))*12,0)))</f>
        <v/>
      </c>
      <c r="Q60" s="551"/>
    </row>
    <row r="61" spans="2:17" ht="23" customHeight="1" x14ac:dyDescent="0.35">
      <c r="B61" s="500" t="str">
        <f>IFERROR(INDEX(_xlfn.ANCHORARRAY($AL$2),7,1),"")</f>
        <v/>
      </c>
      <c r="C61" s="500"/>
      <c r="D61" s="500"/>
      <c r="E61" s="500"/>
      <c r="F61" s="500"/>
      <c r="G61" s="500" t="str">
        <f>IFERROR(INDEX(_xlfn.ANCHORARRAY($AL$2),7,2),"")</f>
        <v/>
      </c>
      <c r="H61" s="500"/>
      <c r="I61" s="500" t="str">
        <f>IFERROR(INDEX(_xlfn.ANCHORARRAY($AL$2),7,3),"")</f>
        <v/>
      </c>
      <c r="J61" s="500"/>
      <c r="K61" s="562" t="str">
        <f>IFERROR(INDEX(_xlfn.ANCHORARRAY($AL$2),7,4),"")</f>
        <v/>
      </c>
      <c r="L61" s="562"/>
      <c r="M61" s="562" t="str">
        <f>IFERROR(INDEX(_xlfn.ANCHORARRAY($AL$2),7,5),"")</f>
        <v/>
      </c>
      <c r="N61" s="562"/>
      <c r="O61" s="563" t="str">
        <f>IFERROR(INDEX(_xlfn.ANCHORARRAY($AL$2),7,6),"")</f>
        <v/>
      </c>
      <c r="P61" s="551" t="str">
        <f>IF($M61="","",REPT("█",ROUND($M61/MAX(INDEX(_xlfn.ANCHORARRAY($AL$2),0,5))*12,0)))</f>
        <v/>
      </c>
      <c r="Q61" s="551"/>
    </row>
    <row r="62" spans="2:17" ht="23" customHeight="1" x14ac:dyDescent="0.35">
      <c r="B62" s="500" t="str">
        <f>IFERROR(INDEX(_xlfn.ANCHORARRAY($AL$2),8,1),"")</f>
        <v/>
      </c>
      <c r="C62" s="500"/>
      <c r="D62" s="500"/>
      <c r="E62" s="500"/>
      <c r="F62" s="500"/>
      <c r="G62" s="500" t="str">
        <f>IFERROR(INDEX(_xlfn.ANCHORARRAY($AL$2),8,2),"")</f>
        <v/>
      </c>
      <c r="H62" s="500"/>
      <c r="I62" s="500" t="str">
        <f>IFERROR(INDEX(_xlfn.ANCHORARRAY($AL$2),8,3),"")</f>
        <v/>
      </c>
      <c r="J62" s="500"/>
      <c r="K62" s="562" t="str">
        <f>IFERROR(INDEX(_xlfn.ANCHORARRAY($AL$2),8,4),"")</f>
        <v/>
      </c>
      <c r="L62" s="562"/>
      <c r="M62" s="562" t="str">
        <f>IFERROR(INDEX(_xlfn.ANCHORARRAY($AL$2),8,5),"")</f>
        <v/>
      </c>
      <c r="N62" s="562"/>
      <c r="O62" s="563" t="str">
        <f>IFERROR(INDEX(_xlfn.ANCHORARRAY($AL$2),8,6),"")</f>
        <v/>
      </c>
      <c r="P62" s="551" t="str">
        <f>IF($M62="","",REPT("█",ROUND($M62/MAX(INDEX(_xlfn.ANCHORARRAY($AL$2),0,5))*12,0)))</f>
        <v/>
      </c>
      <c r="Q62" s="551"/>
    </row>
    <row r="63" spans="2:17" ht="23" hidden="1" customHeight="1" x14ac:dyDescent="0.35">
      <c r="B63" s="500" t="str">
        <f>IFERROR(INDEX(_xlfn.ANCHORARRAY($AL$2),9,1),"")</f>
        <v/>
      </c>
      <c r="C63" s="500"/>
      <c r="D63" s="500"/>
      <c r="E63" s="500"/>
      <c r="F63" s="500"/>
      <c r="G63" s="500" t="str">
        <f>IFERROR(INDEX(_xlfn.ANCHORARRAY($AL$2),9,2),"")</f>
        <v/>
      </c>
      <c r="H63" s="500"/>
      <c r="I63" s="500" t="str">
        <f>IFERROR(INDEX(_xlfn.ANCHORARRAY($AL$2),9,3),"")</f>
        <v/>
      </c>
      <c r="J63" s="500"/>
      <c r="K63" s="562" t="str">
        <f>IFERROR(INDEX(_xlfn.ANCHORARRAY($AL$2),9,4),"")</f>
        <v/>
      </c>
      <c r="L63" s="562"/>
      <c r="M63" s="562" t="str">
        <f>IFERROR(INDEX(_xlfn.ANCHORARRAY($AL$2),9,5),"")</f>
        <v/>
      </c>
      <c r="N63" s="562"/>
      <c r="O63" s="563" t="str">
        <f>IFERROR(INDEX(_xlfn.ANCHORARRAY($AL$2),9,6),"")</f>
        <v/>
      </c>
      <c r="P63" s="551" t="str">
        <f>IF($M63="","",REPT("█",ROUND($M63/MAX(INDEX(_xlfn.ANCHORARRAY($AL$2),0,5))*12,0)))</f>
        <v/>
      </c>
      <c r="Q63" s="551"/>
    </row>
    <row r="64" spans="2:17" ht="23" customHeight="1" x14ac:dyDescent="0.35">
      <c r="B64" s="500" t="str">
        <f>IFERROR(INDEX(_xlfn.ANCHORARRAY($AL$2),10,1),"")</f>
        <v/>
      </c>
      <c r="C64" s="500"/>
      <c r="D64" s="500"/>
      <c r="E64" s="500"/>
      <c r="F64" s="500"/>
      <c r="G64" s="500" t="str">
        <f>IFERROR(INDEX(_xlfn.ANCHORARRAY($AL$2),10,2),"")</f>
        <v/>
      </c>
      <c r="H64" s="500"/>
      <c r="I64" s="500" t="str">
        <f>IFERROR(INDEX(_xlfn.ANCHORARRAY($AL$2),10,3),"")</f>
        <v/>
      </c>
      <c r="J64" s="500"/>
      <c r="K64" s="562" t="str">
        <f>IFERROR(INDEX(_xlfn.ANCHORARRAY($AL$2),10,4),"")</f>
        <v/>
      </c>
      <c r="L64" s="562"/>
      <c r="M64" s="562" t="str">
        <f>IFERROR(INDEX(_xlfn.ANCHORARRAY($AL$2),10,5),"")</f>
        <v/>
      </c>
      <c r="N64" s="562"/>
      <c r="O64" s="563" t="str">
        <f>IFERROR(INDEX(_xlfn.ANCHORARRAY($AL$2),10,6),"")</f>
        <v/>
      </c>
      <c r="P64" s="551" t="str">
        <f>IF($M64="","",REPT("█",ROUND($M64/MAX(INDEX(_xlfn.ANCHORARRAY($AL$2),0,5))*12,0)))</f>
        <v/>
      </c>
      <c r="Q64" s="551"/>
    </row>
    <row r="65" spans="2:17" ht="23" customHeight="1" x14ac:dyDescent="0.35">
      <c r="B65" s="513" t="str">
        <f>IFERROR(INDEX(_xlfn.ANCHORARRAY($AL$2),11,1),"")</f>
        <v/>
      </c>
      <c r="C65" s="513"/>
      <c r="D65" s="513"/>
      <c r="E65" s="513"/>
      <c r="F65" s="513"/>
      <c r="G65" s="513" t="str">
        <f>IFERROR(INDEX(_xlfn.ANCHORARRAY($AL$2),11,2),"")</f>
        <v/>
      </c>
      <c r="H65" s="513"/>
      <c r="I65" s="513" t="str">
        <f>IFERROR(INDEX(_xlfn.ANCHORARRAY($AL$2),11,3),"")</f>
        <v/>
      </c>
      <c r="J65" s="513"/>
      <c r="K65" s="564" t="str">
        <f>IFERROR(INDEX(_xlfn.ANCHORARRAY($AL$2),11,4),"")</f>
        <v/>
      </c>
      <c r="L65" s="564"/>
      <c r="M65" s="564" t="str">
        <f>IFERROR(INDEX(_xlfn.ANCHORARRAY($AL$2),11,5),"")</f>
        <v/>
      </c>
      <c r="N65" s="564"/>
      <c r="O65" s="565" t="str">
        <f>IFERROR(INDEX(_xlfn.ANCHORARRAY($AL$2),11,6),"")</f>
        <v/>
      </c>
      <c r="P65" s="558" t="str">
        <f>IF($M65="","",REPT("█",ROUND($M65/MAX(INDEX(_xlfn.ANCHORARRAY($AL$2),0,5))*12,0)))</f>
        <v/>
      </c>
      <c r="Q65" s="558"/>
    </row>
    <row r="66" spans="2:17" ht="20" customHeight="1" x14ac:dyDescent="0.35">
      <c r="B66" s="566" t="str">
        <f>"Exibindo até 8 de "&amp;ROWS(_xlfn.ANCHORARRAY($AL$2))&amp;" classificações com movimentação | barras proporcionais ao ganho h/mês"</f>
        <v>Exibindo até 8 de 1 classificações com movimentação | barras proporcionais ao ganho h/mês</v>
      </c>
      <c r="C66" s="566"/>
      <c r="D66" s="566"/>
      <c r="E66" s="566"/>
      <c r="F66" s="566"/>
      <c r="G66" s="566"/>
      <c r="H66" s="566"/>
      <c r="I66" s="566"/>
      <c r="J66" s="566"/>
      <c r="K66" s="566"/>
      <c r="L66" s="566"/>
      <c r="M66" s="566"/>
      <c r="N66" s="566"/>
      <c r="O66" s="566"/>
      <c r="P66" s="566"/>
      <c r="Q66" s="566"/>
    </row>
    <row r="67" spans="2:17" x14ac:dyDescent="0.35">
      <c r="B67" s="585"/>
      <c r="C67" s="585"/>
      <c r="D67" s="585"/>
      <c r="E67" s="585"/>
      <c r="F67" s="585"/>
      <c r="G67" s="585"/>
      <c r="H67" s="585"/>
      <c r="I67" s="585"/>
      <c r="J67" s="585"/>
      <c r="K67" s="585"/>
      <c r="L67" s="585"/>
      <c r="M67" s="585"/>
      <c r="N67" s="585"/>
      <c r="O67" s="585"/>
      <c r="P67" s="585"/>
      <c r="Q67" s="585"/>
    </row>
    <row r="68" spans="2:17" ht="23" customHeight="1" x14ac:dyDescent="0.35">
      <c r="B68" s="595" t="s">
        <v>865</v>
      </c>
      <c r="C68" s="595"/>
      <c r="D68" s="595"/>
      <c r="E68" s="595"/>
      <c r="F68" s="595"/>
      <c r="G68" s="595"/>
      <c r="H68" s="595"/>
      <c r="I68" s="595"/>
      <c r="J68" s="595"/>
      <c r="K68" s="595"/>
      <c r="L68" s="595"/>
      <c r="M68" s="595"/>
      <c r="N68" s="595"/>
      <c r="O68" s="595"/>
      <c r="P68" s="595"/>
      <c r="Q68" s="595"/>
    </row>
    <row r="69" spans="2:17" ht="20" customHeight="1" x14ac:dyDescent="0.35">
      <c r="B69" s="629" t="s">
        <v>834</v>
      </c>
      <c r="C69" s="630"/>
      <c r="D69" s="630"/>
      <c r="E69" s="630"/>
      <c r="F69" s="637" t="s">
        <v>929</v>
      </c>
      <c r="G69" s="630"/>
      <c r="H69" s="630"/>
      <c r="I69" s="630"/>
      <c r="J69" s="640" t="s">
        <v>911</v>
      </c>
      <c r="K69" s="630"/>
      <c r="L69" s="630"/>
      <c r="M69" s="630"/>
      <c r="N69" s="643" t="s">
        <v>835</v>
      </c>
      <c r="O69" s="630"/>
      <c r="P69" s="630"/>
      <c r="Q69" s="633"/>
    </row>
    <row r="70" spans="2:17" ht="20" customHeight="1" x14ac:dyDescent="0.35">
      <c r="B70" s="628" t="str">
        <f>TEXT($T$7,"0,0%")</f>
        <v/>
      </c>
      <c r="C70" s="569"/>
      <c r="D70" s="569"/>
      <c r="E70" s="569"/>
      <c r="F70" s="636" t="str">
        <f>TEXT($T$13,"0,0%")</f>
        <v/>
      </c>
      <c r="G70" s="569"/>
      <c r="H70" s="569"/>
      <c r="I70" s="569"/>
      <c r="J70" s="639" t="str">
        <f>TEXT($T$11,"0,0")&amp;" dias"</f>
        <v xml:space="preserve"> dias</v>
      </c>
      <c r="K70" s="569"/>
      <c r="L70" s="569"/>
      <c r="M70" s="569"/>
      <c r="N70" s="642" t="str">
        <f>TEXT($T$21,"0,0%")</f>
        <v/>
      </c>
      <c r="O70" s="569"/>
      <c r="P70" s="569"/>
      <c r="Q70" s="635"/>
    </row>
    <row r="71" spans="2:17" ht="20" customHeight="1" x14ac:dyDescent="0.35">
      <c r="B71" s="631"/>
      <c r="C71" s="632"/>
      <c r="D71" s="632"/>
      <c r="E71" s="632"/>
      <c r="F71" s="638"/>
      <c r="G71" s="632"/>
      <c r="H71" s="632"/>
      <c r="I71" s="632"/>
      <c r="J71" s="641"/>
      <c r="K71" s="632"/>
      <c r="L71" s="632"/>
      <c r="M71" s="632"/>
      <c r="N71" s="644"/>
      <c r="O71" s="632"/>
      <c r="P71" s="632"/>
      <c r="Q71" s="634"/>
    </row>
    <row r="72" spans="2:17" ht="20" customHeight="1" x14ac:dyDescent="0.35">
      <c r="B72" s="568"/>
      <c r="C72" s="569"/>
      <c r="D72" s="569"/>
      <c r="E72" s="569"/>
      <c r="F72" s="568"/>
      <c r="G72" s="569"/>
      <c r="H72" s="569"/>
      <c r="I72" s="569"/>
      <c r="J72" s="568"/>
      <c r="K72" s="569"/>
      <c r="L72" s="569"/>
      <c r="M72" s="569"/>
      <c r="N72" s="568"/>
      <c r="O72" s="569"/>
      <c r="P72" s="569"/>
      <c r="Q72" s="570"/>
    </row>
    <row r="73" spans="2:17" ht="20" customHeight="1" x14ac:dyDescent="0.35">
      <c r="B73" s="646" t="s">
        <v>930</v>
      </c>
      <c r="C73" s="630"/>
      <c r="D73" s="630"/>
      <c r="E73" s="630"/>
      <c r="F73" s="629" t="s">
        <v>931</v>
      </c>
      <c r="G73" s="630"/>
      <c r="H73" s="630"/>
      <c r="I73" s="630"/>
      <c r="J73" s="637" t="s">
        <v>932</v>
      </c>
      <c r="K73" s="630"/>
      <c r="L73" s="630"/>
      <c r="M73" s="630"/>
      <c r="N73" s="656" t="s">
        <v>933</v>
      </c>
      <c r="O73" s="630"/>
      <c r="P73" s="630"/>
      <c r="Q73" s="633"/>
    </row>
    <row r="74" spans="2:17" ht="20" customHeight="1" x14ac:dyDescent="0.35">
      <c r="B74" s="645" t="str">
        <f>TEXT($T$22,"0,0%")</f>
        <v/>
      </c>
      <c r="C74" s="571"/>
      <c r="D74" s="571"/>
      <c r="E74" s="571"/>
      <c r="F74" s="649" t="str">
        <f>TEXT($T$12,"0,0")&amp;"x"&amp;CHAR(10)&amp;"h/mês liberadas por hora investida"</f>
        <v>x
h/mês liberadas por hora investida</v>
      </c>
      <c r="G74" s="572"/>
      <c r="H74" s="572"/>
      <c r="I74" s="572"/>
      <c r="J74" s="652" t="str">
        <f>TEXT($T$23,"0,0")&amp;" dias"&amp;CHAR(10)&amp;$T$20&amp;" encerrados estáveis"</f>
        <v xml:space="preserve"> dias
0 encerrados estáveis</v>
      </c>
      <c r="K74" s="572"/>
      <c r="L74" s="572"/>
      <c r="M74" s="572"/>
      <c r="N74" s="655" t="str">
        <f ca="1">$T$19&amp;" em estabilização efetiva | "&amp;$T$17&amp;" atrasos"&amp;CHAR(10)&amp;$T$18&amp;" incidentes | "&amp;$T$24&amp;" novas demandas | "&amp;$T$32&amp;" inconsistências"</f>
        <v>0 em estabilização efetiva | 0 atrasos
0 incidentes | 0 novas demandas | 0 inconsistências</v>
      </c>
      <c r="O74" s="654"/>
      <c r="P74" s="654"/>
      <c r="Q74" s="659"/>
    </row>
    <row r="75" spans="2:17" ht="20" customHeight="1" x14ac:dyDescent="0.35">
      <c r="B75" s="645"/>
      <c r="C75" s="571"/>
      <c r="D75" s="571"/>
      <c r="E75" s="571"/>
      <c r="F75" s="649"/>
      <c r="G75" s="572"/>
      <c r="H75" s="572"/>
      <c r="I75" s="572"/>
      <c r="J75" s="652"/>
      <c r="K75" s="572"/>
      <c r="L75" s="572"/>
      <c r="M75" s="572"/>
      <c r="N75" s="655"/>
      <c r="O75" s="654"/>
      <c r="P75" s="654"/>
      <c r="Q75" s="659"/>
    </row>
    <row r="76" spans="2:17" ht="20" customHeight="1" x14ac:dyDescent="0.35">
      <c r="B76" s="647"/>
      <c r="C76" s="648"/>
      <c r="D76" s="648"/>
      <c r="E76" s="648"/>
      <c r="F76" s="650"/>
      <c r="G76" s="651"/>
      <c r="H76" s="651"/>
      <c r="I76" s="651"/>
      <c r="J76" s="653"/>
      <c r="K76" s="651"/>
      <c r="L76" s="651"/>
      <c r="M76" s="651"/>
      <c r="N76" s="657"/>
      <c r="O76" s="658"/>
      <c r="P76" s="658"/>
      <c r="Q76" s="660"/>
    </row>
    <row r="77" spans="2:17" x14ac:dyDescent="0.35">
      <c r="B77" s="585"/>
      <c r="C77" s="585"/>
      <c r="D77" s="585"/>
      <c r="E77" s="585"/>
      <c r="F77" s="585"/>
      <c r="G77" s="585"/>
      <c r="H77" s="585"/>
      <c r="I77" s="585"/>
      <c r="J77" s="585"/>
      <c r="K77" s="585"/>
      <c r="L77" s="585"/>
      <c r="M77" s="585"/>
      <c r="N77" s="585"/>
      <c r="O77" s="585"/>
      <c r="P77" s="585"/>
      <c r="Q77" s="585"/>
    </row>
    <row r="78" spans="2:17" ht="23" customHeight="1" thickBot="1" x14ac:dyDescent="0.4">
      <c r="B78" s="595" t="s">
        <v>866</v>
      </c>
      <c r="C78" s="595"/>
      <c r="D78" s="595"/>
      <c r="E78" s="595"/>
      <c r="F78" s="595"/>
      <c r="G78" s="595"/>
      <c r="H78" s="595"/>
      <c r="I78" s="595"/>
      <c r="J78" s="595"/>
      <c r="K78" s="595"/>
      <c r="L78" s="595"/>
      <c r="M78" s="595"/>
      <c r="N78" s="595"/>
      <c r="O78" s="595"/>
      <c r="P78" s="595"/>
      <c r="Q78" s="595"/>
    </row>
    <row r="79" spans="2:17" ht="20" customHeight="1" thickTop="1" x14ac:dyDescent="0.35">
      <c r="B79" s="567" t="s">
        <v>934</v>
      </c>
      <c r="C79" s="567"/>
      <c r="D79" s="567"/>
      <c r="E79" s="567"/>
      <c r="F79" s="567"/>
      <c r="G79" s="567" t="s">
        <v>935</v>
      </c>
      <c r="H79" s="567"/>
      <c r="I79" s="567"/>
      <c r="J79" s="567"/>
      <c r="K79" s="567"/>
      <c r="L79" s="567" t="s">
        <v>936</v>
      </c>
      <c r="M79" s="567"/>
      <c r="N79" s="567"/>
      <c r="O79" s="567"/>
      <c r="P79" s="567"/>
      <c r="Q79" s="567"/>
    </row>
    <row r="80" spans="2:17" ht="23" customHeight="1" x14ac:dyDescent="0.35">
      <c r="B80" s="573" t="str">
        <f>"Horas informadas: "&amp;$T$25&amp;"/"&amp;$T$2&amp;" | "&amp;TEXT(IF($T$2=0,0,$T$25/$T$2),"0,0%")&amp;CHAR(10)&amp;"Ganho mensurado: "&amp;$T$26&amp;"/"&amp;$T$2&amp;" | "&amp;TEXT(IF($T$2=0,0,$T$26/$T$2),"0,0%")</f>
        <v>Horas informadas: 0/0 | 0,0%
Ganho mensurado: 0/0 | 0,0%</v>
      </c>
      <c r="C80" s="574"/>
      <c r="D80" s="574"/>
      <c r="E80" s="574"/>
      <c r="F80" s="574"/>
      <c r="G80" s="573" t="str">
        <f>"Carteira: "&amp;$T$2&amp;" | Projeto: "&amp;$T$27&amp;CHAR(10)&amp;"Pilar: "&amp;$T$28&amp;" | Departamento: "&amp;$T$29</f>
        <v>Carteira: 0 | Projeto: 0
Pilar: 0 | Departamento: 0</v>
      </c>
      <c r="H80" s="574"/>
      <c r="I80" s="574"/>
      <c r="J80" s="574"/>
      <c r="K80" s="574"/>
      <c r="L80" s="575" t="str">
        <f>IF(AND($T$27=$T$2,$T$28=$T$2,$T$29=$T$2,$T$30=0,$T$31=0,$T$32=0),"🟢 INTEGRIDADE OK","🟠 REVISAR DADOS")</f>
        <v>🟢 INTEGRIDADE OK</v>
      </c>
      <c r="M80" s="576"/>
      <c r="N80" s="576"/>
      <c r="O80" s="576"/>
      <c r="P80" s="576"/>
      <c r="Q80" s="577"/>
    </row>
    <row r="81" spans="2:17" ht="23" customHeight="1" x14ac:dyDescent="0.35">
      <c r="B81" s="578"/>
      <c r="C81" s="579"/>
      <c r="D81" s="579"/>
      <c r="E81" s="579"/>
      <c r="F81" s="579"/>
      <c r="G81" s="578"/>
      <c r="H81" s="579"/>
      <c r="I81" s="579"/>
      <c r="J81" s="579"/>
      <c r="K81" s="579"/>
      <c r="L81" s="580"/>
      <c r="M81" s="581"/>
      <c r="N81" s="581"/>
      <c r="O81" s="581"/>
      <c r="P81" s="581"/>
      <c r="Q81" s="582"/>
    </row>
    <row r="82" spans="2:17" ht="24" customHeight="1" x14ac:dyDescent="0.35">
      <c r="B82" s="583" t="str">
        <f>"Classificações inconsistentes: "&amp;$T$30&amp;" | IDs duplicados: "&amp;$T$31&amp;" | Inconsistências Hypercare: "&amp;$T$32&amp;IF($T$41&lt;&gt;""," ("&amp;$T$41&amp;")","")</f>
        <v>Classificações inconsistentes: 0 | IDs duplicados: 0 | Inconsistências Hypercare: 0</v>
      </c>
      <c r="C82" s="583"/>
      <c r="D82" s="583"/>
      <c r="E82" s="583"/>
      <c r="F82" s="583"/>
      <c r="G82" s="583"/>
      <c r="H82" s="583"/>
      <c r="I82" s="583"/>
      <c r="J82" s="583"/>
      <c r="K82" s="583"/>
      <c r="L82" s="583"/>
      <c r="M82" s="583"/>
      <c r="N82" s="583"/>
      <c r="O82" s="583"/>
      <c r="P82" s="583"/>
      <c r="Q82" s="583"/>
    </row>
    <row r="83" spans="2:17" ht="22" customHeight="1" x14ac:dyDescent="0.35">
      <c r="B83" s="566" t="str">
        <f ca="1">"Fonte de atualização disponível: "&amp;$T$44&amp;". Não existe sheet Metadados com horário de sincronização neste workbook."</f>
        <v>Fonte de atualização disponível: Atualizado em 30/07/2026. Não existe sheet Metadados com horário de sincronização neste workbook.</v>
      </c>
      <c r="C83" s="566"/>
      <c r="D83" s="566"/>
      <c r="E83" s="566"/>
      <c r="F83" s="566"/>
      <c r="G83" s="566"/>
      <c r="H83" s="566"/>
      <c r="I83" s="566"/>
      <c r="J83" s="566"/>
      <c r="K83" s="566"/>
      <c r="L83" s="566"/>
      <c r="M83" s="566"/>
      <c r="N83" s="566"/>
      <c r="O83" s="566"/>
      <c r="P83" s="566"/>
      <c r="Q83" s="566"/>
    </row>
    <row r="84" spans="2:17" x14ac:dyDescent="0.35"/>
    <row r="85" spans="2:17" x14ac:dyDescent="0.35"/>
    <row r="86" spans="2:17" x14ac:dyDescent="0.35"/>
    <row r="87" spans="2:17" x14ac:dyDescent="0.35"/>
    <row r="88" spans="2:17" x14ac:dyDescent="0.35"/>
    <row r="89" spans="2:17" x14ac:dyDescent="0.35"/>
    <row r="90" spans="2:17" x14ac:dyDescent="0.35"/>
    <row r="91" spans="2:17" x14ac:dyDescent="0.35"/>
    <row r="92" spans="2:17" x14ac:dyDescent="0.35"/>
    <row r="93" spans="2:17" x14ac:dyDescent="0.35"/>
    <row r="94" spans="2:17" x14ac:dyDescent="0.35"/>
    <row r="95" spans="2:17" x14ac:dyDescent="0.35"/>
    <row r="96" spans="2:17" x14ac:dyDescent="0.35"/>
    <row r="97" x14ac:dyDescent="0.35"/>
    <row r="98" x14ac:dyDescent="0.35"/>
    <row r="99" x14ac:dyDescent="0.35"/>
    <row r="100" x14ac:dyDescent="0.35"/>
    <row r="101" x14ac:dyDescent="0.35"/>
    <row r="102" x14ac:dyDescent="0.35"/>
    <row r="103" x14ac:dyDescent="0.35"/>
    <row r="104" x14ac:dyDescent="0.35"/>
    <row r="105" x14ac:dyDescent="0.35"/>
    <row r="106" x14ac:dyDescent="0.35"/>
    <row r="107" x14ac:dyDescent="0.35"/>
    <row r="108" x14ac:dyDescent="0.35"/>
    <row r="109" x14ac:dyDescent="0.35"/>
    <row r="110" x14ac:dyDescent="0.35"/>
    <row r="111" x14ac:dyDescent="0.35"/>
    <row r="112" x14ac:dyDescent="0.35"/>
    <row r="113" x14ac:dyDescent="0.35"/>
    <row r="114" x14ac:dyDescent="0.35"/>
    <row r="115" x14ac:dyDescent="0.35"/>
    <row r="116" x14ac:dyDescent="0.35"/>
    <row r="117" x14ac:dyDescent="0.35"/>
    <row r="118" x14ac:dyDescent="0.35"/>
    <row r="119" x14ac:dyDescent="0.35"/>
    <row r="120" x14ac:dyDescent="0.35"/>
    <row r="121" x14ac:dyDescent="0.35"/>
    <row r="122" x14ac:dyDescent="0.35"/>
    <row r="123" x14ac:dyDescent="0.35"/>
    <row r="124" x14ac:dyDescent="0.35"/>
    <row r="125" x14ac:dyDescent="0.35"/>
    <row r="126" x14ac:dyDescent="0.35"/>
    <row r="127" x14ac:dyDescent="0.35"/>
    <row r="128" x14ac:dyDescent="0.35"/>
    <row r="129" x14ac:dyDescent="0.35"/>
    <row r="130" x14ac:dyDescent="0.35"/>
    <row r="131" x14ac:dyDescent="0.35"/>
    <row r="132" x14ac:dyDescent="0.35"/>
    <row r="133" x14ac:dyDescent="0.35"/>
    <row r="134" x14ac:dyDescent="0.35"/>
    <row r="135" x14ac:dyDescent="0.35"/>
    <row r="136" x14ac:dyDescent="0.35"/>
    <row r="137" x14ac:dyDescent="0.35"/>
    <row r="138" x14ac:dyDescent="0.35"/>
    <row r="139" x14ac:dyDescent="0.35"/>
    <row r="140" x14ac:dyDescent="0.35"/>
    <row r="141" x14ac:dyDescent="0.35"/>
    <row r="142" x14ac:dyDescent="0.35"/>
    <row r="143" x14ac:dyDescent="0.35"/>
    <row r="144" x14ac:dyDescent="0.35"/>
    <row r="145" x14ac:dyDescent="0.35"/>
    <row r="146" x14ac:dyDescent="0.35"/>
    <row r="147" x14ac:dyDescent="0.35"/>
    <row r="148" x14ac:dyDescent="0.35"/>
    <row r="149" x14ac:dyDescent="0.35"/>
    <row r="150" x14ac:dyDescent="0.35"/>
    <row r="151" x14ac:dyDescent="0.35"/>
    <row r="152" x14ac:dyDescent="0.35"/>
    <row r="153" x14ac:dyDescent="0.35"/>
    <row r="154" x14ac:dyDescent="0.35"/>
    <row r="155" x14ac:dyDescent="0.35"/>
    <row r="156" x14ac:dyDescent="0.35"/>
    <row r="157" x14ac:dyDescent="0.35"/>
    <row r="158" x14ac:dyDescent="0.35"/>
    <row r="159" x14ac:dyDescent="0.35"/>
    <row r="160" x14ac:dyDescent="0.35"/>
    <row r="161" x14ac:dyDescent="0.35"/>
    <row r="162" x14ac:dyDescent="0.35"/>
    <row r="163" x14ac:dyDescent="0.35"/>
    <row r="164" x14ac:dyDescent="0.35"/>
    <row r="165" x14ac:dyDescent="0.35"/>
    <row r="166" x14ac:dyDescent="0.35"/>
    <row r="167" x14ac:dyDescent="0.35"/>
    <row r="168" x14ac:dyDescent="0.35"/>
    <row r="169" x14ac:dyDescent="0.35"/>
    <row r="170" x14ac:dyDescent="0.35"/>
    <row r="171" x14ac:dyDescent="0.35"/>
    <row r="172" x14ac:dyDescent="0.35"/>
    <row r="173" x14ac:dyDescent="0.35"/>
    <row r="174" x14ac:dyDescent="0.35"/>
    <row r="175" x14ac:dyDescent="0.35"/>
    <row r="176" x14ac:dyDescent="0.35"/>
    <row r="177" x14ac:dyDescent="0.35"/>
    <row r="178" x14ac:dyDescent="0.35"/>
    <row r="179" x14ac:dyDescent="0.35"/>
    <row r="180" x14ac:dyDescent="0.35"/>
    <row r="181" x14ac:dyDescent="0.35"/>
    <row r="182" x14ac:dyDescent="0.35"/>
    <row r="183" x14ac:dyDescent="0.35"/>
    <row r="184" x14ac:dyDescent="0.35"/>
    <row r="185" x14ac:dyDescent="0.35"/>
    <row r="186" x14ac:dyDescent="0.35"/>
    <row r="187" x14ac:dyDescent="0.35"/>
    <row r="188" x14ac:dyDescent="0.35"/>
    <row r="189" x14ac:dyDescent="0.35"/>
    <row r="190" x14ac:dyDescent="0.35"/>
    <row r="191" x14ac:dyDescent="0.35"/>
    <row r="192" x14ac:dyDescent="0.35"/>
    <row r="193" x14ac:dyDescent="0.35"/>
    <row r="194" x14ac:dyDescent="0.35"/>
    <row r="195" x14ac:dyDescent="0.35"/>
    <row r="196" x14ac:dyDescent="0.35"/>
    <row r="197" x14ac:dyDescent="0.35"/>
    <row r="198" x14ac:dyDescent="0.35"/>
    <row r="199" x14ac:dyDescent="0.35"/>
    <row r="200" x14ac:dyDescent="0.35"/>
    <row r="201" x14ac:dyDescent="0.35"/>
    <row r="202" x14ac:dyDescent="0.35"/>
    <row r="203" x14ac:dyDescent="0.35"/>
    <row r="204" x14ac:dyDescent="0.35"/>
    <row r="205" x14ac:dyDescent="0.35"/>
    <row r="206" x14ac:dyDescent="0.35"/>
    <row r="207" x14ac:dyDescent="0.35"/>
    <row r="208" x14ac:dyDescent="0.35"/>
    <row r="209" x14ac:dyDescent="0.35"/>
    <row r="210" x14ac:dyDescent="0.35"/>
    <row r="211" x14ac:dyDescent="0.35"/>
    <row r="212" x14ac:dyDescent="0.35"/>
    <row r="213" x14ac:dyDescent="0.35"/>
    <row r="214" x14ac:dyDescent="0.35"/>
    <row r="215" x14ac:dyDescent="0.35"/>
    <row r="216" x14ac:dyDescent="0.35"/>
    <row r="217" x14ac:dyDescent="0.35"/>
    <row r="218" x14ac:dyDescent="0.35"/>
    <row r="219" x14ac:dyDescent="0.35"/>
    <row r="220" x14ac:dyDescent="0.35"/>
    <row r="221" x14ac:dyDescent="0.35"/>
    <row r="222" x14ac:dyDescent="0.35"/>
    <row r="223" x14ac:dyDescent="0.35"/>
    <row r="224" x14ac:dyDescent="0.35"/>
    <row r="225" x14ac:dyDescent="0.35"/>
    <row r="226" x14ac:dyDescent="0.35"/>
    <row r="227" x14ac:dyDescent="0.35"/>
    <row r="228" x14ac:dyDescent="0.35"/>
    <row r="229" x14ac:dyDescent="0.35"/>
    <row r="230" x14ac:dyDescent="0.35"/>
    <row r="231" x14ac:dyDescent="0.35"/>
    <row r="232" x14ac:dyDescent="0.35"/>
    <row r="233" x14ac:dyDescent="0.35"/>
    <row r="234" x14ac:dyDescent="0.35"/>
    <row r="235" x14ac:dyDescent="0.35"/>
    <row r="236" x14ac:dyDescent="0.35"/>
    <row r="237" x14ac:dyDescent="0.35"/>
    <row r="238" x14ac:dyDescent="0.35"/>
    <row r="239" x14ac:dyDescent="0.35"/>
    <row r="240" x14ac:dyDescent="0.35"/>
    <row r="241" x14ac:dyDescent="0.35"/>
    <row r="242" x14ac:dyDescent="0.35"/>
    <row r="243" x14ac:dyDescent="0.35"/>
    <row r="244" x14ac:dyDescent="0.35"/>
    <row r="245" x14ac:dyDescent="0.35"/>
    <row r="246" x14ac:dyDescent="0.35"/>
    <row r="247" x14ac:dyDescent="0.35"/>
    <row r="248" x14ac:dyDescent="0.35"/>
    <row r="249" x14ac:dyDescent="0.35"/>
    <row r="250" x14ac:dyDescent="0.35"/>
    <row r="251" x14ac:dyDescent="0.35"/>
    <row r="252" x14ac:dyDescent="0.35"/>
    <row r="253" x14ac:dyDescent="0.35"/>
    <row r="254" x14ac:dyDescent="0.35"/>
    <row r="255" x14ac:dyDescent="0.35"/>
    <row r="256" x14ac:dyDescent="0.35"/>
    <row r="257" x14ac:dyDescent="0.35"/>
    <row r="258" x14ac:dyDescent="0.35"/>
    <row r="259" x14ac:dyDescent="0.35"/>
    <row r="260" x14ac:dyDescent="0.35"/>
    <row r="261" x14ac:dyDescent="0.35"/>
    <row r="262" x14ac:dyDescent="0.35"/>
    <row r="263" x14ac:dyDescent="0.35"/>
    <row r="264" x14ac:dyDescent="0.35"/>
    <row r="265" x14ac:dyDescent="0.35"/>
    <row r="266" x14ac:dyDescent="0.35"/>
    <row r="267" x14ac:dyDescent="0.35"/>
    <row r="268" x14ac:dyDescent="0.35"/>
    <row r="269" x14ac:dyDescent="0.35"/>
    <row r="270" x14ac:dyDescent="0.35"/>
    <row r="271" x14ac:dyDescent="0.35"/>
    <row r="272" x14ac:dyDescent="0.35"/>
    <row r="273" x14ac:dyDescent="0.35"/>
    <row r="274" x14ac:dyDescent="0.35"/>
    <row r="275" x14ac:dyDescent="0.35"/>
    <row r="276" x14ac:dyDescent="0.35"/>
    <row r="277" x14ac:dyDescent="0.35"/>
    <row r="278" x14ac:dyDescent="0.35"/>
    <row r="279" x14ac:dyDescent="0.35"/>
    <row r="280" x14ac:dyDescent="0.35"/>
    <row r="281" x14ac:dyDescent="0.35"/>
    <row r="282" x14ac:dyDescent="0.35"/>
    <row r="283" x14ac:dyDescent="0.35"/>
    <row r="284" x14ac:dyDescent="0.35"/>
    <row r="285" x14ac:dyDescent="0.35"/>
    <row r="286" x14ac:dyDescent="0.35"/>
    <row r="287" x14ac:dyDescent="0.35"/>
    <row r="288" x14ac:dyDescent="0.35"/>
    <row r="289" x14ac:dyDescent="0.35"/>
    <row r="290" x14ac:dyDescent="0.35"/>
    <row r="291" x14ac:dyDescent="0.35"/>
    <row r="292" x14ac:dyDescent="0.35"/>
    <row r="293" x14ac:dyDescent="0.35"/>
    <row r="294" x14ac:dyDescent="0.35"/>
    <row r="295" x14ac:dyDescent="0.35"/>
    <row r="296" x14ac:dyDescent="0.35"/>
    <row r="297" x14ac:dyDescent="0.35"/>
    <row r="298" x14ac:dyDescent="0.35"/>
    <row r="299" x14ac:dyDescent="0.35"/>
    <row r="300" x14ac:dyDescent="0.35"/>
    <row r="301" x14ac:dyDescent="0.35"/>
    <row r="302" x14ac:dyDescent="0.35"/>
    <row r="303" x14ac:dyDescent="0.35"/>
    <row r="304" x14ac:dyDescent="0.35"/>
    <row r="305" x14ac:dyDescent="0.35"/>
    <row r="306" x14ac:dyDescent="0.35"/>
    <row r="307" x14ac:dyDescent="0.35"/>
    <row r="308" x14ac:dyDescent="0.35"/>
    <row r="309" x14ac:dyDescent="0.35"/>
    <row r="310" x14ac:dyDescent="0.35"/>
    <row r="311" x14ac:dyDescent="0.35"/>
    <row r="312" x14ac:dyDescent="0.35"/>
    <row r="313" x14ac:dyDescent="0.35"/>
    <row r="314" x14ac:dyDescent="0.35"/>
    <row r="315" x14ac:dyDescent="0.35"/>
    <row r="316" x14ac:dyDescent="0.35"/>
    <row r="317" x14ac:dyDescent="0.35"/>
    <row r="318" x14ac:dyDescent="0.35"/>
    <row r="319" x14ac:dyDescent="0.35"/>
    <row r="320" x14ac:dyDescent="0.35"/>
    <row r="321" x14ac:dyDescent="0.35"/>
    <row r="322" x14ac:dyDescent="0.35"/>
    <row r="323" x14ac:dyDescent="0.35"/>
    <row r="324" x14ac:dyDescent="0.35"/>
    <row r="325" x14ac:dyDescent="0.35"/>
    <row r="326" x14ac:dyDescent="0.35"/>
    <row r="327" x14ac:dyDescent="0.35"/>
    <row r="328" x14ac:dyDescent="0.35"/>
    <row r="329" x14ac:dyDescent="0.35"/>
    <row r="330" x14ac:dyDescent="0.35"/>
    <row r="331" x14ac:dyDescent="0.35"/>
    <row r="332" x14ac:dyDescent="0.35"/>
    <row r="333" x14ac:dyDescent="0.35"/>
    <row r="334" x14ac:dyDescent="0.35"/>
    <row r="335" x14ac:dyDescent="0.35"/>
    <row r="336" x14ac:dyDescent="0.35"/>
    <row r="337" x14ac:dyDescent="0.35"/>
    <row r="338" x14ac:dyDescent="0.35"/>
    <row r="339" x14ac:dyDescent="0.35"/>
    <row r="340" x14ac:dyDescent="0.35"/>
    <row r="341" x14ac:dyDescent="0.35"/>
    <row r="342" x14ac:dyDescent="0.35"/>
    <row r="343" x14ac:dyDescent="0.35"/>
    <row r="344" x14ac:dyDescent="0.35"/>
    <row r="345" x14ac:dyDescent="0.35"/>
    <row r="346" x14ac:dyDescent="0.35"/>
    <row r="347" x14ac:dyDescent="0.35"/>
    <row r="348" x14ac:dyDescent="0.35"/>
    <row r="349" x14ac:dyDescent="0.35"/>
    <row r="350" x14ac:dyDescent="0.35"/>
    <row r="351" x14ac:dyDescent="0.35"/>
    <row r="352" x14ac:dyDescent="0.35"/>
    <row r="353" x14ac:dyDescent="0.35"/>
    <row r="354" x14ac:dyDescent="0.35"/>
    <row r="355" x14ac:dyDescent="0.35"/>
    <row r="356" x14ac:dyDescent="0.35"/>
    <row r="357" x14ac:dyDescent="0.35"/>
    <row r="358" x14ac:dyDescent="0.35"/>
    <row r="359" x14ac:dyDescent="0.35"/>
    <row r="360" x14ac:dyDescent="0.35"/>
    <row r="361" x14ac:dyDescent="0.35"/>
    <row r="362" x14ac:dyDescent="0.35"/>
    <row r="363" x14ac:dyDescent="0.35"/>
    <row r="364" x14ac:dyDescent="0.35"/>
    <row r="365" x14ac:dyDescent="0.35"/>
    <row r="366" x14ac:dyDescent="0.35"/>
    <row r="367" x14ac:dyDescent="0.35"/>
    <row r="368" x14ac:dyDescent="0.35"/>
    <row r="369" x14ac:dyDescent="0.35"/>
    <row r="370" x14ac:dyDescent="0.35"/>
    <row r="371" x14ac:dyDescent="0.35"/>
    <row r="372" x14ac:dyDescent="0.35"/>
    <row r="373" x14ac:dyDescent="0.35"/>
    <row r="374" x14ac:dyDescent="0.35"/>
    <row r="375" x14ac:dyDescent="0.35"/>
    <row r="376" x14ac:dyDescent="0.35"/>
    <row r="377" x14ac:dyDescent="0.35"/>
    <row r="378" x14ac:dyDescent="0.35"/>
    <row r="379" x14ac:dyDescent="0.35"/>
    <row r="380" x14ac:dyDescent="0.35"/>
    <row r="381" x14ac:dyDescent="0.35"/>
    <row r="382" x14ac:dyDescent="0.35"/>
    <row r="383" x14ac:dyDescent="0.35"/>
    <row r="384" x14ac:dyDescent="0.35"/>
    <row r="385" x14ac:dyDescent="0.35"/>
    <row r="386" x14ac:dyDescent="0.35"/>
    <row r="387" x14ac:dyDescent="0.35"/>
    <row r="388" x14ac:dyDescent="0.35"/>
    <row r="389" x14ac:dyDescent="0.35"/>
    <row r="390" x14ac:dyDescent="0.35"/>
    <row r="391" x14ac:dyDescent="0.35"/>
    <row r="392" x14ac:dyDescent="0.35"/>
    <row r="393" x14ac:dyDescent="0.35"/>
    <row r="394" x14ac:dyDescent="0.35"/>
    <row r="395" x14ac:dyDescent="0.35"/>
    <row r="396" x14ac:dyDescent="0.35"/>
    <row r="397" x14ac:dyDescent="0.35"/>
    <row r="398" x14ac:dyDescent="0.35"/>
    <row r="399" x14ac:dyDescent="0.35"/>
    <row r="400" x14ac:dyDescent="0.35"/>
    <row r="401" x14ac:dyDescent="0.35"/>
    <row r="402" x14ac:dyDescent="0.35"/>
    <row r="403" x14ac:dyDescent="0.35"/>
    <row r="404" x14ac:dyDescent="0.35"/>
    <row r="405" x14ac:dyDescent="0.35"/>
    <row r="406" x14ac:dyDescent="0.35"/>
    <row r="407" x14ac:dyDescent="0.35"/>
    <row r="408" x14ac:dyDescent="0.35"/>
    <row r="409" x14ac:dyDescent="0.35"/>
    <row r="410" x14ac:dyDescent="0.35"/>
    <row r="411" x14ac:dyDescent="0.35"/>
    <row r="412" x14ac:dyDescent="0.35"/>
    <row r="413" x14ac:dyDescent="0.35"/>
    <row r="414" x14ac:dyDescent="0.35"/>
    <row r="415" x14ac:dyDescent="0.35"/>
    <row r="416" x14ac:dyDescent="0.35"/>
    <row r="417" x14ac:dyDescent="0.35"/>
    <row r="418" x14ac:dyDescent="0.35"/>
    <row r="419" x14ac:dyDescent="0.35"/>
    <row r="420" x14ac:dyDescent="0.35"/>
    <row r="421" x14ac:dyDescent="0.35"/>
    <row r="422" x14ac:dyDescent="0.35"/>
    <row r="423" x14ac:dyDescent="0.35"/>
    <row r="424" x14ac:dyDescent="0.35"/>
    <row r="425" x14ac:dyDescent="0.35"/>
    <row r="426" x14ac:dyDescent="0.35"/>
    <row r="427" x14ac:dyDescent="0.35"/>
    <row r="428" x14ac:dyDescent="0.35"/>
    <row r="429" x14ac:dyDescent="0.35"/>
    <row r="430" x14ac:dyDescent="0.35"/>
    <row r="431" x14ac:dyDescent="0.35"/>
    <row r="432" x14ac:dyDescent="0.35"/>
    <row r="433" x14ac:dyDescent="0.35"/>
    <row r="434" x14ac:dyDescent="0.35"/>
    <row r="435" x14ac:dyDescent="0.35"/>
    <row r="436" x14ac:dyDescent="0.35"/>
    <row r="437" x14ac:dyDescent="0.35"/>
    <row r="438" x14ac:dyDescent="0.35"/>
    <row r="439" x14ac:dyDescent="0.35"/>
    <row r="440" x14ac:dyDescent="0.35"/>
    <row r="441" x14ac:dyDescent="0.35"/>
    <row r="442" x14ac:dyDescent="0.35"/>
    <row r="443" x14ac:dyDescent="0.35"/>
    <row r="444" x14ac:dyDescent="0.35"/>
    <row r="445" x14ac:dyDescent="0.35"/>
    <row r="446" x14ac:dyDescent="0.35"/>
    <row r="447" x14ac:dyDescent="0.35"/>
    <row r="448" x14ac:dyDescent="0.35"/>
    <row r="449" x14ac:dyDescent="0.35"/>
    <row r="450" x14ac:dyDescent="0.35"/>
    <row r="451" x14ac:dyDescent="0.35"/>
    <row r="452" x14ac:dyDescent="0.35"/>
    <row r="453" x14ac:dyDescent="0.35"/>
    <row r="454" x14ac:dyDescent="0.35"/>
    <row r="455" x14ac:dyDescent="0.35"/>
    <row r="456" x14ac:dyDescent="0.35"/>
    <row r="457" x14ac:dyDescent="0.35"/>
    <row r="458" x14ac:dyDescent="0.35"/>
    <row r="459" x14ac:dyDescent="0.35"/>
    <row r="460" x14ac:dyDescent="0.35"/>
    <row r="461" x14ac:dyDescent="0.35"/>
    <row r="462" x14ac:dyDescent="0.35"/>
    <row r="463" x14ac:dyDescent="0.35"/>
    <row r="464" x14ac:dyDescent="0.35"/>
    <row r="465" x14ac:dyDescent="0.35"/>
    <row r="466" x14ac:dyDescent="0.35"/>
    <row r="467" x14ac:dyDescent="0.35"/>
    <row r="468" x14ac:dyDescent="0.35"/>
    <row r="469" x14ac:dyDescent="0.35"/>
    <row r="470" x14ac:dyDescent="0.35"/>
    <row r="471" x14ac:dyDescent="0.35"/>
    <row r="472" x14ac:dyDescent="0.35"/>
    <row r="473" x14ac:dyDescent="0.35"/>
    <row r="474" x14ac:dyDescent="0.35"/>
    <row r="475" x14ac:dyDescent="0.35"/>
    <row r="476" x14ac:dyDescent="0.35"/>
    <row r="477" x14ac:dyDescent="0.35"/>
    <row r="478" x14ac:dyDescent="0.35"/>
    <row r="479" x14ac:dyDescent="0.35"/>
    <row r="480" x14ac:dyDescent="0.35"/>
    <row r="481" x14ac:dyDescent="0.35"/>
    <row r="482" x14ac:dyDescent="0.35"/>
    <row r="483" x14ac:dyDescent="0.35"/>
    <row r="484" x14ac:dyDescent="0.35"/>
    <row r="485" x14ac:dyDescent="0.35"/>
    <row r="486" x14ac:dyDescent="0.35"/>
    <row r="487" x14ac:dyDescent="0.35"/>
    <row r="488" x14ac:dyDescent="0.35"/>
    <row r="489" x14ac:dyDescent="0.35"/>
    <row r="490" x14ac:dyDescent="0.35"/>
    <row r="491" x14ac:dyDescent="0.35"/>
    <row r="492" x14ac:dyDescent="0.35"/>
    <row r="493" x14ac:dyDescent="0.35"/>
    <row r="494" x14ac:dyDescent="0.35"/>
    <row r="495" x14ac:dyDescent="0.35"/>
    <row r="496" x14ac:dyDescent="0.35"/>
    <row r="497" x14ac:dyDescent="0.35"/>
    <row r="498" x14ac:dyDescent="0.35"/>
    <row r="499" x14ac:dyDescent="0.35"/>
    <row r="500" x14ac:dyDescent="0.35"/>
    <row r="501" x14ac:dyDescent="0.35"/>
    <row r="502" x14ac:dyDescent="0.35"/>
    <row r="503" x14ac:dyDescent="0.35"/>
    <row r="504" x14ac:dyDescent="0.35"/>
    <row r="505" x14ac:dyDescent="0.35"/>
    <row r="506" x14ac:dyDescent="0.35"/>
    <row r="507" x14ac:dyDescent="0.35"/>
    <row r="508" x14ac:dyDescent="0.35"/>
    <row r="509" x14ac:dyDescent="0.35"/>
    <row r="510" x14ac:dyDescent="0.35"/>
    <row r="511" x14ac:dyDescent="0.35"/>
    <row r="512" x14ac:dyDescent="0.35"/>
    <row r="513" x14ac:dyDescent="0.35"/>
    <row r="514" x14ac:dyDescent="0.35"/>
    <row r="515" x14ac:dyDescent="0.35"/>
    <row r="516" x14ac:dyDescent="0.35"/>
    <row r="517" x14ac:dyDescent="0.35"/>
    <row r="518" x14ac:dyDescent="0.35"/>
    <row r="519" x14ac:dyDescent="0.35"/>
    <row r="520" x14ac:dyDescent="0.35"/>
    <row r="521" x14ac:dyDescent="0.35"/>
    <row r="522" x14ac:dyDescent="0.35"/>
    <row r="523" x14ac:dyDescent="0.35"/>
    <row r="524" x14ac:dyDescent="0.35"/>
    <row r="525" x14ac:dyDescent="0.35"/>
    <row r="526" x14ac:dyDescent="0.35"/>
    <row r="527" x14ac:dyDescent="0.35"/>
    <row r="528" x14ac:dyDescent="0.35"/>
    <row r="529" x14ac:dyDescent="0.35"/>
    <row r="530" x14ac:dyDescent="0.35"/>
    <row r="531" x14ac:dyDescent="0.35"/>
    <row r="532" x14ac:dyDescent="0.35"/>
    <row r="533" x14ac:dyDescent="0.35"/>
    <row r="534" x14ac:dyDescent="0.35"/>
    <row r="535" x14ac:dyDescent="0.35"/>
    <row r="536" x14ac:dyDescent="0.35"/>
    <row r="537" x14ac:dyDescent="0.35"/>
    <row r="538" x14ac:dyDescent="0.35"/>
    <row r="539" x14ac:dyDescent="0.35"/>
    <row r="540" x14ac:dyDescent="0.35"/>
    <row r="541" x14ac:dyDescent="0.35"/>
    <row r="542" x14ac:dyDescent="0.35"/>
    <row r="543" x14ac:dyDescent="0.35"/>
    <row r="544" x14ac:dyDescent="0.35"/>
    <row r="545" x14ac:dyDescent="0.35"/>
    <row r="546" x14ac:dyDescent="0.35"/>
    <row r="547" x14ac:dyDescent="0.35"/>
    <row r="548" x14ac:dyDescent="0.35"/>
    <row r="549" x14ac:dyDescent="0.35"/>
    <row r="550" x14ac:dyDescent="0.35"/>
    <row r="551" x14ac:dyDescent="0.35"/>
    <row r="552" x14ac:dyDescent="0.35"/>
    <row r="553" x14ac:dyDescent="0.35"/>
    <row r="554" x14ac:dyDescent="0.35"/>
    <row r="555" x14ac:dyDescent="0.35"/>
    <row r="556" x14ac:dyDescent="0.35"/>
    <row r="557" x14ac:dyDescent="0.35"/>
    <row r="558" x14ac:dyDescent="0.35"/>
    <row r="559" x14ac:dyDescent="0.35"/>
    <row r="560" x14ac:dyDescent="0.35"/>
    <row r="561" x14ac:dyDescent="0.35"/>
    <row r="562" x14ac:dyDescent="0.35"/>
    <row r="563" x14ac:dyDescent="0.35"/>
    <row r="564" x14ac:dyDescent="0.35"/>
    <row r="565" x14ac:dyDescent="0.35"/>
    <row r="566" x14ac:dyDescent="0.35"/>
    <row r="567" x14ac:dyDescent="0.35"/>
    <row r="568" x14ac:dyDescent="0.35"/>
    <row r="569" x14ac:dyDescent="0.35"/>
    <row r="570" x14ac:dyDescent="0.35"/>
    <row r="571" x14ac:dyDescent="0.35"/>
    <row r="572" x14ac:dyDescent="0.35"/>
    <row r="573" x14ac:dyDescent="0.35"/>
    <row r="574" x14ac:dyDescent="0.35"/>
    <row r="575" x14ac:dyDescent="0.35"/>
    <row r="576" x14ac:dyDescent="0.35"/>
    <row r="577" x14ac:dyDescent="0.35"/>
    <row r="578" x14ac:dyDescent="0.35"/>
    <row r="579" x14ac:dyDescent="0.35"/>
    <row r="580" x14ac:dyDescent="0.35"/>
    <row r="581" x14ac:dyDescent="0.35"/>
    <row r="582" x14ac:dyDescent="0.35"/>
    <row r="583" x14ac:dyDescent="0.35"/>
    <row r="584" x14ac:dyDescent="0.35"/>
    <row r="585" x14ac:dyDescent="0.35"/>
    <row r="586" x14ac:dyDescent="0.35"/>
    <row r="587" x14ac:dyDescent="0.35"/>
    <row r="588" x14ac:dyDescent="0.35"/>
    <row r="589" x14ac:dyDescent="0.35"/>
    <row r="590" x14ac:dyDescent="0.35"/>
    <row r="591" x14ac:dyDescent="0.35"/>
    <row r="592" x14ac:dyDescent="0.35"/>
    <row r="593" x14ac:dyDescent="0.35"/>
    <row r="594" x14ac:dyDescent="0.35"/>
    <row r="595" x14ac:dyDescent="0.35"/>
    <row r="596" x14ac:dyDescent="0.35"/>
    <row r="597" x14ac:dyDescent="0.35"/>
    <row r="598" x14ac:dyDescent="0.35"/>
    <row r="599" x14ac:dyDescent="0.35"/>
    <row r="600" x14ac:dyDescent="0.35"/>
    <row r="601" x14ac:dyDescent="0.35"/>
    <row r="602" x14ac:dyDescent="0.35"/>
    <row r="603" x14ac:dyDescent="0.35"/>
    <row r="604" x14ac:dyDescent="0.35"/>
    <row r="605" x14ac:dyDescent="0.35"/>
    <row r="606" x14ac:dyDescent="0.35"/>
    <row r="607" x14ac:dyDescent="0.35"/>
    <row r="608" x14ac:dyDescent="0.35"/>
    <row r="609" x14ac:dyDescent="0.35"/>
    <row r="610" x14ac:dyDescent="0.35"/>
    <row r="611" x14ac:dyDescent="0.35"/>
    <row r="612" x14ac:dyDescent="0.35"/>
    <row r="613" x14ac:dyDescent="0.35"/>
    <row r="614" x14ac:dyDescent="0.35"/>
    <row r="615" x14ac:dyDescent="0.35"/>
    <row r="616" x14ac:dyDescent="0.35"/>
    <row r="617" x14ac:dyDescent="0.35"/>
    <row r="618" x14ac:dyDescent="0.35"/>
    <row r="619" x14ac:dyDescent="0.35"/>
    <row r="620" x14ac:dyDescent="0.35"/>
    <row r="621" x14ac:dyDescent="0.35"/>
    <row r="622" x14ac:dyDescent="0.35"/>
    <row r="623" x14ac:dyDescent="0.35"/>
    <row r="624" x14ac:dyDescent="0.35"/>
    <row r="625" x14ac:dyDescent="0.35"/>
    <row r="626" x14ac:dyDescent="0.35"/>
    <row r="627" x14ac:dyDescent="0.35"/>
    <row r="628" x14ac:dyDescent="0.35"/>
    <row r="629" x14ac:dyDescent="0.35"/>
    <row r="630" x14ac:dyDescent="0.35"/>
    <row r="631" x14ac:dyDescent="0.35"/>
    <row r="632" x14ac:dyDescent="0.35"/>
    <row r="633" x14ac:dyDescent="0.35"/>
    <row r="634" x14ac:dyDescent="0.35"/>
    <row r="635" x14ac:dyDescent="0.35"/>
    <row r="636" x14ac:dyDescent="0.35"/>
    <row r="637" x14ac:dyDescent="0.35"/>
    <row r="638" x14ac:dyDescent="0.35"/>
    <row r="639" x14ac:dyDescent="0.35"/>
    <row r="640" x14ac:dyDescent="0.35"/>
    <row r="641" x14ac:dyDescent="0.35"/>
    <row r="642" x14ac:dyDescent="0.35"/>
    <row r="643" x14ac:dyDescent="0.35"/>
    <row r="644" x14ac:dyDescent="0.35"/>
    <row r="645" x14ac:dyDescent="0.35"/>
    <row r="646" x14ac:dyDescent="0.35"/>
    <row r="647" x14ac:dyDescent="0.35"/>
    <row r="648" x14ac:dyDescent="0.35"/>
    <row r="649" x14ac:dyDescent="0.35"/>
    <row r="650" x14ac:dyDescent="0.35"/>
    <row r="651" x14ac:dyDescent="0.35"/>
    <row r="652" x14ac:dyDescent="0.35"/>
    <row r="653" x14ac:dyDescent="0.35"/>
    <row r="654" x14ac:dyDescent="0.35"/>
    <row r="655" x14ac:dyDescent="0.35"/>
    <row r="656" x14ac:dyDescent="0.35"/>
    <row r="657" x14ac:dyDescent="0.35"/>
    <row r="658" x14ac:dyDescent="0.35"/>
    <row r="659" x14ac:dyDescent="0.35"/>
    <row r="660" x14ac:dyDescent="0.35"/>
    <row r="661" x14ac:dyDescent="0.35"/>
    <row r="662" x14ac:dyDescent="0.35"/>
    <row r="663" x14ac:dyDescent="0.35"/>
    <row r="664" x14ac:dyDescent="0.35"/>
    <row r="665" x14ac:dyDescent="0.35"/>
    <row r="666" x14ac:dyDescent="0.35"/>
    <row r="667" x14ac:dyDescent="0.35"/>
    <row r="668" x14ac:dyDescent="0.35"/>
    <row r="669" x14ac:dyDescent="0.35"/>
    <row r="670" x14ac:dyDescent="0.35"/>
    <row r="671" x14ac:dyDescent="0.35"/>
    <row r="672" x14ac:dyDescent="0.35"/>
    <row r="673" x14ac:dyDescent="0.35"/>
    <row r="674" x14ac:dyDescent="0.35"/>
    <row r="675" x14ac:dyDescent="0.35"/>
    <row r="676" x14ac:dyDescent="0.35"/>
    <row r="677" x14ac:dyDescent="0.35"/>
    <row r="678" x14ac:dyDescent="0.35"/>
    <row r="679" x14ac:dyDescent="0.35"/>
    <row r="680" x14ac:dyDescent="0.35"/>
    <row r="681" x14ac:dyDescent="0.35"/>
    <row r="682" x14ac:dyDescent="0.35"/>
    <row r="683" x14ac:dyDescent="0.35"/>
    <row r="684" x14ac:dyDescent="0.35"/>
    <row r="685" x14ac:dyDescent="0.35"/>
    <row r="686" x14ac:dyDescent="0.35"/>
    <row r="687" x14ac:dyDescent="0.35"/>
    <row r="688" x14ac:dyDescent="0.35"/>
    <row r="689" x14ac:dyDescent="0.35"/>
    <row r="690" x14ac:dyDescent="0.35"/>
    <row r="691" x14ac:dyDescent="0.35"/>
    <row r="692" x14ac:dyDescent="0.35"/>
    <row r="693" x14ac:dyDescent="0.35"/>
    <row r="694" x14ac:dyDescent="0.35"/>
    <row r="695" x14ac:dyDescent="0.35"/>
    <row r="696" x14ac:dyDescent="0.35"/>
    <row r="697" x14ac:dyDescent="0.35"/>
    <row r="698" x14ac:dyDescent="0.35"/>
    <row r="699" x14ac:dyDescent="0.35"/>
    <row r="700" x14ac:dyDescent="0.35"/>
    <row r="701" x14ac:dyDescent="0.35"/>
    <row r="702" x14ac:dyDescent="0.35"/>
    <row r="703" x14ac:dyDescent="0.35"/>
    <row r="704" x14ac:dyDescent="0.35"/>
    <row r="705" x14ac:dyDescent="0.35"/>
    <row r="706" x14ac:dyDescent="0.35"/>
    <row r="707" x14ac:dyDescent="0.35"/>
    <row r="708" x14ac:dyDescent="0.35"/>
    <row r="709" x14ac:dyDescent="0.35"/>
    <row r="710" x14ac:dyDescent="0.35"/>
    <row r="711" x14ac:dyDescent="0.35"/>
    <row r="712" x14ac:dyDescent="0.35"/>
    <row r="713" x14ac:dyDescent="0.35"/>
    <row r="714" x14ac:dyDescent="0.35"/>
    <row r="715" x14ac:dyDescent="0.35"/>
    <row r="716" x14ac:dyDescent="0.35"/>
    <row r="717" x14ac:dyDescent="0.35"/>
    <row r="718" x14ac:dyDescent="0.35"/>
    <row r="719" x14ac:dyDescent="0.35"/>
    <row r="720" x14ac:dyDescent="0.35"/>
    <row r="721" x14ac:dyDescent="0.35"/>
    <row r="722" x14ac:dyDescent="0.35"/>
    <row r="723" x14ac:dyDescent="0.35"/>
    <row r="724" x14ac:dyDescent="0.35"/>
    <row r="725" x14ac:dyDescent="0.35"/>
    <row r="726" x14ac:dyDescent="0.35"/>
    <row r="727" x14ac:dyDescent="0.35"/>
    <row r="728" x14ac:dyDescent="0.35"/>
    <row r="729" x14ac:dyDescent="0.35"/>
    <row r="730" x14ac:dyDescent="0.35"/>
    <row r="731" x14ac:dyDescent="0.35"/>
    <row r="732" x14ac:dyDescent="0.35"/>
    <row r="733" x14ac:dyDescent="0.35"/>
    <row r="734" x14ac:dyDescent="0.35"/>
    <row r="735" x14ac:dyDescent="0.35"/>
    <row r="736" x14ac:dyDescent="0.35"/>
    <row r="737" x14ac:dyDescent="0.35"/>
    <row r="738" x14ac:dyDescent="0.35"/>
    <row r="739" x14ac:dyDescent="0.35"/>
    <row r="740" x14ac:dyDescent="0.35"/>
    <row r="741" x14ac:dyDescent="0.35"/>
    <row r="742" x14ac:dyDescent="0.35"/>
    <row r="743" x14ac:dyDescent="0.35"/>
    <row r="744" x14ac:dyDescent="0.35"/>
    <row r="745" x14ac:dyDescent="0.35"/>
    <row r="746" x14ac:dyDescent="0.35"/>
    <row r="747" x14ac:dyDescent="0.35"/>
    <row r="748" x14ac:dyDescent="0.35"/>
    <row r="749" x14ac:dyDescent="0.35"/>
    <row r="750" x14ac:dyDescent="0.35"/>
    <row r="751" x14ac:dyDescent="0.35"/>
    <row r="752" x14ac:dyDescent="0.35"/>
    <row r="753" x14ac:dyDescent="0.35"/>
    <row r="754" x14ac:dyDescent="0.35"/>
    <row r="755" x14ac:dyDescent="0.35"/>
    <row r="756" x14ac:dyDescent="0.35"/>
    <row r="757" x14ac:dyDescent="0.35"/>
    <row r="758" x14ac:dyDescent="0.35"/>
    <row r="759" x14ac:dyDescent="0.35"/>
    <row r="760" x14ac:dyDescent="0.35"/>
    <row r="761" x14ac:dyDescent="0.35"/>
    <row r="762" x14ac:dyDescent="0.35"/>
    <row r="763" x14ac:dyDescent="0.35"/>
    <row r="764" x14ac:dyDescent="0.35"/>
    <row r="765" x14ac:dyDescent="0.35"/>
    <row r="766" x14ac:dyDescent="0.35"/>
    <row r="767" x14ac:dyDescent="0.35"/>
    <row r="768" x14ac:dyDescent="0.35"/>
    <row r="769" x14ac:dyDescent="0.35"/>
    <row r="770" x14ac:dyDescent="0.35"/>
    <row r="771" x14ac:dyDescent="0.35"/>
    <row r="772" x14ac:dyDescent="0.35"/>
    <row r="773" x14ac:dyDescent="0.35"/>
    <row r="774" x14ac:dyDescent="0.35"/>
    <row r="775" x14ac:dyDescent="0.35"/>
    <row r="776" x14ac:dyDescent="0.35"/>
    <row r="777" x14ac:dyDescent="0.35"/>
    <row r="778" x14ac:dyDescent="0.35"/>
    <row r="779" x14ac:dyDescent="0.35"/>
    <row r="780" x14ac:dyDescent="0.35"/>
    <row r="781" x14ac:dyDescent="0.35"/>
    <row r="782" x14ac:dyDescent="0.35"/>
    <row r="783" x14ac:dyDescent="0.35"/>
    <row r="784" x14ac:dyDescent="0.35"/>
    <row r="785" x14ac:dyDescent="0.35"/>
    <row r="786" x14ac:dyDescent="0.35"/>
    <row r="787" x14ac:dyDescent="0.35"/>
    <row r="788" x14ac:dyDescent="0.35"/>
    <row r="789" x14ac:dyDescent="0.35"/>
    <row r="790" x14ac:dyDescent="0.35"/>
    <row r="791" x14ac:dyDescent="0.35"/>
    <row r="792" x14ac:dyDescent="0.35"/>
    <row r="793" x14ac:dyDescent="0.35"/>
    <row r="794" x14ac:dyDescent="0.35"/>
    <row r="795" x14ac:dyDescent="0.35"/>
    <row r="796" x14ac:dyDescent="0.35"/>
    <row r="797" x14ac:dyDescent="0.35"/>
    <row r="798" x14ac:dyDescent="0.35"/>
    <row r="799" x14ac:dyDescent="0.35"/>
    <row r="800" x14ac:dyDescent="0.35"/>
    <row r="801" x14ac:dyDescent="0.35"/>
    <row r="802" x14ac:dyDescent="0.35"/>
    <row r="803" x14ac:dyDescent="0.35"/>
    <row r="804" x14ac:dyDescent="0.35"/>
    <row r="805" x14ac:dyDescent="0.35"/>
    <row r="806" x14ac:dyDescent="0.35"/>
    <row r="807" x14ac:dyDescent="0.35"/>
    <row r="808" x14ac:dyDescent="0.35"/>
    <row r="809" x14ac:dyDescent="0.35"/>
    <row r="810" x14ac:dyDescent="0.35"/>
    <row r="811" x14ac:dyDescent="0.35"/>
    <row r="812" x14ac:dyDescent="0.35"/>
    <row r="813" x14ac:dyDescent="0.35"/>
    <row r="814" x14ac:dyDescent="0.35"/>
    <row r="815" x14ac:dyDescent="0.35"/>
    <row r="816" x14ac:dyDescent="0.35"/>
    <row r="817" x14ac:dyDescent="0.35"/>
    <row r="818" x14ac:dyDescent="0.35"/>
    <row r="819" x14ac:dyDescent="0.35"/>
    <row r="820" x14ac:dyDescent="0.35"/>
    <row r="821" x14ac:dyDescent="0.35"/>
    <row r="822" x14ac:dyDescent="0.35"/>
    <row r="823" x14ac:dyDescent="0.35"/>
    <row r="824" x14ac:dyDescent="0.35"/>
    <row r="825" x14ac:dyDescent="0.35"/>
    <row r="826" x14ac:dyDescent="0.35"/>
    <row r="827" x14ac:dyDescent="0.35"/>
    <row r="828" x14ac:dyDescent="0.35"/>
    <row r="829" x14ac:dyDescent="0.35"/>
    <row r="830" x14ac:dyDescent="0.35"/>
    <row r="831" x14ac:dyDescent="0.35"/>
    <row r="832" x14ac:dyDescent="0.35"/>
    <row r="833" x14ac:dyDescent="0.35"/>
    <row r="834" x14ac:dyDescent="0.35"/>
    <row r="835" x14ac:dyDescent="0.35"/>
    <row r="836" x14ac:dyDescent="0.35"/>
    <row r="837" x14ac:dyDescent="0.35"/>
    <row r="838" x14ac:dyDescent="0.35"/>
    <row r="839" x14ac:dyDescent="0.35"/>
    <row r="840" x14ac:dyDescent="0.35"/>
    <row r="841" x14ac:dyDescent="0.35"/>
    <row r="842" x14ac:dyDescent="0.35"/>
    <row r="843" x14ac:dyDescent="0.35"/>
    <row r="844" x14ac:dyDescent="0.35"/>
    <row r="845" x14ac:dyDescent="0.35"/>
    <row r="846" x14ac:dyDescent="0.35"/>
    <row r="847" x14ac:dyDescent="0.35"/>
    <row r="848" x14ac:dyDescent="0.35"/>
    <row r="849" x14ac:dyDescent="0.35"/>
    <row r="850" x14ac:dyDescent="0.35"/>
    <row r="851" x14ac:dyDescent="0.35"/>
    <row r="852" x14ac:dyDescent="0.35"/>
    <row r="853" x14ac:dyDescent="0.35"/>
    <row r="854" x14ac:dyDescent="0.35"/>
    <row r="855" x14ac:dyDescent="0.35"/>
    <row r="856" x14ac:dyDescent="0.35"/>
    <row r="857" x14ac:dyDescent="0.35"/>
    <row r="858" x14ac:dyDescent="0.35"/>
    <row r="859" x14ac:dyDescent="0.35"/>
    <row r="860" x14ac:dyDescent="0.35"/>
    <row r="861" x14ac:dyDescent="0.35"/>
    <row r="862" x14ac:dyDescent="0.35"/>
    <row r="863" x14ac:dyDescent="0.35"/>
    <row r="864" x14ac:dyDescent="0.35"/>
    <row r="865" x14ac:dyDescent="0.35"/>
    <row r="866" x14ac:dyDescent="0.35"/>
    <row r="867" x14ac:dyDescent="0.35"/>
    <row r="868" x14ac:dyDescent="0.35"/>
    <row r="869" x14ac:dyDescent="0.35"/>
    <row r="870" x14ac:dyDescent="0.35"/>
    <row r="871" x14ac:dyDescent="0.35"/>
    <row r="872" x14ac:dyDescent="0.35"/>
    <row r="873" x14ac:dyDescent="0.35"/>
    <row r="874" x14ac:dyDescent="0.35"/>
    <row r="875" x14ac:dyDescent="0.35"/>
    <row r="876" x14ac:dyDescent="0.35"/>
    <row r="877" x14ac:dyDescent="0.35"/>
    <row r="878" x14ac:dyDescent="0.35"/>
    <row r="879" x14ac:dyDescent="0.35"/>
    <row r="880" x14ac:dyDescent="0.35"/>
    <row r="881" x14ac:dyDescent="0.35"/>
    <row r="882" x14ac:dyDescent="0.35"/>
    <row r="883" x14ac:dyDescent="0.35"/>
    <row r="884" x14ac:dyDescent="0.35"/>
    <row r="885" x14ac:dyDescent="0.35"/>
    <row r="886" x14ac:dyDescent="0.35"/>
    <row r="887" x14ac:dyDescent="0.35"/>
    <row r="888" x14ac:dyDescent="0.35"/>
    <row r="889" x14ac:dyDescent="0.35"/>
    <row r="890" x14ac:dyDescent="0.35"/>
    <row r="891" x14ac:dyDescent="0.35"/>
    <row r="892" x14ac:dyDescent="0.35"/>
    <row r="893" x14ac:dyDescent="0.35"/>
    <row r="894" x14ac:dyDescent="0.35"/>
    <row r="895" x14ac:dyDescent="0.35"/>
    <row r="896" x14ac:dyDescent="0.35"/>
    <row r="897" x14ac:dyDescent="0.35"/>
    <row r="898" x14ac:dyDescent="0.35"/>
    <row r="899" x14ac:dyDescent="0.35"/>
    <row r="900" x14ac:dyDescent="0.35"/>
    <row r="901" x14ac:dyDescent="0.35"/>
    <row r="902" x14ac:dyDescent="0.35"/>
    <row r="903" x14ac:dyDescent="0.35"/>
    <row r="904" x14ac:dyDescent="0.35"/>
    <row r="905" x14ac:dyDescent="0.35"/>
    <row r="906" x14ac:dyDescent="0.35"/>
    <row r="907" x14ac:dyDescent="0.35"/>
    <row r="908" x14ac:dyDescent="0.35"/>
    <row r="909" x14ac:dyDescent="0.35"/>
    <row r="910" x14ac:dyDescent="0.35"/>
    <row r="911" x14ac:dyDescent="0.35"/>
    <row r="912" x14ac:dyDescent="0.35"/>
    <row r="913" x14ac:dyDescent="0.35"/>
    <row r="914" x14ac:dyDescent="0.35"/>
    <row r="915" x14ac:dyDescent="0.35"/>
    <row r="916" x14ac:dyDescent="0.35"/>
    <row r="917" x14ac:dyDescent="0.35"/>
    <row r="918" x14ac:dyDescent="0.35"/>
    <row r="919" x14ac:dyDescent="0.35"/>
    <row r="920" x14ac:dyDescent="0.35"/>
    <row r="921" x14ac:dyDescent="0.35"/>
    <row r="922" x14ac:dyDescent="0.35"/>
    <row r="923" x14ac:dyDescent="0.35"/>
    <row r="924" x14ac:dyDescent="0.35"/>
    <row r="925" x14ac:dyDescent="0.35"/>
    <row r="926" x14ac:dyDescent="0.35"/>
    <row r="927" x14ac:dyDescent="0.35"/>
    <row r="928" x14ac:dyDescent="0.35"/>
    <row r="929" x14ac:dyDescent="0.35"/>
    <row r="930" x14ac:dyDescent="0.35"/>
    <row r="931" x14ac:dyDescent="0.35"/>
    <row r="932" x14ac:dyDescent="0.35"/>
    <row r="933" x14ac:dyDescent="0.35"/>
    <row r="934" x14ac:dyDescent="0.35"/>
    <row r="935" x14ac:dyDescent="0.35"/>
    <row r="936" x14ac:dyDescent="0.35"/>
    <row r="937" x14ac:dyDescent="0.35"/>
    <row r="938" x14ac:dyDescent="0.35"/>
    <row r="939" x14ac:dyDescent="0.35"/>
    <row r="940" x14ac:dyDescent="0.35"/>
    <row r="941" x14ac:dyDescent="0.35"/>
    <row r="942" x14ac:dyDescent="0.35"/>
    <row r="943" x14ac:dyDescent="0.35"/>
    <row r="944" x14ac:dyDescent="0.35"/>
    <row r="945" x14ac:dyDescent="0.35"/>
    <row r="946" x14ac:dyDescent="0.35"/>
    <row r="947" x14ac:dyDescent="0.35"/>
    <row r="948" x14ac:dyDescent="0.35"/>
    <row r="949" x14ac:dyDescent="0.35"/>
    <row r="950" x14ac:dyDescent="0.35"/>
    <row r="951" x14ac:dyDescent="0.35"/>
    <row r="952" x14ac:dyDescent="0.35"/>
    <row r="953" x14ac:dyDescent="0.35"/>
    <row r="954" x14ac:dyDescent="0.35"/>
    <row r="955" x14ac:dyDescent="0.35"/>
    <row r="956" x14ac:dyDescent="0.35"/>
    <row r="957" x14ac:dyDescent="0.35"/>
    <row r="958" x14ac:dyDescent="0.35"/>
    <row r="959" x14ac:dyDescent="0.35"/>
    <row r="960" x14ac:dyDescent="0.35"/>
    <row r="961" x14ac:dyDescent="0.35"/>
    <row r="962" x14ac:dyDescent="0.35"/>
    <row r="963" x14ac:dyDescent="0.35"/>
    <row r="964" x14ac:dyDescent="0.35"/>
    <row r="965" x14ac:dyDescent="0.35"/>
    <row r="966" x14ac:dyDescent="0.35"/>
    <row r="967" x14ac:dyDescent="0.35"/>
    <row r="968" x14ac:dyDescent="0.35"/>
    <row r="969" x14ac:dyDescent="0.35"/>
    <row r="970" x14ac:dyDescent="0.35"/>
    <row r="971" x14ac:dyDescent="0.35"/>
    <row r="972" x14ac:dyDescent="0.35"/>
    <row r="973" x14ac:dyDescent="0.35"/>
    <row r="974" x14ac:dyDescent="0.35"/>
    <row r="975" x14ac:dyDescent="0.35"/>
    <row r="976" x14ac:dyDescent="0.35"/>
    <row r="977" x14ac:dyDescent="0.35"/>
    <row r="978" x14ac:dyDescent="0.35"/>
    <row r="979" x14ac:dyDescent="0.35"/>
    <row r="980" x14ac:dyDescent="0.35"/>
    <row r="981" x14ac:dyDescent="0.35"/>
    <row r="982" x14ac:dyDescent="0.35"/>
    <row r="983" x14ac:dyDescent="0.35"/>
    <row r="984" x14ac:dyDescent="0.35"/>
    <row r="985" x14ac:dyDescent="0.35"/>
    <row r="986" x14ac:dyDescent="0.35"/>
    <row r="987" x14ac:dyDescent="0.35"/>
    <row r="988" x14ac:dyDescent="0.35"/>
    <row r="989" x14ac:dyDescent="0.35"/>
    <row r="990" x14ac:dyDescent="0.35"/>
    <row r="991" x14ac:dyDescent="0.35"/>
    <row r="992" x14ac:dyDescent="0.35"/>
    <row r="993" x14ac:dyDescent="0.35"/>
    <row r="994" x14ac:dyDescent="0.35"/>
    <row r="995" x14ac:dyDescent="0.35"/>
    <row r="996" x14ac:dyDescent="0.35"/>
    <row r="997" x14ac:dyDescent="0.35"/>
    <row r="998" x14ac:dyDescent="0.35"/>
    <row r="999" x14ac:dyDescent="0.35"/>
    <row r="1000" x14ac:dyDescent="0.35"/>
    <row r="1001" x14ac:dyDescent="0.35"/>
    <row r="1002" x14ac:dyDescent="0.35"/>
    <row r="1003" x14ac:dyDescent="0.35"/>
    <row r="1004" x14ac:dyDescent="0.35"/>
    <row r="1005" x14ac:dyDescent="0.35"/>
    <row r="1006" x14ac:dyDescent="0.35"/>
    <row r="1007" x14ac:dyDescent="0.35"/>
    <row r="1008" x14ac:dyDescent="0.35"/>
    <row r="1009" x14ac:dyDescent="0.35"/>
    <row r="1010" x14ac:dyDescent="0.35"/>
    <row r="1011" x14ac:dyDescent="0.35"/>
    <row r="1012" x14ac:dyDescent="0.35"/>
    <row r="1013" x14ac:dyDescent="0.35"/>
    <row r="1014" x14ac:dyDescent="0.35"/>
    <row r="1015" x14ac:dyDescent="0.35"/>
    <row r="1016" x14ac:dyDescent="0.35"/>
    <row r="1017" x14ac:dyDescent="0.35"/>
    <row r="1018" x14ac:dyDescent="0.35"/>
    <row r="1019" x14ac:dyDescent="0.35"/>
    <row r="1020" x14ac:dyDescent="0.35"/>
    <row r="1021" x14ac:dyDescent="0.35"/>
    <row r="1022" x14ac:dyDescent="0.35"/>
    <row r="1023" x14ac:dyDescent="0.35"/>
    <row r="1024" x14ac:dyDescent="0.35"/>
    <row r="1025" x14ac:dyDescent="0.35"/>
    <row r="1026" x14ac:dyDescent="0.35"/>
    <row r="1027" x14ac:dyDescent="0.35"/>
    <row r="1028" x14ac:dyDescent="0.35"/>
    <row r="1029" x14ac:dyDescent="0.35"/>
    <row r="1030" x14ac:dyDescent="0.35"/>
    <row r="1031" x14ac:dyDescent="0.35"/>
    <row r="1032" x14ac:dyDescent="0.35"/>
    <row r="1033" x14ac:dyDescent="0.35"/>
    <row r="1034" x14ac:dyDescent="0.35"/>
    <row r="1035" x14ac:dyDescent="0.35"/>
    <row r="1036" x14ac:dyDescent="0.35"/>
    <row r="1037" x14ac:dyDescent="0.35"/>
    <row r="1038" x14ac:dyDescent="0.35"/>
    <row r="1039" x14ac:dyDescent="0.35"/>
    <row r="1040" x14ac:dyDescent="0.35"/>
    <row r="1041" x14ac:dyDescent="0.35"/>
    <row r="1042" x14ac:dyDescent="0.35"/>
    <row r="1043" x14ac:dyDescent="0.35"/>
    <row r="1044" x14ac:dyDescent="0.35"/>
    <row r="1045" x14ac:dyDescent="0.35"/>
    <row r="1046" x14ac:dyDescent="0.35"/>
    <row r="1047" x14ac:dyDescent="0.35"/>
    <row r="1048" x14ac:dyDescent="0.35"/>
    <row r="1049" x14ac:dyDescent="0.35"/>
    <row r="1050" x14ac:dyDescent="0.35"/>
    <row r="1051" x14ac:dyDescent="0.35"/>
    <row r="1052" x14ac:dyDescent="0.35"/>
    <row r="1053" x14ac:dyDescent="0.35"/>
    <row r="1054" x14ac:dyDescent="0.35"/>
    <row r="1055" x14ac:dyDescent="0.35"/>
    <row r="1056" x14ac:dyDescent="0.35"/>
    <row r="1057" x14ac:dyDescent="0.35"/>
    <row r="1058" x14ac:dyDescent="0.35"/>
    <row r="1059" x14ac:dyDescent="0.35"/>
    <row r="1060" x14ac:dyDescent="0.35"/>
    <row r="1061" x14ac:dyDescent="0.35"/>
    <row r="1062" x14ac:dyDescent="0.35"/>
    <row r="1063" x14ac:dyDescent="0.35"/>
    <row r="1064" x14ac:dyDescent="0.35"/>
    <row r="1065" x14ac:dyDescent="0.35"/>
    <row r="1066" x14ac:dyDescent="0.35"/>
    <row r="1067" x14ac:dyDescent="0.35"/>
    <row r="1068" x14ac:dyDescent="0.35"/>
    <row r="1069" x14ac:dyDescent="0.35"/>
    <row r="1070" x14ac:dyDescent="0.35"/>
    <row r="1071" x14ac:dyDescent="0.35"/>
    <row r="1072" x14ac:dyDescent="0.35"/>
    <row r="1073" x14ac:dyDescent="0.35"/>
    <row r="1074" x14ac:dyDescent="0.35"/>
    <row r="1075" x14ac:dyDescent="0.35"/>
    <row r="1076" x14ac:dyDescent="0.35"/>
    <row r="1077" x14ac:dyDescent="0.35"/>
    <row r="1078" x14ac:dyDescent="0.35"/>
    <row r="1079" x14ac:dyDescent="0.35"/>
    <row r="1080" x14ac:dyDescent="0.35"/>
    <row r="1081" x14ac:dyDescent="0.35"/>
    <row r="1082" x14ac:dyDescent="0.35"/>
    <row r="1083" x14ac:dyDescent="0.35"/>
    <row r="1084" x14ac:dyDescent="0.35"/>
    <row r="1085" x14ac:dyDescent="0.35"/>
    <row r="1086" x14ac:dyDescent="0.35"/>
    <row r="1087" x14ac:dyDescent="0.35"/>
    <row r="1088" x14ac:dyDescent="0.35"/>
    <row r="1089" x14ac:dyDescent="0.35"/>
    <row r="1090" x14ac:dyDescent="0.35"/>
    <row r="1091" x14ac:dyDescent="0.35"/>
    <row r="1092" x14ac:dyDescent="0.35"/>
    <row r="1093" x14ac:dyDescent="0.35"/>
    <row r="1094" x14ac:dyDescent="0.35"/>
    <row r="1095" x14ac:dyDescent="0.35"/>
    <row r="1096" x14ac:dyDescent="0.35"/>
    <row r="1097" x14ac:dyDescent="0.35"/>
    <row r="1098" x14ac:dyDescent="0.35"/>
    <row r="1099" x14ac:dyDescent="0.35"/>
    <row r="1100" x14ac:dyDescent="0.35"/>
    <row r="1101" x14ac:dyDescent="0.35"/>
    <row r="1102" x14ac:dyDescent="0.35"/>
    <row r="1103" x14ac:dyDescent="0.35"/>
    <row r="1104" x14ac:dyDescent="0.35"/>
    <row r="1105" x14ac:dyDescent="0.35"/>
    <row r="1106" x14ac:dyDescent="0.35"/>
    <row r="1107" x14ac:dyDescent="0.35"/>
    <row r="1108" x14ac:dyDescent="0.35"/>
    <row r="1109" x14ac:dyDescent="0.35"/>
    <row r="1110" x14ac:dyDescent="0.35"/>
    <row r="1111" x14ac:dyDescent="0.35"/>
    <row r="1112" x14ac:dyDescent="0.35"/>
    <row r="1113" x14ac:dyDescent="0.35"/>
    <row r="1114" x14ac:dyDescent="0.35"/>
    <row r="1115" x14ac:dyDescent="0.35"/>
    <row r="1116" x14ac:dyDescent="0.35"/>
    <row r="1117" x14ac:dyDescent="0.35"/>
    <row r="1118" x14ac:dyDescent="0.35"/>
    <row r="1119" x14ac:dyDescent="0.35"/>
    <row r="1120" x14ac:dyDescent="0.35"/>
    <row r="1121" x14ac:dyDescent="0.35"/>
    <row r="1122" x14ac:dyDescent="0.35"/>
    <row r="1123" x14ac:dyDescent="0.35"/>
    <row r="1124" x14ac:dyDescent="0.35"/>
    <row r="1125" x14ac:dyDescent="0.35"/>
    <row r="1126" x14ac:dyDescent="0.35"/>
    <row r="1127" x14ac:dyDescent="0.35"/>
    <row r="1128" x14ac:dyDescent="0.35"/>
    <row r="1129" x14ac:dyDescent="0.35"/>
    <row r="1130" x14ac:dyDescent="0.35"/>
    <row r="1131" x14ac:dyDescent="0.35"/>
    <row r="1132" x14ac:dyDescent="0.35"/>
    <row r="1133" x14ac:dyDescent="0.35"/>
    <row r="1134" x14ac:dyDescent="0.35"/>
    <row r="1135" x14ac:dyDescent="0.35"/>
    <row r="1136" x14ac:dyDescent="0.35"/>
    <row r="1137" x14ac:dyDescent="0.35"/>
    <row r="1138" x14ac:dyDescent="0.35"/>
    <row r="1139" x14ac:dyDescent="0.35"/>
    <row r="1140" x14ac:dyDescent="0.35"/>
    <row r="1141" x14ac:dyDescent="0.35"/>
    <row r="1142" x14ac:dyDescent="0.35"/>
    <row r="1143" x14ac:dyDescent="0.35"/>
    <row r="1144" x14ac:dyDescent="0.35"/>
    <row r="1145" x14ac:dyDescent="0.35"/>
    <row r="1146" x14ac:dyDescent="0.35"/>
    <row r="1147" x14ac:dyDescent="0.35"/>
    <row r="1148" x14ac:dyDescent="0.35"/>
    <row r="1149" x14ac:dyDescent="0.35"/>
    <row r="1150" x14ac:dyDescent="0.35"/>
    <row r="1151" x14ac:dyDescent="0.35"/>
    <row r="1152" x14ac:dyDescent="0.35"/>
    <row r="1153" x14ac:dyDescent="0.35"/>
    <row r="1154" x14ac:dyDescent="0.35"/>
    <row r="1155" x14ac:dyDescent="0.35"/>
    <row r="1156" x14ac:dyDescent="0.35"/>
    <row r="1157" x14ac:dyDescent="0.35"/>
    <row r="1158" x14ac:dyDescent="0.35"/>
    <row r="1159" x14ac:dyDescent="0.35"/>
    <row r="1160" x14ac:dyDescent="0.35"/>
    <row r="1161" x14ac:dyDescent="0.35"/>
    <row r="1162" x14ac:dyDescent="0.35"/>
    <row r="1163" x14ac:dyDescent="0.35"/>
    <row r="1164" x14ac:dyDescent="0.35"/>
    <row r="1165" x14ac:dyDescent="0.35"/>
    <row r="1166" x14ac:dyDescent="0.35"/>
    <row r="1167" x14ac:dyDescent="0.35"/>
    <row r="1168" x14ac:dyDescent="0.35"/>
    <row r="1169" x14ac:dyDescent="0.35"/>
    <row r="1170" x14ac:dyDescent="0.35"/>
    <row r="1171" x14ac:dyDescent="0.35"/>
    <row r="1172" x14ac:dyDescent="0.35"/>
    <row r="1173" x14ac:dyDescent="0.35"/>
    <row r="1174" x14ac:dyDescent="0.35"/>
    <row r="1175" x14ac:dyDescent="0.35"/>
    <row r="1176" x14ac:dyDescent="0.35"/>
    <row r="1177" x14ac:dyDescent="0.35"/>
    <row r="1178" x14ac:dyDescent="0.35"/>
    <row r="1179" x14ac:dyDescent="0.35"/>
    <row r="1180" x14ac:dyDescent="0.35"/>
    <row r="1181" x14ac:dyDescent="0.35"/>
    <row r="1182" x14ac:dyDescent="0.35"/>
    <row r="1183" x14ac:dyDescent="0.35"/>
    <row r="1184" x14ac:dyDescent="0.35"/>
    <row r="1185" x14ac:dyDescent="0.35"/>
    <row r="1186" x14ac:dyDescent="0.35"/>
    <row r="1187" x14ac:dyDescent="0.35"/>
    <row r="1188" x14ac:dyDescent="0.35"/>
    <row r="1189" x14ac:dyDescent="0.35"/>
    <row r="1190" x14ac:dyDescent="0.35"/>
    <row r="1191" x14ac:dyDescent="0.35"/>
    <row r="1192" x14ac:dyDescent="0.35"/>
    <row r="1193" x14ac:dyDescent="0.35"/>
    <row r="1194" x14ac:dyDescent="0.35"/>
    <row r="1195" x14ac:dyDescent="0.35"/>
    <row r="1196" x14ac:dyDescent="0.35"/>
    <row r="1197" x14ac:dyDescent="0.35"/>
    <row r="1198" x14ac:dyDescent="0.35"/>
    <row r="1199" x14ac:dyDescent="0.35"/>
    <row r="1200" x14ac:dyDescent="0.35"/>
    <row r="1201" x14ac:dyDescent="0.35"/>
    <row r="1202" x14ac:dyDescent="0.35"/>
    <row r="1203" x14ac:dyDescent="0.35"/>
    <row r="1204" x14ac:dyDescent="0.35"/>
    <row r="1205" x14ac:dyDescent="0.35"/>
    <row r="1206" x14ac:dyDescent="0.35"/>
    <row r="1207" x14ac:dyDescent="0.35"/>
    <row r="1208" x14ac:dyDescent="0.35"/>
    <row r="1209" x14ac:dyDescent="0.35"/>
    <row r="1210" x14ac:dyDescent="0.35"/>
    <row r="1211" x14ac:dyDescent="0.35"/>
    <row r="1212" x14ac:dyDescent="0.35"/>
    <row r="1213" x14ac:dyDescent="0.35"/>
    <row r="1214" x14ac:dyDescent="0.35"/>
    <row r="1215" x14ac:dyDescent="0.35"/>
    <row r="1216" x14ac:dyDescent="0.35"/>
    <row r="1217" x14ac:dyDescent="0.35"/>
    <row r="1218" x14ac:dyDescent="0.35"/>
    <row r="1219" x14ac:dyDescent="0.35"/>
    <row r="1220" x14ac:dyDescent="0.35"/>
    <row r="1221" x14ac:dyDescent="0.35"/>
    <row r="1222" x14ac:dyDescent="0.35"/>
    <row r="1223" x14ac:dyDescent="0.35"/>
    <row r="1224" x14ac:dyDescent="0.35"/>
    <row r="1225" x14ac:dyDescent="0.35"/>
    <row r="1226" x14ac:dyDescent="0.35"/>
    <row r="1227" x14ac:dyDescent="0.35"/>
    <row r="1228" x14ac:dyDescent="0.35"/>
    <row r="1229" x14ac:dyDescent="0.35"/>
    <row r="1230" x14ac:dyDescent="0.35"/>
    <row r="1231" x14ac:dyDescent="0.35"/>
    <row r="1232" x14ac:dyDescent="0.35"/>
    <row r="1233" x14ac:dyDescent="0.35"/>
    <row r="1234" x14ac:dyDescent="0.35"/>
    <row r="1235" x14ac:dyDescent="0.35"/>
    <row r="1236" x14ac:dyDescent="0.35"/>
    <row r="1237" x14ac:dyDescent="0.35"/>
    <row r="1238" x14ac:dyDescent="0.35"/>
    <row r="1239" x14ac:dyDescent="0.35"/>
    <row r="1240" x14ac:dyDescent="0.35"/>
    <row r="1241" x14ac:dyDescent="0.35"/>
    <row r="1242" x14ac:dyDescent="0.35"/>
    <row r="1243" x14ac:dyDescent="0.35"/>
    <row r="1244" x14ac:dyDescent="0.35"/>
    <row r="1245" x14ac:dyDescent="0.35"/>
    <row r="1246" x14ac:dyDescent="0.35"/>
    <row r="1247" x14ac:dyDescent="0.35"/>
    <row r="1248" x14ac:dyDescent="0.35"/>
    <row r="1249" x14ac:dyDescent="0.35"/>
    <row r="1250" x14ac:dyDescent="0.35"/>
    <row r="1251" x14ac:dyDescent="0.35"/>
    <row r="1252" x14ac:dyDescent="0.35"/>
    <row r="1253" x14ac:dyDescent="0.35"/>
    <row r="1254" x14ac:dyDescent="0.35"/>
    <row r="1255" x14ac:dyDescent="0.35"/>
    <row r="1256" x14ac:dyDescent="0.35"/>
    <row r="1257" x14ac:dyDescent="0.35"/>
    <row r="1258" x14ac:dyDescent="0.35"/>
    <row r="1259" x14ac:dyDescent="0.35"/>
    <row r="1260" x14ac:dyDescent="0.35"/>
    <row r="1261" x14ac:dyDescent="0.35"/>
    <row r="1262" x14ac:dyDescent="0.35"/>
    <row r="1263" x14ac:dyDescent="0.35"/>
    <row r="1264" x14ac:dyDescent="0.35"/>
    <row r="1265" x14ac:dyDescent="0.35"/>
    <row r="1266" x14ac:dyDescent="0.35"/>
    <row r="1267" x14ac:dyDescent="0.35"/>
    <row r="1268" x14ac:dyDescent="0.35"/>
    <row r="1269" x14ac:dyDescent="0.35"/>
    <row r="1270" x14ac:dyDescent="0.35"/>
    <row r="1271" x14ac:dyDescent="0.35"/>
    <row r="1272" x14ac:dyDescent="0.35"/>
    <row r="1273" x14ac:dyDescent="0.35"/>
    <row r="1274" x14ac:dyDescent="0.35"/>
    <row r="1275" x14ac:dyDescent="0.35"/>
    <row r="1276" x14ac:dyDescent="0.35"/>
    <row r="1277" x14ac:dyDescent="0.35"/>
    <row r="1278" x14ac:dyDescent="0.35"/>
    <row r="1279" x14ac:dyDescent="0.35"/>
    <row r="1280" x14ac:dyDescent="0.35"/>
    <row r="1281" x14ac:dyDescent="0.35"/>
    <row r="1282" x14ac:dyDescent="0.35"/>
    <row r="1283" x14ac:dyDescent="0.35"/>
    <row r="1284" x14ac:dyDescent="0.35"/>
    <row r="1285" x14ac:dyDescent="0.35"/>
    <row r="1286" x14ac:dyDescent="0.35"/>
    <row r="1287" x14ac:dyDescent="0.35"/>
    <row r="1288" x14ac:dyDescent="0.35"/>
    <row r="1289" x14ac:dyDescent="0.35"/>
    <row r="1290" x14ac:dyDescent="0.35"/>
    <row r="1291" x14ac:dyDescent="0.35"/>
    <row r="1292" x14ac:dyDescent="0.35"/>
    <row r="1293" x14ac:dyDescent="0.35"/>
    <row r="1294" x14ac:dyDescent="0.35"/>
    <row r="1295" x14ac:dyDescent="0.35"/>
    <row r="1296" x14ac:dyDescent="0.35"/>
    <row r="1297" x14ac:dyDescent="0.35"/>
    <row r="1298" x14ac:dyDescent="0.35"/>
    <row r="1299" x14ac:dyDescent="0.35"/>
    <row r="1300" x14ac:dyDescent="0.35"/>
    <row r="1301" x14ac:dyDescent="0.35"/>
    <row r="1302" x14ac:dyDescent="0.35"/>
    <row r="1303" x14ac:dyDescent="0.35"/>
    <row r="1304" x14ac:dyDescent="0.35"/>
    <row r="1305" x14ac:dyDescent="0.35"/>
    <row r="1306" x14ac:dyDescent="0.35"/>
    <row r="1307" x14ac:dyDescent="0.35"/>
    <row r="1308" x14ac:dyDescent="0.35"/>
    <row r="1309" x14ac:dyDescent="0.35"/>
    <row r="1310" x14ac:dyDescent="0.35"/>
    <row r="1311" x14ac:dyDescent="0.35"/>
    <row r="1312" x14ac:dyDescent="0.35"/>
    <row r="1313" x14ac:dyDescent="0.35"/>
    <row r="1314" x14ac:dyDescent="0.35"/>
    <row r="1315" x14ac:dyDescent="0.35"/>
    <row r="1316" x14ac:dyDescent="0.35"/>
    <row r="1317" x14ac:dyDescent="0.35"/>
    <row r="1318" x14ac:dyDescent="0.35"/>
    <row r="1319" x14ac:dyDescent="0.35"/>
    <row r="1320" x14ac:dyDescent="0.35"/>
    <row r="1321" x14ac:dyDescent="0.35"/>
    <row r="1322" x14ac:dyDescent="0.35"/>
    <row r="1323" x14ac:dyDescent="0.35"/>
    <row r="1324" x14ac:dyDescent="0.35"/>
    <row r="1325" x14ac:dyDescent="0.35"/>
    <row r="1326" x14ac:dyDescent="0.35"/>
    <row r="1327" x14ac:dyDescent="0.35"/>
    <row r="1328" x14ac:dyDescent="0.35"/>
    <row r="1329" x14ac:dyDescent="0.35"/>
    <row r="1330" x14ac:dyDescent="0.35"/>
    <row r="1331" x14ac:dyDescent="0.35"/>
    <row r="1332" x14ac:dyDescent="0.35"/>
    <row r="1333" x14ac:dyDescent="0.35"/>
    <row r="1334" x14ac:dyDescent="0.35"/>
    <row r="1335" x14ac:dyDescent="0.35"/>
    <row r="1336" x14ac:dyDescent="0.35"/>
    <row r="1337" x14ac:dyDescent="0.35"/>
    <row r="1338" x14ac:dyDescent="0.35"/>
    <row r="1339" x14ac:dyDescent="0.35"/>
    <row r="1340" x14ac:dyDescent="0.35"/>
    <row r="1341" x14ac:dyDescent="0.35"/>
    <row r="1342" x14ac:dyDescent="0.35"/>
    <row r="1343" x14ac:dyDescent="0.35"/>
    <row r="1344" x14ac:dyDescent="0.35"/>
    <row r="1345" x14ac:dyDescent="0.35"/>
    <row r="1346" x14ac:dyDescent="0.35"/>
    <row r="1347" x14ac:dyDescent="0.35"/>
    <row r="1348" x14ac:dyDescent="0.35"/>
    <row r="1349" x14ac:dyDescent="0.35"/>
    <row r="1350" x14ac:dyDescent="0.35"/>
    <row r="1351" x14ac:dyDescent="0.35"/>
    <row r="1352" x14ac:dyDescent="0.35"/>
    <row r="1353" x14ac:dyDescent="0.35"/>
    <row r="1354" x14ac:dyDescent="0.35"/>
    <row r="1355" x14ac:dyDescent="0.35"/>
    <row r="1356" x14ac:dyDescent="0.35"/>
    <row r="1357" x14ac:dyDescent="0.35"/>
    <row r="1358" x14ac:dyDescent="0.35"/>
    <row r="1359" x14ac:dyDescent="0.35"/>
    <row r="1360" x14ac:dyDescent="0.35"/>
    <row r="1361" x14ac:dyDescent="0.35"/>
    <row r="1362" x14ac:dyDescent="0.35"/>
    <row r="1363" x14ac:dyDescent="0.35"/>
    <row r="1364" x14ac:dyDescent="0.35"/>
    <row r="1365" x14ac:dyDescent="0.35"/>
    <row r="1366" x14ac:dyDescent="0.35"/>
    <row r="1367" x14ac:dyDescent="0.35"/>
    <row r="1368" x14ac:dyDescent="0.35"/>
    <row r="1369" x14ac:dyDescent="0.35"/>
    <row r="1370" x14ac:dyDescent="0.35"/>
    <row r="1371" x14ac:dyDescent="0.35"/>
    <row r="1372" x14ac:dyDescent="0.35"/>
    <row r="1373" x14ac:dyDescent="0.35"/>
    <row r="1374" x14ac:dyDescent="0.35"/>
    <row r="1375" x14ac:dyDescent="0.35"/>
    <row r="1376" x14ac:dyDescent="0.35"/>
    <row r="1377" x14ac:dyDescent="0.35"/>
    <row r="1378" x14ac:dyDescent="0.35"/>
    <row r="1379" x14ac:dyDescent="0.35"/>
    <row r="1380" x14ac:dyDescent="0.35"/>
    <row r="1381" x14ac:dyDescent="0.35"/>
    <row r="1382" x14ac:dyDescent="0.35"/>
    <row r="1383" x14ac:dyDescent="0.35"/>
    <row r="1384" x14ac:dyDescent="0.35"/>
    <row r="1385" x14ac:dyDescent="0.35"/>
    <row r="1386" x14ac:dyDescent="0.35"/>
    <row r="1387" x14ac:dyDescent="0.35"/>
    <row r="1388" x14ac:dyDescent="0.35"/>
    <row r="1389" x14ac:dyDescent="0.35"/>
    <row r="1390" x14ac:dyDescent="0.35"/>
    <row r="1391" x14ac:dyDescent="0.35"/>
    <row r="1392" x14ac:dyDescent="0.35"/>
    <row r="1393" x14ac:dyDescent="0.35"/>
    <row r="1394" x14ac:dyDescent="0.35"/>
    <row r="1395" x14ac:dyDescent="0.35"/>
    <row r="1396" x14ac:dyDescent="0.35"/>
    <row r="1397" x14ac:dyDescent="0.35"/>
    <row r="1398" x14ac:dyDescent="0.35"/>
    <row r="1399" x14ac:dyDescent="0.35"/>
    <row r="1400" x14ac:dyDescent="0.35"/>
    <row r="1401" x14ac:dyDescent="0.35"/>
    <row r="1402" x14ac:dyDescent="0.35"/>
    <row r="1403" x14ac:dyDescent="0.35"/>
    <row r="1404" x14ac:dyDescent="0.35"/>
    <row r="1405" x14ac:dyDescent="0.35"/>
    <row r="1406" x14ac:dyDescent="0.35"/>
    <row r="1407" x14ac:dyDescent="0.35"/>
    <row r="1408" x14ac:dyDescent="0.35"/>
    <row r="1409" x14ac:dyDescent="0.35"/>
    <row r="1410" x14ac:dyDescent="0.35"/>
    <row r="1411" x14ac:dyDescent="0.35"/>
    <row r="1412" x14ac:dyDescent="0.35"/>
    <row r="1413" x14ac:dyDescent="0.35"/>
    <row r="1414" x14ac:dyDescent="0.35"/>
    <row r="1415" x14ac:dyDescent="0.35"/>
    <row r="1416" x14ac:dyDescent="0.35"/>
    <row r="1417" x14ac:dyDescent="0.35"/>
    <row r="1418" x14ac:dyDescent="0.35"/>
    <row r="1419" x14ac:dyDescent="0.35"/>
    <row r="1420" x14ac:dyDescent="0.35"/>
    <row r="1421" x14ac:dyDescent="0.35"/>
    <row r="1422" x14ac:dyDescent="0.35"/>
    <row r="1423" x14ac:dyDescent="0.35"/>
    <row r="1424" x14ac:dyDescent="0.35"/>
    <row r="1425" x14ac:dyDescent="0.35"/>
    <row r="1426" x14ac:dyDescent="0.35"/>
    <row r="1427" x14ac:dyDescent="0.35"/>
    <row r="1428" x14ac:dyDescent="0.35"/>
    <row r="1429" x14ac:dyDescent="0.35"/>
    <row r="1430" x14ac:dyDescent="0.35"/>
    <row r="1431" x14ac:dyDescent="0.35"/>
    <row r="1432" x14ac:dyDescent="0.35"/>
    <row r="1433" x14ac:dyDescent="0.35"/>
    <row r="1434" x14ac:dyDescent="0.35"/>
    <row r="1435" x14ac:dyDescent="0.35"/>
    <row r="1436" x14ac:dyDescent="0.35"/>
    <row r="1437" x14ac:dyDescent="0.35"/>
    <row r="1438" x14ac:dyDescent="0.35"/>
    <row r="1439" x14ac:dyDescent="0.35"/>
    <row r="1440" x14ac:dyDescent="0.35"/>
    <row r="1441" x14ac:dyDescent="0.35"/>
    <row r="1442" x14ac:dyDescent="0.35"/>
    <row r="1443" x14ac:dyDescent="0.35"/>
    <row r="1444" x14ac:dyDescent="0.35"/>
    <row r="1445" x14ac:dyDescent="0.35"/>
    <row r="1446" x14ac:dyDescent="0.35"/>
    <row r="1447" x14ac:dyDescent="0.35"/>
    <row r="1448" x14ac:dyDescent="0.35"/>
    <row r="1449" x14ac:dyDescent="0.35"/>
    <row r="1450" x14ac:dyDescent="0.35"/>
    <row r="1451" x14ac:dyDescent="0.35"/>
    <row r="1452" x14ac:dyDescent="0.35"/>
    <row r="1453" x14ac:dyDescent="0.35"/>
    <row r="1454" x14ac:dyDescent="0.35"/>
    <row r="1455" x14ac:dyDescent="0.35"/>
    <row r="1456" x14ac:dyDescent="0.35"/>
    <row r="1457" x14ac:dyDescent="0.35"/>
    <row r="1458" x14ac:dyDescent="0.35"/>
    <row r="1459" x14ac:dyDescent="0.35"/>
    <row r="1460" x14ac:dyDescent="0.35"/>
    <row r="1461" x14ac:dyDescent="0.35"/>
    <row r="1462" x14ac:dyDescent="0.35"/>
    <row r="1463" x14ac:dyDescent="0.35"/>
    <row r="1464" x14ac:dyDescent="0.35"/>
    <row r="1465" x14ac:dyDescent="0.35"/>
    <row r="1466" x14ac:dyDescent="0.35"/>
    <row r="1467" x14ac:dyDescent="0.35"/>
    <row r="1468" x14ac:dyDescent="0.35"/>
    <row r="1469" x14ac:dyDescent="0.35"/>
    <row r="1470" x14ac:dyDescent="0.35"/>
    <row r="1471" x14ac:dyDescent="0.35"/>
    <row r="1472" x14ac:dyDescent="0.35"/>
    <row r="1473" x14ac:dyDescent="0.35"/>
    <row r="1474" x14ac:dyDescent="0.35"/>
    <row r="1475" x14ac:dyDescent="0.35"/>
    <row r="1476" x14ac:dyDescent="0.35"/>
    <row r="1477" x14ac:dyDescent="0.35"/>
    <row r="1478" x14ac:dyDescent="0.35"/>
    <row r="1479" x14ac:dyDescent="0.35"/>
    <row r="1480" x14ac:dyDescent="0.35"/>
    <row r="1481" x14ac:dyDescent="0.35"/>
    <row r="1482" x14ac:dyDescent="0.35"/>
    <row r="1483" x14ac:dyDescent="0.35"/>
    <row r="1484" x14ac:dyDescent="0.35"/>
    <row r="1485" x14ac:dyDescent="0.35"/>
    <row r="1486" x14ac:dyDescent="0.35"/>
    <row r="1487" x14ac:dyDescent="0.35"/>
    <row r="1488" x14ac:dyDescent="0.35"/>
    <row r="1489" x14ac:dyDescent="0.35"/>
    <row r="1490" x14ac:dyDescent="0.35"/>
    <row r="1491" x14ac:dyDescent="0.35"/>
    <row r="1492" x14ac:dyDescent="0.35"/>
    <row r="1493" x14ac:dyDescent="0.35"/>
    <row r="1494" x14ac:dyDescent="0.35"/>
    <row r="1495" x14ac:dyDescent="0.35"/>
    <row r="1496" x14ac:dyDescent="0.35"/>
    <row r="1497" x14ac:dyDescent="0.35"/>
    <row r="1498" x14ac:dyDescent="0.35"/>
    <row r="1499" x14ac:dyDescent="0.35"/>
    <row r="1500" x14ac:dyDescent="0.35"/>
    <row r="1501" x14ac:dyDescent="0.35"/>
    <row r="1502" x14ac:dyDescent="0.35"/>
    <row r="1503" x14ac:dyDescent="0.35"/>
    <row r="1504" x14ac:dyDescent="0.35"/>
    <row r="1505" x14ac:dyDescent="0.35"/>
    <row r="1506" x14ac:dyDescent="0.35"/>
    <row r="1507" x14ac:dyDescent="0.35"/>
    <row r="1508" x14ac:dyDescent="0.35"/>
    <row r="1509" x14ac:dyDescent="0.35"/>
    <row r="1510" x14ac:dyDescent="0.35"/>
    <row r="1511" x14ac:dyDescent="0.35"/>
    <row r="1512" x14ac:dyDescent="0.35"/>
    <row r="1513" x14ac:dyDescent="0.35"/>
    <row r="1514" x14ac:dyDescent="0.35"/>
    <row r="1515" x14ac:dyDescent="0.35"/>
    <row r="1516" x14ac:dyDescent="0.35"/>
    <row r="1517" x14ac:dyDescent="0.35"/>
    <row r="1518" x14ac:dyDescent="0.35"/>
    <row r="1519" x14ac:dyDescent="0.35"/>
    <row r="1520" x14ac:dyDescent="0.35"/>
    <row r="1521" x14ac:dyDescent="0.35"/>
    <row r="1522" x14ac:dyDescent="0.35"/>
    <row r="1523" x14ac:dyDescent="0.35"/>
    <row r="1524" x14ac:dyDescent="0.35"/>
    <row r="1525" x14ac:dyDescent="0.35"/>
    <row r="1526" x14ac:dyDescent="0.35"/>
    <row r="1527" x14ac:dyDescent="0.35"/>
    <row r="1528" x14ac:dyDescent="0.35"/>
    <row r="1529" x14ac:dyDescent="0.35"/>
    <row r="1530" x14ac:dyDescent="0.35"/>
    <row r="1531" x14ac:dyDescent="0.35"/>
    <row r="1532" x14ac:dyDescent="0.35"/>
    <row r="1533" x14ac:dyDescent="0.35"/>
    <row r="1534" x14ac:dyDescent="0.35"/>
    <row r="1535" x14ac:dyDescent="0.35"/>
    <row r="1536" x14ac:dyDescent="0.35"/>
    <row r="1537" x14ac:dyDescent="0.35"/>
    <row r="1538" x14ac:dyDescent="0.35"/>
    <row r="1539" x14ac:dyDescent="0.35"/>
    <row r="1540" x14ac:dyDescent="0.35"/>
    <row r="1541" x14ac:dyDescent="0.35"/>
    <row r="1542" x14ac:dyDescent="0.35"/>
    <row r="1543" x14ac:dyDescent="0.35"/>
    <row r="1544" x14ac:dyDescent="0.35"/>
    <row r="1545" x14ac:dyDescent="0.35"/>
    <row r="1546" x14ac:dyDescent="0.35"/>
    <row r="1547" x14ac:dyDescent="0.35"/>
    <row r="1548" x14ac:dyDescent="0.35"/>
    <row r="1549" x14ac:dyDescent="0.35"/>
    <row r="1550" x14ac:dyDescent="0.35"/>
    <row r="1551" x14ac:dyDescent="0.35"/>
    <row r="1552" x14ac:dyDescent="0.35"/>
    <row r="1553" x14ac:dyDescent="0.35"/>
    <row r="1554" x14ac:dyDescent="0.35"/>
    <row r="1555" x14ac:dyDescent="0.35"/>
    <row r="1556" x14ac:dyDescent="0.35"/>
    <row r="1557" x14ac:dyDescent="0.35"/>
    <row r="1558" x14ac:dyDescent="0.35"/>
    <row r="1559" x14ac:dyDescent="0.35"/>
    <row r="1560" x14ac:dyDescent="0.35"/>
    <row r="1561" x14ac:dyDescent="0.35"/>
    <row r="1562" x14ac:dyDescent="0.35"/>
    <row r="1563" x14ac:dyDescent="0.35"/>
    <row r="1564" x14ac:dyDescent="0.35"/>
    <row r="1565" x14ac:dyDescent="0.35"/>
    <row r="1566" x14ac:dyDescent="0.35"/>
    <row r="1567" x14ac:dyDescent="0.35"/>
    <row r="1568" x14ac:dyDescent="0.35"/>
    <row r="1569" x14ac:dyDescent="0.35"/>
    <row r="1570" x14ac:dyDescent="0.35"/>
    <row r="1571" x14ac:dyDescent="0.35"/>
    <row r="1572" x14ac:dyDescent="0.35"/>
    <row r="1573" x14ac:dyDescent="0.35"/>
    <row r="1574" x14ac:dyDescent="0.35"/>
    <row r="1575" x14ac:dyDescent="0.35"/>
    <row r="1576" x14ac:dyDescent="0.35"/>
    <row r="1577" x14ac:dyDescent="0.35"/>
    <row r="1578" x14ac:dyDescent="0.35"/>
    <row r="1579" x14ac:dyDescent="0.35"/>
    <row r="1580" x14ac:dyDescent="0.35"/>
    <row r="1581" x14ac:dyDescent="0.35"/>
    <row r="1582" x14ac:dyDescent="0.35"/>
    <row r="1583" x14ac:dyDescent="0.35"/>
    <row r="1584" x14ac:dyDescent="0.35"/>
    <row r="1585" x14ac:dyDescent="0.35"/>
    <row r="1586" x14ac:dyDescent="0.35"/>
    <row r="1587" x14ac:dyDescent="0.35"/>
    <row r="1588" x14ac:dyDescent="0.35"/>
    <row r="1589" x14ac:dyDescent="0.35"/>
    <row r="1590" x14ac:dyDescent="0.35"/>
    <row r="1591" x14ac:dyDescent="0.35"/>
    <row r="1592" x14ac:dyDescent="0.35"/>
    <row r="1593" x14ac:dyDescent="0.35"/>
    <row r="1594" x14ac:dyDescent="0.35"/>
    <row r="1595" x14ac:dyDescent="0.35"/>
    <row r="1596" x14ac:dyDescent="0.35"/>
    <row r="1597" x14ac:dyDescent="0.35"/>
    <row r="1598" x14ac:dyDescent="0.35"/>
    <row r="1599" x14ac:dyDescent="0.35"/>
    <row r="1600" x14ac:dyDescent="0.35"/>
    <row r="1601" x14ac:dyDescent="0.35"/>
    <row r="1602" x14ac:dyDescent="0.35"/>
    <row r="1603" x14ac:dyDescent="0.35"/>
    <row r="1604" x14ac:dyDescent="0.35"/>
    <row r="1605" x14ac:dyDescent="0.35"/>
    <row r="1606" x14ac:dyDescent="0.35"/>
    <row r="1607" x14ac:dyDescent="0.35"/>
    <row r="1608" x14ac:dyDescent="0.35"/>
    <row r="1609" x14ac:dyDescent="0.35"/>
    <row r="1610" x14ac:dyDescent="0.35"/>
    <row r="1611" x14ac:dyDescent="0.35"/>
    <row r="1612" x14ac:dyDescent="0.35"/>
    <row r="1613" x14ac:dyDescent="0.35"/>
    <row r="1614" x14ac:dyDescent="0.35"/>
    <row r="1615" x14ac:dyDescent="0.35"/>
    <row r="1616" x14ac:dyDescent="0.35"/>
    <row r="1617" x14ac:dyDescent="0.35"/>
    <row r="1618" x14ac:dyDescent="0.35"/>
    <row r="1619" x14ac:dyDescent="0.35"/>
    <row r="1620" x14ac:dyDescent="0.35"/>
    <row r="1621" x14ac:dyDescent="0.35"/>
    <row r="1622" x14ac:dyDescent="0.35"/>
    <row r="1623" x14ac:dyDescent="0.35"/>
    <row r="1624" x14ac:dyDescent="0.35"/>
    <row r="1625" x14ac:dyDescent="0.35"/>
    <row r="1626" x14ac:dyDescent="0.35"/>
    <row r="1627" x14ac:dyDescent="0.35"/>
    <row r="1628" x14ac:dyDescent="0.35"/>
    <row r="1629" x14ac:dyDescent="0.35"/>
    <row r="1630" x14ac:dyDescent="0.35"/>
    <row r="1631" x14ac:dyDescent="0.35"/>
    <row r="1632" x14ac:dyDescent="0.35"/>
    <row r="1633" x14ac:dyDescent="0.35"/>
    <row r="1634" x14ac:dyDescent="0.35"/>
    <row r="1635" x14ac:dyDescent="0.35"/>
    <row r="1636" x14ac:dyDescent="0.35"/>
    <row r="1637" x14ac:dyDescent="0.35"/>
    <row r="1638" x14ac:dyDescent="0.35"/>
    <row r="1639" x14ac:dyDescent="0.35"/>
    <row r="1640" x14ac:dyDescent="0.35"/>
    <row r="1641" x14ac:dyDescent="0.35"/>
    <row r="1642" x14ac:dyDescent="0.35"/>
    <row r="1643" x14ac:dyDescent="0.35"/>
    <row r="1644" x14ac:dyDescent="0.35"/>
    <row r="1645" x14ac:dyDescent="0.35"/>
    <row r="1646" x14ac:dyDescent="0.35"/>
    <row r="1647" x14ac:dyDescent="0.35"/>
    <row r="1648" x14ac:dyDescent="0.35"/>
    <row r="1649" x14ac:dyDescent="0.35"/>
    <row r="1650" x14ac:dyDescent="0.35"/>
    <row r="1651" x14ac:dyDescent="0.35"/>
    <row r="1652" x14ac:dyDescent="0.35"/>
    <row r="1653" x14ac:dyDescent="0.35"/>
    <row r="1654" x14ac:dyDescent="0.35"/>
    <row r="1655" x14ac:dyDescent="0.35"/>
    <row r="1656" x14ac:dyDescent="0.35"/>
    <row r="1657" x14ac:dyDescent="0.35"/>
    <row r="1658" x14ac:dyDescent="0.35"/>
    <row r="1659" x14ac:dyDescent="0.35"/>
    <row r="1660" x14ac:dyDescent="0.35"/>
    <row r="1661" x14ac:dyDescent="0.35"/>
    <row r="1662" x14ac:dyDescent="0.35"/>
    <row r="1663" x14ac:dyDescent="0.35"/>
    <row r="1664" x14ac:dyDescent="0.35"/>
    <row r="1665" x14ac:dyDescent="0.35"/>
    <row r="1666" x14ac:dyDescent="0.35"/>
    <row r="1667" x14ac:dyDescent="0.35"/>
    <row r="1668" x14ac:dyDescent="0.35"/>
    <row r="1669" x14ac:dyDescent="0.35"/>
    <row r="1670" x14ac:dyDescent="0.35"/>
    <row r="1671" x14ac:dyDescent="0.35"/>
    <row r="1672" x14ac:dyDescent="0.35"/>
    <row r="1673" x14ac:dyDescent="0.35"/>
    <row r="1674" x14ac:dyDescent="0.35"/>
    <row r="1675" x14ac:dyDescent="0.35"/>
    <row r="1676" x14ac:dyDescent="0.35"/>
    <row r="1677" x14ac:dyDescent="0.35"/>
    <row r="1678" x14ac:dyDescent="0.35"/>
    <row r="1679" x14ac:dyDescent="0.35"/>
    <row r="1680" x14ac:dyDescent="0.35"/>
    <row r="1681" x14ac:dyDescent="0.35"/>
    <row r="1682" x14ac:dyDescent="0.35"/>
    <row r="1683" x14ac:dyDescent="0.35"/>
    <row r="1684" x14ac:dyDescent="0.35"/>
    <row r="1685" x14ac:dyDescent="0.35"/>
    <row r="1686" x14ac:dyDescent="0.35"/>
    <row r="1687" x14ac:dyDescent="0.35"/>
    <row r="1688" x14ac:dyDescent="0.35"/>
    <row r="1689" x14ac:dyDescent="0.35"/>
    <row r="1690" x14ac:dyDescent="0.35"/>
    <row r="1691" x14ac:dyDescent="0.35"/>
    <row r="1692" x14ac:dyDescent="0.35"/>
    <row r="1693" x14ac:dyDescent="0.35"/>
    <row r="1694" x14ac:dyDescent="0.35"/>
    <row r="1695" x14ac:dyDescent="0.35"/>
    <row r="1696" x14ac:dyDescent="0.35"/>
    <row r="1697" x14ac:dyDescent="0.35"/>
    <row r="1698" x14ac:dyDescent="0.35"/>
    <row r="1699" x14ac:dyDescent="0.35"/>
    <row r="1700" x14ac:dyDescent="0.35"/>
    <row r="1701" x14ac:dyDescent="0.35"/>
    <row r="1702" x14ac:dyDescent="0.35"/>
    <row r="1703" x14ac:dyDescent="0.35"/>
    <row r="1704" x14ac:dyDescent="0.35"/>
    <row r="1705" x14ac:dyDescent="0.35"/>
    <row r="1706" x14ac:dyDescent="0.35"/>
    <row r="1707" x14ac:dyDescent="0.35"/>
    <row r="1708" x14ac:dyDescent="0.35"/>
    <row r="1709" x14ac:dyDescent="0.35"/>
    <row r="1710" x14ac:dyDescent="0.35"/>
    <row r="1711" x14ac:dyDescent="0.35"/>
    <row r="1712" x14ac:dyDescent="0.35"/>
    <row r="1713" x14ac:dyDescent="0.35"/>
    <row r="1714" x14ac:dyDescent="0.35"/>
    <row r="1715" x14ac:dyDescent="0.35"/>
    <row r="1716" x14ac:dyDescent="0.35"/>
    <row r="1717" x14ac:dyDescent="0.35"/>
    <row r="1718" x14ac:dyDescent="0.35"/>
    <row r="1719" x14ac:dyDescent="0.35"/>
    <row r="1720" x14ac:dyDescent="0.35"/>
    <row r="1721" x14ac:dyDescent="0.35"/>
    <row r="1722" x14ac:dyDescent="0.35"/>
    <row r="1723" x14ac:dyDescent="0.35"/>
    <row r="1724" x14ac:dyDescent="0.35"/>
    <row r="1725" x14ac:dyDescent="0.35"/>
    <row r="1726" x14ac:dyDescent="0.35"/>
    <row r="1727" x14ac:dyDescent="0.35"/>
    <row r="1728" x14ac:dyDescent="0.35"/>
    <row r="1729" x14ac:dyDescent="0.35"/>
    <row r="1730" x14ac:dyDescent="0.35"/>
    <row r="1731" x14ac:dyDescent="0.35"/>
    <row r="1732" x14ac:dyDescent="0.35"/>
    <row r="1733" x14ac:dyDescent="0.35"/>
    <row r="1734" x14ac:dyDescent="0.35"/>
    <row r="1735" x14ac:dyDescent="0.35"/>
    <row r="1736" x14ac:dyDescent="0.35"/>
    <row r="1737" x14ac:dyDescent="0.35"/>
    <row r="1738" x14ac:dyDescent="0.35"/>
    <row r="1739" x14ac:dyDescent="0.35"/>
    <row r="1740" x14ac:dyDescent="0.35"/>
    <row r="1741" x14ac:dyDescent="0.35"/>
    <row r="1742" x14ac:dyDescent="0.35"/>
    <row r="1743" x14ac:dyDescent="0.35"/>
    <row r="1744" x14ac:dyDescent="0.35"/>
    <row r="1745" x14ac:dyDescent="0.35"/>
    <row r="1746" x14ac:dyDescent="0.35"/>
    <row r="1747" x14ac:dyDescent="0.35"/>
    <row r="1748" x14ac:dyDescent="0.35"/>
    <row r="1749" x14ac:dyDescent="0.35"/>
    <row r="1750" x14ac:dyDescent="0.35"/>
    <row r="1751" x14ac:dyDescent="0.35"/>
    <row r="1752" x14ac:dyDescent="0.35"/>
    <row r="1753" x14ac:dyDescent="0.35"/>
    <row r="1754" x14ac:dyDescent="0.35"/>
    <row r="1755" x14ac:dyDescent="0.35"/>
    <row r="1756" x14ac:dyDescent="0.35"/>
    <row r="1757" x14ac:dyDescent="0.35"/>
    <row r="1758" x14ac:dyDescent="0.35"/>
    <row r="1759" x14ac:dyDescent="0.35"/>
    <row r="1760" x14ac:dyDescent="0.35"/>
    <row r="1761" x14ac:dyDescent="0.35"/>
    <row r="1762" x14ac:dyDescent="0.35"/>
    <row r="1763" x14ac:dyDescent="0.35"/>
    <row r="1764" x14ac:dyDescent="0.35"/>
    <row r="1765" x14ac:dyDescent="0.35"/>
    <row r="1766" x14ac:dyDescent="0.35"/>
    <row r="1767" x14ac:dyDescent="0.35"/>
    <row r="1768" x14ac:dyDescent="0.35"/>
    <row r="1769" x14ac:dyDescent="0.35"/>
    <row r="1770" x14ac:dyDescent="0.35"/>
    <row r="1771" x14ac:dyDescent="0.35"/>
    <row r="1772" x14ac:dyDescent="0.35"/>
    <row r="1773" x14ac:dyDescent="0.35"/>
    <row r="1774" x14ac:dyDescent="0.35"/>
    <row r="1775" x14ac:dyDescent="0.35"/>
    <row r="1776" x14ac:dyDescent="0.35"/>
    <row r="1777" x14ac:dyDescent="0.35"/>
    <row r="1778" x14ac:dyDescent="0.35"/>
    <row r="1779" x14ac:dyDescent="0.35"/>
    <row r="1780" x14ac:dyDescent="0.35"/>
    <row r="1781" x14ac:dyDescent="0.35"/>
    <row r="1782" x14ac:dyDescent="0.35"/>
    <row r="1783" x14ac:dyDescent="0.35"/>
    <row r="1784" x14ac:dyDescent="0.35"/>
    <row r="1785" x14ac:dyDescent="0.35"/>
    <row r="1786" x14ac:dyDescent="0.35"/>
    <row r="1787" x14ac:dyDescent="0.35"/>
    <row r="1788" x14ac:dyDescent="0.35"/>
    <row r="1789" x14ac:dyDescent="0.35"/>
    <row r="1790" x14ac:dyDescent="0.35"/>
    <row r="1791" x14ac:dyDescent="0.35"/>
    <row r="1792" x14ac:dyDescent="0.35"/>
    <row r="1793" x14ac:dyDescent="0.35"/>
    <row r="1794" x14ac:dyDescent="0.35"/>
    <row r="1795" x14ac:dyDescent="0.35"/>
    <row r="1796" x14ac:dyDescent="0.35"/>
    <row r="1797" x14ac:dyDescent="0.35"/>
    <row r="1798" x14ac:dyDescent="0.35"/>
    <row r="1799" x14ac:dyDescent="0.35"/>
    <row r="1800" x14ac:dyDescent="0.35"/>
    <row r="1801" x14ac:dyDescent="0.35"/>
    <row r="1802" x14ac:dyDescent="0.35"/>
    <row r="1803" x14ac:dyDescent="0.35"/>
    <row r="1804" x14ac:dyDescent="0.35"/>
    <row r="1805" x14ac:dyDescent="0.35"/>
    <row r="1806" x14ac:dyDescent="0.35"/>
    <row r="1807" x14ac:dyDescent="0.35"/>
    <row r="1808" x14ac:dyDescent="0.35"/>
    <row r="1809" x14ac:dyDescent="0.35"/>
    <row r="1810" x14ac:dyDescent="0.35"/>
    <row r="1811" x14ac:dyDescent="0.35"/>
    <row r="1812" x14ac:dyDescent="0.35"/>
    <row r="1813" x14ac:dyDescent="0.35"/>
    <row r="1814" x14ac:dyDescent="0.35"/>
    <row r="1815" x14ac:dyDescent="0.35"/>
    <row r="1816" x14ac:dyDescent="0.35"/>
    <row r="1817" x14ac:dyDescent="0.35"/>
    <row r="1818" x14ac:dyDescent="0.35"/>
    <row r="1819" x14ac:dyDescent="0.35"/>
    <row r="1820" x14ac:dyDescent="0.35"/>
    <row r="1821" x14ac:dyDescent="0.35"/>
    <row r="1822" x14ac:dyDescent="0.35"/>
    <row r="1823" x14ac:dyDescent="0.35"/>
    <row r="1824" x14ac:dyDescent="0.35"/>
    <row r="1825" x14ac:dyDescent="0.35"/>
    <row r="1826" x14ac:dyDescent="0.35"/>
    <row r="1827" x14ac:dyDescent="0.35"/>
    <row r="1828" x14ac:dyDescent="0.35"/>
    <row r="1829" x14ac:dyDescent="0.35"/>
    <row r="1830" x14ac:dyDescent="0.35"/>
    <row r="1831" x14ac:dyDescent="0.35"/>
    <row r="1832" x14ac:dyDescent="0.35"/>
    <row r="1833" x14ac:dyDescent="0.35"/>
    <row r="1834" x14ac:dyDescent="0.35"/>
    <row r="1835" x14ac:dyDescent="0.35"/>
    <row r="1836" x14ac:dyDescent="0.35"/>
    <row r="1837" x14ac:dyDescent="0.35"/>
    <row r="1838" x14ac:dyDescent="0.35"/>
    <row r="1839" x14ac:dyDescent="0.35"/>
    <row r="1840" x14ac:dyDescent="0.35"/>
    <row r="1841" x14ac:dyDescent="0.35"/>
    <row r="1842" x14ac:dyDescent="0.35"/>
    <row r="1843" x14ac:dyDescent="0.35"/>
    <row r="1844" x14ac:dyDescent="0.35"/>
    <row r="1845" x14ac:dyDescent="0.35"/>
    <row r="1846" x14ac:dyDescent="0.35"/>
    <row r="1847" x14ac:dyDescent="0.35"/>
    <row r="1848" x14ac:dyDescent="0.35"/>
    <row r="1849" x14ac:dyDescent="0.35"/>
    <row r="1850" x14ac:dyDescent="0.35"/>
    <row r="1851" x14ac:dyDescent="0.35"/>
    <row r="1852" x14ac:dyDescent="0.35"/>
    <row r="1853" x14ac:dyDescent="0.35"/>
    <row r="1854" x14ac:dyDescent="0.35"/>
    <row r="1855" x14ac:dyDescent="0.35"/>
    <row r="1856" x14ac:dyDescent="0.35"/>
    <row r="1857" x14ac:dyDescent="0.35"/>
    <row r="1858" x14ac:dyDescent="0.35"/>
    <row r="1859" x14ac:dyDescent="0.35"/>
    <row r="1860" x14ac:dyDescent="0.35"/>
    <row r="1861" x14ac:dyDescent="0.35"/>
    <row r="1862" x14ac:dyDescent="0.35"/>
    <row r="1863" x14ac:dyDescent="0.35"/>
    <row r="1864" x14ac:dyDescent="0.35"/>
    <row r="1865" x14ac:dyDescent="0.35"/>
    <row r="1866" x14ac:dyDescent="0.35"/>
    <row r="1867" x14ac:dyDescent="0.35"/>
    <row r="1868" x14ac:dyDescent="0.35"/>
    <row r="1869" x14ac:dyDescent="0.35"/>
    <row r="1870" x14ac:dyDescent="0.35"/>
    <row r="1871" x14ac:dyDescent="0.35"/>
    <row r="1872" x14ac:dyDescent="0.35"/>
    <row r="1873" x14ac:dyDescent="0.35"/>
    <row r="1874" x14ac:dyDescent="0.35"/>
    <row r="1875" x14ac:dyDescent="0.35"/>
    <row r="1876" x14ac:dyDescent="0.35"/>
    <row r="1877" x14ac:dyDescent="0.35"/>
    <row r="1878" x14ac:dyDescent="0.35"/>
    <row r="1879" x14ac:dyDescent="0.35"/>
    <row r="1880" x14ac:dyDescent="0.35"/>
    <row r="1881" x14ac:dyDescent="0.35"/>
    <row r="1882" x14ac:dyDescent="0.35"/>
    <row r="1883" x14ac:dyDescent="0.35"/>
    <row r="1884" x14ac:dyDescent="0.35"/>
    <row r="1885" x14ac:dyDescent="0.35"/>
    <row r="1886" x14ac:dyDescent="0.35"/>
    <row r="1887" x14ac:dyDescent="0.35"/>
    <row r="1888" x14ac:dyDescent="0.35"/>
    <row r="1889" x14ac:dyDescent="0.35"/>
    <row r="1890" x14ac:dyDescent="0.35"/>
    <row r="1891" x14ac:dyDescent="0.35"/>
    <row r="1892" x14ac:dyDescent="0.35"/>
    <row r="1893" x14ac:dyDescent="0.35"/>
    <row r="1894" x14ac:dyDescent="0.35"/>
    <row r="1895" x14ac:dyDescent="0.35"/>
    <row r="1896" x14ac:dyDescent="0.35"/>
    <row r="1897" x14ac:dyDescent="0.35"/>
    <row r="1898" x14ac:dyDescent="0.35"/>
    <row r="1899" x14ac:dyDescent="0.35"/>
    <row r="1900" x14ac:dyDescent="0.35"/>
    <row r="1901" x14ac:dyDescent="0.35"/>
    <row r="1902" x14ac:dyDescent="0.35"/>
    <row r="1903" x14ac:dyDescent="0.35"/>
    <row r="1904" x14ac:dyDescent="0.35"/>
    <row r="1905" x14ac:dyDescent="0.35"/>
    <row r="1906" x14ac:dyDescent="0.35"/>
    <row r="1907" x14ac:dyDescent="0.35"/>
    <row r="1908" x14ac:dyDescent="0.35"/>
    <row r="1909" x14ac:dyDescent="0.35"/>
    <row r="1910" x14ac:dyDescent="0.35"/>
    <row r="1911" x14ac:dyDescent="0.35"/>
    <row r="1912" x14ac:dyDescent="0.35"/>
    <row r="1913" x14ac:dyDescent="0.35"/>
    <row r="1914" x14ac:dyDescent="0.35"/>
    <row r="1915" x14ac:dyDescent="0.35"/>
    <row r="1916" x14ac:dyDescent="0.35"/>
    <row r="1917" x14ac:dyDescent="0.35"/>
    <row r="1918" x14ac:dyDescent="0.35"/>
    <row r="1919" x14ac:dyDescent="0.35"/>
    <row r="1920" x14ac:dyDescent="0.35"/>
    <row r="1921" x14ac:dyDescent="0.35"/>
    <row r="1922" x14ac:dyDescent="0.35"/>
    <row r="1923" x14ac:dyDescent="0.35"/>
    <row r="1924" x14ac:dyDescent="0.35"/>
    <row r="1925" x14ac:dyDescent="0.35"/>
    <row r="1926" x14ac:dyDescent="0.35"/>
    <row r="1927" x14ac:dyDescent="0.35"/>
    <row r="1928" x14ac:dyDescent="0.35"/>
    <row r="1929" x14ac:dyDescent="0.35"/>
    <row r="1930" x14ac:dyDescent="0.35"/>
    <row r="1931" x14ac:dyDescent="0.35"/>
    <row r="1932" x14ac:dyDescent="0.35"/>
    <row r="1933" x14ac:dyDescent="0.35"/>
    <row r="1934" x14ac:dyDescent="0.35"/>
    <row r="1935" x14ac:dyDescent="0.35"/>
    <row r="1936" x14ac:dyDescent="0.35"/>
    <row r="1937" x14ac:dyDescent="0.35"/>
    <row r="1938" x14ac:dyDescent="0.35"/>
    <row r="1939" x14ac:dyDescent="0.35"/>
    <row r="1940" x14ac:dyDescent="0.35"/>
    <row r="1941" x14ac:dyDescent="0.35"/>
    <row r="1942" x14ac:dyDescent="0.35"/>
    <row r="1943" x14ac:dyDescent="0.35"/>
    <row r="1944" x14ac:dyDescent="0.35"/>
    <row r="1945" x14ac:dyDescent="0.35"/>
    <row r="1946" x14ac:dyDescent="0.35"/>
    <row r="1947" x14ac:dyDescent="0.35"/>
    <row r="1948" x14ac:dyDescent="0.35"/>
    <row r="1949" x14ac:dyDescent="0.35"/>
    <row r="1950" x14ac:dyDescent="0.35"/>
    <row r="1951" x14ac:dyDescent="0.35"/>
    <row r="1952" x14ac:dyDescent="0.35"/>
    <row r="1953" x14ac:dyDescent="0.35"/>
    <row r="1954" x14ac:dyDescent="0.35"/>
    <row r="1955" x14ac:dyDescent="0.35"/>
    <row r="1956" x14ac:dyDescent="0.35"/>
    <row r="1957" x14ac:dyDescent="0.35"/>
    <row r="1958" x14ac:dyDescent="0.35"/>
    <row r="1959" x14ac:dyDescent="0.35"/>
    <row r="1960" x14ac:dyDescent="0.35"/>
    <row r="1961" x14ac:dyDescent="0.35"/>
    <row r="1962" x14ac:dyDescent="0.35"/>
    <row r="1963" x14ac:dyDescent="0.35"/>
    <row r="1964" x14ac:dyDescent="0.35"/>
    <row r="1965" x14ac:dyDescent="0.35"/>
    <row r="1966" x14ac:dyDescent="0.35"/>
    <row r="1967" x14ac:dyDescent="0.35"/>
    <row r="1968" x14ac:dyDescent="0.35"/>
    <row r="1969" x14ac:dyDescent="0.35"/>
    <row r="1970" x14ac:dyDescent="0.35"/>
    <row r="1971" x14ac:dyDescent="0.35"/>
    <row r="1972" x14ac:dyDescent="0.35"/>
    <row r="1973" x14ac:dyDescent="0.35"/>
    <row r="1974" x14ac:dyDescent="0.35"/>
    <row r="1975" x14ac:dyDescent="0.35"/>
    <row r="1976" x14ac:dyDescent="0.35"/>
    <row r="1977" x14ac:dyDescent="0.35"/>
    <row r="1978" x14ac:dyDescent="0.35"/>
    <row r="1979" x14ac:dyDescent="0.35"/>
    <row r="1980" x14ac:dyDescent="0.35"/>
    <row r="1981" x14ac:dyDescent="0.35"/>
    <row r="1982" x14ac:dyDescent="0.35"/>
    <row r="1983" x14ac:dyDescent="0.35"/>
    <row r="1984" x14ac:dyDescent="0.35"/>
    <row r="1985" x14ac:dyDescent="0.35"/>
    <row r="1986" x14ac:dyDescent="0.35"/>
    <row r="1987" x14ac:dyDescent="0.35"/>
    <row r="1988" x14ac:dyDescent="0.35"/>
    <row r="1989" x14ac:dyDescent="0.35"/>
    <row r="1990" x14ac:dyDescent="0.35"/>
    <row r="1991" x14ac:dyDescent="0.35"/>
    <row r="1992" x14ac:dyDescent="0.35"/>
    <row r="1993" x14ac:dyDescent="0.35"/>
    <row r="1994" x14ac:dyDescent="0.35"/>
    <row r="1995" x14ac:dyDescent="0.35"/>
    <row r="1996" x14ac:dyDescent="0.35"/>
    <row r="1997" x14ac:dyDescent="0.35"/>
    <row r="1998" x14ac:dyDescent="0.35"/>
    <row r="1999" x14ac:dyDescent="0.35"/>
    <row r="2000" x14ac:dyDescent="0.35"/>
    <row r="2001" x14ac:dyDescent="0.35"/>
    <row r="2002" x14ac:dyDescent="0.35"/>
    <row r="2003" x14ac:dyDescent="0.35"/>
    <row r="2004" x14ac:dyDescent="0.35"/>
    <row r="2005" x14ac:dyDescent="0.35"/>
    <row r="2006" x14ac:dyDescent="0.35"/>
    <row r="2007" x14ac:dyDescent="0.35"/>
    <row r="2008" x14ac:dyDescent="0.35"/>
    <row r="2009" x14ac:dyDescent="0.35"/>
    <row r="2010" x14ac:dyDescent="0.35"/>
    <row r="2011" x14ac:dyDescent="0.35"/>
    <row r="2012" x14ac:dyDescent="0.35"/>
    <row r="2013" x14ac:dyDescent="0.35"/>
    <row r="2014" x14ac:dyDescent="0.35"/>
    <row r="2015" x14ac:dyDescent="0.35"/>
    <row r="2016" x14ac:dyDescent="0.35"/>
    <row r="2017" x14ac:dyDescent="0.35"/>
    <row r="2018" x14ac:dyDescent="0.35"/>
    <row r="2019" x14ac:dyDescent="0.35"/>
    <row r="2020" x14ac:dyDescent="0.35"/>
    <row r="2021" x14ac:dyDescent="0.35"/>
    <row r="2022" x14ac:dyDescent="0.35"/>
    <row r="2023" x14ac:dyDescent="0.35"/>
    <row r="2024" x14ac:dyDescent="0.35"/>
    <row r="2025" x14ac:dyDescent="0.35"/>
    <row r="2026" x14ac:dyDescent="0.35"/>
    <row r="2027" x14ac:dyDescent="0.35"/>
    <row r="2028" x14ac:dyDescent="0.35"/>
    <row r="2029" x14ac:dyDescent="0.35"/>
    <row r="2030" x14ac:dyDescent="0.35"/>
    <row r="2031" x14ac:dyDescent="0.35"/>
    <row r="2032" x14ac:dyDescent="0.35"/>
    <row r="2033" x14ac:dyDescent="0.35"/>
    <row r="2034" x14ac:dyDescent="0.35"/>
    <row r="2035" x14ac:dyDescent="0.35"/>
    <row r="2036" x14ac:dyDescent="0.35"/>
    <row r="2037" x14ac:dyDescent="0.35"/>
    <row r="2038" x14ac:dyDescent="0.35"/>
    <row r="2039" x14ac:dyDescent="0.35"/>
    <row r="2040" x14ac:dyDescent="0.35"/>
    <row r="2041" x14ac:dyDescent="0.35"/>
    <row r="2042" x14ac:dyDescent="0.35"/>
    <row r="2043" x14ac:dyDescent="0.35"/>
    <row r="2044" x14ac:dyDescent="0.35"/>
    <row r="2045" x14ac:dyDescent="0.35"/>
    <row r="2046" x14ac:dyDescent="0.35"/>
    <row r="2047" x14ac:dyDescent="0.35"/>
    <row r="2048" x14ac:dyDescent="0.35"/>
    <row r="2049" x14ac:dyDescent="0.35"/>
    <row r="2050" x14ac:dyDescent="0.35"/>
    <row r="2051" x14ac:dyDescent="0.35"/>
    <row r="2052" x14ac:dyDescent="0.35"/>
    <row r="2053" x14ac:dyDescent="0.35"/>
    <row r="2054" x14ac:dyDescent="0.35"/>
    <row r="2055" x14ac:dyDescent="0.35"/>
    <row r="2056" x14ac:dyDescent="0.35"/>
    <row r="2057" x14ac:dyDescent="0.35"/>
    <row r="2058" x14ac:dyDescent="0.35"/>
    <row r="2059" x14ac:dyDescent="0.35"/>
    <row r="2060" x14ac:dyDescent="0.35"/>
    <row r="2061" x14ac:dyDescent="0.35"/>
    <row r="2062" x14ac:dyDescent="0.35"/>
    <row r="2063" x14ac:dyDescent="0.35"/>
    <row r="2064" x14ac:dyDescent="0.35"/>
    <row r="2065" x14ac:dyDescent="0.35"/>
    <row r="2066" x14ac:dyDescent="0.35"/>
    <row r="2067" x14ac:dyDescent="0.35"/>
    <row r="2068" x14ac:dyDescent="0.35"/>
    <row r="2069" x14ac:dyDescent="0.35"/>
    <row r="2070" x14ac:dyDescent="0.35"/>
    <row r="2071" x14ac:dyDescent="0.35"/>
    <row r="2072" x14ac:dyDescent="0.35"/>
    <row r="2073" x14ac:dyDescent="0.35"/>
    <row r="2074" x14ac:dyDescent="0.35"/>
    <row r="2075" x14ac:dyDescent="0.35"/>
    <row r="2076" x14ac:dyDescent="0.35"/>
    <row r="2077" x14ac:dyDescent="0.35"/>
    <row r="2078" x14ac:dyDescent="0.35"/>
    <row r="2079" x14ac:dyDescent="0.35"/>
    <row r="2080" x14ac:dyDescent="0.35"/>
    <row r="2081" x14ac:dyDescent="0.35"/>
    <row r="2082" x14ac:dyDescent="0.35"/>
    <row r="2083" x14ac:dyDescent="0.35"/>
    <row r="2084" x14ac:dyDescent="0.35"/>
    <row r="2085" x14ac:dyDescent="0.35"/>
    <row r="2086" x14ac:dyDescent="0.35"/>
    <row r="2087" x14ac:dyDescent="0.35"/>
    <row r="2088" x14ac:dyDescent="0.35"/>
    <row r="2089" x14ac:dyDescent="0.35"/>
    <row r="2090" x14ac:dyDescent="0.35"/>
    <row r="2091" x14ac:dyDescent="0.35"/>
    <row r="2092" x14ac:dyDescent="0.35"/>
    <row r="2093" x14ac:dyDescent="0.35"/>
    <row r="2094" x14ac:dyDescent="0.35"/>
    <row r="2095" x14ac:dyDescent="0.35"/>
    <row r="2096" x14ac:dyDescent="0.35"/>
    <row r="2097" x14ac:dyDescent="0.35"/>
    <row r="2098" x14ac:dyDescent="0.35"/>
    <row r="2099" x14ac:dyDescent="0.35"/>
    <row r="2100" x14ac:dyDescent="0.35"/>
    <row r="2101" x14ac:dyDescent="0.35"/>
    <row r="2102" x14ac:dyDescent="0.35"/>
    <row r="2103" x14ac:dyDescent="0.35"/>
    <row r="2104" x14ac:dyDescent="0.35"/>
    <row r="2105" x14ac:dyDescent="0.35"/>
    <row r="2106" x14ac:dyDescent="0.35"/>
    <row r="2107" x14ac:dyDescent="0.35"/>
    <row r="2108" x14ac:dyDescent="0.35"/>
    <row r="2109" x14ac:dyDescent="0.35"/>
    <row r="2110" x14ac:dyDescent="0.35"/>
    <row r="2111" x14ac:dyDescent="0.35"/>
    <row r="2112" x14ac:dyDescent="0.35"/>
    <row r="2113" x14ac:dyDescent="0.35"/>
    <row r="2114" x14ac:dyDescent="0.35"/>
    <row r="2115" x14ac:dyDescent="0.35"/>
    <row r="2116" x14ac:dyDescent="0.35"/>
    <row r="2117" x14ac:dyDescent="0.35"/>
    <row r="2118" x14ac:dyDescent="0.35"/>
    <row r="2119" x14ac:dyDescent="0.35"/>
    <row r="2120" x14ac:dyDescent="0.35"/>
    <row r="2121" x14ac:dyDescent="0.35"/>
    <row r="2122" x14ac:dyDescent="0.35"/>
    <row r="2123" x14ac:dyDescent="0.35"/>
    <row r="2124" x14ac:dyDescent="0.35"/>
    <row r="2125" x14ac:dyDescent="0.35"/>
    <row r="2126" x14ac:dyDescent="0.35"/>
    <row r="2127" x14ac:dyDescent="0.35"/>
    <row r="2128" x14ac:dyDescent="0.35"/>
    <row r="2129" x14ac:dyDescent="0.35"/>
    <row r="2130" x14ac:dyDescent="0.35"/>
    <row r="2131" x14ac:dyDescent="0.35"/>
    <row r="2132" x14ac:dyDescent="0.35"/>
    <row r="2133" x14ac:dyDescent="0.35"/>
    <row r="2134" x14ac:dyDescent="0.35"/>
    <row r="2135" x14ac:dyDescent="0.35"/>
    <row r="2136" x14ac:dyDescent="0.35"/>
    <row r="2137" x14ac:dyDescent="0.35"/>
    <row r="2138" x14ac:dyDescent="0.35"/>
    <row r="2139" x14ac:dyDescent="0.35"/>
    <row r="2140" x14ac:dyDescent="0.35"/>
    <row r="2141" x14ac:dyDescent="0.35"/>
    <row r="2142" x14ac:dyDescent="0.35"/>
    <row r="2143" x14ac:dyDescent="0.35"/>
    <row r="2144" x14ac:dyDescent="0.35"/>
    <row r="2145" x14ac:dyDescent="0.35"/>
    <row r="2146" x14ac:dyDescent="0.35"/>
    <row r="2147" x14ac:dyDescent="0.35"/>
    <row r="2148" x14ac:dyDescent="0.35"/>
    <row r="2149" x14ac:dyDescent="0.35"/>
    <row r="2150" x14ac:dyDescent="0.35"/>
    <row r="2151" x14ac:dyDescent="0.35"/>
    <row r="2152" x14ac:dyDescent="0.35"/>
    <row r="2153" x14ac:dyDescent="0.35"/>
    <row r="2154" x14ac:dyDescent="0.35"/>
    <row r="2155" x14ac:dyDescent="0.35"/>
    <row r="2156" x14ac:dyDescent="0.35"/>
    <row r="2157" x14ac:dyDescent="0.35"/>
    <row r="2158" x14ac:dyDescent="0.35"/>
    <row r="2159" x14ac:dyDescent="0.35"/>
    <row r="2160" x14ac:dyDescent="0.35"/>
    <row r="2161" x14ac:dyDescent="0.35"/>
    <row r="2162" x14ac:dyDescent="0.35"/>
    <row r="2163" x14ac:dyDescent="0.35"/>
    <row r="2164" x14ac:dyDescent="0.35"/>
    <row r="2165" x14ac:dyDescent="0.35"/>
    <row r="2166" x14ac:dyDescent="0.35"/>
    <row r="2167" x14ac:dyDescent="0.35"/>
    <row r="2168" x14ac:dyDescent="0.35"/>
    <row r="2169" x14ac:dyDescent="0.35"/>
    <row r="2170" x14ac:dyDescent="0.35"/>
    <row r="2171" x14ac:dyDescent="0.35"/>
    <row r="2172" x14ac:dyDescent="0.35"/>
    <row r="2173" x14ac:dyDescent="0.35"/>
    <row r="2174" x14ac:dyDescent="0.35"/>
    <row r="2175" x14ac:dyDescent="0.35"/>
    <row r="2176" x14ac:dyDescent="0.35"/>
    <row r="2177" x14ac:dyDescent="0.35"/>
    <row r="2178" x14ac:dyDescent="0.35"/>
    <row r="2179" x14ac:dyDescent="0.35"/>
    <row r="2180" x14ac:dyDescent="0.35"/>
    <row r="2181" x14ac:dyDescent="0.35"/>
    <row r="2182" x14ac:dyDescent="0.35"/>
    <row r="2183" x14ac:dyDescent="0.35"/>
    <row r="2184" x14ac:dyDescent="0.35"/>
    <row r="2185" x14ac:dyDescent="0.35"/>
    <row r="2186" x14ac:dyDescent="0.35"/>
    <row r="2187" x14ac:dyDescent="0.35"/>
    <row r="2188" x14ac:dyDescent="0.35"/>
    <row r="2189" x14ac:dyDescent="0.35"/>
    <row r="2190" x14ac:dyDescent="0.35"/>
    <row r="2191" x14ac:dyDescent="0.35"/>
    <row r="2192" x14ac:dyDescent="0.35"/>
    <row r="2193" x14ac:dyDescent="0.35"/>
    <row r="2194" x14ac:dyDescent="0.35"/>
    <row r="2195" x14ac:dyDescent="0.35"/>
    <row r="2196" x14ac:dyDescent="0.35"/>
    <row r="2197" x14ac:dyDescent="0.35"/>
    <row r="2198" x14ac:dyDescent="0.35"/>
    <row r="2199" x14ac:dyDescent="0.35"/>
    <row r="2200" x14ac:dyDescent="0.35"/>
    <row r="2201" x14ac:dyDescent="0.35"/>
    <row r="2202" x14ac:dyDescent="0.35"/>
    <row r="2203" x14ac:dyDescent="0.35"/>
    <row r="2204" x14ac:dyDescent="0.35"/>
    <row r="2205" x14ac:dyDescent="0.35"/>
    <row r="2206" x14ac:dyDescent="0.35"/>
    <row r="2207" x14ac:dyDescent="0.35"/>
    <row r="2208" x14ac:dyDescent="0.35"/>
    <row r="2209" x14ac:dyDescent="0.35"/>
    <row r="2210" x14ac:dyDescent="0.35"/>
    <row r="2211" x14ac:dyDescent="0.35"/>
    <row r="2212" x14ac:dyDescent="0.35"/>
    <row r="2213" x14ac:dyDescent="0.35"/>
    <row r="2214" x14ac:dyDescent="0.35"/>
    <row r="2215" x14ac:dyDescent="0.35"/>
    <row r="2216" x14ac:dyDescent="0.35"/>
    <row r="2217" x14ac:dyDescent="0.35"/>
    <row r="2218" x14ac:dyDescent="0.35"/>
    <row r="2219" x14ac:dyDescent="0.35"/>
    <row r="2220" x14ac:dyDescent="0.35"/>
    <row r="2221" x14ac:dyDescent="0.35"/>
    <row r="2222" x14ac:dyDescent="0.35"/>
    <row r="2223" x14ac:dyDescent="0.35"/>
    <row r="2224" x14ac:dyDescent="0.35"/>
    <row r="2225" x14ac:dyDescent="0.35"/>
    <row r="2226" x14ac:dyDescent="0.35"/>
    <row r="2227" x14ac:dyDescent="0.35"/>
    <row r="2228" x14ac:dyDescent="0.35"/>
    <row r="2229" x14ac:dyDescent="0.35"/>
    <row r="2230" x14ac:dyDescent="0.35"/>
    <row r="2231" x14ac:dyDescent="0.35"/>
    <row r="2232" x14ac:dyDescent="0.35"/>
    <row r="2233" x14ac:dyDescent="0.35"/>
    <row r="2234" x14ac:dyDescent="0.35"/>
    <row r="2235" x14ac:dyDescent="0.35"/>
    <row r="2236" x14ac:dyDescent="0.35"/>
    <row r="2237" x14ac:dyDescent="0.35"/>
    <row r="2238" x14ac:dyDescent="0.35"/>
    <row r="2239" x14ac:dyDescent="0.35"/>
    <row r="2240" x14ac:dyDescent="0.35"/>
    <row r="2241" x14ac:dyDescent="0.35"/>
    <row r="2242" x14ac:dyDescent="0.35"/>
    <row r="2243" x14ac:dyDescent="0.35"/>
    <row r="2244" x14ac:dyDescent="0.35"/>
    <row r="2245" x14ac:dyDescent="0.35"/>
    <row r="2246" x14ac:dyDescent="0.35"/>
    <row r="2247" x14ac:dyDescent="0.35"/>
    <row r="2248" x14ac:dyDescent="0.35"/>
    <row r="2249" x14ac:dyDescent="0.35"/>
    <row r="2250" x14ac:dyDescent="0.35"/>
    <row r="2251" x14ac:dyDescent="0.35"/>
    <row r="2252" x14ac:dyDescent="0.35"/>
    <row r="2253" x14ac:dyDescent="0.35"/>
    <row r="2254" x14ac:dyDescent="0.35"/>
    <row r="2255" x14ac:dyDescent="0.35"/>
    <row r="2256" x14ac:dyDescent="0.35"/>
    <row r="2257" x14ac:dyDescent="0.35"/>
    <row r="2258" x14ac:dyDescent="0.35"/>
    <row r="2259" x14ac:dyDescent="0.35"/>
    <row r="2260" x14ac:dyDescent="0.35"/>
    <row r="2261" x14ac:dyDescent="0.35"/>
    <row r="2262" x14ac:dyDescent="0.35"/>
    <row r="2263" x14ac:dyDescent="0.35"/>
    <row r="2264" x14ac:dyDescent="0.35"/>
    <row r="2265" x14ac:dyDescent="0.35"/>
    <row r="2266" x14ac:dyDescent="0.35"/>
    <row r="2267" x14ac:dyDescent="0.35"/>
    <row r="2268" x14ac:dyDescent="0.35"/>
    <row r="2269" x14ac:dyDescent="0.35"/>
    <row r="2270" x14ac:dyDescent="0.35"/>
    <row r="2271" x14ac:dyDescent="0.35"/>
    <row r="2272" x14ac:dyDescent="0.35"/>
    <row r="2273" x14ac:dyDescent="0.35"/>
    <row r="2274" x14ac:dyDescent="0.35"/>
    <row r="2275" x14ac:dyDescent="0.35"/>
    <row r="2276" x14ac:dyDescent="0.35"/>
    <row r="2277" x14ac:dyDescent="0.35"/>
    <row r="2278" x14ac:dyDescent="0.35"/>
    <row r="2279" x14ac:dyDescent="0.35"/>
    <row r="2280" x14ac:dyDescent="0.35"/>
    <row r="2281" x14ac:dyDescent="0.35"/>
    <row r="2282" x14ac:dyDescent="0.35"/>
    <row r="2283" x14ac:dyDescent="0.35"/>
    <row r="2284" x14ac:dyDescent="0.35"/>
    <row r="2285" x14ac:dyDescent="0.35"/>
    <row r="2286" x14ac:dyDescent="0.35"/>
    <row r="2287" x14ac:dyDescent="0.35"/>
    <row r="2288" x14ac:dyDescent="0.35"/>
    <row r="2289" x14ac:dyDescent="0.35"/>
    <row r="2290" x14ac:dyDescent="0.35"/>
    <row r="2291" x14ac:dyDescent="0.35"/>
    <row r="2292" x14ac:dyDescent="0.35"/>
    <row r="2293" x14ac:dyDescent="0.35"/>
    <row r="2294" x14ac:dyDescent="0.35"/>
    <row r="2295" x14ac:dyDescent="0.35"/>
    <row r="2296" x14ac:dyDescent="0.35"/>
    <row r="2297" x14ac:dyDescent="0.35"/>
    <row r="2298" x14ac:dyDescent="0.35"/>
    <row r="2299" x14ac:dyDescent="0.35"/>
    <row r="2300" x14ac:dyDescent="0.35"/>
    <row r="2301" x14ac:dyDescent="0.35"/>
    <row r="2302" x14ac:dyDescent="0.35"/>
    <row r="2303" x14ac:dyDescent="0.35"/>
    <row r="2304" x14ac:dyDescent="0.35"/>
    <row r="2305" x14ac:dyDescent="0.35"/>
    <row r="2306" x14ac:dyDescent="0.35"/>
    <row r="2307" x14ac:dyDescent="0.35"/>
    <row r="2308" x14ac:dyDescent="0.35"/>
    <row r="2309" x14ac:dyDescent="0.35"/>
    <row r="2310" x14ac:dyDescent="0.35"/>
    <row r="2311" x14ac:dyDescent="0.35"/>
    <row r="2312" x14ac:dyDescent="0.35"/>
    <row r="2313" x14ac:dyDescent="0.35"/>
    <row r="2314" x14ac:dyDescent="0.35"/>
    <row r="2315" x14ac:dyDescent="0.35"/>
    <row r="2316" x14ac:dyDescent="0.35"/>
    <row r="2317" x14ac:dyDescent="0.35"/>
    <row r="2318" x14ac:dyDescent="0.35"/>
    <row r="2319" x14ac:dyDescent="0.35"/>
    <row r="2320" x14ac:dyDescent="0.35"/>
    <row r="2321" x14ac:dyDescent="0.35"/>
    <row r="2322" x14ac:dyDescent="0.35"/>
    <row r="2323" x14ac:dyDescent="0.35"/>
    <row r="2324" x14ac:dyDescent="0.35"/>
    <row r="2325" x14ac:dyDescent="0.35"/>
    <row r="2326" x14ac:dyDescent="0.35"/>
    <row r="2327" x14ac:dyDescent="0.35"/>
    <row r="2328" x14ac:dyDescent="0.35"/>
    <row r="2329" x14ac:dyDescent="0.35"/>
    <row r="2330" x14ac:dyDescent="0.35"/>
    <row r="2331" x14ac:dyDescent="0.35"/>
    <row r="2332" x14ac:dyDescent="0.35"/>
    <row r="2333" x14ac:dyDescent="0.35"/>
    <row r="2334" x14ac:dyDescent="0.35"/>
    <row r="2335" x14ac:dyDescent="0.35"/>
    <row r="2336" x14ac:dyDescent="0.35"/>
    <row r="2337" x14ac:dyDescent="0.35"/>
    <row r="2338" x14ac:dyDescent="0.35"/>
    <row r="2339" x14ac:dyDescent="0.35"/>
    <row r="2340" x14ac:dyDescent="0.35"/>
    <row r="2341" x14ac:dyDescent="0.35"/>
    <row r="2342" x14ac:dyDescent="0.35"/>
    <row r="2343" x14ac:dyDescent="0.35"/>
    <row r="2344" x14ac:dyDescent="0.35"/>
    <row r="2345" x14ac:dyDescent="0.35"/>
    <row r="2346" x14ac:dyDescent="0.35"/>
    <row r="2347" x14ac:dyDescent="0.35"/>
    <row r="2348" x14ac:dyDescent="0.35"/>
    <row r="2349" x14ac:dyDescent="0.35"/>
    <row r="2350" x14ac:dyDescent="0.35"/>
    <row r="2351" x14ac:dyDescent="0.35"/>
    <row r="2352" x14ac:dyDescent="0.35"/>
    <row r="2353" x14ac:dyDescent="0.35"/>
    <row r="2354" x14ac:dyDescent="0.35"/>
    <row r="2355" x14ac:dyDescent="0.35"/>
    <row r="2356" x14ac:dyDescent="0.35"/>
    <row r="2357" x14ac:dyDescent="0.35"/>
    <row r="2358" x14ac:dyDescent="0.35"/>
    <row r="2359" x14ac:dyDescent="0.35"/>
    <row r="2360" x14ac:dyDescent="0.35"/>
    <row r="2361" x14ac:dyDescent="0.35"/>
    <row r="2362" x14ac:dyDescent="0.35"/>
    <row r="2363" x14ac:dyDescent="0.35"/>
    <row r="2364" x14ac:dyDescent="0.35"/>
    <row r="2365" x14ac:dyDescent="0.35"/>
    <row r="2366" x14ac:dyDescent="0.35"/>
    <row r="2367" x14ac:dyDescent="0.35"/>
    <row r="2368" x14ac:dyDescent="0.35"/>
    <row r="2369" x14ac:dyDescent="0.35"/>
    <row r="2370" x14ac:dyDescent="0.35"/>
    <row r="2371" x14ac:dyDescent="0.35"/>
    <row r="2372" x14ac:dyDescent="0.35"/>
    <row r="2373" x14ac:dyDescent="0.35"/>
    <row r="2374" x14ac:dyDescent="0.35"/>
    <row r="2375" x14ac:dyDescent="0.35"/>
    <row r="2376" x14ac:dyDescent="0.35"/>
    <row r="2377" x14ac:dyDescent="0.35"/>
    <row r="2378" x14ac:dyDescent="0.35"/>
    <row r="2379" x14ac:dyDescent="0.35"/>
    <row r="2380" x14ac:dyDescent="0.35"/>
    <row r="2381" x14ac:dyDescent="0.35"/>
    <row r="2382" x14ac:dyDescent="0.35"/>
    <row r="2383" x14ac:dyDescent="0.35"/>
    <row r="2384" x14ac:dyDescent="0.35"/>
    <row r="2385" x14ac:dyDescent="0.35"/>
    <row r="2386" x14ac:dyDescent="0.35"/>
    <row r="2387" x14ac:dyDescent="0.35"/>
    <row r="2388" x14ac:dyDescent="0.35"/>
    <row r="2389" x14ac:dyDescent="0.35"/>
    <row r="2390" x14ac:dyDescent="0.35"/>
    <row r="2391" x14ac:dyDescent="0.35"/>
    <row r="2392" x14ac:dyDescent="0.35"/>
    <row r="2393" x14ac:dyDescent="0.35"/>
    <row r="2394" x14ac:dyDescent="0.35"/>
    <row r="2395" x14ac:dyDescent="0.35"/>
    <row r="2396" x14ac:dyDescent="0.35"/>
    <row r="2397" x14ac:dyDescent="0.35"/>
    <row r="2398" x14ac:dyDescent="0.35"/>
    <row r="2399" x14ac:dyDescent="0.35"/>
    <row r="2400" x14ac:dyDescent="0.35"/>
    <row r="2401" x14ac:dyDescent="0.35"/>
    <row r="2402" x14ac:dyDescent="0.35"/>
    <row r="2403" x14ac:dyDescent="0.35"/>
    <row r="2404" x14ac:dyDescent="0.35"/>
    <row r="2405" x14ac:dyDescent="0.35"/>
    <row r="2406" x14ac:dyDescent="0.35"/>
    <row r="2407" x14ac:dyDescent="0.35"/>
    <row r="2408" x14ac:dyDescent="0.35"/>
    <row r="2409" x14ac:dyDescent="0.35"/>
    <row r="2410" x14ac:dyDescent="0.35"/>
    <row r="2411" x14ac:dyDescent="0.35"/>
    <row r="2412" x14ac:dyDescent="0.35"/>
    <row r="2413" x14ac:dyDescent="0.35"/>
    <row r="2414" x14ac:dyDescent="0.35"/>
    <row r="2415" x14ac:dyDescent="0.35"/>
    <row r="2416" x14ac:dyDescent="0.35"/>
    <row r="2417" x14ac:dyDescent="0.35"/>
    <row r="2418" x14ac:dyDescent="0.35"/>
    <row r="2419" x14ac:dyDescent="0.35"/>
    <row r="2420" x14ac:dyDescent="0.35"/>
    <row r="2421" x14ac:dyDescent="0.35"/>
    <row r="2422" x14ac:dyDescent="0.35"/>
    <row r="2423" x14ac:dyDescent="0.35"/>
    <row r="2424" x14ac:dyDescent="0.35"/>
    <row r="2425" x14ac:dyDescent="0.35"/>
    <row r="2426" x14ac:dyDescent="0.35"/>
    <row r="2427" x14ac:dyDescent="0.35"/>
    <row r="2428" x14ac:dyDescent="0.35"/>
    <row r="2429" x14ac:dyDescent="0.35"/>
    <row r="2430" x14ac:dyDescent="0.35"/>
    <row r="2431" x14ac:dyDescent="0.35"/>
    <row r="2432" x14ac:dyDescent="0.35"/>
    <row r="2433" x14ac:dyDescent="0.35"/>
    <row r="2434" x14ac:dyDescent="0.35"/>
    <row r="2435" x14ac:dyDescent="0.35"/>
    <row r="2436" x14ac:dyDescent="0.35"/>
    <row r="2437" x14ac:dyDescent="0.35"/>
    <row r="2438" x14ac:dyDescent="0.35"/>
    <row r="2439" x14ac:dyDescent="0.35"/>
    <row r="2440" x14ac:dyDescent="0.35"/>
    <row r="2441" x14ac:dyDescent="0.35"/>
    <row r="2442" x14ac:dyDescent="0.35"/>
    <row r="2443" x14ac:dyDescent="0.35"/>
    <row r="2444" x14ac:dyDescent="0.35"/>
    <row r="2445" x14ac:dyDescent="0.35"/>
    <row r="2446" x14ac:dyDescent="0.35"/>
    <row r="2447" x14ac:dyDescent="0.35"/>
    <row r="2448" x14ac:dyDescent="0.35"/>
    <row r="2449" x14ac:dyDescent="0.35"/>
    <row r="2450" x14ac:dyDescent="0.35"/>
    <row r="2451" x14ac:dyDescent="0.35"/>
    <row r="2452" x14ac:dyDescent="0.35"/>
    <row r="2453" x14ac:dyDescent="0.35"/>
    <row r="2454" x14ac:dyDescent="0.35"/>
    <row r="2455" x14ac:dyDescent="0.35"/>
    <row r="2456" x14ac:dyDescent="0.35"/>
    <row r="2457" x14ac:dyDescent="0.35"/>
    <row r="2458" x14ac:dyDescent="0.35"/>
    <row r="2459" x14ac:dyDescent="0.35"/>
    <row r="2460" x14ac:dyDescent="0.35"/>
    <row r="2461" x14ac:dyDescent="0.35"/>
    <row r="2462" x14ac:dyDescent="0.35"/>
    <row r="2463" x14ac:dyDescent="0.35"/>
    <row r="2464" x14ac:dyDescent="0.35"/>
    <row r="2465" x14ac:dyDescent="0.35"/>
    <row r="2466" x14ac:dyDescent="0.35"/>
    <row r="2467" x14ac:dyDescent="0.35"/>
    <row r="2468" x14ac:dyDescent="0.35"/>
    <row r="2469" x14ac:dyDescent="0.35"/>
    <row r="2470" x14ac:dyDescent="0.35"/>
    <row r="2471" x14ac:dyDescent="0.35"/>
    <row r="2472" x14ac:dyDescent="0.35"/>
    <row r="2473" x14ac:dyDescent="0.35"/>
    <row r="2474" x14ac:dyDescent="0.35"/>
    <row r="2475" x14ac:dyDescent="0.35"/>
    <row r="2476" x14ac:dyDescent="0.35"/>
    <row r="2477" x14ac:dyDescent="0.35"/>
    <row r="2478" x14ac:dyDescent="0.35"/>
    <row r="2479" x14ac:dyDescent="0.35"/>
    <row r="2480" x14ac:dyDescent="0.35"/>
    <row r="2481" x14ac:dyDescent="0.35"/>
    <row r="2482" x14ac:dyDescent="0.35"/>
    <row r="2483" x14ac:dyDescent="0.35"/>
    <row r="2484" x14ac:dyDescent="0.35"/>
    <row r="2485" x14ac:dyDescent="0.35"/>
    <row r="2486" x14ac:dyDescent="0.35"/>
    <row r="2487" x14ac:dyDescent="0.35"/>
    <row r="2488" x14ac:dyDescent="0.35"/>
    <row r="2489" x14ac:dyDescent="0.35"/>
    <row r="2490" x14ac:dyDescent="0.35"/>
    <row r="2491" x14ac:dyDescent="0.35"/>
    <row r="2492" x14ac:dyDescent="0.35"/>
    <row r="2493" x14ac:dyDescent="0.35"/>
    <row r="2494" x14ac:dyDescent="0.35"/>
    <row r="2495" x14ac:dyDescent="0.35"/>
    <row r="2496" x14ac:dyDescent="0.35"/>
    <row r="2497" x14ac:dyDescent="0.35"/>
    <row r="2498" x14ac:dyDescent="0.35"/>
    <row r="2499" x14ac:dyDescent="0.35"/>
    <row r="2500" x14ac:dyDescent="0.35"/>
    <row r="2501" x14ac:dyDescent="0.35"/>
    <row r="2502" x14ac:dyDescent="0.35"/>
    <row r="2503" x14ac:dyDescent="0.35"/>
    <row r="2504" x14ac:dyDescent="0.35"/>
    <row r="2505" x14ac:dyDescent="0.35"/>
    <row r="2506" x14ac:dyDescent="0.35"/>
    <row r="2507" x14ac:dyDescent="0.35"/>
    <row r="2508" x14ac:dyDescent="0.35"/>
    <row r="2509" x14ac:dyDescent="0.35"/>
    <row r="2510" x14ac:dyDescent="0.35"/>
    <row r="2511" x14ac:dyDescent="0.35"/>
    <row r="2512" x14ac:dyDescent="0.35"/>
    <row r="2513" x14ac:dyDescent="0.35"/>
    <row r="2514" x14ac:dyDescent="0.35"/>
    <row r="2515" x14ac:dyDescent="0.35"/>
    <row r="2516" x14ac:dyDescent="0.35"/>
    <row r="2517" x14ac:dyDescent="0.35"/>
    <row r="2518" x14ac:dyDescent="0.35"/>
    <row r="2519" x14ac:dyDescent="0.35"/>
    <row r="2520" x14ac:dyDescent="0.35"/>
    <row r="2521" x14ac:dyDescent="0.35"/>
    <row r="2522" x14ac:dyDescent="0.35"/>
    <row r="2523" x14ac:dyDescent="0.35"/>
    <row r="2524" x14ac:dyDescent="0.35"/>
    <row r="2525" x14ac:dyDescent="0.35"/>
    <row r="2526" x14ac:dyDescent="0.35"/>
    <row r="2527" x14ac:dyDescent="0.35"/>
    <row r="2528" x14ac:dyDescent="0.35"/>
    <row r="2529" x14ac:dyDescent="0.35"/>
    <row r="2530" x14ac:dyDescent="0.35"/>
    <row r="2531" x14ac:dyDescent="0.35"/>
    <row r="2532" x14ac:dyDescent="0.35"/>
    <row r="2533" x14ac:dyDescent="0.35"/>
    <row r="2534" x14ac:dyDescent="0.35"/>
    <row r="2535" x14ac:dyDescent="0.35"/>
    <row r="2536" x14ac:dyDescent="0.35"/>
    <row r="2537" x14ac:dyDescent="0.35"/>
    <row r="2538" x14ac:dyDescent="0.35"/>
    <row r="2539" x14ac:dyDescent="0.35"/>
    <row r="2540" x14ac:dyDescent="0.35"/>
    <row r="2541" x14ac:dyDescent="0.35"/>
    <row r="2542" x14ac:dyDescent="0.35"/>
    <row r="2543" x14ac:dyDescent="0.35"/>
    <row r="2544" x14ac:dyDescent="0.35"/>
    <row r="2545" x14ac:dyDescent="0.35"/>
    <row r="2546" x14ac:dyDescent="0.35"/>
    <row r="2547" x14ac:dyDescent="0.35"/>
    <row r="2548" x14ac:dyDescent="0.35"/>
    <row r="2549" x14ac:dyDescent="0.35"/>
    <row r="2550" x14ac:dyDescent="0.35"/>
    <row r="2551" x14ac:dyDescent="0.35"/>
    <row r="2552" x14ac:dyDescent="0.35"/>
    <row r="2553" x14ac:dyDescent="0.35"/>
    <row r="2554" x14ac:dyDescent="0.35"/>
    <row r="2555" x14ac:dyDescent="0.35"/>
    <row r="2556" x14ac:dyDescent="0.35"/>
    <row r="2557" x14ac:dyDescent="0.35"/>
    <row r="2558" x14ac:dyDescent="0.35"/>
    <row r="2559" x14ac:dyDescent="0.35"/>
    <row r="2560" x14ac:dyDescent="0.35"/>
    <row r="2561" x14ac:dyDescent="0.35"/>
    <row r="2562" x14ac:dyDescent="0.35"/>
    <row r="2563" x14ac:dyDescent="0.35"/>
    <row r="2564" x14ac:dyDescent="0.35"/>
    <row r="2565" x14ac:dyDescent="0.35"/>
    <row r="2566" x14ac:dyDescent="0.35"/>
    <row r="2567" x14ac:dyDescent="0.35"/>
    <row r="2568" x14ac:dyDescent="0.35"/>
    <row r="2569" x14ac:dyDescent="0.35"/>
    <row r="2570" x14ac:dyDescent="0.35"/>
    <row r="2571" x14ac:dyDescent="0.35"/>
    <row r="2572" x14ac:dyDescent="0.35"/>
    <row r="2573" x14ac:dyDescent="0.35"/>
    <row r="2574" x14ac:dyDescent="0.35"/>
    <row r="2575" x14ac:dyDescent="0.35"/>
    <row r="2576" x14ac:dyDescent="0.35"/>
    <row r="2577" x14ac:dyDescent="0.35"/>
    <row r="2578" x14ac:dyDescent="0.35"/>
    <row r="2579" x14ac:dyDescent="0.35"/>
    <row r="2580" x14ac:dyDescent="0.35"/>
    <row r="2581" x14ac:dyDescent="0.35"/>
    <row r="2582" x14ac:dyDescent="0.35"/>
    <row r="2583" x14ac:dyDescent="0.35"/>
    <row r="2584" x14ac:dyDescent="0.35"/>
    <row r="2585" x14ac:dyDescent="0.35"/>
    <row r="2586" x14ac:dyDescent="0.35"/>
    <row r="2587" x14ac:dyDescent="0.35"/>
    <row r="2588" x14ac:dyDescent="0.35"/>
    <row r="2589" x14ac:dyDescent="0.35"/>
    <row r="2590" x14ac:dyDescent="0.35"/>
    <row r="2591" x14ac:dyDescent="0.35"/>
    <row r="2592" x14ac:dyDescent="0.35"/>
    <row r="2593" x14ac:dyDescent="0.35"/>
    <row r="2594" x14ac:dyDescent="0.35"/>
    <row r="2595" x14ac:dyDescent="0.35"/>
    <row r="2596" x14ac:dyDescent="0.35"/>
    <row r="2597" x14ac:dyDescent="0.35"/>
    <row r="2598" x14ac:dyDescent="0.35"/>
    <row r="2599" x14ac:dyDescent="0.35"/>
    <row r="2600" x14ac:dyDescent="0.35"/>
    <row r="2601" x14ac:dyDescent="0.35"/>
    <row r="2602" x14ac:dyDescent="0.35"/>
    <row r="2603" x14ac:dyDescent="0.35"/>
    <row r="2604" x14ac:dyDescent="0.35"/>
    <row r="2605" x14ac:dyDescent="0.35"/>
    <row r="2606" x14ac:dyDescent="0.35"/>
    <row r="2607" x14ac:dyDescent="0.35"/>
    <row r="2608" x14ac:dyDescent="0.35"/>
    <row r="2609" x14ac:dyDescent="0.35"/>
    <row r="2610" x14ac:dyDescent="0.35"/>
    <row r="2611" x14ac:dyDescent="0.35"/>
    <row r="2612" x14ac:dyDescent="0.35"/>
    <row r="2613" x14ac:dyDescent="0.35"/>
    <row r="2614" x14ac:dyDescent="0.35"/>
    <row r="2615" x14ac:dyDescent="0.35"/>
    <row r="2616" x14ac:dyDescent="0.35"/>
    <row r="2617" x14ac:dyDescent="0.35"/>
    <row r="2618" x14ac:dyDescent="0.35"/>
    <row r="2619" x14ac:dyDescent="0.35"/>
    <row r="2620" x14ac:dyDescent="0.35"/>
    <row r="2621" x14ac:dyDescent="0.35"/>
    <row r="2622" x14ac:dyDescent="0.35"/>
    <row r="2623" x14ac:dyDescent="0.35"/>
    <row r="2624" x14ac:dyDescent="0.35"/>
    <row r="2625" x14ac:dyDescent="0.35"/>
    <row r="2626" x14ac:dyDescent="0.35"/>
    <row r="2627" x14ac:dyDescent="0.35"/>
    <row r="2628" x14ac:dyDescent="0.35"/>
    <row r="2629" x14ac:dyDescent="0.35"/>
    <row r="2630" x14ac:dyDescent="0.35"/>
    <row r="2631" x14ac:dyDescent="0.35"/>
    <row r="2632" x14ac:dyDescent="0.35"/>
    <row r="2633" x14ac:dyDescent="0.35"/>
    <row r="2634" x14ac:dyDescent="0.35"/>
    <row r="2635" x14ac:dyDescent="0.35"/>
    <row r="2636" x14ac:dyDescent="0.35"/>
    <row r="2637" x14ac:dyDescent="0.35"/>
    <row r="2638" x14ac:dyDescent="0.35"/>
    <row r="2639" x14ac:dyDescent="0.35"/>
    <row r="2640" x14ac:dyDescent="0.35"/>
    <row r="2641" x14ac:dyDescent="0.35"/>
    <row r="2642" x14ac:dyDescent="0.35"/>
    <row r="2643" x14ac:dyDescent="0.35"/>
    <row r="2644" x14ac:dyDescent="0.35"/>
    <row r="2645" x14ac:dyDescent="0.35"/>
    <row r="2646" x14ac:dyDescent="0.35"/>
    <row r="2647" x14ac:dyDescent="0.35"/>
    <row r="2648" x14ac:dyDescent="0.35"/>
    <row r="2649" x14ac:dyDescent="0.35"/>
    <row r="2650" x14ac:dyDescent="0.35"/>
    <row r="2651" x14ac:dyDescent="0.35"/>
    <row r="2652" x14ac:dyDescent="0.35"/>
    <row r="2653" x14ac:dyDescent="0.35"/>
    <row r="2654" x14ac:dyDescent="0.35"/>
    <row r="2655" x14ac:dyDescent="0.35"/>
    <row r="2656" x14ac:dyDescent="0.35"/>
    <row r="2657" x14ac:dyDescent="0.35"/>
    <row r="2658" x14ac:dyDescent="0.35"/>
    <row r="2659" x14ac:dyDescent="0.35"/>
    <row r="2660" x14ac:dyDescent="0.35"/>
    <row r="2661" x14ac:dyDescent="0.35"/>
    <row r="2662" x14ac:dyDescent="0.35"/>
    <row r="2663" x14ac:dyDescent="0.35"/>
    <row r="2664" x14ac:dyDescent="0.35"/>
    <row r="2665" x14ac:dyDescent="0.35"/>
    <row r="2666" x14ac:dyDescent="0.35"/>
    <row r="2667" x14ac:dyDescent="0.35"/>
    <row r="2668" x14ac:dyDescent="0.35"/>
    <row r="2669" x14ac:dyDescent="0.35"/>
    <row r="2670" x14ac:dyDescent="0.35"/>
    <row r="2671" x14ac:dyDescent="0.35"/>
    <row r="2672" x14ac:dyDescent="0.35"/>
    <row r="2673" x14ac:dyDescent="0.35"/>
    <row r="2674" x14ac:dyDescent="0.35"/>
    <row r="2675" x14ac:dyDescent="0.35"/>
    <row r="2676" x14ac:dyDescent="0.35"/>
    <row r="2677" x14ac:dyDescent="0.35"/>
    <row r="2678" x14ac:dyDescent="0.35"/>
    <row r="2679" x14ac:dyDescent="0.35"/>
    <row r="2680" x14ac:dyDescent="0.35"/>
    <row r="2681" x14ac:dyDescent="0.35"/>
    <row r="2682" x14ac:dyDescent="0.35"/>
    <row r="2683" x14ac:dyDescent="0.35"/>
    <row r="2684" x14ac:dyDescent="0.35"/>
    <row r="2685" x14ac:dyDescent="0.35"/>
    <row r="2686" x14ac:dyDescent="0.35"/>
    <row r="2687" x14ac:dyDescent="0.35"/>
    <row r="2688" x14ac:dyDescent="0.35"/>
    <row r="2689" x14ac:dyDescent="0.35"/>
    <row r="2690" x14ac:dyDescent="0.35"/>
    <row r="2691" x14ac:dyDescent="0.35"/>
    <row r="2692" x14ac:dyDescent="0.35"/>
    <row r="2693" x14ac:dyDescent="0.35"/>
    <row r="2694" x14ac:dyDescent="0.35"/>
    <row r="2695" x14ac:dyDescent="0.35"/>
    <row r="2696" x14ac:dyDescent="0.35"/>
    <row r="2697" x14ac:dyDescent="0.35"/>
    <row r="2698" x14ac:dyDescent="0.35"/>
    <row r="2699" x14ac:dyDescent="0.35"/>
    <row r="2700" x14ac:dyDescent="0.35"/>
    <row r="2701" x14ac:dyDescent="0.35"/>
    <row r="2702" x14ac:dyDescent="0.35"/>
    <row r="2703" x14ac:dyDescent="0.35"/>
    <row r="2704" x14ac:dyDescent="0.35"/>
    <row r="2705" x14ac:dyDescent="0.35"/>
    <row r="2706" x14ac:dyDescent="0.35"/>
    <row r="2707" x14ac:dyDescent="0.35"/>
    <row r="2708" x14ac:dyDescent="0.35"/>
    <row r="2709" x14ac:dyDescent="0.35"/>
    <row r="2710" x14ac:dyDescent="0.35"/>
    <row r="2711" x14ac:dyDescent="0.35"/>
    <row r="2712" x14ac:dyDescent="0.35"/>
    <row r="2713" x14ac:dyDescent="0.35"/>
    <row r="2714" x14ac:dyDescent="0.35"/>
    <row r="2715" x14ac:dyDescent="0.35"/>
    <row r="2716" x14ac:dyDescent="0.35"/>
    <row r="2717" x14ac:dyDescent="0.35"/>
    <row r="2718" x14ac:dyDescent="0.35"/>
    <row r="2719" x14ac:dyDescent="0.35"/>
    <row r="2720" x14ac:dyDescent="0.35"/>
    <row r="2721" x14ac:dyDescent="0.35"/>
    <row r="2722" x14ac:dyDescent="0.35"/>
    <row r="2723" x14ac:dyDescent="0.35"/>
    <row r="2724" x14ac:dyDescent="0.35"/>
    <row r="2725" x14ac:dyDescent="0.35"/>
    <row r="2726" x14ac:dyDescent="0.35"/>
    <row r="2727" x14ac:dyDescent="0.35"/>
    <row r="2728" x14ac:dyDescent="0.35"/>
    <row r="2729" x14ac:dyDescent="0.35"/>
    <row r="2730" x14ac:dyDescent="0.35"/>
    <row r="2731" x14ac:dyDescent="0.35"/>
    <row r="2732" x14ac:dyDescent="0.35"/>
    <row r="2733" x14ac:dyDescent="0.35"/>
    <row r="2734" x14ac:dyDescent="0.35"/>
    <row r="2735" x14ac:dyDescent="0.35"/>
    <row r="2736" x14ac:dyDescent="0.35"/>
    <row r="2737" x14ac:dyDescent="0.35"/>
    <row r="2738" x14ac:dyDescent="0.35"/>
    <row r="2739" x14ac:dyDescent="0.35"/>
    <row r="2740" x14ac:dyDescent="0.35"/>
    <row r="2741" x14ac:dyDescent="0.35"/>
    <row r="2742" x14ac:dyDescent="0.35"/>
    <row r="2743" x14ac:dyDescent="0.35"/>
    <row r="2744" x14ac:dyDescent="0.35"/>
    <row r="2745" x14ac:dyDescent="0.35"/>
    <row r="2746" x14ac:dyDescent="0.35"/>
    <row r="2747" x14ac:dyDescent="0.35"/>
    <row r="2748" x14ac:dyDescent="0.35"/>
    <row r="2749" x14ac:dyDescent="0.35"/>
    <row r="2750" x14ac:dyDescent="0.35"/>
    <row r="2751" x14ac:dyDescent="0.35"/>
    <row r="2752" x14ac:dyDescent="0.35"/>
    <row r="2753" x14ac:dyDescent="0.35"/>
    <row r="2754" x14ac:dyDescent="0.35"/>
    <row r="2755" x14ac:dyDescent="0.35"/>
    <row r="2756" x14ac:dyDescent="0.35"/>
    <row r="2757" x14ac:dyDescent="0.35"/>
    <row r="2758" x14ac:dyDescent="0.35"/>
    <row r="2759" x14ac:dyDescent="0.35"/>
    <row r="2760" x14ac:dyDescent="0.35"/>
    <row r="2761" x14ac:dyDescent="0.35"/>
    <row r="2762" x14ac:dyDescent="0.35"/>
    <row r="2763" x14ac:dyDescent="0.35"/>
    <row r="2764" x14ac:dyDescent="0.35"/>
    <row r="2765" x14ac:dyDescent="0.35"/>
    <row r="2766" x14ac:dyDescent="0.35"/>
    <row r="2767" x14ac:dyDescent="0.35"/>
    <row r="2768" x14ac:dyDescent="0.35"/>
    <row r="2769" x14ac:dyDescent="0.35"/>
    <row r="2770" x14ac:dyDescent="0.35"/>
    <row r="2771" x14ac:dyDescent="0.35"/>
    <row r="2772" x14ac:dyDescent="0.35"/>
    <row r="2773" x14ac:dyDescent="0.35"/>
    <row r="2774" x14ac:dyDescent="0.35"/>
    <row r="2775" x14ac:dyDescent="0.35"/>
    <row r="2776" x14ac:dyDescent="0.35"/>
    <row r="2777" x14ac:dyDescent="0.35"/>
    <row r="2778" x14ac:dyDescent="0.35"/>
    <row r="2779" x14ac:dyDescent="0.35"/>
    <row r="2780" x14ac:dyDescent="0.35"/>
    <row r="2781" x14ac:dyDescent="0.35"/>
    <row r="2782" x14ac:dyDescent="0.35"/>
    <row r="2783" x14ac:dyDescent="0.35"/>
    <row r="2784" x14ac:dyDescent="0.35"/>
    <row r="2785" x14ac:dyDescent="0.35"/>
    <row r="2786" x14ac:dyDescent="0.35"/>
    <row r="2787" x14ac:dyDescent="0.35"/>
    <row r="2788" x14ac:dyDescent="0.35"/>
    <row r="2789" x14ac:dyDescent="0.35"/>
    <row r="2790" x14ac:dyDescent="0.35"/>
    <row r="2791" x14ac:dyDescent="0.35"/>
    <row r="2792" x14ac:dyDescent="0.35"/>
    <row r="2793" x14ac:dyDescent="0.35"/>
    <row r="2794" x14ac:dyDescent="0.35"/>
    <row r="2795" x14ac:dyDescent="0.35"/>
    <row r="2796" x14ac:dyDescent="0.35"/>
    <row r="2797" x14ac:dyDescent="0.35"/>
    <row r="2798" x14ac:dyDescent="0.35"/>
    <row r="2799" x14ac:dyDescent="0.35"/>
    <row r="2800" x14ac:dyDescent="0.35"/>
    <row r="2801" x14ac:dyDescent="0.35"/>
    <row r="2802" x14ac:dyDescent="0.35"/>
    <row r="2803" x14ac:dyDescent="0.35"/>
    <row r="2804" x14ac:dyDescent="0.35"/>
    <row r="2805" x14ac:dyDescent="0.35"/>
    <row r="2806" x14ac:dyDescent="0.35"/>
    <row r="2807" x14ac:dyDescent="0.35"/>
    <row r="2808" x14ac:dyDescent="0.35"/>
    <row r="2809" x14ac:dyDescent="0.35"/>
    <row r="2810" x14ac:dyDescent="0.35"/>
    <row r="2811" x14ac:dyDescent="0.35"/>
    <row r="2812" x14ac:dyDescent="0.35"/>
    <row r="2813" x14ac:dyDescent="0.35"/>
    <row r="2814" x14ac:dyDescent="0.35"/>
    <row r="2815" x14ac:dyDescent="0.35"/>
    <row r="2816" x14ac:dyDescent="0.35"/>
    <row r="2817" x14ac:dyDescent="0.35"/>
    <row r="2818" x14ac:dyDescent="0.35"/>
    <row r="2819" x14ac:dyDescent="0.35"/>
    <row r="2820" x14ac:dyDescent="0.35"/>
    <row r="2821" x14ac:dyDescent="0.35"/>
    <row r="2822" x14ac:dyDescent="0.35"/>
    <row r="2823" x14ac:dyDescent="0.35"/>
    <row r="2824" x14ac:dyDescent="0.35"/>
    <row r="2825" x14ac:dyDescent="0.35"/>
    <row r="2826" x14ac:dyDescent="0.35"/>
    <row r="2827" x14ac:dyDescent="0.35"/>
    <row r="2828" x14ac:dyDescent="0.35"/>
    <row r="2829" x14ac:dyDescent="0.35"/>
    <row r="2830" x14ac:dyDescent="0.35"/>
    <row r="2831" x14ac:dyDescent="0.35"/>
    <row r="2832" x14ac:dyDescent="0.35"/>
    <row r="2833" x14ac:dyDescent="0.35"/>
    <row r="2834" x14ac:dyDescent="0.35"/>
    <row r="2835" x14ac:dyDescent="0.35"/>
    <row r="2836" x14ac:dyDescent="0.35"/>
    <row r="2837" x14ac:dyDescent="0.35"/>
    <row r="2838" x14ac:dyDescent="0.35"/>
    <row r="2839" x14ac:dyDescent="0.35"/>
    <row r="2840" x14ac:dyDescent="0.35"/>
    <row r="2841" x14ac:dyDescent="0.35"/>
    <row r="2842" x14ac:dyDescent="0.35"/>
    <row r="2843" x14ac:dyDescent="0.35"/>
    <row r="2844" x14ac:dyDescent="0.35"/>
    <row r="2845" x14ac:dyDescent="0.35"/>
    <row r="2846" x14ac:dyDescent="0.35"/>
    <row r="2847" x14ac:dyDescent="0.35"/>
    <row r="2848" x14ac:dyDescent="0.35"/>
    <row r="2849" x14ac:dyDescent="0.35"/>
    <row r="2850" x14ac:dyDescent="0.35"/>
    <row r="2851" x14ac:dyDescent="0.35"/>
    <row r="2852" x14ac:dyDescent="0.35"/>
    <row r="2853" x14ac:dyDescent="0.35"/>
    <row r="2854" x14ac:dyDescent="0.35"/>
    <row r="2855" x14ac:dyDescent="0.35"/>
    <row r="2856" x14ac:dyDescent="0.35"/>
    <row r="2857" x14ac:dyDescent="0.35"/>
    <row r="2858" x14ac:dyDescent="0.35"/>
    <row r="2859" x14ac:dyDescent="0.35"/>
    <row r="2860" x14ac:dyDescent="0.35"/>
    <row r="2861" x14ac:dyDescent="0.35"/>
    <row r="2862" x14ac:dyDescent="0.35"/>
    <row r="2863" x14ac:dyDescent="0.35"/>
    <row r="2864" x14ac:dyDescent="0.35"/>
    <row r="2865" x14ac:dyDescent="0.35"/>
    <row r="2866" x14ac:dyDescent="0.35"/>
    <row r="2867" x14ac:dyDescent="0.35"/>
    <row r="2868" x14ac:dyDescent="0.35"/>
    <row r="2869" x14ac:dyDescent="0.35"/>
    <row r="2870" x14ac:dyDescent="0.35"/>
    <row r="2871" x14ac:dyDescent="0.35"/>
    <row r="2872" x14ac:dyDescent="0.35"/>
    <row r="2873" x14ac:dyDescent="0.35"/>
    <row r="2874" x14ac:dyDescent="0.35"/>
    <row r="2875" x14ac:dyDescent="0.35"/>
    <row r="2876" x14ac:dyDescent="0.35"/>
    <row r="2877" x14ac:dyDescent="0.35"/>
    <row r="2878" x14ac:dyDescent="0.35"/>
    <row r="2879" x14ac:dyDescent="0.35"/>
    <row r="2880" x14ac:dyDescent="0.35"/>
    <row r="2881" x14ac:dyDescent="0.35"/>
    <row r="2882" x14ac:dyDescent="0.35"/>
    <row r="2883" x14ac:dyDescent="0.35"/>
    <row r="2884" x14ac:dyDescent="0.35"/>
    <row r="2885" x14ac:dyDescent="0.35"/>
    <row r="2886" x14ac:dyDescent="0.35"/>
    <row r="2887" x14ac:dyDescent="0.35"/>
    <row r="2888" x14ac:dyDescent="0.35"/>
    <row r="2889" x14ac:dyDescent="0.35"/>
    <row r="2890" x14ac:dyDescent="0.35"/>
    <row r="2891" x14ac:dyDescent="0.35"/>
    <row r="2892" x14ac:dyDescent="0.35"/>
    <row r="2893" x14ac:dyDescent="0.35"/>
    <row r="2894" x14ac:dyDescent="0.35"/>
    <row r="2895" x14ac:dyDescent="0.35"/>
    <row r="2896" x14ac:dyDescent="0.35"/>
    <row r="2897" x14ac:dyDescent="0.35"/>
    <row r="2898" x14ac:dyDescent="0.35"/>
    <row r="2899" x14ac:dyDescent="0.35"/>
    <row r="2900" x14ac:dyDescent="0.35"/>
    <row r="2901" x14ac:dyDescent="0.35"/>
    <row r="2902" x14ac:dyDescent="0.35"/>
    <row r="2903" x14ac:dyDescent="0.35"/>
    <row r="2904" x14ac:dyDescent="0.35"/>
    <row r="2905" x14ac:dyDescent="0.35"/>
    <row r="2906" x14ac:dyDescent="0.35"/>
    <row r="2907" x14ac:dyDescent="0.35"/>
    <row r="2908" x14ac:dyDescent="0.35"/>
    <row r="2909" x14ac:dyDescent="0.35"/>
    <row r="2910" x14ac:dyDescent="0.35"/>
    <row r="2911" x14ac:dyDescent="0.35"/>
    <row r="2912" x14ac:dyDescent="0.35"/>
    <row r="2913" x14ac:dyDescent="0.35"/>
    <row r="2914" x14ac:dyDescent="0.35"/>
    <row r="2915" x14ac:dyDescent="0.35"/>
    <row r="2916" x14ac:dyDescent="0.35"/>
    <row r="2917" x14ac:dyDescent="0.35"/>
    <row r="2918" x14ac:dyDescent="0.35"/>
    <row r="2919" x14ac:dyDescent="0.35"/>
    <row r="2920" x14ac:dyDescent="0.35"/>
    <row r="2921" x14ac:dyDescent="0.35"/>
    <row r="2922" x14ac:dyDescent="0.35"/>
    <row r="2923" x14ac:dyDescent="0.35"/>
    <row r="2924" x14ac:dyDescent="0.35"/>
    <row r="2925" x14ac:dyDescent="0.35"/>
    <row r="2926" x14ac:dyDescent="0.35"/>
    <row r="2927" x14ac:dyDescent="0.35"/>
    <row r="2928" x14ac:dyDescent="0.35"/>
    <row r="2929" x14ac:dyDescent="0.35"/>
    <row r="2930" x14ac:dyDescent="0.35"/>
    <row r="2931" x14ac:dyDescent="0.35"/>
    <row r="2932" x14ac:dyDescent="0.35"/>
    <row r="2933" x14ac:dyDescent="0.35"/>
    <row r="2934" x14ac:dyDescent="0.35"/>
    <row r="2935" x14ac:dyDescent="0.35"/>
    <row r="2936" x14ac:dyDescent="0.35"/>
    <row r="2937" x14ac:dyDescent="0.35"/>
    <row r="2938" x14ac:dyDescent="0.35"/>
    <row r="2939" x14ac:dyDescent="0.35"/>
    <row r="2940" x14ac:dyDescent="0.35"/>
    <row r="2941" x14ac:dyDescent="0.35"/>
    <row r="2942" x14ac:dyDescent="0.35"/>
    <row r="2943" x14ac:dyDescent="0.35"/>
    <row r="2944" x14ac:dyDescent="0.35"/>
    <row r="2945" x14ac:dyDescent="0.35"/>
    <row r="2946" x14ac:dyDescent="0.35"/>
    <row r="2947" x14ac:dyDescent="0.35"/>
    <row r="2948" x14ac:dyDescent="0.35"/>
    <row r="2949" x14ac:dyDescent="0.35"/>
    <row r="2950" x14ac:dyDescent="0.35"/>
    <row r="2951" x14ac:dyDescent="0.35"/>
    <row r="2952" x14ac:dyDescent="0.35"/>
    <row r="2953" x14ac:dyDescent="0.35"/>
    <row r="2954" x14ac:dyDescent="0.35"/>
    <row r="2955" x14ac:dyDescent="0.35"/>
    <row r="2956" x14ac:dyDescent="0.35"/>
    <row r="2957" x14ac:dyDescent="0.35"/>
    <row r="2958" x14ac:dyDescent="0.35"/>
    <row r="2959" x14ac:dyDescent="0.35"/>
    <row r="2960" x14ac:dyDescent="0.35"/>
    <row r="2961" x14ac:dyDescent="0.35"/>
    <row r="2962" x14ac:dyDescent="0.35"/>
    <row r="2963" x14ac:dyDescent="0.35"/>
    <row r="2964" x14ac:dyDescent="0.35"/>
    <row r="2965" x14ac:dyDescent="0.35"/>
    <row r="2966" x14ac:dyDescent="0.35"/>
    <row r="2967" x14ac:dyDescent="0.35"/>
    <row r="2968" x14ac:dyDescent="0.35"/>
    <row r="2969" x14ac:dyDescent="0.35"/>
    <row r="2970" x14ac:dyDescent="0.35"/>
    <row r="2971" x14ac:dyDescent="0.35"/>
    <row r="2972" x14ac:dyDescent="0.35"/>
    <row r="2973" x14ac:dyDescent="0.35"/>
    <row r="2974" x14ac:dyDescent="0.35"/>
    <row r="2975" x14ac:dyDescent="0.35"/>
    <row r="2976" x14ac:dyDescent="0.35"/>
    <row r="2977" x14ac:dyDescent="0.35"/>
    <row r="2978" x14ac:dyDescent="0.35"/>
    <row r="2979" x14ac:dyDescent="0.35"/>
    <row r="2980" x14ac:dyDescent="0.35"/>
    <row r="2981" x14ac:dyDescent="0.35"/>
    <row r="2982" x14ac:dyDescent="0.35"/>
    <row r="2983" x14ac:dyDescent="0.35"/>
    <row r="2984" x14ac:dyDescent="0.35"/>
    <row r="2985" x14ac:dyDescent="0.35"/>
    <row r="2986" x14ac:dyDescent="0.35"/>
    <row r="2987" x14ac:dyDescent="0.35"/>
    <row r="2988" x14ac:dyDescent="0.35"/>
    <row r="2989" x14ac:dyDescent="0.35"/>
    <row r="2990" x14ac:dyDescent="0.35"/>
    <row r="2991" x14ac:dyDescent="0.35"/>
    <row r="2992" x14ac:dyDescent="0.35"/>
    <row r="2993" x14ac:dyDescent="0.35"/>
    <row r="2994" x14ac:dyDescent="0.35"/>
    <row r="2995" x14ac:dyDescent="0.35"/>
    <row r="2996" x14ac:dyDescent="0.35"/>
    <row r="2997" x14ac:dyDescent="0.35"/>
    <row r="2998" x14ac:dyDescent="0.35"/>
    <row r="2999" x14ac:dyDescent="0.35"/>
    <row r="3000" x14ac:dyDescent="0.35"/>
    <row r="3001" x14ac:dyDescent="0.35"/>
    <row r="3002" x14ac:dyDescent="0.35"/>
    <row r="3003" x14ac:dyDescent="0.35"/>
    <row r="3004" x14ac:dyDescent="0.35"/>
    <row r="3005" x14ac:dyDescent="0.35"/>
    <row r="3006" x14ac:dyDescent="0.35"/>
    <row r="3007" x14ac:dyDescent="0.35"/>
    <row r="3008" x14ac:dyDescent="0.35"/>
    <row r="3009" x14ac:dyDescent="0.35"/>
    <row r="3010" x14ac:dyDescent="0.35"/>
    <row r="3011" x14ac:dyDescent="0.35"/>
    <row r="3012" x14ac:dyDescent="0.35"/>
    <row r="3013" x14ac:dyDescent="0.35"/>
    <row r="3014" x14ac:dyDescent="0.35"/>
    <row r="3015" x14ac:dyDescent="0.35"/>
    <row r="3016" x14ac:dyDescent="0.35"/>
    <row r="3017" x14ac:dyDescent="0.35"/>
    <row r="3018" x14ac:dyDescent="0.35"/>
    <row r="3019" x14ac:dyDescent="0.35"/>
    <row r="3020" x14ac:dyDescent="0.35"/>
    <row r="3021" x14ac:dyDescent="0.35"/>
    <row r="3022" x14ac:dyDescent="0.35"/>
    <row r="3023" x14ac:dyDescent="0.35"/>
    <row r="3024" x14ac:dyDescent="0.35"/>
    <row r="3025" x14ac:dyDescent="0.35"/>
    <row r="3026" x14ac:dyDescent="0.35"/>
    <row r="3027" x14ac:dyDescent="0.35"/>
    <row r="3028" x14ac:dyDescent="0.35"/>
    <row r="3029" x14ac:dyDescent="0.35"/>
    <row r="3030" x14ac:dyDescent="0.35"/>
    <row r="3031" x14ac:dyDescent="0.35"/>
    <row r="3032" x14ac:dyDescent="0.35"/>
    <row r="3033" x14ac:dyDescent="0.35"/>
    <row r="3034" x14ac:dyDescent="0.35"/>
    <row r="3035" x14ac:dyDescent="0.35"/>
    <row r="3036" x14ac:dyDescent="0.35"/>
    <row r="3037" x14ac:dyDescent="0.35"/>
    <row r="3038" x14ac:dyDescent="0.35"/>
    <row r="3039" x14ac:dyDescent="0.35"/>
    <row r="3040" x14ac:dyDescent="0.35"/>
    <row r="3041" x14ac:dyDescent="0.35"/>
    <row r="3042" x14ac:dyDescent="0.35"/>
    <row r="3043" x14ac:dyDescent="0.35"/>
    <row r="3044" x14ac:dyDescent="0.35"/>
    <row r="3045" x14ac:dyDescent="0.35"/>
    <row r="3046" x14ac:dyDescent="0.35"/>
    <row r="3047" x14ac:dyDescent="0.35"/>
    <row r="3048" x14ac:dyDescent="0.35"/>
    <row r="3049" x14ac:dyDescent="0.35"/>
    <row r="3050" x14ac:dyDescent="0.35"/>
    <row r="3051" x14ac:dyDescent="0.35"/>
    <row r="3052" x14ac:dyDescent="0.35"/>
    <row r="3053" x14ac:dyDescent="0.35"/>
    <row r="3054" x14ac:dyDescent="0.35"/>
    <row r="3055" x14ac:dyDescent="0.35"/>
    <row r="3056" x14ac:dyDescent="0.35"/>
    <row r="3057" x14ac:dyDescent="0.35"/>
    <row r="3058" x14ac:dyDescent="0.35"/>
    <row r="3059" x14ac:dyDescent="0.35"/>
    <row r="3060" x14ac:dyDescent="0.35"/>
    <row r="3061" x14ac:dyDescent="0.35"/>
    <row r="3062" x14ac:dyDescent="0.35"/>
    <row r="3063" x14ac:dyDescent="0.35"/>
    <row r="3064" x14ac:dyDescent="0.35"/>
    <row r="3065" x14ac:dyDescent="0.35"/>
    <row r="3066" x14ac:dyDescent="0.35"/>
    <row r="3067" x14ac:dyDescent="0.35"/>
    <row r="3068" x14ac:dyDescent="0.35"/>
    <row r="3069" x14ac:dyDescent="0.35"/>
    <row r="3070" x14ac:dyDescent="0.35"/>
    <row r="3071" x14ac:dyDescent="0.35"/>
    <row r="3072" x14ac:dyDescent="0.35"/>
    <row r="3073" x14ac:dyDescent="0.35"/>
    <row r="3074" x14ac:dyDescent="0.35"/>
    <row r="3075" x14ac:dyDescent="0.35"/>
    <row r="3076" x14ac:dyDescent="0.35"/>
    <row r="3077" x14ac:dyDescent="0.35"/>
    <row r="3078" x14ac:dyDescent="0.35"/>
    <row r="3079" x14ac:dyDescent="0.35"/>
    <row r="3080" x14ac:dyDescent="0.35"/>
    <row r="3081" x14ac:dyDescent="0.35"/>
    <row r="3082" x14ac:dyDescent="0.35"/>
    <row r="3083" x14ac:dyDescent="0.35"/>
    <row r="3084" x14ac:dyDescent="0.35"/>
    <row r="3085" x14ac:dyDescent="0.35"/>
    <row r="3086" x14ac:dyDescent="0.35"/>
    <row r="3087" x14ac:dyDescent="0.35"/>
    <row r="3088" x14ac:dyDescent="0.35"/>
    <row r="3089" x14ac:dyDescent="0.35"/>
    <row r="3090" x14ac:dyDescent="0.35"/>
    <row r="3091" x14ac:dyDescent="0.35"/>
    <row r="3092" x14ac:dyDescent="0.35"/>
    <row r="3093" x14ac:dyDescent="0.35"/>
    <row r="3094" x14ac:dyDescent="0.35"/>
    <row r="3095" x14ac:dyDescent="0.35"/>
    <row r="3096" x14ac:dyDescent="0.35"/>
    <row r="3097" x14ac:dyDescent="0.35"/>
    <row r="3098" x14ac:dyDescent="0.35"/>
    <row r="3099" x14ac:dyDescent="0.35"/>
    <row r="3100" x14ac:dyDescent="0.35"/>
    <row r="3101" x14ac:dyDescent="0.35"/>
    <row r="3102" x14ac:dyDescent="0.35"/>
    <row r="3103" x14ac:dyDescent="0.35"/>
    <row r="3104" x14ac:dyDescent="0.35"/>
    <row r="3105" x14ac:dyDescent="0.35"/>
    <row r="3106" x14ac:dyDescent="0.35"/>
    <row r="3107" x14ac:dyDescent="0.35"/>
    <row r="3108" x14ac:dyDescent="0.35"/>
    <row r="3109" x14ac:dyDescent="0.35"/>
    <row r="3110" x14ac:dyDescent="0.35"/>
    <row r="3111" x14ac:dyDescent="0.35"/>
    <row r="3112" x14ac:dyDescent="0.35"/>
    <row r="3113" x14ac:dyDescent="0.35"/>
    <row r="3114" x14ac:dyDescent="0.35"/>
    <row r="3115" x14ac:dyDescent="0.35"/>
    <row r="3116" x14ac:dyDescent="0.35"/>
    <row r="3117" x14ac:dyDescent="0.35"/>
    <row r="3118" x14ac:dyDescent="0.35"/>
    <row r="3119" x14ac:dyDescent="0.35"/>
    <row r="3120" x14ac:dyDescent="0.35"/>
    <row r="3121" x14ac:dyDescent="0.35"/>
    <row r="3122" x14ac:dyDescent="0.35"/>
    <row r="3123" x14ac:dyDescent="0.35"/>
    <row r="3124" x14ac:dyDescent="0.35"/>
    <row r="3125" x14ac:dyDescent="0.35"/>
    <row r="3126" x14ac:dyDescent="0.35"/>
    <row r="3127" x14ac:dyDescent="0.35"/>
    <row r="3128" x14ac:dyDescent="0.35"/>
    <row r="3129" x14ac:dyDescent="0.35"/>
    <row r="3130" x14ac:dyDescent="0.35"/>
    <row r="3131" x14ac:dyDescent="0.35"/>
    <row r="3132" x14ac:dyDescent="0.35"/>
    <row r="3133" x14ac:dyDescent="0.35"/>
    <row r="3134" x14ac:dyDescent="0.35"/>
    <row r="3135" x14ac:dyDescent="0.35"/>
    <row r="3136" x14ac:dyDescent="0.35"/>
    <row r="3137" x14ac:dyDescent="0.35"/>
    <row r="3138" x14ac:dyDescent="0.35"/>
    <row r="3139" x14ac:dyDescent="0.35"/>
    <row r="3140" x14ac:dyDescent="0.35"/>
    <row r="3141" x14ac:dyDescent="0.35"/>
    <row r="3142" x14ac:dyDescent="0.35"/>
    <row r="3143" x14ac:dyDescent="0.35"/>
    <row r="3144" x14ac:dyDescent="0.35"/>
    <row r="3145" x14ac:dyDescent="0.35"/>
    <row r="3146" x14ac:dyDescent="0.35"/>
    <row r="3147" x14ac:dyDescent="0.35"/>
    <row r="3148" x14ac:dyDescent="0.35"/>
    <row r="3149" x14ac:dyDescent="0.35"/>
    <row r="3150" x14ac:dyDescent="0.35"/>
    <row r="3151" x14ac:dyDescent="0.35"/>
    <row r="3152" x14ac:dyDescent="0.35"/>
    <row r="3153" x14ac:dyDescent="0.35"/>
    <row r="3154" x14ac:dyDescent="0.35"/>
    <row r="3155" x14ac:dyDescent="0.35"/>
    <row r="3156" x14ac:dyDescent="0.35"/>
    <row r="3157" x14ac:dyDescent="0.35"/>
    <row r="3158" x14ac:dyDescent="0.35"/>
    <row r="3159" x14ac:dyDescent="0.35"/>
    <row r="3160" x14ac:dyDescent="0.35"/>
    <row r="3161" x14ac:dyDescent="0.35"/>
    <row r="3162" x14ac:dyDescent="0.35"/>
    <row r="3163" x14ac:dyDescent="0.35"/>
    <row r="3164" x14ac:dyDescent="0.35"/>
    <row r="3165" x14ac:dyDescent="0.35"/>
    <row r="3166" x14ac:dyDescent="0.35"/>
    <row r="3167" x14ac:dyDescent="0.35"/>
    <row r="3168" x14ac:dyDescent="0.35"/>
    <row r="3169" x14ac:dyDescent="0.35"/>
    <row r="3170" x14ac:dyDescent="0.35"/>
    <row r="3171" x14ac:dyDescent="0.35"/>
    <row r="3172" x14ac:dyDescent="0.35"/>
    <row r="3173" x14ac:dyDescent="0.35"/>
    <row r="3174" x14ac:dyDescent="0.35"/>
    <row r="3175" x14ac:dyDescent="0.35"/>
    <row r="3176" x14ac:dyDescent="0.35"/>
    <row r="3177" x14ac:dyDescent="0.35"/>
    <row r="3178" x14ac:dyDescent="0.35"/>
    <row r="3179" x14ac:dyDescent="0.35"/>
    <row r="3180" x14ac:dyDescent="0.35"/>
    <row r="3181" x14ac:dyDescent="0.35"/>
    <row r="3182" x14ac:dyDescent="0.35"/>
    <row r="3183" x14ac:dyDescent="0.35"/>
    <row r="3184" x14ac:dyDescent="0.35"/>
    <row r="3185" x14ac:dyDescent="0.35"/>
    <row r="3186" x14ac:dyDescent="0.35"/>
    <row r="3187" x14ac:dyDescent="0.35"/>
    <row r="3188" x14ac:dyDescent="0.35"/>
    <row r="3189" x14ac:dyDescent="0.35"/>
    <row r="3190" x14ac:dyDescent="0.35"/>
    <row r="3191" x14ac:dyDescent="0.35"/>
    <row r="3192" x14ac:dyDescent="0.35"/>
    <row r="3193" x14ac:dyDescent="0.35"/>
    <row r="3194" x14ac:dyDescent="0.35"/>
    <row r="3195" x14ac:dyDescent="0.35"/>
    <row r="3196" x14ac:dyDescent="0.35"/>
    <row r="3197" x14ac:dyDescent="0.35"/>
    <row r="3198" x14ac:dyDescent="0.35"/>
    <row r="3199" x14ac:dyDescent="0.35"/>
    <row r="3200" x14ac:dyDescent="0.35"/>
    <row r="3201" x14ac:dyDescent="0.35"/>
    <row r="3202" x14ac:dyDescent="0.35"/>
    <row r="3203" x14ac:dyDescent="0.35"/>
    <row r="3204" x14ac:dyDescent="0.35"/>
    <row r="3205" x14ac:dyDescent="0.35"/>
    <row r="3206" x14ac:dyDescent="0.35"/>
    <row r="3207" x14ac:dyDescent="0.35"/>
    <row r="3208" x14ac:dyDescent="0.35"/>
    <row r="3209" x14ac:dyDescent="0.35"/>
    <row r="3210" x14ac:dyDescent="0.35"/>
    <row r="3211" x14ac:dyDescent="0.35"/>
    <row r="3212" x14ac:dyDescent="0.35"/>
    <row r="3213" x14ac:dyDescent="0.35"/>
    <row r="3214" x14ac:dyDescent="0.35"/>
    <row r="3215" x14ac:dyDescent="0.35"/>
    <row r="3216" x14ac:dyDescent="0.35"/>
    <row r="3217" x14ac:dyDescent="0.35"/>
    <row r="3218" x14ac:dyDescent="0.35"/>
    <row r="3219" x14ac:dyDescent="0.35"/>
    <row r="3220" x14ac:dyDescent="0.35"/>
    <row r="3221" x14ac:dyDescent="0.35"/>
    <row r="3222" x14ac:dyDescent="0.35"/>
    <row r="3223" x14ac:dyDescent="0.35"/>
    <row r="3224" x14ac:dyDescent="0.35"/>
    <row r="3225" x14ac:dyDescent="0.35"/>
    <row r="3226" x14ac:dyDescent="0.35"/>
    <row r="3227" x14ac:dyDescent="0.35"/>
    <row r="3228" x14ac:dyDescent="0.35"/>
    <row r="3229" x14ac:dyDescent="0.35"/>
    <row r="3230" x14ac:dyDescent="0.35"/>
    <row r="3231" x14ac:dyDescent="0.35"/>
    <row r="3232" x14ac:dyDescent="0.35"/>
    <row r="3233" x14ac:dyDescent="0.35"/>
    <row r="3234" x14ac:dyDescent="0.35"/>
    <row r="3235" x14ac:dyDescent="0.35"/>
    <row r="3236" x14ac:dyDescent="0.35"/>
    <row r="3237" x14ac:dyDescent="0.35"/>
    <row r="3238" x14ac:dyDescent="0.35"/>
    <row r="3239" x14ac:dyDescent="0.35"/>
    <row r="3240" x14ac:dyDescent="0.35"/>
    <row r="3241" x14ac:dyDescent="0.35"/>
    <row r="3242" x14ac:dyDescent="0.35"/>
    <row r="3243" x14ac:dyDescent="0.35"/>
    <row r="3244" x14ac:dyDescent="0.35"/>
    <row r="3245" x14ac:dyDescent="0.35"/>
    <row r="3246" x14ac:dyDescent="0.35"/>
    <row r="3247" x14ac:dyDescent="0.35"/>
    <row r="3248" x14ac:dyDescent="0.35"/>
    <row r="3249" x14ac:dyDescent="0.35"/>
    <row r="3250" x14ac:dyDescent="0.35"/>
    <row r="3251" x14ac:dyDescent="0.35"/>
    <row r="3252" x14ac:dyDescent="0.35"/>
    <row r="3253" x14ac:dyDescent="0.35"/>
    <row r="3254" x14ac:dyDescent="0.35"/>
    <row r="3255" x14ac:dyDescent="0.35"/>
    <row r="3256" x14ac:dyDescent="0.35"/>
    <row r="3257" x14ac:dyDescent="0.35"/>
    <row r="3258" x14ac:dyDescent="0.35"/>
    <row r="3259" x14ac:dyDescent="0.35"/>
    <row r="3260" x14ac:dyDescent="0.35"/>
    <row r="3261" x14ac:dyDescent="0.35"/>
    <row r="3262" x14ac:dyDescent="0.35"/>
    <row r="3263" x14ac:dyDescent="0.35"/>
    <row r="3264" x14ac:dyDescent="0.35"/>
    <row r="3265" x14ac:dyDescent="0.35"/>
    <row r="3266" x14ac:dyDescent="0.35"/>
    <row r="3267" x14ac:dyDescent="0.35"/>
    <row r="3268" x14ac:dyDescent="0.35"/>
    <row r="3269" x14ac:dyDescent="0.35"/>
    <row r="3270" x14ac:dyDescent="0.35"/>
    <row r="3271" x14ac:dyDescent="0.35"/>
    <row r="3272" x14ac:dyDescent="0.35"/>
    <row r="3273" x14ac:dyDescent="0.35"/>
    <row r="3274" x14ac:dyDescent="0.35"/>
    <row r="3275" x14ac:dyDescent="0.35"/>
    <row r="3276" x14ac:dyDescent="0.35"/>
    <row r="3277" x14ac:dyDescent="0.35"/>
    <row r="3278" x14ac:dyDescent="0.35"/>
    <row r="3279" x14ac:dyDescent="0.35"/>
    <row r="3280" x14ac:dyDescent="0.35"/>
    <row r="3281" x14ac:dyDescent="0.35"/>
    <row r="3282" x14ac:dyDescent="0.35"/>
    <row r="3283" x14ac:dyDescent="0.35"/>
    <row r="3284" x14ac:dyDescent="0.35"/>
    <row r="3285" x14ac:dyDescent="0.35"/>
    <row r="3286" x14ac:dyDescent="0.35"/>
    <row r="3287" x14ac:dyDescent="0.35"/>
    <row r="3288" x14ac:dyDescent="0.35"/>
    <row r="3289" x14ac:dyDescent="0.35"/>
    <row r="3290" x14ac:dyDescent="0.35"/>
    <row r="3291" x14ac:dyDescent="0.35"/>
    <row r="3292" x14ac:dyDescent="0.35"/>
    <row r="3293" x14ac:dyDescent="0.35"/>
    <row r="3294" x14ac:dyDescent="0.35"/>
    <row r="3295" x14ac:dyDescent="0.35"/>
    <row r="3296" x14ac:dyDescent="0.35"/>
    <row r="3297" x14ac:dyDescent="0.35"/>
    <row r="3298" x14ac:dyDescent="0.35"/>
    <row r="3299" x14ac:dyDescent="0.35"/>
    <row r="3300" x14ac:dyDescent="0.35"/>
    <row r="3301" x14ac:dyDescent="0.35"/>
    <row r="3302" x14ac:dyDescent="0.35"/>
    <row r="3303" x14ac:dyDescent="0.35"/>
    <row r="3304" x14ac:dyDescent="0.35"/>
    <row r="3305" x14ac:dyDescent="0.35"/>
    <row r="3306" x14ac:dyDescent="0.35"/>
    <row r="3307" x14ac:dyDescent="0.35"/>
    <row r="3308" x14ac:dyDescent="0.35"/>
    <row r="3309" x14ac:dyDescent="0.35"/>
    <row r="3310" x14ac:dyDescent="0.35"/>
    <row r="3311" x14ac:dyDescent="0.35"/>
    <row r="3312" x14ac:dyDescent="0.35"/>
    <row r="3313" x14ac:dyDescent="0.35"/>
    <row r="3314" x14ac:dyDescent="0.35"/>
    <row r="3315" x14ac:dyDescent="0.35"/>
    <row r="3316" x14ac:dyDescent="0.35"/>
    <row r="3317" x14ac:dyDescent="0.35"/>
    <row r="3318" x14ac:dyDescent="0.35"/>
    <row r="3319" x14ac:dyDescent="0.35"/>
    <row r="3320" x14ac:dyDescent="0.35"/>
    <row r="3321" x14ac:dyDescent="0.35"/>
    <row r="3322" x14ac:dyDescent="0.35"/>
    <row r="3323" x14ac:dyDescent="0.35"/>
    <row r="3324" x14ac:dyDescent="0.35"/>
    <row r="3325" x14ac:dyDescent="0.35"/>
    <row r="3326" x14ac:dyDescent="0.35"/>
    <row r="3327" x14ac:dyDescent="0.35"/>
    <row r="3328" x14ac:dyDescent="0.35"/>
    <row r="3329" x14ac:dyDescent="0.35"/>
    <row r="3330" x14ac:dyDescent="0.35"/>
    <row r="3331" x14ac:dyDescent="0.35"/>
    <row r="3332" x14ac:dyDescent="0.35"/>
    <row r="3333" x14ac:dyDescent="0.35"/>
    <row r="3334" x14ac:dyDescent="0.35"/>
    <row r="3335" x14ac:dyDescent="0.35"/>
    <row r="3336" x14ac:dyDescent="0.35"/>
    <row r="3337" x14ac:dyDescent="0.35"/>
    <row r="3338" x14ac:dyDescent="0.35"/>
    <row r="3339" x14ac:dyDescent="0.35"/>
    <row r="3340" x14ac:dyDescent="0.35"/>
    <row r="3341" x14ac:dyDescent="0.35"/>
    <row r="3342" x14ac:dyDescent="0.35"/>
    <row r="3343" x14ac:dyDescent="0.35"/>
    <row r="3344" x14ac:dyDescent="0.35"/>
    <row r="3345" x14ac:dyDescent="0.35"/>
    <row r="3346" x14ac:dyDescent="0.35"/>
    <row r="3347" x14ac:dyDescent="0.35"/>
    <row r="3348" x14ac:dyDescent="0.35"/>
    <row r="3349" x14ac:dyDescent="0.35"/>
    <row r="3350" x14ac:dyDescent="0.35"/>
    <row r="3351" x14ac:dyDescent="0.35"/>
    <row r="3352" x14ac:dyDescent="0.35"/>
    <row r="3353" x14ac:dyDescent="0.35"/>
    <row r="3354" x14ac:dyDescent="0.35"/>
    <row r="3355" x14ac:dyDescent="0.35"/>
    <row r="3356" x14ac:dyDescent="0.35"/>
    <row r="3357" x14ac:dyDescent="0.35"/>
    <row r="3358" x14ac:dyDescent="0.35"/>
    <row r="3359" x14ac:dyDescent="0.35"/>
    <row r="3360" x14ac:dyDescent="0.35"/>
    <row r="3361" x14ac:dyDescent="0.35"/>
    <row r="3362" x14ac:dyDescent="0.35"/>
    <row r="3363" x14ac:dyDescent="0.35"/>
    <row r="3364" x14ac:dyDescent="0.35"/>
    <row r="3365" x14ac:dyDescent="0.35"/>
    <row r="3366" x14ac:dyDescent="0.35"/>
    <row r="3367" x14ac:dyDescent="0.35"/>
    <row r="3368" x14ac:dyDescent="0.35"/>
    <row r="3369" x14ac:dyDescent="0.35"/>
    <row r="3370" x14ac:dyDescent="0.35"/>
    <row r="3371" x14ac:dyDescent="0.35"/>
    <row r="3372" x14ac:dyDescent="0.35"/>
    <row r="3373" x14ac:dyDescent="0.35"/>
    <row r="3374" x14ac:dyDescent="0.35"/>
    <row r="3375" x14ac:dyDescent="0.35"/>
    <row r="3376" x14ac:dyDescent="0.35"/>
    <row r="3377" x14ac:dyDescent="0.35"/>
    <row r="3378" x14ac:dyDescent="0.35"/>
    <row r="3379" x14ac:dyDescent="0.35"/>
    <row r="3380" x14ac:dyDescent="0.35"/>
    <row r="3381" x14ac:dyDescent="0.35"/>
    <row r="3382" x14ac:dyDescent="0.35"/>
    <row r="3383" x14ac:dyDescent="0.35"/>
    <row r="3384" x14ac:dyDescent="0.35"/>
    <row r="3385" x14ac:dyDescent="0.35"/>
    <row r="3386" x14ac:dyDescent="0.35"/>
    <row r="3387" x14ac:dyDescent="0.35"/>
    <row r="3388" x14ac:dyDescent="0.35"/>
    <row r="3389" x14ac:dyDescent="0.35"/>
    <row r="3390" x14ac:dyDescent="0.35"/>
    <row r="3391" x14ac:dyDescent="0.35"/>
    <row r="3392" x14ac:dyDescent="0.35"/>
    <row r="3393" x14ac:dyDescent="0.35"/>
    <row r="3394" x14ac:dyDescent="0.35"/>
    <row r="3395" x14ac:dyDescent="0.35"/>
    <row r="3396" x14ac:dyDescent="0.35"/>
    <row r="3397" x14ac:dyDescent="0.35"/>
    <row r="3398" x14ac:dyDescent="0.35"/>
    <row r="3399" x14ac:dyDescent="0.35"/>
    <row r="3400" x14ac:dyDescent="0.35"/>
    <row r="3401" x14ac:dyDescent="0.35"/>
    <row r="3402" x14ac:dyDescent="0.35"/>
    <row r="3403" x14ac:dyDescent="0.35"/>
    <row r="3404" x14ac:dyDescent="0.35"/>
    <row r="3405" x14ac:dyDescent="0.35"/>
    <row r="3406" x14ac:dyDescent="0.35"/>
    <row r="3407" x14ac:dyDescent="0.35"/>
    <row r="3408" x14ac:dyDescent="0.35"/>
    <row r="3409" x14ac:dyDescent="0.35"/>
    <row r="3410" x14ac:dyDescent="0.35"/>
    <row r="3411" x14ac:dyDescent="0.35"/>
    <row r="3412" x14ac:dyDescent="0.35"/>
    <row r="3413" x14ac:dyDescent="0.35"/>
    <row r="3414" x14ac:dyDescent="0.35"/>
    <row r="3415" x14ac:dyDescent="0.35"/>
    <row r="3416" x14ac:dyDescent="0.35"/>
    <row r="3417" x14ac:dyDescent="0.35"/>
    <row r="3418" x14ac:dyDescent="0.35"/>
    <row r="3419" x14ac:dyDescent="0.35"/>
    <row r="3420" x14ac:dyDescent="0.35"/>
    <row r="3421" x14ac:dyDescent="0.35"/>
    <row r="3422" x14ac:dyDescent="0.35"/>
    <row r="3423" x14ac:dyDescent="0.35"/>
    <row r="3424" x14ac:dyDescent="0.35"/>
    <row r="3425" x14ac:dyDescent="0.35"/>
    <row r="3426" x14ac:dyDescent="0.35"/>
    <row r="3427" x14ac:dyDescent="0.35"/>
    <row r="3428" x14ac:dyDescent="0.35"/>
    <row r="3429" x14ac:dyDescent="0.35"/>
    <row r="3430" x14ac:dyDescent="0.35"/>
    <row r="3431" x14ac:dyDescent="0.35"/>
    <row r="3432" x14ac:dyDescent="0.35"/>
    <row r="3433" x14ac:dyDescent="0.35"/>
    <row r="3434" x14ac:dyDescent="0.35"/>
    <row r="3435" x14ac:dyDescent="0.35"/>
    <row r="3436" x14ac:dyDescent="0.35"/>
    <row r="3437" x14ac:dyDescent="0.35"/>
    <row r="3438" x14ac:dyDescent="0.35"/>
    <row r="3439" x14ac:dyDescent="0.35"/>
    <row r="3440" x14ac:dyDescent="0.35"/>
    <row r="3441" x14ac:dyDescent="0.35"/>
    <row r="3442" x14ac:dyDescent="0.35"/>
    <row r="3443" x14ac:dyDescent="0.35"/>
    <row r="3444" x14ac:dyDescent="0.35"/>
    <row r="3445" x14ac:dyDescent="0.35"/>
    <row r="3446" x14ac:dyDescent="0.35"/>
    <row r="3447" x14ac:dyDescent="0.35"/>
    <row r="3448" x14ac:dyDescent="0.35"/>
    <row r="3449" x14ac:dyDescent="0.35"/>
    <row r="3450" x14ac:dyDescent="0.35"/>
    <row r="3451" x14ac:dyDescent="0.35"/>
    <row r="3452" x14ac:dyDescent="0.35"/>
    <row r="3453" x14ac:dyDescent="0.35"/>
    <row r="3454" x14ac:dyDescent="0.35"/>
    <row r="3455" x14ac:dyDescent="0.35"/>
    <row r="3456" x14ac:dyDescent="0.35"/>
    <row r="3457" x14ac:dyDescent="0.35"/>
    <row r="3458" x14ac:dyDescent="0.35"/>
    <row r="3459" x14ac:dyDescent="0.35"/>
    <row r="3460" x14ac:dyDescent="0.35"/>
    <row r="3461" x14ac:dyDescent="0.35"/>
    <row r="3462" x14ac:dyDescent="0.35"/>
    <row r="3463" x14ac:dyDescent="0.35"/>
    <row r="3464" x14ac:dyDescent="0.35"/>
    <row r="3465" x14ac:dyDescent="0.35"/>
    <row r="3466" x14ac:dyDescent="0.35"/>
    <row r="3467" x14ac:dyDescent="0.35"/>
    <row r="3468" x14ac:dyDescent="0.35"/>
    <row r="3469" x14ac:dyDescent="0.35"/>
    <row r="3470" x14ac:dyDescent="0.35"/>
    <row r="3471" x14ac:dyDescent="0.35"/>
    <row r="3472" x14ac:dyDescent="0.35"/>
    <row r="3473" x14ac:dyDescent="0.35"/>
    <row r="3474" x14ac:dyDescent="0.35"/>
    <row r="3475" x14ac:dyDescent="0.35"/>
    <row r="3476" x14ac:dyDescent="0.35"/>
    <row r="3477" x14ac:dyDescent="0.35"/>
    <row r="3478" x14ac:dyDescent="0.35"/>
    <row r="3479" x14ac:dyDescent="0.35"/>
    <row r="3480" x14ac:dyDescent="0.35"/>
    <row r="3481" x14ac:dyDescent="0.35"/>
    <row r="3482" x14ac:dyDescent="0.35"/>
    <row r="3483" x14ac:dyDescent="0.35"/>
    <row r="3484" x14ac:dyDescent="0.35"/>
    <row r="3485" x14ac:dyDescent="0.35"/>
    <row r="3486" x14ac:dyDescent="0.35"/>
    <row r="3487" x14ac:dyDescent="0.35"/>
    <row r="3488" x14ac:dyDescent="0.35"/>
    <row r="3489" x14ac:dyDescent="0.35"/>
    <row r="3490" x14ac:dyDescent="0.35"/>
    <row r="3491" x14ac:dyDescent="0.35"/>
    <row r="3492" x14ac:dyDescent="0.35"/>
    <row r="3493" x14ac:dyDescent="0.35"/>
    <row r="3494" x14ac:dyDescent="0.35"/>
    <row r="3495" x14ac:dyDescent="0.35"/>
    <row r="3496" x14ac:dyDescent="0.35"/>
    <row r="3497" x14ac:dyDescent="0.35"/>
    <row r="3498" x14ac:dyDescent="0.35"/>
    <row r="3499" x14ac:dyDescent="0.35"/>
    <row r="3500" x14ac:dyDescent="0.35"/>
    <row r="3501" x14ac:dyDescent="0.35"/>
    <row r="3502" x14ac:dyDescent="0.35"/>
    <row r="3503" x14ac:dyDescent="0.35"/>
    <row r="3504" x14ac:dyDescent="0.35"/>
    <row r="3505" x14ac:dyDescent="0.35"/>
    <row r="3506" x14ac:dyDescent="0.35"/>
    <row r="3507" x14ac:dyDescent="0.35"/>
    <row r="3508" x14ac:dyDescent="0.35"/>
    <row r="3509" x14ac:dyDescent="0.35"/>
    <row r="3510" x14ac:dyDescent="0.35"/>
    <row r="3511" x14ac:dyDescent="0.35"/>
    <row r="3512" x14ac:dyDescent="0.35"/>
    <row r="3513" x14ac:dyDescent="0.35"/>
    <row r="3514" x14ac:dyDescent="0.35"/>
    <row r="3515" x14ac:dyDescent="0.35"/>
    <row r="3516" x14ac:dyDescent="0.35"/>
    <row r="3517" x14ac:dyDescent="0.35"/>
    <row r="3518" x14ac:dyDescent="0.35"/>
    <row r="3519" x14ac:dyDescent="0.35"/>
    <row r="3520" x14ac:dyDescent="0.35"/>
    <row r="3521" x14ac:dyDescent="0.35"/>
    <row r="3522" x14ac:dyDescent="0.35"/>
    <row r="3523" x14ac:dyDescent="0.35"/>
    <row r="3524" x14ac:dyDescent="0.35"/>
    <row r="3525" x14ac:dyDescent="0.35"/>
    <row r="3526" x14ac:dyDescent="0.35"/>
    <row r="3527" x14ac:dyDescent="0.35"/>
    <row r="3528" x14ac:dyDescent="0.35"/>
    <row r="3529" x14ac:dyDescent="0.35"/>
    <row r="3530" x14ac:dyDescent="0.35"/>
    <row r="3531" x14ac:dyDescent="0.35"/>
    <row r="3532" x14ac:dyDescent="0.35"/>
    <row r="3533" x14ac:dyDescent="0.35"/>
    <row r="3534" x14ac:dyDescent="0.35"/>
    <row r="3535" x14ac:dyDescent="0.35"/>
    <row r="3536" x14ac:dyDescent="0.35"/>
    <row r="3537" x14ac:dyDescent="0.35"/>
    <row r="3538" x14ac:dyDescent="0.35"/>
    <row r="3539" x14ac:dyDescent="0.35"/>
    <row r="3540" x14ac:dyDescent="0.35"/>
    <row r="3541" x14ac:dyDescent="0.35"/>
    <row r="3542" x14ac:dyDescent="0.35"/>
    <row r="3543" x14ac:dyDescent="0.35"/>
    <row r="3544" x14ac:dyDescent="0.35"/>
    <row r="3545" x14ac:dyDescent="0.35"/>
    <row r="3546" x14ac:dyDescent="0.35"/>
    <row r="3547" x14ac:dyDescent="0.35"/>
    <row r="3548" x14ac:dyDescent="0.35"/>
    <row r="3549" x14ac:dyDescent="0.35"/>
    <row r="3550" x14ac:dyDescent="0.35"/>
    <row r="3551" x14ac:dyDescent="0.35"/>
    <row r="3552" x14ac:dyDescent="0.35"/>
    <row r="3553" x14ac:dyDescent="0.35"/>
    <row r="3554" x14ac:dyDescent="0.35"/>
    <row r="3555" x14ac:dyDescent="0.35"/>
    <row r="3556" x14ac:dyDescent="0.35"/>
    <row r="3557" x14ac:dyDescent="0.35"/>
    <row r="3558" x14ac:dyDescent="0.35"/>
    <row r="3559" x14ac:dyDescent="0.35"/>
    <row r="3560" x14ac:dyDescent="0.35"/>
    <row r="3561" x14ac:dyDescent="0.35"/>
    <row r="3562" x14ac:dyDescent="0.35"/>
    <row r="3563" x14ac:dyDescent="0.35"/>
    <row r="3564" x14ac:dyDescent="0.35"/>
    <row r="3565" x14ac:dyDescent="0.35"/>
    <row r="3566" x14ac:dyDescent="0.35"/>
    <row r="3567" x14ac:dyDescent="0.35"/>
    <row r="3568" x14ac:dyDescent="0.35"/>
    <row r="3569" x14ac:dyDescent="0.35"/>
    <row r="3570" x14ac:dyDescent="0.35"/>
    <row r="3571" x14ac:dyDescent="0.35"/>
    <row r="3572" x14ac:dyDescent="0.35"/>
    <row r="3573" x14ac:dyDescent="0.35"/>
    <row r="3574" x14ac:dyDescent="0.35"/>
    <row r="3575" x14ac:dyDescent="0.35"/>
    <row r="3576" x14ac:dyDescent="0.35"/>
    <row r="3577" x14ac:dyDescent="0.35"/>
    <row r="3578" x14ac:dyDescent="0.35"/>
    <row r="3579" x14ac:dyDescent="0.35"/>
    <row r="3580" x14ac:dyDescent="0.35"/>
    <row r="3581" x14ac:dyDescent="0.35"/>
    <row r="3582" x14ac:dyDescent="0.35"/>
    <row r="3583" x14ac:dyDescent="0.35"/>
    <row r="3584" x14ac:dyDescent="0.35"/>
    <row r="3585" x14ac:dyDescent="0.35"/>
    <row r="3586" x14ac:dyDescent="0.35"/>
    <row r="3587" x14ac:dyDescent="0.35"/>
    <row r="3588" x14ac:dyDescent="0.35"/>
    <row r="3589" x14ac:dyDescent="0.35"/>
    <row r="3590" x14ac:dyDescent="0.35"/>
    <row r="3591" x14ac:dyDescent="0.35"/>
    <row r="3592" x14ac:dyDescent="0.35"/>
    <row r="3593" x14ac:dyDescent="0.35"/>
    <row r="3594" x14ac:dyDescent="0.35"/>
    <row r="3595" x14ac:dyDescent="0.35"/>
    <row r="3596" x14ac:dyDescent="0.35"/>
    <row r="3597" x14ac:dyDescent="0.35"/>
    <row r="3598" x14ac:dyDescent="0.35"/>
    <row r="3599" x14ac:dyDescent="0.35"/>
    <row r="3600" x14ac:dyDescent="0.35"/>
    <row r="3601" x14ac:dyDescent="0.35"/>
    <row r="3602" x14ac:dyDescent="0.35"/>
    <row r="3603" x14ac:dyDescent="0.35"/>
    <row r="3604" x14ac:dyDescent="0.35"/>
    <row r="3605" x14ac:dyDescent="0.35"/>
    <row r="3606" x14ac:dyDescent="0.35"/>
    <row r="3607" x14ac:dyDescent="0.35"/>
    <row r="3608" x14ac:dyDescent="0.35"/>
    <row r="3609" x14ac:dyDescent="0.35"/>
    <row r="3610" x14ac:dyDescent="0.35"/>
    <row r="3611" x14ac:dyDescent="0.35"/>
    <row r="3612" x14ac:dyDescent="0.35"/>
    <row r="3613" x14ac:dyDescent="0.35"/>
    <row r="3614" x14ac:dyDescent="0.35"/>
    <row r="3615" x14ac:dyDescent="0.35"/>
    <row r="3616" x14ac:dyDescent="0.35"/>
    <row r="3617" x14ac:dyDescent="0.35"/>
    <row r="3618" x14ac:dyDescent="0.35"/>
    <row r="3619" x14ac:dyDescent="0.35"/>
    <row r="3620" x14ac:dyDescent="0.35"/>
    <row r="3621" x14ac:dyDescent="0.35"/>
    <row r="3622" x14ac:dyDescent="0.35"/>
    <row r="3623" x14ac:dyDescent="0.35"/>
    <row r="3624" x14ac:dyDescent="0.35"/>
    <row r="3625" x14ac:dyDescent="0.35"/>
    <row r="3626" x14ac:dyDescent="0.35"/>
    <row r="3627" x14ac:dyDescent="0.35"/>
    <row r="3628" x14ac:dyDescent="0.35"/>
    <row r="3629" x14ac:dyDescent="0.35"/>
    <row r="3630" x14ac:dyDescent="0.35"/>
    <row r="3631" x14ac:dyDescent="0.35"/>
    <row r="3632" x14ac:dyDescent="0.35"/>
    <row r="3633" x14ac:dyDescent="0.35"/>
    <row r="3634" x14ac:dyDescent="0.35"/>
    <row r="3635" x14ac:dyDescent="0.35"/>
    <row r="3636" x14ac:dyDescent="0.35"/>
    <row r="3637" x14ac:dyDescent="0.35"/>
    <row r="3638" x14ac:dyDescent="0.35"/>
    <row r="3639" x14ac:dyDescent="0.35"/>
    <row r="3640" x14ac:dyDescent="0.35"/>
    <row r="3641" x14ac:dyDescent="0.35"/>
    <row r="3642" x14ac:dyDescent="0.35"/>
    <row r="3643" x14ac:dyDescent="0.35"/>
    <row r="3644" x14ac:dyDescent="0.35"/>
    <row r="3645" x14ac:dyDescent="0.35"/>
    <row r="3646" x14ac:dyDescent="0.35"/>
    <row r="3647" x14ac:dyDescent="0.35"/>
    <row r="3648" x14ac:dyDescent="0.35"/>
    <row r="3649" x14ac:dyDescent="0.35"/>
    <row r="3650" x14ac:dyDescent="0.35"/>
    <row r="3651" x14ac:dyDescent="0.35"/>
    <row r="3652" x14ac:dyDescent="0.35"/>
    <row r="3653" x14ac:dyDescent="0.35"/>
    <row r="3654" x14ac:dyDescent="0.35"/>
    <row r="3655" x14ac:dyDescent="0.35"/>
    <row r="3656" x14ac:dyDescent="0.35"/>
    <row r="3657" x14ac:dyDescent="0.35"/>
    <row r="3658" x14ac:dyDescent="0.35"/>
    <row r="3659" x14ac:dyDescent="0.35"/>
    <row r="3660" x14ac:dyDescent="0.35"/>
    <row r="3661" x14ac:dyDescent="0.35"/>
    <row r="3662" x14ac:dyDescent="0.35"/>
    <row r="3663" x14ac:dyDescent="0.35"/>
    <row r="3664" x14ac:dyDescent="0.35"/>
    <row r="3665" x14ac:dyDescent="0.35"/>
    <row r="3666" x14ac:dyDescent="0.35"/>
    <row r="3667" x14ac:dyDescent="0.35"/>
    <row r="3668" x14ac:dyDescent="0.35"/>
    <row r="3669" x14ac:dyDescent="0.35"/>
    <row r="3670" x14ac:dyDescent="0.35"/>
    <row r="3671" x14ac:dyDescent="0.35"/>
    <row r="3672" x14ac:dyDescent="0.35"/>
    <row r="3673" x14ac:dyDescent="0.35"/>
    <row r="3674" x14ac:dyDescent="0.35"/>
    <row r="3675" x14ac:dyDescent="0.35"/>
    <row r="3676" x14ac:dyDescent="0.35"/>
    <row r="3677" x14ac:dyDescent="0.35"/>
    <row r="3678" x14ac:dyDescent="0.35"/>
    <row r="3679" x14ac:dyDescent="0.35"/>
    <row r="3680" x14ac:dyDescent="0.35"/>
    <row r="3681" x14ac:dyDescent="0.35"/>
    <row r="3682" x14ac:dyDescent="0.35"/>
    <row r="3683" x14ac:dyDescent="0.35"/>
    <row r="3684" x14ac:dyDescent="0.35"/>
    <row r="3685" x14ac:dyDescent="0.35"/>
    <row r="3686" x14ac:dyDescent="0.35"/>
    <row r="3687" x14ac:dyDescent="0.35"/>
    <row r="3688" x14ac:dyDescent="0.35"/>
    <row r="3689" x14ac:dyDescent="0.35"/>
    <row r="3690" x14ac:dyDescent="0.35"/>
    <row r="3691" x14ac:dyDescent="0.35"/>
    <row r="3692" x14ac:dyDescent="0.35"/>
    <row r="3693" x14ac:dyDescent="0.35"/>
    <row r="3694" x14ac:dyDescent="0.35"/>
    <row r="3695" x14ac:dyDescent="0.35"/>
    <row r="3696" x14ac:dyDescent="0.35"/>
    <row r="3697" x14ac:dyDescent="0.35"/>
    <row r="3698" x14ac:dyDescent="0.35"/>
    <row r="3699" x14ac:dyDescent="0.35"/>
    <row r="3700" x14ac:dyDescent="0.35"/>
    <row r="3701" x14ac:dyDescent="0.35"/>
    <row r="3702" x14ac:dyDescent="0.35"/>
    <row r="3703" x14ac:dyDescent="0.35"/>
    <row r="3704" x14ac:dyDescent="0.35"/>
    <row r="3705" x14ac:dyDescent="0.35"/>
    <row r="3706" x14ac:dyDescent="0.35"/>
    <row r="3707" x14ac:dyDescent="0.35"/>
    <row r="3708" x14ac:dyDescent="0.35"/>
    <row r="3709" x14ac:dyDescent="0.35"/>
    <row r="3710" x14ac:dyDescent="0.35"/>
    <row r="3711" x14ac:dyDescent="0.35"/>
    <row r="3712" x14ac:dyDescent="0.35"/>
    <row r="3713" x14ac:dyDescent="0.35"/>
    <row r="3714" x14ac:dyDescent="0.35"/>
    <row r="3715" x14ac:dyDescent="0.35"/>
    <row r="3716" x14ac:dyDescent="0.35"/>
    <row r="3717" x14ac:dyDescent="0.35"/>
    <row r="3718" x14ac:dyDescent="0.35"/>
    <row r="3719" x14ac:dyDescent="0.35"/>
    <row r="3720" x14ac:dyDescent="0.35"/>
    <row r="3721" x14ac:dyDescent="0.35"/>
    <row r="3722" x14ac:dyDescent="0.35"/>
    <row r="3723" x14ac:dyDescent="0.35"/>
    <row r="3724" x14ac:dyDescent="0.35"/>
    <row r="3725" x14ac:dyDescent="0.35"/>
    <row r="3726" x14ac:dyDescent="0.35"/>
    <row r="3727" x14ac:dyDescent="0.35"/>
    <row r="3728" x14ac:dyDescent="0.35"/>
    <row r="3729" x14ac:dyDescent="0.35"/>
    <row r="3730" x14ac:dyDescent="0.35"/>
    <row r="3731" x14ac:dyDescent="0.35"/>
    <row r="3732" x14ac:dyDescent="0.35"/>
    <row r="3733" x14ac:dyDescent="0.35"/>
    <row r="3734" x14ac:dyDescent="0.35"/>
    <row r="3735" x14ac:dyDescent="0.35"/>
    <row r="3736" x14ac:dyDescent="0.35"/>
    <row r="3737" x14ac:dyDescent="0.35"/>
    <row r="3738" x14ac:dyDescent="0.35"/>
    <row r="3739" x14ac:dyDescent="0.35"/>
    <row r="3740" x14ac:dyDescent="0.35"/>
    <row r="3741" x14ac:dyDescent="0.35"/>
    <row r="3742" x14ac:dyDescent="0.35"/>
    <row r="3743" x14ac:dyDescent="0.35"/>
    <row r="3744" x14ac:dyDescent="0.35"/>
    <row r="3745" x14ac:dyDescent="0.35"/>
    <row r="3746" x14ac:dyDescent="0.35"/>
    <row r="3747" x14ac:dyDescent="0.35"/>
    <row r="3748" x14ac:dyDescent="0.35"/>
    <row r="3749" x14ac:dyDescent="0.35"/>
    <row r="3750" x14ac:dyDescent="0.35"/>
    <row r="3751" x14ac:dyDescent="0.35"/>
    <row r="3752" x14ac:dyDescent="0.35"/>
    <row r="3753" x14ac:dyDescent="0.35"/>
    <row r="3754" x14ac:dyDescent="0.35"/>
    <row r="3755" x14ac:dyDescent="0.35"/>
    <row r="3756" x14ac:dyDescent="0.35"/>
    <row r="3757" x14ac:dyDescent="0.35"/>
    <row r="3758" x14ac:dyDescent="0.35"/>
    <row r="3759" x14ac:dyDescent="0.35"/>
    <row r="3760" x14ac:dyDescent="0.35"/>
    <row r="3761" x14ac:dyDescent="0.35"/>
    <row r="3762" x14ac:dyDescent="0.35"/>
    <row r="3763" x14ac:dyDescent="0.35"/>
    <row r="3764" x14ac:dyDescent="0.35"/>
    <row r="3765" x14ac:dyDescent="0.35"/>
    <row r="3766" x14ac:dyDescent="0.35"/>
    <row r="3767" x14ac:dyDescent="0.35"/>
    <row r="3768" x14ac:dyDescent="0.35"/>
    <row r="3769" x14ac:dyDescent="0.35"/>
    <row r="3770" x14ac:dyDescent="0.35"/>
    <row r="3771" x14ac:dyDescent="0.35"/>
    <row r="3772" x14ac:dyDescent="0.35"/>
    <row r="3773" x14ac:dyDescent="0.35"/>
    <row r="3774" x14ac:dyDescent="0.35"/>
    <row r="3775" x14ac:dyDescent="0.35"/>
    <row r="3776" x14ac:dyDescent="0.35"/>
    <row r="3777" x14ac:dyDescent="0.35"/>
    <row r="3778" x14ac:dyDescent="0.35"/>
    <row r="3779" x14ac:dyDescent="0.35"/>
    <row r="3780" x14ac:dyDescent="0.35"/>
    <row r="3781" x14ac:dyDescent="0.35"/>
    <row r="3782" x14ac:dyDescent="0.35"/>
    <row r="3783" x14ac:dyDescent="0.35"/>
    <row r="3784" x14ac:dyDescent="0.35"/>
    <row r="3785" x14ac:dyDescent="0.35"/>
    <row r="3786" x14ac:dyDescent="0.35"/>
    <row r="3787" x14ac:dyDescent="0.35"/>
    <row r="3788" x14ac:dyDescent="0.35"/>
    <row r="3789" x14ac:dyDescent="0.35"/>
    <row r="3790" x14ac:dyDescent="0.35"/>
    <row r="3791" x14ac:dyDescent="0.35"/>
    <row r="3792" x14ac:dyDescent="0.35"/>
    <row r="3793" x14ac:dyDescent="0.35"/>
    <row r="3794" x14ac:dyDescent="0.35"/>
    <row r="3795" x14ac:dyDescent="0.35"/>
    <row r="3796" x14ac:dyDescent="0.35"/>
    <row r="3797" x14ac:dyDescent="0.35"/>
    <row r="3798" x14ac:dyDescent="0.35"/>
    <row r="3799" x14ac:dyDescent="0.35"/>
    <row r="3800" x14ac:dyDescent="0.35"/>
    <row r="3801" x14ac:dyDescent="0.35"/>
    <row r="3802" x14ac:dyDescent="0.35"/>
    <row r="3803" x14ac:dyDescent="0.35"/>
    <row r="3804" x14ac:dyDescent="0.35"/>
    <row r="3805" x14ac:dyDescent="0.35"/>
    <row r="3806" x14ac:dyDescent="0.35"/>
    <row r="3807" x14ac:dyDescent="0.35"/>
    <row r="3808" x14ac:dyDescent="0.35"/>
    <row r="3809" x14ac:dyDescent="0.35"/>
    <row r="3810" x14ac:dyDescent="0.35"/>
    <row r="3811" x14ac:dyDescent="0.35"/>
    <row r="3812" x14ac:dyDescent="0.35"/>
    <row r="3813" x14ac:dyDescent="0.35"/>
    <row r="3814" x14ac:dyDescent="0.35"/>
    <row r="3815" x14ac:dyDescent="0.35"/>
    <row r="3816" x14ac:dyDescent="0.35"/>
    <row r="3817" x14ac:dyDescent="0.35"/>
    <row r="3818" x14ac:dyDescent="0.35"/>
    <row r="3819" x14ac:dyDescent="0.35"/>
    <row r="3820" x14ac:dyDescent="0.35"/>
    <row r="3821" x14ac:dyDescent="0.35"/>
    <row r="3822" x14ac:dyDescent="0.35"/>
    <row r="3823" x14ac:dyDescent="0.35"/>
    <row r="3824" x14ac:dyDescent="0.35"/>
    <row r="3825" x14ac:dyDescent="0.35"/>
    <row r="3826" x14ac:dyDescent="0.35"/>
    <row r="3827" x14ac:dyDescent="0.35"/>
    <row r="3828" x14ac:dyDescent="0.35"/>
    <row r="3829" x14ac:dyDescent="0.35"/>
    <row r="3830" x14ac:dyDescent="0.35"/>
    <row r="3831" x14ac:dyDescent="0.35"/>
    <row r="3832" x14ac:dyDescent="0.35"/>
    <row r="3833" x14ac:dyDescent="0.35"/>
    <row r="3834" x14ac:dyDescent="0.35"/>
    <row r="3835" x14ac:dyDescent="0.35"/>
    <row r="3836" x14ac:dyDescent="0.35"/>
    <row r="3837" x14ac:dyDescent="0.35"/>
    <row r="3838" x14ac:dyDescent="0.35"/>
    <row r="3839" x14ac:dyDescent="0.35"/>
    <row r="3840" x14ac:dyDescent="0.35"/>
    <row r="3841" x14ac:dyDescent="0.35"/>
    <row r="3842" x14ac:dyDescent="0.35"/>
    <row r="3843" x14ac:dyDescent="0.35"/>
    <row r="3844" x14ac:dyDescent="0.35"/>
    <row r="3845" x14ac:dyDescent="0.35"/>
    <row r="3846" x14ac:dyDescent="0.35"/>
    <row r="3847" x14ac:dyDescent="0.35"/>
    <row r="3848" x14ac:dyDescent="0.35"/>
    <row r="3849" x14ac:dyDescent="0.35"/>
    <row r="3850" x14ac:dyDescent="0.35"/>
    <row r="3851" x14ac:dyDescent="0.35"/>
    <row r="3852" x14ac:dyDescent="0.35"/>
    <row r="3853" x14ac:dyDescent="0.35"/>
    <row r="3854" x14ac:dyDescent="0.35"/>
    <row r="3855" x14ac:dyDescent="0.35"/>
    <row r="3856" x14ac:dyDescent="0.35"/>
    <row r="3857" x14ac:dyDescent="0.35"/>
    <row r="3858" x14ac:dyDescent="0.35"/>
    <row r="3859" x14ac:dyDescent="0.35"/>
    <row r="3860" x14ac:dyDescent="0.35"/>
    <row r="3861" x14ac:dyDescent="0.35"/>
    <row r="3862" x14ac:dyDescent="0.35"/>
    <row r="3863" x14ac:dyDescent="0.35"/>
    <row r="3864" x14ac:dyDescent="0.35"/>
    <row r="3865" x14ac:dyDescent="0.35"/>
    <row r="3866" x14ac:dyDescent="0.35"/>
    <row r="3867" x14ac:dyDescent="0.35"/>
    <row r="3868" x14ac:dyDescent="0.35"/>
    <row r="3869" x14ac:dyDescent="0.35"/>
    <row r="3870" x14ac:dyDescent="0.35"/>
    <row r="3871" x14ac:dyDescent="0.35"/>
    <row r="3872" x14ac:dyDescent="0.35"/>
    <row r="3873" x14ac:dyDescent="0.35"/>
    <row r="3874" x14ac:dyDescent="0.35"/>
    <row r="3875" x14ac:dyDescent="0.35"/>
    <row r="3876" x14ac:dyDescent="0.35"/>
    <row r="3877" x14ac:dyDescent="0.35"/>
    <row r="3878" x14ac:dyDescent="0.35"/>
    <row r="3879" x14ac:dyDescent="0.35"/>
    <row r="3880" x14ac:dyDescent="0.35"/>
    <row r="3881" x14ac:dyDescent="0.35"/>
    <row r="3882" x14ac:dyDescent="0.35"/>
    <row r="3883" x14ac:dyDescent="0.35"/>
    <row r="3884" x14ac:dyDescent="0.35"/>
    <row r="3885" x14ac:dyDescent="0.35"/>
    <row r="3886" x14ac:dyDescent="0.35"/>
    <row r="3887" x14ac:dyDescent="0.35"/>
    <row r="3888" x14ac:dyDescent="0.35"/>
    <row r="3889" x14ac:dyDescent="0.35"/>
    <row r="3890" x14ac:dyDescent="0.35"/>
    <row r="3891" x14ac:dyDescent="0.35"/>
    <row r="3892" x14ac:dyDescent="0.35"/>
    <row r="3893" x14ac:dyDescent="0.35"/>
    <row r="3894" x14ac:dyDescent="0.35"/>
    <row r="3895" x14ac:dyDescent="0.35"/>
    <row r="3896" x14ac:dyDescent="0.35"/>
    <row r="3897" x14ac:dyDescent="0.35"/>
    <row r="3898" x14ac:dyDescent="0.35"/>
    <row r="3899" x14ac:dyDescent="0.35"/>
    <row r="3900" x14ac:dyDescent="0.35"/>
    <row r="3901" x14ac:dyDescent="0.35"/>
    <row r="3902" x14ac:dyDescent="0.35"/>
    <row r="3903" x14ac:dyDescent="0.35"/>
    <row r="3904" x14ac:dyDescent="0.35"/>
    <row r="3905" x14ac:dyDescent="0.35"/>
    <row r="3906" x14ac:dyDescent="0.35"/>
    <row r="3907" x14ac:dyDescent="0.35"/>
    <row r="3908" x14ac:dyDescent="0.35"/>
    <row r="3909" x14ac:dyDescent="0.35"/>
    <row r="3910" x14ac:dyDescent="0.35"/>
    <row r="3911" x14ac:dyDescent="0.35"/>
    <row r="3912" x14ac:dyDescent="0.35"/>
    <row r="3913" x14ac:dyDescent="0.35"/>
    <row r="3914" x14ac:dyDescent="0.35"/>
    <row r="3915" x14ac:dyDescent="0.35"/>
    <row r="3916" x14ac:dyDescent="0.35"/>
    <row r="3917" x14ac:dyDescent="0.35"/>
    <row r="3918" x14ac:dyDescent="0.35"/>
    <row r="3919" x14ac:dyDescent="0.35"/>
    <row r="3920" x14ac:dyDescent="0.35"/>
    <row r="3921" x14ac:dyDescent="0.35"/>
    <row r="3922" x14ac:dyDescent="0.35"/>
    <row r="3923" x14ac:dyDescent="0.35"/>
    <row r="3924" x14ac:dyDescent="0.35"/>
    <row r="3925" x14ac:dyDescent="0.35"/>
    <row r="3926" x14ac:dyDescent="0.35"/>
    <row r="3927" x14ac:dyDescent="0.35"/>
    <row r="3928" x14ac:dyDescent="0.35"/>
    <row r="3929" x14ac:dyDescent="0.35"/>
    <row r="3930" x14ac:dyDescent="0.35"/>
    <row r="3931" x14ac:dyDescent="0.35"/>
    <row r="3932" x14ac:dyDescent="0.35"/>
    <row r="3933" x14ac:dyDescent="0.35"/>
    <row r="3934" x14ac:dyDescent="0.35"/>
    <row r="3935" x14ac:dyDescent="0.35"/>
    <row r="3936" x14ac:dyDescent="0.35"/>
    <row r="3937" x14ac:dyDescent="0.35"/>
    <row r="3938" x14ac:dyDescent="0.35"/>
    <row r="3939" x14ac:dyDescent="0.35"/>
    <row r="3940" x14ac:dyDescent="0.35"/>
    <row r="3941" x14ac:dyDescent="0.35"/>
    <row r="3942" x14ac:dyDescent="0.35"/>
    <row r="3943" x14ac:dyDescent="0.35"/>
    <row r="3944" x14ac:dyDescent="0.35"/>
    <row r="3945" x14ac:dyDescent="0.35"/>
    <row r="3946" x14ac:dyDescent="0.35"/>
    <row r="3947" x14ac:dyDescent="0.35"/>
    <row r="3948" x14ac:dyDescent="0.35"/>
    <row r="3949" x14ac:dyDescent="0.35"/>
    <row r="3950" x14ac:dyDescent="0.35"/>
    <row r="3951" x14ac:dyDescent="0.35"/>
    <row r="3952" x14ac:dyDescent="0.35"/>
    <row r="3953" x14ac:dyDescent="0.35"/>
    <row r="3954" x14ac:dyDescent="0.35"/>
    <row r="3955" x14ac:dyDescent="0.35"/>
    <row r="3956" x14ac:dyDescent="0.35"/>
    <row r="3957" x14ac:dyDescent="0.35"/>
    <row r="3958" x14ac:dyDescent="0.35"/>
    <row r="3959" x14ac:dyDescent="0.35"/>
    <row r="3960" x14ac:dyDescent="0.35"/>
    <row r="3961" x14ac:dyDescent="0.35"/>
    <row r="3962" x14ac:dyDescent="0.35"/>
    <row r="3963" x14ac:dyDescent="0.35"/>
    <row r="3964" x14ac:dyDescent="0.35"/>
    <row r="3965" x14ac:dyDescent="0.35"/>
    <row r="3966" x14ac:dyDescent="0.35"/>
    <row r="3967" x14ac:dyDescent="0.35"/>
    <row r="3968" x14ac:dyDescent="0.35"/>
    <row r="3969" x14ac:dyDescent="0.35"/>
    <row r="3970" x14ac:dyDescent="0.35"/>
    <row r="3971" x14ac:dyDescent="0.35"/>
    <row r="3972" x14ac:dyDescent="0.35"/>
    <row r="3973" x14ac:dyDescent="0.35"/>
    <row r="3974" x14ac:dyDescent="0.35"/>
    <row r="3975" x14ac:dyDescent="0.35"/>
    <row r="3976" x14ac:dyDescent="0.35"/>
    <row r="3977" x14ac:dyDescent="0.35"/>
    <row r="3978" x14ac:dyDescent="0.35"/>
    <row r="3979" x14ac:dyDescent="0.35"/>
    <row r="3980" x14ac:dyDescent="0.35"/>
    <row r="3981" x14ac:dyDescent="0.35"/>
    <row r="3982" x14ac:dyDescent="0.35"/>
    <row r="3983" x14ac:dyDescent="0.35"/>
    <row r="3984" x14ac:dyDescent="0.35"/>
    <row r="3985" x14ac:dyDescent="0.35"/>
    <row r="3986" x14ac:dyDescent="0.35"/>
    <row r="3987" x14ac:dyDescent="0.35"/>
    <row r="3988" x14ac:dyDescent="0.35"/>
    <row r="3989" x14ac:dyDescent="0.35"/>
    <row r="3990" x14ac:dyDescent="0.35"/>
    <row r="3991" x14ac:dyDescent="0.35"/>
    <row r="3992" x14ac:dyDescent="0.35"/>
    <row r="3993" x14ac:dyDescent="0.35"/>
    <row r="3994" x14ac:dyDescent="0.35"/>
    <row r="3995" x14ac:dyDescent="0.35"/>
    <row r="3996" x14ac:dyDescent="0.35"/>
    <row r="3997" x14ac:dyDescent="0.35"/>
    <row r="3998" x14ac:dyDescent="0.35"/>
    <row r="3999" x14ac:dyDescent="0.35"/>
    <row r="4000" x14ac:dyDescent="0.35"/>
    <row r="4001" x14ac:dyDescent="0.35"/>
    <row r="4002" x14ac:dyDescent="0.35"/>
    <row r="4003" x14ac:dyDescent="0.35"/>
    <row r="4004" x14ac:dyDescent="0.35"/>
    <row r="4005" x14ac:dyDescent="0.35"/>
    <row r="4006" x14ac:dyDescent="0.35"/>
    <row r="4007" x14ac:dyDescent="0.35"/>
    <row r="4008" x14ac:dyDescent="0.35"/>
    <row r="4009" x14ac:dyDescent="0.35"/>
    <row r="4010" x14ac:dyDescent="0.35"/>
    <row r="4011" x14ac:dyDescent="0.35"/>
    <row r="4012" x14ac:dyDescent="0.35"/>
    <row r="4013" x14ac:dyDescent="0.35"/>
    <row r="4014" x14ac:dyDescent="0.35"/>
    <row r="4015" x14ac:dyDescent="0.35"/>
    <row r="4016" x14ac:dyDescent="0.35"/>
    <row r="4017" x14ac:dyDescent="0.35"/>
    <row r="4018" x14ac:dyDescent="0.35"/>
    <row r="4019" x14ac:dyDescent="0.35"/>
    <row r="4020" x14ac:dyDescent="0.35"/>
    <row r="4021" x14ac:dyDescent="0.35"/>
    <row r="4022" x14ac:dyDescent="0.35"/>
    <row r="4023" x14ac:dyDescent="0.35"/>
    <row r="4024" x14ac:dyDescent="0.35"/>
    <row r="4025" x14ac:dyDescent="0.35"/>
    <row r="4026" x14ac:dyDescent="0.35"/>
    <row r="4027" x14ac:dyDescent="0.35"/>
    <row r="4028" x14ac:dyDescent="0.35"/>
    <row r="4029" x14ac:dyDescent="0.35"/>
    <row r="4030" x14ac:dyDescent="0.35"/>
    <row r="4031" x14ac:dyDescent="0.35"/>
    <row r="4032" x14ac:dyDescent="0.35"/>
    <row r="4033" x14ac:dyDescent="0.35"/>
    <row r="4034" x14ac:dyDescent="0.35"/>
    <row r="4035" x14ac:dyDescent="0.35"/>
    <row r="4036" x14ac:dyDescent="0.35"/>
    <row r="4037" x14ac:dyDescent="0.35"/>
    <row r="4038" x14ac:dyDescent="0.35"/>
    <row r="4039" x14ac:dyDescent="0.35"/>
    <row r="4040" x14ac:dyDescent="0.35"/>
    <row r="4041" x14ac:dyDescent="0.35"/>
    <row r="4042" x14ac:dyDescent="0.35"/>
    <row r="4043" x14ac:dyDescent="0.35"/>
    <row r="4044" x14ac:dyDescent="0.35"/>
    <row r="4045" x14ac:dyDescent="0.35"/>
    <row r="4046" x14ac:dyDescent="0.35"/>
    <row r="4047" x14ac:dyDescent="0.35"/>
    <row r="4048" x14ac:dyDescent="0.35"/>
    <row r="4049" x14ac:dyDescent="0.35"/>
    <row r="4050" x14ac:dyDescent="0.35"/>
    <row r="4051" x14ac:dyDescent="0.35"/>
    <row r="4052" x14ac:dyDescent="0.35"/>
    <row r="4053" x14ac:dyDescent="0.35"/>
    <row r="4054" x14ac:dyDescent="0.35"/>
    <row r="4055" x14ac:dyDescent="0.35"/>
    <row r="4056" x14ac:dyDescent="0.35"/>
    <row r="4057" x14ac:dyDescent="0.35"/>
    <row r="4058" x14ac:dyDescent="0.35"/>
    <row r="4059" x14ac:dyDescent="0.35"/>
    <row r="4060" x14ac:dyDescent="0.35"/>
    <row r="4061" x14ac:dyDescent="0.35"/>
    <row r="4062" x14ac:dyDescent="0.35"/>
    <row r="4063" x14ac:dyDescent="0.35"/>
    <row r="4064" x14ac:dyDescent="0.35"/>
    <row r="4065" x14ac:dyDescent="0.35"/>
    <row r="4066" x14ac:dyDescent="0.35"/>
    <row r="4067" x14ac:dyDescent="0.35"/>
    <row r="4068" x14ac:dyDescent="0.35"/>
    <row r="4069" x14ac:dyDescent="0.35"/>
    <row r="4070" x14ac:dyDescent="0.35"/>
    <row r="4071" x14ac:dyDescent="0.35"/>
    <row r="4072" x14ac:dyDescent="0.35"/>
    <row r="4073" x14ac:dyDescent="0.35"/>
    <row r="4074" x14ac:dyDescent="0.35"/>
    <row r="4075" x14ac:dyDescent="0.35"/>
    <row r="4076" x14ac:dyDescent="0.35"/>
    <row r="4077" x14ac:dyDescent="0.35"/>
    <row r="4078" x14ac:dyDescent="0.35"/>
    <row r="4079" x14ac:dyDescent="0.35"/>
    <row r="4080" x14ac:dyDescent="0.35"/>
    <row r="4081" x14ac:dyDescent="0.35"/>
    <row r="4082" x14ac:dyDescent="0.35"/>
    <row r="4083" x14ac:dyDescent="0.35"/>
    <row r="4084" x14ac:dyDescent="0.35"/>
    <row r="4085" x14ac:dyDescent="0.35"/>
    <row r="4086" x14ac:dyDescent="0.35"/>
    <row r="4087" x14ac:dyDescent="0.35"/>
    <row r="4088" x14ac:dyDescent="0.35"/>
    <row r="4089" x14ac:dyDescent="0.35"/>
    <row r="4090" x14ac:dyDescent="0.35"/>
    <row r="4091" x14ac:dyDescent="0.35"/>
    <row r="4092" x14ac:dyDescent="0.35"/>
    <row r="4093" x14ac:dyDescent="0.35"/>
    <row r="4094" x14ac:dyDescent="0.35"/>
    <row r="4095" x14ac:dyDescent="0.35"/>
    <row r="4096" x14ac:dyDescent="0.35"/>
    <row r="4097" x14ac:dyDescent="0.35"/>
    <row r="4098" x14ac:dyDescent="0.35"/>
    <row r="4099" x14ac:dyDescent="0.35"/>
    <row r="4100" x14ac:dyDescent="0.35"/>
    <row r="4101" x14ac:dyDescent="0.35"/>
    <row r="4102" x14ac:dyDescent="0.35"/>
    <row r="4103" x14ac:dyDescent="0.35"/>
    <row r="4104" x14ac:dyDescent="0.35"/>
    <row r="4105" x14ac:dyDescent="0.35"/>
    <row r="4106" x14ac:dyDescent="0.35"/>
    <row r="4107" x14ac:dyDescent="0.35"/>
    <row r="4108" x14ac:dyDescent="0.35"/>
    <row r="4109" x14ac:dyDescent="0.35"/>
    <row r="4110" x14ac:dyDescent="0.35"/>
    <row r="4111" x14ac:dyDescent="0.35"/>
    <row r="4112" x14ac:dyDescent="0.35"/>
    <row r="4113" x14ac:dyDescent="0.35"/>
    <row r="4114" x14ac:dyDescent="0.35"/>
    <row r="4115" x14ac:dyDescent="0.35"/>
    <row r="4116" x14ac:dyDescent="0.35"/>
    <row r="4117" x14ac:dyDescent="0.35"/>
    <row r="4118" x14ac:dyDescent="0.35"/>
    <row r="4119" x14ac:dyDescent="0.35"/>
    <row r="4120" x14ac:dyDescent="0.35"/>
    <row r="4121" x14ac:dyDescent="0.35"/>
    <row r="4122" x14ac:dyDescent="0.35"/>
    <row r="4123" x14ac:dyDescent="0.35"/>
    <row r="4124" x14ac:dyDescent="0.35"/>
    <row r="4125" x14ac:dyDescent="0.35"/>
    <row r="4126" x14ac:dyDescent="0.35"/>
    <row r="4127" x14ac:dyDescent="0.35"/>
    <row r="4128" x14ac:dyDescent="0.35"/>
    <row r="4129" x14ac:dyDescent="0.35"/>
    <row r="4130" x14ac:dyDescent="0.35"/>
    <row r="4131" x14ac:dyDescent="0.35"/>
    <row r="4132" x14ac:dyDescent="0.35"/>
    <row r="4133" x14ac:dyDescent="0.35"/>
    <row r="4134" x14ac:dyDescent="0.35"/>
    <row r="4135" x14ac:dyDescent="0.35"/>
    <row r="4136" x14ac:dyDescent="0.35"/>
    <row r="4137" x14ac:dyDescent="0.35"/>
    <row r="4138" x14ac:dyDescent="0.35"/>
    <row r="4139" x14ac:dyDescent="0.35"/>
    <row r="4140" x14ac:dyDescent="0.35"/>
    <row r="4141" x14ac:dyDescent="0.35"/>
    <row r="4142" x14ac:dyDescent="0.35"/>
    <row r="4143" x14ac:dyDescent="0.35"/>
    <row r="4144" x14ac:dyDescent="0.35"/>
    <row r="4145" x14ac:dyDescent="0.35"/>
    <row r="4146" x14ac:dyDescent="0.35"/>
    <row r="4147" x14ac:dyDescent="0.35"/>
    <row r="4148" x14ac:dyDescent="0.35"/>
    <row r="4149" x14ac:dyDescent="0.35"/>
    <row r="4150" x14ac:dyDescent="0.35"/>
    <row r="4151" x14ac:dyDescent="0.35"/>
    <row r="4152" x14ac:dyDescent="0.35"/>
    <row r="4153" x14ac:dyDescent="0.35"/>
    <row r="4154" x14ac:dyDescent="0.35"/>
    <row r="4155" x14ac:dyDescent="0.35"/>
    <row r="4156" x14ac:dyDescent="0.35"/>
    <row r="4157" x14ac:dyDescent="0.35"/>
    <row r="4158" x14ac:dyDescent="0.35"/>
    <row r="4159" x14ac:dyDescent="0.35"/>
    <row r="4160" x14ac:dyDescent="0.35"/>
    <row r="4161" x14ac:dyDescent="0.35"/>
    <row r="4162" x14ac:dyDescent="0.35"/>
    <row r="4163" x14ac:dyDescent="0.35"/>
    <row r="4164" x14ac:dyDescent="0.35"/>
    <row r="4165" x14ac:dyDescent="0.35"/>
    <row r="4166" x14ac:dyDescent="0.35"/>
    <row r="4167" x14ac:dyDescent="0.35"/>
    <row r="4168" x14ac:dyDescent="0.35"/>
    <row r="4169" x14ac:dyDescent="0.35"/>
    <row r="4170" x14ac:dyDescent="0.35"/>
    <row r="4171" x14ac:dyDescent="0.35"/>
    <row r="4172" x14ac:dyDescent="0.35"/>
    <row r="4173" x14ac:dyDescent="0.35"/>
    <row r="4174" x14ac:dyDescent="0.35"/>
    <row r="4175" x14ac:dyDescent="0.35"/>
    <row r="4176" x14ac:dyDescent="0.35"/>
    <row r="4177" x14ac:dyDescent="0.35"/>
    <row r="4178" x14ac:dyDescent="0.35"/>
    <row r="4179" x14ac:dyDescent="0.35"/>
    <row r="4180" x14ac:dyDescent="0.35"/>
    <row r="4181" x14ac:dyDescent="0.35"/>
    <row r="4182" x14ac:dyDescent="0.35"/>
    <row r="4183" x14ac:dyDescent="0.35"/>
    <row r="4184" x14ac:dyDescent="0.35"/>
    <row r="4185" x14ac:dyDescent="0.35"/>
    <row r="4186" x14ac:dyDescent="0.35"/>
    <row r="4187" x14ac:dyDescent="0.35"/>
    <row r="4188" x14ac:dyDescent="0.35"/>
    <row r="4189" x14ac:dyDescent="0.35"/>
    <row r="4190" x14ac:dyDescent="0.35"/>
    <row r="4191" x14ac:dyDescent="0.35"/>
    <row r="4192" x14ac:dyDescent="0.35"/>
    <row r="4193" x14ac:dyDescent="0.35"/>
    <row r="4194" x14ac:dyDescent="0.35"/>
    <row r="4195" x14ac:dyDescent="0.35"/>
    <row r="4196" x14ac:dyDescent="0.35"/>
    <row r="4197" x14ac:dyDescent="0.35"/>
    <row r="4198" x14ac:dyDescent="0.35"/>
    <row r="4199" x14ac:dyDescent="0.35"/>
    <row r="4200" x14ac:dyDescent="0.35"/>
    <row r="4201" x14ac:dyDescent="0.35"/>
    <row r="4202" x14ac:dyDescent="0.35"/>
    <row r="4203" x14ac:dyDescent="0.35"/>
    <row r="4204" x14ac:dyDescent="0.35"/>
    <row r="4205" x14ac:dyDescent="0.35"/>
    <row r="4206" x14ac:dyDescent="0.35"/>
    <row r="4207" x14ac:dyDescent="0.35"/>
    <row r="4208" x14ac:dyDescent="0.35"/>
    <row r="4209" x14ac:dyDescent="0.35"/>
    <row r="4210" x14ac:dyDescent="0.35"/>
    <row r="4211" x14ac:dyDescent="0.35"/>
    <row r="4212" x14ac:dyDescent="0.35"/>
    <row r="4213" x14ac:dyDescent="0.35"/>
    <row r="4214" x14ac:dyDescent="0.35"/>
    <row r="4215" x14ac:dyDescent="0.35"/>
    <row r="4216" x14ac:dyDescent="0.35"/>
    <row r="4217" x14ac:dyDescent="0.35"/>
    <row r="4218" x14ac:dyDescent="0.35"/>
    <row r="4219" x14ac:dyDescent="0.35"/>
    <row r="4220" x14ac:dyDescent="0.35"/>
    <row r="4221" x14ac:dyDescent="0.35"/>
    <row r="4222" x14ac:dyDescent="0.35"/>
    <row r="4223" x14ac:dyDescent="0.35"/>
    <row r="4224" x14ac:dyDescent="0.35"/>
    <row r="4225" x14ac:dyDescent="0.35"/>
    <row r="4226" x14ac:dyDescent="0.35"/>
    <row r="4227" x14ac:dyDescent="0.35"/>
    <row r="4228" x14ac:dyDescent="0.35"/>
    <row r="4229" x14ac:dyDescent="0.35"/>
    <row r="4230" x14ac:dyDescent="0.35"/>
    <row r="4231" x14ac:dyDescent="0.35"/>
    <row r="4232" x14ac:dyDescent="0.35"/>
    <row r="4233" x14ac:dyDescent="0.35"/>
    <row r="4234" x14ac:dyDescent="0.35"/>
    <row r="4235" x14ac:dyDescent="0.35"/>
    <row r="4236" x14ac:dyDescent="0.35"/>
    <row r="4237" x14ac:dyDescent="0.35"/>
    <row r="4238" x14ac:dyDescent="0.35"/>
    <row r="4239" x14ac:dyDescent="0.35"/>
    <row r="4240" x14ac:dyDescent="0.35"/>
    <row r="4241" x14ac:dyDescent="0.35"/>
    <row r="4242" x14ac:dyDescent="0.35"/>
    <row r="4243" x14ac:dyDescent="0.35"/>
    <row r="4244" x14ac:dyDescent="0.35"/>
    <row r="4245" x14ac:dyDescent="0.35"/>
    <row r="4246" x14ac:dyDescent="0.35"/>
    <row r="4247" x14ac:dyDescent="0.35"/>
    <row r="4248" x14ac:dyDescent="0.35"/>
    <row r="4249" x14ac:dyDescent="0.35"/>
    <row r="4250" x14ac:dyDescent="0.35"/>
    <row r="4251" x14ac:dyDescent="0.35"/>
    <row r="4252" x14ac:dyDescent="0.35"/>
    <row r="4253" x14ac:dyDescent="0.35"/>
    <row r="4254" x14ac:dyDescent="0.35"/>
    <row r="4255" x14ac:dyDescent="0.35"/>
    <row r="4256" x14ac:dyDescent="0.35"/>
    <row r="4257" x14ac:dyDescent="0.35"/>
    <row r="4258" x14ac:dyDescent="0.35"/>
    <row r="4259" x14ac:dyDescent="0.35"/>
    <row r="4260" x14ac:dyDescent="0.35"/>
    <row r="4261" x14ac:dyDescent="0.35"/>
    <row r="4262" x14ac:dyDescent="0.35"/>
    <row r="4263" x14ac:dyDescent="0.35"/>
    <row r="4264" x14ac:dyDescent="0.35"/>
    <row r="4265" x14ac:dyDescent="0.35"/>
    <row r="4266" x14ac:dyDescent="0.35"/>
    <row r="4267" x14ac:dyDescent="0.35"/>
    <row r="4268" x14ac:dyDescent="0.35"/>
    <row r="4269" x14ac:dyDescent="0.35"/>
    <row r="4270" x14ac:dyDescent="0.35"/>
    <row r="4271" x14ac:dyDescent="0.35"/>
    <row r="4272" x14ac:dyDescent="0.35"/>
    <row r="4273" x14ac:dyDescent="0.35"/>
    <row r="4274" x14ac:dyDescent="0.35"/>
    <row r="4275" x14ac:dyDescent="0.35"/>
    <row r="4276" x14ac:dyDescent="0.35"/>
    <row r="4277" x14ac:dyDescent="0.35"/>
    <row r="4278" x14ac:dyDescent="0.35"/>
    <row r="4279" x14ac:dyDescent="0.35"/>
    <row r="4280" x14ac:dyDescent="0.35"/>
    <row r="4281" x14ac:dyDescent="0.35"/>
    <row r="4282" x14ac:dyDescent="0.35"/>
    <row r="4283" x14ac:dyDescent="0.35"/>
    <row r="4284" x14ac:dyDescent="0.35"/>
    <row r="4285" x14ac:dyDescent="0.35"/>
    <row r="4286" x14ac:dyDescent="0.35"/>
    <row r="4287" x14ac:dyDescent="0.35"/>
    <row r="4288" x14ac:dyDescent="0.35"/>
    <row r="4289" x14ac:dyDescent="0.35"/>
    <row r="4290" x14ac:dyDescent="0.35"/>
    <row r="4291" x14ac:dyDescent="0.35"/>
    <row r="4292" x14ac:dyDescent="0.35"/>
    <row r="4293" x14ac:dyDescent="0.35"/>
    <row r="4294" x14ac:dyDescent="0.35"/>
    <row r="4295" x14ac:dyDescent="0.35"/>
    <row r="4296" x14ac:dyDescent="0.35"/>
    <row r="4297" x14ac:dyDescent="0.35"/>
    <row r="4298" x14ac:dyDescent="0.35"/>
    <row r="4299" x14ac:dyDescent="0.35"/>
    <row r="4300" x14ac:dyDescent="0.35"/>
    <row r="4301" x14ac:dyDescent="0.35"/>
    <row r="4302" x14ac:dyDescent="0.35"/>
    <row r="4303" x14ac:dyDescent="0.35"/>
    <row r="4304" x14ac:dyDescent="0.35"/>
    <row r="4305" x14ac:dyDescent="0.35"/>
    <row r="4306" x14ac:dyDescent="0.35"/>
    <row r="4307" x14ac:dyDescent="0.35"/>
    <row r="4308" x14ac:dyDescent="0.35"/>
    <row r="4309" x14ac:dyDescent="0.35"/>
    <row r="4310" x14ac:dyDescent="0.35"/>
    <row r="4311" x14ac:dyDescent="0.35"/>
    <row r="4312" x14ac:dyDescent="0.35"/>
    <row r="4313" x14ac:dyDescent="0.35"/>
    <row r="4314" x14ac:dyDescent="0.35"/>
    <row r="4315" x14ac:dyDescent="0.35"/>
    <row r="4316" x14ac:dyDescent="0.35"/>
    <row r="4317" x14ac:dyDescent="0.35"/>
    <row r="4318" x14ac:dyDescent="0.35"/>
    <row r="4319" x14ac:dyDescent="0.35"/>
    <row r="4320" x14ac:dyDescent="0.35"/>
    <row r="4321" x14ac:dyDescent="0.35"/>
    <row r="4322" x14ac:dyDescent="0.35"/>
    <row r="4323" x14ac:dyDescent="0.35"/>
    <row r="4324" x14ac:dyDescent="0.35"/>
    <row r="4325" x14ac:dyDescent="0.35"/>
    <row r="4326" x14ac:dyDescent="0.35"/>
    <row r="4327" x14ac:dyDescent="0.35"/>
    <row r="4328" x14ac:dyDescent="0.35"/>
    <row r="4329" x14ac:dyDescent="0.35"/>
    <row r="4330" x14ac:dyDescent="0.35"/>
    <row r="4331" x14ac:dyDescent="0.35"/>
    <row r="4332" x14ac:dyDescent="0.35"/>
    <row r="4333" x14ac:dyDescent="0.35"/>
    <row r="4334" x14ac:dyDescent="0.35"/>
    <row r="4335" x14ac:dyDescent="0.35"/>
    <row r="4336" x14ac:dyDescent="0.35"/>
    <row r="4337" x14ac:dyDescent="0.35"/>
    <row r="4338" x14ac:dyDescent="0.35"/>
    <row r="4339" x14ac:dyDescent="0.35"/>
    <row r="4340" x14ac:dyDescent="0.35"/>
    <row r="4341" x14ac:dyDescent="0.35"/>
    <row r="4342" x14ac:dyDescent="0.35"/>
    <row r="4343" x14ac:dyDescent="0.35"/>
    <row r="4344" x14ac:dyDescent="0.35"/>
    <row r="4345" x14ac:dyDescent="0.35"/>
    <row r="4346" x14ac:dyDescent="0.35"/>
    <row r="4347" x14ac:dyDescent="0.35"/>
    <row r="4348" x14ac:dyDescent="0.35"/>
    <row r="4349" x14ac:dyDescent="0.35"/>
    <row r="4350" x14ac:dyDescent="0.35"/>
    <row r="4351" x14ac:dyDescent="0.35"/>
    <row r="4352" x14ac:dyDescent="0.35"/>
    <row r="4353" x14ac:dyDescent="0.35"/>
    <row r="4354" x14ac:dyDescent="0.35"/>
    <row r="4355" x14ac:dyDescent="0.35"/>
    <row r="4356" x14ac:dyDescent="0.35"/>
    <row r="4357" x14ac:dyDescent="0.35"/>
    <row r="4358" x14ac:dyDescent="0.35"/>
    <row r="4359" x14ac:dyDescent="0.35"/>
    <row r="4360" x14ac:dyDescent="0.35"/>
    <row r="4361" x14ac:dyDescent="0.35"/>
    <row r="4362" x14ac:dyDescent="0.35"/>
    <row r="4363" x14ac:dyDescent="0.35"/>
    <row r="4364" x14ac:dyDescent="0.35"/>
    <row r="4365" x14ac:dyDescent="0.35"/>
    <row r="4366" x14ac:dyDescent="0.35"/>
    <row r="4367" x14ac:dyDescent="0.35"/>
    <row r="4368" x14ac:dyDescent="0.35"/>
    <row r="4369" x14ac:dyDescent="0.35"/>
    <row r="4370" x14ac:dyDescent="0.35"/>
    <row r="4371" x14ac:dyDescent="0.35"/>
    <row r="4372" x14ac:dyDescent="0.35"/>
    <row r="4373" x14ac:dyDescent="0.35"/>
    <row r="4374" x14ac:dyDescent="0.35"/>
    <row r="4375" x14ac:dyDescent="0.35"/>
    <row r="4376" x14ac:dyDescent="0.35"/>
    <row r="4377" x14ac:dyDescent="0.35"/>
    <row r="4378" x14ac:dyDescent="0.35"/>
    <row r="4379" x14ac:dyDescent="0.35"/>
    <row r="4380" x14ac:dyDescent="0.35"/>
    <row r="4381" x14ac:dyDescent="0.35"/>
    <row r="4382" x14ac:dyDescent="0.35"/>
    <row r="4383" x14ac:dyDescent="0.35"/>
    <row r="4384" x14ac:dyDescent="0.35"/>
    <row r="4385" x14ac:dyDescent="0.35"/>
    <row r="4386" x14ac:dyDescent="0.35"/>
    <row r="4387" x14ac:dyDescent="0.35"/>
    <row r="4388" x14ac:dyDescent="0.35"/>
    <row r="4389" x14ac:dyDescent="0.35"/>
    <row r="4390" x14ac:dyDescent="0.35"/>
    <row r="4391" x14ac:dyDescent="0.35"/>
    <row r="4392" x14ac:dyDescent="0.35"/>
    <row r="4393" x14ac:dyDescent="0.35"/>
    <row r="4394" x14ac:dyDescent="0.35"/>
    <row r="4395" x14ac:dyDescent="0.35"/>
    <row r="4396" x14ac:dyDescent="0.35"/>
    <row r="4397" x14ac:dyDescent="0.35"/>
    <row r="4398" x14ac:dyDescent="0.35"/>
    <row r="4399" x14ac:dyDescent="0.35"/>
    <row r="4400" x14ac:dyDescent="0.35"/>
    <row r="4401" x14ac:dyDescent="0.35"/>
    <row r="4402" x14ac:dyDescent="0.35"/>
    <row r="4403" x14ac:dyDescent="0.35"/>
    <row r="4404" x14ac:dyDescent="0.35"/>
    <row r="4405" x14ac:dyDescent="0.35"/>
    <row r="4406" x14ac:dyDescent="0.35"/>
    <row r="4407" x14ac:dyDescent="0.35"/>
    <row r="4408" x14ac:dyDescent="0.35"/>
    <row r="4409" x14ac:dyDescent="0.35"/>
    <row r="4410" x14ac:dyDescent="0.35"/>
    <row r="4411" x14ac:dyDescent="0.35"/>
    <row r="4412" x14ac:dyDescent="0.35"/>
    <row r="4413" x14ac:dyDescent="0.35"/>
    <row r="4414" x14ac:dyDescent="0.35"/>
    <row r="4415" x14ac:dyDescent="0.35"/>
    <row r="4416" x14ac:dyDescent="0.35"/>
    <row r="4417" x14ac:dyDescent="0.35"/>
    <row r="4418" x14ac:dyDescent="0.35"/>
    <row r="4419" x14ac:dyDescent="0.35"/>
    <row r="4420" x14ac:dyDescent="0.35"/>
    <row r="4421" x14ac:dyDescent="0.35"/>
    <row r="4422" x14ac:dyDescent="0.35"/>
    <row r="4423" x14ac:dyDescent="0.35"/>
    <row r="4424" x14ac:dyDescent="0.35"/>
    <row r="4425" x14ac:dyDescent="0.35"/>
    <row r="4426" x14ac:dyDescent="0.35"/>
    <row r="4427" x14ac:dyDescent="0.35"/>
    <row r="4428" x14ac:dyDescent="0.35"/>
    <row r="4429" x14ac:dyDescent="0.35"/>
    <row r="4430" x14ac:dyDescent="0.35"/>
    <row r="4431" x14ac:dyDescent="0.35"/>
    <row r="4432" x14ac:dyDescent="0.35"/>
    <row r="4433" x14ac:dyDescent="0.35"/>
    <row r="4434" x14ac:dyDescent="0.35"/>
    <row r="4435" x14ac:dyDescent="0.35"/>
    <row r="4436" x14ac:dyDescent="0.35"/>
    <row r="4437" x14ac:dyDescent="0.35"/>
    <row r="4438" x14ac:dyDescent="0.35"/>
    <row r="4439" x14ac:dyDescent="0.35"/>
    <row r="4440" x14ac:dyDescent="0.35"/>
    <row r="4441" x14ac:dyDescent="0.35"/>
    <row r="4442" x14ac:dyDescent="0.35"/>
    <row r="4443" x14ac:dyDescent="0.35"/>
    <row r="4444" x14ac:dyDescent="0.35"/>
    <row r="4445" x14ac:dyDescent="0.35"/>
    <row r="4446" x14ac:dyDescent="0.35"/>
    <row r="4447" x14ac:dyDescent="0.35"/>
    <row r="4448" x14ac:dyDescent="0.35"/>
    <row r="4449" x14ac:dyDescent="0.35"/>
    <row r="4450" x14ac:dyDescent="0.35"/>
    <row r="4451" x14ac:dyDescent="0.35"/>
    <row r="4452" x14ac:dyDescent="0.35"/>
    <row r="4453" x14ac:dyDescent="0.35"/>
    <row r="4454" x14ac:dyDescent="0.35"/>
    <row r="4455" x14ac:dyDescent="0.35"/>
    <row r="4456" x14ac:dyDescent="0.35"/>
    <row r="4457" x14ac:dyDescent="0.35"/>
    <row r="4458" x14ac:dyDescent="0.35"/>
    <row r="4459" x14ac:dyDescent="0.35"/>
    <row r="4460" x14ac:dyDescent="0.35"/>
    <row r="4461" x14ac:dyDescent="0.35"/>
    <row r="4462" x14ac:dyDescent="0.35"/>
    <row r="4463" x14ac:dyDescent="0.35"/>
    <row r="4464" x14ac:dyDescent="0.35"/>
    <row r="4465" x14ac:dyDescent="0.35"/>
    <row r="4466" x14ac:dyDescent="0.35"/>
    <row r="4467" x14ac:dyDescent="0.35"/>
    <row r="4468" x14ac:dyDescent="0.35"/>
    <row r="4469" x14ac:dyDescent="0.35"/>
    <row r="4470" x14ac:dyDescent="0.35"/>
    <row r="4471" x14ac:dyDescent="0.35"/>
    <row r="4472" x14ac:dyDescent="0.35"/>
    <row r="4473" x14ac:dyDescent="0.35"/>
    <row r="4474" x14ac:dyDescent="0.35"/>
    <row r="4475" x14ac:dyDescent="0.35"/>
    <row r="4476" x14ac:dyDescent="0.35"/>
    <row r="4477" x14ac:dyDescent="0.35"/>
    <row r="4478" x14ac:dyDescent="0.35"/>
    <row r="4479" x14ac:dyDescent="0.35"/>
    <row r="4480" x14ac:dyDescent="0.35"/>
    <row r="4481" x14ac:dyDescent="0.35"/>
    <row r="4482" x14ac:dyDescent="0.35"/>
    <row r="4483" x14ac:dyDescent="0.35"/>
    <row r="4484" x14ac:dyDescent="0.35"/>
    <row r="4485" x14ac:dyDescent="0.35"/>
    <row r="4486" x14ac:dyDescent="0.35"/>
    <row r="4487" x14ac:dyDescent="0.35"/>
    <row r="4488" x14ac:dyDescent="0.35"/>
    <row r="4489" x14ac:dyDescent="0.35"/>
    <row r="4490" x14ac:dyDescent="0.35"/>
    <row r="4491" x14ac:dyDescent="0.35"/>
    <row r="4492" x14ac:dyDescent="0.35"/>
    <row r="4493" x14ac:dyDescent="0.35"/>
    <row r="4494" x14ac:dyDescent="0.35"/>
    <row r="4495" x14ac:dyDescent="0.35"/>
    <row r="4496" x14ac:dyDescent="0.35"/>
    <row r="4497" x14ac:dyDescent="0.35"/>
    <row r="4498" x14ac:dyDescent="0.35"/>
    <row r="4499" x14ac:dyDescent="0.35"/>
    <row r="4500" x14ac:dyDescent="0.35"/>
    <row r="4501" x14ac:dyDescent="0.35"/>
    <row r="4502" x14ac:dyDescent="0.35"/>
    <row r="4503" x14ac:dyDescent="0.35"/>
    <row r="4504" x14ac:dyDescent="0.35"/>
    <row r="4505" x14ac:dyDescent="0.35"/>
    <row r="4506" x14ac:dyDescent="0.35"/>
    <row r="4507" x14ac:dyDescent="0.35"/>
    <row r="4508" x14ac:dyDescent="0.35"/>
    <row r="4509" x14ac:dyDescent="0.35"/>
    <row r="4510" x14ac:dyDescent="0.35"/>
    <row r="4511" x14ac:dyDescent="0.35"/>
    <row r="4512" x14ac:dyDescent="0.35"/>
    <row r="4513" x14ac:dyDescent="0.35"/>
    <row r="4514" x14ac:dyDescent="0.35"/>
    <row r="4515" x14ac:dyDescent="0.35"/>
    <row r="4516" x14ac:dyDescent="0.35"/>
    <row r="4517" x14ac:dyDescent="0.35"/>
    <row r="4518" x14ac:dyDescent="0.35"/>
    <row r="4519" x14ac:dyDescent="0.35"/>
    <row r="4520" x14ac:dyDescent="0.35"/>
    <row r="4521" x14ac:dyDescent="0.35"/>
    <row r="4522" x14ac:dyDescent="0.35"/>
    <row r="4523" x14ac:dyDescent="0.35"/>
    <row r="4524" x14ac:dyDescent="0.35"/>
    <row r="4525" x14ac:dyDescent="0.35"/>
    <row r="4526" x14ac:dyDescent="0.35"/>
    <row r="4527" x14ac:dyDescent="0.35"/>
    <row r="4528" x14ac:dyDescent="0.35"/>
    <row r="4529" x14ac:dyDescent="0.35"/>
    <row r="4530" x14ac:dyDescent="0.35"/>
    <row r="4531" x14ac:dyDescent="0.35"/>
    <row r="4532" x14ac:dyDescent="0.35"/>
    <row r="4533" x14ac:dyDescent="0.35"/>
    <row r="4534" x14ac:dyDescent="0.35"/>
    <row r="4535" x14ac:dyDescent="0.35"/>
    <row r="4536" x14ac:dyDescent="0.35"/>
    <row r="4537" x14ac:dyDescent="0.35"/>
    <row r="4538" x14ac:dyDescent="0.35"/>
    <row r="4539" x14ac:dyDescent="0.35"/>
    <row r="4540" x14ac:dyDescent="0.35"/>
    <row r="4541" x14ac:dyDescent="0.35"/>
    <row r="4542" x14ac:dyDescent="0.35"/>
    <row r="4543" x14ac:dyDescent="0.35"/>
    <row r="4544" x14ac:dyDescent="0.35"/>
    <row r="4545" x14ac:dyDescent="0.35"/>
    <row r="4546" x14ac:dyDescent="0.35"/>
    <row r="4547" x14ac:dyDescent="0.35"/>
    <row r="4548" x14ac:dyDescent="0.35"/>
    <row r="4549" x14ac:dyDescent="0.35"/>
    <row r="4550" x14ac:dyDescent="0.35"/>
    <row r="4551" x14ac:dyDescent="0.35"/>
    <row r="4552" x14ac:dyDescent="0.35"/>
    <row r="4553" x14ac:dyDescent="0.35"/>
    <row r="4554" x14ac:dyDescent="0.35"/>
    <row r="4555" x14ac:dyDescent="0.35"/>
    <row r="4556" x14ac:dyDescent="0.35"/>
    <row r="4557" x14ac:dyDescent="0.35"/>
    <row r="4558" x14ac:dyDescent="0.35"/>
    <row r="4559" x14ac:dyDescent="0.35"/>
    <row r="4560" x14ac:dyDescent="0.35"/>
    <row r="4561" x14ac:dyDescent="0.35"/>
    <row r="4562" x14ac:dyDescent="0.35"/>
    <row r="4563" x14ac:dyDescent="0.35"/>
    <row r="4564" x14ac:dyDescent="0.35"/>
    <row r="4565" x14ac:dyDescent="0.35"/>
    <row r="4566" x14ac:dyDescent="0.35"/>
    <row r="4567" x14ac:dyDescent="0.35"/>
    <row r="4568" x14ac:dyDescent="0.35"/>
    <row r="4569" x14ac:dyDescent="0.35"/>
    <row r="4570" x14ac:dyDescent="0.35"/>
    <row r="4571" x14ac:dyDescent="0.35"/>
    <row r="4572" x14ac:dyDescent="0.35"/>
    <row r="4573" x14ac:dyDescent="0.35"/>
    <row r="4574" x14ac:dyDescent="0.35"/>
    <row r="4575" x14ac:dyDescent="0.35"/>
    <row r="4576" x14ac:dyDescent="0.35"/>
    <row r="4577" x14ac:dyDescent="0.35"/>
    <row r="4578" x14ac:dyDescent="0.35"/>
    <row r="4579" x14ac:dyDescent="0.35"/>
    <row r="4580" x14ac:dyDescent="0.35"/>
    <row r="4581" x14ac:dyDescent="0.35"/>
    <row r="4582" x14ac:dyDescent="0.35"/>
    <row r="4583" x14ac:dyDescent="0.35"/>
    <row r="4584" x14ac:dyDescent="0.35"/>
    <row r="4585" x14ac:dyDescent="0.35"/>
    <row r="4586" x14ac:dyDescent="0.35"/>
    <row r="4587" x14ac:dyDescent="0.35"/>
    <row r="4588" x14ac:dyDescent="0.35"/>
    <row r="4589" x14ac:dyDescent="0.35"/>
    <row r="4590" x14ac:dyDescent="0.35"/>
    <row r="4591" x14ac:dyDescent="0.35"/>
    <row r="4592" x14ac:dyDescent="0.35"/>
    <row r="4593" x14ac:dyDescent="0.35"/>
    <row r="4594" x14ac:dyDescent="0.35"/>
    <row r="4595" x14ac:dyDescent="0.35"/>
    <row r="4596" x14ac:dyDescent="0.35"/>
    <row r="4597" x14ac:dyDescent="0.35"/>
    <row r="4598" x14ac:dyDescent="0.35"/>
    <row r="4599" x14ac:dyDescent="0.35"/>
    <row r="4600" x14ac:dyDescent="0.35"/>
    <row r="4601" x14ac:dyDescent="0.35"/>
    <row r="4602" x14ac:dyDescent="0.35"/>
    <row r="4603" x14ac:dyDescent="0.35"/>
    <row r="4604" x14ac:dyDescent="0.35"/>
    <row r="4605" x14ac:dyDescent="0.35"/>
    <row r="4606" x14ac:dyDescent="0.35"/>
    <row r="4607" x14ac:dyDescent="0.35"/>
    <row r="4608" x14ac:dyDescent="0.35"/>
    <row r="4609" x14ac:dyDescent="0.35"/>
    <row r="4610" x14ac:dyDescent="0.35"/>
    <row r="4611" x14ac:dyDescent="0.35"/>
    <row r="4612" x14ac:dyDescent="0.35"/>
    <row r="4613" x14ac:dyDescent="0.35"/>
    <row r="4614" x14ac:dyDescent="0.35"/>
    <row r="4615" x14ac:dyDescent="0.35"/>
    <row r="4616" x14ac:dyDescent="0.35"/>
    <row r="4617" x14ac:dyDescent="0.35"/>
    <row r="4618" x14ac:dyDescent="0.35"/>
    <row r="4619" x14ac:dyDescent="0.35"/>
    <row r="4620" x14ac:dyDescent="0.35"/>
    <row r="4621" x14ac:dyDescent="0.35"/>
    <row r="4622" x14ac:dyDescent="0.35"/>
    <row r="4623" x14ac:dyDescent="0.35"/>
    <row r="4624" x14ac:dyDescent="0.35"/>
    <row r="4625" x14ac:dyDescent="0.35"/>
    <row r="4626" x14ac:dyDescent="0.35"/>
    <row r="4627" x14ac:dyDescent="0.35"/>
    <row r="4628" x14ac:dyDescent="0.35"/>
    <row r="4629" x14ac:dyDescent="0.35"/>
    <row r="4630" x14ac:dyDescent="0.35"/>
    <row r="4631" x14ac:dyDescent="0.35"/>
    <row r="4632" x14ac:dyDescent="0.35"/>
    <row r="4633" x14ac:dyDescent="0.35"/>
    <row r="4634" x14ac:dyDescent="0.35"/>
    <row r="4635" x14ac:dyDescent="0.35"/>
    <row r="4636" x14ac:dyDescent="0.35"/>
    <row r="4637" x14ac:dyDescent="0.35"/>
    <row r="4638" x14ac:dyDescent="0.35"/>
    <row r="4639" x14ac:dyDescent="0.35"/>
    <row r="4640" x14ac:dyDescent="0.35"/>
    <row r="4641" x14ac:dyDescent="0.35"/>
    <row r="4642" x14ac:dyDescent="0.35"/>
    <row r="4643" x14ac:dyDescent="0.35"/>
    <row r="4644" x14ac:dyDescent="0.35"/>
    <row r="4645" x14ac:dyDescent="0.35"/>
    <row r="4646" x14ac:dyDescent="0.35"/>
    <row r="4647" x14ac:dyDescent="0.35"/>
    <row r="4648" x14ac:dyDescent="0.35"/>
    <row r="4649" x14ac:dyDescent="0.35"/>
    <row r="4650" x14ac:dyDescent="0.35"/>
    <row r="4651" x14ac:dyDescent="0.35"/>
    <row r="4652" x14ac:dyDescent="0.35"/>
    <row r="4653" x14ac:dyDescent="0.35"/>
    <row r="4654" x14ac:dyDescent="0.35"/>
    <row r="4655" x14ac:dyDescent="0.35"/>
    <row r="4656" x14ac:dyDescent="0.35"/>
    <row r="4657" x14ac:dyDescent="0.35"/>
    <row r="4658" x14ac:dyDescent="0.35"/>
    <row r="4659" x14ac:dyDescent="0.35"/>
    <row r="4660" x14ac:dyDescent="0.35"/>
    <row r="4661" x14ac:dyDescent="0.35"/>
    <row r="4662" x14ac:dyDescent="0.35"/>
    <row r="4663" x14ac:dyDescent="0.35"/>
    <row r="4664" x14ac:dyDescent="0.35"/>
    <row r="4665" x14ac:dyDescent="0.35"/>
    <row r="4666" x14ac:dyDescent="0.35"/>
    <row r="4667" x14ac:dyDescent="0.35"/>
    <row r="4668" x14ac:dyDescent="0.35"/>
    <row r="4669" x14ac:dyDescent="0.35"/>
    <row r="4670" x14ac:dyDescent="0.35"/>
    <row r="4671" x14ac:dyDescent="0.35"/>
    <row r="4672" x14ac:dyDescent="0.35"/>
    <row r="4673" x14ac:dyDescent="0.35"/>
    <row r="4674" x14ac:dyDescent="0.35"/>
    <row r="4675" x14ac:dyDescent="0.35"/>
    <row r="4676" x14ac:dyDescent="0.35"/>
    <row r="4677" x14ac:dyDescent="0.35"/>
    <row r="4678" x14ac:dyDescent="0.35"/>
    <row r="4679" x14ac:dyDescent="0.35"/>
    <row r="4680" x14ac:dyDescent="0.35"/>
    <row r="4681" x14ac:dyDescent="0.35"/>
    <row r="4682" x14ac:dyDescent="0.35"/>
    <row r="4683" x14ac:dyDescent="0.35"/>
    <row r="4684" x14ac:dyDescent="0.35"/>
    <row r="4685" x14ac:dyDescent="0.35"/>
    <row r="4686" x14ac:dyDescent="0.35"/>
    <row r="4687" x14ac:dyDescent="0.35"/>
    <row r="4688" x14ac:dyDescent="0.35"/>
    <row r="4689" x14ac:dyDescent="0.35"/>
    <row r="4690" x14ac:dyDescent="0.35"/>
    <row r="4691" x14ac:dyDescent="0.35"/>
    <row r="4692" x14ac:dyDescent="0.35"/>
    <row r="4693" x14ac:dyDescent="0.35"/>
    <row r="4694" x14ac:dyDescent="0.35"/>
    <row r="4695" x14ac:dyDescent="0.35"/>
    <row r="4696" x14ac:dyDescent="0.35"/>
    <row r="4697" x14ac:dyDescent="0.35"/>
    <row r="4698" x14ac:dyDescent="0.35"/>
    <row r="4699" x14ac:dyDescent="0.35"/>
    <row r="4700" x14ac:dyDescent="0.35"/>
    <row r="4701" x14ac:dyDescent="0.35"/>
    <row r="4702" x14ac:dyDescent="0.35"/>
    <row r="4703" x14ac:dyDescent="0.35"/>
    <row r="4704" x14ac:dyDescent="0.35"/>
    <row r="4705" x14ac:dyDescent="0.35"/>
    <row r="4706" x14ac:dyDescent="0.35"/>
    <row r="4707" x14ac:dyDescent="0.35"/>
    <row r="4708" x14ac:dyDescent="0.35"/>
    <row r="4709" x14ac:dyDescent="0.35"/>
    <row r="4710" x14ac:dyDescent="0.35"/>
    <row r="4711" x14ac:dyDescent="0.35"/>
    <row r="4712" x14ac:dyDescent="0.35"/>
    <row r="4713" x14ac:dyDescent="0.35"/>
    <row r="4714" x14ac:dyDescent="0.35"/>
    <row r="4715" x14ac:dyDescent="0.35"/>
    <row r="4716" x14ac:dyDescent="0.35"/>
    <row r="4717" x14ac:dyDescent="0.35"/>
    <row r="4718" x14ac:dyDescent="0.35"/>
    <row r="4719" x14ac:dyDescent="0.35"/>
    <row r="4720" x14ac:dyDescent="0.35"/>
    <row r="4721" x14ac:dyDescent="0.35"/>
    <row r="4722" x14ac:dyDescent="0.35"/>
    <row r="4723" x14ac:dyDescent="0.35"/>
    <row r="4724" x14ac:dyDescent="0.35"/>
    <row r="4725" x14ac:dyDescent="0.35"/>
    <row r="4726" x14ac:dyDescent="0.35"/>
    <row r="4727" x14ac:dyDescent="0.35"/>
    <row r="4728" x14ac:dyDescent="0.35"/>
    <row r="4729" x14ac:dyDescent="0.35"/>
    <row r="4730" x14ac:dyDescent="0.35"/>
    <row r="4731" x14ac:dyDescent="0.35"/>
    <row r="4732" x14ac:dyDescent="0.35"/>
    <row r="4733" x14ac:dyDescent="0.35"/>
    <row r="4734" x14ac:dyDescent="0.35"/>
    <row r="4735" x14ac:dyDescent="0.35"/>
    <row r="4736" x14ac:dyDescent="0.35"/>
    <row r="4737" x14ac:dyDescent="0.35"/>
    <row r="4738" x14ac:dyDescent="0.35"/>
    <row r="4739" x14ac:dyDescent="0.35"/>
    <row r="4740" x14ac:dyDescent="0.35"/>
    <row r="4741" x14ac:dyDescent="0.35"/>
    <row r="4742" x14ac:dyDescent="0.35"/>
    <row r="4743" x14ac:dyDescent="0.35"/>
    <row r="4744" x14ac:dyDescent="0.35"/>
    <row r="4745" x14ac:dyDescent="0.35"/>
    <row r="4746" x14ac:dyDescent="0.35"/>
    <row r="4747" x14ac:dyDescent="0.35"/>
    <row r="4748" x14ac:dyDescent="0.35"/>
    <row r="4749" x14ac:dyDescent="0.35"/>
    <row r="4750" x14ac:dyDescent="0.35"/>
    <row r="4751" x14ac:dyDescent="0.35"/>
    <row r="4752" x14ac:dyDescent="0.35"/>
    <row r="4753" x14ac:dyDescent="0.35"/>
    <row r="4754" x14ac:dyDescent="0.35"/>
    <row r="4755" x14ac:dyDescent="0.35"/>
    <row r="4756" x14ac:dyDescent="0.35"/>
    <row r="4757" x14ac:dyDescent="0.35"/>
    <row r="4758" x14ac:dyDescent="0.35"/>
    <row r="4759" x14ac:dyDescent="0.35"/>
    <row r="4760" x14ac:dyDescent="0.35"/>
    <row r="4761" x14ac:dyDescent="0.35"/>
    <row r="4762" x14ac:dyDescent="0.35"/>
    <row r="4763" x14ac:dyDescent="0.35"/>
    <row r="4764" x14ac:dyDescent="0.35"/>
    <row r="4765" x14ac:dyDescent="0.35"/>
    <row r="4766" x14ac:dyDescent="0.35"/>
    <row r="4767" x14ac:dyDescent="0.35"/>
    <row r="4768" x14ac:dyDescent="0.35"/>
    <row r="4769" x14ac:dyDescent="0.35"/>
    <row r="4770" x14ac:dyDescent="0.35"/>
    <row r="4771" x14ac:dyDescent="0.35"/>
    <row r="4772" x14ac:dyDescent="0.35"/>
    <row r="4773" x14ac:dyDescent="0.35"/>
    <row r="4774" x14ac:dyDescent="0.35"/>
    <row r="4775" x14ac:dyDescent="0.35"/>
    <row r="4776" x14ac:dyDescent="0.35"/>
    <row r="4777" x14ac:dyDescent="0.35"/>
    <row r="4778" x14ac:dyDescent="0.35"/>
    <row r="4779" x14ac:dyDescent="0.35"/>
    <row r="4780" x14ac:dyDescent="0.35"/>
    <row r="4781" x14ac:dyDescent="0.35"/>
    <row r="4782" x14ac:dyDescent="0.35"/>
    <row r="4783" x14ac:dyDescent="0.35"/>
    <row r="4784" x14ac:dyDescent="0.35"/>
    <row r="4785" x14ac:dyDescent="0.35"/>
    <row r="4786" x14ac:dyDescent="0.35"/>
    <row r="4787" x14ac:dyDescent="0.35"/>
    <row r="4788" x14ac:dyDescent="0.35"/>
    <row r="4789" x14ac:dyDescent="0.35"/>
    <row r="4790" x14ac:dyDescent="0.35"/>
    <row r="4791" x14ac:dyDescent="0.35"/>
    <row r="4792" x14ac:dyDescent="0.35"/>
    <row r="4793" x14ac:dyDescent="0.35"/>
    <row r="4794" x14ac:dyDescent="0.35"/>
    <row r="4795" x14ac:dyDescent="0.35"/>
    <row r="4796" x14ac:dyDescent="0.35"/>
    <row r="4797" x14ac:dyDescent="0.35"/>
    <row r="4798" x14ac:dyDescent="0.35"/>
    <row r="4799" x14ac:dyDescent="0.35"/>
    <row r="4800" x14ac:dyDescent="0.35"/>
    <row r="4801" x14ac:dyDescent="0.35"/>
    <row r="4802" x14ac:dyDescent="0.35"/>
    <row r="4803" x14ac:dyDescent="0.35"/>
    <row r="4804" x14ac:dyDescent="0.35"/>
    <row r="4805" x14ac:dyDescent="0.35"/>
    <row r="4806" x14ac:dyDescent="0.35"/>
    <row r="4807" x14ac:dyDescent="0.35"/>
    <row r="4808" x14ac:dyDescent="0.35"/>
    <row r="4809" x14ac:dyDescent="0.35"/>
    <row r="4810" x14ac:dyDescent="0.35"/>
    <row r="4811" x14ac:dyDescent="0.35"/>
    <row r="4812" x14ac:dyDescent="0.35"/>
    <row r="4813" x14ac:dyDescent="0.35"/>
    <row r="4814" x14ac:dyDescent="0.35"/>
    <row r="4815" x14ac:dyDescent="0.35"/>
    <row r="4816" x14ac:dyDescent="0.35"/>
    <row r="4817" x14ac:dyDescent="0.35"/>
    <row r="4818" x14ac:dyDescent="0.35"/>
    <row r="4819" x14ac:dyDescent="0.35"/>
    <row r="4820" x14ac:dyDescent="0.35"/>
    <row r="4821" x14ac:dyDescent="0.35"/>
    <row r="4822" x14ac:dyDescent="0.35"/>
    <row r="4823" x14ac:dyDescent="0.35"/>
    <row r="4824" x14ac:dyDescent="0.35"/>
    <row r="4825" x14ac:dyDescent="0.35"/>
    <row r="4826" x14ac:dyDescent="0.35"/>
    <row r="4827" x14ac:dyDescent="0.35"/>
    <row r="4828" x14ac:dyDescent="0.35"/>
    <row r="4829" x14ac:dyDescent="0.35"/>
    <row r="4830" x14ac:dyDescent="0.35"/>
    <row r="4831" x14ac:dyDescent="0.35"/>
    <row r="4832" x14ac:dyDescent="0.35"/>
    <row r="4833" x14ac:dyDescent="0.35"/>
    <row r="4834" x14ac:dyDescent="0.35"/>
    <row r="4835" x14ac:dyDescent="0.35"/>
    <row r="4836" x14ac:dyDescent="0.35"/>
    <row r="4837" x14ac:dyDescent="0.35"/>
    <row r="4838" x14ac:dyDescent="0.35"/>
    <row r="4839" x14ac:dyDescent="0.35"/>
    <row r="4840" x14ac:dyDescent="0.35"/>
    <row r="4841" x14ac:dyDescent="0.35"/>
    <row r="4842" x14ac:dyDescent="0.35"/>
    <row r="4843" x14ac:dyDescent="0.35"/>
    <row r="4844" x14ac:dyDescent="0.35"/>
    <row r="4845" x14ac:dyDescent="0.35"/>
    <row r="4846" x14ac:dyDescent="0.35"/>
    <row r="4847" x14ac:dyDescent="0.35"/>
    <row r="4848" x14ac:dyDescent="0.35"/>
    <row r="4849" x14ac:dyDescent="0.35"/>
    <row r="4850" x14ac:dyDescent="0.35"/>
    <row r="4851" x14ac:dyDescent="0.35"/>
    <row r="4852" x14ac:dyDescent="0.35"/>
    <row r="4853" x14ac:dyDescent="0.35"/>
    <row r="4854" x14ac:dyDescent="0.35"/>
    <row r="4855" x14ac:dyDescent="0.35"/>
    <row r="4856" x14ac:dyDescent="0.35"/>
    <row r="4857" x14ac:dyDescent="0.35"/>
    <row r="4858" x14ac:dyDescent="0.35"/>
    <row r="4859" x14ac:dyDescent="0.35"/>
    <row r="4860" x14ac:dyDescent="0.35"/>
    <row r="4861" x14ac:dyDescent="0.35"/>
    <row r="4862" x14ac:dyDescent="0.35"/>
    <row r="4863" x14ac:dyDescent="0.35"/>
    <row r="4864" x14ac:dyDescent="0.35"/>
    <row r="4865" x14ac:dyDescent="0.35"/>
    <row r="4866" x14ac:dyDescent="0.35"/>
    <row r="4867" x14ac:dyDescent="0.35"/>
    <row r="4868" x14ac:dyDescent="0.35"/>
    <row r="4869" x14ac:dyDescent="0.35"/>
    <row r="4870" x14ac:dyDescent="0.35"/>
    <row r="4871" x14ac:dyDescent="0.35"/>
    <row r="4872" x14ac:dyDescent="0.35"/>
    <row r="4873" x14ac:dyDescent="0.35"/>
    <row r="4874" x14ac:dyDescent="0.35"/>
    <row r="4875" x14ac:dyDescent="0.35"/>
    <row r="4876" x14ac:dyDescent="0.35"/>
    <row r="4877" x14ac:dyDescent="0.35"/>
    <row r="4878" x14ac:dyDescent="0.35"/>
    <row r="4879" x14ac:dyDescent="0.35"/>
    <row r="4880" x14ac:dyDescent="0.35"/>
    <row r="4881" x14ac:dyDescent="0.35"/>
    <row r="4882" x14ac:dyDescent="0.35"/>
    <row r="4883" x14ac:dyDescent="0.35"/>
    <row r="4884" x14ac:dyDescent="0.35"/>
    <row r="4885" x14ac:dyDescent="0.35"/>
    <row r="4886" x14ac:dyDescent="0.35"/>
    <row r="4887" x14ac:dyDescent="0.35"/>
    <row r="4888" x14ac:dyDescent="0.35"/>
    <row r="4889" x14ac:dyDescent="0.35"/>
    <row r="4890" x14ac:dyDescent="0.35"/>
    <row r="4891" x14ac:dyDescent="0.35"/>
    <row r="4892" x14ac:dyDescent="0.35"/>
    <row r="4893" x14ac:dyDescent="0.35"/>
    <row r="4894" x14ac:dyDescent="0.35"/>
    <row r="4895" x14ac:dyDescent="0.35"/>
    <row r="4896" x14ac:dyDescent="0.35"/>
    <row r="4897" x14ac:dyDescent="0.35"/>
    <row r="4898" x14ac:dyDescent="0.35"/>
    <row r="4899" x14ac:dyDescent="0.35"/>
    <row r="4900" x14ac:dyDescent="0.35"/>
    <row r="4901" x14ac:dyDescent="0.35"/>
    <row r="4902" x14ac:dyDescent="0.35"/>
    <row r="4903" x14ac:dyDescent="0.35"/>
    <row r="4904" x14ac:dyDescent="0.35"/>
    <row r="4905" x14ac:dyDescent="0.35"/>
    <row r="4906" x14ac:dyDescent="0.35"/>
    <row r="4907" x14ac:dyDescent="0.35"/>
    <row r="4908" x14ac:dyDescent="0.35"/>
    <row r="4909" x14ac:dyDescent="0.35"/>
    <row r="4910" x14ac:dyDescent="0.35"/>
    <row r="4911" x14ac:dyDescent="0.35"/>
    <row r="4912" x14ac:dyDescent="0.35"/>
    <row r="4913" x14ac:dyDescent="0.35"/>
    <row r="4914" x14ac:dyDescent="0.35"/>
    <row r="4915" x14ac:dyDescent="0.35"/>
    <row r="4916" x14ac:dyDescent="0.35"/>
    <row r="4917" x14ac:dyDescent="0.35"/>
    <row r="4918" x14ac:dyDescent="0.35"/>
    <row r="4919" x14ac:dyDescent="0.35"/>
    <row r="4920" x14ac:dyDescent="0.35"/>
    <row r="4921" x14ac:dyDescent="0.35"/>
    <row r="4922" x14ac:dyDescent="0.35"/>
    <row r="4923" x14ac:dyDescent="0.35"/>
    <row r="4924" x14ac:dyDescent="0.35"/>
    <row r="4925" x14ac:dyDescent="0.35"/>
    <row r="4926" x14ac:dyDescent="0.35"/>
    <row r="4927" x14ac:dyDescent="0.35"/>
    <row r="4928" x14ac:dyDescent="0.35"/>
    <row r="4929" x14ac:dyDescent="0.35"/>
    <row r="4930" x14ac:dyDescent="0.35"/>
    <row r="4931" x14ac:dyDescent="0.35"/>
    <row r="4932" x14ac:dyDescent="0.35"/>
    <row r="4933" x14ac:dyDescent="0.35"/>
    <row r="4934" x14ac:dyDescent="0.35"/>
    <row r="4935" x14ac:dyDescent="0.35"/>
    <row r="4936" x14ac:dyDescent="0.35"/>
    <row r="4937" x14ac:dyDescent="0.35"/>
    <row r="4938" x14ac:dyDescent="0.35"/>
    <row r="4939" x14ac:dyDescent="0.35"/>
    <row r="4940" x14ac:dyDescent="0.35"/>
    <row r="4941" x14ac:dyDescent="0.35"/>
    <row r="4942" x14ac:dyDescent="0.35"/>
    <row r="4943" x14ac:dyDescent="0.35"/>
    <row r="4944" x14ac:dyDescent="0.35"/>
    <row r="4945" x14ac:dyDescent="0.35"/>
    <row r="4946" x14ac:dyDescent="0.35"/>
    <row r="4947" x14ac:dyDescent="0.35"/>
    <row r="4948" x14ac:dyDescent="0.35"/>
    <row r="4949" x14ac:dyDescent="0.35"/>
    <row r="4950" x14ac:dyDescent="0.35"/>
    <row r="4951" x14ac:dyDescent="0.35"/>
    <row r="4952" x14ac:dyDescent="0.35"/>
    <row r="4953" x14ac:dyDescent="0.35"/>
    <row r="4954" x14ac:dyDescent="0.35"/>
    <row r="4955" x14ac:dyDescent="0.35"/>
    <row r="4956" x14ac:dyDescent="0.35"/>
    <row r="4957" x14ac:dyDescent="0.35"/>
    <row r="4958" x14ac:dyDescent="0.35"/>
    <row r="4959" x14ac:dyDescent="0.35"/>
    <row r="4960" x14ac:dyDescent="0.35"/>
    <row r="4961" x14ac:dyDescent="0.35"/>
    <row r="4962" x14ac:dyDescent="0.35"/>
    <row r="4963" x14ac:dyDescent="0.35"/>
    <row r="4964" x14ac:dyDescent="0.35"/>
    <row r="4965" x14ac:dyDescent="0.35"/>
    <row r="4966" x14ac:dyDescent="0.35"/>
    <row r="4967" x14ac:dyDescent="0.35"/>
    <row r="4968" x14ac:dyDescent="0.35"/>
    <row r="4969" x14ac:dyDescent="0.35"/>
    <row r="4970" x14ac:dyDescent="0.35"/>
    <row r="4971" x14ac:dyDescent="0.35"/>
    <row r="4972" x14ac:dyDescent="0.35"/>
    <row r="4973" x14ac:dyDescent="0.35"/>
    <row r="4974" x14ac:dyDescent="0.35"/>
    <row r="4975" x14ac:dyDescent="0.35"/>
    <row r="4976" x14ac:dyDescent="0.35"/>
    <row r="4977" x14ac:dyDescent="0.35"/>
    <row r="4978" x14ac:dyDescent="0.35"/>
    <row r="4979" x14ac:dyDescent="0.35"/>
    <row r="4980" x14ac:dyDescent="0.35"/>
    <row r="4981" x14ac:dyDescent="0.35"/>
    <row r="4982" x14ac:dyDescent="0.35"/>
    <row r="4983" x14ac:dyDescent="0.35"/>
    <row r="4984" x14ac:dyDescent="0.35"/>
    <row r="4985" x14ac:dyDescent="0.35"/>
    <row r="4986" x14ac:dyDescent="0.35"/>
    <row r="4987" x14ac:dyDescent="0.35"/>
    <row r="4988" x14ac:dyDescent="0.35"/>
    <row r="4989" x14ac:dyDescent="0.35"/>
    <row r="4990" x14ac:dyDescent="0.35"/>
    <row r="4991" x14ac:dyDescent="0.35"/>
    <row r="4992" x14ac:dyDescent="0.35"/>
    <row r="4993" x14ac:dyDescent="0.35"/>
    <row r="4994" x14ac:dyDescent="0.35"/>
    <row r="4995" x14ac:dyDescent="0.35"/>
    <row r="4996" x14ac:dyDescent="0.35"/>
    <row r="4997" x14ac:dyDescent="0.35"/>
    <row r="4998" x14ac:dyDescent="0.35"/>
    <row r="4999" x14ac:dyDescent="0.35"/>
    <row r="5000" x14ac:dyDescent="0.35"/>
    <row r="5001" x14ac:dyDescent="0.35"/>
    <row r="5002" x14ac:dyDescent="0.35"/>
    <row r="5003" x14ac:dyDescent="0.35"/>
    <row r="5004" x14ac:dyDescent="0.35"/>
    <row r="5005" x14ac:dyDescent="0.35"/>
    <row r="5006" x14ac:dyDescent="0.35"/>
    <row r="5007" x14ac:dyDescent="0.35"/>
    <row r="5008" x14ac:dyDescent="0.35"/>
    <row r="5009" x14ac:dyDescent="0.35"/>
    <row r="5010" x14ac:dyDescent="0.35"/>
    <row r="5011" x14ac:dyDescent="0.35"/>
    <row r="5012" x14ac:dyDescent="0.35"/>
    <row r="5013" x14ac:dyDescent="0.35"/>
    <row r="5014" x14ac:dyDescent="0.35"/>
    <row r="5015" x14ac:dyDescent="0.35"/>
    <row r="5016" x14ac:dyDescent="0.35"/>
    <row r="5017" x14ac:dyDescent="0.35"/>
    <row r="5018" x14ac:dyDescent="0.35"/>
    <row r="5019" x14ac:dyDescent="0.35"/>
    <row r="5020" x14ac:dyDescent="0.35"/>
    <row r="5021" x14ac:dyDescent="0.35"/>
    <row r="5022" x14ac:dyDescent="0.35"/>
    <row r="5023" x14ac:dyDescent="0.35"/>
    <row r="5024" x14ac:dyDescent="0.35"/>
    <row r="5025" x14ac:dyDescent="0.35"/>
    <row r="5026" x14ac:dyDescent="0.35"/>
    <row r="5027" x14ac:dyDescent="0.35"/>
    <row r="5028" x14ac:dyDescent="0.35"/>
    <row r="5029" x14ac:dyDescent="0.35"/>
    <row r="5030" x14ac:dyDescent="0.35"/>
    <row r="5031" x14ac:dyDescent="0.35"/>
    <row r="5032" x14ac:dyDescent="0.35"/>
    <row r="5033" x14ac:dyDescent="0.35"/>
    <row r="5034" x14ac:dyDescent="0.35"/>
    <row r="5035" x14ac:dyDescent="0.35"/>
    <row r="5036" x14ac:dyDescent="0.35"/>
    <row r="5037" x14ac:dyDescent="0.35"/>
    <row r="5038" x14ac:dyDescent="0.35"/>
    <row r="5039" x14ac:dyDescent="0.35"/>
    <row r="5040" x14ac:dyDescent="0.35"/>
    <row r="5041" x14ac:dyDescent="0.35"/>
    <row r="5042" x14ac:dyDescent="0.35"/>
    <row r="5043" x14ac:dyDescent="0.35"/>
    <row r="5044" x14ac:dyDescent="0.35"/>
    <row r="5045" x14ac:dyDescent="0.35"/>
    <row r="5046" x14ac:dyDescent="0.35"/>
    <row r="5047" x14ac:dyDescent="0.35"/>
    <row r="5048" x14ac:dyDescent="0.35"/>
    <row r="5049" x14ac:dyDescent="0.35"/>
    <row r="5050" x14ac:dyDescent="0.35"/>
    <row r="5051" x14ac:dyDescent="0.35"/>
    <row r="5052" x14ac:dyDescent="0.35"/>
    <row r="5053" x14ac:dyDescent="0.35"/>
    <row r="5054" x14ac:dyDescent="0.35"/>
    <row r="5055" x14ac:dyDescent="0.35"/>
    <row r="5056" x14ac:dyDescent="0.35"/>
    <row r="5057" x14ac:dyDescent="0.35"/>
    <row r="5058" x14ac:dyDescent="0.35"/>
    <row r="5059" x14ac:dyDescent="0.35"/>
    <row r="5060" x14ac:dyDescent="0.35"/>
    <row r="5061" x14ac:dyDescent="0.35"/>
    <row r="5062" x14ac:dyDescent="0.35"/>
    <row r="5063" x14ac:dyDescent="0.35"/>
    <row r="5064" x14ac:dyDescent="0.35"/>
    <row r="5065" x14ac:dyDescent="0.35"/>
    <row r="5066" x14ac:dyDescent="0.35"/>
    <row r="5067" x14ac:dyDescent="0.35"/>
    <row r="5068" x14ac:dyDescent="0.35"/>
    <row r="5069" x14ac:dyDescent="0.35"/>
    <row r="5070" x14ac:dyDescent="0.35"/>
    <row r="5071" x14ac:dyDescent="0.35"/>
    <row r="5072" x14ac:dyDescent="0.35"/>
    <row r="5073" x14ac:dyDescent="0.35"/>
    <row r="5074" x14ac:dyDescent="0.35"/>
    <row r="5075" x14ac:dyDescent="0.35"/>
    <row r="5076" x14ac:dyDescent="0.35"/>
    <row r="5077" x14ac:dyDescent="0.35"/>
    <row r="5078" x14ac:dyDescent="0.35"/>
    <row r="5079" x14ac:dyDescent="0.35"/>
    <row r="5080" x14ac:dyDescent="0.35"/>
    <row r="5081" x14ac:dyDescent="0.35"/>
    <row r="5082" x14ac:dyDescent="0.35"/>
    <row r="5083" x14ac:dyDescent="0.35"/>
    <row r="5084" x14ac:dyDescent="0.35"/>
    <row r="5085" x14ac:dyDescent="0.35"/>
    <row r="5086" x14ac:dyDescent="0.35"/>
    <row r="5087" x14ac:dyDescent="0.35"/>
    <row r="5088" x14ac:dyDescent="0.35"/>
    <row r="5089" x14ac:dyDescent="0.35"/>
    <row r="5090" x14ac:dyDescent="0.35"/>
    <row r="5091" x14ac:dyDescent="0.35"/>
    <row r="5092" x14ac:dyDescent="0.35"/>
    <row r="5093" x14ac:dyDescent="0.35"/>
    <row r="5094" x14ac:dyDescent="0.35"/>
    <row r="5095" x14ac:dyDescent="0.35"/>
    <row r="5096" x14ac:dyDescent="0.35"/>
    <row r="5097" x14ac:dyDescent="0.35"/>
    <row r="5098" x14ac:dyDescent="0.35"/>
    <row r="5099" x14ac:dyDescent="0.35"/>
    <row r="5100" x14ac:dyDescent="0.35"/>
    <row r="5101" x14ac:dyDescent="0.35"/>
    <row r="5102" x14ac:dyDescent="0.35"/>
    <row r="5103" x14ac:dyDescent="0.35"/>
    <row r="5104" x14ac:dyDescent="0.35"/>
    <row r="5105" x14ac:dyDescent="0.35"/>
    <row r="5106" x14ac:dyDescent="0.35"/>
    <row r="5107" x14ac:dyDescent="0.35"/>
    <row r="5108" x14ac:dyDescent="0.35"/>
    <row r="5109" x14ac:dyDescent="0.35"/>
    <row r="5110" x14ac:dyDescent="0.35"/>
    <row r="5111" x14ac:dyDescent="0.35"/>
    <row r="5112" x14ac:dyDescent="0.35"/>
    <row r="5113" x14ac:dyDescent="0.35"/>
    <row r="5114" x14ac:dyDescent="0.35"/>
    <row r="5115" x14ac:dyDescent="0.35"/>
    <row r="5116" x14ac:dyDescent="0.35"/>
    <row r="5117" x14ac:dyDescent="0.35"/>
    <row r="5118" x14ac:dyDescent="0.35"/>
    <row r="5119" x14ac:dyDescent="0.35"/>
    <row r="5120" x14ac:dyDescent="0.35"/>
    <row r="5121" x14ac:dyDescent="0.35"/>
    <row r="5122" x14ac:dyDescent="0.35"/>
    <row r="5123" x14ac:dyDescent="0.35"/>
    <row r="5124" x14ac:dyDescent="0.35"/>
    <row r="5125" x14ac:dyDescent="0.35"/>
    <row r="5126" x14ac:dyDescent="0.35"/>
    <row r="5127" x14ac:dyDescent="0.35"/>
    <row r="5128" x14ac:dyDescent="0.35"/>
    <row r="5129" x14ac:dyDescent="0.35"/>
    <row r="5130" x14ac:dyDescent="0.35"/>
    <row r="5131" x14ac:dyDescent="0.35"/>
    <row r="5132" x14ac:dyDescent="0.35"/>
    <row r="5133" x14ac:dyDescent="0.35"/>
    <row r="5134" x14ac:dyDescent="0.35"/>
    <row r="5135" x14ac:dyDescent="0.35"/>
    <row r="5136" x14ac:dyDescent="0.35"/>
    <row r="5137" x14ac:dyDescent="0.35"/>
    <row r="5138" x14ac:dyDescent="0.35"/>
    <row r="5139" x14ac:dyDescent="0.35"/>
    <row r="5140" x14ac:dyDescent="0.35"/>
    <row r="5141" x14ac:dyDescent="0.35"/>
    <row r="5142" x14ac:dyDescent="0.35"/>
    <row r="5143" x14ac:dyDescent="0.35"/>
    <row r="5144" x14ac:dyDescent="0.35"/>
    <row r="5145" x14ac:dyDescent="0.35"/>
    <row r="5146" x14ac:dyDescent="0.35"/>
    <row r="5147" x14ac:dyDescent="0.35"/>
    <row r="5148" x14ac:dyDescent="0.35"/>
    <row r="5149" x14ac:dyDescent="0.35"/>
    <row r="5150" x14ac:dyDescent="0.35"/>
    <row r="5151" x14ac:dyDescent="0.35"/>
    <row r="5152" x14ac:dyDescent="0.35"/>
    <row r="5153" x14ac:dyDescent="0.35"/>
    <row r="5154" x14ac:dyDescent="0.35"/>
    <row r="5155" x14ac:dyDescent="0.35"/>
    <row r="5156" x14ac:dyDescent="0.35"/>
    <row r="5157" x14ac:dyDescent="0.35"/>
    <row r="5158" x14ac:dyDescent="0.35"/>
    <row r="5159" x14ac:dyDescent="0.35"/>
    <row r="5160" x14ac:dyDescent="0.35"/>
    <row r="5161" x14ac:dyDescent="0.35"/>
    <row r="5162" x14ac:dyDescent="0.35"/>
    <row r="5163" x14ac:dyDescent="0.35"/>
    <row r="5164" x14ac:dyDescent="0.35"/>
    <row r="5165" x14ac:dyDescent="0.35"/>
    <row r="5166" x14ac:dyDescent="0.35"/>
    <row r="5167" x14ac:dyDescent="0.35"/>
    <row r="5168" x14ac:dyDescent="0.35"/>
    <row r="5169" x14ac:dyDescent="0.35"/>
    <row r="5170" x14ac:dyDescent="0.35"/>
    <row r="5171" x14ac:dyDescent="0.35"/>
    <row r="5172" x14ac:dyDescent="0.35"/>
    <row r="5173" x14ac:dyDescent="0.35"/>
    <row r="5174" x14ac:dyDescent="0.35"/>
    <row r="5175" x14ac:dyDescent="0.35"/>
    <row r="5176" x14ac:dyDescent="0.35"/>
    <row r="5177" x14ac:dyDescent="0.35"/>
    <row r="5178" x14ac:dyDescent="0.35"/>
    <row r="5179" x14ac:dyDescent="0.35"/>
    <row r="5180" x14ac:dyDescent="0.35"/>
    <row r="5181" x14ac:dyDescent="0.35"/>
    <row r="5182" x14ac:dyDescent="0.35"/>
    <row r="5183" x14ac:dyDescent="0.35"/>
    <row r="5184" x14ac:dyDescent="0.35"/>
    <row r="5185" x14ac:dyDescent="0.35"/>
    <row r="5186" x14ac:dyDescent="0.35"/>
    <row r="5187" x14ac:dyDescent="0.35"/>
    <row r="5188" x14ac:dyDescent="0.35"/>
    <row r="5189" x14ac:dyDescent="0.35"/>
    <row r="5190" x14ac:dyDescent="0.35"/>
    <row r="5191" x14ac:dyDescent="0.35"/>
    <row r="5192" x14ac:dyDescent="0.35"/>
    <row r="5193" x14ac:dyDescent="0.35"/>
    <row r="5194" x14ac:dyDescent="0.35"/>
    <row r="5195" x14ac:dyDescent="0.35"/>
    <row r="5196" x14ac:dyDescent="0.35"/>
    <row r="5197" x14ac:dyDescent="0.35"/>
    <row r="5198" x14ac:dyDescent="0.35"/>
    <row r="5199" x14ac:dyDescent="0.35"/>
    <row r="5200" x14ac:dyDescent="0.35"/>
    <row r="5201" x14ac:dyDescent="0.35"/>
    <row r="5202" x14ac:dyDescent="0.35"/>
    <row r="5203" x14ac:dyDescent="0.35"/>
    <row r="5204" x14ac:dyDescent="0.35"/>
    <row r="5205" x14ac:dyDescent="0.35"/>
    <row r="5206" x14ac:dyDescent="0.35"/>
    <row r="5207" x14ac:dyDescent="0.35"/>
    <row r="5208" x14ac:dyDescent="0.35"/>
    <row r="5209" x14ac:dyDescent="0.35"/>
    <row r="5210" x14ac:dyDescent="0.35"/>
    <row r="5211" x14ac:dyDescent="0.35"/>
    <row r="5212" x14ac:dyDescent="0.35"/>
    <row r="5213" x14ac:dyDescent="0.35"/>
    <row r="5214" x14ac:dyDescent="0.35"/>
    <row r="5215" x14ac:dyDescent="0.35"/>
    <row r="5216" x14ac:dyDescent="0.35"/>
    <row r="5217" x14ac:dyDescent="0.35"/>
    <row r="5218" x14ac:dyDescent="0.35"/>
    <row r="5219" x14ac:dyDescent="0.35"/>
    <row r="5220" x14ac:dyDescent="0.35"/>
    <row r="5221" x14ac:dyDescent="0.35"/>
    <row r="5222" x14ac:dyDescent="0.35"/>
    <row r="5223" x14ac:dyDescent="0.35"/>
    <row r="5224" x14ac:dyDescent="0.35"/>
    <row r="5225" x14ac:dyDescent="0.35"/>
    <row r="5226" x14ac:dyDescent="0.35"/>
    <row r="5227" x14ac:dyDescent="0.35"/>
    <row r="5228" x14ac:dyDescent="0.35"/>
    <row r="5229" x14ac:dyDescent="0.35"/>
    <row r="5230" x14ac:dyDescent="0.35"/>
    <row r="5231" x14ac:dyDescent="0.35"/>
    <row r="5232" x14ac:dyDescent="0.35"/>
    <row r="5233" x14ac:dyDescent="0.35"/>
    <row r="5234" x14ac:dyDescent="0.35"/>
    <row r="5235" x14ac:dyDescent="0.35"/>
    <row r="5236" x14ac:dyDescent="0.35"/>
    <row r="5237" x14ac:dyDescent="0.35"/>
    <row r="5238" x14ac:dyDescent="0.35"/>
    <row r="5239" x14ac:dyDescent="0.35"/>
    <row r="5240" x14ac:dyDescent="0.35"/>
    <row r="5241" x14ac:dyDescent="0.35"/>
    <row r="5242" x14ac:dyDescent="0.35"/>
    <row r="5243" x14ac:dyDescent="0.35"/>
    <row r="5244" x14ac:dyDescent="0.35"/>
    <row r="5245" x14ac:dyDescent="0.35"/>
    <row r="5246" x14ac:dyDescent="0.35"/>
    <row r="5247" x14ac:dyDescent="0.35"/>
    <row r="5248" x14ac:dyDescent="0.35"/>
    <row r="5249" x14ac:dyDescent="0.35"/>
    <row r="5250" x14ac:dyDescent="0.35"/>
    <row r="5251" x14ac:dyDescent="0.35"/>
    <row r="5252" x14ac:dyDescent="0.35"/>
    <row r="5253" x14ac:dyDescent="0.35"/>
    <row r="5254" x14ac:dyDescent="0.35"/>
    <row r="5255" x14ac:dyDescent="0.35"/>
    <row r="5256" x14ac:dyDescent="0.35"/>
    <row r="5257" x14ac:dyDescent="0.35"/>
    <row r="5258" x14ac:dyDescent="0.35"/>
    <row r="5259" x14ac:dyDescent="0.35"/>
    <row r="5260" x14ac:dyDescent="0.35"/>
    <row r="5261" x14ac:dyDescent="0.35"/>
    <row r="5262" x14ac:dyDescent="0.35"/>
    <row r="5263" x14ac:dyDescent="0.35"/>
    <row r="5264" x14ac:dyDescent="0.35"/>
    <row r="5265" x14ac:dyDescent="0.35"/>
    <row r="5266" x14ac:dyDescent="0.35"/>
    <row r="5267" x14ac:dyDescent="0.35"/>
    <row r="5268" x14ac:dyDescent="0.35"/>
    <row r="5269" x14ac:dyDescent="0.35"/>
    <row r="5270" x14ac:dyDescent="0.35"/>
    <row r="5271" x14ac:dyDescent="0.35"/>
    <row r="5272" x14ac:dyDescent="0.35"/>
    <row r="5273" x14ac:dyDescent="0.35"/>
    <row r="5274" x14ac:dyDescent="0.35"/>
    <row r="5275" x14ac:dyDescent="0.35"/>
    <row r="5276" x14ac:dyDescent="0.35"/>
    <row r="5277" x14ac:dyDescent="0.35"/>
    <row r="5278" x14ac:dyDescent="0.35"/>
    <row r="5279" x14ac:dyDescent="0.35"/>
    <row r="5280" x14ac:dyDescent="0.35"/>
    <row r="5281" x14ac:dyDescent="0.35"/>
    <row r="5282" x14ac:dyDescent="0.35"/>
    <row r="5283" x14ac:dyDescent="0.35"/>
    <row r="5284" x14ac:dyDescent="0.35"/>
    <row r="5285" x14ac:dyDescent="0.35"/>
    <row r="5286" x14ac:dyDescent="0.35"/>
    <row r="5287" x14ac:dyDescent="0.35"/>
    <row r="5288" x14ac:dyDescent="0.35"/>
    <row r="5289" x14ac:dyDescent="0.35"/>
    <row r="5290" x14ac:dyDescent="0.35"/>
    <row r="5291" x14ac:dyDescent="0.35"/>
    <row r="5292" x14ac:dyDescent="0.35"/>
    <row r="5293" x14ac:dyDescent="0.35"/>
    <row r="5294" x14ac:dyDescent="0.35"/>
    <row r="5295" x14ac:dyDescent="0.35"/>
    <row r="5296" x14ac:dyDescent="0.35"/>
    <row r="5297" x14ac:dyDescent="0.35"/>
    <row r="5298" x14ac:dyDescent="0.35"/>
    <row r="5299" x14ac:dyDescent="0.35"/>
    <row r="5300" x14ac:dyDescent="0.35"/>
    <row r="5301" x14ac:dyDescent="0.35"/>
    <row r="5302" x14ac:dyDescent="0.35"/>
    <row r="5303" x14ac:dyDescent="0.35"/>
    <row r="5304" x14ac:dyDescent="0.35"/>
    <row r="5305" x14ac:dyDescent="0.35"/>
    <row r="5306" x14ac:dyDescent="0.35"/>
    <row r="5307" x14ac:dyDescent="0.35"/>
    <row r="5308" x14ac:dyDescent="0.35"/>
    <row r="5309" x14ac:dyDescent="0.35"/>
    <row r="5310" x14ac:dyDescent="0.35"/>
    <row r="5311" x14ac:dyDescent="0.35"/>
    <row r="5312" x14ac:dyDescent="0.35"/>
    <row r="5313" x14ac:dyDescent="0.35"/>
    <row r="5314" x14ac:dyDescent="0.35"/>
    <row r="5315" x14ac:dyDescent="0.35"/>
    <row r="5316" x14ac:dyDescent="0.35"/>
    <row r="5317" x14ac:dyDescent="0.35"/>
    <row r="5318" x14ac:dyDescent="0.35"/>
    <row r="5319" x14ac:dyDescent="0.35"/>
    <row r="5320" x14ac:dyDescent="0.35"/>
    <row r="5321" x14ac:dyDescent="0.35"/>
    <row r="5322" x14ac:dyDescent="0.35"/>
    <row r="5323" x14ac:dyDescent="0.35"/>
    <row r="5324" x14ac:dyDescent="0.35"/>
    <row r="5325" x14ac:dyDescent="0.35"/>
    <row r="5326" x14ac:dyDescent="0.35"/>
    <row r="5327" x14ac:dyDescent="0.35"/>
    <row r="5328" x14ac:dyDescent="0.35"/>
    <row r="5329" x14ac:dyDescent="0.35"/>
    <row r="5330" x14ac:dyDescent="0.35"/>
    <row r="5331" x14ac:dyDescent="0.35"/>
    <row r="5332" x14ac:dyDescent="0.35"/>
    <row r="5333" x14ac:dyDescent="0.35"/>
    <row r="5334" x14ac:dyDescent="0.35"/>
    <row r="5335" x14ac:dyDescent="0.35"/>
    <row r="5336" x14ac:dyDescent="0.35"/>
    <row r="5337" x14ac:dyDescent="0.35"/>
    <row r="5338" x14ac:dyDescent="0.35"/>
    <row r="5339" x14ac:dyDescent="0.35"/>
    <row r="5340" x14ac:dyDescent="0.35"/>
    <row r="5341" x14ac:dyDescent="0.35"/>
    <row r="5342" x14ac:dyDescent="0.35"/>
    <row r="5343" x14ac:dyDescent="0.35"/>
    <row r="5344" x14ac:dyDescent="0.35"/>
    <row r="5345" x14ac:dyDescent="0.35"/>
    <row r="5346" x14ac:dyDescent="0.35"/>
    <row r="5347" x14ac:dyDescent="0.35"/>
    <row r="5348" x14ac:dyDescent="0.35"/>
    <row r="5349" x14ac:dyDescent="0.35"/>
    <row r="5350" x14ac:dyDescent="0.35"/>
    <row r="5351" x14ac:dyDescent="0.35"/>
    <row r="5352" x14ac:dyDescent="0.35"/>
    <row r="5353" x14ac:dyDescent="0.35"/>
    <row r="5354" x14ac:dyDescent="0.35"/>
    <row r="5355" x14ac:dyDescent="0.35"/>
    <row r="5356" x14ac:dyDescent="0.35"/>
    <row r="5357" x14ac:dyDescent="0.35"/>
    <row r="5358" x14ac:dyDescent="0.35"/>
    <row r="5359" x14ac:dyDescent="0.35"/>
    <row r="5360" x14ac:dyDescent="0.35"/>
    <row r="5361" x14ac:dyDescent="0.35"/>
    <row r="5362" x14ac:dyDescent="0.35"/>
    <row r="5363" x14ac:dyDescent="0.35"/>
    <row r="5364" x14ac:dyDescent="0.35"/>
    <row r="5365" x14ac:dyDescent="0.35"/>
    <row r="5366" x14ac:dyDescent="0.35"/>
    <row r="5367" x14ac:dyDescent="0.35"/>
    <row r="5368" x14ac:dyDescent="0.35"/>
    <row r="5369" x14ac:dyDescent="0.35"/>
    <row r="5370" x14ac:dyDescent="0.35"/>
    <row r="5371" x14ac:dyDescent="0.35"/>
    <row r="5372" x14ac:dyDescent="0.35"/>
    <row r="5373" x14ac:dyDescent="0.35"/>
    <row r="5374" x14ac:dyDescent="0.35"/>
    <row r="5375" x14ac:dyDescent="0.35"/>
    <row r="5376" x14ac:dyDescent="0.35"/>
    <row r="5377" x14ac:dyDescent="0.35"/>
    <row r="5378" x14ac:dyDescent="0.35"/>
    <row r="5379" x14ac:dyDescent="0.35"/>
    <row r="5380" x14ac:dyDescent="0.35"/>
    <row r="5381" x14ac:dyDescent="0.35"/>
    <row r="5382" x14ac:dyDescent="0.35"/>
    <row r="5383" x14ac:dyDescent="0.35"/>
    <row r="5384" x14ac:dyDescent="0.35"/>
    <row r="5385" x14ac:dyDescent="0.35"/>
    <row r="5386" x14ac:dyDescent="0.35"/>
    <row r="5387" x14ac:dyDescent="0.35"/>
    <row r="5388" x14ac:dyDescent="0.35"/>
    <row r="5389" x14ac:dyDescent="0.35"/>
    <row r="5390" x14ac:dyDescent="0.35"/>
    <row r="5391" x14ac:dyDescent="0.35"/>
    <row r="5392" x14ac:dyDescent="0.35"/>
    <row r="5393" x14ac:dyDescent="0.35"/>
    <row r="5394" x14ac:dyDescent="0.35"/>
    <row r="5395" x14ac:dyDescent="0.35"/>
    <row r="5396" x14ac:dyDescent="0.35"/>
    <row r="5397" x14ac:dyDescent="0.35"/>
    <row r="5398" x14ac:dyDescent="0.35"/>
    <row r="5399" x14ac:dyDescent="0.35"/>
    <row r="5400" x14ac:dyDescent="0.35"/>
    <row r="5401" x14ac:dyDescent="0.35"/>
    <row r="5402" x14ac:dyDescent="0.35"/>
    <row r="5403" x14ac:dyDescent="0.35"/>
    <row r="5404" x14ac:dyDescent="0.35"/>
    <row r="5405" x14ac:dyDescent="0.35"/>
    <row r="5406" x14ac:dyDescent="0.35"/>
    <row r="5407" x14ac:dyDescent="0.35"/>
    <row r="5408" x14ac:dyDescent="0.35"/>
    <row r="5409" x14ac:dyDescent="0.35"/>
    <row r="5410" x14ac:dyDescent="0.35"/>
    <row r="5411" x14ac:dyDescent="0.35"/>
    <row r="5412" x14ac:dyDescent="0.35"/>
    <row r="5413" x14ac:dyDescent="0.35"/>
    <row r="5414" x14ac:dyDescent="0.35"/>
    <row r="5415" x14ac:dyDescent="0.35"/>
    <row r="5416" x14ac:dyDescent="0.35"/>
    <row r="5417" x14ac:dyDescent="0.35"/>
    <row r="5418" x14ac:dyDescent="0.35"/>
    <row r="5419" x14ac:dyDescent="0.35"/>
    <row r="5420" x14ac:dyDescent="0.35"/>
    <row r="5421" x14ac:dyDescent="0.35"/>
    <row r="5422" x14ac:dyDescent="0.35"/>
    <row r="5423" x14ac:dyDescent="0.35"/>
    <row r="5424" x14ac:dyDescent="0.35"/>
    <row r="5425" x14ac:dyDescent="0.35"/>
    <row r="5426" x14ac:dyDescent="0.35"/>
    <row r="5427" x14ac:dyDescent="0.35"/>
    <row r="5428" x14ac:dyDescent="0.35"/>
    <row r="5429" x14ac:dyDescent="0.35"/>
    <row r="5430" x14ac:dyDescent="0.35"/>
    <row r="5431" x14ac:dyDescent="0.35"/>
    <row r="5432" x14ac:dyDescent="0.35"/>
    <row r="5433" x14ac:dyDescent="0.35"/>
    <row r="5434" x14ac:dyDescent="0.35"/>
    <row r="5435" x14ac:dyDescent="0.35"/>
    <row r="5436" x14ac:dyDescent="0.35"/>
    <row r="5437" x14ac:dyDescent="0.35"/>
    <row r="5438" x14ac:dyDescent="0.35"/>
    <row r="5439" x14ac:dyDescent="0.35"/>
    <row r="5440" x14ac:dyDescent="0.35"/>
    <row r="5441" x14ac:dyDescent="0.35"/>
    <row r="5442" x14ac:dyDescent="0.35"/>
    <row r="5443" x14ac:dyDescent="0.35"/>
    <row r="5444" x14ac:dyDescent="0.35"/>
    <row r="5445" x14ac:dyDescent="0.35"/>
    <row r="5446" x14ac:dyDescent="0.35"/>
    <row r="5447" x14ac:dyDescent="0.35"/>
    <row r="5448" x14ac:dyDescent="0.35"/>
    <row r="5449" x14ac:dyDescent="0.35"/>
    <row r="5450" x14ac:dyDescent="0.35"/>
    <row r="5451" x14ac:dyDescent="0.35"/>
    <row r="5452" x14ac:dyDescent="0.35"/>
    <row r="5453" x14ac:dyDescent="0.35"/>
    <row r="5454" x14ac:dyDescent="0.35"/>
    <row r="5455" x14ac:dyDescent="0.35"/>
    <row r="5456" x14ac:dyDescent="0.35"/>
    <row r="5457" x14ac:dyDescent="0.35"/>
    <row r="5458" x14ac:dyDescent="0.35"/>
    <row r="5459" x14ac:dyDescent="0.35"/>
    <row r="5460" x14ac:dyDescent="0.35"/>
    <row r="5461" x14ac:dyDescent="0.35"/>
    <row r="5462" x14ac:dyDescent="0.35"/>
    <row r="5463" x14ac:dyDescent="0.35"/>
    <row r="5464" x14ac:dyDescent="0.35"/>
    <row r="5465" x14ac:dyDescent="0.35"/>
    <row r="5466" x14ac:dyDescent="0.35"/>
    <row r="5467" x14ac:dyDescent="0.35"/>
    <row r="5468" x14ac:dyDescent="0.35"/>
    <row r="5469" x14ac:dyDescent="0.35"/>
    <row r="5470" x14ac:dyDescent="0.35"/>
    <row r="5471" x14ac:dyDescent="0.35"/>
    <row r="5472" x14ac:dyDescent="0.35"/>
    <row r="5473" x14ac:dyDescent="0.35"/>
    <row r="5474" x14ac:dyDescent="0.35"/>
    <row r="5475" x14ac:dyDescent="0.35"/>
    <row r="5476" x14ac:dyDescent="0.35"/>
    <row r="5477" x14ac:dyDescent="0.35"/>
    <row r="5478" x14ac:dyDescent="0.35"/>
    <row r="5479" x14ac:dyDescent="0.35"/>
    <row r="5480" x14ac:dyDescent="0.35"/>
    <row r="5481" x14ac:dyDescent="0.35"/>
    <row r="5482" x14ac:dyDescent="0.35"/>
    <row r="5483" x14ac:dyDescent="0.35"/>
    <row r="5484" x14ac:dyDescent="0.35"/>
    <row r="5485" x14ac:dyDescent="0.35"/>
    <row r="5486" x14ac:dyDescent="0.35"/>
    <row r="5487" x14ac:dyDescent="0.35"/>
    <row r="5488" x14ac:dyDescent="0.35"/>
    <row r="5489" x14ac:dyDescent="0.35"/>
    <row r="5490" x14ac:dyDescent="0.35"/>
    <row r="5491" x14ac:dyDescent="0.35"/>
    <row r="5492" x14ac:dyDescent="0.35"/>
    <row r="5493" x14ac:dyDescent="0.35"/>
    <row r="5494" x14ac:dyDescent="0.35"/>
    <row r="5495" x14ac:dyDescent="0.35"/>
    <row r="5496" x14ac:dyDescent="0.35"/>
    <row r="5497" x14ac:dyDescent="0.35"/>
    <row r="5498" x14ac:dyDescent="0.35"/>
    <row r="5499" x14ac:dyDescent="0.35"/>
    <row r="5500" x14ac:dyDescent="0.35"/>
    <row r="5501" x14ac:dyDescent="0.35"/>
    <row r="5502" x14ac:dyDescent="0.35"/>
    <row r="5503" x14ac:dyDescent="0.35"/>
    <row r="5504" x14ac:dyDescent="0.35"/>
    <row r="5505" x14ac:dyDescent="0.35"/>
    <row r="5506" x14ac:dyDescent="0.35"/>
    <row r="5507" x14ac:dyDescent="0.35"/>
    <row r="5508" x14ac:dyDescent="0.35"/>
    <row r="5509" x14ac:dyDescent="0.35"/>
    <row r="5510" x14ac:dyDescent="0.35"/>
    <row r="5511" x14ac:dyDescent="0.35"/>
    <row r="5512" x14ac:dyDescent="0.35"/>
    <row r="5513" x14ac:dyDescent="0.35"/>
    <row r="5514" x14ac:dyDescent="0.35"/>
    <row r="5515" x14ac:dyDescent="0.35"/>
    <row r="5516" x14ac:dyDescent="0.35"/>
    <row r="5517" x14ac:dyDescent="0.35"/>
    <row r="5518" x14ac:dyDescent="0.35"/>
    <row r="5519" x14ac:dyDescent="0.35"/>
    <row r="5520" x14ac:dyDescent="0.35"/>
    <row r="5521" x14ac:dyDescent="0.35"/>
    <row r="5522" x14ac:dyDescent="0.35"/>
    <row r="5523" x14ac:dyDescent="0.35"/>
    <row r="5524" x14ac:dyDescent="0.35"/>
    <row r="5525" x14ac:dyDescent="0.35"/>
    <row r="5526" x14ac:dyDescent="0.35"/>
    <row r="5527" x14ac:dyDescent="0.35"/>
    <row r="5528" x14ac:dyDescent="0.35"/>
    <row r="5529" x14ac:dyDescent="0.35"/>
    <row r="5530" x14ac:dyDescent="0.35"/>
    <row r="5531" x14ac:dyDescent="0.35"/>
    <row r="5532" x14ac:dyDescent="0.35"/>
    <row r="5533" x14ac:dyDescent="0.35"/>
    <row r="5534" x14ac:dyDescent="0.35"/>
    <row r="5535" x14ac:dyDescent="0.35"/>
    <row r="5536" x14ac:dyDescent="0.35"/>
    <row r="5537" x14ac:dyDescent="0.35"/>
    <row r="5538" x14ac:dyDescent="0.35"/>
    <row r="5539" x14ac:dyDescent="0.35"/>
    <row r="5540" x14ac:dyDescent="0.35"/>
    <row r="5541" x14ac:dyDescent="0.35"/>
    <row r="5542" x14ac:dyDescent="0.35"/>
    <row r="5543" x14ac:dyDescent="0.35"/>
    <row r="5544" x14ac:dyDescent="0.35"/>
    <row r="5545" x14ac:dyDescent="0.35"/>
    <row r="5546" x14ac:dyDescent="0.35"/>
    <row r="5547" x14ac:dyDescent="0.35"/>
    <row r="5548" x14ac:dyDescent="0.35"/>
    <row r="5549" x14ac:dyDescent="0.35"/>
    <row r="5550" x14ac:dyDescent="0.35"/>
    <row r="5551" x14ac:dyDescent="0.35"/>
    <row r="5552" x14ac:dyDescent="0.35"/>
    <row r="5553" x14ac:dyDescent="0.35"/>
    <row r="5554" x14ac:dyDescent="0.35"/>
    <row r="5555" x14ac:dyDescent="0.35"/>
    <row r="5556" x14ac:dyDescent="0.35"/>
    <row r="5557" x14ac:dyDescent="0.35"/>
    <row r="5558" x14ac:dyDescent="0.35"/>
    <row r="5559" x14ac:dyDescent="0.35"/>
    <row r="5560" x14ac:dyDescent="0.35"/>
    <row r="5561" x14ac:dyDescent="0.35"/>
    <row r="5562" x14ac:dyDescent="0.35"/>
    <row r="5563" x14ac:dyDescent="0.35"/>
    <row r="5564" x14ac:dyDescent="0.35"/>
    <row r="5565" x14ac:dyDescent="0.35"/>
    <row r="5566" x14ac:dyDescent="0.35"/>
    <row r="5567" x14ac:dyDescent="0.35"/>
    <row r="5568" x14ac:dyDescent="0.35"/>
    <row r="5569" x14ac:dyDescent="0.35"/>
    <row r="5570" x14ac:dyDescent="0.35"/>
    <row r="5571" x14ac:dyDescent="0.35"/>
    <row r="5572" x14ac:dyDescent="0.35"/>
    <row r="5573" x14ac:dyDescent="0.35"/>
    <row r="5574" x14ac:dyDescent="0.35"/>
    <row r="5575" x14ac:dyDescent="0.35"/>
    <row r="5576" x14ac:dyDescent="0.35"/>
    <row r="5577" x14ac:dyDescent="0.35"/>
    <row r="5578" x14ac:dyDescent="0.35"/>
    <row r="5579" x14ac:dyDescent="0.35"/>
    <row r="5580" x14ac:dyDescent="0.35"/>
    <row r="5581" x14ac:dyDescent="0.35"/>
    <row r="5582" x14ac:dyDescent="0.35"/>
    <row r="5583" x14ac:dyDescent="0.35"/>
    <row r="5584" x14ac:dyDescent="0.35"/>
    <row r="5585" x14ac:dyDescent="0.35"/>
    <row r="5586" x14ac:dyDescent="0.35"/>
    <row r="5587" x14ac:dyDescent="0.35"/>
    <row r="5588" x14ac:dyDescent="0.35"/>
    <row r="5589" x14ac:dyDescent="0.35"/>
    <row r="5590" x14ac:dyDescent="0.35"/>
    <row r="5591" x14ac:dyDescent="0.35"/>
    <row r="5592" x14ac:dyDescent="0.35"/>
    <row r="5593" x14ac:dyDescent="0.35"/>
    <row r="5594" x14ac:dyDescent="0.35"/>
    <row r="5595" x14ac:dyDescent="0.35"/>
    <row r="5596" x14ac:dyDescent="0.35"/>
    <row r="5597" x14ac:dyDescent="0.35"/>
    <row r="5598" x14ac:dyDescent="0.35"/>
    <row r="5599" x14ac:dyDescent="0.35"/>
    <row r="5600" x14ac:dyDescent="0.35"/>
    <row r="5601" x14ac:dyDescent="0.35"/>
    <row r="5602" x14ac:dyDescent="0.35"/>
    <row r="5603" x14ac:dyDescent="0.35"/>
    <row r="5604" x14ac:dyDescent="0.35"/>
    <row r="5605" x14ac:dyDescent="0.35"/>
    <row r="5606" x14ac:dyDescent="0.35"/>
    <row r="5607" x14ac:dyDescent="0.35"/>
    <row r="5608" x14ac:dyDescent="0.35"/>
    <row r="5609" x14ac:dyDescent="0.35"/>
    <row r="5610" x14ac:dyDescent="0.35"/>
    <row r="5611" x14ac:dyDescent="0.35"/>
    <row r="5612" x14ac:dyDescent="0.35"/>
    <row r="5613" x14ac:dyDescent="0.35"/>
    <row r="5614" x14ac:dyDescent="0.35"/>
    <row r="5615" x14ac:dyDescent="0.35"/>
    <row r="5616" x14ac:dyDescent="0.35"/>
    <row r="5617" x14ac:dyDescent="0.35"/>
    <row r="5618" x14ac:dyDescent="0.35"/>
    <row r="5619" x14ac:dyDescent="0.35"/>
    <row r="5620" x14ac:dyDescent="0.35"/>
    <row r="5621" x14ac:dyDescent="0.35"/>
    <row r="5622" x14ac:dyDescent="0.35"/>
    <row r="5623" x14ac:dyDescent="0.35"/>
    <row r="5624" x14ac:dyDescent="0.35"/>
    <row r="5625" x14ac:dyDescent="0.35"/>
    <row r="5626" x14ac:dyDescent="0.35"/>
    <row r="5627" x14ac:dyDescent="0.35"/>
    <row r="5628" x14ac:dyDescent="0.35"/>
    <row r="5629" x14ac:dyDescent="0.35"/>
    <row r="5630" x14ac:dyDescent="0.35"/>
    <row r="5631" x14ac:dyDescent="0.35"/>
    <row r="5632" x14ac:dyDescent="0.35"/>
    <row r="5633" x14ac:dyDescent="0.35"/>
    <row r="5634" x14ac:dyDescent="0.35"/>
    <row r="5635" x14ac:dyDescent="0.35"/>
    <row r="5636" x14ac:dyDescent="0.35"/>
    <row r="5637" x14ac:dyDescent="0.35"/>
    <row r="5638" x14ac:dyDescent="0.35"/>
    <row r="5639" x14ac:dyDescent="0.35"/>
    <row r="5640" x14ac:dyDescent="0.35"/>
    <row r="5641" x14ac:dyDescent="0.35"/>
    <row r="5642" x14ac:dyDescent="0.35"/>
    <row r="5643" x14ac:dyDescent="0.35"/>
    <row r="5644" x14ac:dyDescent="0.35"/>
    <row r="5645" x14ac:dyDescent="0.35"/>
    <row r="5646" x14ac:dyDescent="0.35"/>
    <row r="5647" x14ac:dyDescent="0.35"/>
    <row r="5648" x14ac:dyDescent="0.35"/>
    <row r="5649" x14ac:dyDescent="0.35"/>
    <row r="5650" x14ac:dyDescent="0.35"/>
    <row r="5651" x14ac:dyDescent="0.35"/>
    <row r="5652" x14ac:dyDescent="0.35"/>
    <row r="5653" x14ac:dyDescent="0.35"/>
    <row r="5654" x14ac:dyDescent="0.35"/>
    <row r="5655" x14ac:dyDescent="0.35"/>
    <row r="5656" x14ac:dyDescent="0.35"/>
    <row r="5657" x14ac:dyDescent="0.35"/>
    <row r="5658" x14ac:dyDescent="0.35"/>
    <row r="5659" x14ac:dyDescent="0.35"/>
    <row r="5660" x14ac:dyDescent="0.35"/>
    <row r="5661" x14ac:dyDescent="0.35"/>
    <row r="5662" x14ac:dyDescent="0.35"/>
    <row r="5663" x14ac:dyDescent="0.35"/>
    <row r="5664" x14ac:dyDescent="0.35"/>
    <row r="5665" x14ac:dyDescent="0.35"/>
    <row r="5666" x14ac:dyDescent="0.35"/>
    <row r="5667" x14ac:dyDescent="0.35"/>
    <row r="5668" x14ac:dyDescent="0.35"/>
    <row r="5669" x14ac:dyDescent="0.35"/>
    <row r="5670" x14ac:dyDescent="0.35"/>
    <row r="5671" x14ac:dyDescent="0.35"/>
    <row r="5672" x14ac:dyDescent="0.35"/>
    <row r="5673" x14ac:dyDescent="0.35"/>
    <row r="5674" x14ac:dyDescent="0.35"/>
    <row r="5675" x14ac:dyDescent="0.35"/>
    <row r="5676" x14ac:dyDescent="0.35"/>
    <row r="5677" x14ac:dyDescent="0.35"/>
    <row r="5678" x14ac:dyDescent="0.35"/>
    <row r="5679" x14ac:dyDescent="0.35"/>
    <row r="5680" x14ac:dyDescent="0.35"/>
    <row r="5681" x14ac:dyDescent="0.35"/>
    <row r="5682" x14ac:dyDescent="0.35"/>
    <row r="5683" x14ac:dyDescent="0.35"/>
    <row r="5684" x14ac:dyDescent="0.35"/>
    <row r="5685" x14ac:dyDescent="0.35"/>
    <row r="5686" x14ac:dyDescent="0.35"/>
    <row r="5687" x14ac:dyDescent="0.35"/>
    <row r="5688" x14ac:dyDescent="0.35"/>
    <row r="5689" x14ac:dyDescent="0.35"/>
    <row r="5690" x14ac:dyDescent="0.35"/>
    <row r="5691" x14ac:dyDescent="0.35"/>
    <row r="5692" x14ac:dyDescent="0.35"/>
    <row r="5693" x14ac:dyDescent="0.35"/>
    <row r="5694" x14ac:dyDescent="0.35"/>
    <row r="5695" x14ac:dyDescent="0.35"/>
    <row r="5696" x14ac:dyDescent="0.35"/>
    <row r="5697" x14ac:dyDescent="0.35"/>
    <row r="5698" x14ac:dyDescent="0.35"/>
    <row r="5699" x14ac:dyDescent="0.35"/>
    <row r="5700" x14ac:dyDescent="0.35"/>
    <row r="5701" x14ac:dyDescent="0.35"/>
    <row r="5702" x14ac:dyDescent="0.35"/>
    <row r="5703" x14ac:dyDescent="0.35"/>
    <row r="5704" x14ac:dyDescent="0.35"/>
    <row r="5705" x14ac:dyDescent="0.35"/>
    <row r="5706" x14ac:dyDescent="0.35"/>
    <row r="5707" x14ac:dyDescent="0.35"/>
    <row r="5708" x14ac:dyDescent="0.35"/>
    <row r="5709" x14ac:dyDescent="0.35"/>
    <row r="5710" x14ac:dyDescent="0.35"/>
    <row r="5711" x14ac:dyDescent="0.35"/>
    <row r="5712" x14ac:dyDescent="0.35"/>
    <row r="5713" x14ac:dyDescent="0.35"/>
    <row r="5714" x14ac:dyDescent="0.35"/>
    <row r="5715" x14ac:dyDescent="0.35"/>
    <row r="5716" x14ac:dyDescent="0.35"/>
    <row r="5717" x14ac:dyDescent="0.35"/>
    <row r="5718" x14ac:dyDescent="0.35"/>
    <row r="5719" x14ac:dyDescent="0.35"/>
    <row r="5720" x14ac:dyDescent="0.35"/>
    <row r="5721" x14ac:dyDescent="0.35"/>
    <row r="5722" x14ac:dyDescent="0.35"/>
    <row r="5723" x14ac:dyDescent="0.35"/>
    <row r="5724" x14ac:dyDescent="0.35"/>
    <row r="5725" x14ac:dyDescent="0.35"/>
    <row r="5726" x14ac:dyDescent="0.35"/>
    <row r="5727" x14ac:dyDescent="0.35"/>
    <row r="5728" x14ac:dyDescent="0.35"/>
    <row r="5729" x14ac:dyDescent="0.35"/>
    <row r="5730" x14ac:dyDescent="0.35"/>
    <row r="5731" x14ac:dyDescent="0.35"/>
    <row r="5732" x14ac:dyDescent="0.35"/>
    <row r="5733" x14ac:dyDescent="0.35"/>
    <row r="5734" x14ac:dyDescent="0.35"/>
    <row r="5735" x14ac:dyDescent="0.35"/>
    <row r="5736" x14ac:dyDescent="0.35"/>
    <row r="5737" x14ac:dyDescent="0.35"/>
    <row r="5738" x14ac:dyDescent="0.35"/>
    <row r="5739" x14ac:dyDescent="0.35"/>
    <row r="5740" x14ac:dyDescent="0.35"/>
    <row r="5741" x14ac:dyDescent="0.35"/>
    <row r="5742" x14ac:dyDescent="0.35"/>
    <row r="5743" x14ac:dyDescent="0.35"/>
    <row r="5744" x14ac:dyDescent="0.35"/>
    <row r="5745" x14ac:dyDescent="0.35"/>
    <row r="5746" x14ac:dyDescent="0.35"/>
    <row r="5747" x14ac:dyDescent="0.35"/>
    <row r="5748" x14ac:dyDescent="0.35"/>
    <row r="5749" x14ac:dyDescent="0.35"/>
    <row r="5750" x14ac:dyDescent="0.35"/>
    <row r="5751" x14ac:dyDescent="0.35"/>
    <row r="5752" x14ac:dyDescent="0.35"/>
    <row r="5753" x14ac:dyDescent="0.35"/>
    <row r="5754" x14ac:dyDescent="0.35"/>
    <row r="5755" x14ac:dyDescent="0.35"/>
    <row r="5756" x14ac:dyDescent="0.35"/>
    <row r="5757" x14ac:dyDescent="0.35"/>
    <row r="5758" x14ac:dyDescent="0.35"/>
    <row r="5759" x14ac:dyDescent="0.35"/>
    <row r="5760" x14ac:dyDescent="0.35"/>
    <row r="5761" x14ac:dyDescent="0.35"/>
    <row r="5762" x14ac:dyDescent="0.35"/>
    <row r="5763" x14ac:dyDescent="0.35"/>
    <row r="5764" x14ac:dyDescent="0.35"/>
    <row r="5765" x14ac:dyDescent="0.35"/>
    <row r="5766" x14ac:dyDescent="0.35"/>
    <row r="5767" x14ac:dyDescent="0.35"/>
    <row r="5768" x14ac:dyDescent="0.35"/>
    <row r="5769" x14ac:dyDescent="0.35"/>
    <row r="5770" x14ac:dyDescent="0.35"/>
    <row r="5771" x14ac:dyDescent="0.35"/>
    <row r="5772" x14ac:dyDescent="0.35"/>
    <row r="5773" x14ac:dyDescent="0.35"/>
    <row r="5774" x14ac:dyDescent="0.35"/>
    <row r="5775" x14ac:dyDescent="0.35"/>
    <row r="5776" x14ac:dyDescent="0.35"/>
    <row r="5777" x14ac:dyDescent="0.35"/>
    <row r="5778" x14ac:dyDescent="0.35"/>
    <row r="5779" x14ac:dyDescent="0.35"/>
    <row r="5780" x14ac:dyDescent="0.35"/>
    <row r="5781" x14ac:dyDescent="0.35"/>
    <row r="5782" x14ac:dyDescent="0.35"/>
    <row r="5783" x14ac:dyDescent="0.35"/>
    <row r="5784" x14ac:dyDescent="0.35"/>
    <row r="5785" x14ac:dyDescent="0.35"/>
    <row r="5786" x14ac:dyDescent="0.35"/>
    <row r="5787" x14ac:dyDescent="0.35"/>
    <row r="5788" x14ac:dyDescent="0.35"/>
    <row r="5789" x14ac:dyDescent="0.35"/>
    <row r="5790" x14ac:dyDescent="0.35"/>
    <row r="5791" x14ac:dyDescent="0.35"/>
    <row r="5792" x14ac:dyDescent="0.35"/>
    <row r="5793" x14ac:dyDescent="0.35"/>
    <row r="5794" x14ac:dyDescent="0.35"/>
    <row r="5795" x14ac:dyDescent="0.35"/>
    <row r="5796" x14ac:dyDescent="0.35"/>
    <row r="5797" x14ac:dyDescent="0.35"/>
    <row r="5798" x14ac:dyDescent="0.35"/>
    <row r="5799" x14ac:dyDescent="0.35"/>
    <row r="5800" x14ac:dyDescent="0.35"/>
    <row r="5801" x14ac:dyDescent="0.35"/>
    <row r="5802" x14ac:dyDescent="0.35"/>
    <row r="5803" x14ac:dyDescent="0.35"/>
    <row r="5804" x14ac:dyDescent="0.35"/>
    <row r="5805" x14ac:dyDescent="0.35"/>
    <row r="5806" x14ac:dyDescent="0.35"/>
    <row r="5807" x14ac:dyDescent="0.35"/>
    <row r="5808" x14ac:dyDescent="0.35"/>
    <row r="5809" x14ac:dyDescent="0.35"/>
    <row r="5810" x14ac:dyDescent="0.35"/>
    <row r="5811" x14ac:dyDescent="0.35"/>
    <row r="5812" x14ac:dyDescent="0.35"/>
    <row r="5813" x14ac:dyDescent="0.35"/>
    <row r="5814" x14ac:dyDescent="0.35"/>
    <row r="5815" x14ac:dyDescent="0.35"/>
    <row r="5816" x14ac:dyDescent="0.35"/>
    <row r="5817" x14ac:dyDescent="0.35"/>
    <row r="5818" x14ac:dyDescent="0.35"/>
    <row r="5819" x14ac:dyDescent="0.35"/>
    <row r="5820" x14ac:dyDescent="0.35"/>
    <row r="5821" x14ac:dyDescent="0.35"/>
    <row r="5822" x14ac:dyDescent="0.35"/>
    <row r="5823" x14ac:dyDescent="0.35"/>
    <row r="5824" x14ac:dyDescent="0.35"/>
    <row r="5825" x14ac:dyDescent="0.35"/>
    <row r="5826" x14ac:dyDescent="0.35"/>
    <row r="5827" x14ac:dyDescent="0.35"/>
    <row r="5828" x14ac:dyDescent="0.35"/>
    <row r="5829" x14ac:dyDescent="0.35"/>
    <row r="5830" x14ac:dyDescent="0.35"/>
    <row r="5831" x14ac:dyDescent="0.35"/>
    <row r="5832" x14ac:dyDescent="0.35"/>
    <row r="5833" x14ac:dyDescent="0.35"/>
    <row r="5834" x14ac:dyDescent="0.35"/>
    <row r="5835" x14ac:dyDescent="0.35"/>
    <row r="5836" x14ac:dyDescent="0.35"/>
    <row r="5837" x14ac:dyDescent="0.35"/>
    <row r="5838" x14ac:dyDescent="0.35"/>
    <row r="5839" x14ac:dyDescent="0.35"/>
    <row r="5840" x14ac:dyDescent="0.35"/>
    <row r="5841" x14ac:dyDescent="0.35"/>
    <row r="5842" x14ac:dyDescent="0.35"/>
    <row r="5843" x14ac:dyDescent="0.35"/>
    <row r="5844" x14ac:dyDescent="0.35"/>
    <row r="5845" x14ac:dyDescent="0.35"/>
    <row r="5846" x14ac:dyDescent="0.35"/>
    <row r="5847" x14ac:dyDescent="0.35"/>
    <row r="5848" x14ac:dyDescent="0.35"/>
    <row r="5849" x14ac:dyDescent="0.35"/>
    <row r="5850" x14ac:dyDescent="0.35"/>
    <row r="5851" x14ac:dyDescent="0.35"/>
    <row r="5852" x14ac:dyDescent="0.35"/>
    <row r="5853" x14ac:dyDescent="0.35"/>
    <row r="5854" x14ac:dyDescent="0.35"/>
    <row r="5855" x14ac:dyDescent="0.35"/>
    <row r="5856" x14ac:dyDescent="0.35"/>
    <row r="5857" x14ac:dyDescent="0.35"/>
    <row r="5858" x14ac:dyDescent="0.35"/>
    <row r="5859" x14ac:dyDescent="0.35"/>
    <row r="5860" x14ac:dyDescent="0.35"/>
    <row r="5861" x14ac:dyDescent="0.35"/>
    <row r="5862" x14ac:dyDescent="0.35"/>
    <row r="5863" x14ac:dyDescent="0.35"/>
    <row r="5864" x14ac:dyDescent="0.35"/>
    <row r="5865" x14ac:dyDescent="0.35"/>
    <row r="5866" x14ac:dyDescent="0.35"/>
    <row r="5867" x14ac:dyDescent="0.35"/>
    <row r="5868" x14ac:dyDescent="0.35"/>
    <row r="5869" x14ac:dyDescent="0.35"/>
    <row r="5870" x14ac:dyDescent="0.35"/>
    <row r="5871" x14ac:dyDescent="0.35"/>
    <row r="5872" x14ac:dyDescent="0.35"/>
    <row r="5873" x14ac:dyDescent="0.35"/>
    <row r="5874" x14ac:dyDescent="0.35"/>
    <row r="5875" x14ac:dyDescent="0.35"/>
    <row r="5876" x14ac:dyDescent="0.35"/>
    <row r="5877" x14ac:dyDescent="0.35"/>
    <row r="5878" x14ac:dyDescent="0.35"/>
    <row r="5879" x14ac:dyDescent="0.35"/>
    <row r="5880" x14ac:dyDescent="0.35"/>
    <row r="5881" x14ac:dyDescent="0.35"/>
    <row r="5882" x14ac:dyDescent="0.35"/>
    <row r="5883" x14ac:dyDescent="0.35"/>
    <row r="5884" x14ac:dyDescent="0.35"/>
    <row r="5885" x14ac:dyDescent="0.35"/>
    <row r="5886" x14ac:dyDescent="0.35"/>
    <row r="5887" x14ac:dyDescent="0.35"/>
    <row r="5888" x14ac:dyDescent="0.35"/>
    <row r="5889" x14ac:dyDescent="0.35"/>
    <row r="5890" x14ac:dyDescent="0.35"/>
    <row r="5891" x14ac:dyDescent="0.35"/>
    <row r="5892" x14ac:dyDescent="0.35"/>
    <row r="5893" x14ac:dyDescent="0.35"/>
    <row r="5894" x14ac:dyDescent="0.35"/>
    <row r="5895" x14ac:dyDescent="0.35"/>
    <row r="5896" x14ac:dyDescent="0.35"/>
    <row r="5897" x14ac:dyDescent="0.35"/>
    <row r="5898" x14ac:dyDescent="0.35"/>
    <row r="5899" x14ac:dyDescent="0.35"/>
    <row r="5900" x14ac:dyDescent="0.35"/>
    <row r="5901" x14ac:dyDescent="0.35"/>
    <row r="5902" x14ac:dyDescent="0.35"/>
    <row r="5903" x14ac:dyDescent="0.35"/>
    <row r="5904" x14ac:dyDescent="0.35"/>
    <row r="5905" x14ac:dyDescent="0.35"/>
    <row r="5906" x14ac:dyDescent="0.35"/>
    <row r="5907" x14ac:dyDescent="0.35"/>
    <row r="5908" x14ac:dyDescent="0.35"/>
    <row r="5909" x14ac:dyDescent="0.35"/>
    <row r="5910" x14ac:dyDescent="0.35"/>
    <row r="5911" x14ac:dyDescent="0.35"/>
    <row r="5912" x14ac:dyDescent="0.35"/>
    <row r="5913" x14ac:dyDescent="0.35"/>
    <row r="5914" x14ac:dyDescent="0.35"/>
    <row r="5915" x14ac:dyDescent="0.35"/>
    <row r="5916" x14ac:dyDescent="0.35"/>
    <row r="5917" x14ac:dyDescent="0.35"/>
    <row r="5918" x14ac:dyDescent="0.35"/>
    <row r="5919" x14ac:dyDescent="0.35"/>
    <row r="5920" x14ac:dyDescent="0.35"/>
    <row r="5921" x14ac:dyDescent="0.35"/>
    <row r="5922" x14ac:dyDescent="0.35"/>
    <row r="5923" x14ac:dyDescent="0.35"/>
    <row r="5924" x14ac:dyDescent="0.35"/>
    <row r="5925" x14ac:dyDescent="0.35"/>
    <row r="5926" x14ac:dyDescent="0.35"/>
    <row r="5927" x14ac:dyDescent="0.35"/>
    <row r="5928" x14ac:dyDescent="0.35"/>
    <row r="5929" x14ac:dyDescent="0.35"/>
    <row r="5930" x14ac:dyDescent="0.35"/>
    <row r="5931" x14ac:dyDescent="0.35"/>
    <row r="5932" x14ac:dyDescent="0.35"/>
    <row r="5933" x14ac:dyDescent="0.35"/>
    <row r="5934" x14ac:dyDescent="0.35"/>
    <row r="5935" x14ac:dyDescent="0.35"/>
    <row r="5936" x14ac:dyDescent="0.35"/>
    <row r="5937" x14ac:dyDescent="0.35"/>
    <row r="5938" x14ac:dyDescent="0.35"/>
    <row r="5939" x14ac:dyDescent="0.35"/>
    <row r="5940" x14ac:dyDescent="0.35"/>
    <row r="5941" x14ac:dyDescent="0.35"/>
    <row r="5942" x14ac:dyDescent="0.35"/>
    <row r="5943" x14ac:dyDescent="0.35"/>
    <row r="5944" x14ac:dyDescent="0.35"/>
    <row r="5945" x14ac:dyDescent="0.35"/>
    <row r="5946" x14ac:dyDescent="0.35"/>
    <row r="5947" x14ac:dyDescent="0.35"/>
    <row r="5948" x14ac:dyDescent="0.35"/>
    <row r="5949" x14ac:dyDescent="0.35"/>
    <row r="5950" x14ac:dyDescent="0.35"/>
    <row r="5951" x14ac:dyDescent="0.35"/>
    <row r="5952" x14ac:dyDescent="0.35"/>
    <row r="5953" x14ac:dyDescent="0.35"/>
    <row r="5954" x14ac:dyDescent="0.35"/>
    <row r="5955" x14ac:dyDescent="0.35"/>
    <row r="5956" x14ac:dyDescent="0.35"/>
    <row r="5957" x14ac:dyDescent="0.35"/>
    <row r="5958" x14ac:dyDescent="0.35"/>
    <row r="5959" x14ac:dyDescent="0.35"/>
    <row r="5960" x14ac:dyDescent="0.35"/>
    <row r="5961" x14ac:dyDescent="0.35"/>
    <row r="5962" x14ac:dyDescent="0.35"/>
    <row r="5963" x14ac:dyDescent="0.35"/>
    <row r="5964" x14ac:dyDescent="0.35"/>
    <row r="5965" x14ac:dyDescent="0.35"/>
    <row r="5966" x14ac:dyDescent="0.35"/>
    <row r="5967" x14ac:dyDescent="0.35"/>
    <row r="5968" x14ac:dyDescent="0.35"/>
    <row r="5969" x14ac:dyDescent="0.35"/>
    <row r="5970" x14ac:dyDescent="0.35"/>
    <row r="5971" x14ac:dyDescent="0.35"/>
    <row r="5972" x14ac:dyDescent="0.35"/>
    <row r="5973" x14ac:dyDescent="0.35"/>
    <row r="5974" x14ac:dyDescent="0.35"/>
    <row r="5975" x14ac:dyDescent="0.35"/>
    <row r="5976" x14ac:dyDescent="0.35"/>
    <row r="5977" x14ac:dyDescent="0.35"/>
    <row r="5978" x14ac:dyDescent="0.35"/>
    <row r="5979" x14ac:dyDescent="0.35"/>
    <row r="5980" x14ac:dyDescent="0.35"/>
    <row r="5981" x14ac:dyDescent="0.35"/>
    <row r="5982" x14ac:dyDescent="0.35"/>
    <row r="5983" x14ac:dyDescent="0.35"/>
    <row r="5984" x14ac:dyDescent="0.35"/>
    <row r="5985" x14ac:dyDescent="0.35"/>
    <row r="5986" x14ac:dyDescent="0.35"/>
    <row r="5987" x14ac:dyDescent="0.35"/>
    <row r="5988" x14ac:dyDescent="0.35"/>
    <row r="5989" x14ac:dyDescent="0.35"/>
    <row r="5990" x14ac:dyDescent="0.35"/>
    <row r="5991" x14ac:dyDescent="0.35"/>
    <row r="5992" x14ac:dyDescent="0.35"/>
    <row r="5993" x14ac:dyDescent="0.35"/>
    <row r="5994" x14ac:dyDescent="0.35"/>
    <row r="5995" x14ac:dyDescent="0.35"/>
    <row r="5996" x14ac:dyDescent="0.35"/>
    <row r="5997" x14ac:dyDescent="0.35"/>
    <row r="5998" x14ac:dyDescent="0.35"/>
    <row r="5999" x14ac:dyDescent="0.35"/>
    <row r="6000" x14ac:dyDescent="0.35"/>
    <row r="6001" x14ac:dyDescent="0.35"/>
    <row r="6002" x14ac:dyDescent="0.35"/>
    <row r="6003" x14ac:dyDescent="0.35"/>
    <row r="6004" x14ac:dyDescent="0.35"/>
    <row r="6005" x14ac:dyDescent="0.35"/>
    <row r="6006" x14ac:dyDescent="0.35"/>
    <row r="6007" x14ac:dyDescent="0.35"/>
    <row r="6008" x14ac:dyDescent="0.35"/>
    <row r="6009" x14ac:dyDescent="0.35"/>
    <row r="6010" x14ac:dyDescent="0.35"/>
    <row r="6011" x14ac:dyDescent="0.35"/>
    <row r="6012" x14ac:dyDescent="0.35"/>
    <row r="6013" x14ac:dyDescent="0.35"/>
    <row r="6014" x14ac:dyDescent="0.35"/>
    <row r="6015" x14ac:dyDescent="0.35"/>
    <row r="6016" x14ac:dyDescent="0.35"/>
    <row r="6017" x14ac:dyDescent="0.35"/>
    <row r="6018" x14ac:dyDescent="0.35"/>
    <row r="6019" x14ac:dyDescent="0.35"/>
    <row r="6020" x14ac:dyDescent="0.35"/>
    <row r="6021" x14ac:dyDescent="0.35"/>
    <row r="6022" x14ac:dyDescent="0.35"/>
    <row r="6023" x14ac:dyDescent="0.35"/>
    <row r="6024" x14ac:dyDescent="0.35"/>
    <row r="6025" x14ac:dyDescent="0.35"/>
    <row r="6026" x14ac:dyDescent="0.35"/>
    <row r="6027" x14ac:dyDescent="0.35"/>
    <row r="6028" x14ac:dyDescent="0.35"/>
    <row r="6029" x14ac:dyDescent="0.35"/>
    <row r="6030" x14ac:dyDescent="0.35"/>
    <row r="6031" x14ac:dyDescent="0.35"/>
    <row r="6032" x14ac:dyDescent="0.35"/>
    <row r="6033" x14ac:dyDescent="0.35"/>
    <row r="6034" x14ac:dyDescent="0.35"/>
    <row r="6035" x14ac:dyDescent="0.35"/>
    <row r="6036" x14ac:dyDescent="0.35"/>
    <row r="6037" x14ac:dyDescent="0.35"/>
    <row r="6038" x14ac:dyDescent="0.35"/>
    <row r="6039" x14ac:dyDescent="0.35"/>
    <row r="6040" x14ac:dyDescent="0.35"/>
    <row r="6041" x14ac:dyDescent="0.35"/>
    <row r="6042" x14ac:dyDescent="0.35"/>
    <row r="6043" x14ac:dyDescent="0.35"/>
    <row r="6044" x14ac:dyDescent="0.35"/>
    <row r="6045" x14ac:dyDescent="0.35"/>
    <row r="6046" x14ac:dyDescent="0.35"/>
    <row r="6047" x14ac:dyDescent="0.35"/>
    <row r="6048" x14ac:dyDescent="0.35"/>
    <row r="6049" x14ac:dyDescent="0.35"/>
    <row r="6050" x14ac:dyDescent="0.35"/>
    <row r="6051" x14ac:dyDescent="0.35"/>
    <row r="6052" x14ac:dyDescent="0.35"/>
    <row r="6053" x14ac:dyDescent="0.35"/>
    <row r="6054" x14ac:dyDescent="0.35"/>
    <row r="6055" x14ac:dyDescent="0.35"/>
    <row r="6056" x14ac:dyDescent="0.35"/>
    <row r="6057" x14ac:dyDescent="0.35"/>
    <row r="6058" x14ac:dyDescent="0.35"/>
    <row r="6059" x14ac:dyDescent="0.35"/>
    <row r="6060" x14ac:dyDescent="0.35"/>
    <row r="6061" x14ac:dyDescent="0.35"/>
    <row r="6062" x14ac:dyDescent="0.35"/>
    <row r="6063" x14ac:dyDescent="0.35"/>
    <row r="6064" x14ac:dyDescent="0.35"/>
    <row r="6065" x14ac:dyDescent="0.35"/>
    <row r="6066" x14ac:dyDescent="0.35"/>
    <row r="6067" x14ac:dyDescent="0.35"/>
    <row r="6068" x14ac:dyDescent="0.35"/>
    <row r="6069" x14ac:dyDescent="0.35"/>
    <row r="6070" x14ac:dyDescent="0.35"/>
    <row r="6071" x14ac:dyDescent="0.35"/>
    <row r="6072" x14ac:dyDescent="0.35"/>
    <row r="6073" x14ac:dyDescent="0.35"/>
    <row r="6074" x14ac:dyDescent="0.35"/>
    <row r="6075" x14ac:dyDescent="0.35"/>
    <row r="6076" x14ac:dyDescent="0.35"/>
    <row r="6077" x14ac:dyDescent="0.35"/>
    <row r="6078" x14ac:dyDescent="0.35"/>
    <row r="6079" x14ac:dyDescent="0.35"/>
    <row r="6080" x14ac:dyDescent="0.35"/>
    <row r="6081" x14ac:dyDescent="0.35"/>
    <row r="6082" x14ac:dyDescent="0.35"/>
    <row r="6083" x14ac:dyDescent="0.35"/>
    <row r="6084" x14ac:dyDescent="0.35"/>
    <row r="6085" x14ac:dyDescent="0.35"/>
    <row r="6086" x14ac:dyDescent="0.35"/>
    <row r="6087" x14ac:dyDescent="0.35"/>
    <row r="6088" x14ac:dyDescent="0.35"/>
    <row r="6089" x14ac:dyDescent="0.35"/>
    <row r="6090" x14ac:dyDescent="0.35"/>
    <row r="6091" x14ac:dyDescent="0.35"/>
    <row r="6092" x14ac:dyDescent="0.35"/>
    <row r="6093" x14ac:dyDescent="0.35"/>
    <row r="6094" x14ac:dyDescent="0.35"/>
    <row r="6095" x14ac:dyDescent="0.35"/>
    <row r="6096" x14ac:dyDescent="0.35"/>
    <row r="6097" x14ac:dyDescent="0.35"/>
    <row r="6098" x14ac:dyDescent="0.35"/>
    <row r="6099" x14ac:dyDescent="0.35"/>
    <row r="6100" x14ac:dyDescent="0.35"/>
    <row r="6101" x14ac:dyDescent="0.35"/>
    <row r="6102" x14ac:dyDescent="0.35"/>
    <row r="6103" x14ac:dyDescent="0.35"/>
    <row r="6104" x14ac:dyDescent="0.35"/>
    <row r="6105" x14ac:dyDescent="0.35"/>
    <row r="6106" x14ac:dyDescent="0.35"/>
    <row r="6107" x14ac:dyDescent="0.35"/>
    <row r="6108" x14ac:dyDescent="0.35"/>
    <row r="6109" x14ac:dyDescent="0.35"/>
    <row r="6110" x14ac:dyDescent="0.35"/>
    <row r="6111" x14ac:dyDescent="0.35"/>
    <row r="6112" x14ac:dyDescent="0.35"/>
    <row r="6113" x14ac:dyDescent="0.35"/>
    <row r="6114" x14ac:dyDescent="0.35"/>
    <row r="6115" x14ac:dyDescent="0.35"/>
    <row r="6116" x14ac:dyDescent="0.35"/>
    <row r="6117" x14ac:dyDescent="0.35"/>
    <row r="6118" x14ac:dyDescent="0.35"/>
    <row r="6119" x14ac:dyDescent="0.35"/>
    <row r="6120" x14ac:dyDescent="0.35"/>
    <row r="6121" x14ac:dyDescent="0.35"/>
    <row r="6122" x14ac:dyDescent="0.35"/>
    <row r="6123" x14ac:dyDescent="0.35"/>
    <row r="6124" x14ac:dyDescent="0.35"/>
    <row r="6125" x14ac:dyDescent="0.35"/>
    <row r="6126" x14ac:dyDescent="0.35"/>
    <row r="6127" x14ac:dyDescent="0.35"/>
    <row r="6128" x14ac:dyDescent="0.35"/>
    <row r="6129" x14ac:dyDescent="0.35"/>
    <row r="6130" x14ac:dyDescent="0.35"/>
    <row r="6131" x14ac:dyDescent="0.35"/>
    <row r="6132" x14ac:dyDescent="0.35"/>
    <row r="6133" x14ac:dyDescent="0.35"/>
    <row r="6134" x14ac:dyDescent="0.35"/>
    <row r="6135" x14ac:dyDescent="0.35"/>
    <row r="6136" x14ac:dyDescent="0.35"/>
    <row r="6137" x14ac:dyDescent="0.35"/>
    <row r="6138" x14ac:dyDescent="0.35"/>
    <row r="6139" x14ac:dyDescent="0.35"/>
    <row r="6140" x14ac:dyDescent="0.35"/>
    <row r="6141" x14ac:dyDescent="0.35"/>
    <row r="6142" x14ac:dyDescent="0.35"/>
    <row r="6143" x14ac:dyDescent="0.35"/>
    <row r="6144" x14ac:dyDescent="0.35"/>
    <row r="6145" x14ac:dyDescent="0.35"/>
    <row r="6146" x14ac:dyDescent="0.35"/>
    <row r="6147" x14ac:dyDescent="0.35"/>
    <row r="6148" x14ac:dyDescent="0.35"/>
    <row r="6149" x14ac:dyDescent="0.35"/>
    <row r="6150" x14ac:dyDescent="0.35"/>
    <row r="6151" x14ac:dyDescent="0.35"/>
    <row r="6152" x14ac:dyDescent="0.35"/>
    <row r="6153" x14ac:dyDescent="0.35"/>
    <row r="6154" x14ac:dyDescent="0.35"/>
    <row r="6155" x14ac:dyDescent="0.35"/>
    <row r="6156" x14ac:dyDescent="0.35"/>
    <row r="6157" x14ac:dyDescent="0.35"/>
    <row r="6158" x14ac:dyDescent="0.35"/>
    <row r="6159" x14ac:dyDescent="0.35"/>
    <row r="6160" x14ac:dyDescent="0.35"/>
    <row r="6161" x14ac:dyDescent="0.35"/>
    <row r="6162" x14ac:dyDescent="0.35"/>
    <row r="6163" x14ac:dyDescent="0.35"/>
    <row r="6164" x14ac:dyDescent="0.35"/>
    <row r="6165" x14ac:dyDescent="0.35"/>
    <row r="6166" x14ac:dyDescent="0.35"/>
    <row r="6167" x14ac:dyDescent="0.35"/>
    <row r="6168" x14ac:dyDescent="0.35"/>
    <row r="6169" x14ac:dyDescent="0.35"/>
    <row r="6170" x14ac:dyDescent="0.35"/>
    <row r="6171" x14ac:dyDescent="0.35"/>
    <row r="6172" x14ac:dyDescent="0.35"/>
    <row r="6173" x14ac:dyDescent="0.35"/>
    <row r="6174" x14ac:dyDescent="0.35"/>
    <row r="6175" x14ac:dyDescent="0.35"/>
    <row r="6176" x14ac:dyDescent="0.35"/>
    <row r="6177" x14ac:dyDescent="0.35"/>
    <row r="6178" x14ac:dyDescent="0.35"/>
    <row r="6179" x14ac:dyDescent="0.35"/>
    <row r="6180" x14ac:dyDescent="0.35"/>
    <row r="6181" x14ac:dyDescent="0.35"/>
    <row r="6182" x14ac:dyDescent="0.35"/>
    <row r="6183" x14ac:dyDescent="0.35"/>
    <row r="6184" x14ac:dyDescent="0.35"/>
    <row r="6185" x14ac:dyDescent="0.35"/>
    <row r="6186" x14ac:dyDescent="0.35"/>
    <row r="6187" x14ac:dyDescent="0.35"/>
    <row r="6188" x14ac:dyDescent="0.35"/>
    <row r="6189" x14ac:dyDescent="0.35"/>
    <row r="6190" x14ac:dyDescent="0.35"/>
    <row r="6191" x14ac:dyDescent="0.35"/>
    <row r="6192" x14ac:dyDescent="0.35"/>
    <row r="6193" x14ac:dyDescent="0.35"/>
    <row r="6194" x14ac:dyDescent="0.35"/>
    <row r="6195" x14ac:dyDescent="0.35"/>
    <row r="6196" x14ac:dyDescent="0.35"/>
    <row r="6197" x14ac:dyDescent="0.35"/>
    <row r="6198" x14ac:dyDescent="0.35"/>
    <row r="6199" x14ac:dyDescent="0.35"/>
    <row r="6200" x14ac:dyDescent="0.35"/>
    <row r="6201" x14ac:dyDescent="0.35"/>
    <row r="6202" x14ac:dyDescent="0.35"/>
    <row r="6203" x14ac:dyDescent="0.35"/>
    <row r="6204" x14ac:dyDescent="0.35"/>
    <row r="6205" x14ac:dyDescent="0.35"/>
    <row r="6206" x14ac:dyDescent="0.35"/>
    <row r="6207" x14ac:dyDescent="0.35"/>
    <row r="6208" x14ac:dyDescent="0.35"/>
    <row r="6209" x14ac:dyDescent="0.35"/>
    <row r="6210" x14ac:dyDescent="0.35"/>
    <row r="6211" x14ac:dyDescent="0.35"/>
    <row r="6212" x14ac:dyDescent="0.35"/>
    <row r="6213" x14ac:dyDescent="0.35"/>
    <row r="6214" x14ac:dyDescent="0.35"/>
    <row r="6215" x14ac:dyDescent="0.35"/>
    <row r="6216" x14ac:dyDescent="0.35"/>
    <row r="6217" x14ac:dyDescent="0.35"/>
    <row r="6218" x14ac:dyDescent="0.35"/>
    <row r="6219" x14ac:dyDescent="0.35"/>
    <row r="6220" x14ac:dyDescent="0.35"/>
    <row r="6221" x14ac:dyDescent="0.35"/>
    <row r="6222" x14ac:dyDescent="0.35"/>
    <row r="6223" x14ac:dyDescent="0.35"/>
    <row r="6224" x14ac:dyDescent="0.35"/>
    <row r="6225" x14ac:dyDescent="0.35"/>
    <row r="6226" x14ac:dyDescent="0.35"/>
    <row r="6227" x14ac:dyDescent="0.35"/>
    <row r="6228" x14ac:dyDescent="0.35"/>
    <row r="6229" x14ac:dyDescent="0.35"/>
    <row r="6230" x14ac:dyDescent="0.35"/>
    <row r="6231" x14ac:dyDescent="0.35"/>
    <row r="6232" x14ac:dyDescent="0.35"/>
    <row r="6233" x14ac:dyDescent="0.35"/>
    <row r="6234" x14ac:dyDescent="0.35"/>
    <row r="6235" x14ac:dyDescent="0.35"/>
    <row r="6236" x14ac:dyDescent="0.35"/>
    <row r="6237" x14ac:dyDescent="0.35"/>
    <row r="6238" x14ac:dyDescent="0.35"/>
    <row r="6239" x14ac:dyDescent="0.35"/>
    <row r="6240" x14ac:dyDescent="0.35"/>
    <row r="6241" x14ac:dyDescent="0.35"/>
    <row r="6242" x14ac:dyDescent="0.35"/>
    <row r="6243" x14ac:dyDescent="0.35"/>
    <row r="6244" x14ac:dyDescent="0.35"/>
    <row r="6245" x14ac:dyDescent="0.35"/>
    <row r="6246" x14ac:dyDescent="0.35"/>
    <row r="6247" x14ac:dyDescent="0.35"/>
    <row r="6248" x14ac:dyDescent="0.35"/>
    <row r="6249" x14ac:dyDescent="0.35"/>
    <row r="6250" x14ac:dyDescent="0.35"/>
    <row r="6251" x14ac:dyDescent="0.35"/>
    <row r="6252" x14ac:dyDescent="0.35"/>
    <row r="6253" x14ac:dyDescent="0.35"/>
    <row r="6254" x14ac:dyDescent="0.35"/>
    <row r="6255" x14ac:dyDescent="0.35"/>
    <row r="6256" x14ac:dyDescent="0.35"/>
    <row r="6257" x14ac:dyDescent="0.35"/>
    <row r="6258" x14ac:dyDescent="0.35"/>
    <row r="6259" x14ac:dyDescent="0.35"/>
    <row r="6260" x14ac:dyDescent="0.35"/>
    <row r="6261" x14ac:dyDescent="0.35"/>
    <row r="6262" x14ac:dyDescent="0.35"/>
    <row r="6263" x14ac:dyDescent="0.35"/>
    <row r="6264" x14ac:dyDescent="0.35"/>
    <row r="6265" x14ac:dyDescent="0.35"/>
    <row r="6266" x14ac:dyDescent="0.35"/>
    <row r="6267" x14ac:dyDescent="0.35"/>
    <row r="6268" x14ac:dyDescent="0.35"/>
    <row r="6269" x14ac:dyDescent="0.35"/>
    <row r="6270" x14ac:dyDescent="0.35"/>
    <row r="6271" x14ac:dyDescent="0.35"/>
    <row r="6272" x14ac:dyDescent="0.35"/>
    <row r="6273" x14ac:dyDescent="0.35"/>
    <row r="6274" x14ac:dyDescent="0.35"/>
    <row r="6275" x14ac:dyDescent="0.35"/>
    <row r="6276" x14ac:dyDescent="0.35"/>
    <row r="6277" x14ac:dyDescent="0.35"/>
    <row r="6278" x14ac:dyDescent="0.35"/>
    <row r="6279" x14ac:dyDescent="0.35"/>
    <row r="6280" x14ac:dyDescent="0.35"/>
    <row r="6281" x14ac:dyDescent="0.35"/>
    <row r="6282" x14ac:dyDescent="0.35"/>
    <row r="6283" x14ac:dyDescent="0.35"/>
    <row r="6284" x14ac:dyDescent="0.35"/>
    <row r="6285" x14ac:dyDescent="0.35"/>
    <row r="6286" x14ac:dyDescent="0.35"/>
    <row r="6287" x14ac:dyDescent="0.35"/>
    <row r="6288" x14ac:dyDescent="0.35"/>
    <row r="6289" x14ac:dyDescent="0.35"/>
    <row r="6290" x14ac:dyDescent="0.35"/>
    <row r="6291" x14ac:dyDescent="0.35"/>
    <row r="6292" x14ac:dyDescent="0.35"/>
    <row r="6293" x14ac:dyDescent="0.35"/>
    <row r="6294" x14ac:dyDescent="0.35"/>
    <row r="6295" x14ac:dyDescent="0.35"/>
    <row r="6296" x14ac:dyDescent="0.35"/>
    <row r="6297" x14ac:dyDescent="0.35"/>
    <row r="6298" x14ac:dyDescent="0.35"/>
    <row r="6299" x14ac:dyDescent="0.35"/>
    <row r="6300" x14ac:dyDescent="0.35"/>
    <row r="6301" x14ac:dyDescent="0.35"/>
    <row r="6302" x14ac:dyDescent="0.35"/>
    <row r="6303" x14ac:dyDescent="0.35"/>
    <row r="6304" x14ac:dyDescent="0.35"/>
    <row r="6305" x14ac:dyDescent="0.35"/>
    <row r="6306" x14ac:dyDescent="0.35"/>
    <row r="6307" x14ac:dyDescent="0.35"/>
    <row r="6308" x14ac:dyDescent="0.35"/>
    <row r="6309" x14ac:dyDescent="0.35"/>
    <row r="6310" x14ac:dyDescent="0.35"/>
    <row r="6311" x14ac:dyDescent="0.35"/>
    <row r="6312" x14ac:dyDescent="0.35"/>
    <row r="6313" x14ac:dyDescent="0.35"/>
    <row r="6314" x14ac:dyDescent="0.35"/>
    <row r="6315" x14ac:dyDescent="0.35"/>
    <row r="6316" x14ac:dyDescent="0.35"/>
    <row r="6317" x14ac:dyDescent="0.35"/>
    <row r="6318" x14ac:dyDescent="0.35"/>
    <row r="6319" x14ac:dyDescent="0.35"/>
    <row r="6320" x14ac:dyDescent="0.35"/>
    <row r="6321" x14ac:dyDescent="0.35"/>
    <row r="6322" x14ac:dyDescent="0.35"/>
    <row r="6323" x14ac:dyDescent="0.35"/>
    <row r="6324" x14ac:dyDescent="0.35"/>
    <row r="6325" x14ac:dyDescent="0.35"/>
    <row r="6326" x14ac:dyDescent="0.35"/>
    <row r="6327" x14ac:dyDescent="0.35"/>
    <row r="6328" x14ac:dyDescent="0.35"/>
    <row r="6329" x14ac:dyDescent="0.35"/>
    <row r="6330" x14ac:dyDescent="0.35"/>
    <row r="6331" x14ac:dyDescent="0.35"/>
    <row r="6332" x14ac:dyDescent="0.35"/>
    <row r="6333" x14ac:dyDescent="0.35"/>
    <row r="6334" x14ac:dyDescent="0.35"/>
    <row r="6335" x14ac:dyDescent="0.35"/>
    <row r="6336" x14ac:dyDescent="0.35"/>
    <row r="6337" x14ac:dyDescent="0.35"/>
    <row r="6338" x14ac:dyDescent="0.35"/>
    <row r="6339" x14ac:dyDescent="0.35"/>
    <row r="6340" x14ac:dyDescent="0.35"/>
    <row r="6341" x14ac:dyDescent="0.35"/>
    <row r="6342" x14ac:dyDescent="0.35"/>
    <row r="6343" x14ac:dyDescent="0.35"/>
    <row r="6344" x14ac:dyDescent="0.35"/>
    <row r="6345" x14ac:dyDescent="0.35"/>
    <row r="6346" x14ac:dyDescent="0.35"/>
    <row r="6347" x14ac:dyDescent="0.35"/>
    <row r="6348" x14ac:dyDescent="0.35"/>
    <row r="6349" x14ac:dyDescent="0.35"/>
    <row r="6350" x14ac:dyDescent="0.35"/>
    <row r="6351" x14ac:dyDescent="0.35"/>
    <row r="6352" x14ac:dyDescent="0.35"/>
    <row r="6353" x14ac:dyDescent="0.35"/>
    <row r="6354" x14ac:dyDescent="0.35"/>
    <row r="6355" x14ac:dyDescent="0.35"/>
    <row r="6356" x14ac:dyDescent="0.35"/>
    <row r="6357" x14ac:dyDescent="0.35"/>
    <row r="6358" x14ac:dyDescent="0.35"/>
    <row r="6359" x14ac:dyDescent="0.35"/>
    <row r="6360" x14ac:dyDescent="0.35"/>
    <row r="6361" x14ac:dyDescent="0.35"/>
    <row r="6362" x14ac:dyDescent="0.35"/>
    <row r="6363" x14ac:dyDescent="0.35"/>
    <row r="6364" x14ac:dyDescent="0.35"/>
    <row r="6365" x14ac:dyDescent="0.35"/>
    <row r="6366" x14ac:dyDescent="0.35"/>
    <row r="6367" x14ac:dyDescent="0.35"/>
    <row r="6368" x14ac:dyDescent="0.35"/>
    <row r="6369" x14ac:dyDescent="0.35"/>
    <row r="6370" x14ac:dyDescent="0.35"/>
    <row r="6371" x14ac:dyDescent="0.35"/>
    <row r="6372" x14ac:dyDescent="0.35"/>
    <row r="6373" x14ac:dyDescent="0.35"/>
    <row r="6374" x14ac:dyDescent="0.35"/>
    <row r="6375" x14ac:dyDescent="0.35"/>
    <row r="6376" x14ac:dyDescent="0.35"/>
    <row r="6377" x14ac:dyDescent="0.35"/>
    <row r="6378" x14ac:dyDescent="0.35"/>
    <row r="6379" x14ac:dyDescent="0.35"/>
    <row r="6380" x14ac:dyDescent="0.35"/>
    <row r="6381" x14ac:dyDescent="0.35"/>
    <row r="6382" x14ac:dyDescent="0.35"/>
    <row r="6383" x14ac:dyDescent="0.35"/>
    <row r="6384" x14ac:dyDescent="0.35"/>
    <row r="6385" x14ac:dyDescent="0.35"/>
    <row r="6386" x14ac:dyDescent="0.35"/>
    <row r="6387" x14ac:dyDescent="0.35"/>
    <row r="6388" x14ac:dyDescent="0.35"/>
    <row r="6389" x14ac:dyDescent="0.35"/>
    <row r="6390" x14ac:dyDescent="0.35"/>
    <row r="6391" x14ac:dyDescent="0.35"/>
    <row r="6392" x14ac:dyDescent="0.35"/>
    <row r="6393" x14ac:dyDescent="0.35"/>
    <row r="6394" x14ac:dyDescent="0.35"/>
    <row r="6395" x14ac:dyDescent="0.35"/>
    <row r="6396" x14ac:dyDescent="0.35"/>
    <row r="6397" x14ac:dyDescent="0.35"/>
    <row r="6398" x14ac:dyDescent="0.35"/>
    <row r="6399" x14ac:dyDescent="0.35"/>
    <row r="6400" x14ac:dyDescent="0.35"/>
    <row r="6401" x14ac:dyDescent="0.35"/>
    <row r="6402" x14ac:dyDescent="0.35"/>
    <row r="6403" x14ac:dyDescent="0.35"/>
    <row r="6404" x14ac:dyDescent="0.35"/>
    <row r="6405" x14ac:dyDescent="0.35"/>
    <row r="6406" x14ac:dyDescent="0.35"/>
    <row r="6407" x14ac:dyDescent="0.35"/>
    <row r="6408" x14ac:dyDescent="0.35"/>
    <row r="6409" x14ac:dyDescent="0.35"/>
    <row r="6410" x14ac:dyDescent="0.35"/>
    <row r="6411" x14ac:dyDescent="0.35"/>
    <row r="6412" x14ac:dyDescent="0.35"/>
    <row r="6413" x14ac:dyDescent="0.35"/>
    <row r="6414" x14ac:dyDescent="0.35"/>
    <row r="6415" x14ac:dyDescent="0.35"/>
    <row r="6416" x14ac:dyDescent="0.35"/>
    <row r="6417" x14ac:dyDescent="0.35"/>
    <row r="6418" x14ac:dyDescent="0.35"/>
    <row r="6419" x14ac:dyDescent="0.35"/>
    <row r="6420" x14ac:dyDescent="0.35"/>
    <row r="6421" x14ac:dyDescent="0.35"/>
    <row r="6422" x14ac:dyDescent="0.35"/>
    <row r="6423" x14ac:dyDescent="0.35"/>
    <row r="6424" x14ac:dyDescent="0.35"/>
    <row r="6425" x14ac:dyDescent="0.35"/>
    <row r="6426" x14ac:dyDescent="0.35"/>
    <row r="6427" x14ac:dyDescent="0.35"/>
    <row r="6428" x14ac:dyDescent="0.35"/>
    <row r="6429" x14ac:dyDescent="0.35"/>
    <row r="6430" x14ac:dyDescent="0.35"/>
    <row r="6431" x14ac:dyDescent="0.35"/>
    <row r="6432" x14ac:dyDescent="0.35"/>
    <row r="6433" x14ac:dyDescent="0.35"/>
    <row r="6434" x14ac:dyDescent="0.35"/>
    <row r="6435" x14ac:dyDescent="0.35"/>
    <row r="6436" x14ac:dyDescent="0.35"/>
    <row r="6437" x14ac:dyDescent="0.35"/>
    <row r="6438" x14ac:dyDescent="0.35"/>
    <row r="6439" x14ac:dyDescent="0.35"/>
    <row r="6440" x14ac:dyDescent="0.35"/>
    <row r="6441" x14ac:dyDescent="0.35"/>
    <row r="6442" x14ac:dyDescent="0.35"/>
    <row r="6443" x14ac:dyDescent="0.35"/>
    <row r="6444" x14ac:dyDescent="0.35"/>
    <row r="6445" x14ac:dyDescent="0.35"/>
    <row r="6446" x14ac:dyDescent="0.35"/>
    <row r="6447" x14ac:dyDescent="0.35"/>
    <row r="6448" x14ac:dyDescent="0.35"/>
    <row r="6449" x14ac:dyDescent="0.35"/>
    <row r="6450" x14ac:dyDescent="0.35"/>
    <row r="6451" x14ac:dyDescent="0.35"/>
    <row r="6452" x14ac:dyDescent="0.35"/>
    <row r="6453" x14ac:dyDescent="0.35"/>
    <row r="6454" x14ac:dyDescent="0.35"/>
    <row r="6455" x14ac:dyDescent="0.35"/>
    <row r="6456" x14ac:dyDescent="0.35"/>
    <row r="6457" x14ac:dyDescent="0.35"/>
    <row r="6458" x14ac:dyDescent="0.35"/>
    <row r="6459" x14ac:dyDescent="0.35"/>
    <row r="6460" x14ac:dyDescent="0.35"/>
    <row r="6461" x14ac:dyDescent="0.35"/>
    <row r="6462" x14ac:dyDescent="0.35"/>
    <row r="6463" x14ac:dyDescent="0.35"/>
    <row r="6464" x14ac:dyDescent="0.35"/>
    <row r="6465" x14ac:dyDescent="0.35"/>
    <row r="6466" x14ac:dyDescent="0.35"/>
    <row r="6467" x14ac:dyDescent="0.35"/>
    <row r="6468" x14ac:dyDescent="0.35"/>
    <row r="6469" x14ac:dyDescent="0.35"/>
    <row r="6470" x14ac:dyDescent="0.35"/>
    <row r="6471" x14ac:dyDescent="0.35"/>
    <row r="6472" x14ac:dyDescent="0.35"/>
    <row r="6473" x14ac:dyDescent="0.35"/>
    <row r="6474" x14ac:dyDescent="0.35"/>
    <row r="6475" x14ac:dyDescent="0.35"/>
    <row r="6476" x14ac:dyDescent="0.35"/>
    <row r="6477" x14ac:dyDescent="0.35"/>
    <row r="6478" x14ac:dyDescent="0.35"/>
    <row r="6479" x14ac:dyDescent="0.35"/>
    <row r="6480" x14ac:dyDescent="0.35"/>
    <row r="6481" x14ac:dyDescent="0.35"/>
    <row r="6482" x14ac:dyDescent="0.35"/>
    <row r="6483" x14ac:dyDescent="0.35"/>
    <row r="6484" x14ac:dyDescent="0.35"/>
    <row r="6485" x14ac:dyDescent="0.35"/>
    <row r="6486" x14ac:dyDescent="0.35"/>
    <row r="6487" x14ac:dyDescent="0.35"/>
    <row r="6488" x14ac:dyDescent="0.35"/>
    <row r="6489" x14ac:dyDescent="0.35"/>
    <row r="6490" x14ac:dyDescent="0.35"/>
    <row r="6491" x14ac:dyDescent="0.35"/>
    <row r="6492" x14ac:dyDescent="0.35"/>
    <row r="6493" x14ac:dyDescent="0.35"/>
    <row r="6494" x14ac:dyDescent="0.35"/>
    <row r="6495" x14ac:dyDescent="0.35"/>
    <row r="6496" x14ac:dyDescent="0.35"/>
    <row r="6497" x14ac:dyDescent="0.35"/>
    <row r="6498" x14ac:dyDescent="0.35"/>
    <row r="6499" x14ac:dyDescent="0.35"/>
    <row r="6500" x14ac:dyDescent="0.35"/>
    <row r="6501" x14ac:dyDescent="0.35"/>
    <row r="6502" x14ac:dyDescent="0.35"/>
    <row r="6503" x14ac:dyDescent="0.35"/>
    <row r="6504" x14ac:dyDescent="0.35"/>
    <row r="6505" x14ac:dyDescent="0.35"/>
    <row r="6506" x14ac:dyDescent="0.35"/>
    <row r="6507" x14ac:dyDescent="0.35"/>
    <row r="6508" x14ac:dyDescent="0.35"/>
    <row r="6509" x14ac:dyDescent="0.35"/>
    <row r="6510" x14ac:dyDescent="0.35"/>
    <row r="6511" x14ac:dyDescent="0.35"/>
    <row r="6512" x14ac:dyDescent="0.35"/>
    <row r="6513" x14ac:dyDescent="0.35"/>
    <row r="6514" x14ac:dyDescent="0.35"/>
    <row r="6515" x14ac:dyDescent="0.35"/>
    <row r="6516" x14ac:dyDescent="0.35"/>
    <row r="6517" x14ac:dyDescent="0.35"/>
    <row r="6518" x14ac:dyDescent="0.35"/>
    <row r="6519" x14ac:dyDescent="0.35"/>
    <row r="6520" x14ac:dyDescent="0.35"/>
    <row r="6521" x14ac:dyDescent="0.35"/>
    <row r="6522" x14ac:dyDescent="0.35"/>
    <row r="6523" x14ac:dyDescent="0.35"/>
    <row r="6524" x14ac:dyDescent="0.35"/>
    <row r="6525" x14ac:dyDescent="0.35"/>
    <row r="6526" x14ac:dyDescent="0.35"/>
    <row r="6527" x14ac:dyDescent="0.35"/>
    <row r="6528" x14ac:dyDescent="0.35"/>
    <row r="6529" x14ac:dyDescent="0.35"/>
    <row r="6530" x14ac:dyDescent="0.35"/>
    <row r="6531" x14ac:dyDescent="0.35"/>
    <row r="6532" x14ac:dyDescent="0.35"/>
    <row r="6533" x14ac:dyDescent="0.35"/>
    <row r="6534" x14ac:dyDescent="0.35"/>
    <row r="6535" x14ac:dyDescent="0.35"/>
    <row r="6536" x14ac:dyDescent="0.35"/>
    <row r="6537" x14ac:dyDescent="0.35"/>
    <row r="6538" x14ac:dyDescent="0.35"/>
    <row r="6539" x14ac:dyDescent="0.35"/>
    <row r="6540" x14ac:dyDescent="0.35"/>
    <row r="6541" x14ac:dyDescent="0.35"/>
    <row r="6542" x14ac:dyDescent="0.35"/>
    <row r="6543" x14ac:dyDescent="0.35"/>
    <row r="6544" x14ac:dyDescent="0.35"/>
    <row r="6545" x14ac:dyDescent="0.35"/>
    <row r="6546" x14ac:dyDescent="0.35"/>
    <row r="6547" x14ac:dyDescent="0.35"/>
    <row r="6548" x14ac:dyDescent="0.35"/>
    <row r="6549" x14ac:dyDescent="0.35"/>
    <row r="6550" x14ac:dyDescent="0.35"/>
    <row r="6551" x14ac:dyDescent="0.35"/>
    <row r="6552" x14ac:dyDescent="0.35"/>
    <row r="6553" x14ac:dyDescent="0.35"/>
    <row r="6554" x14ac:dyDescent="0.35"/>
    <row r="6555" x14ac:dyDescent="0.35"/>
    <row r="6556" x14ac:dyDescent="0.35"/>
    <row r="6557" x14ac:dyDescent="0.35"/>
    <row r="6558" x14ac:dyDescent="0.35"/>
    <row r="6559" x14ac:dyDescent="0.35"/>
    <row r="6560" x14ac:dyDescent="0.35"/>
    <row r="6561" x14ac:dyDescent="0.35"/>
    <row r="6562" x14ac:dyDescent="0.35"/>
    <row r="6563" x14ac:dyDescent="0.35"/>
    <row r="6564" x14ac:dyDescent="0.35"/>
    <row r="6565" x14ac:dyDescent="0.35"/>
    <row r="6566" x14ac:dyDescent="0.35"/>
    <row r="6567" x14ac:dyDescent="0.35"/>
    <row r="6568" x14ac:dyDescent="0.35"/>
    <row r="6569" x14ac:dyDescent="0.35"/>
    <row r="6570" x14ac:dyDescent="0.35"/>
    <row r="6571" x14ac:dyDescent="0.35"/>
    <row r="6572" x14ac:dyDescent="0.35"/>
    <row r="6573" x14ac:dyDescent="0.35"/>
    <row r="6574" x14ac:dyDescent="0.35"/>
    <row r="6575" x14ac:dyDescent="0.35"/>
    <row r="6576" x14ac:dyDescent="0.35"/>
    <row r="6577" x14ac:dyDescent="0.35"/>
    <row r="6578" x14ac:dyDescent="0.35"/>
    <row r="6579" x14ac:dyDescent="0.35"/>
    <row r="6580" x14ac:dyDescent="0.35"/>
    <row r="6581" x14ac:dyDescent="0.35"/>
    <row r="6582" x14ac:dyDescent="0.35"/>
    <row r="6583" x14ac:dyDescent="0.35"/>
    <row r="6584" x14ac:dyDescent="0.35"/>
    <row r="6585" x14ac:dyDescent="0.35"/>
    <row r="6586" x14ac:dyDescent="0.35"/>
    <row r="6587" x14ac:dyDescent="0.35"/>
    <row r="6588" x14ac:dyDescent="0.35"/>
    <row r="6589" x14ac:dyDescent="0.35"/>
    <row r="6590" x14ac:dyDescent="0.35"/>
    <row r="6591" x14ac:dyDescent="0.35"/>
    <row r="6592" x14ac:dyDescent="0.35"/>
    <row r="6593" x14ac:dyDescent="0.35"/>
    <row r="6594" x14ac:dyDescent="0.35"/>
    <row r="6595" x14ac:dyDescent="0.35"/>
    <row r="6596" x14ac:dyDescent="0.35"/>
    <row r="6597" x14ac:dyDescent="0.35"/>
    <row r="6598" x14ac:dyDescent="0.35"/>
    <row r="6599" x14ac:dyDescent="0.35"/>
    <row r="6600" x14ac:dyDescent="0.35"/>
    <row r="6601" x14ac:dyDescent="0.35"/>
    <row r="6602" x14ac:dyDescent="0.35"/>
    <row r="6603" x14ac:dyDescent="0.35"/>
    <row r="6604" x14ac:dyDescent="0.35"/>
    <row r="6605" x14ac:dyDescent="0.35"/>
    <row r="6606" x14ac:dyDescent="0.35"/>
    <row r="6607" x14ac:dyDescent="0.35"/>
    <row r="6608" x14ac:dyDescent="0.35"/>
    <row r="6609" x14ac:dyDescent="0.35"/>
    <row r="6610" x14ac:dyDescent="0.35"/>
    <row r="6611" x14ac:dyDescent="0.35"/>
    <row r="6612" x14ac:dyDescent="0.35"/>
    <row r="6613" x14ac:dyDescent="0.35"/>
    <row r="6614" x14ac:dyDescent="0.35"/>
    <row r="6615" x14ac:dyDescent="0.35"/>
    <row r="6616" x14ac:dyDescent="0.35"/>
    <row r="6617" x14ac:dyDescent="0.35"/>
    <row r="6618" x14ac:dyDescent="0.35"/>
    <row r="6619" x14ac:dyDescent="0.35"/>
    <row r="6620" x14ac:dyDescent="0.35"/>
    <row r="6621" x14ac:dyDescent="0.35"/>
    <row r="6622" x14ac:dyDescent="0.35"/>
    <row r="6623" x14ac:dyDescent="0.35"/>
    <row r="6624" x14ac:dyDescent="0.35"/>
    <row r="6625" x14ac:dyDescent="0.35"/>
    <row r="6626" x14ac:dyDescent="0.35"/>
    <row r="6627" x14ac:dyDescent="0.35"/>
    <row r="6628" x14ac:dyDescent="0.35"/>
    <row r="6629" x14ac:dyDescent="0.35"/>
    <row r="6630" x14ac:dyDescent="0.35"/>
    <row r="6631" x14ac:dyDescent="0.35"/>
    <row r="6632" x14ac:dyDescent="0.35"/>
    <row r="6633" x14ac:dyDescent="0.35"/>
    <row r="6634" x14ac:dyDescent="0.35"/>
    <row r="6635" x14ac:dyDescent="0.35"/>
    <row r="6636" x14ac:dyDescent="0.35"/>
    <row r="6637" x14ac:dyDescent="0.35"/>
    <row r="6638" x14ac:dyDescent="0.35"/>
    <row r="6639" x14ac:dyDescent="0.35"/>
    <row r="6640" x14ac:dyDescent="0.35"/>
    <row r="6641" x14ac:dyDescent="0.35"/>
    <row r="6642" x14ac:dyDescent="0.35"/>
    <row r="6643" x14ac:dyDescent="0.35"/>
    <row r="6644" x14ac:dyDescent="0.35"/>
    <row r="6645" x14ac:dyDescent="0.35"/>
    <row r="6646" x14ac:dyDescent="0.35"/>
    <row r="6647" x14ac:dyDescent="0.35"/>
    <row r="6648" x14ac:dyDescent="0.35"/>
    <row r="6649" x14ac:dyDescent="0.35"/>
    <row r="6650" x14ac:dyDescent="0.35"/>
    <row r="6651" x14ac:dyDescent="0.35"/>
    <row r="6652" x14ac:dyDescent="0.35"/>
    <row r="6653" x14ac:dyDescent="0.35"/>
    <row r="6654" x14ac:dyDescent="0.35"/>
    <row r="6655" x14ac:dyDescent="0.35"/>
    <row r="6656" x14ac:dyDescent="0.35"/>
    <row r="6657" x14ac:dyDescent="0.35"/>
    <row r="6658" x14ac:dyDescent="0.35"/>
    <row r="6659" x14ac:dyDescent="0.35"/>
    <row r="6660" x14ac:dyDescent="0.35"/>
    <row r="6661" x14ac:dyDescent="0.35"/>
    <row r="6662" x14ac:dyDescent="0.35"/>
    <row r="6663" x14ac:dyDescent="0.35"/>
    <row r="6664" x14ac:dyDescent="0.35"/>
    <row r="6665" x14ac:dyDescent="0.35"/>
    <row r="6666" x14ac:dyDescent="0.35"/>
    <row r="6667" x14ac:dyDescent="0.35"/>
    <row r="6668" x14ac:dyDescent="0.35"/>
    <row r="6669" x14ac:dyDescent="0.35"/>
    <row r="6670" x14ac:dyDescent="0.35"/>
    <row r="6671" x14ac:dyDescent="0.35"/>
    <row r="6672" x14ac:dyDescent="0.35"/>
    <row r="6673" x14ac:dyDescent="0.35"/>
    <row r="6674" x14ac:dyDescent="0.35"/>
    <row r="6675" x14ac:dyDescent="0.35"/>
    <row r="6676" x14ac:dyDescent="0.35"/>
    <row r="6677" x14ac:dyDescent="0.35"/>
    <row r="6678" x14ac:dyDescent="0.35"/>
    <row r="6679" x14ac:dyDescent="0.35"/>
    <row r="6680" x14ac:dyDescent="0.35"/>
    <row r="6681" x14ac:dyDescent="0.35"/>
    <row r="6682" x14ac:dyDescent="0.35"/>
    <row r="6683" x14ac:dyDescent="0.35"/>
    <row r="6684" x14ac:dyDescent="0.35"/>
    <row r="6685" x14ac:dyDescent="0.35"/>
    <row r="6686" x14ac:dyDescent="0.35"/>
    <row r="6687" x14ac:dyDescent="0.35"/>
    <row r="6688" x14ac:dyDescent="0.35"/>
    <row r="6689" x14ac:dyDescent="0.35"/>
    <row r="6690" x14ac:dyDescent="0.35"/>
    <row r="6691" x14ac:dyDescent="0.35"/>
    <row r="6692" x14ac:dyDescent="0.35"/>
    <row r="6693" x14ac:dyDescent="0.35"/>
    <row r="6694" x14ac:dyDescent="0.35"/>
    <row r="6695" x14ac:dyDescent="0.35"/>
    <row r="6696" x14ac:dyDescent="0.35"/>
    <row r="6697" x14ac:dyDescent="0.35"/>
    <row r="6698" x14ac:dyDescent="0.35"/>
    <row r="6699" x14ac:dyDescent="0.35"/>
    <row r="6700" x14ac:dyDescent="0.35"/>
    <row r="6701" x14ac:dyDescent="0.35"/>
    <row r="6702" x14ac:dyDescent="0.35"/>
    <row r="6703" x14ac:dyDescent="0.35"/>
    <row r="6704" x14ac:dyDescent="0.35"/>
    <row r="6705" x14ac:dyDescent="0.35"/>
    <row r="6706" x14ac:dyDescent="0.35"/>
    <row r="6707" x14ac:dyDescent="0.35"/>
    <row r="6708" x14ac:dyDescent="0.35"/>
    <row r="6709" x14ac:dyDescent="0.35"/>
    <row r="6710" x14ac:dyDescent="0.35"/>
    <row r="6711" x14ac:dyDescent="0.35"/>
    <row r="6712" x14ac:dyDescent="0.35"/>
    <row r="6713" x14ac:dyDescent="0.35"/>
    <row r="6714" x14ac:dyDescent="0.35"/>
    <row r="6715" x14ac:dyDescent="0.35"/>
    <row r="6716" x14ac:dyDescent="0.35"/>
    <row r="6717" x14ac:dyDescent="0.35"/>
    <row r="6718" x14ac:dyDescent="0.35"/>
    <row r="6719" x14ac:dyDescent="0.35"/>
    <row r="6720" x14ac:dyDescent="0.35"/>
    <row r="6721" x14ac:dyDescent="0.35"/>
    <row r="6722" x14ac:dyDescent="0.35"/>
    <row r="6723" x14ac:dyDescent="0.35"/>
    <row r="6724" x14ac:dyDescent="0.35"/>
    <row r="6725" x14ac:dyDescent="0.35"/>
    <row r="6726" x14ac:dyDescent="0.35"/>
    <row r="6727" x14ac:dyDescent="0.35"/>
    <row r="6728" x14ac:dyDescent="0.35"/>
    <row r="6729" x14ac:dyDescent="0.35"/>
    <row r="6730" x14ac:dyDescent="0.35"/>
    <row r="6731" x14ac:dyDescent="0.35"/>
    <row r="6732" x14ac:dyDescent="0.35"/>
    <row r="6733" x14ac:dyDescent="0.35"/>
    <row r="6734" x14ac:dyDescent="0.35"/>
    <row r="6735" x14ac:dyDescent="0.35"/>
    <row r="6736" x14ac:dyDescent="0.35"/>
    <row r="6737" x14ac:dyDescent="0.35"/>
    <row r="6738" x14ac:dyDescent="0.35"/>
    <row r="6739" x14ac:dyDescent="0.35"/>
    <row r="6740" x14ac:dyDescent="0.35"/>
    <row r="6741" x14ac:dyDescent="0.35"/>
    <row r="6742" x14ac:dyDescent="0.35"/>
    <row r="6743" x14ac:dyDescent="0.35"/>
    <row r="6744" x14ac:dyDescent="0.35"/>
    <row r="6745" x14ac:dyDescent="0.35"/>
    <row r="6746" x14ac:dyDescent="0.35"/>
    <row r="6747" x14ac:dyDescent="0.35"/>
    <row r="6748" x14ac:dyDescent="0.35"/>
    <row r="6749" x14ac:dyDescent="0.35"/>
    <row r="6750" x14ac:dyDescent="0.35"/>
    <row r="6751" x14ac:dyDescent="0.35"/>
    <row r="6752" x14ac:dyDescent="0.35"/>
    <row r="6753" x14ac:dyDescent="0.35"/>
    <row r="6754" x14ac:dyDescent="0.35"/>
    <row r="6755" x14ac:dyDescent="0.35"/>
    <row r="6756" x14ac:dyDescent="0.35"/>
    <row r="6757" x14ac:dyDescent="0.35"/>
    <row r="6758" x14ac:dyDescent="0.35"/>
    <row r="6759" x14ac:dyDescent="0.35"/>
    <row r="6760" x14ac:dyDescent="0.35"/>
    <row r="6761" x14ac:dyDescent="0.35"/>
    <row r="6762" x14ac:dyDescent="0.35"/>
    <row r="6763" x14ac:dyDescent="0.35"/>
    <row r="6764" x14ac:dyDescent="0.35"/>
    <row r="6765" x14ac:dyDescent="0.35"/>
    <row r="6766" x14ac:dyDescent="0.35"/>
    <row r="6767" x14ac:dyDescent="0.35"/>
    <row r="6768" x14ac:dyDescent="0.35"/>
    <row r="6769" x14ac:dyDescent="0.35"/>
    <row r="6770" x14ac:dyDescent="0.35"/>
    <row r="6771" x14ac:dyDescent="0.35"/>
    <row r="6772" x14ac:dyDescent="0.35"/>
    <row r="6773" x14ac:dyDescent="0.35"/>
    <row r="6774" x14ac:dyDescent="0.35"/>
    <row r="6775" x14ac:dyDescent="0.35"/>
    <row r="6776" x14ac:dyDescent="0.35"/>
    <row r="6777" x14ac:dyDescent="0.35"/>
    <row r="6778" x14ac:dyDescent="0.35"/>
    <row r="6779" x14ac:dyDescent="0.35"/>
    <row r="6780" x14ac:dyDescent="0.35"/>
    <row r="6781" x14ac:dyDescent="0.35"/>
    <row r="6782" x14ac:dyDescent="0.35"/>
    <row r="6783" x14ac:dyDescent="0.35"/>
    <row r="6784" x14ac:dyDescent="0.35"/>
    <row r="6785" x14ac:dyDescent="0.35"/>
    <row r="6786" x14ac:dyDescent="0.35"/>
    <row r="6787" x14ac:dyDescent="0.35"/>
    <row r="6788" x14ac:dyDescent="0.35"/>
    <row r="6789" x14ac:dyDescent="0.35"/>
    <row r="6790" x14ac:dyDescent="0.35"/>
    <row r="6791" x14ac:dyDescent="0.35"/>
    <row r="6792" x14ac:dyDescent="0.35"/>
    <row r="6793" x14ac:dyDescent="0.35"/>
    <row r="6794" x14ac:dyDescent="0.35"/>
    <row r="6795" x14ac:dyDescent="0.35"/>
    <row r="6796" x14ac:dyDescent="0.35"/>
    <row r="6797" x14ac:dyDescent="0.35"/>
    <row r="6798" x14ac:dyDescent="0.35"/>
    <row r="6799" x14ac:dyDescent="0.35"/>
    <row r="6800" x14ac:dyDescent="0.35"/>
    <row r="6801" x14ac:dyDescent="0.35"/>
    <row r="6802" x14ac:dyDescent="0.35"/>
    <row r="6803" x14ac:dyDescent="0.35"/>
    <row r="6804" x14ac:dyDescent="0.35"/>
    <row r="6805" x14ac:dyDescent="0.35"/>
    <row r="6806" x14ac:dyDescent="0.35"/>
    <row r="6807" x14ac:dyDescent="0.35"/>
    <row r="6808" x14ac:dyDescent="0.35"/>
    <row r="6809" x14ac:dyDescent="0.35"/>
    <row r="6810" x14ac:dyDescent="0.35"/>
    <row r="6811" x14ac:dyDescent="0.35"/>
    <row r="6812" x14ac:dyDescent="0.35"/>
    <row r="6813" x14ac:dyDescent="0.35"/>
    <row r="6814" x14ac:dyDescent="0.35"/>
    <row r="6815" x14ac:dyDescent="0.35"/>
    <row r="6816" x14ac:dyDescent="0.35"/>
    <row r="6817" x14ac:dyDescent="0.35"/>
    <row r="6818" x14ac:dyDescent="0.35"/>
    <row r="6819" x14ac:dyDescent="0.35"/>
    <row r="6820" x14ac:dyDescent="0.35"/>
    <row r="6821" x14ac:dyDescent="0.35"/>
    <row r="6822" x14ac:dyDescent="0.35"/>
    <row r="6823" x14ac:dyDescent="0.35"/>
    <row r="6824" x14ac:dyDescent="0.35"/>
    <row r="6825" x14ac:dyDescent="0.35"/>
    <row r="6826" x14ac:dyDescent="0.35"/>
    <row r="6827" x14ac:dyDescent="0.35"/>
    <row r="6828" x14ac:dyDescent="0.35"/>
    <row r="6829" x14ac:dyDescent="0.35"/>
    <row r="6830" x14ac:dyDescent="0.35"/>
    <row r="6831" x14ac:dyDescent="0.35"/>
    <row r="6832" x14ac:dyDescent="0.35"/>
    <row r="6833" x14ac:dyDescent="0.35"/>
    <row r="6834" x14ac:dyDescent="0.35"/>
    <row r="6835" x14ac:dyDescent="0.35"/>
    <row r="6836" x14ac:dyDescent="0.35"/>
    <row r="6837" x14ac:dyDescent="0.35"/>
    <row r="6838" x14ac:dyDescent="0.35"/>
    <row r="6839" x14ac:dyDescent="0.35"/>
    <row r="6840" x14ac:dyDescent="0.35"/>
    <row r="6841" x14ac:dyDescent="0.35"/>
    <row r="6842" x14ac:dyDescent="0.35"/>
    <row r="6843" x14ac:dyDescent="0.35"/>
    <row r="6844" x14ac:dyDescent="0.35"/>
    <row r="6845" x14ac:dyDescent="0.35"/>
    <row r="6846" x14ac:dyDescent="0.35"/>
    <row r="6847" x14ac:dyDescent="0.35"/>
    <row r="6848" x14ac:dyDescent="0.35"/>
    <row r="6849" x14ac:dyDescent="0.35"/>
    <row r="6850" x14ac:dyDescent="0.35"/>
    <row r="6851" x14ac:dyDescent="0.35"/>
    <row r="6852" x14ac:dyDescent="0.35"/>
    <row r="6853" x14ac:dyDescent="0.35"/>
    <row r="6854" x14ac:dyDescent="0.35"/>
    <row r="6855" x14ac:dyDescent="0.35"/>
    <row r="6856" x14ac:dyDescent="0.35"/>
    <row r="6857" x14ac:dyDescent="0.35"/>
    <row r="6858" x14ac:dyDescent="0.35"/>
    <row r="6859" x14ac:dyDescent="0.35"/>
    <row r="6860" x14ac:dyDescent="0.35"/>
    <row r="6861" x14ac:dyDescent="0.35"/>
    <row r="6862" x14ac:dyDescent="0.35"/>
    <row r="6863" x14ac:dyDescent="0.35"/>
    <row r="6864" x14ac:dyDescent="0.35"/>
    <row r="6865" x14ac:dyDescent="0.35"/>
    <row r="6866" x14ac:dyDescent="0.35"/>
    <row r="6867" x14ac:dyDescent="0.35"/>
    <row r="6868" x14ac:dyDescent="0.35"/>
    <row r="6869" x14ac:dyDescent="0.35"/>
    <row r="6870" x14ac:dyDescent="0.35"/>
    <row r="6871" x14ac:dyDescent="0.35"/>
    <row r="6872" x14ac:dyDescent="0.35"/>
    <row r="6873" x14ac:dyDescent="0.35"/>
    <row r="6874" x14ac:dyDescent="0.35"/>
    <row r="6875" x14ac:dyDescent="0.35"/>
    <row r="6876" x14ac:dyDescent="0.35"/>
    <row r="6877" x14ac:dyDescent="0.35"/>
    <row r="6878" x14ac:dyDescent="0.35"/>
    <row r="6879" x14ac:dyDescent="0.35"/>
    <row r="6880" x14ac:dyDescent="0.35"/>
    <row r="6881" x14ac:dyDescent="0.35"/>
    <row r="6882" x14ac:dyDescent="0.35"/>
    <row r="6883" x14ac:dyDescent="0.35"/>
    <row r="6884" x14ac:dyDescent="0.35"/>
    <row r="6885" x14ac:dyDescent="0.35"/>
    <row r="6886" x14ac:dyDescent="0.35"/>
    <row r="6887" x14ac:dyDescent="0.35"/>
    <row r="6888" x14ac:dyDescent="0.35"/>
    <row r="6889" x14ac:dyDescent="0.35"/>
    <row r="6890" x14ac:dyDescent="0.35"/>
    <row r="6891" x14ac:dyDescent="0.35"/>
    <row r="6892" x14ac:dyDescent="0.35"/>
    <row r="6893" x14ac:dyDescent="0.35"/>
    <row r="6894" x14ac:dyDescent="0.35"/>
    <row r="6895" x14ac:dyDescent="0.35"/>
    <row r="6896" x14ac:dyDescent="0.35"/>
    <row r="6897" x14ac:dyDescent="0.35"/>
    <row r="6898" x14ac:dyDescent="0.35"/>
    <row r="6899" x14ac:dyDescent="0.35"/>
    <row r="6900" x14ac:dyDescent="0.35"/>
    <row r="6901" x14ac:dyDescent="0.35"/>
    <row r="6902" x14ac:dyDescent="0.35"/>
    <row r="6903" x14ac:dyDescent="0.35"/>
    <row r="6904" x14ac:dyDescent="0.35"/>
    <row r="6905" x14ac:dyDescent="0.35"/>
    <row r="6906" x14ac:dyDescent="0.35"/>
    <row r="6907" x14ac:dyDescent="0.35"/>
    <row r="6908" x14ac:dyDescent="0.35"/>
    <row r="6909" x14ac:dyDescent="0.35"/>
    <row r="6910" x14ac:dyDescent="0.35"/>
    <row r="6911" x14ac:dyDescent="0.35"/>
    <row r="6912" x14ac:dyDescent="0.35"/>
    <row r="6913" x14ac:dyDescent="0.35"/>
    <row r="6914" x14ac:dyDescent="0.35"/>
    <row r="6915" x14ac:dyDescent="0.35"/>
    <row r="6916" x14ac:dyDescent="0.35"/>
    <row r="6917" x14ac:dyDescent="0.35"/>
    <row r="6918" x14ac:dyDescent="0.35"/>
    <row r="6919" x14ac:dyDescent="0.35"/>
    <row r="6920" x14ac:dyDescent="0.35"/>
    <row r="6921" x14ac:dyDescent="0.35"/>
    <row r="6922" x14ac:dyDescent="0.35"/>
    <row r="6923" x14ac:dyDescent="0.35"/>
    <row r="6924" x14ac:dyDescent="0.35"/>
    <row r="6925" x14ac:dyDescent="0.35"/>
    <row r="6926" x14ac:dyDescent="0.35"/>
    <row r="6927" x14ac:dyDescent="0.35"/>
    <row r="6928" x14ac:dyDescent="0.35"/>
    <row r="6929" x14ac:dyDescent="0.35"/>
    <row r="6930" x14ac:dyDescent="0.35"/>
    <row r="6931" x14ac:dyDescent="0.35"/>
    <row r="6932" x14ac:dyDescent="0.35"/>
    <row r="6933" x14ac:dyDescent="0.35"/>
    <row r="6934" x14ac:dyDescent="0.35"/>
    <row r="6935" x14ac:dyDescent="0.35"/>
    <row r="6936" x14ac:dyDescent="0.35"/>
    <row r="6937" x14ac:dyDescent="0.35"/>
    <row r="6938" x14ac:dyDescent="0.35"/>
    <row r="6939" x14ac:dyDescent="0.35"/>
    <row r="6940" x14ac:dyDescent="0.35"/>
    <row r="6941" x14ac:dyDescent="0.35"/>
    <row r="6942" x14ac:dyDescent="0.35"/>
    <row r="6943" x14ac:dyDescent="0.35"/>
    <row r="6944" x14ac:dyDescent="0.35"/>
    <row r="6945" x14ac:dyDescent="0.35"/>
    <row r="6946" x14ac:dyDescent="0.35"/>
    <row r="6947" x14ac:dyDescent="0.35"/>
    <row r="6948" x14ac:dyDescent="0.35"/>
    <row r="6949" x14ac:dyDescent="0.35"/>
    <row r="6950" x14ac:dyDescent="0.35"/>
    <row r="6951" x14ac:dyDescent="0.35"/>
    <row r="6952" x14ac:dyDescent="0.35"/>
    <row r="6953" x14ac:dyDescent="0.35"/>
    <row r="6954" x14ac:dyDescent="0.35"/>
    <row r="6955" x14ac:dyDescent="0.35"/>
    <row r="6956" x14ac:dyDescent="0.35"/>
    <row r="6957" x14ac:dyDescent="0.35"/>
    <row r="6958" x14ac:dyDescent="0.35"/>
    <row r="6959" x14ac:dyDescent="0.35"/>
    <row r="6960" x14ac:dyDescent="0.35"/>
    <row r="6961" x14ac:dyDescent="0.35"/>
    <row r="6962" x14ac:dyDescent="0.35"/>
    <row r="6963" x14ac:dyDescent="0.35"/>
    <row r="6964" x14ac:dyDescent="0.35"/>
    <row r="6965" x14ac:dyDescent="0.35"/>
    <row r="6966" x14ac:dyDescent="0.35"/>
    <row r="6967" x14ac:dyDescent="0.35"/>
    <row r="6968" x14ac:dyDescent="0.35"/>
    <row r="6969" x14ac:dyDescent="0.35"/>
    <row r="6970" x14ac:dyDescent="0.35"/>
    <row r="6971" x14ac:dyDescent="0.35"/>
    <row r="6972" x14ac:dyDescent="0.35"/>
    <row r="6973" x14ac:dyDescent="0.35"/>
    <row r="6974" x14ac:dyDescent="0.35"/>
    <row r="6975" x14ac:dyDescent="0.35"/>
    <row r="6976" x14ac:dyDescent="0.35"/>
    <row r="6977" x14ac:dyDescent="0.35"/>
    <row r="6978" x14ac:dyDescent="0.35"/>
    <row r="6979" x14ac:dyDescent="0.35"/>
    <row r="6980" x14ac:dyDescent="0.35"/>
    <row r="6981" x14ac:dyDescent="0.35"/>
    <row r="6982" x14ac:dyDescent="0.35"/>
    <row r="6983" x14ac:dyDescent="0.35"/>
    <row r="6984" x14ac:dyDescent="0.35"/>
    <row r="6985" x14ac:dyDescent="0.35"/>
    <row r="6986" x14ac:dyDescent="0.35"/>
    <row r="6987" x14ac:dyDescent="0.35"/>
    <row r="6988" x14ac:dyDescent="0.35"/>
    <row r="6989" x14ac:dyDescent="0.35"/>
    <row r="6990" x14ac:dyDescent="0.35"/>
    <row r="6991" x14ac:dyDescent="0.35"/>
    <row r="6992" x14ac:dyDescent="0.35"/>
    <row r="6993" x14ac:dyDescent="0.35"/>
    <row r="6994" x14ac:dyDescent="0.35"/>
    <row r="6995" x14ac:dyDescent="0.35"/>
    <row r="6996" x14ac:dyDescent="0.35"/>
    <row r="6997" x14ac:dyDescent="0.35"/>
    <row r="6998" x14ac:dyDescent="0.35"/>
    <row r="6999" x14ac:dyDescent="0.35"/>
    <row r="7000" x14ac:dyDescent="0.35"/>
    <row r="7001" x14ac:dyDescent="0.35"/>
    <row r="7002" x14ac:dyDescent="0.35"/>
    <row r="7003" x14ac:dyDescent="0.35"/>
    <row r="7004" x14ac:dyDescent="0.35"/>
    <row r="7005" x14ac:dyDescent="0.35"/>
    <row r="7006" x14ac:dyDescent="0.35"/>
    <row r="7007" x14ac:dyDescent="0.35"/>
    <row r="7008" x14ac:dyDescent="0.35"/>
    <row r="7009" x14ac:dyDescent="0.35"/>
    <row r="7010" x14ac:dyDescent="0.35"/>
    <row r="7011" x14ac:dyDescent="0.35"/>
    <row r="7012" x14ac:dyDescent="0.35"/>
    <row r="7013" x14ac:dyDescent="0.35"/>
    <row r="7014" x14ac:dyDescent="0.35"/>
    <row r="7015" x14ac:dyDescent="0.35"/>
    <row r="7016" x14ac:dyDescent="0.35"/>
    <row r="7017" x14ac:dyDescent="0.35"/>
    <row r="7018" x14ac:dyDescent="0.35"/>
    <row r="7019" x14ac:dyDescent="0.35"/>
    <row r="7020" x14ac:dyDescent="0.35"/>
    <row r="7021" x14ac:dyDescent="0.35"/>
    <row r="7022" x14ac:dyDescent="0.35"/>
    <row r="7023" x14ac:dyDescent="0.35"/>
    <row r="7024" x14ac:dyDescent="0.35"/>
    <row r="7025" x14ac:dyDescent="0.35"/>
    <row r="7026" x14ac:dyDescent="0.35"/>
    <row r="7027" x14ac:dyDescent="0.35"/>
    <row r="7028" x14ac:dyDescent="0.35"/>
    <row r="7029" x14ac:dyDescent="0.35"/>
    <row r="7030" x14ac:dyDescent="0.35"/>
    <row r="7031" x14ac:dyDescent="0.35"/>
    <row r="7032" x14ac:dyDescent="0.35"/>
    <row r="7033" x14ac:dyDescent="0.35"/>
    <row r="7034" x14ac:dyDescent="0.35"/>
    <row r="7035" x14ac:dyDescent="0.35"/>
    <row r="7036" x14ac:dyDescent="0.35"/>
    <row r="7037" x14ac:dyDescent="0.35"/>
    <row r="7038" x14ac:dyDescent="0.35"/>
    <row r="7039" x14ac:dyDescent="0.35"/>
    <row r="7040" x14ac:dyDescent="0.35"/>
    <row r="7041" x14ac:dyDescent="0.35"/>
    <row r="7042" x14ac:dyDescent="0.35"/>
    <row r="7043" x14ac:dyDescent="0.35"/>
    <row r="7044" x14ac:dyDescent="0.35"/>
    <row r="7045" x14ac:dyDescent="0.35"/>
    <row r="7046" x14ac:dyDescent="0.35"/>
    <row r="7047" x14ac:dyDescent="0.35"/>
    <row r="7048" x14ac:dyDescent="0.35"/>
    <row r="7049" x14ac:dyDescent="0.35"/>
    <row r="7050" x14ac:dyDescent="0.35"/>
    <row r="7051" x14ac:dyDescent="0.35"/>
    <row r="7052" x14ac:dyDescent="0.35"/>
    <row r="7053" x14ac:dyDescent="0.35"/>
    <row r="7054" x14ac:dyDescent="0.35"/>
    <row r="7055" x14ac:dyDescent="0.35"/>
    <row r="7056" x14ac:dyDescent="0.35"/>
    <row r="7057" x14ac:dyDescent="0.35"/>
    <row r="7058" x14ac:dyDescent="0.35"/>
    <row r="7059" x14ac:dyDescent="0.35"/>
    <row r="7060" x14ac:dyDescent="0.35"/>
    <row r="7061" x14ac:dyDescent="0.35"/>
    <row r="7062" x14ac:dyDescent="0.35"/>
    <row r="7063" x14ac:dyDescent="0.35"/>
    <row r="7064" x14ac:dyDescent="0.35"/>
    <row r="7065" x14ac:dyDescent="0.35"/>
    <row r="7066" x14ac:dyDescent="0.35"/>
    <row r="7067" x14ac:dyDescent="0.35"/>
    <row r="7068" x14ac:dyDescent="0.35"/>
    <row r="7069" x14ac:dyDescent="0.35"/>
    <row r="7070" x14ac:dyDescent="0.35"/>
    <row r="7071" x14ac:dyDescent="0.35"/>
    <row r="7072" x14ac:dyDescent="0.35"/>
    <row r="7073" x14ac:dyDescent="0.35"/>
    <row r="7074" x14ac:dyDescent="0.35"/>
    <row r="7075" x14ac:dyDescent="0.35"/>
    <row r="7076" x14ac:dyDescent="0.35"/>
    <row r="7077" x14ac:dyDescent="0.35"/>
    <row r="7078" x14ac:dyDescent="0.35"/>
    <row r="7079" x14ac:dyDescent="0.35"/>
    <row r="7080" x14ac:dyDescent="0.35"/>
    <row r="7081" x14ac:dyDescent="0.35"/>
    <row r="7082" x14ac:dyDescent="0.35"/>
    <row r="7083" x14ac:dyDescent="0.35"/>
    <row r="7084" x14ac:dyDescent="0.35"/>
    <row r="7085" x14ac:dyDescent="0.35"/>
    <row r="7086" x14ac:dyDescent="0.35"/>
    <row r="7087" x14ac:dyDescent="0.35"/>
    <row r="7088" x14ac:dyDescent="0.35"/>
    <row r="7089" x14ac:dyDescent="0.35"/>
    <row r="7090" x14ac:dyDescent="0.35"/>
    <row r="7091" x14ac:dyDescent="0.35"/>
    <row r="7092" x14ac:dyDescent="0.35"/>
    <row r="7093" x14ac:dyDescent="0.35"/>
    <row r="7094" x14ac:dyDescent="0.35"/>
    <row r="7095" x14ac:dyDescent="0.35"/>
    <row r="7096" x14ac:dyDescent="0.35"/>
    <row r="7097" x14ac:dyDescent="0.35"/>
    <row r="7098" x14ac:dyDescent="0.35"/>
    <row r="7099" x14ac:dyDescent="0.35"/>
    <row r="7100" x14ac:dyDescent="0.35"/>
    <row r="7101" x14ac:dyDescent="0.35"/>
    <row r="7102" x14ac:dyDescent="0.35"/>
    <row r="7103" x14ac:dyDescent="0.35"/>
    <row r="7104" x14ac:dyDescent="0.35"/>
    <row r="7105" x14ac:dyDescent="0.35"/>
    <row r="7106" x14ac:dyDescent="0.35"/>
    <row r="7107" x14ac:dyDescent="0.35"/>
    <row r="7108" x14ac:dyDescent="0.35"/>
    <row r="7109" x14ac:dyDescent="0.35"/>
    <row r="7110" x14ac:dyDescent="0.35"/>
    <row r="7111" x14ac:dyDescent="0.35"/>
    <row r="7112" x14ac:dyDescent="0.35"/>
    <row r="7113" x14ac:dyDescent="0.35"/>
    <row r="7114" x14ac:dyDescent="0.35"/>
    <row r="7115" x14ac:dyDescent="0.35"/>
    <row r="7116" x14ac:dyDescent="0.35"/>
    <row r="7117" x14ac:dyDescent="0.35"/>
    <row r="7118" x14ac:dyDescent="0.35"/>
    <row r="7119" x14ac:dyDescent="0.35"/>
    <row r="7120" x14ac:dyDescent="0.35"/>
    <row r="7121" x14ac:dyDescent="0.35"/>
    <row r="7122" x14ac:dyDescent="0.35"/>
    <row r="7123" x14ac:dyDescent="0.35"/>
    <row r="7124" x14ac:dyDescent="0.35"/>
    <row r="7125" x14ac:dyDescent="0.35"/>
    <row r="7126" x14ac:dyDescent="0.35"/>
    <row r="7127" x14ac:dyDescent="0.35"/>
    <row r="7128" x14ac:dyDescent="0.35"/>
    <row r="7129" x14ac:dyDescent="0.35"/>
    <row r="7130" x14ac:dyDescent="0.35"/>
    <row r="7131" x14ac:dyDescent="0.35"/>
    <row r="7132" x14ac:dyDescent="0.35"/>
    <row r="7133" x14ac:dyDescent="0.35"/>
    <row r="7134" x14ac:dyDescent="0.35"/>
    <row r="7135" x14ac:dyDescent="0.35"/>
    <row r="7136" x14ac:dyDescent="0.35"/>
    <row r="7137" x14ac:dyDescent="0.35"/>
    <row r="7138" x14ac:dyDescent="0.35"/>
    <row r="7139" x14ac:dyDescent="0.35"/>
    <row r="7140" x14ac:dyDescent="0.35"/>
    <row r="7141" x14ac:dyDescent="0.35"/>
    <row r="7142" x14ac:dyDescent="0.35"/>
    <row r="7143" x14ac:dyDescent="0.35"/>
    <row r="7144" x14ac:dyDescent="0.35"/>
    <row r="7145" x14ac:dyDescent="0.35"/>
    <row r="7146" x14ac:dyDescent="0.35"/>
    <row r="7147" x14ac:dyDescent="0.35"/>
    <row r="7148" x14ac:dyDescent="0.35"/>
    <row r="7149" x14ac:dyDescent="0.35"/>
    <row r="7150" x14ac:dyDescent="0.35"/>
    <row r="7151" x14ac:dyDescent="0.35"/>
    <row r="7152" x14ac:dyDescent="0.35"/>
    <row r="7153" x14ac:dyDescent="0.35"/>
    <row r="7154" x14ac:dyDescent="0.35"/>
    <row r="7155" x14ac:dyDescent="0.35"/>
    <row r="7156" x14ac:dyDescent="0.35"/>
    <row r="7157" x14ac:dyDescent="0.35"/>
    <row r="7158" x14ac:dyDescent="0.35"/>
    <row r="7159" x14ac:dyDescent="0.35"/>
    <row r="7160" x14ac:dyDescent="0.35"/>
    <row r="7161" x14ac:dyDescent="0.35"/>
    <row r="7162" x14ac:dyDescent="0.35"/>
    <row r="7163" x14ac:dyDescent="0.35"/>
    <row r="7164" x14ac:dyDescent="0.35"/>
    <row r="7165" x14ac:dyDescent="0.35"/>
    <row r="7166" x14ac:dyDescent="0.35"/>
    <row r="7167" x14ac:dyDescent="0.35"/>
    <row r="7168" x14ac:dyDescent="0.35"/>
    <row r="7169" x14ac:dyDescent="0.35"/>
    <row r="7170" x14ac:dyDescent="0.35"/>
    <row r="7171" x14ac:dyDescent="0.35"/>
    <row r="7172" x14ac:dyDescent="0.35"/>
    <row r="7173" x14ac:dyDescent="0.35"/>
    <row r="7174" x14ac:dyDescent="0.35"/>
    <row r="7175" x14ac:dyDescent="0.35"/>
    <row r="7176" x14ac:dyDescent="0.35"/>
    <row r="7177" x14ac:dyDescent="0.35"/>
    <row r="7178" x14ac:dyDescent="0.35"/>
    <row r="7179" x14ac:dyDescent="0.35"/>
    <row r="7180" x14ac:dyDescent="0.35"/>
    <row r="7181" x14ac:dyDescent="0.35"/>
    <row r="7182" x14ac:dyDescent="0.35"/>
    <row r="7183" x14ac:dyDescent="0.35"/>
    <row r="7184" x14ac:dyDescent="0.35"/>
    <row r="7185" x14ac:dyDescent="0.35"/>
    <row r="7186" x14ac:dyDescent="0.35"/>
    <row r="7187" x14ac:dyDescent="0.35"/>
    <row r="7188" x14ac:dyDescent="0.35"/>
    <row r="7189" x14ac:dyDescent="0.35"/>
    <row r="7190" x14ac:dyDescent="0.35"/>
    <row r="7191" x14ac:dyDescent="0.35"/>
    <row r="7192" x14ac:dyDescent="0.35"/>
    <row r="7193" x14ac:dyDescent="0.35"/>
    <row r="7194" x14ac:dyDescent="0.35"/>
    <row r="7195" x14ac:dyDescent="0.35"/>
    <row r="7196" x14ac:dyDescent="0.35"/>
    <row r="7197" x14ac:dyDescent="0.35"/>
    <row r="7198" x14ac:dyDescent="0.35"/>
    <row r="7199" x14ac:dyDescent="0.35"/>
    <row r="7200" x14ac:dyDescent="0.35"/>
    <row r="7201" x14ac:dyDescent="0.35"/>
    <row r="7202" x14ac:dyDescent="0.35"/>
    <row r="7203" x14ac:dyDescent="0.35"/>
    <row r="7204" x14ac:dyDescent="0.35"/>
    <row r="7205" x14ac:dyDescent="0.35"/>
    <row r="7206" x14ac:dyDescent="0.35"/>
    <row r="7207" x14ac:dyDescent="0.35"/>
    <row r="7208" x14ac:dyDescent="0.35"/>
    <row r="7209" x14ac:dyDescent="0.35"/>
    <row r="7210" x14ac:dyDescent="0.35"/>
    <row r="7211" x14ac:dyDescent="0.35"/>
    <row r="7212" x14ac:dyDescent="0.35"/>
    <row r="7213" x14ac:dyDescent="0.35"/>
    <row r="7214" x14ac:dyDescent="0.35"/>
    <row r="7215" x14ac:dyDescent="0.35"/>
    <row r="7216" x14ac:dyDescent="0.35"/>
    <row r="7217" x14ac:dyDescent="0.35"/>
    <row r="7218" x14ac:dyDescent="0.35"/>
    <row r="7219" x14ac:dyDescent="0.35"/>
    <row r="7220" x14ac:dyDescent="0.35"/>
    <row r="7221" x14ac:dyDescent="0.35"/>
    <row r="7222" x14ac:dyDescent="0.35"/>
    <row r="7223" x14ac:dyDescent="0.35"/>
    <row r="7224" x14ac:dyDescent="0.35"/>
    <row r="7225" x14ac:dyDescent="0.35"/>
    <row r="7226" x14ac:dyDescent="0.35"/>
    <row r="7227" x14ac:dyDescent="0.35"/>
    <row r="7228" x14ac:dyDescent="0.35"/>
    <row r="7229" x14ac:dyDescent="0.35"/>
    <row r="7230" x14ac:dyDescent="0.35"/>
    <row r="7231" x14ac:dyDescent="0.35"/>
    <row r="7232" x14ac:dyDescent="0.35"/>
    <row r="7233" x14ac:dyDescent="0.35"/>
    <row r="7234" x14ac:dyDescent="0.35"/>
    <row r="7235" x14ac:dyDescent="0.35"/>
    <row r="7236" x14ac:dyDescent="0.35"/>
    <row r="7237" x14ac:dyDescent="0.35"/>
    <row r="7238" x14ac:dyDescent="0.35"/>
    <row r="7239" x14ac:dyDescent="0.35"/>
    <row r="7240" x14ac:dyDescent="0.35"/>
    <row r="7241" x14ac:dyDescent="0.35"/>
    <row r="7242" x14ac:dyDescent="0.35"/>
    <row r="7243" x14ac:dyDescent="0.35"/>
    <row r="7244" x14ac:dyDescent="0.35"/>
    <row r="7245" x14ac:dyDescent="0.35"/>
    <row r="7246" x14ac:dyDescent="0.35"/>
    <row r="7247" x14ac:dyDescent="0.35"/>
    <row r="7248" x14ac:dyDescent="0.35"/>
    <row r="7249" x14ac:dyDescent="0.35"/>
    <row r="7250" x14ac:dyDescent="0.35"/>
    <row r="7251" x14ac:dyDescent="0.35"/>
    <row r="7252" x14ac:dyDescent="0.35"/>
    <row r="7253" x14ac:dyDescent="0.35"/>
    <row r="7254" x14ac:dyDescent="0.35"/>
    <row r="7255" x14ac:dyDescent="0.35"/>
    <row r="7256" x14ac:dyDescent="0.35"/>
    <row r="7257" x14ac:dyDescent="0.35"/>
    <row r="7258" x14ac:dyDescent="0.35"/>
    <row r="7259" x14ac:dyDescent="0.35"/>
    <row r="7260" x14ac:dyDescent="0.35"/>
    <row r="7261" x14ac:dyDescent="0.35"/>
    <row r="7262" x14ac:dyDescent="0.35"/>
    <row r="7263" x14ac:dyDescent="0.35"/>
    <row r="7264" x14ac:dyDescent="0.35"/>
    <row r="7265" x14ac:dyDescent="0.35"/>
    <row r="7266" x14ac:dyDescent="0.35"/>
    <row r="7267" x14ac:dyDescent="0.35"/>
    <row r="7268" x14ac:dyDescent="0.35"/>
    <row r="7269" x14ac:dyDescent="0.35"/>
    <row r="7270" x14ac:dyDescent="0.35"/>
    <row r="7271" x14ac:dyDescent="0.35"/>
    <row r="7272" x14ac:dyDescent="0.35"/>
    <row r="7273" x14ac:dyDescent="0.35"/>
    <row r="7274" x14ac:dyDescent="0.35"/>
    <row r="7275" x14ac:dyDescent="0.35"/>
    <row r="7276" x14ac:dyDescent="0.35"/>
    <row r="7277" x14ac:dyDescent="0.35"/>
    <row r="7278" x14ac:dyDescent="0.35"/>
    <row r="7279" x14ac:dyDescent="0.35"/>
    <row r="7280" x14ac:dyDescent="0.35"/>
    <row r="7281" x14ac:dyDescent="0.35"/>
    <row r="7282" x14ac:dyDescent="0.35"/>
    <row r="7283" x14ac:dyDescent="0.35"/>
    <row r="7284" x14ac:dyDescent="0.35"/>
    <row r="7285" x14ac:dyDescent="0.35"/>
    <row r="7286" x14ac:dyDescent="0.35"/>
    <row r="7287" x14ac:dyDescent="0.35"/>
    <row r="7288" x14ac:dyDescent="0.35"/>
    <row r="7289" x14ac:dyDescent="0.35"/>
    <row r="7290" x14ac:dyDescent="0.35"/>
    <row r="7291" x14ac:dyDescent="0.35"/>
    <row r="7292" x14ac:dyDescent="0.35"/>
    <row r="7293" x14ac:dyDescent="0.35"/>
    <row r="7294" x14ac:dyDescent="0.35"/>
    <row r="7295" x14ac:dyDescent="0.35"/>
    <row r="7296" x14ac:dyDescent="0.35"/>
    <row r="7297" x14ac:dyDescent="0.35"/>
    <row r="7298" x14ac:dyDescent="0.35"/>
    <row r="7299" x14ac:dyDescent="0.35"/>
    <row r="7300" x14ac:dyDescent="0.35"/>
    <row r="7301" x14ac:dyDescent="0.35"/>
    <row r="7302" x14ac:dyDescent="0.35"/>
    <row r="7303" x14ac:dyDescent="0.35"/>
    <row r="7304" x14ac:dyDescent="0.35"/>
    <row r="7305" x14ac:dyDescent="0.35"/>
    <row r="7306" x14ac:dyDescent="0.35"/>
    <row r="7307" x14ac:dyDescent="0.35"/>
    <row r="7308" x14ac:dyDescent="0.35"/>
    <row r="7309" x14ac:dyDescent="0.35"/>
    <row r="7310" x14ac:dyDescent="0.35"/>
    <row r="7311" x14ac:dyDescent="0.35"/>
    <row r="7312" x14ac:dyDescent="0.35"/>
    <row r="7313" x14ac:dyDescent="0.35"/>
    <row r="7314" x14ac:dyDescent="0.35"/>
    <row r="7315" x14ac:dyDescent="0.35"/>
    <row r="7316" x14ac:dyDescent="0.35"/>
    <row r="7317" x14ac:dyDescent="0.35"/>
    <row r="7318" x14ac:dyDescent="0.35"/>
    <row r="7319" x14ac:dyDescent="0.35"/>
    <row r="7320" x14ac:dyDescent="0.35"/>
    <row r="7321" x14ac:dyDescent="0.35"/>
    <row r="7322" x14ac:dyDescent="0.35"/>
    <row r="7323" x14ac:dyDescent="0.35"/>
    <row r="7324" x14ac:dyDescent="0.35"/>
    <row r="7325" x14ac:dyDescent="0.35"/>
    <row r="7326" x14ac:dyDescent="0.35"/>
    <row r="7327" x14ac:dyDescent="0.35"/>
    <row r="7328" x14ac:dyDescent="0.35"/>
    <row r="7329" x14ac:dyDescent="0.35"/>
    <row r="7330" x14ac:dyDescent="0.35"/>
    <row r="7331" x14ac:dyDescent="0.35"/>
    <row r="7332" x14ac:dyDescent="0.35"/>
    <row r="7333" x14ac:dyDescent="0.35"/>
    <row r="7334" x14ac:dyDescent="0.35"/>
    <row r="7335" x14ac:dyDescent="0.35"/>
    <row r="7336" x14ac:dyDescent="0.35"/>
    <row r="7337" x14ac:dyDescent="0.35"/>
    <row r="7338" x14ac:dyDescent="0.35"/>
    <row r="7339" x14ac:dyDescent="0.35"/>
    <row r="7340" x14ac:dyDescent="0.35"/>
    <row r="7341" x14ac:dyDescent="0.35"/>
    <row r="7342" x14ac:dyDescent="0.35"/>
    <row r="7343" x14ac:dyDescent="0.35"/>
    <row r="7344" x14ac:dyDescent="0.35"/>
    <row r="7345" x14ac:dyDescent="0.35"/>
    <row r="7346" x14ac:dyDescent="0.35"/>
    <row r="7347" x14ac:dyDescent="0.35"/>
    <row r="7348" x14ac:dyDescent="0.35"/>
    <row r="7349" x14ac:dyDescent="0.35"/>
    <row r="7350" x14ac:dyDescent="0.35"/>
    <row r="7351" x14ac:dyDescent="0.35"/>
    <row r="7352" x14ac:dyDescent="0.35"/>
    <row r="7353" x14ac:dyDescent="0.35"/>
    <row r="7354" x14ac:dyDescent="0.35"/>
    <row r="7355" x14ac:dyDescent="0.35"/>
    <row r="7356" x14ac:dyDescent="0.35"/>
    <row r="7357" x14ac:dyDescent="0.35"/>
    <row r="7358" x14ac:dyDescent="0.35"/>
    <row r="7359" x14ac:dyDescent="0.35"/>
    <row r="7360" x14ac:dyDescent="0.35"/>
    <row r="7361" x14ac:dyDescent="0.35"/>
    <row r="7362" x14ac:dyDescent="0.35"/>
    <row r="7363" x14ac:dyDescent="0.35"/>
    <row r="7364" x14ac:dyDescent="0.35"/>
    <row r="7365" x14ac:dyDescent="0.35"/>
    <row r="7366" x14ac:dyDescent="0.35"/>
    <row r="7367" x14ac:dyDescent="0.35"/>
    <row r="7368" x14ac:dyDescent="0.35"/>
    <row r="7369" x14ac:dyDescent="0.35"/>
    <row r="7370" x14ac:dyDescent="0.35"/>
    <row r="7371" x14ac:dyDescent="0.35"/>
    <row r="7372" x14ac:dyDescent="0.35"/>
    <row r="7373" x14ac:dyDescent="0.35"/>
    <row r="7374" x14ac:dyDescent="0.35"/>
    <row r="7375" x14ac:dyDescent="0.35"/>
    <row r="7376" x14ac:dyDescent="0.35"/>
    <row r="7377" x14ac:dyDescent="0.35"/>
    <row r="7378" x14ac:dyDescent="0.35"/>
    <row r="7379" x14ac:dyDescent="0.35"/>
    <row r="7380" x14ac:dyDescent="0.35"/>
    <row r="7381" x14ac:dyDescent="0.35"/>
    <row r="7382" x14ac:dyDescent="0.35"/>
    <row r="7383" x14ac:dyDescent="0.35"/>
    <row r="7384" x14ac:dyDescent="0.35"/>
    <row r="7385" x14ac:dyDescent="0.35"/>
    <row r="7386" x14ac:dyDescent="0.35"/>
    <row r="7387" x14ac:dyDescent="0.35"/>
    <row r="7388" x14ac:dyDescent="0.35"/>
    <row r="7389" x14ac:dyDescent="0.35"/>
    <row r="7390" x14ac:dyDescent="0.35"/>
    <row r="7391" x14ac:dyDescent="0.35"/>
    <row r="7392" x14ac:dyDescent="0.35"/>
    <row r="7393" x14ac:dyDescent="0.35"/>
    <row r="7394" x14ac:dyDescent="0.35"/>
    <row r="7395" x14ac:dyDescent="0.35"/>
    <row r="7396" x14ac:dyDescent="0.35"/>
    <row r="7397" x14ac:dyDescent="0.35"/>
    <row r="7398" x14ac:dyDescent="0.35"/>
    <row r="7399" x14ac:dyDescent="0.35"/>
    <row r="7400" x14ac:dyDescent="0.35"/>
    <row r="7401" x14ac:dyDescent="0.35"/>
    <row r="7402" x14ac:dyDescent="0.35"/>
    <row r="7403" x14ac:dyDescent="0.35"/>
    <row r="7404" x14ac:dyDescent="0.35"/>
    <row r="7405" x14ac:dyDescent="0.35"/>
    <row r="7406" x14ac:dyDescent="0.35"/>
    <row r="7407" x14ac:dyDescent="0.35"/>
    <row r="7408" x14ac:dyDescent="0.35"/>
    <row r="7409" x14ac:dyDescent="0.35"/>
    <row r="7410" x14ac:dyDescent="0.35"/>
    <row r="7411" x14ac:dyDescent="0.35"/>
    <row r="7412" x14ac:dyDescent="0.35"/>
    <row r="7413" x14ac:dyDescent="0.35"/>
    <row r="7414" x14ac:dyDescent="0.35"/>
    <row r="7415" x14ac:dyDescent="0.35"/>
    <row r="7416" x14ac:dyDescent="0.35"/>
    <row r="7417" x14ac:dyDescent="0.35"/>
    <row r="7418" x14ac:dyDescent="0.35"/>
    <row r="7419" x14ac:dyDescent="0.35"/>
    <row r="7420" x14ac:dyDescent="0.35"/>
    <row r="7421" x14ac:dyDescent="0.35"/>
    <row r="7422" x14ac:dyDescent="0.35"/>
    <row r="7423" x14ac:dyDescent="0.35"/>
    <row r="7424" x14ac:dyDescent="0.35"/>
    <row r="7425" x14ac:dyDescent="0.35"/>
    <row r="7426" x14ac:dyDescent="0.35"/>
    <row r="7427" x14ac:dyDescent="0.35"/>
    <row r="7428" x14ac:dyDescent="0.35"/>
    <row r="7429" x14ac:dyDescent="0.35"/>
    <row r="7430" x14ac:dyDescent="0.35"/>
    <row r="7431" x14ac:dyDescent="0.35"/>
    <row r="7432" x14ac:dyDescent="0.35"/>
    <row r="7433" x14ac:dyDescent="0.35"/>
    <row r="7434" x14ac:dyDescent="0.35"/>
    <row r="7435" x14ac:dyDescent="0.35"/>
    <row r="7436" x14ac:dyDescent="0.35"/>
    <row r="7437" x14ac:dyDescent="0.35"/>
    <row r="7438" x14ac:dyDescent="0.35"/>
    <row r="7439" x14ac:dyDescent="0.35"/>
    <row r="7440" x14ac:dyDescent="0.35"/>
    <row r="7441" x14ac:dyDescent="0.35"/>
    <row r="7442" x14ac:dyDescent="0.35"/>
    <row r="7443" x14ac:dyDescent="0.35"/>
    <row r="7444" x14ac:dyDescent="0.35"/>
    <row r="7445" x14ac:dyDescent="0.35"/>
    <row r="7446" x14ac:dyDescent="0.35"/>
    <row r="7447" x14ac:dyDescent="0.35"/>
    <row r="7448" x14ac:dyDescent="0.35"/>
    <row r="7449" x14ac:dyDescent="0.35"/>
    <row r="7450" x14ac:dyDescent="0.35"/>
    <row r="7451" x14ac:dyDescent="0.35"/>
    <row r="7452" x14ac:dyDescent="0.35"/>
    <row r="7453" x14ac:dyDescent="0.35"/>
    <row r="7454" x14ac:dyDescent="0.35"/>
    <row r="7455" x14ac:dyDescent="0.35"/>
    <row r="7456" x14ac:dyDescent="0.35"/>
    <row r="7457" x14ac:dyDescent="0.35"/>
    <row r="7458" x14ac:dyDescent="0.35"/>
    <row r="7459" x14ac:dyDescent="0.35"/>
    <row r="7460" x14ac:dyDescent="0.35"/>
    <row r="7461" x14ac:dyDescent="0.35"/>
    <row r="7462" x14ac:dyDescent="0.35"/>
    <row r="7463" x14ac:dyDescent="0.35"/>
    <row r="7464" x14ac:dyDescent="0.35"/>
    <row r="7465" x14ac:dyDescent="0.35"/>
    <row r="7466" x14ac:dyDescent="0.35"/>
    <row r="7467" x14ac:dyDescent="0.35"/>
    <row r="7468" x14ac:dyDescent="0.35"/>
    <row r="7469" x14ac:dyDescent="0.35"/>
    <row r="7470" x14ac:dyDescent="0.35"/>
    <row r="7471" x14ac:dyDescent="0.35"/>
    <row r="7472" x14ac:dyDescent="0.35"/>
    <row r="7473" x14ac:dyDescent="0.35"/>
    <row r="7474" x14ac:dyDescent="0.35"/>
    <row r="7475" x14ac:dyDescent="0.35"/>
    <row r="7476" x14ac:dyDescent="0.35"/>
    <row r="7477" x14ac:dyDescent="0.35"/>
    <row r="7478" x14ac:dyDescent="0.35"/>
    <row r="7479" x14ac:dyDescent="0.35"/>
    <row r="7480" x14ac:dyDescent="0.35"/>
    <row r="7481" x14ac:dyDescent="0.35"/>
    <row r="7482" x14ac:dyDescent="0.35"/>
    <row r="7483" x14ac:dyDescent="0.35"/>
    <row r="7484" x14ac:dyDescent="0.35"/>
    <row r="7485" x14ac:dyDescent="0.35"/>
    <row r="7486" x14ac:dyDescent="0.35"/>
    <row r="7487" x14ac:dyDescent="0.35"/>
    <row r="7488" x14ac:dyDescent="0.35"/>
    <row r="7489" x14ac:dyDescent="0.35"/>
    <row r="7490" x14ac:dyDescent="0.35"/>
    <row r="7491" x14ac:dyDescent="0.35"/>
    <row r="7492" x14ac:dyDescent="0.35"/>
    <row r="7493" x14ac:dyDescent="0.35"/>
    <row r="7494" x14ac:dyDescent="0.35"/>
    <row r="7495" x14ac:dyDescent="0.35"/>
    <row r="7496" x14ac:dyDescent="0.35"/>
    <row r="7497" x14ac:dyDescent="0.35"/>
    <row r="7498" x14ac:dyDescent="0.35"/>
    <row r="7499" x14ac:dyDescent="0.35"/>
    <row r="7500" x14ac:dyDescent="0.35"/>
    <row r="7501" x14ac:dyDescent="0.35"/>
    <row r="7502" x14ac:dyDescent="0.35"/>
    <row r="7503" x14ac:dyDescent="0.35"/>
    <row r="7504" x14ac:dyDescent="0.35"/>
    <row r="7505" x14ac:dyDescent="0.35"/>
    <row r="7506" x14ac:dyDescent="0.35"/>
    <row r="7507" x14ac:dyDescent="0.35"/>
    <row r="7508" x14ac:dyDescent="0.35"/>
    <row r="7509" x14ac:dyDescent="0.35"/>
    <row r="7510" x14ac:dyDescent="0.35"/>
    <row r="7511" x14ac:dyDescent="0.35"/>
    <row r="7512" x14ac:dyDescent="0.35"/>
    <row r="7513" x14ac:dyDescent="0.35"/>
    <row r="7514" x14ac:dyDescent="0.35"/>
    <row r="7515" x14ac:dyDescent="0.35"/>
    <row r="7516" x14ac:dyDescent="0.35"/>
    <row r="7517" x14ac:dyDescent="0.35"/>
    <row r="7518" x14ac:dyDescent="0.35"/>
    <row r="7519" x14ac:dyDescent="0.35"/>
    <row r="7520" x14ac:dyDescent="0.35"/>
    <row r="7521" x14ac:dyDescent="0.35"/>
    <row r="7522" x14ac:dyDescent="0.35"/>
    <row r="7523" x14ac:dyDescent="0.35"/>
    <row r="7524" x14ac:dyDescent="0.35"/>
    <row r="7525" x14ac:dyDescent="0.35"/>
    <row r="7526" x14ac:dyDescent="0.35"/>
    <row r="7527" x14ac:dyDescent="0.35"/>
    <row r="7528" x14ac:dyDescent="0.35"/>
    <row r="7529" x14ac:dyDescent="0.35"/>
    <row r="7530" x14ac:dyDescent="0.35"/>
    <row r="7531" x14ac:dyDescent="0.35"/>
    <row r="7532" x14ac:dyDescent="0.35"/>
    <row r="7533" x14ac:dyDescent="0.35"/>
    <row r="7534" x14ac:dyDescent="0.35"/>
    <row r="7535" x14ac:dyDescent="0.35"/>
    <row r="7536" x14ac:dyDescent="0.35"/>
    <row r="7537" x14ac:dyDescent="0.35"/>
    <row r="7538" x14ac:dyDescent="0.35"/>
    <row r="7539" x14ac:dyDescent="0.35"/>
    <row r="7540" x14ac:dyDescent="0.35"/>
    <row r="7541" x14ac:dyDescent="0.35"/>
    <row r="7542" x14ac:dyDescent="0.35"/>
    <row r="7543" x14ac:dyDescent="0.35"/>
    <row r="7544" x14ac:dyDescent="0.35"/>
    <row r="7545" x14ac:dyDescent="0.35"/>
    <row r="7546" x14ac:dyDescent="0.35"/>
    <row r="7547" x14ac:dyDescent="0.35"/>
    <row r="7548" x14ac:dyDescent="0.35"/>
    <row r="7549" x14ac:dyDescent="0.35"/>
    <row r="7550" x14ac:dyDescent="0.35"/>
    <row r="7551" x14ac:dyDescent="0.35"/>
    <row r="7552" x14ac:dyDescent="0.35"/>
    <row r="7553" x14ac:dyDescent="0.35"/>
    <row r="7554" x14ac:dyDescent="0.35"/>
    <row r="7555" x14ac:dyDescent="0.35"/>
    <row r="7556" x14ac:dyDescent="0.35"/>
    <row r="7557" x14ac:dyDescent="0.35"/>
    <row r="7558" x14ac:dyDescent="0.35"/>
    <row r="7559" x14ac:dyDescent="0.35"/>
    <row r="7560" x14ac:dyDescent="0.35"/>
    <row r="7561" x14ac:dyDescent="0.35"/>
    <row r="7562" x14ac:dyDescent="0.35"/>
    <row r="7563" x14ac:dyDescent="0.35"/>
    <row r="7564" x14ac:dyDescent="0.35"/>
    <row r="7565" x14ac:dyDescent="0.35"/>
    <row r="7566" x14ac:dyDescent="0.35"/>
    <row r="7567" x14ac:dyDescent="0.35"/>
    <row r="7568" x14ac:dyDescent="0.35"/>
    <row r="7569" x14ac:dyDescent="0.35"/>
    <row r="7570" x14ac:dyDescent="0.35"/>
    <row r="7571" x14ac:dyDescent="0.35"/>
    <row r="7572" x14ac:dyDescent="0.35"/>
    <row r="7573" x14ac:dyDescent="0.35"/>
    <row r="7574" x14ac:dyDescent="0.35"/>
    <row r="7575" x14ac:dyDescent="0.35"/>
    <row r="7576" x14ac:dyDescent="0.35"/>
    <row r="7577" x14ac:dyDescent="0.35"/>
    <row r="7578" x14ac:dyDescent="0.35"/>
    <row r="7579" x14ac:dyDescent="0.35"/>
    <row r="7580" x14ac:dyDescent="0.35"/>
    <row r="7581" x14ac:dyDescent="0.35"/>
    <row r="7582" x14ac:dyDescent="0.35"/>
    <row r="7583" x14ac:dyDescent="0.35"/>
    <row r="7584" x14ac:dyDescent="0.35"/>
    <row r="7585" x14ac:dyDescent="0.35"/>
    <row r="7586" x14ac:dyDescent="0.35"/>
    <row r="7587" x14ac:dyDescent="0.35"/>
    <row r="7588" x14ac:dyDescent="0.35"/>
    <row r="7589" x14ac:dyDescent="0.35"/>
    <row r="7590" x14ac:dyDescent="0.35"/>
    <row r="7591" x14ac:dyDescent="0.35"/>
    <row r="7592" x14ac:dyDescent="0.35"/>
    <row r="7593" x14ac:dyDescent="0.35"/>
    <row r="7594" x14ac:dyDescent="0.35"/>
    <row r="7595" x14ac:dyDescent="0.35"/>
    <row r="7596" x14ac:dyDescent="0.35"/>
    <row r="7597" x14ac:dyDescent="0.35"/>
    <row r="7598" x14ac:dyDescent="0.35"/>
    <row r="7599" x14ac:dyDescent="0.35"/>
    <row r="7600" x14ac:dyDescent="0.35"/>
    <row r="7601" x14ac:dyDescent="0.35"/>
    <row r="7602" x14ac:dyDescent="0.35"/>
    <row r="7603" x14ac:dyDescent="0.35"/>
    <row r="7604" x14ac:dyDescent="0.35"/>
    <row r="7605" x14ac:dyDescent="0.35"/>
    <row r="7606" x14ac:dyDescent="0.35"/>
    <row r="7607" x14ac:dyDescent="0.35"/>
    <row r="7608" x14ac:dyDescent="0.35"/>
    <row r="7609" x14ac:dyDescent="0.35"/>
    <row r="7610" x14ac:dyDescent="0.35"/>
    <row r="7611" x14ac:dyDescent="0.35"/>
    <row r="7612" x14ac:dyDescent="0.35"/>
    <row r="7613" x14ac:dyDescent="0.35"/>
    <row r="7614" x14ac:dyDescent="0.35"/>
    <row r="7615" x14ac:dyDescent="0.35"/>
    <row r="7616" x14ac:dyDescent="0.35"/>
    <row r="7617" x14ac:dyDescent="0.35"/>
    <row r="7618" x14ac:dyDescent="0.35"/>
    <row r="7619" x14ac:dyDescent="0.35"/>
    <row r="7620" x14ac:dyDescent="0.35"/>
    <row r="7621" x14ac:dyDescent="0.35"/>
    <row r="7622" x14ac:dyDescent="0.35"/>
    <row r="7623" x14ac:dyDescent="0.35"/>
    <row r="7624" x14ac:dyDescent="0.35"/>
    <row r="7625" x14ac:dyDescent="0.35"/>
    <row r="7626" x14ac:dyDescent="0.35"/>
    <row r="7627" x14ac:dyDescent="0.35"/>
    <row r="7628" x14ac:dyDescent="0.35"/>
    <row r="7629" x14ac:dyDescent="0.35"/>
    <row r="7630" x14ac:dyDescent="0.35"/>
    <row r="7631" x14ac:dyDescent="0.35"/>
    <row r="7632" x14ac:dyDescent="0.35"/>
    <row r="7633" x14ac:dyDescent="0.35"/>
    <row r="7634" x14ac:dyDescent="0.35"/>
    <row r="7635" x14ac:dyDescent="0.35"/>
    <row r="7636" x14ac:dyDescent="0.35"/>
    <row r="7637" x14ac:dyDescent="0.35"/>
    <row r="7638" x14ac:dyDescent="0.35"/>
    <row r="7639" x14ac:dyDescent="0.35"/>
    <row r="7640" x14ac:dyDescent="0.35"/>
    <row r="7641" x14ac:dyDescent="0.35"/>
    <row r="7642" x14ac:dyDescent="0.35"/>
    <row r="7643" x14ac:dyDescent="0.35"/>
    <row r="7644" x14ac:dyDescent="0.35"/>
    <row r="7645" x14ac:dyDescent="0.35"/>
    <row r="7646" x14ac:dyDescent="0.35"/>
    <row r="7647" x14ac:dyDescent="0.35"/>
    <row r="7648" x14ac:dyDescent="0.35"/>
    <row r="7649" x14ac:dyDescent="0.35"/>
    <row r="7650" x14ac:dyDescent="0.35"/>
    <row r="7651" x14ac:dyDescent="0.35"/>
    <row r="7652" x14ac:dyDescent="0.35"/>
    <row r="7653" x14ac:dyDescent="0.35"/>
    <row r="7654" x14ac:dyDescent="0.35"/>
    <row r="7655" x14ac:dyDescent="0.35"/>
    <row r="7656" x14ac:dyDescent="0.35"/>
    <row r="7657" x14ac:dyDescent="0.35"/>
    <row r="7658" x14ac:dyDescent="0.35"/>
    <row r="7659" x14ac:dyDescent="0.35"/>
    <row r="7660" x14ac:dyDescent="0.35"/>
    <row r="7661" x14ac:dyDescent="0.35"/>
    <row r="7662" x14ac:dyDescent="0.35"/>
    <row r="7663" x14ac:dyDescent="0.35"/>
    <row r="7664" x14ac:dyDescent="0.35"/>
    <row r="7665" x14ac:dyDescent="0.35"/>
    <row r="7666" x14ac:dyDescent="0.35"/>
    <row r="7667" x14ac:dyDescent="0.35"/>
    <row r="7668" x14ac:dyDescent="0.35"/>
    <row r="7669" x14ac:dyDescent="0.35"/>
    <row r="7670" x14ac:dyDescent="0.35"/>
    <row r="7671" x14ac:dyDescent="0.35"/>
    <row r="7672" x14ac:dyDescent="0.35"/>
    <row r="7673" x14ac:dyDescent="0.35"/>
    <row r="7674" x14ac:dyDescent="0.35"/>
    <row r="7675" x14ac:dyDescent="0.35"/>
    <row r="7676" x14ac:dyDescent="0.35"/>
    <row r="7677" x14ac:dyDescent="0.35"/>
    <row r="7678" x14ac:dyDescent="0.35"/>
    <row r="7679" x14ac:dyDescent="0.35"/>
    <row r="7680" x14ac:dyDescent="0.35"/>
    <row r="7681" x14ac:dyDescent="0.35"/>
    <row r="7682" x14ac:dyDescent="0.35"/>
    <row r="7683" x14ac:dyDescent="0.35"/>
    <row r="7684" x14ac:dyDescent="0.35"/>
    <row r="7685" x14ac:dyDescent="0.35"/>
    <row r="7686" x14ac:dyDescent="0.35"/>
    <row r="7687" x14ac:dyDescent="0.35"/>
    <row r="7688" x14ac:dyDescent="0.35"/>
    <row r="7689" x14ac:dyDescent="0.35"/>
    <row r="7690" x14ac:dyDescent="0.35"/>
    <row r="7691" x14ac:dyDescent="0.35"/>
    <row r="7692" x14ac:dyDescent="0.35"/>
    <row r="7693" x14ac:dyDescent="0.35"/>
    <row r="7694" x14ac:dyDescent="0.35"/>
    <row r="7695" x14ac:dyDescent="0.35"/>
    <row r="7696" x14ac:dyDescent="0.35"/>
    <row r="7697" x14ac:dyDescent="0.35"/>
    <row r="7698" x14ac:dyDescent="0.35"/>
    <row r="7699" x14ac:dyDescent="0.35"/>
    <row r="7700" x14ac:dyDescent="0.35"/>
    <row r="7701" x14ac:dyDescent="0.35"/>
    <row r="7702" x14ac:dyDescent="0.35"/>
    <row r="7703" x14ac:dyDescent="0.35"/>
    <row r="7704" x14ac:dyDescent="0.35"/>
    <row r="7705" x14ac:dyDescent="0.35"/>
    <row r="7706" x14ac:dyDescent="0.35"/>
    <row r="7707" x14ac:dyDescent="0.35"/>
    <row r="7708" x14ac:dyDescent="0.35"/>
    <row r="7709" x14ac:dyDescent="0.35"/>
    <row r="7710" x14ac:dyDescent="0.35"/>
    <row r="7711" x14ac:dyDescent="0.35"/>
    <row r="7712" x14ac:dyDescent="0.35"/>
    <row r="7713" x14ac:dyDescent="0.35"/>
    <row r="7714" x14ac:dyDescent="0.35"/>
    <row r="7715" x14ac:dyDescent="0.35"/>
    <row r="7716" x14ac:dyDescent="0.35"/>
    <row r="7717" x14ac:dyDescent="0.35"/>
    <row r="7718" x14ac:dyDescent="0.35"/>
    <row r="7719" x14ac:dyDescent="0.35"/>
    <row r="7720" x14ac:dyDescent="0.35"/>
    <row r="7721" x14ac:dyDescent="0.35"/>
    <row r="7722" x14ac:dyDescent="0.35"/>
    <row r="7723" x14ac:dyDescent="0.35"/>
    <row r="7724" x14ac:dyDescent="0.35"/>
    <row r="7725" x14ac:dyDescent="0.35"/>
    <row r="7726" x14ac:dyDescent="0.35"/>
    <row r="7727" x14ac:dyDescent="0.35"/>
    <row r="7728" x14ac:dyDescent="0.35"/>
    <row r="7729" x14ac:dyDescent="0.35"/>
    <row r="7730" x14ac:dyDescent="0.35"/>
    <row r="7731" x14ac:dyDescent="0.35"/>
    <row r="7732" x14ac:dyDescent="0.35"/>
    <row r="7733" x14ac:dyDescent="0.35"/>
    <row r="7734" x14ac:dyDescent="0.35"/>
    <row r="7735" x14ac:dyDescent="0.35"/>
    <row r="7736" x14ac:dyDescent="0.35"/>
    <row r="7737" x14ac:dyDescent="0.35"/>
    <row r="7738" x14ac:dyDescent="0.35"/>
    <row r="7739" x14ac:dyDescent="0.35"/>
    <row r="7740" x14ac:dyDescent="0.35"/>
    <row r="7741" x14ac:dyDescent="0.35"/>
    <row r="7742" x14ac:dyDescent="0.35"/>
    <row r="7743" x14ac:dyDescent="0.35"/>
    <row r="7744" x14ac:dyDescent="0.35"/>
    <row r="7745" x14ac:dyDescent="0.35"/>
    <row r="7746" x14ac:dyDescent="0.35"/>
    <row r="7747" x14ac:dyDescent="0.35"/>
    <row r="7748" x14ac:dyDescent="0.35"/>
    <row r="7749" x14ac:dyDescent="0.35"/>
    <row r="7750" x14ac:dyDescent="0.35"/>
    <row r="7751" x14ac:dyDescent="0.35"/>
    <row r="7752" x14ac:dyDescent="0.35"/>
    <row r="7753" x14ac:dyDescent="0.35"/>
    <row r="7754" x14ac:dyDescent="0.35"/>
    <row r="7755" x14ac:dyDescent="0.35"/>
    <row r="7756" x14ac:dyDescent="0.35"/>
    <row r="7757" x14ac:dyDescent="0.35"/>
    <row r="7758" x14ac:dyDescent="0.35"/>
    <row r="7759" x14ac:dyDescent="0.35"/>
    <row r="7760" x14ac:dyDescent="0.35"/>
    <row r="7761" x14ac:dyDescent="0.35"/>
    <row r="7762" x14ac:dyDescent="0.35"/>
    <row r="7763" x14ac:dyDescent="0.35"/>
    <row r="7764" x14ac:dyDescent="0.35"/>
    <row r="7765" x14ac:dyDescent="0.35"/>
    <row r="7766" x14ac:dyDescent="0.35"/>
    <row r="7767" x14ac:dyDescent="0.35"/>
    <row r="7768" x14ac:dyDescent="0.35"/>
    <row r="7769" x14ac:dyDescent="0.35"/>
    <row r="7770" x14ac:dyDescent="0.35"/>
    <row r="7771" x14ac:dyDescent="0.35"/>
    <row r="7772" x14ac:dyDescent="0.35"/>
    <row r="7773" x14ac:dyDescent="0.35"/>
    <row r="7774" x14ac:dyDescent="0.35"/>
    <row r="7775" x14ac:dyDescent="0.35"/>
    <row r="7776" x14ac:dyDescent="0.35"/>
    <row r="7777" x14ac:dyDescent="0.35"/>
    <row r="7778" x14ac:dyDescent="0.35"/>
    <row r="7779" x14ac:dyDescent="0.35"/>
    <row r="7780" x14ac:dyDescent="0.35"/>
    <row r="7781" x14ac:dyDescent="0.35"/>
    <row r="7782" x14ac:dyDescent="0.35"/>
    <row r="7783" x14ac:dyDescent="0.35"/>
    <row r="7784" x14ac:dyDescent="0.35"/>
    <row r="7785" x14ac:dyDescent="0.35"/>
    <row r="7786" x14ac:dyDescent="0.35"/>
    <row r="7787" x14ac:dyDescent="0.35"/>
    <row r="7788" x14ac:dyDescent="0.35"/>
    <row r="7789" x14ac:dyDescent="0.35"/>
    <row r="7790" x14ac:dyDescent="0.35"/>
    <row r="7791" x14ac:dyDescent="0.35"/>
    <row r="7792" x14ac:dyDescent="0.35"/>
    <row r="7793" x14ac:dyDescent="0.35"/>
    <row r="7794" x14ac:dyDescent="0.35"/>
    <row r="7795" x14ac:dyDescent="0.35"/>
    <row r="7796" x14ac:dyDescent="0.35"/>
    <row r="7797" x14ac:dyDescent="0.35"/>
    <row r="7798" x14ac:dyDescent="0.35"/>
    <row r="7799" x14ac:dyDescent="0.35"/>
    <row r="7800" x14ac:dyDescent="0.35"/>
    <row r="7801" x14ac:dyDescent="0.35"/>
    <row r="7802" x14ac:dyDescent="0.35"/>
    <row r="7803" x14ac:dyDescent="0.35"/>
    <row r="7804" x14ac:dyDescent="0.35"/>
    <row r="7805" x14ac:dyDescent="0.35"/>
    <row r="7806" x14ac:dyDescent="0.35"/>
    <row r="7807" x14ac:dyDescent="0.35"/>
    <row r="7808" x14ac:dyDescent="0.35"/>
    <row r="7809" x14ac:dyDescent="0.35"/>
    <row r="7810" x14ac:dyDescent="0.35"/>
    <row r="7811" x14ac:dyDescent="0.35"/>
    <row r="7812" x14ac:dyDescent="0.35"/>
    <row r="7813" x14ac:dyDescent="0.35"/>
    <row r="7814" x14ac:dyDescent="0.35"/>
    <row r="7815" x14ac:dyDescent="0.35"/>
    <row r="7816" x14ac:dyDescent="0.35"/>
    <row r="7817" x14ac:dyDescent="0.35"/>
    <row r="7818" x14ac:dyDescent="0.35"/>
    <row r="7819" x14ac:dyDescent="0.35"/>
    <row r="7820" x14ac:dyDescent="0.35"/>
    <row r="7821" x14ac:dyDescent="0.35"/>
    <row r="7822" x14ac:dyDescent="0.35"/>
    <row r="7823" x14ac:dyDescent="0.35"/>
    <row r="7824" x14ac:dyDescent="0.35"/>
    <row r="7825" x14ac:dyDescent="0.35"/>
    <row r="7826" x14ac:dyDescent="0.35"/>
    <row r="7827" x14ac:dyDescent="0.35"/>
    <row r="7828" x14ac:dyDescent="0.35"/>
    <row r="7829" x14ac:dyDescent="0.35"/>
    <row r="7830" x14ac:dyDescent="0.35"/>
    <row r="7831" x14ac:dyDescent="0.35"/>
    <row r="7832" x14ac:dyDescent="0.35"/>
    <row r="7833" x14ac:dyDescent="0.35"/>
    <row r="7834" x14ac:dyDescent="0.35"/>
    <row r="7835" x14ac:dyDescent="0.35"/>
    <row r="7836" x14ac:dyDescent="0.35"/>
    <row r="7837" x14ac:dyDescent="0.35"/>
    <row r="7838" x14ac:dyDescent="0.35"/>
    <row r="7839" x14ac:dyDescent="0.35"/>
    <row r="7840" x14ac:dyDescent="0.35"/>
    <row r="7841" x14ac:dyDescent="0.35"/>
    <row r="7842" x14ac:dyDescent="0.35"/>
    <row r="7843" x14ac:dyDescent="0.35"/>
    <row r="7844" x14ac:dyDescent="0.35"/>
    <row r="7845" x14ac:dyDescent="0.35"/>
    <row r="7846" x14ac:dyDescent="0.35"/>
    <row r="7847" x14ac:dyDescent="0.35"/>
    <row r="7848" x14ac:dyDescent="0.35"/>
    <row r="7849" x14ac:dyDescent="0.35"/>
    <row r="7850" x14ac:dyDescent="0.35"/>
    <row r="7851" x14ac:dyDescent="0.35"/>
    <row r="7852" x14ac:dyDescent="0.35"/>
    <row r="7853" x14ac:dyDescent="0.35"/>
    <row r="7854" x14ac:dyDescent="0.35"/>
    <row r="7855" x14ac:dyDescent="0.35"/>
    <row r="7856" x14ac:dyDescent="0.35"/>
    <row r="7857" x14ac:dyDescent="0.35"/>
    <row r="7858" x14ac:dyDescent="0.35"/>
    <row r="7859" x14ac:dyDescent="0.35"/>
    <row r="7860" x14ac:dyDescent="0.35"/>
    <row r="7861" x14ac:dyDescent="0.35"/>
    <row r="7862" x14ac:dyDescent="0.35"/>
    <row r="7863" x14ac:dyDescent="0.35"/>
    <row r="7864" x14ac:dyDescent="0.35"/>
    <row r="7865" x14ac:dyDescent="0.35"/>
    <row r="7866" x14ac:dyDescent="0.35"/>
    <row r="7867" x14ac:dyDescent="0.35"/>
    <row r="7868" x14ac:dyDescent="0.35"/>
    <row r="7869" x14ac:dyDescent="0.35"/>
    <row r="7870" x14ac:dyDescent="0.35"/>
    <row r="7871" x14ac:dyDescent="0.35"/>
    <row r="7872" x14ac:dyDescent="0.35"/>
    <row r="7873" x14ac:dyDescent="0.35"/>
    <row r="7874" x14ac:dyDescent="0.35"/>
    <row r="7875" x14ac:dyDescent="0.35"/>
    <row r="7876" x14ac:dyDescent="0.35"/>
    <row r="7877" x14ac:dyDescent="0.35"/>
    <row r="7878" x14ac:dyDescent="0.35"/>
    <row r="7879" x14ac:dyDescent="0.35"/>
    <row r="7880" x14ac:dyDescent="0.35"/>
    <row r="7881" x14ac:dyDescent="0.35"/>
    <row r="7882" x14ac:dyDescent="0.35"/>
    <row r="7883" x14ac:dyDescent="0.35"/>
    <row r="7884" x14ac:dyDescent="0.35"/>
    <row r="7885" x14ac:dyDescent="0.35"/>
    <row r="7886" x14ac:dyDescent="0.35"/>
    <row r="7887" x14ac:dyDescent="0.35"/>
    <row r="7888" x14ac:dyDescent="0.35"/>
    <row r="7889" x14ac:dyDescent="0.35"/>
    <row r="7890" x14ac:dyDescent="0.35"/>
    <row r="7891" x14ac:dyDescent="0.35"/>
    <row r="7892" x14ac:dyDescent="0.35"/>
    <row r="7893" x14ac:dyDescent="0.35"/>
    <row r="7894" x14ac:dyDescent="0.35"/>
    <row r="7895" x14ac:dyDescent="0.35"/>
    <row r="7896" x14ac:dyDescent="0.35"/>
    <row r="7897" x14ac:dyDescent="0.35"/>
    <row r="7898" x14ac:dyDescent="0.35"/>
    <row r="7899" x14ac:dyDescent="0.35"/>
    <row r="7900" x14ac:dyDescent="0.35"/>
    <row r="7901" x14ac:dyDescent="0.35"/>
    <row r="7902" x14ac:dyDescent="0.35"/>
    <row r="7903" x14ac:dyDescent="0.35"/>
    <row r="7904" x14ac:dyDescent="0.35"/>
    <row r="7905" x14ac:dyDescent="0.35"/>
    <row r="7906" x14ac:dyDescent="0.35"/>
    <row r="7907" x14ac:dyDescent="0.35"/>
    <row r="7908" x14ac:dyDescent="0.35"/>
    <row r="7909" x14ac:dyDescent="0.35"/>
    <row r="7910" x14ac:dyDescent="0.35"/>
    <row r="7911" x14ac:dyDescent="0.35"/>
    <row r="7912" x14ac:dyDescent="0.35"/>
    <row r="7913" x14ac:dyDescent="0.35"/>
    <row r="7914" x14ac:dyDescent="0.35"/>
    <row r="7915" x14ac:dyDescent="0.35"/>
    <row r="7916" x14ac:dyDescent="0.35"/>
    <row r="7917" x14ac:dyDescent="0.35"/>
    <row r="7918" x14ac:dyDescent="0.35"/>
    <row r="7919" x14ac:dyDescent="0.35"/>
    <row r="7920" x14ac:dyDescent="0.35"/>
    <row r="7921" x14ac:dyDescent="0.35"/>
    <row r="7922" x14ac:dyDescent="0.35"/>
    <row r="7923" x14ac:dyDescent="0.35"/>
    <row r="7924" x14ac:dyDescent="0.35"/>
    <row r="7925" x14ac:dyDescent="0.35"/>
    <row r="7926" x14ac:dyDescent="0.35"/>
    <row r="7927" x14ac:dyDescent="0.35"/>
    <row r="7928" x14ac:dyDescent="0.35"/>
    <row r="7929" x14ac:dyDescent="0.35"/>
    <row r="7930" x14ac:dyDescent="0.35"/>
    <row r="7931" x14ac:dyDescent="0.35"/>
    <row r="7932" x14ac:dyDescent="0.35"/>
    <row r="7933" x14ac:dyDescent="0.35"/>
    <row r="7934" x14ac:dyDescent="0.35"/>
    <row r="7935" x14ac:dyDescent="0.35"/>
    <row r="7936" x14ac:dyDescent="0.35"/>
    <row r="7937" x14ac:dyDescent="0.35"/>
    <row r="7938" x14ac:dyDescent="0.35"/>
    <row r="7939" x14ac:dyDescent="0.35"/>
    <row r="7940" x14ac:dyDescent="0.35"/>
    <row r="7941" x14ac:dyDescent="0.35"/>
    <row r="7942" x14ac:dyDescent="0.35"/>
    <row r="7943" x14ac:dyDescent="0.35"/>
    <row r="7944" x14ac:dyDescent="0.35"/>
    <row r="7945" x14ac:dyDescent="0.35"/>
    <row r="7946" x14ac:dyDescent="0.35"/>
    <row r="7947" x14ac:dyDescent="0.35"/>
    <row r="7948" x14ac:dyDescent="0.35"/>
    <row r="7949" x14ac:dyDescent="0.35"/>
    <row r="7950" x14ac:dyDescent="0.35"/>
    <row r="7951" x14ac:dyDescent="0.35"/>
    <row r="7952" x14ac:dyDescent="0.35"/>
    <row r="7953" x14ac:dyDescent="0.35"/>
    <row r="7954" x14ac:dyDescent="0.35"/>
    <row r="7955" x14ac:dyDescent="0.35"/>
    <row r="7956" x14ac:dyDescent="0.35"/>
    <row r="7957" x14ac:dyDescent="0.35"/>
    <row r="7958" x14ac:dyDescent="0.35"/>
    <row r="7959" x14ac:dyDescent="0.35"/>
    <row r="7960" x14ac:dyDescent="0.35"/>
    <row r="7961" x14ac:dyDescent="0.35"/>
    <row r="7962" x14ac:dyDescent="0.35"/>
    <row r="7963" x14ac:dyDescent="0.35"/>
    <row r="7964" x14ac:dyDescent="0.35"/>
    <row r="7965" x14ac:dyDescent="0.35"/>
    <row r="7966" x14ac:dyDescent="0.35"/>
    <row r="7967" x14ac:dyDescent="0.35"/>
    <row r="7968" x14ac:dyDescent="0.35"/>
    <row r="7969" x14ac:dyDescent="0.35"/>
    <row r="7970" x14ac:dyDescent="0.35"/>
    <row r="7971" x14ac:dyDescent="0.35"/>
    <row r="7972" x14ac:dyDescent="0.35"/>
    <row r="7973" x14ac:dyDescent="0.35"/>
    <row r="7974" x14ac:dyDescent="0.35"/>
    <row r="7975" x14ac:dyDescent="0.35"/>
    <row r="7976" x14ac:dyDescent="0.35"/>
    <row r="7977" x14ac:dyDescent="0.35"/>
    <row r="7978" x14ac:dyDescent="0.35"/>
    <row r="7979" x14ac:dyDescent="0.35"/>
    <row r="7980" x14ac:dyDescent="0.35"/>
    <row r="7981" x14ac:dyDescent="0.35"/>
    <row r="7982" x14ac:dyDescent="0.35"/>
    <row r="7983" x14ac:dyDescent="0.35"/>
    <row r="7984" x14ac:dyDescent="0.35"/>
    <row r="7985" x14ac:dyDescent="0.35"/>
    <row r="7986" x14ac:dyDescent="0.35"/>
    <row r="7987" x14ac:dyDescent="0.35"/>
    <row r="7988" x14ac:dyDescent="0.35"/>
    <row r="7989" x14ac:dyDescent="0.35"/>
    <row r="7990" x14ac:dyDescent="0.35"/>
    <row r="7991" x14ac:dyDescent="0.35"/>
    <row r="7992" x14ac:dyDescent="0.35"/>
    <row r="7993" x14ac:dyDescent="0.35"/>
    <row r="7994" x14ac:dyDescent="0.35"/>
    <row r="7995" x14ac:dyDescent="0.35"/>
    <row r="7996" x14ac:dyDescent="0.35"/>
    <row r="7997" x14ac:dyDescent="0.35"/>
    <row r="7998" x14ac:dyDescent="0.35"/>
    <row r="7999" x14ac:dyDescent="0.35"/>
    <row r="8000" x14ac:dyDescent="0.35"/>
    <row r="8001" x14ac:dyDescent="0.35"/>
    <row r="8002" x14ac:dyDescent="0.35"/>
    <row r="8003" x14ac:dyDescent="0.35"/>
    <row r="8004" x14ac:dyDescent="0.35"/>
    <row r="8005" x14ac:dyDescent="0.35"/>
    <row r="8006" x14ac:dyDescent="0.35"/>
    <row r="8007" x14ac:dyDescent="0.35"/>
    <row r="8008" x14ac:dyDescent="0.35"/>
    <row r="8009" x14ac:dyDescent="0.35"/>
    <row r="8010" x14ac:dyDescent="0.35"/>
    <row r="8011" x14ac:dyDescent="0.35"/>
    <row r="8012" x14ac:dyDescent="0.35"/>
    <row r="8013" x14ac:dyDescent="0.35"/>
    <row r="8014" x14ac:dyDescent="0.35"/>
    <row r="8015" x14ac:dyDescent="0.35"/>
    <row r="8016" x14ac:dyDescent="0.35"/>
    <row r="8017" x14ac:dyDescent="0.35"/>
    <row r="8018" x14ac:dyDescent="0.35"/>
    <row r="8019" x14ac:dyDescent="0.35"/>
    <row r="8020" x14ac:dyDescent="0.35"/>
    <row r="8021" x14ac:dyDescent="0.35"/>
    <row r="8022" x14ac:dyDescent="0.35"/>
    <row r="8023" x14ac:dyDescent="0.35"/>
    <row r="8024" x14ac:dyDescent="0.35"/>
    <row r="8025" x14ac:dyDescent="0.35"/>
    <row r="8026" x14ac:dyDescent="0.35"/>
    <row r="8027" x14ac:dyDescent="0.35"/>
    <row r="8028" x14ac:dyDescent="0.35"/>
    <row r="8029" x14ac:dyDescent="0.35"/>
    <row r="8030" x14ac:dyDescent="0.35"/>
    <row r="8031" x14ac:dyDescent="0.35"/>
    <row r="8032" x14ac:dyDescent="0.35"/>
    <row r="8033" x14ac:dyDescent="0.35"/>
    <row r="8034" x14ac:dyDescent="0.35"/>
    <row r="8035" x14ac:dyDescent="0.35"/>
    <row r="8036" x14ac:dyDescent="0.35"/>
    <row r="8037" x14ac:dyDescent="0.35"/>
    <row r="8038" x14ac:dyDescent="0.35"/>
    <row r="8039" x14ac:dyDescent="0.35"/>
    <row r="8040" x14ac:dyDescent="0.35"/>
    <row r="8041" x14ac:dyDescent="0.35"/>
    <row r="8042" x14ac:dyDescent="0.35"/>
    <row r="8043" x14ac:dyDescent="0.35"/>
    <row r="8044" x14ac:dyDescent="0.35"/>
    <row r="8045" x14ac:dyDescent="0.35"/>
    <row r="8046" x14ac:dyDescent="0.35"/>
    <row r="8047" x14ac:dyDescent="0.35"/>
    <row r="8048" x14ac:dyDescent="0.35"/>
    <row r="8049" x14ac:dyDescent="0.35"/>
    <row r="8050" x14ac:dyDescent="0.35"/>
    <row r="8051" x14ac:dyDescent="0.35"/>
    <row r="8052" x14ac:dyDescent="0.35"/>
    <row r="8053" x14ac:dyDescent="0.35"/>
    <row r="8054" x14ac:dyDescent="0.35"/>
    <row r="8055" x14ac:dyDescent="0.35"/>
    <row r="8056" x14ac:dyDescent="0.35"/>
    <row r="8057" x14ac:dyDescent="0.35"/>
    <row r="8058" x14ac:dyDescent="0.35"/>
    <row r="8059" x14ac:dyDescent="0.35"/>
    <row r="8060" x14ac:dyDescent="0.35"/>
    <row r="8061" x14ac:dyDescent="0.35"/>
    <row r="8062" x14ac:dyDescent="0.35"/>
    <row r="8063" x14ac:dyDescent="0.35"/>
    <row r="8064" x14ac:dyDescent="0.35"/>
    <row r="8065" x14ac:dyDescent="0.35"/>
    <row r="8066" x14ac:dyDescent="0.35"/>
    <row r="8067" x14ac:dyDescent="0.35"/>
    <row r="8068" x14ac:dyDescent="0.35"/>
    <row r="8069" x14ac:dyDescent="0.35"/>
    <row r="8070" x14ac:dyDescent="0.35"/>
    <row r="8071" x14ac:dyDescent="0.35"/>
    <row r="8072" x14ac:dyDescent="0.35"/>
    <row r="8073" x14ac:dyDescent="0.35"/>
    <row r="8074" x14ac:dyDescent="0.35"/>
    <row r="8075" x14ac:dyDescent="0.35"/>
    <row r="8076" x14ac:dyDescent="0.35"/>
    <row r="8077" x14ac:dyDescent="0.35"/>
    <row r="8078" x14ac:dyDescent="0.35"/>
    <row r="8079" x14ac:dyDescent="0.35"/>
    <row r="8080" x14ac:dyDescent="0.35"/>
    <row r="8081" x14ac:dyDescent="0.35"/>
    <row r="8082" x14ac:dyDescent="0.35"/>
    <row r="8083" x14ac:dyDescent="0.35"/>
    <row r="8084" x14ac:dyDescent="0.35"/>
    <row r="8085" x14ac:dyDescent="0.35"/>
    <row r="8086" x14ac:dyDescent="0.35"/>
    <row r="8087" x14ac:dyDescent="0.35"/>
    <row r="8088" x14ac:dyDescent="0.35"/>
    <row r="8089" x14ac:dyDescent="0.35"/>
    <row r="8090" x14ac:dyDescent="0.35"/>
    <row r="8091" x14ac:dyDescent="0.35"/>
    <row r="8092" x14ac:dyDescent="0.35"/>
    <row r="8093" x14ac:dyDescent="0.35"/>
    <row r="8094" x14ac:dyDescent="0.35"/>
    <row r="8095" x14ac:dyDescent="0.35"/>
    <row r="8096" x14ac:dyDescent="0.35"/>
    <row r="8097" x14ac:dyDescent="0.35"/>
    <row r="8098" x14ac:dyDescent="0.35"/>
    <row r="8099" x14ac:dyDescent="0.35"/>
    <row r="8100" x14ac:dyDescent="0.35"/>
    <row r="8101" x14ac:dyDescent="0.35"/>
    <row r="8102" x14ac:dyDescent="0.35"/>
    <row r="8103" x14ac:dyDescent="0.35"/>
    <row r="8104" x14ac:dyDescent="0.35"/>
    <row r="8105" x14ac:dyDescent="0.35"/>
    <row r="8106" x14ac:dyDescent="0.35"/>
    <row r="8107" x14ac:dyDescent="0.35"/>
    <row r="8108" x14ac:dyDescent="0.35"/>
    <row r="8109" x14ac:dyDescent="0.35"/>
    <row r="8110" x14ac:dyDescent="0.35"/>
    <row r="8111" x14ac:dyDescent="0.35"/>
    <row r="8112" x14ac:dyDescent="0.35"/>
    <row r="8113" x14ac:dyDescent="0.35"/>
    <row r="8114" x14ac:dyDescent="0.35"/>
    <row r="8115" x14ac:dyDescent="0.35"/>
    <row r="8116" x14ac:dyDescent="0.35"/>
    <row r="8117" x14ac:dyDescent="0.35"/>
    <row r="8118" x14ac:dyDescent="0.35"/>
    <row r="8119" x14ac:dyDescent="0.35"/>
    <row r="8120" x14ac:dyDescent="0.35"/>
    <row r="8121" x14ac:dyDescent="0.35"/>
    <row r="8122" x14ac:dyDescent="0.35"/>
    <row r="8123" x14ac:dyDescent="0.35"/>
    <row r="8124" x14ac:dyDescent="0.35"/>
    <row r="8125" x14ac:dyDescent="0.35"/>
    <row r="8126" x14ac:dyDescent="0.35"/>
    <row r="8127" x14ac:dyDescent="0.35"/>
    <row r="8128" x14ac:dyDescent="0.35"/>
    <row r="8129" x14ac:dyDescent="0.35"/>
    <row r="8130" x14ac:dyDescent="0.35"/>
    <row r="8131" x14ac:dyDescent="0.35"/>
    <row r="8132" x14ac:dyDescent="0.35"/>
    <row r="8133" x14ac:dyDescent="0.35"/>
    <row r="8134" x14ac:dyDescent="0.35"/>
    <row r="8135" x14ac:dyDescent="0.35"/>
    <row r="8136" x14ac:dyDescent="0.35"/>
    <row r="8137" x14ac:dyDescent="0.35"/>
    <row r="8138" x14ac:dyDescent="0.35"/>
    <row r="8139" x14ac:dyDescent="0.35"/>
    <row r="8140" x14ac:dyDescent="0.35"/>
    <row r="8141" x14ac:dyDescent="0.35"/>
    <row r="8142" x14ac:dyDescent="0.35"/>
    <row r="8143" x14ac:dyDescent="0.35"/>
    <row r="8144" x14ac:dyDescent="0.35"/>
    <row r="8145" x14ac:dyDescent="0.35"/>
    <row r="8146" x14ac:dyDescent="0.35"/>
    <row r="8147" x14ac:dyDescent="0.35"/>
    <row r="8148" x14ac:dyDescent="0.35"/>
    <row r="8149" x14ac:dyDescent="0.35"/>
    <row r="8150" x14ac:dyDescent="0.35"/>
    <row r="8151" x14ac:dyDescent="0.35"/>
    <row r="8152" x14ac:dyDescent="0.35"/>
    <row r="8153" x14ac:dyDescent="0.35"/>
    <row r="8154" x14ac:dyDescent="0.35"/>
    <row r="8155" x14ac:dyDescent="0.35"/>
    <row r="8156" x14ac:dyDescent="0.35"/>
    <row r="8157" x14ac:dyDescent="0.35"/>
    <row r="8158" x14ac:dyDescent="0.35"/>
    <row r="8159" x14ac:dyDescent="0.35"/>
    <row r="8160" x14ac:dyDescent="0.35"/>
    <row r="8161" x14ac:dyDescent="0.35"/>
    <row r="8162" x14ac:dyDescent="0.35"/>
    <row r="8163" x14ac:dyDescent="0.35"/>
    <row r="8164" x14ac:dyDescent="0.35"/>
    <row r="8165" x14ac:dyDescent="0.35"/>
    <row r="8166" x14ac:dyDescent="0.35"/>
    <row r="8167" x14ac:dyDescent="0.35"/>
    <row r="8168" x14ac:dyDescent="0.35"/>
    <row r="8169" x14ac:dyDescent="0.35"/>
    <row r="8170" x14ac:dyDescent="0.35"/>
    <row r="8171" x14ac:dyDescent="0.35"/>
    <row r="8172" x14ac:dyDescent="0.35"/>
    <row r="8173" x14ac:dyDescent="0.35"/>
    <row r="8174" x14ac:dyDescent="0.35"/>
    <row r="8175" x14ac:dyDescent="0.35"/>
    <row r="8176" x14ac:dyDescent="0.35"/>
    <row r="8177" x14ac:dyDescent="0.35"/>
    <row r="8178" x14ac:dyDescent="0.35"/>
    <row r="8179" x14ac:dyDescent="0.35"/>
    <row r="8180" x14ac:dyDescent="0.35"/>
    <row r="8181" x14ac:dyDescent="0.35"/>
    <row r="8182" x14ac:dyDescent="0.35"/>
    <row r="8183" x14ac:dyDescent="0.35"/>
    <row r="8184" x14ac:dyDescent="0.35"/>
    <row r="8185" x14ac:dyDescent="0.35"/>
    <row r="8186" x14ac:dyDescent="0.35"/>
    <row r="8187" x14ac:dyDescent="0.35"/>
    <row r="8188" x14ac:dyDescent="0.35"/>
    <row r="8189" x14ac:dyDescent="0.35"/>
    <row r="8190" x14ac:dyDescent="0.35"/>
    <row r="8191" x14ac:dyDescent="0.35"/>
    <row r="8192" x14ac:dyDescent="0.35"/>
    <row r="8193" x14ac:dyDescent="0.35"/>
    <row r="8194" x14ac:dyDescent="0.35"/>
    <row r="8195" x14ac:dyDescent="0.35"/>
    <row r="8196" x14ac:dyDescent="0.35"/>
    <row r="8197" x14ac:dyDescent="0.35"/>
    <row r="8198" x14ac:dyDescent="0.35"/>
    <row r="8199" x14ac:dyDescent="0.35"/>
    <row r="8200" x14ac:dyDescent="0.35"/>
    <row r="8201" x14ac:dyDescent="0.35"/>
    <row r="8202" x14ac:dyDescent="0.35"/>
    <row r="8203" x14ac:dyDescent="0.35"/>
    <row r="8204" x14ac:dyDescent="0.35"/>
    <row r="8205" x14ac:dyDescent="0.35"/>
    <row r="8206" x14ac:dyDescent="0.35"/>
    <row r="8207" x14ac:dyDescent="0.35"/>
    <row r="8208" x14ac:dyDescent="0.35"/>
    <row r="8209" x14ac:dyDescent="0.35"/>
    <row r="8210" x14ac:dyDescent="0.35"/>
    <row r="8211" x14ac:dyDescent="0.35"/>
    <row r="8212" x14ac:dyDescent="0.35"/>
    <row r="8213" x14ac:dyDescent="0.35"/>
    <row r="8214" x14ac:dyDescent="0.35"/>
    <row r="8215" x14ac:dyDescent="0.35"/>
    <row r="8216" x14ac:dyDescent="0.35"/>
    <row r="8217" x14ac:dyDescent="0.35"/>
    <row r="8218" x14ac:dyDescent="0.35"/>
    <row r="8219" x14ac:dyDescent="0.35"/>
    <row r="8220" x14ac:dyDescent="0.35"/>
    <row r="8221" x14ac:dyDescent="0.35"/>
    <row r="8222" x14ac:dyDescent="0.35"/>
    <row r="8223" x14ac:dyDescent="0.35"/>
    <row r="8224" x14ac:dyDescent="0.35"/>
    <row r="8225" x14ac:dyDescent="0.35"/>
    <row r="8226" x14ac:dyDescent="0.35"/>
    <row r="8227" x14ac:dyDescent="0.35"/>
    <row r="8228" x14ac:dyDescent="0.35"/>
    <row r="8229" x14ac:dyDescent="0.35"/>
    <row r="8230" x14ac:dyDescent="0.35"/>
    <row r="8231" x14ac:dyDescent="0.35"/>
    <row r="8232" x14ac:dyDescent="0.35"/>
    <row r="8233" x14ac:dyDescent="0.35"/>
    <row r="8234" x14ac:dyDescent="0.35"/>
    <row r="8235" x14ac:dyDescent="0.35"/>
    <row r="8236" x14ac:dyDescent="0.35"/>
    <row r="8237" x14ac:dyDescent="0.35"/>
    <row r="8238" x14ac:dyDescent="0.35"/>
    <row r="8239" x14ac:dyDescent="0.35"/>
    <row r="8240" x14ac:dyDescent="0.35"/>
    <row r="8241" x14ac:dyDescent="0.35"/>
    <row r="8242" x14ac:dyDescent="0.35"/>
    <row r="8243" x14ac:dyDescent="0.35"/>
    <row r="8244" x14ac:dyDescent="0.35"/>
    <row r="8245" x14ac:dyDescent="0.35"/>
    <row r="8246" x14ac:dyDescent="0.35"/>
    <row r="8247" x14ac:dyDescent="0.35"/>
    <row r="8248" x14ac:dyDescent="0.35"/>
    <row r="8249" x14ac:dyDescent="0.35"/>
    <row r="8250" x14ac:dyDescent="0.35"/>
    <row r="8251" x14ac:dyDescent="0.35"/>
    <row r="8252" x14ac:dyDescent="0.35"/>
    <row r="8253" x14ac:dyDescent="0.35"/>
    <row r="8254" x14ac:dyDescent="0.35"/>
    <row r="8255" x14ac:dyDescent="0.35"/>
    <row r="8256" x14ac:dyDescent="0.35"/>
    <row r="8257" x14ac:dyDescent="0.35"/>
    <row r="8258" x14ac:dyDescent="0.35"/>
    <row r="8259" x14ac:dyDescent="0.35"/>
    <row r="8260" x14ac:dyDescent="0.35"/>
    <row r="8261" x14ac:dyDescent="0.35"/>
    <row r="8262" x14ac:dyDescent="0.35"/>
    <row r="8263" x14ac:dyDescent="0.35"/>
    <row r="8264" x14ac:dyDescent="0.35"/>
    <row r="8265" x14ac:dyDescent="0.35"/>
    <row r="8266" x14ac:dyDescent="0.35"/>
    <row r="8267" x14ac:dyDescent="0.35"/>
    <row r="8268" x14ac:dyDescent="0.35"/>
    <row r="8269" x14ac:dyDescent="0.35"/>
    <row r="8270" x14ac:dyDescent="0.35"/>
    <row r="8271" x14ac:dyDescent="0.35"/>
    <row r="8272" x14ac:dyDescent="0.35"/>
    <row r="8273" x14ac:dyDescent="0.35"/>
    <row r="8274" x14ac:dyDescent="0.35"/>
    <row r="8275" x14ac:dyDescent="0.35"/>
    <row r="8276" x14ac:dyDescent="0.35"/>
    <row r="8277" x14ac:dyDescent="0.35"/>
    <row r="8278" x14ac:dyDescent="0.35"/>
    <row r="8279" x14ac:dyDescent="0.35"/>
    <row r="8280" x14ac:dyDescent="0.35"/>
    <row r="8281" x14ac:dyDescent="0.35"/>
    <row r="8282" x14ac:dyDescent="0.35"/>
    <row r="8283" x14ac:dyDescent="0.35"/>
    <row r="8284" x14ac:dyDescent="0.35"/>
    <row r="8285" x14ac:dyDescent="0.35"/>
    <row r="8286" x14ac:dyDescent="0.35"/>
    <row r="8287" x14ac:dyDescent="0.35"/>
    <row r="8288" x14ac:dyDescent="0.35"/>
    <row r="8289" x14ac:dyDescent="0.35"/>
    <row r="8290" x14ac:dyDescent="0.35"/>
    <row r="8291" x14ac:dyDescent="0.35"/>
    <row r="8292" x14ac:dyDescent="0.35"/>
    <row r="8293" x14ac:dyDescent="0.35"/>
    <row r="8294" x14ac:dyDescent="0.35"/>
    <row r="8295" x14ac:dyDescent="0.35"/>
    <row r="8296" x14ac:dyDescent="0.35"/>
    <row r="8297" x14ac:dyDescent="0.35"/>
    <row r="8298" x14ac:dyDescent="0.35"/>
    <row r="8299" x14ac:dyDescent="0.35"/>
    <row r="8300" x14ac:dyDescent="0.35"/>
    <row r="8301" x14ac:dyDescent="0.35"/>
    <row r="8302" x14ac:dyDescent="0.35"/>
    <row r="8303" x14ac:dyDescent="0.35"/>
    <row r="8304" x14ac:dyDescent="0.35"/>
    <row r="8305" x14ac:dyDescent="0.35"/>
    <row r="8306" x14ac:dyDescent="0.35"/>
    <row r="8307" x14ac:dyDescent="0.35"/>
    <row r="8308" x14ac:dyDescent="0.35"/>
    <row r="8309" x14ac:dyDescent="0.35"/>
    <row r="8310" x14ac:dyDescent="0.35"/>
    <row r="8311" x14ac:dyDescent="0.35"/>
    <row r="8312" x14ac:dyDescent="0.35"/>
    <row r="8313" x14ac:dyDescent="0.35"/>
    <row r="8314" x14ac:dyDescent="0.35"/>
    <row r="8315" x14ac:dyDescent="0.35"/>
    <row r="8316" x14ac:dyDescent="0.35"/>
    <row r="8317" x14ac:dyDescent="0.35"/>
    <row r="8318" x14ac:dyDescent="0.35"/>
    <row r="8319" x14ac:dyDescent="0.35"/>
    <row r="8320" x14ac:dyDescent="0.35"/>
    <row r="8321" x14ac:dyDescent="0.35"/>
    <row r="8322" x14ac:dyDescent="0.35"/>
    <row r="8323" x14ac:dyDescent="0.35"/>
    <row r="8324" x14ac:dyDescent="0.35"/>
    <row r="8325" x14ac:dyDescent="0.35"/>
    <row r="8326" x14ac:dyDescent="0.35"/>
    <row r="8327" x14ac:dyDescent="0.35"/>
    <row r="8328" x14ac:dyDescent="0.35"/>
    <row r="8329" x14ac:dyDescent="0.35"/>
    <row r="8330" x14ac:dyDescent="0.35"/>
    <row r="8331" x14ac:dyDescent="0.35"/>
    <row r="8332" x14ac:dyDescent="0.35"/>
    <row r="8333" x14ac:dyDescent="0.35"/>
    <row r="8334" x14ac:dyDescent="0.35"/>
    <row r="8335" x14ac:dyDescent="0.35"/>
    <row r="8336" x14ac:dyDescent="0.35"/>
    <row r="8337" x14ac:dyDescent="0.35"/>
    <row r="8338" x14ac:dyDescent="0.35"/>
    <row r="8339" x14ac:dyDescent="0.35"/>
    <row r="8340" x14ac:dyDescent="0.35"/>
    <row r="8341" x14ac:dyDescent="0.35"/>
    <row r="8342" x14ac:dyDescent="0.35"/>
    <row r="8343" x14ac:dyDescent="0.35"/>
    <row r="8344" x14ac:dyDescent="0.35"/>
    <row r="8345" x14ac:dyDescent="0.35"/>
    <row r="8346" x14ac:dyDescent="0.35"/>
    <row r="8347" x14ac:dyDescent="0.35"/>
    <row r="8348" x14ac:dyDescent="0.35"/>
    <row r="8349" x14ac:dyDescent="0.35"/>
    <row r="8350" x14ac:dyDescent="0.35"/>
    <row r="8351" x14ac:dyDescent="0.35"/>
    <row r="8352" x14ac:dyDescent="0.35"/>
    <row r="8353" x14ac:dyDescent="0.35"/>
    <row r="8354" x14ac:dyDescent="0.35"/>
    <row r="8355" x14ac:dyDescent="0.35"/>
    <row r="8356" x14ac:dyDescent="0.35"/>
    <row r="8357" x14ac:dyDescent="0.35"/>
    <row r="8358" x14ac:dyDescent="0.35"/>
    <row r="8359" x14ac:dyDescent="0.35"/>
    <row r="8360" x14ac:dyDescent="0.35"/>
    <row r="8361" x14ac:dyDescent="0.35"/>
    <row r="8362" x14ac:dyDescent="0.35"/>
    <row r="8363" x14ac:dyDescent="0.35"/>
    <row r="8364" x14ac:dyDescent="0.35"/>
    <row r="8365" x14ac:dyDescent="0.35"/>
    <row r="8366" x14ac:dyDescent="0.35"/>
    <row r="8367" x14ac:dyDescent="0.35"/>
    <row r="8368" x14ac:dyDescent="0.35"/>
    <row r="8369" x14ac:dyDescent="0.35"/>
    <row r="8370" x14ac:dyDescent="0.35"/>
    <row r="8371" x14ac:dyDescent="0.35"/>
    <row r="8372" x14ac:dyDescent="0.35"/>
    <row r="8373" x14ac:dyDescent="0.35"/>
    <row r="8374" x14ac:dyDescent="0.35"/>
    <row r="8375" x14ac:dyDescent="0.35"/>
    <row r="8376" x14ac:dyDescent="0.35"/>
    <row r="8377" x14ac:dyDescent="0.35"/>
    <row r="8378" x14ac:dyDescent="0.35"/>
    <row r="8379" x14ac:dyDescent="0.35"/>
    <row r="8380" x14ac:dyDescent="0.35"/>
    <row r="8381" x14ac:dyDescent="0.35"/>
    <row r="8382" x14ac:dyDescent="0.35"/>
    <row r="8383" x14ac:dyDescent="0.35"/>
    <row r="8384" x14ac:dyDescent="0.35"/>
    <row r="8385" x14ac:dyDescent="0.35"/>
    <row r="8386" x14ac:dyDescent="0.35"/>
    <row r="8387" x14ac:dyDescent="0.35"/>
    <row r="8388" x14ac:dyDescent="0.35"/>
    <row r="8389" x14ac:dyDescent="0.35"/>
    <row r="8390" x14ac:dyDescent="0.35"/>
    <row r="8391" x14ac:dyDescent="0.35"/>
    <row r="8392" x14ac:dyDescent="0.35"/>
    <row r="8393" x14ac:dyDescent="0.35"/>
    <row r="8394" x14ac:dyDescent="0.35"/>
    <row r="8395" x14ac:dyDescent="0.35"/>
    <row r="8396" x14ac:dyDescent="0.35"/>
    <row r="8397" x14ac:dyDescent="0.35"/>
    <row r="8398" x14ac:dyDescent="0.35"/>
    <row r="8399" x14ac:dyDescent="0.35"/>
    <row r="8400" x14ac:dyDescent="0.35"/>
    <row r="8401" x14ac:dyDescent="0.35"/>
    <row r="8402" x14ac:dyDescent="0.35"/>
    <row r="8403" x14ac:dyDescent="0.35"/>
    <row r="8404" x14ac:dyDescent="0.35"/>
    <row r="8405" x14ac:dyDescent="0.35"/>
    <row r="8406" x14ac:dyDescent="0.35"/>
    <row r="8407" x14ac:dyDescent="0.35"/>
    <row r="8408" x14ac:dyDescent="0.35"/>
    <row r="8409" x14ac:dyDescent="0.35"/>
    <row r="8410" x14ac:dyDescent="0.35"/>
    <row r="8411" x14ac:dyDescent="0.35"/>
    <row r="8412" x14ac:dyDescent="0.35"/>
    <row r="8413" x14ac:dyDescent="0.35"/>
    <row r="8414" x14ac:dyDescent="0.35"/>
    <row r="8415" x14ac:dyDescent="0.35"/>
    <row r="8416" x14ac:dyDescent="0.35"/>
    <row r="8417" x14ac:dyDescent="0.35"/>
    <row r="8418" x14ac:dyDescent="0.35"/>
    <row r="8419" x14ac:dyDescent="0.35"/>
    <row r="8420" x14ac:dyDescent="0.35"/>
    <row r="8421" x14ac:dyDescent="0.35"/>
    <row r="8422" x14ac:dyDescent="0.35"/>
    <row r="8423" x14ac:dyDescent="0.35"/>
    <row r="8424" x14ac:dyDescent="0.35"/>
    <row r="8425" x14ac:dyDescent="0.35"/>
    <row r="8426" x14ac:dyDescent="0.35"/>
    <row r="8427" x14ac:dyDescent="0.35"/>
    <row r="8428" x14ac:dyDescent="0.35"/>
    <row r="8429" x14ac:dyDescent="0.35"/>
    <row r="8430" x14ac:dyDescent="0.35"/>
    <row r="8431" x14ac:dyDescent="0.35"/>
    <row r="8432" x14ac:dyDescent="0.35"/>
    <row r="8433" x14ac:dyDescent="0.35"/>
    <row r="8434" x14ac:dyDescent="0.35"/>
    <row r="8435" x14ac:dyDescent="0.35"/>
    <row r="8436" x14ac:dyDescent="0.35"/>
    <row r="8437" x14ac:dyDescent="0.35"/>
    <row r="8438" x14ac:dyDescent="0.35"/>
    <row r="8439" x14ac:dyDescent="0.35"/>
    <row r="8440" x14ac:dyDescent="0.35"/>
    <row r="8441" x14ac:dyDescent="0.35"/>
    <row r="8442" x14ac:dyDescent="0.35"/>
    <row r="8443" x14ac:dyDescent="0.35"/>
    <row r="8444" x14ac:dyDescent="0.35"/>
    <row r="8445" x14ac:dyDescent="0.35"/>
    <row r="8446" x14ac:dyDescent="0.35"/>
    <row r="8447" x14ac:dyDescent="0.35"/>
    <row r="8448" x14ac:dyDescent="0.35"/>
    <row r="8449" x14ac:dyDescent="0.35"/>
    <row r="8450" x14ac:dyDescent="0.35"/>
    <row r="8451" x14ac:dyDescent="0.35"/>
    <row r="8452" x14ac:dyDescent="0.35"/>
    <row r="8453" x14ac:dyDescent="0.35"/>
    <row r="8454" x14ac:dyDescent="0.35"/>
    <row r="8455" x14ac:dyDescent="0.35"/>
    <row r="8456" x14ac:dyDescent="0.35"/>
    <row r="8457" x14ac:dyDescent="0.35"/>
    <row r="8458" x14ac:dyDescent="0.35"/>
    <row r="8459" x14ac:dyDescent="0.35"/>
    <row r="8460" x14ac:dyDescent="0.35"/>
    <row r="8461" x14ac:dyDescent="0.35"/>
    <row r="8462" x14ac:dyDescent="0.35"/>
    <row r="8463" x14ac:dyDescent="0.35"/>
    <row r="8464" x14ac:dyDescent="0.35"/>
    <row r="8465" x14ac:dyDescent="0.35"/>
    <row r="8466" x14ac:dyDescent="0.35"/>
    <row r="8467" x14ac:dyDescent="0.35"/>
    <row r="8468" x14ac:dyDescent="0.35"/>
    <row r="8469" x14ac:dyDescent="0.35"/>
    <row r="8470" x14ac:dyDescent="0.35"/>
    <row r="8471" x14ac:dyDescent="0.35"/>
    <row r="8472" x14ac:dyDescent="0.35"/>
    <row r="8473" x14ac:dyDescent="0.35"/>
    <row r="8474" x14ac:dyDescent="0.35"/>
    <row r="8475" x14ac:dyDescent="0.35"/>
    <row r="8476" x14ac:dyDescent="0.35"/>
    <row r="8477" x14ac:dyDescent="0.35"/>
    <row r="8478" x14ac:dyDescent="0.35"/>
    <row r="8479" x14ac:dyDescent="0.35"/>
    <row r="8480" x14ac:dyDescent="0.35"/>
    <row r="8481" x14ac:dyDescent="0.35"/>
    <row r="8482" x14ac:dyDescent="0.35"/>
    <row r="8483" x14ac:dyDescent="0.35"/>
    <row r="8484" x14ac:dyDescent="0.35"/>
    <row r="8485" x14ac:dyDescent="0.35"/>
    <row r="8486" x14ac:dyDescent="0.35"/>
    <row r="8487" x14ac:dyDescent="0.35"/>
    <row r="8488" x14ac:dyDescent="0.35"/>
    <row r="8489" x14ac:dyDescent="0.35"/>
    <row r="8490" x14ac:dyDescent="0.35"/>
    <row r="8491" x14ac:dyDescent="0.35"/>
    <row r="8492" x14ac:dyDescent="0.35"/>
    <row r="8493" x14ac:dyDescent="0.35"/>
    <row r="8494" x14ac:dyDescent="0.35"/>
    <row r="8495" x14ac:dyDescent="0.35"/>
    <row r="8496" x14ac:dyDescent="0.35"/>
    <row r="8497" x14ac:dyDescent="0.35"/>
    <row r="8498" x14ac:dyDescent="0.35"/>
    <row r="8499" x14ac:dyDescent="0.35"/>
    <row r="8500" x14ac:dyDescent="0.35"/>
    <row r="8501" x14ac:dyDescent="0.35"/>
    <row r="8502" x14ac:dyDescent="0.35"/>
    <row r="8503" x14ac:dyDescent="0.35"/>
    <row r="8504" x14ac:dyDescent="0.35"/>
    <row r="8505" x14ac:dyDescent="0.35"/>
    <row r="8506" x14ac:dyDescent="0.35"/>
    <row r="8507" x14ac:dyDescent="0.35"/>
    <row r="8508" x14ac:dyDescent="0.35"/>
    <row r="8509" x14ac:dyDescent="0.35"/>
    <row r="8510" x14ac:dyDescent="0.35"/>
    <row r="8511" x14ac:dyDescent="0.35"/>
    <row r="8512" x14ac:dyDescent="0.35"/>
    <row r="8513" x14ac:dyDescent="0.35"/>
    <row r="8514" x14ac:dyDescent="0.35"/>
    <row r="8515" x14ac:dyDescent="0.35"/>
    <row r="8516" x14ac:dyDescent="0.35"/>
    <row r="8517" x14ac:dyDescent="0.35"/>
    <row r="8518" x14ac:dyDescent="0.35"/>
    <row r="8519" x14ac:dyDescent="0.35"/>
    <row r="8520" x14ac:dyDescent="0.35"/>
    <row r="8521" x14ac:dyDescent="0.35"/>
    <row r="8522" x14ac:dyDescent="0.35"/>
    <row r="8523" x14ac:dyDescent="0.35"/>
    <row r="8524" x14ac:dyDescent="0.35"/>
    <row r="8525" x14ac:dyDescent="0.35"/>
    <row r="8526" x14ac:dyDescent="0.35"/>
    <row r="8527" x14ac:dyDescent="0.35"/>
    <row r="8528" x14ac:dyDescent="0.35"/>
    <row r="8529" x14ac:dyDescent="0.35"/>
    <row r="8530" x14ac:dyDescent="0.35"/>
    <row r="8531" x14ac:dyDescent="0.35"/>
    <row r="8532" x14ac:dyDescent="0.35"/>
    <row r="8533" x14ac:dyDescent="0.35"/>
    <row r="8534" x14ac:dyDescent="0.35"/>
    <row r="8535" x14ac:dyDescent="0.35"/>
    <row r="8536" x14ac:dyDescent="0.35"/>
    <row r="8537" x14ac:dyDescent="0.35"/>
    <row r="8538" x14ac:dyDescent="0.35"/>
    <row r="8539" x14ac:dyDescent="0.35"/>
    <row r="8540" x14ac:dyDescent="0.35"/>
    <row r="8541" x14ac:dyDescent="0.35"/>
    <row r="8542" x14ac:dyDescent="0.35"/>
    <row r="8543" x14ac:dyDescent="0.35"/>
    <row r="8544" x14ac:dyDescent="0.35"/>
    <row r="8545" x14ac:dyDescent="0.35"/>
    <row r="8546" x14ac:dyDescent="0.35"/>
    <row r="8547" x14ac:dyDescent="0.35"/>
    <row r="8548" x14ac:dyDescent="0.35"/>
    <row r="8549" x14ac:dyDescent="0.35"/>
    <row r="8550" x14ac:dyDescent="0.35"/>
    <row r="8551" x14ac:dyDescent="0.35"/>
    <row r="8552" x14ac:dyDescent="0.35"/>
    <row r="8553" x14ac:dyDescent="0.35"/>
    <row r="8554" x14ac:dyDescent="0.35"/>
    <row r="8555" x14ac:dyDescent="0.35"/>
    <row r="8556" x14ac:dyDescent="0.35"/>
    <row r="8557" x14ac:dyDescent="0.35"/>
    <row r="8558" x14ac:dyDescent="0.35"/>
    <row r="8559" x14ac:dyDescent="0.35"/>
    <row r="8560" x14ac:dyDescent="0.35"/>
    <row r="8561" x14ac:dyDescent="0.35"/>
    <row r="8562" x14ac:dyDescent="0.35"/>
    <row r="8563" x14ac:dyDescent="0.35"/>
    <row r="8564" x14ac:dyDescent="0.35"/>
    <row r="8565" x14ac:dyDescent="0.35"/>
    <row r="8566" x14ac:dyDescent="0.35"/>
    <row r="8567" x14ac:dyDescent="0.35"/>
    <row r="8568" x14ac:dyDescent="0.35"/>
    <row r="8569" x14ac:dyDescent="0.35"/>
    <row r="8570" x14ac:dyDescent="0.35"/>
    <row r="8571" x14ac:dyDescent="0.35"/>
    <row r="8572" x14ac:dyDescent="0.35"/>
    <row r="8573" x14ac:dyDescent="0.35"/>
    <row r="8574" x14ac:dyDescent="0.35"/>
    <row r="8575" x14ac:dyDescent="0.35"/>
    <row r="8576" x14ac:dyDescent="0.35"/>
    <row r="8577" x14ac:dyDescent="0.35"/>
    <row r="8578" x14ac:dyDescent="0.35"/>
    <row r="8579" x14ac:dyDescent="0.35"/>
    <row r="8580" x14ac:dyDescent="0.35"/>
    <row r="8581" x14ac:dyDescent="0.35"/>
    <row r="8582" x14ac:dyDescent="0.35"/>
    <row r="8583" x14ac:dyDescent="0.35"/>
    <row r="8584" x14ac:dyDescent="0.35"/>
    <row r="8585" x14ac:dyDescent="0.35"/>
    <row r="8586" x14ac:dyDescent="0.35"/>
    <row r="8587" x14ac:dyDescent="0.35"/>
    <row r="8588" x14ac:dyDescent="0.35"/>
    <row r="8589" x14ac:dyDescent="0.35"/>
    <row r="8590" x14ac:dyDescent="0.35"/>
    <row r="8591" x14ac:dyDescent="0.35"/>
    <row r="8592" x14ac:dyDescent="0.35"/>
    <row r="8593" x14ac:dyDescent="0.35"/>
    <row r="8594" x14ac:dyDescent="0.35"/>
    <row r="8595" x14ac:dyDescent="0.35"/>
    <row r="8596" x14ac:dyDescent="0.35"/>
    <row r="8597" x14ac:dyDescent="0.35"/>
    <row r="8598" x14ac:dyDescent="0.35"/>
    <row r="8599" x14ac:dyDescent="0.35"/>
    <row r="8600" x14ac:dyDescent="0.35"/>
    <row r="8601" x14ac:dyDescent="0.35"/>
    <row r="8602" x14ac:dyDescent="0.35"/>
    <row r="8603" x14ac:dyDescent="0.35"/>
    <row r="8604" x14ac:dyDescent="0.35"/>
    <row r="8605" x14ac:dyDescent="0.35"/>
    <row r="8606" x14ac:dyDescent="0.35"/>
    <row r="8607" x14ac:dyDescent="0.35"/>
    <row r="8608" x14ac:dyDescent="0.35"/>
    <row r="8609" x14ac:dyDescent="0.35"/>
    <row r="8610" x14ac:dyDescent="0.35"/>
    <row r="8611" x14ac:dyDescent="0.35"/>
    <row r="8612" x14ac:dyDescent="0.35"/>
    <row r="8613" x14ac:dyDescent="0.35"/>
    <row r="8614" x14ac:dyDescent="0.35"/>
    <row r="8615" x14ac:dyDescent="0.35"/>
    <row r="8616" x14ac:dyDescent="0.35"/>
    <row r="8617" x14ac:dyDescent="0.35"/>
    <row r="8618" x14ac:dyDescent="0.35"/>
    <row r="8619" x14ac:dyDescent="0.35"/>
    <row r="8620" x14ac:dyDescent="0.35"/>
    <row r="8621" x14ac:dyDescent="0.35"/>
    <row r="8622" x14ac:dyDescent="0.35"/>
    <row r="8623" x14ac:dyDescent="0.35"/>
    <row r="8624" x14ac:dyDescent="0.35"/>
    <row r="8625" x14ac:dyDescent="0.35"/>
    <row r="8626" x14ac:dyDescent="0.35"/>
    <row r="8627" x14ac:dyDescent="0.35"/>
    <row r="8628" x14ac:dyDescent="0.35"/>
    <row r="8629" x14ac:dyDescent="0.35"/>
    <row r="8630" x14ac:dyDescent="0.35"/>
    <row r="8631" x14ac:dyDescent="0.35"/>
    <row r="8632" x14ac:dyDescent="0.35"/>
    <row r="8633" x14ac:dyDescent="0.35"/>
    <row r="8634" x14ac:dyDescent="0.35"/>
    <row r="8635" x14ac:dyDescent="0.35"/>
    <row r="8636" x14ac:dyDescent="0.35"/>
    <row r="8637" x14ac:dyDescent="0.35"/>
    <row r="8638" x14ac:dyDescent="0.35"/>
    <row r="8639" x14ac:dyDescent="0.35"/>
    <row r="8640" x14ac:dyDescent="0.35"/>
    <row r="8641" x14ac:dyDescent="0.35"/>
    <row r="8642" x14ac:dyDescent="0.35"/>
    <row r="8643" x14ac:dyDescent="0.35"/>
    <row r="8644" x14ac:dyDescent="0.35"/>
    <row r="8645" x14ac:dyDescent="0.35"/>
    <row r="8646" x14ac:dyDescent="0.35"/>
    <row r="8647" x14ac:dyDescent="0.35"/>
    <row r="8648" x14ac:dyDescent="0.35"/>
    <row r="8649" x14ac:dyDescent="0.35"/>
    <row r="8650" x14ac:dyDescent="0.35"/>
    <row r="8651" x14ac:dyDescent="0.35"/>
    <row r="8652" x14ac:dyDescent="0.35"/>
    <row r="8653" x14ac:dyDescent="0.35"/>
    <row r="8654" x14ac:dyDescent="0.35"/>
    <row r="8655" x14ac:dyDescent="0.35"/>
    <row r="8656" x14ac:dyDescent="0.35"/>
    <row r="8657" x14ac:dyDescent="0.35"/>
    <row r="8658" x14ac:dyDescent="0.35"/>
    <row r="8659" x14ac:dyDescent="0.35"/>
    <row r="8660" x14ac:dyDescent="0.35"/>
    <row r="8661" x14ac:dyDescent="0.35"/>
    <row r="8662" x14ac:dyDescent="0.35"/>
    <row r="8663" x14ac:dyDescent="0.35"/>
    <row r="8664" x14ac:dyDescent="0.35"/>
    <row r="8665" x14ac:dyDescent="0.35"/>
    <row r="8666" x14ac:dyDescent="0.35"/>
    <row r="8667" x14ac:dyDescent="0.35"/>
    <row r="8668" x14ac:dyDescent="0.35"/>
    <row r="8669" x14ac:dyDescent="0.35"/>
    <row r="8670" x14ac:dyDescent="0.35"/>
    <row r="8671" x14ac:dyDescent="0.35"/>
    <row r="8672" x14ac:dyDescent="0.35"/>
    <row r="8673" x14ac:dyDescent="0.35"/>
    <row r="8674" x14ac:dyDescent="0.35"/>
    <row r="8675" x14ac:dyDescent="0.35"/>
    <row r="8676" x14ac:dyDescent="0.35"/>
    <row r="8677" x14ac:dyDescent="0.35"/>
    <row r="8678" x14ac:dyDescent="0.35"/>
    <row r="8679" x14ac:dyDescent="0.35"/>
    <row r="8680" x14ac:dyDescent="0.35"/>
    <row r="8681" x14ac:dyDescent="0.35"/>
    <row r="8682" x14ac:dyDescent="0.35"/>
    <row r="8683" x14ac:dyDescent="0.35"/>
    <row r="8684" x14ac:dyDescent="0.35"/>
    <row r="8685" x14ac:dyDescent="0.35"/>
    <row r="8686" x14ac:dyDescent="0.35"/>
    <row r="8687" x14ac:dyDescent="0.35"/>
    <row r="8688" x14ac:dyDescent="0.35"/>
    <row r="8689" x14ac:dyDescent="0.35"/>
    <row r="8690" x14ac:dyDescent="0.35"/>
    <row r="8691" x14ac:dyDescent="0.35"/>
    <row r="8692" x14ac:dyDescent="0.35"/>
    <row r="8693" x14ac:dyDescent="0.35"/>
    <row r="8694" x14ac:dyDescent="0.35"/>
    <row r="8695" x14ac:dyDescent="0.35"/>
    <row r="8696" x14ac:dyDescent="0.35"/>
    <row r="8697" x14ac:dyDescent="0.35"/>
    <row r="8698" x14ac:dyDescent="0.35"/>
    <row r="8699" x14ac:dyDescent="0.35"/>
    <row r="8700" x14ac:dyDescent="0.35"/>
    <row r="8701" x14ac:dyDescent="0.35"/>
    <row r="8702" x14ac:dyDescent="0.35"/>
    <row r="8703" x14ac:dyDescent="0.35"/>
    <row r="8704" x14ac:dyDescent="0.35"/>
    <row r="8705" x14ac:dyDescent="0.35"/>
    <row r="8706" x14ac:dyDescent="0.35"/>
    <row r="8707" x14ac:dyDescent="0.35"/>
    <row r="8708" x14ac:dyDescent="0.35"/>
    <row r="8709" x14ac:dyDescent="0.35"/>
    <row r="8710" x14ac:dyDescent="0.35"/>
    <row r="8711" x14ac:dyDescent="0.35"/>
    <row r="8712" x14ac:dyDescent="0.35"/>
    <row r="8713" x14ac:dyDescent="0.35"/>
    <row r="8714" x14ac:dyDescent="0.35"/>
    <row r="8715" x14ac:dyDescent="0.35"/>
    <row r="8716" x14ac:dyDescent="0.35"/>
    <row r="8717" x14ac:dyDescent="0.35"/>
    <row r="8718" x14ac:dyDescent="0.35"/>
    <row r="8719" x14ac:dyDescent="0.35"/>
    <row r="8720" x14ac:dyDescent="0.35"/>
    <row r="8721" x14ac:dyDescent="0.35"/>
    <row r="8722" x14ac:dyDescent="0.35"/>
    <row r="8723" x14ac:dyDescent="0.35"/>
    <row r="8724" x14ac:dyDescent="0.35"/>
    <row r="8725" x14ac:dyDescent="0.35"/>
    <row r="8726" x14ac:dyDescent="0.35"/>
    <row r="8727" x14ac:dyDescent="0.35"/>
    <row r="8728" x14ac:dyDescent="0.35"/>
    <row r="8729" x14ac:dyDescent="0.35"/>
    <row r="8730" x14ac:dyDescent="0.35"/>
    <row r="8731" x14ac:dyDescent="0.35"/>
    <row r="8732" x14ac:dyDescent="0.35"/>
    <row r="8733" x14ac:dyDescent="0.35"/>
    <row r="8734" x14ac:dyDescent="0.35"/>
    <row r="8735" x14ac:dyDescent="0.35"/>
    <row r="8736" x14ac:dyDescent="0.35"/>
    <row r="8737" x14ac:dyDescent="0.35"/>
    <row r="8738" x14ac:dyDescent="0.35"/>
    <row r="8739" x14ac:dyDescent="0.35"/>
    <row r="8740" x14ac:dyDescent="0.35"/>
    <row r="8741" x14ac:dyDescent="0.35"/>
    <row r="8742" x14ac:dyDescent="0.35"/>
    <row r="8743" x14ac:dyDescent="0.35"/>
    <row r="8744" x14ac:dyDescent="0.35"/>
    <row r="8745" x14ac:dyDescent="0.35"/>
    <row r="8746" x14ac:dyDescent="0.35"/>
    <row r="8747" x14ac:dyDescent="0.35"/>
    <row r="8748" x14ac:dyDescent="0.35"/>
    <row r="8749" x14ac:dyDescent="0.35"/>
    <row r="8750" x14ac:dyDescent="0.35"/>
    <row r="8751" x14ac:dyDescent="0.35"/>
    <row r="8752" x14ac:dyDescent="0.35"/>
    <row r="8753" x14ac:dyDescent="0.35"/>
    <row r="8754" x14ac:dyDescent="0.35"/>
    <row r="8755" x14ac:dyDescent="0.35"/>
    <row r="8756" x14ac:dyDescent="0.35"/>
    <row r="8757" x14ac:dyDescent="0.35"/>
    <row r="8758" x14ac:dyDescent="0.35"/>
    <row r="8759" x14ac:dyDescent="0.35"/>
    <row r="8760" x14ac:dyDescent="0.35"/>
    <row r="8761" x14ac:dyDescent="0.35"/>
    <row r="8762" x14ac:dyDescent="0.35"/>
    <row r="8763" x14ac:dyDescent="0.35"/>
    <row r="8764" x14ac:dyDescent="0.35"/>
    <row r="8765" x14ac:dyDescent="0.35"/>
    <row r="8766" x14ac:dyDescent="0.35"/>
    <row r="8767" x14ac:dyDescent="0.35"/>
    <row r="8768" x14ac:dyDescent="0.35"/>
    <row r="8769" x14ac:dyDescent="0.35"/>
    <row r="8770" x14ac:dyDescent="0.35"/>
    <row r="8771" x14ac:dyDescent="0.35"/>
    <row r="8772" x14ac:dyDescent="0.35"/>
    <row r="8773" x14ac:dyDescent="0.35"/>
    <row r="8774" x14ac:dyDescent="0.35"/>
    <row r="8775" x14ac:dyDescent="0.35"/>
    <row r="8776" x14ac:dyDescent="0.35"/>
    <row r="8777" x14ac:dyDescent="0.35"/>
    <row r="8778" x14ac:dyDescent="0.35"/>
    <row r="8779" x14ac:dyDescent="0.35"/>
    <row r="8780" x14ac:dyDescent="0.35"/>
    <row r="8781" x14ac:dyDescent="0.35"/>
    <row r="8782" x14ac:dyDescent="0.35"/>
    <row r="8783" x14ac:dyDescent="0.35"/>
    <row r="8784" x14ac:dyDescent="0.35"/>
    <row r="8785" x14ac:dyDescent="0.35"/>
    <row r="8786" x14ac:dyDescent="0.35"/>
    <row r="8787" x14ac:dyDescent="0.35"/>
    <row r="8788" x14ac:dyDescent="0.35"/>
    <row r="8789" x14ac:dyDescent="0.35"/>
    <row r="8790" x14ac:dyDescent="0.35"/>
    <row r="8791" x14ac:dyDescent="0.35"/>
    <row r="8792" x14ac:dyDescent="0.35"/>
    <row r="8793" x14ac:dyDescent="0.35"/>
    <row r="8794" x14ac:dyDescent="0.35"/>
    <row r="8795" x14ac:dyDescent="0.35"/>
    <row r="8796" x14ac:dyDescent="0.35"/>
    <row r="8797" x14ac:dyDescent="0.35"/>
    <row r="8798" x14ac:dyDescent="0.35"/>
    <row r="8799" x14ac:dyDescent="0.35"/>
    <row r="8800" x14ac:dyDescent="0.35"/>
    <row r="8801" x14ac:dyDescent="0.35"/>
    <row r="8802" x14ac:dyDescent="0.35"/>
    <row r="8803" x14ac:dyDescent="0.35"/>
    <row r="8804" x14ac:dyDescent="0.35"/>
    <row r="8805" x14ac:dyDescent="0.35"/>
    <row r="8806" x14ac:dyDescent="0.35"/>
    <row r="8807" x14ac:dyDescent="0.35"/>
    <row r="8808" x14ac:dyDescent="0.35"/>
    <row r="8809" x14ac:dyDescent="0.35"/>
    <row r="8810" x14ac:dyDescent="0.35"/>
    <row r="8811" x14ac:dyDescent="0.35"/>
    <row r="8812" x14ac:dyDescent="0.35"/>
    <row r="8813" x14ac:dyDescent="0.35"/>
    <row r="8814" x14ac:dyDescent="0.35"/>
    <row r="8815" x14ac:dyDescent="0.35"/>
    <row r="8816" x14ac:dyDescent="0.35"/>
    <row r="8817" x14ac:dyDescent="0.35"/>
    <row r="8818" x14ac:dyDescent="0.35"/>
    <row r="8819" x14ac:dyDescent="0.35"/>
    <row r="8820" x14ac:dyDescent="0.35"/>
    <row r="8821" x14ac:dyDescent="0.35"/>
    <row r="8822" x14ac:dyDescent="0.35"/>
    <row r="8823" x14ac:dyDescent="0.35"/>
    <row r="8824" x14ac:dyDescent="0.35"/>
    <row r="8825" x14ac:dyDescent="0.35"/>
    <row r="8826" x14ac:dyDescent="0.35"/>
    <row r="8827" x14ac:dyDescent="0.35"/>
    <row r="8828" x14ac:dyDescent="0.35"/>
    <row r="8829" x14ac:dyDescent="0.35"/>
    <row r="8830" x14ac:dyDescent="0.35"/>
    <row r="8831" x14ac:dyDescent="0.35"/>
    <row r="8832" x14ac:dyDescent="0.35"/>
    <row r="8833" x14ac:dyDescent="0.35"/>
    <row r="8834" x14ac:dyDescent="0.35"/>
    <row r="8835" x14ac:dyDescent="0.35"/>
    <row r="8836" x14ac:dyDescent="0.35"/>
    <row r="8837" x14ac:dyDescent="0.35"/>
    <row r="8838" x14ac:dyDescent="0.35"/>
    <row r="8839" x14ac:dyDescent="0.35"/>
    <row r="8840" x14ac:dyDescent="0.35"/>
    <row r="8841" x14ac:dyDescent="0.35"/>
    <row r="8842" x14ac:dyDescent="0.35"/>
    <row r="8843" x14ac:dyDescent="0.35"/>
    <row r="8844" x14ac:dyDescent="0.35"/>
    <row r="8845" x14ac:dyDescent="0.35"/>
    <row r="8846" x14ac:dyDescent="0.35"/>
    <row r="8847" x14ac:dyDescent="0.35"/>
    <row r="8848" x14ac:dyDescent="0.35"/>
    <row r="8849" x14ac:dyDescent="0.35"/>
    <row r="8850" x14ac:dyDescent="0.35"/>
    <row r="8851" x14ac:dyDescent="0.35"/>
    <row r="8852" x14ac:dyDescent="0.35"/>
    <row r="8853" x14ac:dyDescent="0.35"/>
    <row r="8854" x14ac:dyDescent="0.35"/>
    <row r="8855" x14ac:dyDescent="0.35"/>
    <row r="8856" x14ac:dyDescent="0.35"/>
    <row r="8857" x14ac:dyDescent="0.35"/>
    <row r="8858" x14ac:dyDescent="0.35"/>
    <row r="8859" x14ac:dyDescent="0.35"/>
    <row r="8860" x14ac:dyDescent="0.35"/>
    <row r="8861" x14ac:dyDescent="0.35"/>
    <row r="8862" x14ac:dyDescent="0.35"/>
    <row r="8863" x14ac:dyDescent="0.35"/>
    <row r="8864" x14ac:dyDescent="0.35"/>
    <row r="8865" x14ac:dyDescent="0.35"/>
    <row r="8866" x14ac:dyDescent="0.35"/>
    <row r="8867" x14ac:dyDescent="0.35"/>
    <row r="8868" x14ac:dyDescent="0.35"/>
    <row r="8869" x14ac:dyDescent="0.35"/>
    <row r="8870" x14ac:dyDescent="0.35"/>
    <row r="8871" x14ac:dyDescent="0.35"/>
    <row r="8872" x14ac:dyDescent="0.35"/>
    <row r="8873" x14ac:dyDescent="0.35"/>
    <row r="8874" x14ac:dyDescent="0.35"/>
    <row r="8875" x14ac:dyDescent="0.35"/>
    <row r="8876" x14ac:dyDescent="0.35"/>
    <row r="8877" x14ac:dyDescent="0.35"/>
    <row r="8878" x14ac:dyDescent="0.35"/>
    <row r="8879" x14ac:dyDescent="0.35"/>
    <row r="8880" x14ac:dyDescent="0.35"/>
    <row r="8881" x14ac:dyDescent="0.35"/>
    <row r="8882" x14ac:dyDescent="0.35"/>
    <row r="8883" x14ac:dyDescent="0.35"/>
    <row r="8884" x14ac:dyDescent="0.35"/>
    <row r="8885" x14ac:dyDescent="0.35"/>
    <row r="8886" x14ac:dyDescent="0.35"/>
    <row r="8887" x14ac:dyDescent="0.35"/>
    <row r="8888" x14ac:dyDescent="0.35"/>
    <row r="8889" x14ac:dyDescent="0.35"/>
    <row r="8890" x14ac:dyDescent="0.35"/>
    <row r="8891" x14ac:dyDescent="0.35"/>
    <row r="8892" x14ac:dyDescent="0.35"/>
    <row r="8893" x14ac:dyDescent="0.35"/>
    <row r="8894" x14ac:dyDescent="0.35"/>
    <row r="8895" x14ac:dyDescent="0.35"/>
    <row r="8896" x14ac:dyDescent="0.35"/>
    <row r="8897" x14ac:dyDescent="0.35"/>
    <row r="8898" x14ac:dyDescent="0.35"/>
    <row r="8899" x14ac:dyDescent="0.35"/>
    <row r="8900" x14ac:dyDescent="0.35"/>
    <row r="8901" x14ac:dyDescent="0.35"/>
    <row r="8902" x14ac:dyDescent="0.35"/>
    <row r="8903" x14ac:dyDescent="0.35"/>
    <row r="8904" x14ac:dyDescent="0.35"/>
    <row r="8905" x14ac:dyDescent="0.35"/>
    <row r="8906" x14ac:dyDescent="0.35"/>
    <row r="8907" x14ac:dyDescent="0.35"/>
    <row r="8908" x14ac:dyDescent="0.35"/>
    <row r="8909" x14ac:dyDescent="0.35"/>
    <row r="8910" x14ac:dyDescent="0.35"/>
    <row r="8911" x14ac:dyDescent="0.35"/>
    <row r="8912" x14ac:dyDescent="0.35"/>
    <row r="8913" x14ac:dyDescent="0.35"/>
    <row r="8914" x14ac:dyDescent="0.35"/>
    <row r="8915" x14ac:dyDescent="0.35"/>
    <row r="8916" x14ac:dyDescent="0.35"/>
    <row r="8917" x14ac:dyDescent="0.35"/>
    <row r="8918" x14ac:dyDescent="0.35"/>
    <row r="8919" x14ac:dyDescent="0.35"/>
    <row r="8920" x14ac:dyDescent="0.35"/>
    <row r="8921" x14ac:dyDescent="0.35"/>
    <row r="8922" x14ac:dyDescent="0.35"/>
    <row r="8923" x14ac:dyDescent="0.35"/>
    <row r="8924" x14ac:dyDescent="0.35"/>
    <row r="8925" x14ac:dyDescent="0.35"/>
    <row r="8926" x14ac:dyDescent="0.35"/>
    <row r="8927" x14ac:dyDescent="0.35"/>
    <row r="8928" x14ac:dyDescent="0.35"/>
    <row r="8929" x14ac:dyDescent="0.35"/>
    <row r="8930" x14ac:dyDescent="0.35"/>
    <row r="8931" x14ac:dyDescent="0.35"/>
    <row r="8932" x14ac:dyDescent="0.35"/>
    <row r="8933" x14ac:dyDescent="0.35"/>
    <row r="8934" x14ac:dyDescent="0.35"/>
    <row r="8935" x14ac:dyDescent="0.35"/>
    <row r="8936" x14ac:dyDescent="0.35"/>
    <row r="8937" x14ac:dyDescent="0.35"/>
    <row r="8938" x14ac:dyDescent="0.35"/>
    <row r="8939" x14ac:dyDescent="0.35"/>
    <row r="8940" x14ac:dyDescent="0.35"/>
    <row r="8941" x14ac:dyDescent="0.35"/>
    <row r="8942" x14ac:dyDescent="0.35"/>
    <row r="8943" x14ac:dyDescent="0.35"/>
    <row r="8944" x14ac:dyDescent="0.35"/>
    <row r="8945" x14ac:dyDescent="0.35"/>
    <row r="8946" x14ac:dyDescent="0.35"/>
    <row r="8947" x14ac:dyDescent="0.35"/>
    <row r="8948" x14ac:dyDescent="0.35"/>
    <row r="8949" x14ac:dyDescent="0.35"/>
    <row r="8950" x14ac:dyDescent="0.35"/>
    <row r="8951" x14ac:dyDescent="0.35"/>
    <row r="8952" x14ac:dyDescent="0.35"/>
    <row r="8953" x14ac:dyDescent="0.35"/>
    <row r="8954" x14ac:dyDescent="0.35"/>
    <row r="8955" x14ac:dyDescent="0.35"/>
    <row r="8956" x14ac:dyDescent="0.35"/>
    <row r="8957" x14ac:dyDescent="0.35"/>
    <row r="8958" x14ac:dyDescent="0.35"/>
    <row r="8959" x14ac:dyDescent="0.35"/>
    <row r="8960" x14ac:dyDescent="0.35"/>
    <row r="8961" x14ac:dyDescent="0.35"/>
    <row r="8962" x14ac:dyDescent="0.35"/>
    <row r="8963" x14ac:dyDescent="0.35"/>
    <row r="8964" x14ac:dyDescent="0.35"/>
    <row r="8965" x14ac:dyDescent="0.35"/>
    <row r="8966" x14ac:dyDescent="0.35"/>
    <row r="8967" x14ac:dyDescent="0.35"/>
    <row r="8968" x14ac:dyDescent="0.35"/>
    <row r="8969" x14ac:dyDescent="0.35"/>
    <row r="8970" x14ac:dyDescent="0.35"/>
    <row r="8971" x14ac:dyDescent="0.35"/>
    <row r="8972" x14ac:dyDescent="0.35"/>
    <row r="8973" x14ac:dyDescent="0.35"/>
    <row r="8974" x14ac:dyDescent="0.35"/>
    <row r="8975" x14ac:dyDescent="0.35"/>
    <row r="8976" x14ac:dyDescent="0.35"/>
    <row r="8977" x14ac:dyDescent="0.35"/>
    <row r="8978" x14ac:dyDescent="0.35"/>
    <row r="8979" x14ac:dyDescent="0.35"/>
    <row r="8980" x14ac:dyDescent="0.35"/>
    <row r="8981" x14ac:dyDescent="0.35"/>
    <row r="8982" x14ac:dyDescent="0.35"/>
    <row r="8983" x14ac:dyDescent="0.35"/>
    <row r="8984" x14ac:dyDescent="0.35"/>
    <row r="8985" x14ac:dyDescent="0.35"/>
    <row r="8986" x14ac:dyDescent="0.35"/>
    <row r="8987" x14ac:dyDescent="0.35"/>
    <row r="8988" x14ac:dyDescent="0.35"/>
    <row r="8989" x14ac:dyDescent="0.35"/>
    <row r="8990" x14ac:dyDescent="0.35"/>
    <row r="8991" x14ac:dyDescent="0.35"/>
    <row r="8992" x14ac:dyDescent="0.35"/>
    <row r="8993" x14ac:dyDescent="0.35"/>
    <row r="8994" x14ac:dyDescent="0.35"/>
    <row r="8995" x14ac:dyDescent="0.35"/>
    <row r="8996" x14ac:dyDescent="0.35"/>
    <row r="8997" x14ac:dyDescent="0.35"/>
    <row r="8998" x14ac:dyDescent="0.35"/>
    <row r="8999" x14ac:dyDescent="0.35"/>
    <row r="9000" x14ac:dyDescent="0.35"/>
    <row r="9001" x14ac:dyDescent="0.35"/>
    <row r="9002" x14ac:dyDescent="0.35"/>
    <row r="9003" x14ac:dyDescent="0.35"/>
    <row r="9004" x14ac:dyDescent="0.35"/>
    <row r="9005" x14ac:dyDescent="0.35"/>
    <row r="9006" x14ac:dyDescent="0.35"/>
    <row r="9007" x14ac:dyDescent="0.35"/>
    <row r="9008" x14ac:dyDescent="0.35"/>
    <row r="9009" x14ac:dyDescent="0.35"/>
    <row r="9010" x14ac:dyDescent="0.35"/>
    <row r="9011" x14ac:dyDescent="0.35"/>
    <row r="9012" x14ac:dyDescent="0.35"/>
    <row r="9013" x14ac:dyDescent="0.35"/>
    <row r="9014" x14ac:dyDescent="0.35"/>
    <row r="9015" x14ac:dyDescent="0.35"/>
    <row r="9016" x14ac:dyDescent="0.35"/>
    <row r="9017" x14ac:dyDescent="0.35"/>
    <row r="9018" x14ac:dyDescent="0.35"/>
    <row r="9019" x14ac:dyDescent="0.35"/>
    <row r="9020" x14ac:dyDescent="0.35"/>
    <row r="9021" x14ac:dyDescent="0.35"/>
    <row r="9022" x14ac:dyDescent="0.35"/>
    <row r="9023" x14ac:dyDescent="0.35"/>
    <row r="9024" x14ac:dyDescent="0.35"/>
    <row r="9025" x14ac:dyDescent="0.35"/>
    <row r="9026" x14ac:dyDescent="0.35"/>
    <row r="9027" x14ac:dyDescent="0.35"/>
    <row r="9028" x14ac:dyDescent="0.35"/>
    <row r="9029" x14ac:dyDescent="0.35"/>
    <row r="9030" x14ac:dyDescent="0.35"/>
    <row r="9031" x14ac:dyDescent="0.35"/>
    <row r="9032" x14ac:dyDescent="0.35"/>
    <row r="9033" x14ac:dyDescent="0.35"/>
    <row r="9034" x14ac:dyDescent="0.35"/>
    <row r="9035" x14ac:dyDescent="0.35"/>
    <row r="9036" x14ac:dyDescent="0.35"/>
    <row r="9037" x14ac:dyDescent="0.35"/>
    <row r="9038" x14ac:dyDescent="0.35"/>
    <row r="9039" x14ac:dyDescent="0.35"/>
    <row r="9040" x14ac:dyDescent="0.35"/>
    <row r="9041" x14ac:dyDescent="0.35"/>
    <row r="9042" x14ac:dyDescent="0.35"/>
    <row r="9043" x14ac:dyDescent="0.35"/>
    <row r="9044" x14ac:dyDescent="0.35"/>
    <row r="9045" x14ac:dyDescent="0.35"/>
    <row r="9046" x14ac:dyDescent="0.35"/>
    <row r="9047" x14ac:dyDescent="0.35"/>
    <row r="9048" x14ac:dyDescent="0.35"/>
    <row r="9049" x14ac:dyDescent="0.35"/>
    <row r="9050" x14ac:dyDescent="0.35"/>
    <row r="9051" x14ac:dyDescent="0.35"/>
    <row r="9052" x14ac:dyDescent="0.35"/>
    <row r="9053" x14ac:dyDescent="0.35"/>
    <row r="9054" x14ac:dyDescent="0.35"/>
    <row r="9055" x14ac:dyDescent="0.35"/>
    <row r="9056" x14ac:dyDescent="0.35"/>
    <row r="9057" x14ac:dyDescent="0.35"/>
    <row r="9058" x14ac:dyDescent="0.35"/>
    <row r="9059" x14ac:dyDescent="0.35"/>
    <row r="9060" x14ac:dyDescent="0.35"/>
    <row r="9061" x14ac:dyDescent="0.35"/>
    <row r="9062" x14ac:dyDescent="0.35"/>
    <row r="9063" x14ac:dyDescent="0.35"/>
    <row r="9064" x14ac:dyDescent="0.35"/>
    <row r="9065" x14ac:dyDescent="0.35"/>
    <row r="9066" x14ac:dyDescent="0.35"/>
    <row r="9067" x14ac:dyDescent="0.35"/>
    <row r="9068" x14ac:dyDescent="0.35"/>
    <row r="9069" x14ac:dyDescent="0.35"/>
    <row r="9070" x14ac:dyDescent="0.35"/>
    <row r="9071" x14ac:dyDescent="0.35"/>
    <row r="9072" x14ac:dyDescent="0.35"/>
    <row r="9073" x14ac:dyDescent="0.35"/>
    <row r="9074" x14ac:dyDescent="0.35"/>
    <row r="9075" x14ac:dyDescent="0.35"/>
    <row r="9076" x14ac:dyDescent="0.35"/>
    <row r="9077" x14ac:dyDescent="0.35"/>
    <row r="9078" x14ac:dyDescent="0.35"/>
    <row r="9079" x14ac:dyDescent="0.35"/>
    <row r="9080" x14ac:dyDescent="0.35"/>
    <row r="9081" x14ac:dyDescent="0.35"/>
    <row r="9082" x14ac:dyDescent="0.35"/>
    <row r="9083" x14ac:dyDescent="0.35"/>
    <row r="9084" x14ac:dyDescent="0.35"/>
    <row r="9085" x14ac:dyDescent="0.35"/>
    <row r="9086" x14ac:dyDescent="0.35"/>
    <row r="9087" x14ac:dyDescent="0.35"/>
    <row r="9088" x14ac:dyDescent="0.35"/>
    <row r="9089" x14ac:dyDescent="0.35"/>
    <row r="9090" x14ac:dyDescent="0.35"/>
    <row r="9091" x14ac:dyDescent="0.35"/>
    <row r="9092" x14ac:dyDescent="0.35"/>
    <row r="9093" x14ac:dyDescent="0.35"/>
    <row r="9094" x14ac:dyDescent="0.35"/>
    <row r="9095" x14ac:dyDescent="0.35"/>
    <row r="9096" x14ac:dyDescent="0.35"/>
    <row r="9097" x14ac:dyDescent="0.35"/>
    <row r="9098" x14ac:dyDescent="0.35"/>
    <row r="9099" x14ac:dyDescent="0.35"/>
    <row r="9100" x14ac:dyDescent="0.35"/>
    <row r="9101" x14ac:dyDescent="0.35"/>
    <row r="9102" x14ac:dyDescent="0.35"/>
    <row r="9103" x14ac:dyDescent="0.35"/>
    <row r="9104" x14ac:dyDescent="0.35"/>
    <row r="9105" x14ac:dyDescent="0.35"/>
    <row r="9106" x14ac:dyDescent="0.35"/>
    <row r="9107" x14ac:dyDescent="0.35"/>
    <row r="9108" x14ac:dyDescent="0.35"/>
    <row r="9109" x14ac:dyDescent="0.35"/>
    <row r="9110" x14ac:dyDescent="0.35"/>
    <row r="9111" x14ac:dyDescent="0.35"/>
    <row r="9112" x14ac:dyDescent="0.35"/>
    <row r="9113" x14ac:dyDescent="0.35"/>
    <row r="9114" x14ac:dyDescent="0.35"/>
    <row r="9115" x14ac:dyDescent="0.35"/>
    <row r="9116" x14ac:dyDescent="0.35"/>
    <row r="9117" x14ac:dyDescent="0.35"/>
    <row r="9118" x14ac:dyDescent="0.35"/>
    <row r="9119" x14ac:dyDescent="0.35"/>
    <row r="9120" x14ac:dyDescent="0.35"/>
    <row r="9121" x14ac:dyDescent="0.35"/>
    <row r="9122" x14ac:dyDescent="0.35"/>
    <row r="9123" x14ac:dyDescent="0.35"/>
    <row r="9124" x14ac:dyDescent="0.35"/>
    <row r="9125" x14ac:dyDescent="0.35"/>
    <row r="9126" x14ac:dyDescent="0.35"/>
    <row r="9127" x14ac:dyDescent="0.35"/>
    <row r="9128" x14ac:dyDescent="0.35"/>
    <row r="9129" x14ac:dyDescent="0.35"/>
    <row r="9130" x14ac:dyDescent="0.35"/>
    <row r="9131" x14ac:dyDescent="0.35"/>
    <row r="9132" x14ac:dyDescent="0.35"/>
    <row r="9133" x14ac:dyDescent="0.35"/>
    <row r="9134" x14ac:dyDescent="0.35"/>
    <row r="9135" x14ac:dyDescent="0.35"/>
    <row r="9136" x14ac:dyDescent="0.35"/>
    <row r="9137" x14ac:dyDescent="0.35"/>
    <row r="9138" x14ac:dyDescent="0.35"/>
    <row r="9139" x14ac:dyDescent="0.35"/>
    <row r="9140" x14ac:dyDescent="0.35"/>
    <row r="9141" x14ac:dyDescent="0.35"/>
    <row r="9142" x14ac:dyDescent="0.35"/>
    <row r="9143" x14ac:dyDescent="0.35"/>
    <row r="9144" x14ac:dyDescent="0.35"/>
    <row r="9145" x14ac:dyDescent="0.35"/>
    <row r="9146" x14ac:dyDescent="0.35"/>
    <row r="9147" x14ac:dyDescent="0.35"/>
    <row r="9148" x14ac:dyDescent="0.35"/>
    <row r="9149" x14ac:dyDescent="0.35"/>
    <row r="9150" x14ac:dyDescent="0.35"/>
    <row r="9151" x14ac:dyDescent="0.35"/>
    <row r="9152" x14ac:dyDescent="0.35"/>
    <row r="9153" x14ac:dyDescent="0.35"/>
    <row r="9154" x14ac:dyDescent="0.35"/>
    <row r="9155" x14ac:dyDescent="0.35"/>
    <row r="9156" x14ac:dyDescent="0.35"/>
    <row r="9157" x14ac:dyDescent="0.35"/>
    <row r="9158" x14ac:dyDescent="0.35"/>
    <row r="9159" x14ac:dyDescent="0.35"/>
    <row r="9160" x14ac:dyDescent="0.35"/>
    <row r="9161" x14ac:dyDescent="0.35"/>
    <row r="9162" x14ac:dyDescent="0.35"/>
    <row r="9163" x14ac:dyDescent="0.35"/>
    <row r="9164" x14ac:dyDescent="0.35"/>
    <row r="9165" x14ac:dyDescent="0.35"/>
    <row r="9166" x14ac:dyDescent="0.35"/>
    <row r="9167" x14ac:dyDescent="0.35"/>
    <row r="9168" x14ac:dyDescent="0.35"/>
    <row r="9169" x14ac:dyDescent="0.35"/>
    <row r="9170" x14ac:dyDescent="0.35"/>
    <row r="9171" x14ac:dyDescent="0.35"/>
    <row r="9172" x14ac:dyDescent="0.35"/>
    <row r="9173" x14ac:dyDescent="0.35"/>
    <row r="9174" x14ac:dyDescent="0.35"/>
    <row r="9175" x14ac:dyDescent="0.35"/>
    <row r="9176" x14ac:dyDescent="0.35"/>
    <row r="9177" x14ac:dyDescent="0.35"/>
    <row r="9178" x14ac:dyDescent="0.35"/>
    <row r="9179" x14ac:dyDescent="0.35"/>
    <row r="9180" x14ac:dyDescent="0.35"/>
    <row r="9181" x14ac:dyDescent="0.35"/>
    <row r="9182" x14ac:dyDescent="0.35"/>
    <row r="9183" x14ac:dyDescent="0.35"/>
    <row r="9184" x14ac:dyDescent="0.35"/>
    <row r="9185" x14ac:dyDescent="0.35"/>
    <row r="9186" x14ac:dyDescent="0.35"/>
    <row r="9187" x14ac:dyDescent="0.35"/>
    <row r="9188" x14ac:dyDescent="0.35"/>
    <row r="9189" x14ac:dyDescent="0.35"/>
    <row r="9190" x14ac:dyDescent="0.35"/>
    <row r="9191" x14ac:dyDescent="0.35"/>
    <row r="9192" x14ac:dyDescent="0.35"/>
    <row r="9193" x14ac:dyDescent="0.35"/>
    <row r="9194" x14ac:dyDescent="0.35"/>
    <row r="9195" x14ac:dyDescent="0.35"/>
    <row r="9196" x14ac:dyDescent="0.35"/>
    <row r="9197" x14ac:dyDescent="0.35"/>
    <row r="9198" x14ac:dyDescent="0.35"/>
    <row r="9199" x14ac:dyDescent="0.35"/>
    <row r="9200" x14ac:dyDescent="0.35"/>
    <row r="9201" x14ac:dyDescent="0.35"/>
    <row r="9202" x14ac:dyDescent="0.35"/>
    <row r="9203" x14ac:dyDescent="0.35"/>
    <row r="9204" x14ac:dyDescent="0.35"/>
    <row r="9205" x14ac:dyDescent="0.35"/>
    <row r="9206" x14ac:dyDescent="0.35"/>
    <row r="9207" x14ac:dyDescent="0.35"/>
    <row r="9208" x14ac:dyDescent="0.35"/>
    <row r="9209" x14ac:dyDescent="0.35"/>
    <row r="9210" x14ac:dyDescent="0.35"/>
    <row r="9211" x14ac:dyDescent="0.35"/>
    <row r="9212" x14ac:dyDescent="0.35"/>
    <row r="9213" x14ac:dyDescent="0.35"/>
    <row r="9214" x14ac:dyDescent="0.35"/>
    <row r="9215" x14ac:dyDescent="0.35"/>
    <row r="9216" x14ac:dyDescent="0.35"/>
    <row r="9217" x14ac:dyDescent="0.35"/>
    <row r="9218" x14ac:dyDescent="0.35"/>
    <row r="9219" x14ac:dyDescent="0.35"/>
    <row r="9220" x14ac:dyDescent="0.35"/>
    <row r="9221" x14ac:dyDescent="0.35"/>
    <row r="9222" x14ac:dyDescent="0.35"/>
    <row r="9223" x14ac:dyDescent="0.35"/>
    <row r="9224" x14ac:dyDescent="0.35"/>
    <row r="9225" x14ac:dyDescent="0.35"/>
    <row r="9226" x14ac:dyDescent="0.35"/>
    <row r="9227" x14ac:dyDescent="0.35"/>
    <row r="9228" x14ac:dyDescent="0.35"/>
    <row r="9229" x14ac:dyDescent="0.35"/>
    <row r="9230" x14ac:dyDescent="0.35"/>
    <row r="9231" x14ac:dyDescent="0.35"/>
    <row r="9232" x14ac:dyDescent="0.35"/>
    <row r="9233" x14ac:dyDescent="0.35"/>
    <row r="9234" x14ac:dyDescent="0.35"/>
    <row r="9235" x14ac:dyDescent="0.35"/>
    <row r="9236" x14ac:dyDescent="0.35"/>
    <row r="9237" x14ac:dyDescent="0.35"/>
    <row r="9238" x14ac:dyDescent="0.35"/>
    <row r="9239" x14ac:dyDescent="0.35"/>
    <row r="9240" x14ac:dyDescent="0.35"/>
    <row r="9241" x14ac:dyDescent="0.35"/>
    <row r="9242" x14ac:dyDescent="0.35"/>
    <row r="9243" x14ac:dyDescent="0.35"/>
    <row r="9244" x14ac:dyDescent="0.35"/>
    <row r="9245" x14ac:dyDescent="0.35"/>
    <row r="9246" x14ac:dyDescent="0.35"/>
    <row r="9247" x14ac:dyDescent="0.35"/>
    <row r="9248" x14ac:dyDescent="0.35"/>
    <row r="9249" x14ac:dyDescent="0.35"/>
    <row r="9250" x14ac:dyDescent="0.35"/>
    <row r="9251" x14ac:dyDescent="0.35"/>
    <row r="9252" x14ac:dyDescent="0.35"/>
    <row r="9253" x14ac:dyDescent="0.35"/>
    <row r="9254" x14ac:dyDescent="0.35"/>
    <row r="9255" x14ac:dyDescent="0.35"/>
    <row r="9256" x14ac:dyDescent="0.35"/>
    <row r="9257" x14ac:dyDescent="0.35"/>
    <row r="9258" x14ac:dyDescent="0.35"/>
    <row r="9259" x14ac:dyDescent="0.35"/>
    <row r="9260" x14ac:dyDescent="0.35"/>
    <row r="9261" x14ac:dyDescent="0.35"/>
    <row r="9262" x14ac:dyDescent="0.35"/>
    <row r="9263" x14ac:dyDescent="0.35"/>
    <row r="9264" x14ac:dyDescent="0.35"/>
    <row r="9265" x14ac:dyDescent="0.35"/>
    <row r="9266" x14ac:dyDescent="0.35"/>
    <row r="9267" x14ac:dyDescent="0.35"/>
    <row r="9268" x14ac:dyDescent="0.35"/>
    <row r="9269" x14ac:dyDescent="0.35"/>
    <row r="9270" x14ac:dyDescent="0.35"/>
    <row r="9271" x14ac:dyDescent="0.35"/>
    <row r="9272" x14ac:dyDescent="0.35"/>
    <row r="9273" x14ac:dyDescent="0.35"/>
    <row r="9274" x14ac:dyDescent="0.35"/>
    <row r="9275" x14ac:dyDescent="0.35"/>
    <row r="9276" x14ac:dyDescent="0.35"/>
    <row r="9277" x14ac:dyDescent="0.35"/>
    <row r="9278" x14ac:dyDescent="0.35"/>
    <row r="9279" x14ac:dyDescent="0.35"/>
    <row r="9280" x14ac:dyDescent="0.35"/>
    <row r="9281" x14ac:dyDescent="0.35"/>
    <row r="9282" x14ac:dyDescent="0.35"/>
    <row r="9283" x14ac:dyDescent="0.35"/>
    <row r="9284" x14ac:dyDescent="0.35"/>
    <row r="9285" x14ac:dyDescent="0.35"/>
    <row r="9286" x14ac:dyDescent="0.35"/>
    <row r="9287" x14ac:dyDescent="0.35"/>
    <row r="9288" x14ac:dyDescent="0.35"/>
    <row r="9289" x14ac:dyDescent="0.35"/>
    <row r="9290" x14ac:dyDescent="0.35"/>
    <row r="9291" x14ac:dyDescent="0.35"/>
    <row r="9292" x14ac:dyDescent="0.35"/>
    <row r="9293" x14ac:dyDescent="0.35"/>
    <row r="9294" x14ac:dyDescent="0.35"/>
    <row r="9295" x14ac:dyDescent="0.35"/>
    <row r="9296" x14ac:dyDescent="0.35"/>
    <row r="9297" x14ac:dyDescent="0.35"/>
    <row r="9298" x14ac:dyDescent="0.35"/>
    <row r="9299" x14ac:dyDescent="0.35"/>
    <row r="9300" x14ac:dyDescent="0.35"/>
    <row r="9301" x14ac:dyDescent="0.35"/>
    <row r="9302" x14ac:dyDescent="0.35"/>
    <row r="9303" x14ac:dyDescent="0.35"/>
    <row r="9304" x14ac:dyDescent="0.35"/>
    <row r="9305" x14ac:dyDescent="0.35"/>
    <row r="9306" x14ac:dyDescent="0.35"/>
    <row r="9307" x14ac:dyDescent="0.35"/>
    <row r="9308" x14ac:dyDescent="0.35"/>
    <row r="9309" x14ac:dyDescent="0.35"/>
    <row r="9310" x14ac:dyDescent="0.35"/>
    <row r="9311" x14ac:dyDescent="0.35"/>
    <row r="9312" x14ac:dyDescent="0.35"/>
    <row r="9313" x14ac:dyDescent="0.35"/>
    <row r="9314" x14ac:dyDescent="0.35"/>
    <row r="9315" x14ac:dyDescent="0.35"/>
    <row r="9316" x14ac:dyDescent="0.35"/>
    <row r="9317" x14ac:dyDescent="0.35"/>
    <row r="9318" x14ac:dyDescent="0.35"/>
    <row r="9319" x14ac:dyDescent="0.35"/>
    <row r="9320" x14ac:dyDescent="0.35"/>
    <row r="9321" x14ac:dyDescent="0.35"/>
    <row r="9322" x14ac:dyDescent="0.35"/>
    <row r="9323" x14ac:dyDescent="0.35"/>
    <row r="9324" x14ac:dyDescent="0.35"/>
    <row r="9325" x14ac:dyDescent="0.35"/>
    <row r="9326" x14ac:dyDescent="0.35"/>
    <row r="9327" x14ac:dyDescent="0.35"/>
    <row r="9328" x14ac:dyDescent="0.35"/>
    <row r="9329" x14ac:dyDescent="0.35"/>
    <row r="9330" x14ac:dyDescent="0.35"/>
    <row r="9331" x14ac:dyDescent="0.35"/>
    <row r="9332" x14ac:dyDescent="0.35"/>
    <row r="9333" x14ac:dyDescent="0.35"/>
    <row r="9334" x14ac:dyDescent="0.35"/>
    <row r="9335" x14ac:dyDescent="0.35"/>
    <row r="9336" x14ac:dyDescent="0.35"/>
    <row r="9337" x14ac:dyDescent="0.35"/>
    <row r="9338" x14ac:dyDescent="0.35"/>
    <row r="9339" x14ac:dyDescent="0.35"/>
    <row r="9340" x14ac:dyDescent="0.35"/>
    <row r="9341" x14ac:dyDescent="0.35"/>
    <row r="9342" x14ac:dyDescent="0.35"/>
    <row r="9343" x14ac:dyDescent="0.35"/>
    <row r="9344" x14ac:dyDescent="0.35"/>
    <row r="9345" x14ac:dyDescent="0.35"/>
    <row r="9346" x14ac:dyDescent="0.35"/>
    <row r="9347" x14ac:dyDescent="0.35"/>
    <row r="9348" x14ac:dyDescent="0.35"/>
    <row r="9349" x14ac:dyDescent="0.35"/>
    <row r="9350" x14ac:dyDescent="0.35"/>
    <row r="9351" x14ac:dyDescent="0.35"/>
    <row r="9352" x14ac:dyDescent="0.35"/>
    <row r="9353" x14ac:dyDescent="0.35"/>
    <row r="9354" x14ac:dyDescent="0.35"/>
    <row r="9355" x14ac:dyDescent="0.35"/>
    <row r="9356" x14ac:dyDescent="0.35"/>
    <row r="9357" x14ac:dyDescent="0.35"/>
    <row r="9358" x14ac:dyDescent="0.35"/>
    <row r="9359" x14ac:dyDescent="0.35"/>
    <row r="9360" x14ac:dyDescent="0.35"/>
    <row r="9361" x14ac:dyDescent="0.35"/>
    <row r="9362" x14ac:dyDescent="0.35"/>
    <row r="9363" x14ac:dyDescent="0.35"/>
    <row r="9364" x14ac:dyDescent="0.35"/>
    <row r="9365" x14ac:dyDescent="0.35"/>
    <row r="9366" x14ac:dyDescent="0.35"/>
    <row r="9367" x14ac:dyDescent="0.35"/>
    <row r="9368" x14ac:dyDescent="0.35"/>
    <row r="9369" x14ac:dyDescent="0.35"/>
    <row r="9370" x14ac:dyDescent="0.35"/>
    <row r="9371" x14ac:dyDescent="0.35"/>
    <row r="9372" x14ac:dyDescent="0.35"/>
    <row r="9373" x14ac:dyDescent="0.35"/>
    <row r="9374" x14ac:dyDescent="0.35"/>
    <row r="9375" x14ac:dyDescent="0.35"/>
    <row r="9376" x14ac:dyDescent="0.35"/>
    <row r="9377" x14ac:dyDescent="0.35"/>
    <row r="9378" x14ac:dyDescent="0.35"/>
    <row r="9379" x14ac:dyDescent="0.35"/>
    <row r="9380" x14ac:dyDescent="0.35"/>
    <row r="9381" x14ac:dyDescent="0.35"/>
    <row r="9382" x14ac:dyDescent="0.35"/>
    <row r="9383" x14ac:dyDescent="0.35"/>
    <row r="9384" x14ac:dyDescent="0.35"/>
    <row r="9385" x14ac:dyDescent="0.35"/>
    <row r="9386" x14ac:dyDescent="0.35"/>
    <row r="9387" x14ac:dyDescent="0.35"/>
    <row r="9388" x14ac:dyDescent="0.35"/>
    <row r="9389" x14ac:dyDescent="0.35"/>
    <row r="9390" x14ac:dyDescent="0.35"/>
    <row r="9391" x14ac:dyDescent="0.35"/>
    <row r="9392" x14ac:dyDescent="0.35"/>
    <row r="9393" x14ac:dyDescent="0.35"/>
    <row r="9394" x14ac:dyDescent="0.35"/>
    <row r="9395" x14ac:dyDescent="0.35"/>
    <row r="9396" x14ac:dyDescent="0.35"/>
    <row r="9397" x14ac:dyDescent="0.35"/>
    <row r="9398" x14ac:dyDescent="0.35"/>
    <row r="9399" x14ac:dyDescent="0.35"/>
    <row r="9400" x14ac:dyDescent="0.35"/>
    <row r="9401" x14ac:dyDescent="0.35"/>
    <row r="9402" x14ac:dyDescent="0.35"/>
    <row r="9403" x14ac:dyDescent="0.35"/>
    <row r="9404" x14ac:dyDescent="0.35"/>
    <row r="9405" x14ac:dyDescent="0.35"/>
    <row r="9406" x14ac:dyDescent="0.35"/>
    <row r="9407" x14ac:dyDescent="0.35"/>
    <row r="9408" x14ac:dyDescent="0.35"/>
    <row r="9409" x14ac:dyDescent="0.35"/>
    <row r="9410" x14ac:dyDescent="0.35"/>
    <row r="9411" x14ac:dyDescent="0.35"/>
    <row r="9412" x14ac:dyDescent="0.35"/>
    <row r="9413" x14ac:dyDescent="0.35"/>
    <row r="9414" x14ac:dyDescent="0.35"/>
    <row r="9415" x14ac:dyDescent="0.35"/>
    <row r="9416" x14ac:dyDescent="0.35"/>
    <row r="9417" x14ac:dyDescent="0.35"/>
    <row r="9418" x14ac:dyDescent="0.35"/>
    <row r="9419" x14ac:dyDescent="0.35"/>
    <row r="9420" x14ac:dyDescent="0.35"/>
    <row r="9421" x14ac:dyDescent="0.35"/>
    <row r="9422" x14ac:dyDescent="0.35"/>
    <row r="9423" x14ac:dyDescent="0.35"/>
    <row r="9424" x14ac:dyDescent="0.35"/>
    <row r="9425" x14ac:dyDescent="0.35"/>
    <row r="9426" x14ac:dyDescent="0.35"/>
    <row r="9427" x14ac:dyDescent="0.35"/>
    <row r="9428" x14ac:dyDescent="0.35"/>
    <row r="9429" x14ac:dyDescent="0.35"/>
    <row r="9430" x14ac:dyDescent="0.35"/>
    <row r="9431" x14ac:dyDescent="0.35"/>
    <row r="9432" x14ac:dyDescent="0.35"/>
    <row r="9433" x14ac:dyDescent="0.35"/>
    <row r="9434" x14ac:dyDescent="0.35"/>
    <row r="9435" x14ac:dyDescent="0.35"/>
    <row r="9436" x14ac:dyDescent="0.35"/>
    <row r="9437" x14ac:dyDescent="0.35"/>
    <row r="9438" x14ac:dyDescent="0.35"/>
    <row r="9439" x14ac:dyDescent="0.35"/>
    <row r="9440" x14ac:dyDescent="0.35"/>
    <row r="9441" x14ac:dyDescent="0.35"/>
    <row r="9442" x14ac:dyDescent="0.35"/>
    <row r="9443" x14ac:dyDescent="0.35"/>
    <row r="9444" x14ac:dyDescent="0.35"/>
    <row r="9445" x14ac:dyDescent="0.35"/>
    <row r="9446" x14ac:dyDescent="0.35"/>
    <row r="9447" x14ac:dyDescent="0.35"/>
    <row r="9448" x14ac:dyDescent="0.35"/>
    <row r="9449" x14ac:dyDescent="0.35"/>
    <row r="9450" x14ac:dyDescent="0.35"/>
    <row r="9451" x14ac:dyDescent="0.35"/>
    <row r="9452" x14ac:dyDescent="0.35"/>
    <row r="9453" x14ac:dyDescent="0.35"/>
    <row r="9454" x14ac:dyDescent="0.35"/>
    <row r="9455" x14ac:dyDescent="0.35"/>
    <row r="9456" x14ac:dyDescent="0.35"/>
    <row r="9457" x14ac:dyDescent="0.35"/>
    <row r="9458" x14ac:dyDescent="0.35"/>
    <row r="9459" x14ac:dyDescent="0.35"/>
    <row r="9460" x14ac:dyDescent="0.35"/>
    <row r="9461" x14ac:dyDescent="0.35"/>
    <row r="9462" x14ac:dyDescent="0.35"/>
    <row r="9463" x14ac:dyDescent="0.35"/>
    <row r="9464" x14ac:dyDescent="0.35"/>
    <row r="9465" x14ac:dyDescent="0.35"/>
    <row r="9466" x14ac:dyDescent="0.35"/>
    <row r="9467" x14ac:dyDescent="0.35"/>
    <row r="9468" x14ac:dyDescent="0.35"/>
    <row r="9469" x14ac:dyDescent="0.35"/>
    <row r="9470" x14ac:dyDescent="0.35"/>
    <row r="9471" x14ac:dyDescent="0.35"/>
    <row r="9472" x14ac:dyDescent="0.35"/>
    <row r="9473" x14ac:dyDescent="0.35"/>
    <row r="9474" x14ac:dyDescent="0.35"/>
    <row r="9475" x14ac:dyDescent="0.35"/>
    <row r="9476" x14ac:dyDescent="0.35"/>
    <row r="9477" x14ac:dyDescent="0.35"/>
    <row r="9478" x14ac:dyDescent="0.35"/>
    <row r="9479" x14ac:dyDescent="0.35"/>
    <row r="9480" x14ac:dyDescent="0.35"/>
    <row r="9481" x14ac:dyDescent="0.35"/>
    <row r="9482" x14ac:dyDescent="0.35"/>
    <row r="9483" x14ac:dyDescent="0.35"/>
    <row r="9484" x14ac:dyDescent="0.35"/>
    <row r="9485" x14ac:dyDescent="0.35"/>
    <row r="9486" x14ac:dyDescent="0.35"/>
    <row r="9487" x14ac:dyDescent="0.35"/>
    <row r="9488" x14ac:dyDescent="0.35"/>
    <row r="9489" x14ac:dyDescent="0.35"/>
    <row r="9490" x14ac:dyDescent="0.35"/>
    <row r="9491" x14ac:dyDescent="0.35"/>
    <row r="9492" x14ac:dyDescent="0.35"/>
    <row r="9493" x14ac:dyDescent="0.35"/>
    <row r="9494" x14ac:dyDescent="0.35"/>
    <row r="9495" x14ac:dyDescent="0.35"/>
    <row r="9496" x14ac:dyDescent="0.35"/>
    <row r="9497" x14ac:dyDescent="0.35"/>
    <row r="9498" x14ac:dyDescent="0.35"/>
    <row r="9499" x14ac:dyDescent="0.35"/>
    <row r="9500" x14ac:dyDescent="0.35"/>
    <row r="9501" x14ac:dyDescent="0.35"/>
    <row r="9502" x14ac:dyDescent="0.35"/>
    <row r="9503" x14ac:dyDescent="0.35"/>
    <row r="9504" x14ac:dyDescent="0.35"/>
    <row r="9505" x14ac:dyDescent="0.35"/>
    <row r="9506" x14ac:dyDescent="0.35"/>
    <row r="9507" x14ac:dyDescent="0.35"/>
    <row r="9508" x14ac:dyDescent="0.35"/>
    <row r="9509" x14ac:dyDescent="0.35"/>
    <row r="9510" x14ac:dyDescent="0.35"/>
    <row r="9511" x14ac:dyDescent="0.35"/>
    <row r="9512" x14ac:dyDescent="0.35"/>
    <row r="9513" x14ac:dyDescent="0.35"/>
    <row r="9514" x14ac:dyDescent="0.35"/>
    <row r="9515" x14ac:dyDescent="0.35"/>
    <row r="9516" x14ac:dyDescent="0.35"/>
    <row r="9517" x14ac:dyDescent="0.35"/>
    <row r="9518" x14ac:dyDescent="0.35"/>
    <row r="9519" x14ac:dyDescent="0.35"/>
    <row r="9520" x14ac:dyDescent="0.35"/>
    <row r="9521" x14ac:dyDescent="0.35"/>
    <row r="9522" x14ac:dyDescent="0.35"/>
    <row r="9523" x14ac:dyDescent="0.35"/>
    <row r="9524" x14ac:dyDescent="0.35"/>
    <row r="9525" x14ac:dyDescent="0.35"/>
    <row r="9526" x14ac:dyDescent="0.35"/>
    <row r="9527" x14ac:dyDescent="0.35"/>
    <row r="9528" x14ac:dyDescent="0.35"/>
    <row r="9529" x14ac:dyDescent="0.35"/>
    <row r="9530" x14ac:dyDescent="0.35"/>
    <row r="9531" x14ac:dyDescent="0.35"/>
    <row r="9532" x14ac:dyDescent="0.35"/>
    <row r="9533" x14ac:dyDescent="0.35"/>
    <row r="9534" x14ac:dyDescent="0.35"/>
    <row r="9535" x14ac:dyDescent="0.35"/>
    <row r="9536" x14ac:dyDescent="0.35"/>
    <row r="9537" x14ac:dyDescent="0.35"/>
    <row r="9538" x14ac:dyDescent="0.35"/>
    <row r="9539" x14ac:dyDescent="0.35"/>
    <row r="9540" x14ac:dyDescent="0.35"/>
    <row r="9541" x14ac:dyDescent="0.35"/>
    <row r="9542" x14ac:dyDescent="0.35"/>
    <row r="9543" x14ac:dyDescent="0.35"/>
    <row r="9544" x14ac:dyDescent="0.35"/>
    <row r="9545" x14ac:dyDescent="0.35"/>
    <row r="9546" x14ac:dyDescent="0.35"/>
    <row r="9547" x14ac:dyDescent="0.35"/>
    <row r="9548" x14ac:dyDescent="0.35"/>
    <row r="9549" x14ac:dyDescent="0.35"/>
    <row r="9550" x14ac:dyDescent="0.35"/>
    <row r="9551" x14ac:dyDescent="0.35"/>
    <row r="9552" x14ac:dyDescent="0.35"/>
    <row r="9553" x14ac:dyDescent="0.35"/>
    <row r="9554" x14ac:dyDescent="0.35"/>
    <row r="9555" x14ac:dyDescent="0.35"/>
    <row r="9556" x14ac:dyDescent="0.35"/>
    <row r="9557" x14ac:dyDescent="0.35"/>
    <row r="9558" x14ac:dyDescent="0.35"/>
    <row r="9559" x14ac:dyDescent="0.35"/>
    <row r="9560" x14ac:dyDescent="0.35"/>
    <row r="9561" x14ac:dyDescent="0.35"/>
    <row r="9562" x14ac:dyDescent="0.35"/>
    <row r="9563" x14ac:dyDescent="0.35"/>
    <row r="9564" x14ac:dyDescent="0.35"/>
    <row r="9565" x14ac:dyDescent="0.35"/>
    <row r="9566" x14ac:dyDescent="0.35"/>
    <row r="9567" x14ac:dyDescent="0.35"/>
    <row r="9568" x14ac:dyDescent="0.35"/>
    <row r="9569" x14ac:dyDescent="0.35"/>
    <row r="9570" x14ac:dyDescent="0.35"/>
    <row r="9571" x14ac:dyDescent="0.35"/>
    <row r="9572" x14ac:dyDescent="0.35"/>
    <row r="9573" x14ac:dyDescent="0.35"/>
    <row r="9574" x14ac:dyDescent="0.35"/>
    <row r="9575" x14ac:dyDescent="0.35"/>
    <row r="9576" x14ac:dyDescent="0.35"/>
    <row r="9577" x14ac:dyDescent="0.35"/>
    <row r="9578" x14ac:dyDescent="0.35"/>
    <row r="9579" x14ac:dyDescent="0.35"/>
    <row r="9580" x14ac:dyDescent="0.35"/>
    <row r="9581" x14ac:dyDescent="0.35"/>
    <row r="9582" x14ac:dyDescent="0.35"/>
    <row r="9583" x14ac:dyDescent="0.35"/>
    <row r="9584" x14ac:dyDescent="0.35"/>
    <row r="9585" x14ac:dyDescent="0.35"/>
    <row r="9586" x14ac:dyDescent="0.35"/>
    <row r="9587" x14ac:dyDescent="0.35"/>
    <row r="9588" x14ac:dyDescent="0.35"/>
    <row r="9589" x14ac:dyDescent="0.35"/>
    <row r="9590" x14ac:dyDescent="0.35"/>
    <row r="9591" x14ac:dyDescent="0.35"/>
    <row r="9592" x14ac:dyDescent="0.35"/>
    <row r="9593" x14ac:dyDescent="0.35"/>
    <row r="9594" x14ac:dyDescent="0.35"/>
    <row r="9595" x14ac:dyDescent="0.35"/>
    <row r="9596" x14ac:dyDescent="0.35"/>
    <row r="9597" x14ac:dyDescent="0.35"/>
    <row r="9598" x14ac:dyDescent="0.35"/>
    <row r="9599" x14ac:dyDescent="0.35"/>
    <row r="9600" x14ac:dyDescent="0.35"/>
    <row r="9601" x14ac:dyDescent="0.35"/>
    <row r="9602" x14ac:dyDescent="0.35"/>
    <row r="9603" x14ac:dyDescent="0.35"/>
    <row r="9604" x14ac:dyDescent="0.35"/>
    <row r="9605" x14ac:dyDescent="0.35"/>
    <row r="9606" x14ac:dyDescent="0.35"/>
    <row r="9607" x14ac:dyDescent="0.35"/>
    <row r="9608" x14ac:dyDescent="0.35"/>
    <row r="9609" x14ac:dyDescent="0.35"/>
    <row r="9610" x14ac:dyDescent="0.35"/>
    <row r="9611" x14ac:dyDescent="0.35"/>
    <row r="9612" x14ac:dyDescent="0.35"/>
    <row r="9613" x14ac:dyDescent="0.35"/>
    <row r="9614" x14ac:dyDescent="0.35"/>
    <row r="9615" x14ac:dyDescent="0.35"/>
    <row r="9616" x14ac:dyDescent="0.35"/>
    <row r="9617" x14ac:dyDescent="0.35"/>
    <row r="9618" x14ac:dyDescent="0.35"/>
    <row r="9619" x14ac:dyDescent="0.35"/>
    <row r="9620" x14ac:dyDescent="0.35"/>
    <row r="9621" x14ac:dyDescent="0.35"/>
    <row r="9622" x14ac:dyDescent="0.35"/>
    <row r="9623" x14ac:dyDescent="0.35"/>
    <row r="9624" x14ac:dyDescent="0.35"/>
    <row r="9625" x14ac:dyDescent="0.35"/>
    <row r="9626" x14ac:dyDescent="0.35"/>
    <row r="9627" x14ac:dyDescent="0.35"/>
    <row r="9628" x14ac:dyDescent="0.35"/>
    <row r="9629" x14ac:dyDescent="0.35"/>
    <row r="9630" x14ac:dyDescent="0.35"/>
    <row r="9631" x14ac:dyDescent="0.35"/>
    <row r="9632" x14ac:dyDescent="0.35"/>
    <row r="9633" x14ac:dyDescent="0.35"/>
    <row r="9634" x14ac:dyDescent="0.35"/>
    <row r="9635" x14ac:dyDescent="0.35"/>
    <row r="9636" x14ac:dyDescent="0.35"/>
    <row r="9637" x14ac:dyDescent="0.35"/>
    <row r="9638" x14ac:dyDescent="0.35"/>
    <row r="9639" x14ac:dyDescent="0.35"/>
    <row r="9640" x14ac:dyDescent="0.35"/>
    <row r="9641" x14ac:dyDescent="0.35"/>
    <row r="9642" x14ac:dyDescent="0.35"/>
    <row r="9643" x14ac:dyDescent="0.35"/>
    <row r="9644" x14ac:dyDescent="0.35"/>
    <row r="9645" x14ac:dyDescent="0.35"/>
    <row r="9646" x14ac:dyDescent="0.35"/>
    <row r="9647" x14ac:dyDescent="0.35"/>
    <row r="9648" x14ac:dyDescent="0.35"/>
    <row r="9649" x14ac:dyDescent="0.35"/>
    <row r="9650" x14ac:dyDescent="0.35"/>
    <row r="9651" x14ac:dyDescent="0.35"/>
    <row r="9652" x14ac:dyDescent="0.35"/>
    <row r="9653" x14ac:dyDescent="0.35"/>
    <row r="9654" x14ac:dyDescent="0.35"/>
    <row r="9655" x14ac:dyDescent="0.35"/>
    <row r="9656" x14ac:dyDescent="0.35"/>
    <row r="9657" x14ac:dyDescent="0.35"/>
    <row r="9658" x14ac:dyDescent="0.35"/>
    <row r="9659" x14ac:dyDescent="0.35"/>
    <row r="9660" x14ac:dyDescent="0.35"/>
    <row r="9661" x14ac:dyDescent="0.35"/>
    <row r="9662" x14ac:dyDescent="0.35"/>
    <row r="9663" x14ac:dyDescent="0.35"/>
    <row r="9664" x14ac:dyDescent="0.35"/>
    <row r="9665" x14ac:dyDescent="0.35"/>
    <row r="9666" x14ac:dyDescent="0.35"/>
    <row r="9667" x14ac:dyDescent="0.35"/>
    <row r="9668" x14ac:dyDescent="0.35"/>
    <row r="9669" x14ac:dyDescent="0.35"/>
    <row r="9670" x14ac:dyDescent="0.35"/>
    <row r="9671" x14ac:dyDescent="0.35"/>
    <row r="9672" x14ac:dyDescent="0.35"/>
    <row r="9673" x14ac:dyDescent="0.35"/>
    <row r="9674" x14ac:dyDescent="0.35"/>
    <row r="9675" x14ac:dyDescent="0.35"/>
    <row r="9676" x14ac:dyDescent="0.35"/>
    <row r="9677" x14ac:dyDescent="0.35"/>
    <row r="9678" x14ac:dyDescent="0.35"/>
    <row r="9679" x14ac:dyDescent="0.35"/>
    <row r="9680" x14ac:dyDescent="0.35"/>
    <row r="9681" x14ac:dyDescent="0.35"/>
    <row r="9682" x14ac:dyDescent="0.35"/>
    <row r="9683" x14ac:dyDescent="0.35"/>
    <row r="9684" x14ac:dyDescent="0.35"/>
    <row r="9685" x14ac:dyDescent="0.35"/>
    <row r="9686" x14ac:dyDescent="0.35"/>
    <row r="9687" x14ac:dyDescent="0.35"/>
    <row r="9688" x14ac:dyDescent="0.35"/>
    <row r="9689" x14ac:dyDescent="0.35"/>
    <row r="9690" x14ac:dyDescent="0.35"/>
    <row r="9691" x14ac:dyDescent="0.35"/>
    <row r="9692" x14ac:dyDescent="0.35"/>
    <row r="9693" x14ac:dyDescent="0.35"/>
    <row r="9694" x14ac:dyDescent="0.35"/>
    <row r="9695" x14ac:dyDescent="0.35"/>
    <row r="9696" x14ac:dyDescent="0.35"/>
    <row r="9697" x14ac:dyDescent="0.35"/>
    <row r="9698" x14ac:dyDescent="0.35"/>
    <row r="9699" x14ac:dyDescent="0.35"/>
    <row r="9700" x14ac:dyDescent="0.35"/>
    <row r="9701" x14ac:dyDescent="0.35"/>
    <row r="9702" x14ac:dyDescent="0.35"/>
    <row r="9703" x14ac:dyDescent="0.35"/>
    <row r="9704" x14ac:dyDescent="0.35"/>
    <row r="9705" x14ac:dyDescent="0.35"/>
    <row r="9706" x14ac:dyDescent="0.35"/>
    <row r="9707" x14ac:dyDescent="0.35"/>
    <row r="9708" x14ac:dyDescent="0.35"/>
    <row r="9709" x14ac:dyDescent="0.35"/>
    <row r="9710" x14ac:dyDescent="0.35"/>
    <row r="9711" x14ac:dyDescent="0.35"/>
    <row r="9712" x14ac:dyDescent="0.35"/>
    <row r="9713" x14ac:dyDescent="0.35"/>
    <row r="9714" x14ac:dyDescent="0.35"/>
    <row r="9715" x14ac:dyDescent="0.35"/>
    <row r="9716" x14ac:dyDescent="0.35"/>
    <row r="9717" x14ac:dyDescent="0.35"/>
    <row r="9718" x14ac:dyDescent="0.35"/>
    <row r="9719" x14ac:dyDescent="0.35"/>
    <row r="9720" x14ac:dyDescent="0.35"/>
    <row r="9721" x14ac:dyDescent="0.35"/>
    <row r="9722" x14ac:dyDescent="0.35"/>
    <row r="9723" x14ac:dyDescent="0.35"/>
    <row r="9724" x14ac:dyDescent="0.35"/>
    <row r="9725" x14ac:dyDescent="0.35"/>
    <row r="9726" x14ac:dyDescent="0.35"/>
    <row r="9727" x14ac:dyDescent="0.35"/>
    <row r="9728" x14ac:dyDescent="0.35"/>
    <row r="9729" x14ac:dyDescent="0.35"/>
    <row r="9730" x14ac:dyDescent="0.35"/>
    <row r="9731" x14ac:dyDescent="0.35"/>
    <row r="9732" x14ac:dyDescent="0.35"/>
    <row r="9733" x14ac:dyDescent="0.35"/>
    <row r="9734" x14ac:dyDescent="0.35"/>
    <row r="9735" x14ac:dyDescent="0.35"/>
    <row r="9736" x14ac:dyDescent="0.35"/>
    <row r="9737" x14ac:dyDescent="0.35"/>
    <row r="9738" x14ac:dyDescent="0.35"/>
    <row r="9739" x14ac:dyDescent="0.35"/>
    <row r="9740" x14ac:dyDescent="0.35"/>
    <row r="9741" x14ac:dyDescent="0.35"/>
    <row r="9742" x14ac:dyDescent="0.35"/>
    <row r="9743" x14ac:dyDescent="0.35"/>
    <row r="9744" x14ac:dyDescent="0.35"/>
    <row r="9745" x14ac:dyDescent="0.35"/>
    <row r="9746" x14ac:dyDescent="0.35"/>
    <row r="9747" x14ac:dyDescent="0.35"/>
    <row r="9748" x14ac:dyDescent="0.35"/>
    <row r="9749" x14ac:dyDescent="0.35"/>
    <row r="9750" x14ac:dyDescent="0.35"/>
    <row r="9751" x14ac:dyDescent="0.35"/>
    <row r="9752" x14ac:dyDescent="0.35"/>
    <row r="9753" x14ac:dyDescent="0.35"/>
    <row r="9754" x14ac:dyDescent="0.35"/>
    <row r="9755" x14ac:dyDescent="0.35"/>
    <row r="9756" x14ac:dyDescent="0.35"/>
    <row r="9757" x14ac:dyDescent="0.35"/>
    <row r="9758" x14ac:dyDescent="0.35"/>
    <row r="9759" x14ac:dyDescent="0.35"/>
    <row r="9760" x14ac:dyDescent="0.35"/>
    <row r="9761" x14ac:dyDescent="0.35"/>
    <row r="9762" x14ac:dyDescent="0.35"/>
    <row r="9763" x14ac:dyDescent="0.35"/>
    <row r="9764" x14ac:dyDescent="0.35"/>
    <row r="9765" x14ac:dyDescent="0.35"/>
    <row r="9766" x14ac:dyDescent="0.35"/>
    <row r="9767" x14ac:dyDescent="0.35"/>
    <row r="9768" x14ac:dyDescent="0.35"/>
    <row r="9769" x14ac:dyDescent="0.35"/>
    <row r="9770" x14ac:dyDescent="0.35"/>
    <row r="9771" x14ac:dyDescent="0.35"/>
    <row r="9772" x14ac:dyDescent="0.35"/>
    <row r="9773" x14ac:dyDescent="0.35"/>
    <row r="9774" x14ac:dyDescent="0.35"/>
    <row r="9775" x14ac:dyDescent="0.35"/>
    <row r="9776" x14ac:dyDescent="0.35"/>
    <row r="9777" x14ac:dyDescent="0.35"/>
    <row r="9778" x14ac:dyDescent="0.35"/>
    <row r="9779" x14ac:dyDescent="0.35"/>
    <row r="9780" x14ac:dyDescent="0.35"/>
    <row r="9781" x14ac:dyDescent="0.35"/>
    <row r="9782" x14ac:dyDescent="0.35"/>
    <row r="9783" x14ac:dyDescent="0.35"/>
    <row r="9784" x14ac:dyDescent="0.35"/>
    <row r="9785" x14ac:dyDescent="0.35"/>
    <row r="9786" x14ac:dyDescent="0.35"/>
    <row r="9787" x14ac:dyDescent="0.35"/>
    <row r="9788" x14ac:dyDescent="0.35"/>
    <row r="9789" x14ac:dyDescent="0.35"/>
    <row r="9790" x14ac:dyDescent="0.35"/>
    <row r="9791" x14ac:dyDescent="0.35"/>
    <row r="9792" x14ac:dyDescent="0.35"/>
    <row r="9793" x14ac:dyDescent="0.35"/>
    <row r="9794" x14ac:dyDescent="0.35"/>
    <row r="9795" x14ac:dyDescent="0.35"/>
    <row r="9796" x14ac:dyDescent="0.35"/>
    <row r="9797" x14ac:dyDescent="0.35"/>
    <row r="9798" x14ac:dyDescent="0.35"/>
    <row r="9799" x14ac:dyDescent="0.35"/>
    <row r="9800" x14ac:dyDescent="0.35"/>
    <row r="9801" x14ac:dyDescent="0.35"/>
    <row r="9802" x14ac:dyDescent="0.35"/>
    <row r="9803" x14ac:dyDescent="0.35"/>
    <row r="9804" x14ac:dyDescent="0.35"/>
    <row r="9805" x14ac:dyDescent="0.35"/>
    <row r="9806" x14ac:dyDescent="0.35"/>
    <row r="9807" x14ac:dyDescent="0.35"/>
    <row r="9808" x14ac:dyDescent="0.35"/>
    <row r="9809" x14ac:dyDescent="0.35"/>
    <row r="9810" x14ac:dyDescent="0.35"/>
    <row r="9811" x14ac:dyDescent="0.35"/>
    <row r="9812" x14ac:dyDescent="0.35"/>
    <row r="9813" x14ac:dyDescent="0.35"/>
    <row r="9814" x14ac:dyDescent="0.35"/>
    <row r="9815" x14ac:dyDescent="0.35"/>
    <row r="9816" x14ac:dyDescent="0.35"/>
    <row r="9817" x14ac:dyDescent="0.35"/>
    <row r="9818" x14ac:dyDescent="0.35"/>
    <row r="9819" x14ac:dyDescent="0.35"/>
    <row r="9820" x14ac:dyDescent="0.35"/>
    <row r="9821" x14ac:dyDescent="0.35"/>
    <row r="9822" x14ac:dyDescent="0.35"/>
    <row r="9823" x14ac:dyDescent="0.35"/>
    <row r="9824" x14ac:dyDescent="0.35"/>
    <row r="9825" x14ac:dyDescent="0.35"/>
    <row r="9826" x14ac:dyDescent="0.35"/>
    <row r="9827" x14ac:dyDescent="0.35"/>
    <row r="9828" x14ac:dyDescent="0.35"/>
    <row r="9829" x14ac:dyDescent="0.35"/>
    <row r="9830" x14ac:dyDescent="0.35"/>
    <row r="9831" x14ac:dyDescent="0.35"/>
    <row r="9832" x14ac:dyDescent="0.35"/>
    <row r="9833" x14ac:dyDescent="0.35"/>
    <row r="9834" x14ac:dyDescent="0.35"/>
    <row r="9835" x14ac:dyDescent="0.35"/>
    <row r="9836" x14ac:dyDescent="0.35"/>
    <row r="9837" x14ac:dyDescent="0.35"/>
    <row r="9838" x14ac:dyDescent="0.35"/>
    <row r="9839" x14ac:dyDescent="0.35"/>
    <row r="9840" x14ac:dyDescent="0.35"/>
    <row r="9841" x14ac:dyDescent="0.35"/>
    <row r="9842" x14ac:dyDescent="0.35"/>
    <row r="9843" x14ac:dyDescent="0.35"/>
    <row r="9844" x14ac:dyDescent="0.35"/>
    <row r="9845" x14ac:dyDescent="0.35"/>
    <row r="9846" x14ac:dyDescent="0.35"/>
    <row r="9847" x14ac:dyDescent="0.35"/>
    <row r="9848" x14ac:dyDescent="0.35"/>
    <row r="9849" x14ac:dyDescent="0.35"/>
    <row r="9850" x14ac:dyDescent="0.35"/>
    <row r="9851" x14ac:dyDescent="0.35"/>
    <row r="9852" x14ac:dyDescent="0.35"/>
    <row r="9853" x14ac:dyDescent="0.35"/>
    <row r="9854" x14ac:dyDescent="0.35"/>
    <row r="9855" x14ac:dyDescent="0.35"/>
    <row r="9856" x14ac:dyDescent="0.35"/>
    <row r="9857" x14ac:dyDescent="0.35"/>
    <row r="9858" x14ac:dyDescent="0.35"/>
    <row r="9859" x14ac:dyDescent="0.35"/>
    <row r="9860" x14ac:dyDescent="0.35"/>
    <row r="9861" x14ac:dyDescent="0.35"/>
    <row r="9862" x14ac:dyDescent="0.35"/>
    <row r="9863" x14ac:dyDescent="0.35"/>
    <row r="9864" x14ac:dyDescent="0.35"/>
    <row r="9865" x14ac:dyDescent="0.35"/>
    <row r="9866" x14ac:dyDescent="0.35"/>
    <row r="9867" x14ac:dyDescent="0.35"/>
    <row r="9868" x14ac:dyDescent="0.35"/>
    <row r="9869" x14ac:dyDescent="0.35"/>
    <row r="9870" x14ac:dyDescent="0.35"/>
    <row r="9871" x14ac:dyDescent="0.35"/>
    <row r="9872" x14ac:dyDescent="0.35"/>
    <row r="9873" x14ac:dyDescent="0.35"/>
    <row r="9874" x14ac:dyDescent="0.35"/>
    <row r="9875" x14ac:dyDescent="0.35"/>
    <row r="9876" x14ac:dyDescent="0.35"/>
    <row r="9877" x14ac:dyDescent="0.35"/>
    <row r="9878" x14ac:dyDescent="0.35"/>
    <row r="9879" x14ac:dyDescent="0.35"/>
    <row r="9880" x14ac:dyDescent="0.35"/>
    <row r="9881" x14ac:dyDescent="0.35"/>
    <row r="9882" x14ac:dyDescent="0.35"/>
    <row r="9883" x14ac:dyDescent="0.35"/>
    <row r="9884" x14ac:dyDescent="0.35"/>
    <row r="9885" x14ac:dyDescent="0.35"/>
    <row r="9886" x14ac:dyDescent="0.35"/>
    <row r="9887" x14ac:dyDescent="0.35"/>
    <row r="9888" x14ac:dyDescent="0.35"/>
    <row r="9889" x14ac:dyDescent="0.35"/>
    <row r="9890" x14ac:dyDescent="0.35"/>
    <row r="9891" x14ac:dyDescent="0.35"/>
    <row r="9892" x14ac:dyDescent="0.35"/>
    <row r="9893" x14ac:dyDescent="0.35"/>
    <row r="9894" x14ac:dyDescent="0.35"/>
    <row r="9895" x14ac:dyDescent="0.35"/>
    <row r="9896" x14ac:dyDescent="0.35"/>
    <row r="9897" x14ac:dyDescent="0.35"/>
    <row r="9898" x14ac:dyDescent="0.35"/>
    <row r="9899" x14ac:dyDescent="0.35"/>
    <row r="9900" x14ac:dyDescent="0.35"/>
    <row r="9901" x14ac:dyDescent="0.35"/>
    <row r="9902" x14ac:dyDescent="0.35"/>
    <row r="9903" x14ac:dyDescent="0.35"/>
    <row r="9904" x14ac:dyDescent="0.35"/>
    <row r="9905" x14ac:dyDescent="0.35"/>
    <row r="9906" x14ac:dyDescent="0.35"/>
    <row r="9907" x14ac:dyDescent="0.35"/>
    <row r="9908" x14ac:dyDescent="0.35"/>
    <row r="9909" x14ac:dyDescent="0.35"/>
    <row r="9910" x14ac:dyDescent="0.35"/>
    <row r="9911" x14ac:dyDescent="0.35"/>
    <row r="9912" x14ac:dyDescent="0.35"/>
    <row r="9913" x14ac:dyDescent="0.35"/>
    <row r="9914" x14ac:dyDescent="0.35"/>
    <row r="9915" x14ac:dyDescent="0.35"/>
    <row r="9916" x14ac:dyDescent="0.35"/>
    <row r="9917" x14ac:dyDescent="0.35"/>
    <row r="9918" x14ac:dyDescent="0.35"/>
    <row r="9919" x14ac:dyDescent="0.35"/>
    <row r="9920" x14ac:dyDescent="0.35"/>
    <row r="9921" x14ac:dyDescent="0.35"/>
    <row r="9922" x14ac:dyDescent="0.35"/>
    <row r="9923" x14ac:dyDescent="0.35"/>
    <row r="9924" x14ac:dyDescent="0.35"/>
    <row r="9925" x14ac:dyDescent="0.35"/>
    <row r="9926" x14ac:dyDescent="0.35"/>
    <row r="9927" x14ac:dyDescent="0.35"/>
    <row r="9928" x14ac:dyDescent="0.35"/>
    <row r="9929" x14ac:dyDescent="0.35"/>
    <row r="9930" x14ac:dyDescent="0.35"/>
    <row r="9931" x14ac:dyDescent="0.35"/>
    <row r="9932" x14ac:dyDescent="0.35"/>
    <row r="9933" x14ac:dyDescent="0.35"/>
    <row r="9934" x14ac:dyDescent="0.35"/>
    <row r="9935" x14ac:dyDescent="0.35"/>
    <row r="9936" x14ac:dyDescent="0.35"/>
    <row r="9937" x14ac:dyDescent="0.35"/>
    <row r="9938" x14ac:dyDescent="0.35"/>
    <row r="9939" x14ac:dyDescent="0.35"/>
    <row r="9940" x14ac:dyDescent="0.35"/>
    <row r="9941" x14ac:dyDescent="0.35"/>
    <row r="9942" x14ac:dyDescent="0.35"/>
    <row r="9943" x14ac:dyDescent="0.35"/>
    <row r="9944" x14ac:dyDescent="0.35"/>
    <row r="9945" x14ac:dyDescent="0.35"/>
    <row r="9946" x14ac:dyDescent="0.35"/>
    <row r="9947" x14ac:dyDescent="0.35"/>
    <row r="9948" x14ac:dyDescent="0.35"/>
    <row r="9949" x14ac:dyDescent="0.35"/>
    <row r="9950" x14ac:dyDescent="0.35"/>
    <row r="9951" x14ac:dyDescent="0.35"/>
    <row r="9952" x14ac:dyDescent="0.35"/>
    <row r="9953" x14ac:dyDescent="0.35"/>
    <row r="9954" x14ac:dyDescent="0.35"/>
    <row r="9955" x14ac:dyDescent="0.35"/>
    <row r="9956" x14ac:dyDescent="0.35"/>
    <row r="9957" x14ac:dyDescent="0.35"/>
    <row r="9958" x14ac:dyDescent="0.35"/>
    <row r="9959" x14ac:dyDescent="0.35"/>
    <row r="9960" x14ac:dyDescent="0.35"/>
    <row r="9961" x14ac:dyDescent="0.35"/>
    <row r="9962" x14ac:dyDescent="0.35"/>
    <row r="9963" x14ac:dyDescent="0.35"/>
    <row r="9964" x14ac:dyDescent="0.35"/>
    <row r="9965" x14ac:dyDescent="0.35"/>
    <row r="9966" x14ac:dyDescent="0.35"/>
    <row r="9967" x14ac:dyDescent="0.35"/>
    <row r="9968" x14ac:dyDescent="0.35"/>
    <row r="9969" x14ac:dyDescent="0.35"/>
    <row r="9970" x14ac:dyDescent="0.35"/>
    <row r="9971" x14ac:dyDescent="0.35"/>
    <row r="9972" x14ac:dyDescent="0.35"/>
    <row r="9973" x14ac:dyDescent="0.35"/>
    <row r="9974" x14ac:dyDescent="0.35"/>
    <row r="9975" x14ac:dyDescent="0.35"/>
    <row r="9976" x14ac:dyDescent="0.35"/>
    <row r="9977" x14ac:dyDescent="0.35"/>
    <row r="9978" x14ac:dyDescent="0.35"/>
    <row r="9979" x14ac:dyDescent="0.35"/>
    <row r="9980" x14ac:dyDescent="0.35"/>
    <row r="9981" x14ac:dyDescent="0.35"/>
    <row r="9982" x14ac:dyDescent="0.35"/>
    <row r="9983" x14ac:dyDescent="0.35"/>
    <row r="9984" x14ac:dyDescent="0.35"/>
    <row r="9985" x14ac:dyDescent="0.35"/>
    <row r="9986" x14ac:dyDescent="0.35"/>
    <row r="9987" x14ac:dyDescent="0.35"/>
    <row r="9988" x14ac:dyDescent="0.35"/>
    <row r="9989" x14ac:dyDescent="0.35"/>
    <row r="9990" x14ac:dyDescent="0.35"/>
    <row r="9991" x14ac:dyDescent="0.35"/>
    <row r="9992" x14ac:dyDescent="0.35"/>
    <row r="9993" x14ac:dyDescent="0.35"/>
    <row r="9994" x14ac:dyDescent="0.35"/>
    <row r="9995" x14ac:dyDescent="0.35"/>
    <row r="9996" x14ac:dyDescent="0.35"/>
    <row r="9997" x14ac:dyDescent="0.35"/>
    <row r="9998" x14ac:dyDescent="0.35"/>
    <row r="9999" x14ac:dyDescent="0.35"/>
    <row r="10000" x14ac:dyDescent="0.35"/>
  </sheetData>
  <mergeCells count="221">
    <mergeCell ref="B82:Q82"/>
    <mergeCell ref="B83:Q83"/>
    <mergeCell ref="F18:I20"/>
    <mergeCell ref="J18:M20"/>
    <mergeCell ref="N18:Q20"/>
    <mergeCell ref="N73:Q73"/>
    <mergeCell ref="N74:Q76"/>
    <mergeCell ref="B78:Q78"/>
    <mergeCell ref="B79:F79"/>
    <mergeCell ref="B80:F81"/>
    <mergeCell ref="G79:K79"/>
    <mergeCell ref="G80:K81"/>
    <mergeCell ref="L79:Q79"/>
    <mergeCell ref="L80:Q81"/>
    <mergeCell ref="B73:E73"/>
    <mergeCell ref="B74:E76"/>
    <mergeCell ref="F73:I73"/>
    <mergeCell ref="F74:I76"/>
    <mergeCell ref="J73:M73"/>
    <mergeCell ref="J74:M76"/>
    <mergeCell ref="B66:Q66"/>
    <mergeCell ref="B68:Q68"/>
    <mergeCell ref="B69:E69"/>
    <mergeCell ref="B70:E72"/>
    <mergeCell ref="F69:I69"/>
    <mergeCell ref="F70:I72"/>
    <mergeCell ref="J69:M69"/>
    <mergeCell ref="J70:M72"/>
    <mergeCell ref="N69:Q69"/>
    <mergeCell ref="N70:Q72"/>
    <mergeCell ref="B65:F65"/>
    <mergeCell ref="G65:H65"/>
    <mergeCell ref="I65:J65"/>
    <mergeCell ref="K65:L65"/>
    <mergeCell ref="M65:N65"/>
    <mergeCell ref="P65:Q65"/>
    <mergeCell ref="B64:F64"/>
    <mergeCell ref="G64:H64"/>
    <mergeCell ref="I64:J64"/>
    <mergeCell ref="K64:L64"/>
    <mergeCell ref="M64:N64"/>
    <mergeCell ref="P64:Q64"/>
    <mergeCell ref="B63:F63"/>
    <mergeCell ref="G63:H63"/>
    <mergeCell ref="I63:J63"/>
    <mergeCell ref="K63:L63"/>
    <mergeCell ref="M63:N63"/>
    <mergeCell ref="P63:Q63"/>
    <mergeCell ref="B62:F62"/>
    <mergeCell ref="G62:H62"/>
    <mergeCell ref="I62:J62"/>
    <mergeCell ref="K62:L62"/>
    <mergeCell ref="M62:N62"/>
    <mergeCell ref="P62:Q62"/>
    <mergeCell ref="B61:F61"/>
    <mergeCell ref="G61:H61"/>
    <mergeCell ref="I61:J61"/>
    <mergeCell ref="K61:L61"/>
    <mergeCell ref="M61:N61"/>
    <mergeCell ref="P61:Q61"/>
    <mergeCell ref="B60:F60"/>
    <mergeCell ref="G60:H60"/>
    <mergeCell ref="I60:J60"/>
    <mergeCell ref="K60:L60"/>
    <mergeCell ref="M60:N60"/>
    <mergeCell ref="P60:Q60"/>
    <mergeCell ref="B59:F59"/>
    <mergeCell ref="G59:H59"/>
    <mergeCell ref="I59:J59"/>
    <mergeCell ref="K59:L59"/>
    <mergeCell ref="M59:N59"/>
    <mergeCell ref="P59:Q59"/>
    <mergeCell ref="B58:F58"/>
    <mergeCell ref="G58:H58"/>
    <mergeCell ref="I58:J58"/>
    <mergeCell ref="K58:L58"/>
    <mergeCell ref="M58:N58"/>
    <mergeCell ref="P58:Q58"/>
    <mergeCell ref="B57:F57"/>
    <mergeCell ref="G57:H57"/>
    <mergeCell ref="I57:J57"/>
    <mergeCell ref="K57:L57"/>
    <mergeCell ref="M57:N57"/>
    <mergeCell ref="P57:Q57"/>
    <mergeCell ref="B56:F56"/>
    <mergeCell ref="G56:H56"/>
    <mergeCell ref="I56:J56"/>
    <mergeCell ref="K56:L56"/>
    <mergeCell ref="M56:N56"/>
    <mergeCell ref="P56:Q56"/>
    <mergeCell ref="B55:F55"/>
    <mergeCell ref="G55:H55"/>
    <mergeCell ref="I55:J55"/>
    <mergeCell ref="K55:L55"/>
    <mergeCell ref="M55:N55"/>
    <mergeCell ref="P55:Q55"/>
    <mergeCell ref="B52:D52"/>
    <mergeCell ref="E52:G52"/>
    <mergeCell ref="H52:Q52"/>
    <mergeCell ref="B54:F54"/>
    <mergeCell ref="G54:H54"/>
    <mergeCell ref="I54:J54"/>
    <mergeCell ref="K54:L54"/>
    <mergeCell ref="M54:N54"/>
    <mergeCell ref="P54:Q54"/>
    <mergeCell ref="C49:G49"/>
    <mergeCell ref="H49:K49"/>
    <mergeCell ref="L49:M49"/>
    <mergeCell ref="N49:O49"/>
    <mergeCell ref="P49:Q49"/>
    <mergeCell ref="B51:Q51"/>
    <mergeCell ref="C47:G47"/>
    <mergeCell ref="H47:K47"/>
    <mergeCell ref="L47:M47"/>
    <mergeCell ref="N47:O47"/>
    <mergeCell ref="P47:Q47"/>
    <mergeCell ref="C48:G48"/>
    <mergeCell ref="H48:K48"/>
    <mergeCell ref="L48:M48"/>
    <mergeCell ref="N48:O48"/>
    <mergeCell ref="P48:Q48"/>
    <mergeCell ref="C45:G45"/>
    <mergeCell ref="H45:K45"/>
    <mergeCell ref="L45:M45"/>
    <mergeCell ref="N45:O45"/>
    <mergeCell ref="P45:Q45"/>
    <mergeCell ref="C46:G46"/>
    <mergeCell ref="H46:K46"/>
    <mergeCell ref="L46:M46"/>
    <mergeCell ref="N46:O46"/>
    <mergeCell ref="P46:Q46"/>
    <mergeCell ref="B39:G42"/>
    <mergeCell ref="H39:M42"/>
    <mergeCell ref="N39:Q42"/>
    <mergeCell ref="C44:G44"/>
    <mergeCell ref="H44:K44"/>
    <mergeCell ref="L44:M44"/>
    <mergeCell ref="N44:O44"/>
    <mergeCell ref="P44:Q44"/>
    <mergeCell ref="C36:F36"/>
    <mergeCell ref="G36:H36"/>
    <mergeCell ref="I36:J36"/>
    <mergeCell ref="K36:L36"/>
    <mergeCell ref="O36:P36"/>
    <mergeCell ref="B38:Q38"/>
    <mergeCell ref="C34:F34"/>
    <mergeCell ref="G34:H34"/>
    <mergeCell ref="I34:J34"/>
    <mergeCell ref="K34:L34"/>
    <mergeCell ref="O34:P34"/>
    <mergeCell ref="C35:F35"/>
    <mergeCell ref="G35:H35"/>
    <mergeCell ref="I35:J35"/>
    <mergeCell ref="K35:L35"/>
    <mergeCell ref="O35:P35"/>
    <mergeCell ref="C32:F32"/>
    <mergeCell ref="G32:H32"/>
    <mergeCell ref="I32:J32"/>
    <mergeCell ref="K32:L32"/>
    <mergeCell ref="O32:P32"/>
    <mergeCell ref="C33:F33"/>
    <mergeCell ref="G33:H33"/>
    <mergeCell ref="I33:J33"/>
    <mergeCell ref="K33:L33"/>
    <mergeCell ref="O33:P33"/>
    <mergeCell ref="C30:F30"/>
    <mergeCell ref="G30:H30"/>
    <mergeCell ref="I30:J30"/>
    <mergeCell ref="K30:L30"/>
    <mergeCell ref="O30:P30"/>
    <mergeCell ref="C31:F31"/>
    <mergeCell ref="G31:H31"/>
    <mergeCell ref="I31:J31"/>
    <mergeCell ref="K31:L31"/>
    <mergeCell ref="O31:P31"/>
    <mergeCell ref="C28:F28"/>
    <mergeCell ref="G28:H28"/>
    <mergeCell ref="I28:J28"/>
    <mergeCell ref="K28:L28"/>
    <mergeCell ref="O28:P28"/>
    <mergeCell ref="C29:F29"/>
    <mergeCell ref="G29:H29"/>
    <mergeCell ref="I29:J29"/>
    <mergeCell ref="K29:L29"/>
    <mergeCell ref="O29:P29"/>
    <mergeCell ref="C26:F26"/>
    <mergeCell ref="G26:H26"/>
    <mergeCell ref="I26:J26"/>
    <mergeCell ref="K26:L26"/>
    <mergeCell ref="O26:P26"/>
    <mergeCell ref="C27:F27"/>
    <mergeCell ref="G27:H27"/>
    <mergeCell ref="I27:J27"/>
    <mergeCell ref="K27:L27"/>
    <mergeCell ref="O27:P27"/>
    <mergeCell ref="N13:Q13"/>
    <mergeCell ref="N14:Q16"/>
    <mergeCell ref="B17:E17"/>
    <mergeCell ref="B18:E20"/>
    <mergeCell ref="F17:I17"/>
    <mergeCell ref="J17:M17"/>
    <mergeCell ref="N17:Q17"/>
    <mergeCell ref="G7:Q7"/>
    <mergeCell ref="G8:Q8"/>
    <mergeCell ref="B10:Q10"/>
    <mergeCell ref="B12:Q12"/>
    <mergeCell ref="B13:E13"/>
    <mergeCell ref="B14:E16"/>
    <mergeCell ref="F13:I13"/>
    <mergeCell ref="F14:I16"/>
    <mergeCell ref="J13:M13"/>
    <mergeCell ref="J14:M16"/>
    <mergeCell ref="B2:L2"/>
    <mergeCell ref="M2:Q2"/>
    <mergeCell ref="B3:Q3"/>
    <mergeCell ref="B5:Q5"/>
    <mergeCell ref="B6:F8"/>
    <mergeCell ref="G6:Q6"/>
    <mergeCell ref="B22:Q22"/>
    <mergeCell ref="B23:Q23"/>
    <mergeCell ref="B24:Q24"/>
  </mergeCells>
  <conditionalFormatting sqref="M27:M36">
    <cfRule type="dataBar" priority="1">
      <dataBar>
        <cfvo type="min"/>
        <cfvo type="max"/>
        <color rgb="FF0022F4"/>
      </dataBar>
      <extLst>
        <ext xmlns:x14="http://schemas.microsoft.com/office/spreadsheetml/2009/9/main" uri="{B025F937-C7B1-47D3-B67F-A62EFF666E3E}">
          <x14:id>{14CB45E5-9FC0-4866-9C01-490DD44B3532}</x14:id>
        </ext>
      </extLst>
    </cfRule>
  </conditionalFormatting>
  <conditionalFormatting sqref="L45:L49">
    <cfRule type="dataBar" priority="2">
      <dataBar>
        <cfvo type="min"/>
        <cfvo type="max"/>
        <color rgb="FF16A34A"/>
      </dataBar>
      <extLst>
        <ext xmlns:x14="http://schemas.microsoft.com/office/spreadsheetml/2009/9/main" uri="{B025F937-C7B1-47D3-B67F-A62EFF666E3E}">
          <x14:id>{11260F6C-526A-40A3-84D6-398C20E512C4}</x14:id>
        </ext>
      </extLst>
    </cfRule>
  </conditionalFormatting>
  <conditionalFormatting sqref="M55:M65">
    <cfRule type="dataBar" priority="3">
      <dataBar>
        <cfvo type="min"/>
        <cfvo type="max"/>
        <color rgb="FF0022F4"/>
      </dataBar>
      <extLst>
        <ext xmlns:x14="http://schemas.microsoft.com/office/spreadsheetml/2009/9/main" uri="{B025F937-C7B1-47D3-B67F-A62EFF666E3E}">
          <x14:id>{A9B1D93B-F0C1-47D9-84C5-00249197F577}</x14:id>
        </ext>
      </extLst>
    </cfRule>
  </conditionalFormatting>
  <conditionalFormatting sqref="N27:N36">
    <cfRule type="cellIs" dxfId="6" priority="4" operator="greaterThan">
      <formula>30</formula>
    </cfRule>
  </conditionalFormatting>
  <conditionalFormatting sqref="N27:N36">
    <cfRule type="cellIs" dxfId="5" priority="5" operator="between">
      <formula>15</formula>
      <formula>30</formula>
    </cfRule>
  </conditionalFormatting>
  <conditionalFormatting sqref="O27:O36">
    <cfRule type="containsText" dxfId="4" priority="6" operator="containsText" text="Hypercare">
      <formula>NOT(ISERROR(SEARCH("Hypercare",O27)))</formula>
    </cfRule>
  </conditionalFormatting>
  <conditionalFormatting sqref="O27:O36">
    <cfRule type="containsText" dxfId="3" priority="7" operator="containsText" text="andamento">
      <formula>NOT(ISERROR(SEARCH("andamento",O27)))</formula>
    </cfRule>
  </conditionalFormatting>
  <conditionalFormatting sqref="O27:O36">
    <cfRule type="containsText" dxfId="2" priority="8" operator="containsText" text="Bloq">
      <formula>NOT(ISERROR(SEARCH("Bloq",O27)))</formula>
    </cfRule>
  </conditionalFormatting>
  <conditionalFormatting sqref="O27:O36">
    <cfRule type="containsText" dxfId="1" priority="9" operator="containsText" text="Normal">
      <formula>NOT(ISERROR(SEARCH("Normal",O27)))</formula>
    </cfRule>
  </conditionalFormatting>
  <dataValidations count="1">
    <dataValidation type="list" allowBlank="1" showInputMessage="1" showErrorMessage="1" sqref="E52" xr:uid="{2D5844E4-950D-4B16-ACC0-13A66ABE6381}">
      <formula1>"Projeto,Pilar,Departamento CSC"</formula1>
    </dataValidation>
  </dataValidations>
  <pageMargins left="0.7" right="0.7" top="0.75" bottom="0.75" header="0.3" footer="0.3"/>
  <pageSetup paperSize="0" scale="0" orientation="landscape" horizontalDpi="0" verticalDpi="0" copie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4CB45E5-9FC0-4866-9C01-490DD44B3532}">
            <x14:dataBar minLength="0" maxLength="100" border="1" gradient="0" negativeBarColorSameAsPositive="1" axisPosition="none">
              <x14:cfvo type="min"/>
              <x14:cfvo type="max"/>
              <x14:borderColor rgb="FF0022F4"/>
            </x14:dataBar>
          </x14:cfRule>
          <xm:sqref>M27:M36</xm:sqref>
        </x14:conditionalFormatting>
        <x14:conditionalFormatting xmlns:xm="http://schemas.microsoft.com/office/excel/2006/main">
          <x14:cfRule type="dataBar" id="{11260F6C-526A-40A3-84D6-398C20E512C4}">
            <x14:dataBar minLength="0" maxLength="100" border="1" gradient="0" negativeBarColorSameAsPositive="1" axisPosition="none">
              <x14:cfvo type="min"/>
              <x14:cfvo type="max"/>
              <x14:borderColor rgb="FF16A34A"/>
            </x14:dataBar>
          </x14:cfRule>
          <xm:sqref>L45:L49</xm:sqref>
        </x14:conditionalFormatting>
        <x14:conditionalFormatting xmlns:xm="http://schemas.microsoft.com/office/excel/2006/main">
          <x14:cfRule type="dataBar" id="{A9B1D93B-F0C1-47D9-84C5-00249197F577}">
            <x14:dataBar minLength="0" maxLength="100" border="1" gradient="0" negativeBarColorSameAsPositive="1" axisPosition="none">
              <x14:cfvo type="min"/>
              <x14:cfvo type="max"/>
              <x14:borderColor rgb="FF0022F4"/>
            </x14:dataBar>
          </x14:cfRule>
          <xm:sqref>M55:M65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99"/>
  <sheetViews>
    <sheetView showGridLines="0" zoomScaleNormal="100" workbookViewId="0"/>
  </sheetViews>
  <sheetFormatPr defaultColWidth="0" defaultRowHeight="13.5" zeroHeight="1" x14ac:dyDescent="0.35"/>
  <cols>
    <col min="1" max="1" width="2.54296875" style="26" customWidth="1"/>
    <col min="2" max="2" width="40" style="26" customWidth="1"/>
    <col min="3" max="3" width="27.26953125" style="26" customWidth="1"/>
    <col min="4" max="4" width="94.54296875" style="26" customWidth="1"/>
    <col min="5" max="5" width="2.54296875" style="26" customWidth="1"/>
    <col min="6" max="9" width="16" style="26" hidden="1" customWidth="1"/>
    <col min="10" max="10" width="1.54296875" style="26" hidden="1" customWidth="1"/>
    <col min="11" max="16384" width="8.54296875" style="26" hidden="1"/>
  </cols>
  <sheetData>
    <row r="1" spans="1:26" ht="12" customHeight="1" x14ac:dyDescent="0.35">
      <c r="A1" s="261"/>
      <c r="B1" s="261"/>
      <c r="C1" s="261"/>
      <c r="D1" s="261"/>
      <c r="E1" s="26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</row>
    <row r="2" spans="1:26" s="36" customFormat="1" ht="36" customHeight="1" x14ac:dyDescent="0.7">
      <c r="A2" s="261"/>
      <c r="B2" s="288" t="s">
        <v>696</v>
      </c>
      <c r="C2" s="262"/>
      <c r="D2" s="262"/>
      <c r="E2" s="261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</row>
    <row r="3" spans="1:26" s="36" customFormat="1" ht="20" customHeight="1" x14ac:dyDescent="0.35">
      <c r="A3" s="261"/>
      <c r="B3" s="289" t="s">
        <v>938</v>
      </c>
      <c r="C3" s="262"/>
      <c r="D3" s="262"/>
      <c r="E3" s="261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</row>
    <row r="4" spans="1:26" ht="20" customHeight="1" x14ac:dyDescent="0.35">
      <c r="A4" s="261"/>
      <c r="B4" s="290" t="s">
        <v>697</v>
      </c>
      <c r="C4" s="262"/>
      <c r="D4" s="262"/>
      <c r="E4" s="261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</row>
    <row r="5" spans="1:26" ht="6" customHeight="1" x14ac:dyDescent="0.35">
      <c r="A5" s="261"/>
      <c r="B5" s="263"/>
      <c r="C5" s="263"/>
      <c r="D5" s="263"/>
      <c r="E5" s="261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</row>
    <row r="6" spans="1:26" ht="14" customHeight="1" x14ac:dyDescent="0.35">
      <c r="A6" s="261"/>
      <c r="B6" s="261"/>
      <c r="C6" s="261"/>
      <c r="D6" s="261"/>
      <c r="E6" s="261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</row>
    <row r="7" spans="1:26" ht="22" customHeight="1" thickBot="1" x14ac:dyDescent="0.4">
      <c r="A7" s="261"/>
      <c r="B7" s="369" t="s">
        <v>698</v>
      </c>
      <c r="C7" s="369"/>
      <c r="D7" s="369"/>
      <c r="E7" s="261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</row>
    <row r="8" spans="1:26" ht="36" customHeight="1" x14ac:dyDescent="0.35">
      <c r="A8" s="261"/>
      <c r="B8" s="372" t="str">
        <f>"1. Este arquivo é pessoal do analista "&amp;$C$85&amp;" (prefixo "&amp;Prefixo&amp;"), Departamento de Processos Integrados. Salve sempre como "&amp;CHAR(34)&amp;NomeArquivo&amp;CHAR(34)&amp;" e deposite na pasta compartilhada ao fim de cada semana para a consolidação da supervisão."</f>
        <v>1. Este arquivo é pessoal do analista Viviane Lima (prefixo VL), Departamento de Processos Integrados. Salve sempre como "base-atividades-viviane_lima" e deposite na pasta compartilhada ao fim de cada semana para a consolidação da supervisão.</v>
      </c>
      <c r="C8" s="372"/>
      <c r="D8" s="372"/>
      <c r="E8" s="261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</row>
    <row r="9" spans="1:26" ht="36" customHeight="1" x14ac:dyDescent="0.35">
      <c r="A9" s="261"/>
      <c r="B9" s="373" t="str">
        <f>"2. Toda atividade nasce na aba Lançamentos: uma linha = uma atividade ou entrega. O ID Único ("&amp;Prefixo&amp;"-0001, "&amp;Prefixo&amp;"-0002…) é gerado automaticamente — nunca digite um ID à mão nem altere o prefixo "&amp;Prefixo&amp;". É ele que impede colisão de registros entre os analistas na consolidação."</f>
        <v>2. Toda atividade nasce na aba Lançamentos: uma linha = uma atividade ou entrega. O ID Único (VL-0001, VL-0002…) é gerado automaticamente — nunca digite um ID à mão nem altere o prefixo VL. É ele que impede colisão de registros entre os analistas na consolidação.</v>
      </c>
      <c r="C9" s="373"/>
      <c r="D9" s="373"/>
      <c r="E9" s="261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</row>
    <row r="10" spans="1:26" ht="36" customHeight="1" x14ac:dyDescent="0.35">
      <c r="A10" s="261"/>
      <c r="B10" s="374" t="s">
        <v>699</v>
      </c>
      <c r="C10" s="374"/>
      <c r="D10" s="374"/>
      <c r="E10" s="261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</row>
    <row r="11" spans="1:26" ht="36" customHeight="1" x14ac:dyDescent="0.35">
      <c r="A11" s="261"/>
      <c r="B11" s="373" t="s">
        <v>841</v>
      </c>
      <c r="C11" s="373"/>
      <c r="D11" s="373"/>
      <c r="E11" s="26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</row>
    <row r="12" spans="1:26" ht="36" customHeight="1" x14ac:dyDescent="0.35">
      <c r="A12" s="261"/>
      <c r="B12" s="374" t="s">
        <v>700</v>
      </c>
      <c r="C12" s="374"/>
      <c r="D12" s="374"/>
      <c r="E12" s="261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</row>
    <row r="13" spans="1:26" ht="14" customHeight="1" x14ac:dyDescent="0.35">
      <c r="A13" s="261"/>
      <c r="B13" s="261"/>
      <c r="C13" s="261"/>
      <c r="D13" s="261"/>
      <c r="E13" s="261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</row>
    <row r="14" spans="1:26" ht="22" customHeight="1" thickBot="1" x14ac:dyDescent="0.4">
      <c r="A14" s="261"/>
      <c r="B14" s="369" t="s">
        <v>701</v>
      </c>
      <c r="C14" s="369"/>
      <c r="D14" s="369"/>
      <c r="E14" s="261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</row>
    <row r="15" spans="1:26" ht="22" customHeight="1" x14ac:dyDescent="0.35">
      <c r="A15" s="261"/>
      <c r="B15" s="296" t="s">
        <v>594</v>
      </c>
      <c r="C15" s="297" t="s">
        <v>581</v>
      </c>
      <c r="D15" s="296" t="s">
        <v>595</v>
      </c>
      <c r="E15" s="261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</row>
    <row r="16" spans="1:26" ht="22" customHeight="1" x14ac:dyDescent="0.35">
      <c r="A16" s="261"/>
      <c r="B16" s="264" t="s">
        <v>596</v>
      </c>
      <c r="C16" s="265" t="s">
        <v>597</v>
      </c>
      <c r="D16" s="266" t="s">
        <v>598</v>
      </c>
      <c r="E16" s="261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</row>
    <row r="17" spans="1:26" ht="22" customHeight="1" x14ac:dyDescent="0.35">
      <c r="A17" s="261"/>
      <c r="B17" s="86" t="s">
        <v>600</v>
      </c>
      <c r="C17" s="87" t="s">
        <v>597</v>
      </c>
      <c r="D17" s="88" t="s">
        <v>702</v>
      </c>
      <c r="E17" s="261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</row>
    <row r="18" spans="1:26" ht="22" customHeight="1" x14ac:dyDescent="0.35">
      <c r="A18" s="261"/>
      <c r="B18" s="264" t="s">
        <v>204</v>
      </c>
      <c r="C18" s="267" t="s">
        <v>599</v>
      </c>
      <c r="D18" s="266" t="s">
        <v>703</v>
      </c>
      <c r="E18" s="261" t="s">
        <v>836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</row>
    <row r="19" spans="1:26" ht="22" customHeight="1" x14ac:dyDescent="0.35">
      <c r="A19" s="261"/>
      <c r="B19" s="86" t="s">
        <v>602</v>
      </c>
      <c r="C19" s="96" t="s">
        <v>603</v>
      </c>
      <c r="D19" s="88" t="s">
        <v>704</v>
      </c>
      <c r="E19" s="261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</row>
    <row r="20" spans="1:26" ht="22" customHeight="1" x14ac:dyDescent="0.35">
      <c r="A20" s="261"/>
      <c r="B20" s="264" t="s">
        <v>604</v>
      </c>
      <c r="C20" s="267" t="s">
        <v>599</v>
      </c>
      <c r="D20" s="266" t="s">
        <v>705</v>
      </c>
      <c r="E20" s="261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</row>
    <row r="21" spans="1:26" ht="22" customHeight="1" x14ac:dyDescent="0.35">
      <c r="A21" s="261"/>
      <c r="B21" s="86" t="s">
        <v>84</v>
      </c>
      <c r="C21" s="96" t="s">
        <v>603</v>
      </c>
      <c r="D21" s="88" t="s">
        <v>706</v>
      </c>
      <c r="E21" s="26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</row>
    <row r="22" spans="1:26" ht="22" customHeight="1" x14ac:dyDescent="0.35">
      <c r="A22" s="261"/>
      <c r="B22" s="264" t="s">
        <v>85</v>
      </c>
      <c r="C22" s="268" t="s">
        <v>603</v>
      </c>
      <c r="D22" s="266" t="s">
        <v>707</v>
      </c>
      <c r="E22" s="261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</row>
    <row r="23" spans="1:26" ht="22" customHeight="1" x14ac:dyDescent="0.35">
      <c r="A23" s="261"/>
      <c r="B23" s="86" t="s">
        <v>585</v>
      </c>
      <c r="C23" s="99" t="s">
        <v>608</v>
      </c>
      <c r="D23" s="88" t="s">
        <v>708</v>
      </c>
      <c r="E23" s="261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</row>
    <row r="24" spans="1:26" ht="22" customHeight="1" x14ac:dyDescent="0.35">
      <c r="A24" s="261"/>
      <c r="B24" s="264" t="s">
        <v>87</v>
      </c>
      <c r="C24" s="268" t="s">
        <v>603</v>
      </c>
      <c r="D24" s="266" t="s">
        <v>709</v>
      </c>
      <c r="E24" s="261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</row>
    <row r="25" spans="1:26" ht="22" customHeight="1" x14ac:dyDescent="0.35">
      <c r="A25" s="261"/>
      <c r="B25" s="86" t="s">
        <v>588</v>
      </c>
      <c r="C25" s="99" t="s">
        <v>608</v>
      </c>
      <c r="D25" s="88" t="s">
        <v>710</v>
      </c>
      <c r="E25" s="261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</row>
    <row r="26" spans="1:26" ht="22" customHeight="1" x14ac:dyDescent="0.35">
      <c r="A26" s="261"/>
      <c r="B26" s="264" t="s">
        <v>89</v>
      </c>
      <c r="C26" s="268" t="s">
        <v>603</v>
      </c>
      <c r="D26" s="266" t="s">
        <v>711</v>
      </c>
      <c r="E26" s="261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</row>
    <row r="27" spans="1:26" ht="22" customHeight="1" x14ac:dyDescent="0.35">
      <c r="A27" s="261"/>
      <c r="B27" s="86" t="s">
        <v>90</v>
      </c>
      <c r="C27" s="96" t="s">
        <v>603</v>
      </c>
      <c r="D27" s="88" t="s">
        <v>712</v>
      </c>
      <c r="E27" s="261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</row>
    <row r="28" spans="1:26" ht="22" customHeight="1" x14ac:dyDescent="0.35">
      <c r="A28" s="261"/>
      <c r="B28" s="264" t="s">
        <v>614</v>
      </c>
      <c r="C28" s="268" t="s">
        <v>603</v>
      </c>
      <c r="D28" s="266" t="s">
        <v>713</v>
      </c>
      <c r="E28" s="261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</row>
    <row r="29" spans="1:26" ht="22" customHeight="1" x14ac:dyDescent="0.35">
      <c r="A29" s="261"/>
      <c r="B29" s="86" t="s">
        <v>616</v>
      </c>
      <c r="C29" s="96" t="s">
        <v>603</v>
      </c>
      <c r="D29" s="88" t="s">
        <v>714</v>
      </c>
      <c r="E29" s="261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</row>
    <row r="30" spans="1:26" ht="22" customHeight="1" x14ac:dyDescent="0.35">
      <c r="A30" s="261"/>
      <c r="B30" s="264" t="s">
        <v>618</v>
      </c>
      <c r="C30" s="267" t="s">
        <v>597</v>
      </c>
      <c r="D30" s="266" t="s">
        <v>837</v>
      </c>
      <c r="E30" s="261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</row>
    <row r="31" spans="1:26" ht="22" customHeight="1" x14ac:dyDescent="0.35">
      <c r="A31" s="261"/>
      <c r="B31" s="86" t="s">
        <v>838</v>
      </c>
      <c r="C31" s="87" t="s">
        <v>839</v>
      </c>
      <c r="D31" s="88" t="s">
        <v>840</v>
      </c>
      <c r="E31" s="26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</row>
    <row r="32" spans="1:26" ht="14" customHeight="1" x14ac:dyDescent="0.35">
      <c r="A32" s="261"/>
      <c r="B32" s="261"/>
      <c r="C32" s="261"/>
      <c r="D32" s="261"/>
      <c r="E32" s="261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</row>
    <row r="33" spans="1:26" ht="22" customHeight="1" thickBot="1" x14ac:dyDescent="0.4">
      <c r="A33" s="261"/>
      <c r="B33" s="369" t="s">
        <v>715</v>
      </c>
      <c r="C33" s="369"/>
      <c r="D33" s="369"/>
      <c r="E33" s="261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</row>
    <row r="34" spans="1:26" ht="22" customHeight="1" x14ac:dyDescent="0.35">
      <c r="A34" s="261"/>
      <c r="B34" s="296" t="s">
        <v>580</v>
      </c>
      <c r="C34" s="297" t="s">
        <v>716</v>
      </c>
      <c r="D34" s="296" t="s">
        <v>717</v>
      </c>
      <c r="E34" s="261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</row>
    <row r="35" spans="1:26" ht="30" customHeight="1" x14ac:dyDescent="0.35">
      <c r="A35" s="261"/>
      <c r="B35" s="264" t="s">
        <v>84</v>
      </c>
      <c r="C35" s="265" t="s">
        <v>718</v>
      </c>
      <c r="D35" s="266" t="s">
        <v>719</v>
      </c>
      <c r="E35" s="261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</row>
    <row r="36" spans="1:26" ht="30" customHeight="1" x14ac:dyDescent="0.35">
      <c r="A36" s="261"/>
      <c r="B36" s="86" t="s">
        <v>85</v>
      </c>
      <c r="C36" s="87" t="s">
        <v>718</v>
      </c>
      <c r="D36" s="88" t="s">
        <v>720</v>
      </c>
      <c r="E36" s="261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</row>
    <row r="37" spans="1:26" ht="30" customHeight="1" x14ac:dyDescent="0.35">
      <c r="A37" s="261"/>
      <c r="B37" s="89" t="s">
        <v>585</v>
      </c>
      <c r="C37" s="91" t="s">
        <v>721</v>
      </c>
      <c r="D37" s="90" t="s">
        <v>722</v>
      </c>
      <c r="E37" s="261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</row>
    <row r="38" spans="1:26" ht="30" customHeight="1" x14ac:dyDescent="0.35">
      <c r="A38" s="261"/>
      <c r="B38" s="86" t="s">
        <v>87</v>
      </c>
      <c r="C38" s="87" t="s">
        <v>723</v>
      </c>
      <c r="D38" s="88" t="s">
        <v>724</v>
      </c>
      <c r="E38" s="261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</row>
    <row r="39" spans="1:26" ht="30" customHeight="1" x14ac:dyDescent="0.35">
      <c r="A39" s="261"/>
      <c r="B39" s="89" t="s">
        <v>588</v>
      </c>
      <c r="C39" s="91" t="s">
        <v>721</v>
      </c>
      <c r="D39" s="90" t="s">
        <v>725</v>
      </c>
      <c r="E39" s="261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</row>
    <row r="40" spans="1:26" ht="30" customHeight="1" x14ac:dyDescent="0.35">
      <c r="A40" s="261"/>
      <c r="B40" s="86" t="s">
        <v>89</v>
      </c>
      <c r="C40" s="87" t="s">
        <v>726</v>
      </c>
      <c r="D40" s="88" t="s">
        <v>727</v>
      </c>
      <c r="E40" s="261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</row>
    <row r="41" spans="1:26" ht="30" customHeight="1" x14ac:dyDescent="0.35">
      <c r="A41" s="261"/>
      <c r="B41" s="92" t="s">
        <v>90</v>
      </c>
      <c r="C41" s="94" t="s">
        <v>728</v>
      </c>
      <c r="D41" s="93" t="s">
        <v>729</v>
      </c>
      <c r="E41" s="26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</row>
    <row r="42" spans="1:26" ht="30" customHeight="1" x14ac:dyDescent="0.35">
      <c r="A42" s="261"/>
      <c r="B42" s="86" t="s">
        <v>592</v>
      </c>
      <c r="C42" s="87" t="s">
        <v>726</v>
      </c>
      <c r="D42" s="88" t="s">
        <v>730</v>
      </c>
      <c r="E42" s="261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</row>
    <row r="43" spans="1:26" ht="14" customHeight="1" x14ac:dyDescent="0.35">
      <c r="A43" s="261"/>
      <c r="B43" s="261"/>
      <c r="C43" s="261"/>
      <c r="D43" s="261"/>
      <c r="E43" s="261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</row>
    <row r="44" spans="1:26" ht="22" customHeight="1" thickBot="1" x14ac:dyDescent="0.4">
      <c r="A44" s="261"/>
      <c r="B44" s="369" t="s">
        <v>731</v>
      </c>
      <c r="C44" s="369"/>
      <c r="D44" s="369"/>
      <c r="E44" s="261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</row>
    <row r="45" spans="1:26" ht="22" customHeight="1" x14ac:dyDescent="0.35">
      <c r="A45" s="261"/>
      <c r="B45" s="296" t="s">
        <v>732</v>
      </c>
      <c r="C45" s="296" t="s">
        <v>733</v>
      </c>
      <c r="D45" s="296" t="s">
        <v>734</v>
      </c>
      <c r="E45" s="261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</row>
    <row r="46" spans="1:26" ht="26" customHeight="1" x14ac:dyDescent="0.35">
      <c r="A46" s="261"/>
      <c r="B46" s="269" t="s">
        <v>111</v>
      </c>
      <c r="C46" s="270" t="s">
        <v>735</v>
      </c>
      <c r="D46" s="90" t="s">
        <v>736</v>
      </c>
      <c r="E46" s="261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</row>
    <row r="47" spans="1:26" ht="26" customHeight="1" x14ac:dyDescent="0.35">
      <c r="A47" s="261"/>
      <c r="B47" s="271" t="s">
        <v>112</v>
      </c>
      <c r="C47" s="272" t="s">
        <v>737</v>
      </c>
      <c r="D47" s="273" t="s">
        <v>738</v>
      </c>
      <c r="E47" s="261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</row>
    <row r="48" spans="1:26" ht="26" customHeight="1" x14ac:dyDescent="0.35">
      <c r="A48" s="261"/>
      <c r="B48" s="274" t="s">
        <v>110</v>
      </c>
      <c r="C48" s="275" t="s">
        <v>739</v>
      </c>
      <c r="D48" s="93" t="s">
        <v>740</v>
      </c>
      <c r="E48" s="261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</row>
    <row r="49" spans="1:26" ht="26" customHeight="1" x14ac:dyDescent="0.35">
      <c r="A49" s="261"/>
      <c r="B49" s="276" t="s">
        <v>113</v>
      </c>
      <c r="C49" s="277" t="s">
        <v>741</v>
      </c>
      <c r="D49" s="278" t="s">
        <v>742</v>
      </c>
      <c r="E49" s="261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</row>
    <row r="50" spans="1:26" ht="26" customHeight="1" x14ac:dyDescent="0.35">
      <c r="A50" s="261"/>
      <c r="B50" s="279" t="s">
        <v>348</v>
      </c>
      <c r="C50" s="280" t="s">
        <v>743</v>
      </c>
      <c r="D50" s="281" t="s">
        <v>744</v>
      </c>
      <c r="E50" s="261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</row>
    <row r="51" spans="1:26" ht="34" customHeight="1" x14ac:dyDescent="0.35">
      <c r="A51" s="261"/>
      <c r="B51" s="375" t="s">
        <v>745</v>
      </c>
      <c r="C51" s="375"/>
      <c r="D51" s="375"/>
      <c r="E51" s="26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</row>
    <row r="52" spans="1:26" ht="14" customHeight="1" x14ac:dyDescent="0.35">
      <c r="A52" s="261"/>
      <c r="B52" s="261"/>
      <c r="C52" s="261"/>
      <c r="D52" s="261"/>
      <c r="E52" s="261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</row>
    <row r="53" spans="1:26" ht="22" customHeight="1" x14ac:dyDescent="0.35">
      <c r="A53" s="261"/>
      <c r="B53" s="376" t="s">
        <v>746</v>
      </c>
      <c r="C53" s="376"/>
      <c r="D53" s="376"/>
      <c r="E53" s="261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</row>
    <row r="54" spans="1:26" ht="38" customHeight="1" x14ac:dyDescent="0.35">
      <c r="A54" s="261"/>
      <c r="B54" s="282" t="s">
        <v>8</v>
      </c>
      <c r="C54" s="377" t="str">
        <f>"Gerado sozinho a partir do prefixo "&amp;Prefixo&amp;" ("&amp;Prefixo&amp;"-0001, "&amp;Prefixo&amp;"-0002…). Nunca digite nem altere o prefixo. Não exclua linhas já lançadas — isso renumeraria os IDs e romperia o vínculo com as abas de etapa. Atividade descartada recebe Status = Cancelado."</f>
        <v>Gerado sozinho a partir do prefixo VL (VL-0001, VL-0002…). Nunca digite nem altere o prefixo. Não exclua linhas já lançadas — isso renumeraria os IDs e romperia o vínculo com as abas de etapa. Atividade descartada recebe Status = Cancelado.</v>
      </c>
      <c r="D54" s="378"/>
      <c r="E54" s="261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</row>
    <row r="55" spans="1:26" ht="38" customHeight="1" x14ac:dyDescent="0.35">
      <c r="A55" s="261"/>
      <c r="B55" s="283" t="s">
        <v>747</v>
      </c>
      <c r="C55" s="379" t="s">
        <v>748</v>
      </c>
      <c r="D55" s="380"/>
      <c r="E55" s="261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</row>
    <row r="56" spans="1:26" ht="24" customHeight="1" x14ac:dyDescent="0.35">
      <c r="A56" s="261"/>
      <c r="B56" s="282" t="s">
        <v>31</v>
      </c>
      <c r="C56" s="377" t="s">
        <v>749</v>
      </c>
      <c r="D56" s="378"/>
      <c r="E56" s="261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</row>
    <row r="57" spans="1:26" ht="38" customHeight="1" x14ac:dyDescent="0.35">
      <c r="A57" s="261"/>
      <c r="B57" s="283" t="s">
        <v>750</v>
      </c>
      <c r="C57" s="379" t="s">
        <v>751</v>
      </c>
      <c r="D57" s="380"/>
      <c r="E57" s="261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</row>
    <row r="58" spans="1:26" ht="52" customHeight="1" x14ac:dyDescent="0.35">
      <c r="A58" s="261"/>
      <c r="B58" s="282" t="s">
        <v>752</v>
      </c>
      <c r="C58" s="377" t="s">
        <v>753</v>
      </c>
      <c r="D58" s="378"/>
      <c r="E58" s="261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</row>
    <row r="59" spans="1:26" ht="38" customHeight="1" x14ac:dyDescent="0.35">
      <c r="A59" s="261"/>
      <c r="B59" s="283" t="s">
        <v>754</v>
      </c>
      <c r="C59" s="379" t="s">
        <v>755</v>
      </c>
      <c r="D59" s="380"/>
      <c r="E59" s="261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</row>
    <row r="60" spans="1:26" ht="24" customHeight="1" x14ac:dyDescent="0.35">
      <c r="A60" s="261"/>
      <c r="B60" s="282" t="s">
        <v>756</v>
      </c>
      <c r="C60" s="377" t="s">
        <v>757</v>
      </c>
      <c r="D60" s="378"/>
      <c r="E60" s="261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</row>
    <row r="61" spans="1:26" ht="38" customHeight="1" x14ac:dyDescent="0.35">
      <c r="A61" s="261"/>
      <c r="B61" s="283" t="s">
        <v>758</v>
      </c>
      <c r="C61" s="379" t="s">
        <v>759</v>
      </c>
      <c r="D61" s="380"/>
      <c r="E61" s="2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</row>
    <row r="62" spans="1:26" ht="14" customHeight="1" x14ac:dyDescent="0.35">
      <c r="A62" s="261"/>
      <c r="B62" s="261"/>
      <c r="C62" s="261"/>
      <c r="D62" s="261"/>
      <c r="E62" s="261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</row>
    <row r="63" spans="1:26" ht="22" customHeight="1" thickBot="1" x14ac:dyDescent="0.4">
      <c r="A63" s="261"/>
      <c r="B63" s="369" t="s">
        <v>760</v>
      </c>
      <c r="C63" s="369"/>
      <c r="D63" s="369"/>
      <c r="E63" s="261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</row>
    <row r="64" spans="1:26" ht="22" customHeight="1" x14ac:dyDescent="0.35">
      <c r="A64" s="261"/>
      <c r="B64" s="296" t="s">
        <v>761</v>
      </c>
      <c r="C64" s="297" t="s">
        <v>762</v>
      </c>
      <c r="D64" s="296" t="s">
        <v>763</v>
      </c>
      <c r="E64" s="261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</row>
    <row r="65" spans="1:26" ht="24" customHeight="1" x14ac:dyDescent="0.35">
      <c r="A65" s="261"/>
      <c r="B65" s="264" t="s">
        <v>764</v>
      </c>
      <c r="C65" s="268" t="s">
        <v>765</v>
      </c>
      <c r="D65" s="266" t="s">
        <v>766</v>
      </c>
      <c r="E65" s="261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</row>
    <row r="66" spans="1:26" ht="24" customHeight="1" x14ac:dyDescent="0.35">
      <c r="A66" s="261"/>
      <c r="B66" s="86" t="s">
        <v>767</v>
      </c>
      <c r="C66" s="95" t="s">
        <v>768</v>
      </c>
      <c r="D66" s="88" t="s">
        <v>769</v>
      </c>
      <c r="E66" s="261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</row>
    <row r="67" spans="1:26" ht="38" customHeight="1" x14ac:dyDescent="0.35">
      <c r="A67" s="261"/>
      <c r="B67" s="264" t="s">
        <v>770</v>
      </c>
      <c r="C67" s="268" t="s">
        <v>765</v>
      </c>
      <c r="D67" s="266" t="s">
        <v>771</v>
      </c>
      <c r="E67" s="261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</row>
    <row r="68" spans="1:26" ht="24" customHeight="1" x14ac:dyDescent="0.35">
      <c r="A68" s="261"/>
      <c r="B68" s="86" t="s">
        <v>772</v>
      </c>
      <c r="C68" s="95" t="s">
        <v>768</v>
      </c>
      <c r="D68" s="88" t="s">
        <v>773</v>
      </c>
      <c r="E68" s="261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</row>
    <row r="69" spans="1:26" ht="24" customHeight="1" x14ac:dyDescent="0.35">
      <c r="A69" s="261"/>
      <c r="B69" s="264" t="s">
        <v>774</v>
      </c>
      <c r="C69" s="267" t="s">
        <v>768</v>
      </c>
      <c r="D69" s="266" t="s">
        <v>775</v>
      </c>
      <c r="E69" s="261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</row>
    <row r="70" spans="1:26" ht="24" customHeight="1" x14ac:dyDescent="0.35">
      <c r="A70" s="261"/>
      <c r="B70" s="86" t="s">
        <v>776</v>
      </c>
      <c r="C70" s="95" t="s">
        <v>768</v>
      </c>
      <c r="D70" s="88" t="s">
        <v>777</v>
      </c>
      <c r="E70" s="261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</row>
    <row r="71" spans="1:26" ht="24" customHeight="1" x14ac:dyDescent="0.35">
      <c r="A71" s="261"/>
      <c r="B71" s="264" t="s">
        <v>778</v>
      </c>
      <c r="C71" s="267" t="s">
        <v>768</v>
      </c>
      <c r="D71" s="266" t="s">
        <v>779</v>
      </c>
      <c r="E71" s="26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</row>
    <row r="72" spans="1:26" ht="38" customHeight="1" x14ac:dyDescent="0.35">
      <c r="A72" s="261"/>
      <c r="B72" s="284" t="s">
        <v>780</v>
      </c>
      <c r="C72" s="285" t="s">
        <v>781</v>
      </c>
      <c r="D72" s="286" t="s">
        <v>782</v>
      </c>
      <c r="E72" s="261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</row>
    <row r="73" spans="1:26" ht="42" customHeight="1" x14ac:dyDescent="0.35">
      <c r="A73" s="261"/>
      <c r="B73" s="381" t="s">
        <v>783</v>
      </c>
      <c r="C73" s="382"/>
      <c r="D73" s="382"/>
      <c r="E73" s="261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</row>
    <row r="74" spans="1:26" ht="14" customHeight="1" x14ac:dyDescent="0.35">
      <c r="A74" s="261"/>
      <c r="B74" s="261"/>
      <c r="C74" s="261"/>
      <c r="D74" s="261"/>
      <c r="E74" s="261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</row>
    <row r="75" spans="1:26" ht="22" customHeight="1" x14ac:dyDescent="0.35">
      <c r="A75" s="261"/>
      <c r="B75" s="376" t="s">
        <v>784</v>
      </c>
      <c r="C75" s="376"/>
      <c r="D75" s="376"/>
      <c r="E75" s="261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</row>
    <row r="76" spans="1:26" ht="20" customHeight="1" x14ac:dyDescent="0.35">
      <c r="A76" s="261"/>
      <c r="B76" s="383" t="s">
        <v>0</v>
      </c>
      <c r="C76" s="384"/>
      <c r="D76" s="385"/>
      <c r="E76" s="261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</row>
    <row r="77" spans="1:26" ht="20" customHeight="1" x14ac:dyDescent="0.35">
      <c r="A77" s="261"/>
      <c r="B77" s="386" t="s">
        <v>785</v>
      </c>
      <c r="C77" s="387"/>
      <c r="D77" s="388"/>
      <c r="E77" s="261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</row>
    <row r="78" spans="1:26" ht="20" customHeight="1" x14ac:dyDescent="0.35">
      <c r="A78" s="261"/>
      <c r="B78" s="386" t="s">
        <v>1</v>
      </c>
      <c r="C78" s="387"/>
      <c r="D78" s="388"/>
      <c r="E78" s="261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</row>
    <row r="79" spans="1:26" ht="20" customHeight="1" x14ac:dyDescent="0.35">
      <c r="A79" s="261"/>
      <c r="B79" s="386" t="s">
        <v>786</v>
      </c>
      <c r="C79" s="387"/>
      <c r="D79" s="388"/>
      <c r="E79" s="261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</row>
    <row r="80" spans="1:26" ht="20" customHeight="1" x14ac:dyDescent="0.35">
      <c r="A80" s="261"/>
      <c r="B80" s="386" t="s">
        <v>623</v>
      </c>
      <c r="C80" s="387"/>
      <c r="D80" s="388"/>
      <c r="E80" s="261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</row>
    <row r="81" spans="1:26" ht="20" customHeight="1" x14ac:dyDescent="0.35">
      <c r="A81" s="261"/>
      <c r="B81" s="386" t="s">
        <v>842</v>
      </c>
      <c r="C81" s="387"/>
      <c r="D81" s="388"/>
      <c r="E81" s="26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</row>
    <row r="82" spans="1:26" ht="20" customHeight="1" x14ac:dyDescent="0.35">
      <c r="A82" s="261"/>
      <c r="B82" s="393" t="s">
        <v>787</v>
      </c>
      <c r="C82" s="394"/>
      <c r="D82" s="395"/>
      <c r="E82" s="261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</row>
    <row r="83" spans="1:26" ht="14" customHeight="1" x14ac:dyDescent="0.35">
      <c r="A83" s="261"/>
      <c r="B83" s="261"/>
      <c r="C83" s="261"/>
      <c r="D83" s="261"/>
      <c r="E83" s="261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</row>
    <row r="84" spans="1:26" ht="22" customHeight="1" x14ac:dyDescent="0.35">
      <c r="A84" s="261"/>
      <c r="B84" s="396" t="s">
        <v>788</v>
      </c>
      <c r="C84" s="396"/>
      <c r="D84" s="396"/>
      <c r="E84" s="261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</row>
    <row r="85" spans="1:26" ht="21" customHeight="1" x14ac:dyDescent="0.35">
      <c r="A85" s="261"/>
      <c r="B85" s="287" t="s">
        <v>573</v>
      </c>
      <c r="C85" s="389" t="s">
        <v>220</v>
      </c>
      <c r="D85" s="390"/>
      <c r="E85" s="261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</row>
    <row r="86" spans="1:26" ht="21" customHeight="1" x14ac:dyDescent="0.35">
      <c r="A86" s="261"/>
      <c r="B86" s="287" t="s">
        <v>574</v>
      </c>
      <c r="C86" s="292" t="s">
        <v>463</v>
      </c>
      <c r="D86" s="291" t="s">
        <v>789</v>
      </c>
      <c r="E86" s="261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</row>
    <row r="87" spans="1:26" ht="21" customHeight="1" x14ac:dyDescent="0.35">
      <c r="A87" s="261"/>
      <c r="B87" s="287" t="s">
        <v>4</v>
      </c>
      <c r="C87" s="389" t="s">
        <v>5</v>
      </c>
      <c r="D87" s="390"/>
      <c r="E87" s="261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</row>
    <row r="88" spans="1:26" ht="21" customHeight="1" x14ac:dyDescent="0.35">
      <c r="A88" s="261"/>
      <c r="B88" s="287" t="s">
        <v>6</v>
      </c>
      <c r="C88" s="389" t="s">
        <v>7</v>
      </c>
      <c r="D88" s="390"/>
      <c r="E88" s="261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</row>
    <row r="89" spans="1:26" ht="21" customHeight="1" x14ac:dyDescent="0.35">
      <c r="A89" s="261"/>
      <c r="B89" s="364" t="s">
        <v>575</v>
      </c>
      <c r="C89" s="391" t="s">
        <v>576</v>
      </c>
      <c r="D89" s="392"/>
      <c r="E89" s="261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</row>
    <row r="90" spans="1:26" ht="16" customHeight="1" x14ac:dyDescent="0.35">
      <c r="A90" s="261"/>
      <c r="B90" s="368" t="s">
        <v>832</v>
      </c>
      <c r="C90" s="370" t="s">
        <v>943</v>
      </c>
      <c r="D90" s="371"/>
      <c r="E90" s="261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</row>
    <row r="91" spans="1:26" ht="20" customHeight="1" x14ac:dyDescent="0.35">
      <c r="A91" s="261"/>
      <c r="B91" s="365" t="s">
        <v>695</v>
      </c>
      <c r="C91" s="366"/>
      <c r="D91" s="367" t="str">
        <f ca="1">"Documento controlado · Atualizado em "&amp;TEXT(TODAY(),"dd/mm/aaaa")</f>
        <v>Documento controlado · Atualizado em 30/07/2026</v>
      </c>
      <c r="E91" s="26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</row>
    <row r="92" spans="1:26" ht="14.5" x14ac:dyDescent="0.35">
      <c r="A92" s="261"/>
      <c r="B92" s="261"/>
      <c r="C92" s="261"/>
      <c r="D92" s="261"/>
      <c r="E92" s="261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</row>
    <row r="93" spans="1:26" ht="14.5" hidden="1" x14ac:dyDescent="0.35">
      <c r="A93" s="261"/>
      <c r="B93" s="261"/>
      <c r="C93" s="261"/>
      <c r="D93" s="261"/>
      <c r="E93" s="261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</row>
    <row r="94" spans="1:26" ht="14.5" hidden="1" x14ac:dyDescent="0.35">
      <c r="A94" s="261"/>
      <c r="B94" s="261"/>
      <c r="C94" s="261"/>
      <c r="D94" s="261"/>
      <c r="E94" s="261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</row>
    <row r="95" spans="1:26" ht="14.5" hidden="1" x14ac:dyDescent="0.35">
      <c r="A95" s="261"/>
      <c r="B95" s="261"/>
      <c r="C95" s="261"/>
      <c r="D95" s="261"/>
      <c r="E95" s="261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</row>
    <row r="96" spans="1:26" ht="14.5" hidden="1" x14ac:dyDescent="0.35">
      <c r="A96" s="261"/>
      <c r="B96" s="261"/>
      <c r="C96" s="261"/>
      <c r="D96" s="261"/>
      <c r="E96" s="261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</row>
    <row r="97" spans="1:26" ht="14.5" hidden="1" x14ac:dyDescent="0.35">
      <c r="A97" s="261"/>
      <c r="B97" s="261"/>
      <c r="C97" s="261"/>
      <c r="D97" s="261"/>
      <c r="E97" s="261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</row>
    <row r="98" spans="1:26" ht="14.5" hidden="1" x14ac:dyDescent="0.35">
      <c r="A98" s="261"/>
      <c r="B98" s="261"/>
      <c r="C98" s="261"/>
      <c r="D98" s="261"/>
      <c r="E98" s="261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</row>
    <row r="99" spans="1:26" ht="14.5" hidden="1" x14ac:dyDescent="0.35">
      <c r="A99" s="261"/>
      <c r="B99" s="261"/>
      <c r="C99" s="261"/>
      <c r="D99" s="261"/>
      <c r="E99" s="261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</row>
    <row r="100" spans="1:26" ht="14.5" hidden="1" x14ac:dyDescent="0.35">
      <c r="A100" s="261"/>
      <c r="B100" s="261"/>
      <c r="C100" s="261"/>
      <c r="D100" s="261"/>
      <c r="E100" s="261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</row>
    <row r="101" spans="1:26" ht="14.5" hidden="1" x14ac:dyDescent="0.35">
      <c r="A101" s="261"/>
      <c r="B101" s="261"/>
      <c r="C101" s="261"/>
      <c r="D101" s="261"/>
      <c r="E101" s="26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</row>
    <row r="102" spans="1:26" ht="14.5" hidden="1" x14ac:dyDescent="0.35">
      <c r="A102" s="261"/>
      <c r="B102" s="261"/>
      <c r="C102" s="261"/>
      <c r="D102" s="261"/>
      <c r="E102" s="261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</row>
    <row r="103" spans="1:26" ht="14.5" hidden="1" x14ac:dyDescent="0.35">
      <c r="A103" s="261"/>
      <c r="B103" s="261"/>
      <c r="C103" s="261"/>
      <c r="D103" s="261"/>
      <c r="E103" s="261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</row>
    <row r="104" spans="1:26" ht="14.5" hidden="1" x14ac:dyDescent="0.35">
      <c r="A104" s="261"/>
      <c r="B104" s="261"/>
      <c r="C104" s="261"/>
      <c r="D104" s="261"/>
      <c r="E104" s="261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</row>
    <row r="105" spans="1:26" ht="14.5" hidden="1" x14ac:dyDescent="0.35">
      <c r="A105" s="261"/>
      <c r="B105" s="261"/>
      <c r="C105" s="261"/>
      <c r="D105" s="261"/>
      <c r="E105" s="261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</row>
    <row r="106" spans="1:26" ht="14.5" hidden="1" x14ac:dyDescent="0.35">
      <c r="A106" s="261"/>
      <c r="B106" s="261"/>
      <c r="C106" s="261"/>
      <c r="D106" s="261"/>
      <c r="E106" s="261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</row>
    <row r="107" spans="1:26" ht="14.5" hidden="1" x14ac:dyDescent="0.35">
      <c r="A107" s="261"/>
      <c r="B107" s="261"/>
      <c r="C107" s="261"/>
      <c r="D107" s="261"/>
      <c r="E107" s="261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</row>
    <row r="108" spans="1:26" ht="14.5" hidden="1" x14ac:dyDescent="0.35">
      <c r="A108" s="261"/>
      <c r="B108" s="261"/>
      <c r="C108" s="261"/>
      <c r="D108" s="261"/>
      <c r="E108" s="261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</row>
    <row r="109" spans="1:26" ht="14.5" hidden="1" x14ac:dyDescent="0.35">
      <c r="A109" s="261"/>
      <c r="B109" s="261"/>
      <c r="C109" s="261"/>
      <c r="D109" s="261"/>
      <c r="E109" s="261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</row>
    <row r="110" spans="1:26" ht="14.5" hidden="1" x14ac:dyDescent="0.35">
      <c r="A110" s="261"/>
      <c r="B110" s="261"/>
      <c r="C110" s="261"/>
      <c r="D110" s="261"/>
      <c r="E110" s="261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</row>
    <row r="111" spans="1:26" ht="14.5" hidden="1" x14ac:dyDescent="0.35">
      <c r="A111" s="261"/>
      <c r="B111" s="261"/>
      <c r="C111" s="261"/>
      <c r="D111" s="261"/>
      <c r="E111" s="26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</row>
    <row r="112" spans="1:26" ht="14.5" hidden="1" x14ac:dyDescent="0.35">
      <c r="A112" s="261"/>
      <c r="B112" s="261"/>
      <c r="C112" s="261"/>
      <c r="D112" s="261"/>
      <c r="E112" s="261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</row>
    <row r="113" spans="1:26" ht="14.5" hidden="1" x14ac:dyDescent="0.35">
      <c r="A113" s="261"/>
      <c r="B113" s="261"/>
      <c r="C113" s="261"/>
      <c r="D113" s="261"/>
      <c r="E113" s="261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</row>
    <row r="114" spans="1:26" ht="14.5" hidden="1" x14ac:dyDescent="0.35">
      <c r="A114" s="261"/>
      <c r="B114" s="261"/>
      <c r="C114" s="261"/>
      <c r="D114" s="261"/>
      <c r="E114" s="261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</row>
    <row r="115" spans="1:26" ht="14.5" hidden="1" x14ac:dyDescent="0.35">
      <c r="A115" s="261"/>
      <c r="B115" s="261"/>
      <c r="C115" s="261"/>
      <c r="D115" s="261"/>
      <c r="E115" s="261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</row>
    <row r="116" spans="1:26" ht="14.5" hidden="1" x14ac:dyDescent="0.35">
      <c r="A116" s="261"/>
      <c r="B116" s="261"/>
      <c r="C116" s="261"/>
      <c r="D116" s="261"/>
      <c r="E116" s="261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</row>
    <row r="117" spans="1:26" ht="14.5" hidden="1" x14ac:dyDescent="0.35">
      <c r="A117" s="261"/>
      <c r="B117" s="261"/>
      <c r="C117" s="261"/>
      <c r="D117" s="261"/>
      <c r="E117" s="261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</row>
    <row r="118" spans="1:26" ht="14.5" hidden="1" x14ac:dyDescent="0.35">
      <c r="A118" s="261"/>
      <c r="B118" s="261"/>
      <c r="C118" s="261"/>
      <c r="D118" s="261"/>
      <c r="E118" s="261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</row>
    <row r="119" spans="1:26" ht="14.5" hidden="1" x14ac:dyDescent="0.35">
      <c r="A119" s="261"/>
      <c r="B119" s="261"/>
      <c r="C119" s="261"/>
      <c r="D119" s="261"/>
      <c r="E119" s="261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</row>
    <row r="120" spans="1:26" ht="14.5" hidden="1" x14ac:dyDescent="0.35">
      <c r="A120" s="261"/>
      <c r="B120" s="261"/>
      <c r="C120" s="261"/>
      <c r="D120" s="261"/>
      <c r="E120" s="261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</row>
    <row r="121" spans="1:26" ht="14.5" hidden="1" x14ac:dyDescent="0.35">
      <c r="A121" s="261"/>
      <c r="B121" s="261"/>
      <c r="C121" s="261"/>
      <c r="D121" s="261"/>
      <c r="E121" s="26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</row>
    <row r="122" spans="1:26" ht="14.5" hidden="1" x14ac:dyDescent="0.35">
      <c r="A122" s="261"/>
      <c r="B122" s="261"/>
      <c r="C122" s="261"/>
      <c r="D122" s="261"/>
      <c r="E122" s="261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</row>
    <row r="123" spans="1:26" ht="14.5" hidden="1" x14ac:dyDescent="0.35">
      <c r="A123" s="261"/>
      <c r="B123" s="261"/>
      <c r="C123" s="261"/>
      <c r="D123" s="261"/>
      <c r="E123" s="261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</row>
    <row r="124" spans="1:26" ht="14.5" hidden="1" x14ac:dyDescent="0.35">
      <c r="A124" s="261"/>
      <c r="B124" s="261"/>
      <c r="C124" s="261"/>
      <c r="D124" s="261"/>
      <c r="E124" s="261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</row>
    <row r="125" spans="1:26" ht="14.5" hidden="1" x14ac:dyDescent="0.35">
      <c r="A125" s="261"/>
      <c r="B125" s="261"/>
      <c r="C125" s="261"/>
      <c r="D125" s="261"/>
      <c r="E125" s="261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</row>
    <row r="126" spans="1:26" ht="14.5" hidden="1" x14ac:dyDescent="0.35">
      <c r="A126" s="261"/>
      <c r="B126" s="261"/>
      <c r="C126" s="261"/>
      <c r="D126" s="261"/>
      <c r="E126" s="261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</row>
    <row r="127" spans="1:26" ht="14.5" hidden="1" x14ac:dyDescent="0.35">
      <c r="A127" s="261"/>
      <c r="B127" s="261"/>
      <c r="C127" s="261"/>
      <c r="D127" s="261"/>
      <c r="E127" s="261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</row>
    <row r="128" spans="1:26" ht="14.5" hidden="1" x14ac:dyDescent="0.35">
      <c r="A128" s="261"/>
      <c r="B128" s="261"/>
      <c r="C128" s="261"/>
      <c r="D128" s="261"/>
      <c r="E128" s="261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</row>
    <row r="129" spans="1:26" ht="14.5" hidden="1" x14ac:dyDescent="0.35">
      <c r="A129" s="261"/>
      <c r="B129" s="261"/>
      <c r="C129" s="261"/>
      <c r="D129" s="261"/>
      <c r="E129" s="261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</row>
    <row r="130" spans="1:26" ht="14.5" hidden="1" x14ac:dyDescent="0.35">
      <c r="A130" s="261"/>
      <c r="B130" s="261"/>
      <c r="C130" s="261"/>
      <c r="D130" s="261"/>
      <c r="E130" s="261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</row>
    <row r="131" spans="1:26" ht="14.5" hidden="1" x14ac:dyDescent="0.35">
      <c r="A131" s="261"/>
      <c r="B131" s="261"/>
      <c r="C131" s="261"/>
      <c r="D131" s="261"/>
      <c r="E131" s="26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</row>
    <row r="132" spans="1:26" ht="14.5" hidden="1" x14ac:dyDescent="0.35">
      <c r="A132" s="261"/>
      <c r="B132" s="261"/>
      <c r="C132" s="261"/>
      <c r="D132" s="261"/>
      <c r="E132" s="261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</row>
    <row r="133" spans="1:26" ht="14.5" hidden="1" x14ac:dyDescent="0.35">
      <c r="A133" s="261"/>
      <c r="B133" s="261"/>
      <c r="C133" s="261"/>
      <c r="D133" s="261"/>
      <c r="E133" s="261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</row>
    <row r="134" spans="1:26" ht="14.5" hidden="1" x14ac:dyDescent="0.35">
      <c r="A134" s="261"/>
      <c r="B134" s="261"/>
      <c r="C134" s="261"/>
      <c r="D134" s="261"/>
      <c r="E134" s="261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</row>
    <row r="135" spans="1:26" ht="14.5" hidden="1" x14ac:dyDescent="0.35">
      <c r="A135" s="261"/>
      <c r="B135" s="261"/>
      <c r="C135" s="261"/>
      <c r="D135" s="261"/>
      <c r="E135" s="261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</row>
    <row r="136" spans="1:26" ht="14.5" hidden="1" x14ac:dyDescent="0.35">
      <c r="A136" s="261"/>
      <c r="B136" s="261"/>
      <c r="C136" s="261"/>
      <c r="D136" s="261"/>
      <c r="E136" s="261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</row>
    <row r="137" spans="1:26" ht="14.5" hidden="1" x14ac:dyDescent="0.35">
      <c r="A137" s="261"/>
      <c r="B137" s="261"/>
      <c r="C137" s="261"/>
      <c r="D137" s="261"/>
      <c r="E137" s="261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</row>
    <row r="138" spans="1:26" ht="14.5" hidden="1" x14ac:dyDescent="0.35">
      <c r="A138" s="261"/>
      <c r="B138" s="261"/>
      <c r="C138" s="261"/>
      <c r="D138" s="261"/>
      <c r="E138" s="261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</row>
    <row r="139" spans="1:26" ht="14.5" hidden="1" x14ac:dyDescent="0.35">
      <c r="A139" s="261"/>
      <c r="B139" s="261"/>
      <c r="C139" s="261"/>
      <c r="D139" s="261"/>
      <c r="E139" s="261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</row>
    <row r="140" spans="1:26" ht="14.5" hidden="1" x14ac:dyDescent="0.35">
      <c r="A140" s="261"/>
      <c r="B140" s="261"/>
      <c r="C140" s="261"/>
      <c r="D140" s="261"/>
      <c r="E140" s="261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</row>
    <row r="141" spans="1:26" ht="14.5" hidden="1" x14ac:dyDescent="0.35">
      <c r="A141" s="261"/>
      <c r="B141" s="261"/>
      <c r="C141" s="261"/>
      <c r="D141" s="261"/>
      <c r="E141" s="26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</row>
    <row r="142" spans="1:26" ht="14.5" hidden="1" x14ac:dyDescent="0.35">
      <c r="A142" s="261"/>
      <c r="B142" s="261"/>
      <c r="C142" s="261"/>
      <c r="D142" s="261"/>
      <c r="E142" s="261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</row>
    <row r="143" spans="1:26" ht="14.5" hidden="1" x14ac:dyDescent="0.35">
      <c r="A143" s="261"/>
      <c r="B143" s="261"/>
      <c r="C143" s="261"/>
      <c r="D143" s="261"/>
      <c r="E143" s="261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</row>
    <row r="144" spans="1:26" ht="14.5" hidden="1" x14ac:dyDescent="0.35">
      <c r="A144" s="261"/>
      <c r="B144" s="261"/>
      <c r="C144" s="261"/>
      <c r="D144" s="261"/>
      <c r="E144" s="261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</row>
    <row r="145" spans="1:26" ht="14.5" hidden="1" x14ac:dyDescent="0.35">
      <c r="A145" s="261"/>
      <c r="B145" s="261"/>
      <c r="C145" s="261"/>
      <c r="D145" s="261"/>
      <c r="E145" s="261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</row>
    <row r="146" spans="1:26" ht="14.5" hidden="1" x14ac:dyDescent="0.35">
      <c r="A146" s="261"/>
      <c r="B146" s="261"/>
      <c r="C146" s="261"/>
      <c r="D146" s="261"/>
      <c r="E146" s="261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</row>
    <row r="147" spans="1:26" ht="14.5" hidden="1" x14ac:dyDescent="0.35">
      <c r="A147" s="261"/>
      <c r="B147" s="261"/>
      <c r="C147" s="261"/>
      <c r="D147" s="261"/>
      <c r="E147" s="261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</row>
    <row r="148" spans="1:26" ht="14.5" hidden="1" x14ac:dyDescent="0.35">
      <c r="A148" s="261"/>
      <c r="B148" s="261"/>
      <c r="C148" s="261"/>
      <c r="D148" s="261"/>
      <c r="E148" s="261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</row>
    <row r="149" spans="1:26" ht="14.5" hidden="1" x14ac:dyDescent="0.35">
      <c r="A149" s="261"/>
      <c r="B149" s="261"/>
      <c r="C149" s="261"/>
      <c r="D149" s="261"/>
      <c r="E149" s="261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</row>
    <row r="150" spans="1:26" ht="14.5" hidden="1" x14ac:dyDescent="0.35">
      <c r="A150" s="261"/>
      <c r="B150" s="261"/>
      <c r="C150" s="261"/>
      <c r="D150" s="261"/>
      <c r="E150" s="261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</row>
    <row r="151" spans="1:26" ht="14.5" hidden="1" x14ac:dyDescent="0.35">
      <c r="A151" s="261"/>
      <c r="B151" s="261"/>
      <c r="C151" s="261"/>
      <c r="D151" s="261"/>
      <c r="E151" s="261"/>
      <c r="F151"/>
      <c r="G151"/>
      <c r="H151"/>
      <c r="I151"/>
      <c r="J151"/>
      <c r="K151"/>
      <c r="L151"/>
      <c r="M151"/>
      <c r="N151"/>
      <c r="O151"/>
      <c r="P151"/>
      <c r="Q151"/>
      <c r="R151"/>
      <c r="S151"/>
      <c r="T151"/>
      <c r="U151"/>
      <c r="V151"/>
      <c r="W151"/>
      <c r="X151"/>
      <c r="Y151"/>
      <c r="Z151"/>
    </row>
    <row r="152" spans="1:26" ht="14.5" hidden="1" x14ac:dyDescent="0.35">
      <c r="A152" s="261"/>
      <c r="B152" s="261"/>
      <c r="C152" s="261"/>
      <c r="D152" s="261"/>
      <c r="E152" s="261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</row>
    <row r="153" spans="1:26" ht="14.5" hidden="1" x14ac:dyDescent="0.35">
      <c r="A153" s="261"/>
      <c r="B153" s="261"/>
      <c r="C153" s="261"/>
      <c r="D153" s="261"/>
      <c r="E153" s="261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</row>
    <row r="154" spans="1:26" ht="14.5" hidden="1" x14ac:dyDescent="0.35">
      <c r="A154" s="261"/>
      <c r="B154" s="261"/>
      <c r="C154" s="261"/>
      <c r="D154" s="261"/>
      <c r="E154" s="261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</row>
    <row r="155" spans="1:26" ht="14.5" hidden="1" x14ac:dyDescent="0.35">
      <c r="A155" s="261"/>
      <c r="B155" s="261"/>
      <c r="C155" s="261"/>
      <c r="D155" s="261"/>
      <c r="E155" s="261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</row>
    <row r="156" spans="1:26" ht="14.5" hidden="1" x14ac:dyDescent="0.35">
      <c r="A156" s="261"/>
      <c r="B156" s="261"/>
      <c r="C156" s="261"/>
      <c r="D156" s="261"/>
      <c r="E156" s="261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</row>
    <row r="157" spans="1:26" ht="14.5" hidden="1" x14ac:dyDescent="0.35">
      <c r="A157" s="261"/>
      <c r="B157" s="261"/>
      <c r="C157" s="261"/>
      <c r="D157" s="261"/>
      <c r="E157" s="261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</row>
    <row r="158" spans="1:26" ht="14.5" hidden="1" x14ac:dyDescent="0.35">
      <c r="A158" s="261"/>
      <c r="B158" s="261"/>
      <c r="C158" s="261"/>
      <c r="D158" s="261"/>
      <c r="E158" s="261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</row>
    <row r="159" spans="1:26" ht="14.5" hidden="1" x14ac:dyDescent="0.35">
      <c r="A159" s="261"/>
      <c r="B159" s="261"/>
      <c r="C159" s="261"/>
      <c r="D159" s="261"/>
      <c r="E159" s="261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</row>
    <row r="160" spans="1:26" ht="14.5" hidden="1" x14ac:dyDescent="0.35">
      <c r="A160" s="261"/>
      <c r="B160" s="261"/>
      <c r="C160" s="261"/>
      <c r="D160" s="261"/>
      <c r="E160" s="261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</row>
    <row r="161" spans="1:26" ht="14.5" hidden="1" x14ac:dyDescent="0.35">
      <c r="A161" s="261"/>
      <c r="B161" s="261"/>
      <c r="C161" s="261"/>
      <c r="D161" s="261"/>
      <c r="E161" s="2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</row>
    <row r="162" spans="1:26" ht="14.5" hidden="1" x14ac:dyDescent="0.35">
      <c r="A162" s="261"/>
      <c r="B162" s="261"/>
      <c r="C162" s="261"/>
      <c r="D162" s="261"/>
      <c r="E162" s="261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</row>
    <row r="163" spans="1:26" ht="14.5" hidden="1" x14ac:dyDescent="0.35">
      <c r="A163" s="261"/>
      <c r="B163" s="261"/>
      <c r="C163" s="261"/>
      <c r="D163" s="261"/>
      <c r="E163" s="261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</row>
    <row r="164" spans="1:26" ht="14.5" hidden="1" x14ac:dyDescent="0.35">
      <c r="A164" s="261"/>
      <c r="B164" s="261"/>
      <c r="C164" s="261"/>
      <c r="D164" s="261"/>
      <c r="E164" s="261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</row>
    <row r="165" spans="1:26" ht="14.5" hidden="1" x14ac:dyDescent="0.35">
      <c r="A165" s="261"/>
      <c r="B165" s="261"/>
      <c r="C165" s="261"/>
      <c r="D165" s="261"/>
      <c r="E165" s="261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</row>
    <row r="166" spans="1:26" ht="14.5" hidden="1" x14ac:dyDescent="0.35">
      <c r="A166" s="261"/>
      <c r="B166" s="261"/>
      <c r="C166" s="261"/>
      <c r="D166" s="261"/>
      <c r="E166" s="261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</row>
    <row r="167" spans="1:26" ht="14.5" hidden="1" x14ac:dyDescent="0.35">
      <c r="A167" s="261"/>
      <c r="B167" s="261"/>
      <c r="C167" s="261"/>
      <c r="D167" s="261"/>
      <c r="E167" s="261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</row>
    <row r="168" spans="1:26" ht="14.5" hidden="1" x14ac:dyDescent="0.35">
      <c r="A168" s="261"/>
      <c r="B168" s="261"/>
      <c r="C168" s="261"/>
      <c r="D168" s="261"/>
      <c r="E168" s="261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  <c r="U168"/>
      <c r="V168"/>
      <c r="W168"/>
      <c r="X168"/>
      <c r="Y168"/>
      <c r="Z168"/>
    </row>
    <row r="169" spans="1:26" ht="14.5" hidden="1" x14ac:dyDescent="0.35">
      <c r="A169" s="261"/>
      <c r="B169" s="261"/>
      <c r="C169" s="261"/>
      <c r="D169" s="261"/>
      <c r="E169" s="261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</row>
    <row r="170" spans="1:26" ht="14.5" hidden="1" x14ac:dyDescent="0.35">
      <c r="A170" s="261"/>
      <c r="B170" s="261"/>
      <c r="C170" s="261"/>
      <c r="D170" s="261"/>
      <c r="E170" s="261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</row>
    <row r="171" spans="1:26" ht="14.5" hidden="1" x14ac:dyDescent="0.35">
      <c r="A171" s="261"/>
      <c r="B171" s="261"/>
      <c r="C171" s="261"/>
      <c r="D171" s="261"/>
      <c r="E171" s="26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</row>
    <row r="172" spans="1:26" ht="14.5" hidden="1" x14ac:dyDescent="0.35">
      <c r="A172" s="261"/>
      <c r="B172" s="261"/>
      <c r="C172" s="261"/>
      <c r="D172" s="261"/>
      <c r="E172" s="261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</row>
    <row r="173" spans="1:26" ht="14.5" hidden="1" x14ac:dyDescent="0.35">
      <c r="A173" s="261"/>
      <c r="B173" s="261"/>
      <c r="C173" s="261"/>
      <c r="D173" s="261"/>
      <c r="E173" s="261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</row>
    <row r="174" spans="1:26" ht="14.5" hidden="1" x14ac:dyDescent="0.35">
      <c r="A174" s="261"/>
      <c r="B174" s="261"/>
      <c r="C174" s="261"/>
      <c r="D174" s="261"/>
      <c r="E174" s="261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</row>
    <row r="175" spans="1:26" ht="14.5" hidden="1" x14ac:dyDescent="0.35">
      <c r="A175" s="261"/>
      <c r="B175" s="261"/>
      <c r="C175" s="261"/>
      <c r="D175" s="261"/>
      <c r="E175" s="261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</row>
    <row r="176" spans="1:26" ht="14.5" hidden="1" x14ac:dyDescent="0.35">
      <c r="A176" s="261"/>
      <c r="B176" s="261"/>
      <c r="C176" s="261"/>
      <c r="D176" s="261"/>
      <c r="E176" s="261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</row>
    <row r="177" spans="1:26" ht="14.5" hidden="1" x14ac:dyDescent="0.35">
      <c r="A177" s="261"/>
      <c r="B177" s="261"/>
      <c r="C177" s="261"/>
      <c r="D177" s="261"/>
      <c r="E177" s="261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</row>
    <row r="178" spans="1:26" ht="14.5" hidden="1" x14ac:dyDescent="0.35">
      <c r="A178" s="261"/>
      <c r="B178" s="261"/>
      <c r="C178" s="261"/>
      <c r="D178" s="261"/>
      <c r="E178" s="261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</row>
    <row r="179" spans="1:26" ht="14.5" hidden="1" x14ac:dyDescent="0.35">
      <c r="A179" s="261"/>
      <c r="B179" s="261"/>
      <c r="C179" s="261"/>
      <c r="D179" s="261"/>
      <c r="E179" s="261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</row>
    <row r="180" spans="1:26" ht="14.5" hidden="1" x14ac:dyDescent="0.35">
      <c r="A180" s="261"/>
      <c r="B180" s="261"/>
      <c r="C180" s="261"/>
      <c r="D180" s="261"/>
      <c r="E180" s="261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</row>
    <row r="181" spans="1:26" ht="14.5" hidden="1" x14ac:dyDescent="0.35">
      <c r="A181" s="261"/>
      <c r="B181" s="261"/>
      <c r="C181" s="261"/>
      <c r="D181" s="261"/>
      <c r="E181" s="26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</row>
    <row r="182" spans="1:26" ht="14.5" hidden="1" x14ac:dyDescent="0.35">
      <c r="A182" s="261"/>
      <c r="B182" s="261"/>
      <c r="C182" s="261"/>
      <c r="D182" s="261"/>
      <c r="E182" s="261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</row>
    <row r="183" spans="1:26" ht="14.5" hidden="1" x14ac:dyDescent="0.35">
      <c r="A183" s="261"/>
      <c r="B183" s="261"/>
      <c r="C183" s="261"/>
      <c r="D183" s="261"/>
      <c r="E183" s="261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</row>
    <row r="184" spans="1:26" ht="14.5" hidden="1" x14ac:dyDescent="0.35">
      <c r="A184" s="261"/>
      <c r="B184" s="261"/>
      <c r="C184" s="261"/>
      <c r="D184" s="261"/>
      <c r="E184" s="261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</row>
    <row r="185" spans="1:26" ht="14.5" hidden="1" x14ac:dyDescent="0.35">
      <c r="A185" s="261"/>
      <c r="B185" s="261"/>
      <c r="C185" s="261"/>
      <c r="D185" s="261"/>
      <c r="E185" s="261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</row>
    <row r="186" spans="1:26" ht="14.5" hidden="1" x14ac:dyDescent="0.35">
      <c r="A186" s="261"/>
      <c r="B186" s="261"/>
      <c r="C186" s="261"/>
      <c r="D186" s="261"/>
      <c r="E186" s="261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</row>
    <row r="187" spans="1:26" ht="14.5" hidden="1" x14ac:dyDescent="0.35">
      <c r="A187" s="261"/>
      <c r="B187" s="261"/>
      <c r="C187" s="261"/>
      <c r="D187" s="261"/>
      <c r="E187" s="261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</row>
    <row r="188" spans="1:26" ht="14.5" hidden="1" x14ac:dyDescent="0.35">
      <c r="A188" s="261"/>
      <c r="B188" s="261"/>
      <c r="C188" s="261"/>
      <c r="D188" s="261"/>
      <c r="E188" s="261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</row>
    <row r="189" spans="1:26" ht="14.5" hidden="1" x14ac:dyDescent="0.35">
      <c r="A189" s="261"/>
      <c r="B189" s="261"/>
      <c r="C189" s="261"/>
      <c r="D189" s="261"/>
      <c r="E189" s="261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</row>
    <row r="190" spans="1:26" ht="14.5" hidden="1" x14ac:dyDescent="0.35">
      <c r="A190" s="261"/>
      <c r="B190" s="261"/>
      <c r="C190" s="261"/>
      <c r="D190" s="261"/>
      <c r="E190" s="261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</row>
    <row r="191" spans="1:26" ht="14.5" hidden="1" x14ac:dyDescent="0.35">
      <c r="A191" s="261"/>
      <c r="B191" s="261"/>
      <c r="C191" s="261"/>
      <c r="D191" s="261"/>
      <c r="E191" s="26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</row>
    <row r="192" spans="1:26" ht="14.5" hidden="1" x14ac:dyDescent="0.35">
      <c r="A192" s="261"/>
      <c r="B192" s="261"/>
      <c r="C192" s="261"/>
      <c r="D192" s="261"/>
      <c r="E192" s="261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</row>
    <row r="193" spans="1:26" ht="14.5" hidden="1" x14ac:dyDescent="0.35">
      <c r="A193" s="261"/>
      <c r="B193" s="261"/>
      <c r="C193" s="261"/>
      <c r="D193" s="261"/>
      <c r="E193" s="261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</row>
    <row r="194" spans="1:26" ht="14.5" hidden="1" x14ac:dyDescent="0.35">
      <c r="A194" s="261"/>
      <c r="B194" s="261"/>
      <c r="C194" s="261"/>
      <c r="D194" s="261"/>
      <c r="E194" s="261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</row>
    <row r="195" spans="1:26" ht="14.5" hidden="1" x14ac:dyDescent="0.35">
      <c r="A195" s="261"/>
      <c r="B195" s="261"/>
      <c r="C195" s="261"/>
      <c r="D195" s="261"/>
      <c r="E195" s="261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</row>
    <row r="196" spans="1:26" ht="14.5" hidden="1" x14ac:dyDescent="0.35">
      <c r="A196" s="261"/>
      <c r="B196" s="261"/>
      <c r="C196" s="261"/>
      <c r="D196" s="261"/>
      <c r="E196" s="261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</row>
    <row r="197" spans="1:26" ht="14.5" hidden="1" x14ac:dyDescent="0.35">
      <c r="A197" s="261"/>
      <c r="B197" s="261"/>
      <c r="C197" s="261"/>
      <c r="D197" s="261"/>
      <c r="E197" s="261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</row>
    <row r="198" spans="1:26" ht="14.5" hidden="1" x14ac:dyDescent="0.35">
      <c r="A198" s="261"/>
      <c r="B198" s="261"/>
      <c r="C198" s="261"/>
      <c r="D198" s="261"/>
      <c r="E198" s="261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</row>
    <row r="199" spans="1:26" ht="14.5" hidden="1" x14ac:dyDescent="0.35">
      <c r="A199" s="261"/>
      <c r="B199" s="261"/>
      <c r="C199" s="261"/>
      <c r="D199" s="261"/>
      <c r="E199" s="261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</row>
  </sheetData>
  <mergeCells count="35">
    <mergeCell ref="B79:D79"/>
    <mergeCell ref="B80:D80"/>
    <mergeCell ref="C87:D87"/>
    <mergeCell ref="C88:D88"/>
    <mergeCell ref="C89:D89"/>
    <mergeCell ref="B81:D81"/>
    <mergeCell ref="B82:D82"/>
    <mergeCell ref="B84:D84"/>
    <mergeCell ref="C85:D85"/>
    <mergeCell ref="B73:D73"/>
    <mergeCell ref="B75:D75"/>
    <mergeCell ref="B76:D76"/>
    <mergeCell ref="B77:D77"/>
    <mergeCell ref="B78:D78"/>
    <mergeCell ref="C58:D58"/>
    <mergeCell ref="C59:D59"/>
    <mergeCell ref="C60:D60"/>
    <mergeCell ref="C61:D61"/>
    <mergeCell ref="B63:D63"/>
    <mergeCell ref="B7:D7"/>
    <mergeCell ref="C90:D90"/>
    <mergeCell ref="B14:D14"/>
    <mergeCell ref="B8:D8"/>
    <mergeCell ref="B9:D9"/>
    <mergeCell ref="B10:D10"/>
    <mergeCell ref="B11:D11"/>
    <mergeCell ref="B12:D12"/>
    <mergeCell ref="B33:D33"/>
    <mergeCell ref="B44:D44"/>
    <mergeCell ref="B51:D51"/>
    <mergeCell ref="B53:D53"/>
    <mergeCell ref="C54:D54"/>
    <mergeCell ref="C55:D55"/>
    <mergeCell ref="C56:D56"/>
    <mergeCell ref="C57:D57"/>
  </mergeCells>
  <pageMargins left="0.75" right="0.75" top="1" bottom="1" header="0.511811023622047" footer="0.51180555555555596"/>
  <pageSetup paperSize="9" orientation="portrait" horizontalDpi="300" verticalDpi="300"/>
  <headerFooter>
    <oddFooter>&amp;C&amp;"Aptos,Regular"&amp;10 &amp;K008000_x005F_x000d_# Classificação: Pública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XFC1001"/>
  <sheetViews>
    <sheetView showGridLines="0" zoomScale="80" zoomScaleNormal="80" workbookViewId="0">
      <pane xSplit="4" ySplit="2" topLeftCell="X3" activePane="bottomRight" state="frozen"/>
      <selection pane="topRight"/>
      <selection pane="bottomLeft"/>
      <selection pane="bottomRight"/>
    </sheetView>
  </sheetViews>
  <sheetFormatPr defaultColWidth="0" defaultRowHeight="13.5" x14ac:dyDescent="0.35"/>
  <cols>
    <col min="1" max="1" width="1.54296875" style="26" bestFit="1" customWidth="1"/>
    <col min="2" max="2" width="11" style="26" customWidth="1"/>
    <col min="3" max="3" width="20.36328125" style="45" customWidth="1"/>
    <col min="4" max="4" width="22" style="45" customWidth="1"/>
    <col min="5" max="5" width="30.26953125" style="26" customWidth="1"/>
    <col min="6" max="6" width="26.81640625" style="26" customWidth="1"/>
    <col min="7" max="7" width="40" style="26" customWidth="1"/>
    <col min="8" max="8" width="26.54296875" style="30" customWidth="1"/>
    <col min="9" max="9" width="30.26953125" style="30" customWidth="1"/>
    <col min="10" max="10" width="32" style="26" customWidth="1"/>
    <col min="11" max="11" width="185" style="26" bestFit="1" customWidth="1"/>
    <col min="12" max="12" width="25.7265625" style="30" customWidth="1"/>
    <col min="13" max="13" width="22" style="30" customWidth="1"/>
    <col min="14" max="14" width="16.1796875" style="30" customWidth="1"/>
    <col min="15" max="15" width="13" style="30" customWidth="1"/>
    <col min="16" max="16" width="24.08984375" style="26" customWidth="1"/>
    <col min="17" max="17" width="16.90625" style="26" customWidth="1"/>
    <col min="18" max="18" width="11.81640625" style="30" customWidth="1"/>
    <col min="19" max="19" width="16.26953125" style="30" customWidth="1"/>
    <col min="20" max="20" width="15.7265625" style="30" customWidth="1"/>
    <col min="21" max="21" width="17.90625" style="30" customWidth="1"/>
    <col min="22" max="22" width="16.7265625" style="30" customWidth="1"/>
    <col min="23" max="23" width="12.453125" style="30" customWidth="1"/>
    <col min="24" max="24" width="12.453125" style="26" customWidth="1"/>
    <col min="25" max="25" width="71.1796875" style="26" customWidth="1"/>
    <col min="26" max="26" width="58.1796875" style="26" customWidth="1"/>
    <col min="27" max="27" width="67.7265625" style="26" customWidth="1"/>
    <col min="28" max="28" width="22.54296875" style="30" customWidth="1"/>
    <col min="29" max="29" width="23.7265625" style="30" customWidth="1"/>
    <col min="30" max="30" width="24.54296875" style="30" customWidth="1"/>
    <col min="31" max="31" width="28" style="30" customWidth="1"/>
    <col min="32" max="32" width="26" style="30" customWidth="1"/>
    <col min="33" max="33" width="22.08984375" style="26" customWidth="1"/>
    <col min="34" max="34" width="24.7265625" style="26" customWidth="1"/>
    <col min="35" max="35" width="41.54296875" style="26" bestFit="1" customWidth="1"/>
    <col min="36" max="36" width="19" style="26" bestFit="1" customWidth="1"/>
    <col min="37" max="37" width="17.81640625" style="30" bestFit="1" customWidth="1"/>
    <col min="38" max="38" width="24.54296875" style="30" bestFit="1" customWidth="1"/>
    <col min="39" max="16383" width="8.54296875" style="26" hidden="1"/>
    <col min="16384" max="16384" width="3.1796875" style="26" customWidth="1"/>
  </cols>
  <sheetData>
    <row r="1" spans="2:38" x14ac:dyDescent="0.35">
      <c r="B1" s="28"/>
      <c r="C1" s="37"/>
      <c r="D1" s="37"/>
      <c r="E1" s="28"/>
      <c r="F1" s="28"/>
      <c r="G1" s="28"/>
      <c r="H1" s="67"/>
      <c r="I1" s="67"/>
      <c r="J1" s="28"/>
      <c r="K1" s="28"/>
      <c r="L1" s="67"/>
      <c r="M1" s="67"/>
      <c r="N1" s="67"/>
      <c r="O1" s="67"/>
      <c r="P1" s="28"/>
      <c r="Q1" s="28"/>
      <c r="R1" s="67"/>
      <c r="S1" s="67"/>
      <c r="T1" s="67"/>
      <c r="U1" s="67"/>
      <c r="V1" s="67"/>
      <c r="W1" s="67"/>
      <c r="X1" s="28"/>
      <c r="Y1" s="28"/>
      <c r="Z1" s="28"/>
      <c r="AA1" s="28"/>
      <c r="AB1" s="67"/>
    </row>
    <row r="2" spans="2:38" s="36" customFormat="1" ht="31" x14ac:dyDescent="0.35">
      <c r="B2" s="254" t="s">
        <v>8</v>
      </c>
      <c r="C2" s="255" t="s">
        <v>9</v>
      </c>
      <c r="D2" s="255" t="s">
        <v>10</v>
      </c>
      <c r="E2" s="255" t="s">
        <v>11</v>
      </c>
      <c r="F2" s="255" t="s">
        <v>12</v>
      </c>
      <c r="G2" s="255" t="s">
        <v>13</v>
      </c>
      <c r="H2" s="255" t="s">
        <v>14</v>
      </c>
      <c r="I2" s="255" t="s">
        <v>15</v>
      </c>
      <c r="J2" s="255" t="s">
        <v>16</v>
      </c>
      <c r="K2" s="255" t="s">
        <v>17</v>
      </c>
      <c r="L2" s="255" t="s">
        <v>18</v>
      </c>
      <c r="M2" s="255" t="s">
        <v>19</v>
      </c>
      <c r="N2" s="255" t="s">
        <v>20</v>
      </c>
      <c r="O2" s="255" t="s">
        <v>21</v>
      </c>
      <c r="P2" s="255" t="s">
        <v>22</v>
      </c>
      <c r="Q2" s="255" t="s">
        <v>23</v>
      </c>
      <c r="R2" s="255" t="s">
        <v>24</v>
      </c>
      <c r="S2" s="255" t="s">
        <v>25</v>
      </c>
      <c r="T2" s="255" t="s">
        <v>26</v>
      </c>
      <c r="U2" s="255" t="s">
        <v>27</v>
      </c>
      <c r="V2" s="255" t="s">
        <v>28</v>
      </c>
      <c r="W2" s="255" t="s">
        <v>29</v>
      </c>
      <c r="X2" s="255" t="s">
        <v>30</v>
      </c>
      <c r="Y2" s="255" t="s">
        <v>31</v>
      </c>
      <c r="Z2" s="255" t="s">
        <v>32</v>
      </c>
      <c r="AA2" s="256" t="s">
        <v>33</v>
      </c>
      <c r="AB2" s="257" t="s">
        <v>562</v>
      </c>
      <c r="AC2" s="257" t="s">
        <v>563</v>
      </c>
      <c r="AD2" s="257" t="s">
        <v>547</v>
      </c>
      <c r="AE2" s="257" t="s">
        <v>549</v>
      </c>
      <c r="AF2" s="257" t="s">
        <v>550</v>
      </c>
      <c r="AG2" s="257" t="s">
        <v>564</v>
      </c>
      <c r="AH2" s="257" t="s">
        <v>565</v>
      </c>
      <c r="AI2" s="257" t="s">
        <v>566</v>
      </c>
      <c r="AJ2" s="257" t="s">
        <v>553</v>
      </c>
      <c r="AK2" s="257" t="s">
        <v>567</v>
      </c>
      <c r="AL2" s="257" t="s">
        <v>568</v>
      </c>
    </row>
    <row r="3" spans="2:38" s="29" customFormat="1" ht="88" customHeight="1" x14ac:dyDescent="0.35">
      <c r="B3" s="55" t="str">
        <f t="shared" ref="B3:B66" si="0">IF($C3="","",Prefixo&amp;"-"&amp;TEXT(ROW()-2,"0000"))</f>
        <v/>
      </c>
      <c r="C3" s="56"/>
      <c r="D3" s="56"/>
      <c r="E3" s="57"/>
      <c r="F3" s="57"/>
      <c r="G3" s="57"/>
      <c r="H3" s="68" t="str">
        <f>IF('E2 — Triagem'!D8="","",'E2 — Triagem'!D8)</f>
        <v/>
      </c>
      <c r="I3" s="68"/>
      <c r="J3" s="57"/>
      <c r="K3" s="57"/>
      <c r="L3" s="68"/>
      <c r="M3" s="68"/>
      <c r="N3" s="68"/>
      <c r="O3" s="68"/>
      <c r="P3" s="57"/>
      <c r="Q3" s="57"/>
      <c r="R3" s="68"/>
      <c r="S3" s="68"/>
      <c r="T3" s="73"/>
      <c r="U3" s="73"/>
      <c r="V3" s="73"/>
      <c r="W3" s="58" t="str">
        <f>IF(OR($U3="",$V3="",$U3&lt;=0),"",$U3-$V3)</f>
        <v/>
      </c>
      <c r="X3" s="59" t="str">
        <f>IF(OR($U3="",$V3="",$U3&lt;=0),"",($U3-$V3)/$U3)</f>
        <v/>
      </c>
      <c r="Y3" s="57"/>
      <c r="Z3" s="57"/>
      <c r="AA3" s="57"/>
      <c r="AB3" s="68" t="str">
        <f>IF($B3="","",'Workflow (Tracker)'!L26)</f>
        <v/>
      </c>
      <c r="AC3" s="69" t="str">
        <f>IF($B3="","",'E08 — Estabilização Hypercare'!K8)</f>
        <v/>
      </c>
      <c r="AD3" s="66" t="str">
        <f>IF($B3="","",'E08 — Estabilização Hypercare'!O8)</f>
        <v/>
      </c>
      <c r="AE3" s="66" t="str">
        <f>IF($B3="","",'E08 — Estabilização Hypercare'!Q8)</f>
        <v/>
      </c>
      <c r="AF3" s="66" t="str">
        <f>IF(OR($B3="",'E08 — Estabilização Hypercare'!R8=""),"",'E08 — Estabilização Hypercare'!R8)</f>
        <v/>
      </c>
      <c r="AG3" s="60" t="str">
        <f>IF($B3="","",'E08 — Estabilização Hypercare'!S8)</f>
        <v/>
      </c>
      <c r="AH3" s="61" t="str">
        <f>IF($B3="","",'E08 — Estabilização Hypercare'!T8)</f>
        <v/>
      </c>
      <c r="AI3" s="62" t="str">
        <f>IF($B3="","",'E08 — Estabilização Hypercare'!N8)</f>
        <v/>
      </c>
      <c r="AJ3" s="61" t="str">
        <f>IF(OR($B3="",'E08 — Estabilização Hypercare'!U8=""),"",'E08 — Estabilização Hypercare'!U8)</f>
        <v/>
      </c>
      <c r="AK3" s="60" t="str">
        <f>IF(OR($B3="",$AF3="",$C3=""),"",$AF3-$C3)</f>
        <v/>
      </c>
      <c r="AL3" s="65" t="str">
        <f>IF($B3="","",IF($AB3="Concluído","Encerrado",IF(AND($S3="Concluído",$AB3&lt;&gt;"Concluído"),"Em Hypercare",$S3)))</f>
        <v/>
      </c>
    </row>
    <row r="4" spans="2:38" s="29" customFormat="1" ht="88" customHeight="1" x14ac:dyDescent="0.35">
      <c r="B4" s="55" t="str">
        <f t="shared" si="0"/>
        <v/>
      </c>
      <c r="C4" s="38"/>
      <c r="D4" s="38"/>
      <c r="E4" s="39"/>
      <c r="F4" s="39"/>
      <c r="G4" s="39"/>
      <c r="H4" s="68" t="str">
        <f>IF('E2 — Triagem'!D9="","",'E2 — Triagem'!D9)</f>
        <v/>
      </c>
      <c r="I4" s="70"/>
      <c r="J4" s="39"/>
      <c r="K4" s="39"/>
      <c r="L4" s="70"/>
      <c r="M4" s="70"/>
      <c r="N4" s="70"/>
      <c r="O4" s="70"/>
      <c r="P4" s="39"/>
      <c r="Q4" s="39"/>
      <c r="R4" s="70"/>
      <c r="S4" s="70"/>
      <c r="T4" s="74"/>
      <c r="U4" s="74"/>
      <c r="V4" s="74"/>
      <c r="W4" s="58" t="str">
        <f t="shared" ref="W4:W67" si="1">IF(OR($U4="",$V4="",$U4&lt;=0),"",$U4-$V4)</f>
        <v/>
      </c>
      <c r="X4" s="59" t="str">
        <f t="shared" ref="X4:X67" si="2">IF(OR($U4="",$V4="",$U4&lt;=0),"",($U4-$V4)/$U4)</f>
        <v/>
      </c>
      <c r="Y4" s="39"/>
      <c r="Z4" s="39"/>
      <c r="AA4" s="39"/>
      <c r="AB4" s="68" t="str">
        <f>IF($B4="","",'Workflow (Tracker)'!L27)</f>
        <v/>
      </c>
      <c r="AC4" s="69" t="str">
        <f>IF($B4="","",'E08 — Estabilização Hypercare'!K9)</f>
        <v/>
      </c>
      <c r="AD4" s="66" t="str">
        <f>IF($B4="","",'E08 — Estabilização Hypercare'!O9)</f>
        <v/>
      </c>
      <c r="AE4" s="66" t="str">
        <f>IF($B4="","",'E08 — Estabilização Hypercare'!Q9)</f>
        <v/>
      </c>
      <c r="AF4" s="66" t="str">
        <f>IF(OR($B4="",'E08 — Estabilização Hypercare'!R9=""),"",'E08 — Estabilização Hypercare'!R9)</f>
        <v/>
      </c>
      <c r="AG4" s="60" t="str">
        <f>IF($B4="","",'E08 — Estabilização Hypercare'!S9)</f>
        <v/>
      </c>
      <c r="AH4" s="61" t="str">
        <f>IF($B4="","",'E08 — Estabilização Hypercare'!T9)</f>
        <v/>
      </c>
      <c r="AI4" s="62" t="str">
        <f>IF($B4="","",'E08 — Estabilização Hypercare'!N9)</f>
        <v/>
      </c>
      <c r="AJ4" s="61" t="str">
        <f>IF(OR($B4="",'E08 — Estabilização Hypercare'!U9=""),"",'E08 — Estabilização Hypercare'!U9)</f>
        <v/>
      </c>
      <c r="AK4" s="60" t="str">
        <f t="shared" ref="AK4:AK67" si="3">IF(OR($B4="",$AF4="",$C4=""),"",$AF4-$C4)</f>
        <v/>
      </c>
      <c r="AL4" s="65" t="str">
        <f t="shared" ref="AL4:AL67" si="4">IF($B4="","",IF($AB4="Concluído","Encerrado",IF(AND($S4="Concluído",$AB4&lt;&gt;"Concluído"),"Em Hypercare",$S4)))</f>
        <v/>
      </c>
    </row>
    <row r="5" spans="2:38" s="29" customFormat="1" ht="88" customHeight="1" x14ac:dyDescent="0.35">
      <c r="B5" s="55" t="str">
        <f t="shared" si="0"/>
        <v/>
      </c>
      <c r="C5" s="38"/>
      <c r="D5" s="38"/>
      <c r="E5" s="39"/>
      <c r="F5" s="39"/>
      <c r="G5" s="39"/>
      <c r="H5" s="68" t="str">
        <f>IF('E2 — Triagem'!D10="","",'E2 — Triagem'!D10)</f>
        <v/>
      </c>
      <c r="I5" s="70"/>
      <c r="J5" s="39"/>
      <c r="K5" s="39"/>
      <c r="L5" s="70"/>
      <c r="M5" s="70"/>
      <c r="N5" s="70"/>
      <c r="O5" s="70"/>
      <c r="P5" s="39"/>
      <c r="Q5" s="39"/>
      <c r="R5" s="70"/>
      <c r="S5" s="70"/>
      <c r="T5" s="74"/>
      <c r="U5" s="74"/>
      <c r="V5" s="74"/>
      <c r="W5" s="58" t="str">
        <f t="shared" si="1"/>
        <v/>
      </c>
      <c r="X5" s="59" t="str">
        <f t="shared" si="2"/>
        <v/>
      </c>
      <c r="Y5" s="39"/>
      <c r="Z5" s="39"/>
      <c r="AA5" s="39"/>
      <c r="AB5" s="68" t="str">
        <f>IF($B5="","",'Workflow (Tracker)'!L28)</f>
        <v/>
      </c>
      <c r="AC5" s="69" t="str">
        <f>IF($B5="","",'E08 — Estabilização Hypercare'!K10)</f>
        <v/>
      </c>
      <c r="AD5" s="66" t="str">
        <f>IF($B5="","",'E08 — Estabilização Hypercare'!O10)</f>
        <v/>
      </c>
      <c r="AE5" s="66" t="str">
        <f>IF($B5="","",'E08 — Estabilização Hypercare'!Q10)</f>
        <v/>
      </c>
      <c r="AF5" s="66" t="str">
        <f>IF(OR($B5="",'E08 — Estabilização Hypercare'!R10=""),"",'E08 — Estabilização Hypercare'!R10)</f>
        <v/>
      </c>
      <c r="AG5" s="60" t="str">
        <f>IF($B5="","",'E08 — Estabilização Hypercare'!S10)</f>
        <v/>
      </c>
      <c r="AH5" s="61" t="str">
        <f>IF($B5="","",'E08 — Estabilização Hypercare'!T10)</f>
        <v/>
      </c>
      <c r="AI5" s="62" t="str">
        <f>IF($B5="","",'E08 — Estabilização Hypercare'!N10)</f>
        <v/>
      </c>
      <c r="AJ5" s="61" t="str">
        <f>IF(OR($B5="",'E08 — Estabilização Hypercare'!U10=""),"",'E08 — Estabilização Hypercare'!U10)</f>
        <v/>
      </c>
      <c r="AK5" s="60" t="str">
        <f t="shared" si="3"/>
        <v/>
      </c>
      <c r="AL5" s="65" t="str">
        <f t="shared" si="4"/>
        <v/>
      </c>
    </row>
    <row r="6" spans="2:38" s="29" customFormat="1" ht="88" customHeight="1" x14ac:dyDescent="0.35">
      <c r="B6" s="55" t="str">
        <f t="shared" si="0"/>
        <v/>
      </c>
      <c r="C6" s="38"/>
      <c r="D6" s="38"/>
      <c r="E6" s="39"/>
      <c r="F6" s="39"/>
      <c r="G6" s="39"/>
      <c r="H6" s="68" t="str">
        <f>IF('E2 — Triagem'!D11="","",'E2 — Triagem'!D11)</f>
        <v/>
      </c>
      <c r="I6" s="70"/>
      <c r="J6" s="39"/>
      <c r="K6" s="39"/>
      <c r="L6" s="70"/>
      <c r="M6" s="70"/>
      <c r="N6" s="70"/>
      <c r="O6" s="70"/>
      <c r="P6" s="39"/>
      <c r="Q6" s="39"/>
      <c r="R6" s="70"/>
      <c r="S6" s="70"/>
      <c r="T6" s="74"/>
      <c r="U6" s="74"/>
      <c r="V6" s="74"/>
      <c r="W6" s="58" t="str">
        <f t="shared" si="1"/>
        <v/>
      </c>
      <c r="X6" s="59" t="str">
        <f t="shared" si="2"/>
        <v/>
      </c>
      <c r="Y6" s="39"/>
      <c r="Z6" s="39"/>
      <c r="AA6" s="39"/>
      <c r="AB6" s="68" t="str">
        <f>IF($B6="","",'Workflow (Tracker)'!L29)</f>
        <v/>
      </c>
      <c r="AC6" s="69" t="str">
        <f>IF($B6="","",'E08 — Estabilização Hypercare'!K11)</f>
        <v/>
      </c>
      <c r="AD6" s="66" t="str">
        <f>IF($B6="","",'E08 — Estabilização Hypercare'!O11)</f>
        <v/>
      </c>
      <c r="AE6" s="66" t="str">
        <f>IF($B6="","",'E08 — Estabilização Hypercare'!Q11)</f>
        <v/>
      </c>
      <c r="AF6" s="66" t="str">
        <f>IF(OR($B6="",'E08 — Estabilização Hypercare'!R11=""),"",'E08 — Estabilização Hypercare'!R11)</f>
        <v/>
      </c>
      <c r="AG6" s="60" t="str">
        <f>IF($B6="","",'E08 — Estabilização Hypercare'!S11)</f>
        <v/>
      </c>
      <c r="AH6" s="61" t="str">
        <f>IF($B6="","",'E08 — Estabilização Hypercare'!T11)</f>
        <v/>
      </c>
      <c r="AI6" s="62" t="str">
        <f>IF($B6="","",'E08 — Estabilização Hypercare'!N11)</f>
        <v/>
      </c>
      <c r="AJ6" s="61" t="str">
        <f>IF(OR($B6="",'E08 — Estabilização Hypercare'!U11=""),"",'E08 — Estabilização Hypercare'!U11)</f>
        <v/>
      </c>
      <c r="AK6" s="60" t="str">
        <f t="shared" si="3"/>
        <v/>
      </c>
      <c r="AL6" s="65" t="str">
        <f t="shared" si="4"/>
        <v/>
      </c>
    </row>
    <row r="7" spans="2:38" s="29" customFormat="1" ht="88" customHeight="1" x14ac:dyDescent="0.35">
      <c r="B7" s="55" t="str">
        <f t="shared" si="0"/>
        <v/>
      </c>
      <c r="C7" s="38"/>
      <c r="D7" s="38"/>
      <c r="E7" s="39"/>
      <c r="F7" s="39"/>
      <c r="G7" s="39"/>
      <c r="H7" s="68" t="str">
        <f>IF('E2 — Triagem'!D12="","",'E2 — Triagem'!D12)</f>
        <v/>
      </c>
      <c r="I7" s="70"/>
      <c r="J7" s="39"/>
      <c r="K7" s="39"/>
      <c r="L7" s="70"/>
      <c r="M7" s="70"/>
      <c r="N7" s="70"/>
      <c r="O7" s="70"/>
      <c r="P7" s="39"/>
      <c r="Q7" s="39"/>
      <c r="R7" s="70"/>
      <c r="S7" s="70"/>
      <c r="T7" s="74"/>
      <c r="U7" s="74"/>
      <c r="V7" s="74"/>
      <c r="W7" s="58" t="str">
        <f t="shared" si="1"/>
        <v/>
      </c>
      <c r="X7" s="59" t="str">
        <f t="shared" si="2"/>
        <v/>
      </c>
      <c r="Y7" s="39"/>
      <c r="Z7" s="39"/>
      <c r="AA7" s="39"/>
      <c r="AB7" s="68" t="str">
        <f>IF($B7="","",'Workflow (Tracker)'!L30)</f>
        <v/>
      </c>
      <c r="AC7" s="69" t="str">
        <f>IF($B7="","",'E08 — Estabilização Hypercare'!K12)</f>
        <v/>
      </c>
      <c r="AD7" s="66" t="str">
        <f>IF($B7="","",'E08 — Estabilização Hypercare'!O12)</f>
        <v/>
      </c>
      <c r="AE7" s="66" t="str">
        <f>IF($B7="","",'E08 — Estabilização Hypercare'!Q12)</f>
        <v/>
      </c>
      <c r="AF7" s="66" t="str">
        <f>IF(OR($B7="",'E08 — Estabilização Hypercare'!R12=""),"",'E08 — Estabilização Hypercare'!R12)</f>
        <v/>
      </c>
      <c r="AG7" s="60" t="str">
        <f>IF($B7="","",'E08 — Estabilização Hypercare'!S12)</f>
        <v/>
      </c>
      <c r="AH7" s="61" t="str">
        <f>IF($B7="","",'E08 — Estabilização Hypercare'!T12)</f>
        <v/>
      </c>
      <c r="AI7" s="62" t="str">
        <f>IF($B7="","",'E08 — Estabilização Hypercare'!N12)</f>
        <v/>
      </c>
      <c r="AJ7" s="61" t="str">
        <f>IF(OR($B7="",'E08 — Estabilização Hypercare'!U12=""),"",'E08 — Estabilização Hypercare'!U12)</f>
        <v/>
      </c>
      <c r="AK7" s="60" t="str">
        <f t="shared" si="3"/>
        <v/>
      </c>
      <c r="AL7" s="65" t="str">
        <f t="shared" si="4"/>
        <v/>
      </c>
    </row>
    <row r="8" spans="2:38" s="29" customFormat="1" ht="88" customHeight="1" x14ac:dyDescent="0.35">
      <c r="B8" s="55" t="str">
        <f t="shared" si="0"/>
        <v/>
      </c>
      <c r="C8" s="38"/>
      <c r="D8" s="38"/>
      <c r="E8" s="39"/>
      <c r="F8" s="39"/>
      <c r="G8" s="39"/>
      <c r="H8" s="68" t="str">
        <f>IF('E2 — Triagem'!D13="","",'E2 — Triagem'!D13)</f>
        <v/>
      </c>
      <c r="I8" s="70"/>
      <c r="J8" s="39"/>
      <c r="K8" s="39"/>
      <c r="L8" s="70"/>
      <c r="M8" s="70"/>
      <c r="N8" s="70"/>
      <c r="O8" s="70"/>
      <c r="P8" s="39"/>
      <c r="Q8" s="39"/>
      <c r="R8" s="70"/>
      <c r="S8" s="70"/>
      <c r="T8" s="74"/>
      <c r="U8" s="74"/>
      <c r="V8" s="74"/>
      <c r="W8" s="58" t="str">
        <f t="shared" si="1"/>
        <v/>
      </c>
      <c r="X8" s="59" t="str">
        <f t="shared" si="2"/>
        <v/>
      </c>
      <c r="Y8" s="39"/>
      <c r="Z8" s="39"/>
      <c r="AA8" s="39"/>
      <c r="AB8" s="68" t="str">
        <f>IF($B8="","",'Workflow (Tracker)'!L31)</f>
        <v/>
      </c>
      <c r="AC8" s="69" t="str">
        <f>IF($B8="","",'E08 — Estabilização Hypercare'!K13)</f>
        <v/>
      </c>
      <c r="AD8" s="66" t="str">
        <f>IF($B8="","",'E08 — Estabilização Hypercare'!O13)</f>
        <v/>
      </c>
      <c r="AE8" s="66" t="str">
        <f>IF($B8="","",'E08 — Estabilização Hypercare'!Q13)</f>
        <v/>
      </c>
      <c r="AF8" s="66" t="str">
        <f>IF(OR($B8="",'E08 — Estabilização Hypercare'!R13=""),"",'E08 — Estabilização Hypercare'!R13)</f>
        <v/>
      </c>
      <c r="AG8" s="60" t="str">
        <f>IF($B8="","",'E08 — Estabilização Hypercare'!S13)</f>
        <v/>
      </c>
      <c r="AH8" s="61" t="str">
        <f>IF($B8="","",'E08 — Estabilização Hypercare'!T13)</f>
        <v/>
      </c>
      <c r="AI8" s="62" t="str">
        <f>IF($B8="","",'E08 — Estabilização Hypercare'!N13)</f>
        <v/>
      </c>
      <c r="AJ8" s="61" t="str">
        <f>IF(OR($B8="",'E08 — Estabilização Hypercare'!U13=""),"",'E08 — Estabilização Hypercare'!U13)</f>
        <v/>
      </c>
      <c r="AK8" s="60" t="str">
        <f t="shared" si="3"/>
        <v/>
      </c>
      <c r="AL8" s="65" t="str">
        <f t="shared" si="4"/>
        <v/>
      </c>
    </row>
    <row r="9" spans="2:38" s="29" customFormat="1" ht="88" customHeight="1" x14ac:dyDescent="0.35">
      <c r="B9" s="55" t="str">
        <f t="shared" si="0"/>
        <v/>
      </c>
      <c r="C9" s="38"/>
      <c r="D9" s="38"/>
      <c r="E9" s="39"/>
      <c r="F9" s="39"/>
      <c r="G9" s="39"/>
      <c r="H9" s="68" t="str">
        <f>IF('E2 — Triagem'!D14="","",'E2 — Triagem'!D14)</f>
        <v/>
      </c>
      <c r="I9" s="70"/>
      <c r="J9" s="39"/>
      <c r="K9" s="39"/>
      <c r="L9" s="70"/>
      <c r="M9" s="70"/>
      <c r="N9" s="70"/>
      <c r="O9" s="70"/>
      <c r="P9" s="39"/>
      <c r="Q9" s="39"/>
      <c r="R9" s="70"/>
      <c r="S9" s="70"/>
      <c r="T9" s="74"/>
      <c r="U9" s="74"/>
      <c r="V9" s="74"/>
      <c r="W9" s="58" t="str">
        <f t="shared" si="1"/>
        <v/>
      </c>
      <c r="X9" s="59" t="str">
        <f t="shared" si="2"/>
        <v/>
      </c>
      <c r="Y9" s="39"/>
      <c r="Z9" s="39"/>
      <c r="AA9" s="39"/>
      <c r="AB9" s="68" t="str">
        <f>IF($B9="","",'Workflow (Tracker)'!L32)</f>
        <v/>
      </c>
      <c r="AC9" s="69" t="str">
        <f>IF($B9="","",'E08 — Estabilização Hypercare'!K14)</f>
        <v/>
      </c>
      <c r="AD9" s="66" t="str">
        <f>IF($B9="","",'E08 — Estabilização Hypercare'!O14)</f>
        <v/>
      </c>
      <c r="AE9" s="66" t="str">
        <f>IF($B9="","",'E08 — Estabilização Hypercare'!Q14)</f>
        <v/>
      </c>
      <c r="AF9" s="66" t="str">
        <f>IF(OR($B9="",'E08 — Estabilização Hypercare'!R14=""),"",'E08 — Estabilização Hypercare'!R14)</f>
        <v/>
      </c>
      <c r="AG9" s="60" t="str">
        <f>IF($B9="","",'E08 — Estabilização Hypercare'!S14)</f>
        <v/>
      </c>
      <c r="AH9" s="61" t="str">
        <f>IF($B9="","",'E08 — Estabilização Hypercare'!T14)</f>
        <v/>
      </c>
      <c r="AI9" s="62" t="str">
        <f>IF($B9="","",'E08 — Estabilização Hypercare'!N14)</f>
        <v/>
      </c>
      <c r="AJ9" s="61" t="str">
        <f>IF(OR($B9="",'E08 — Estabilização Hypercare'!U14=""),"",'E08 — Estabilização Hypercare'!U14)</f>
        <v/>
      </c>
      <c r="AK9" s="60" t="str">
        <f t="shared" si="3"/>
        <v/>
      </c>
      <c r="AL9" s="65" t="str">
        <f t="shared" si="4"/>
        <v/>
      </c>
    </row>
    <row r="10" spans="2:38" s="29" customFormat="1" ht="88" customHeight="1" x14ac:dyDescent="0.35">
      <c r="B10" s="55" t="str">
        <f t="shared" si="0"/>
        <v/>
      </c>
      <c r="C10" s="38"/>
      <c r="D10" s="38"/>
      <c r="E10" s="39"/>
      <c r="F10" s="39"/>
      <c r="G10" s="39"/>
      <c r="H10" s="68" t="str">
        <f>IF('E2 — Triagem'!D15="","",'E2 — Triagem'!D15)</f>
        <v/>
      </c>
      <c r="I10" s="70"/>
      <c r="J10" s="39"/>
      <c r="K10" s="39"/>
      <c r="L10" s="70"/>
      <c r="M10" s="70"/>
      <c r="N10" s="70"/>
      <c r="O10" s="70"/>
      <c r="P10" s="39"/>
      <c r="Q10" s="39"/>
      <c r="R10" s="70"/>
      <c r="S10" s="70"/>
      <c r="T10" s="74"/>
      <c r="U10" s="74"/>
      <c r="V10" s="74"/>
      <c r="W10" s="58" t="str">
        <f t="shared" si="1"/>
        <v/>
      </c>
      <c r="X10" s="59" t="str">
        <f t="shared" si="2"/>
        <v/>
      </c>
      <c r="Y10" s="39"/>
      <c r="Z10" s="39"/>
      <c r="AA10" s="39"/>
      <c r="AB10" s="68" t="str">
        <f>IF($B10="","",'Workflow (Tracker)'!L33)</f>
        <v/>
      </c>
      <c r="AC10" s="69" t="str">
        <f>IF($B10="","",'E08 — Estabilização Hypercare'!K15)</f>
        <v/>
      </c>
      <c r="AD10" s="66" t="str">
        <f>IF($B10="","",'E08 — Estabilização Hypercare'!O15)</f>
        <v/>
      </c>
      <c r="AE10" s="66" t="str">
        <f>IF($B10="","",'E08 — Estabilização Hypercare'!Q15)</f>
        <v/>
      </c>
      <c r="AF10" s="66" t="str">
        <f>IF(OR($B10="",'E08 — Estabilização Hypercare'!R15=""),"",'E08 — Estabilização Hypercare'!R15)</f>
        <v/>
      </c>
      <c r="AG10" s="60" t="str">
        <f>IF($B10="","",'E08 — Estabilização Hypercare'!S15)</f>
        <v/>
      </c>
      <c r="AH10" s="61" t="str">
        <f>IF($B10="","",'E08 — Estabilização Hypercare'!T15)</f>
        <v/>
      </c>
      <c r="AI10" s="62" t="str">
        <f>IF($B10="","",'E08 — Estabilização Hypercare'!N15)</f>
        <v/>
      </c>
      <c r="AJ10" s="61" t="str">
        <f>IF(OR($B10="",'E08 — Estabilização Hypercare'!U15=""),"",'E08 — Estabilização Hypercare'!U15)</f>
        <v/>
      </c>
      <c r="AK10" s="60" t="str">
        <f t="shared" si="3"/>
        <v/>
      </c>
      <c r="AL10" s="65" t="str">
        <f t="shared" si="4"/>
        <v/>
      </c>
    </row>
    <row r="11" spans="2:38" s="29" customFormat="1" x14ac:dyDescent="0.35">
      <c r="B11" s="55" t="str">
        <f t="shared" si="0"/>
        <v/>
      </c>
      <c r="C11" s="64"/>
      <c r="D11" s="38"/>
      <c r="E11" s="39"/>
      <c r="F11" s="39"/>
      <c r="G11" s="39"/>
      <c r="H11" s="68" t="str">
        <f>IF('E2 — Triagem'!D16="","",'E2 — Triagem'!D16)</f>
        <v/>
      </c>
      <c r="I11" s="70"/>
      <c r="J11" s="39"/>
      <c r="K11" s="39"/>
      <c r="L11" s="70"/>
      <c r="M11" s="70"/>
      <c r="N11" s="70"/>
      <c r="O11" s="70"/>
      <c r="P11" s="39"/>
      <c r="Q11" s="39"/>
      <c r="R11" s="70"/>
      <c r="S11" s="70"/>
      <c r="T11" s="74"/>
      <c r="U11" s="74"/>
      <c r="V11" s="74"/>
      <c r="W11" s="58" t="str">
        <f t="shared" si="1"/>
        <v/>
      </c>
      <c r="X11" s="59" t="str">
        <f t="shared" si="2"/>
        <v/>
      </c>
      <c r="Y11" s="39"/>
      <c r="Z11" s="39"/>
      <c r="AA11" s="39"/>
      <c r="AB11" s="68" t="str">
        <f>IF($B11="","",'Workflow (Tracker)'!L34)</f>
        <v/>
      </c>
      <c r="AC11" s="69" t="str">
        <f>IF($B11="","",'E08 — Estabilização Hypercare'!K16)</f>
        <v/>
      </c>
      <c r="AD11" s="66" t="str">
        <f>IF($B11="","",'E08 — Estabilização Hypercare'!O16)</f>
        <v/>
      </c>
      <c r="AE11" s="66" t="str">
        <f>IF($B11="","",'E08 — Estabilização Hypercare'!Q16)</f>
        <v/>
      </c>
      <c r="AF11" s="66" t="str">
        <f>IF(OR($B11="",'E08 — Estabilização Hypercare'!R16=""),"",'E08 — Estabilização Hypercare'!R16)</f>
        <v/>
      </c>
      <c r="AG11" s="60" t="str">
        <f>IF($B11="","",'E08 — Estabilização Hypercare'!S16)</f>
        <v/>
      </c>
      <c r="AH11" s="61" t="str">
        <f>IF($B11="","",'E08 — Estabilização Hypercare'!T16)</f>
        <v/>
      </c>
      <c r="AI11" s="62" t="str">
        <f>IF($B11="","",'E08 — Estabilização Hypercare'!N16)</f>
        <v/>
      </c>
      <c r="AJ11" s="61" t="str">
        <f>IF(OR($B11="",'E08 — Estabilização Hypercare'!U16=""),"",'E08 — Estabilização Hypercare'!U16)</f>
        <v/>
      </c>
      <c r="AK11" s="60" t="str">
        <f t="shared" si="3"/>
        <v/>
      </c>
      <c r="AL11" s="65" t="str">
        <f t="shared" si="4"/>
        <v/>
      </c>
    </row>
    <row r="12" spans="2:38" s="29" customFormat="1" ht="116" customHeight="1" x14ac:dyDescent="0.35">
      <c r="B12" s="55" t="str">
        <f t="shared" si="0"/>
        <v/>
      </c>
      <c r="C12" s="38"/>
      <c r="D12" s="38"/>
      <c r="E12" s="39"/>
      <c r="F12" s="39"/>
      <c r="G12" s="39"/>
      <c r="H12" s="68" t="str">
        <f>IF('E2 — Triagem'!D17="","",'E2 — Triagem'!D17)</f>
        <v/>
      </c>
      <c r="I12" s="70"/>
      <c r="J12" s="39"/>
      <c r="K12" s="39"/>
      <c r="L12" s="70"/>
      <c r="M12" s="70"/>
      <c r="N12" s="70"/>
      <c r="O12" s="70"/>
      <c r="P12" s="39"/>
      <c r="Q12" s="39"/>
      <c r="R12" s="70"/>
      <c r="S12" s="70"/>
      <c r="T12" s="74"/>
      <c r="U12" s="74"/>
      <c r="V12" s="74"/>
      <c r="W12" s="58" t="str">
        <f t="shared" si="1"/>
        <v/>
      </c>
      <c r="X12" s="59" t="str">
        <f t="shared" si="2"/>
        <v/>
      </c>
      <c r="Y12" s="39"/>
      <c r="Z12" s="39"/>
      <c r="AA12" s="39"/>
      <c r="AB12" s="68" t="str">
        <f>IF($B12="","",'Workflow (Tracker)'!L35)</f>
        <v/>
      </c>
      <c r="AC12" s="69" t="str">
        <f>IF($B12="","",'E08 — Estabilização Hypercare'!K17)</f>
        <v/>
      </c>
      <c r="AD12" s="66" t="str">
        <f>IF($B12="","",'E08 — Estabilização Hypercare'!O17)</f>
        <v/>
      </c>
      <c r="AE12" s="66" t="str">
        <f>IF($B12="","",'E08 — Estabilização Hypercare'!Q17)</f>
        <v/>
      </c>
      <c r="AF12" s="66" t="str">
        <f>IF(OR($B12="",'E08 — Estabilização Hypercare'!R17=""),"",'E08 — Estabilização Hypercare'!R17)</f>
        <v/>
      </c>
      <c r="AG12" s="60" t="str">
        <f>IF($B12="","",'E08 — Estabilização Hypercare'!S17)</f>
        <v/>
      </c>
      <c r="AH12" s="61" t="str">
        <f>IF($B12="","",'E08 — Estabilização Hypercare'!T17)</f>
        <v/>
      </c>
      <c r="AI12" s="62" t="str">
        <f>IF($B12="","",'E08 — Estabilização Hypercare'!N17)</f>
        <v/>
      </c>
      <c r="AJ12" s="61" t="str">
        <f>IF(OR($B12="",'E08 — Estabilização Hypercare'!U17=""),"",'E08 — Estabilização Hypercare'!U17)</f>
        <v/>
      </c>
      <c r="AK12" s="60" t="str">
        <f t="shared" si="3"/>
        <v/>
      </c>
      <c r="AL12" s="65" t="str">
        <f t="shared" si="4"/>
        <v/>
      </c>
    </row>
    <row r="13" spans="2:38" s="42" customFormat="1" x14ac:dyDescent="0.35">
      <c r="B13" s="55" t="str">
        <f t="shared" si="0"/>
        <v/>
      </c>
      <c r="C13" s="40"/>
      <c r="D13" s="40"/>
      <c r="E13" s="41"/>
      <c r="F13" s="41"/>
      <c r="G13" s="41"/>
      <c r="H13" s="68" t="str">
        <f>IF('E2 — Triagem'!D18="","",'E2 — Triagem'!D18)</f>
        <v/>
      </c>
      <c r="I13" s="71"/>
      <c r="J13" s="41"/>
      <c r="K13" s="41"/>
      <c r="L13" s="71"/>
      <c r="M13" s="71"/>
      <c r="N13" s="71"/>
      <c r="O13" s="71"/>
      <c r="P13" s="41"/>
      <c r="Q13" s="41"/>
      <c r="R13" s="71"/>
      <c r="S13" s="71"/>
      <c r="T13" s="75"/>
      <c r="U13" s="75"/>
      <c r="V13" s="75"/>
      <c r="W13" s="58" t="str">
        <f t="shared" si="1"/>
        <v/>
      </c>
      <c r="X13" s="59" t="str">
        <f t="shared" si="2"/>
        <v/>
      </c>
      <c r="Y13" s="41"/>
      <c r="Z13" s="41"/>
      <c r="AA13" s="41"/>
      <c r="AB13" s="68" t="str">
        <f>IF($B13="","",'Workflow (Tracker)'!L36)</f>
        <v/>
      </c>
      <c r="AC13" s="69" t="str">
        <f>IF($B13="","",'E08 — Estabilização Hypercare'!K18)</f>
        <v/>
      </c>
      <c r="AD13" s="66" t="str">
        <f>IF($B13="","",'E08 — Estabilização Hypercare'!O18)</f>
        <v/>
      </c>
      <c r="AE13" s="66" t="str">
        <f>IF($B13="","",'E08 — Estabilização Hypercare'!Q18)</f>
        <v/>
      </c>
      <c r="AF13" s="66" t="str">
        <f>IF(OR($B13="",'E08 — Estabilização Hypercare'!R18=""),"",'E08 — Estabilização Hypercare'!R18)</f>
        <v/>
      </c>
      <c r="AG13" s="60" t="str">
        <f>IF($B13="","",'E08 — Estabilização Hypercare'!S18)</f>
        <v/>
      </c>
      <c r="AH13" s="61" t="str">
        <f>IF($B13="","",'E08 — Estabilização Hypercare'!T18)</f>
        <v/>
      </c>
      <c r="AI13" s="62" t="str">
        <f>IF($B13="","",'E08 — Estabilização Hypercare'!N18)</f>
        <v/>
      </c>
      <c r="AJ13" s="61" t="str">
        <f>IF(OR($B13="",'E08 — Estabilização Hypercare'!U18=""),"",'E08 — Estabilização Hypercare'!U18)</f>
        <v/>
      </c>
      <c r="AK13" s="60" t="str">
        <f t="shared" si="3"/>
        <v/>
      </c>
      <c r="AL13" s="65" t="str">
        <f t="shared" si="4"/>
        <v/>
      </c>
    </row>
    <row r="14" spans="2:38" s="42" customFormat="1" x14ac:dyDescent="0.35">
      <c r="B14" s="55" t="str">
        <f t="shared" si="0"/>
        <v/>
      </c>
      <c r="C14" s="40"/>
      <c r="D14" s="40"/>
      <c r="E14" s="41"/>
      <c r="F14" s="41"/>
      <c r="G14" s="41"/>
      <c r="H14" s="68" t="str">
        <f>IF('E2 — Triagem'!D19="","",'E2 — Triagem'!D19)</f>
        <v/>
      </c>
      <c r="I14" s="71"/>
      <c r="J14" s="41"/>
      <c r="K14" s="41"/>
      <c r="L14" s="71"/>
      <c r="M14" s="71"/>
      <c r="N14" s="71"/>
      <c r="O14" s="71"/>
      <c r="P14" s="41"/>
      <c r="Q14" s="41"/>
      <c r="R14" s="71"/>
      <c r="S14" s="71"/>
      <c r="T14" s="75"/>
      <c r="U14" s="75"/>
      <c r="V14" s="75"/>
      <c r="W14" s="58" t="str">
        <f t="shared" si="1"/>
        <v/>
      </c>
      <c r="X14" s="59" t="str">
        <f t="shared" si="2"/>
        <v/>
      </c>
      <c r="Y14" s="41"/>
      <c r="Z14" s="41"/>
      <c r="AA14" s="41"/>
      <c r="AB14" s="68" t="str">
        <f>IF($B14="","",'Workflow (Tracker)'!L37)</f>
        <v/>
      </c>
      <c r="AC14" s="69" t="str">
        <f>IF($B14="","",'E08 — Estabilização Hypercare'!K19)</f>
        <v/>
      </c>
      <c r="AD14" s="66" t="str">
        <f>IF($B14="","",'E08 — Estabilização Hypercare'!O19)</f>
        <v/>
      </c>
      <c r="AE14" s="66" t="str">
        <f>IF($B14="","",'E08 — Estabilização Hypercare'!Q19)</f>
        <v/>
      </c>
      <c r="AF14" s="66" t="str">
        <f>IF(OR($B14="",'E08 — Estabilização Hypercare'!R19=""),"",'E08 — Estabilização Hypercare'!R19)</f>
        <v/>
      </c>
      <c r="AG14" s="60" t="str">
        <f>IF($B14="","",'E08 — Estabilização Hypercare'!S19)</f>
        <v/>
      </c>
      <c r="AH14" s="61" t="str">
        <f>IF($B14="","",'E08 — Estabilização Hypercare'!T19)</f>
        <v/>
      </c>
      <c r="AI14" s="62" t="str">
        <f>IF($B14="","",'E08 — Estabilização Hypercare'!N19)</f>
        <v/>
      </c>
      <c r="AJ14" s="61" t="str">
        <f>IF(OR($B14="",'E08 — Estabilização Hypercare'!U19=""),"",'E08 — Estabilização Hypercare'!U19)</f>
        <v/>
      </c>
      <c r="AK14" s="60" t="str">
        <f t="shared" si="3"/>
        <v/>
      </c>
      <c r="AL14" s="65" t="str">
        <f t="shared" si="4"/>
        <v/>
      </c>
    </row>
    <row r="15" spans="2:38" s="42" customFormat="1" x14ac:dyDescent="0.35">
      <c r="B15" s="55" t="str">
        <f t="shared" si="0"/>
        <v/>
      </c>
      <c r="C15" s="40"/>
      <c r="D15" s="40"/>
      <c r="E15" s="41"/>
      <c r="F15" s="41"/>
      <c r="G15" s="41"/>
      <c r="H15" s="68" t="str">
        <f>IF('E2 — Triagem'!D20="","",'E2 — Triagem'!D20)</f>
        <v/>
      </c>
      <c r="I15" s="71"/>
      <c r="J15" s="41"/>
      <c r="K15" s="41"/>
      <c r="L15" s="71"/>
      <c r="M15" s="71"/>
      <c r="N15" s="71"/>
      <c r="O15" s="71"/>
      <c r="P15" s="41"/>
      <c r="Q15" s="41"/>
      <c r="R15" s="71"/>
      <c r="S15" s="71"/>
      <c r="T15" s="75"/>
      <c r="U15" s="75"/>
      <c r="V15" s="75"/>
      <c r="W15" s="58" t="str">
        <f t="shared" si="1"/>
        <v/>
      </c>
      <c r="X15" s="59" t="str">
        <f t="shared" si="2"/>
        <v/>
      </c>
      <c r="Y15" s="41"/>
      <c r="Z15" s="41"/>
      <c r="AA15" s="41"/>
      <c r="AB15" s="68" t="str">
        <f>IF($B15="","",'Workflow (Tracker)'!L38)</f>
        <v/>
      </c>
      <c r="AC15" s="69" t="str">
        <f>IF($B15="","",'E08 — Estabilização Hypercare'!K20)</f>
        <v/>
      </c>
      <c r="AD15" s="66" t="str">
        <f>IF($B15="","",'E08 — Estabilização Hypercare'!O20)</f>
        <v/>
      </c>
      <c r="AE15" s="66" t="str">
        <f>IF($B15="","",'E08 — Estabilização Hypercare'!Q20)</f>
        <v/>
      </c>
      <c r="AF15" s="66" t="str">
        <f>IF(OR($B15="",'E08 — Estabilização Hypercare'!R20=""),"",'E08 — Estabilização Hypercare'!R20)</f>
        <v/>
      </c>
      <c r="AG15" s="60" t="str">
        <f>IF($B15="","",'E08 — Estabilização Hypercare'!S20)</f>
        <v/>
      </c>
      <c r="AH15" s="61" t="str">
        <f>IF($B15="","",'E08 — Estabilização Hypercare'!T20)</f>
        <v/>
      </c>
      <c r="AI15" s="62" t="str">
        <f>IF($B15="","",'E08 — Estabilização Hypercare'!N20)</f>
        <v/>
      </c>
      <c r="AJ15" s="61" t="str">
        <f>IF(OR($B15="",'E08 — Estabilização Hypercare'!U20=""),"",'E08 — Estabilização Hypercare'!U20)</f>
        <v/>
      </c>
      <c r="AK15" s="60" t="str">
        <f t="shared" si="3"/>
        <v/>
      </c>
      <c r="AL15" s="65" t="str">
        <f t="shared" si="4"/>
        <v/>
      </c>
    </row>
    <row r="16" spans="2:38" s="42" customFormat="1" x14ac:dyDescent="0.35">
      <c r="B16" s="55" t="str">
        <f t="shared" si="0"/>
        <v/>
      </c>
      <c r="C16" s="40"/>
      <c r="D16" s="40"/>
      <c r="E16" s="41"/>
      <c r="F16" s="41"/>
      <c r="G16" s="41"/>
      <c r="H16" s="68" t="str">
        <f>IF('E2 — Triagem'!D21="","",'E2 — Triagem'!D21)</f>
        <v/>
      </c>
      <c r="I16" s="71"/>
      <c r="J16" s="41"/>
      <c r="K16" s="41"/>
      <c r="L16" s="71"/>
      <c r="M16" s="71"/>
      <c r="N16" s="71"/>
      <c r="O16" s="71"/>
      <c r="P16" s="41"/>
      <c r="Q16" s="41"/>
      <c r="R16" s="71"/>
      <c r="S16" s="71"/>
      <c r="T16" s="75"/>
      <c r="U16" s="75"/>
      <c r="V16" s="75"/>
      <c r="W16" s="58" t="str">
        <f t="shared" si="1"/>
        <v/>
      </c>
      <c r="X16" s="59" t="str">
        <f t="shared" si="2"/>
        <v/>
      </c>
      <c r="Y16" s="41"/>
      <c r="Z16" s="41"/>
      <c r="AA16" s="41"/>
      <c r="AB16" s="68" t="str">
        <f>IF($B16="","",'Workflow (Tracker)'!L39)</f>
        <v/>
      </c>
      <c r="AC16" s="69" t="str">
        <f>IF($B16="","",'E08 — Estabilização Hypercare'!K21)</f>
        <v/>
      </c>
      <c r="AD16" s="66" t="str">
        <f>IF($B16="","",'E08 — Estabilização Hypercare'!O21)</f>
        <v/>
      </c>
      <c r="AE16" s="66" t="str">
        <f>IF($B16="","",'E08 — Estabilização Hypercare'!Q21)</f>
        <v/>
      </c>
      <c r="AF16" s="66" t="str">
        <f>IF(OR($B16="",'E08 — Estabilização Hypercare'!R21=""),"",'E08 — Estabilização Hypercare'!R21)</f>
        <v/>
      </c>
      <c r="AG16" s="60" t="str">
        <f>IF($B16="","",'E08 — Estabilização Hypercare'!S21)</f>
        <v/>
      </c>
      <c r="AH16" s="61" t="str">
        <f>IF($B16="","",'E08 — Estabilização Hypercare'!T21)</f>
        <v/>
      </c>
      <c r="AI16" s="62" t="str">
        <f>IF($B16="","",'E08 — Estabilização Hypercare'!N21)</f>
        <v/>
      </c>
      <c r="AJ16" s="61" t="str">
        <f>IF(OR($B16="",'E08 — Estabilização Hypercare'!U21=""),"",'E08 — Estabilização Hypercare'!U21)</f>
        <v/>
      </c>
      <c r="AK16" s="60" t="str">
        <f t="shared" si="3"/>
        <v/>
      </c>
      <c r="AL16" s="65" t="str">
        <f t="shared" si="4"/>
        <v/>
      </c>
    </row>
    <row r="17" spans="2:38" s="42" customFormat="1" x14ac:dyDescent="0.35">
      <c r="B17" s="55" t="str">
        <f t="shared" si="0"/>
        <v/>
      </c>
      <c r="C17" s="40"/>
      <c r="D17" s="40"/>
      <c r="E17" s="41"/>
      <c r="F17" s="41"/>
      <c r="G17" s="41"/>
      <c r="H17" s="68" t="str">
        <f>IF('E2 — Triagem'!D22="","",'E2 — Triagem'!D22)</f>
        <v/>
      </c>
      <c r="I17" s="71"/>
      <c r="J17" s="41"/>
      <c r="K17" s="41"/>
      <c r="L17" s="71"/>
      <c r="M17" s="71"/>
      <c r="N17" s="71"/>
      <c r="O17" s="71"/>
      <c r="P17" s="41"/>
      <c r="Q17" s="41"/>
      <c r="R17" s="71"/>
      <c r="S17" s="71"/>
      <c r="T17" s="75"/>
      <c r="U17" s="75"/>
      <c r="V17" s="75"/>
      <c r="W17" s="58" t="str">
        <f t="shared" si="1"/>
        <v/>
      </c>
      <c r="X17" s="59" t="str">
        <f t="shared" si="2"/>
        <v/>
      </c>
      <c r="Y17" s="41"/>
      <c r="Z17" s="41"/>
      <c r="AA17" s="41"/>
      <c r="AB17" s="68" t="str">
        <f>IF($B17="","",'Workflow (Tracker)'!L40)</f>
        <v/>
      </c>
      <c r="AC17" s="69" t="str">
        <f>IF($B17="","",'E08 — Estabilização Hypercare'!K22)</f>
        <v/>
      </c>
      <c r="AD17" s="66" t="str">
        <f>IF($B17="","",'E08 — Estabilização Hypercare'!O22)</f>
        <v/>
      </c>
      <c r="AE17" s="66" t="str">
        <f>IF($B17="","",'E08 — Estabilização Hypercare'!Q22)</f>
        <v/>
      </c>
      <c r="AF17" s="66" t="str">
        <f>IF(OR($B17="",'E08 — Estabilização Hypercare'!R22=""),"",'E08 — Estabilização Hypercare'!R22)</f>
        <v/>
      </c>
      <c r="AG17" s="60" t="str">
        <f>IF($B17="","",'E08 — Estabilização Hypercare'!S22)</f>
        <v/>
      </c>
      <c r="AH17" s="61" t="str">
        <f>IF($B17="","",'E08 — Estabilização Hypercare'!T22)</f>
        <v/>
      </c>
      <c r="AI17" s="62" t="str">
        <f>IF($B17="","",'E08 — Estabilização Hypercare'!N22)</f>
        <v/>
      </c>
      <c r="AJ17" s="61" t="str">
        <f>IF(OR($B17="",'E08 — Estabilização Hypercare'!U22=""),"",'E08 — Estabilização Hypercare'!U22)</f>
        <v/>
      </c>
      <c r="AK17" s="60" t="str">
        <f t="shared" si="3"/>
        <v/>
      </c>
      <c r="AL17" s="65" t="str">
        <f t="shared" si="4"/>
        <v/>
      </c>
    </row>
    <row r="18" spans="2:38" s="42" customFormat="1" x14ac:dyDescent="0.35">
      <c r="B18" s="55" t="str">
        <f t="shared" si="0"/>
        <v/>
      </c>
      <c r="C18" s="40"/>
      <c r="D18" s="40"/>
      <c r="E18" s="41"/>
      <c r="F18" s="41"/>
      <c r="G18" s="41"/>
      <c r="H18" s="68" t="str">
        <f>IF('E2 — Triagem'!D23="","",'E2 — Triagem'!D23)</f>
        <v/>
      </c>
      <c r="I18" s="71"/>
      <c r="J18" s="41"/>
      <c r="K18" s="41"/>
      <c r="L18" s="71"/>
      <c r="M18" s="71"/>
      <c r="N18" s="71"/>
      <c r="O18" s="71"/>
      <c r="P18" s="41"/>
      <c r="Q18" s="41"/>
      <c r="R18" s="71"/>
      <c r="S18" s="71"/>
      <c r="T18" s="75"/>
      <c r="U18" s="75"/>
      <c r="V18" s="75"/>
      <c r="W18" s="58" t="str">
        <f t="shared" si="1"/>
        <v/>
      </c>
      <c r="X18" s="59" t="str">
        <f t="shared" si="2"/>
        <v/>
      </c>
      <c r="Y18" s="41"/>
      <c r="Z18" s="41"/>
      <c r="AA18" s="41"/>
      <c r="AB18" s="68" t="str">
        <f>IF($B18="","",'Workflow (Tracker)'!L41)</f>
        <v/>
      </c>
      <c r="AC18" s="69" t="str">
        <f>IF($B18="","",'E08 — Estabilização Hypercare'!K23)</f>
        <v/>
      </c>
      <c r="AD18" s="66" t="str">
        <f>IF($B18="","",'E08 — Estabilização Hypercare'!O23)</f>
        <v/>
      </c>
      <c r="AE18" s="66" t="str">
        <f>IF($B18="","",'E08 — Estabilização Hypercare'!Q23)</f>
        <v/>
      </c>
      <c r="AF18" s="66" t="str">
        <f>IF(OR($B18="",'E08 — Estabilização Hypercare'!R23=""),"",'E08 — Estabilização Hypercare'!R23)</f>
        <v/>
      </c>
      <c r="AG18" s="60" t="str">
        <f>IF($B18="","",'E08 — Estabilização Hypercare'!S23)</f>
        <v/>
      </c>
      <c r="AH18" s="61" t="str">
        <f>IF($B18="","",'E08 — Estabilização Hypercare'!T23)</f>
        <v/>
      </c>
      <c r="AI18" s="62" t="str">
        <f>IF($B18="","",'E08 — Estabilização Hypercare'!N23)</f>
        <v/>
      </c>
      <c r="AJ18" s="61" t="str">
        <f>IF(OR($B18="",'E08 — Estabilização Hypercare'!U23=""),"",'E08 — Estabilização Hypercare'!U23)</f>
        <v/>
      </c>
      <c r="AK18" s="60" t="str">
        <f t="shared" si="3"/>
        <v/>
      </c>
      <c r="AL18" s="65" t="str">
        <f t="shared" si="4"/>
        <v/>
      </c>
    </row>
    <row r="19" spans="2:38" s="42" customFormat="1" x14ac:dyDescent="0.35">
      <c r="B19" s="55" t="str">
        <f t="shared" si="0"/>
        <v/>
      </c>
      <c r="C19" s="40"/>
      <c r="D19" s="40"/>
      <c r="E19" s="41"/>
      <c r="F19" s="41"/>
      <c r="G19" s="41"/>
      <c r="H19" s="68" t="str">
        <f>IF('E2 — Triagem'!D24="","",'E2 — Triagem'!D24)</f>
        <v/>
      </c>
      <c r="I19" s="71"/>
      <c r="J19" s="41"/>
      <c r="K19" s="41"/>
      <c r="L19" s="71"/>
      <c r="M19" s="71"/>
      <c r="N19" s="71"/>
      <c r="O19" s="71"/>
      <c r="P19" s="41"/>
      <c r="Q19" s="41"/>
      <c r="R19" s="71"/>
      <c r="S19" s="71"/>
      <c r="T19" s="75"/>
      <c r="U19" s="75"/>
      <c r="V19" s="75"/>
      <c r="W19" s="58" t="str">
        <f t="shared" si="1"/>
        <v/>
      </c>
      <c r="X19" s="59" t="str">
        <f t="shared" si="2"/>
        <v/>
      </c>
      <c r="Y19" s="41"/>
      <c r="Z19" s="41"/>
      <c r="AA19" s="41"/>
      <c r="AB19" s="68" t="str">
        <f>IF($B19="","",'Workflow (Tracker)'!L42)</f>
        <v/>
      </c>
      <c r="AC19" s="69" t="str">
        <f>IF($B19="","",'E08 — Estabilização Hypercare'!K24)</f>
        <v/>
      </c>
      <c r="AD19" s="66" t="str">
        <f>IF($B19="","",'E08 — Estabilização Hypercare'!O24)</f>
        <v/>
      </c>
      <c r="AE19" s="66" t="str">
        <f>IF($B19="","",'E08 — Estabilização Hypercare'!Q24)</f>
        <v/>
      </c>
      <c r="AF19" s="66" t="str">
        <f>IF(OR($B19="",'E08 — Estabilização Hypercare'!R24=""),"",'E08 — Estabilização Hypercare'!R24)</f>
        <v/>
      </c>
      <c r="AG19" s="60" t="str">
        <f>IF($B19="","",'E08 — Estabilização Hypercare'!S24)</f>
        <v/>
      </c>
      <c r="AH19" s="61" t="str">
        <f>IF($B19="","",'E08 — Estabilização Hypercare'!T24)</f>
        <v/>
      </c>
      <c r="AI19" s="62" t="str">
        <f>IF($B19="","",'E08 — Estabilização Hypercare'!N24)</f>
        <v/>
      </c>
      <c r="AJ19" s="61" t="str">
        <f>IF(OR($B19="",'E08 — Estabilização Hypercare'!U24=""),"",'E08 — Estabilização Hypercare'!U24)</f>
        <v/>
      </c>
      <c r="AK19" s="60" t="str">
        <f t="shared" si="3"/>
        <v/>
      </c>
      <c r="AL19" s="65" t="str">
        <f t="shared" si="4"/>
        <v/>
      </c>
    </row>
    <row r="20" spans="2:38" s="42" customFormat="1" x14ac:dyDescent="0.35">
      <c r="B20" s="55" t="str">
        <f t="shared" si="0"/>
        <v/>
      </c>
      <c r="C20" s="40"/>
      <c r="D20" s="40"/>
      <c r="E20" s="41"/>
      <c r="F20" s="41"/>
      <c r="G20" s="41"/>
      <c r="H20" s="68" t="str">
        <f>IF('E2 — Triagem'!D25="","",'E2 — Triagem'!D25)</f>
        <v/>
      </c>
      <c r="I20" s="71"/>
      <c r="J20" s="41"/>
      <c r="K20" s="41"/>
      <c r="L20" s="71"/>
      <c r="M20" s="71"/>
      <c r="N20" s="71"/>
      <c r="O20" s="71"/>
      <c r="P20" s="41"/>
      <c r="Q20" s="41"/>
      <c r="R20" s="71"/>
      <c r="S20" s="71"/>
      <c r="T20" s="75"/>
      <c r="U20" s="75"/>
      <c r="V20" s="75"/>
      <c r="W20" s="58" t="str">
        <f t="shared" si="1"/>
        <v/>
      </c>
      <c r="X20" s="59" t="str">
        <f t="shared" si="2"/>
        <v/>
      </c>
      <c r="Y20" s="41"/>
      <c r="Z20" s="41"/>
      <c r="AA20" s="41"/>
      <c r="AB20" s="68" t="str">
        <f>IF($B20="","",'Workflow (Tracker)'!L43)</f>
        <v/>
      </c>
      <c r="AC20" s="69" t="str">
        <f>IF($B20="","",'E08 — Estabilização Hypercare'!K25)</f>
        <v/>
      </c>
      <c r="AD20" s="66" t="str">
        <f>IF($B20="","",'E08 — Estabilização Hypercare'!O25)</f>
        <v/>
      </c>
      <c r="AE20" s="66" t="str">
        <f>IF($B20="","",'E08 — Estabilização Hypercare'!Q25)</f>
        <v/>
      </c>
      <c r="AF20" s="66" t="str">
        <f>IF(OR($B20="",'E08 — Estabilização Hypercare'!R25=""),"",'E08 — Estabilização Hypercare'!R25)</f>
        <v/>
      </c>
      <c r="AG20" s="60" t="str">
        <f>IF($B20="","",'E08 — Estabilização Hypercare'!S25)</f>
        <v/>
      </c>
      <c r="AH20" s="61" t="str">
        <f>IF($B20="","",'E08 — Estabilização Hypercare'!T25)</f>
        <v/>
      </c>
      <c r="AI20" s="62" t="str">
        <f>IF($B20="","",'E08 — Estabilização Hypercare'!N25)</f>
        <v/>
      </c>
      <c r="AJ20" s="61" t="str">
        <f>IF(OR($B20="",'E08 — Estabilização Hypercare'!U25=""),"",'E08 — Estabilização Hypercare'!U25)</f>
        <v/>
      </c>
      <c r="AK20" s="60" t="str">
        <f t="shared" si="3"/>
        <v/>
      </c>
      <c r="AL20" s="65" t="str">
        <f t="shared" si="4"/>
        <v/>
      </c>
    </row>
    <row r="21" spans="2:38" s="42" customFormat="1" x14ac:dyDescent="0.35">
      <c r="B21" s="55" t="str">
        <f t="shared" si="0"/>
        <v/>
      </c>
      <c r="C21" s="40"/>
      <c r="D21" s="40"/>
      <c r="E21" s="41"/>
      <c r="F21" s="41"/>
      <c r="G21" s="41"/>
      <c r="H21" s="68" t="str">
        <f>IF('E2 — Triagem'!D26="","",'E2 — Triagem'!D26)</f>
        <v/>
      </c>
      <c r="I21" s="71"/>
      <c r="J21" s="41"/>
      <c r="K21" s="41"/>
      <c r="L21" s="71"/>
      <c r="M21" s="71"/>
      <c r="N21" s="71"/>
      <c r="O21" s="71"/>
      <c r="P21" s="41"/>
      <c r="Q21" s="41"/>
      <c r="R21" s="71"/>
      <c r="S21" s="71"/>
      <c r="T21" s="75"/>
      <c r="U21" s="75"/>
      <c r="V21" s="75"/>
      <c r="W21" s="58" t="str">
        <f t="shared" si="1"/>
        <v/>
      </c>
      <c r="X21" s="59" t="str">
        <f t="shared" si="2"/>
        <v/>
      </c>
      <c r="Y21" s="41"/>
      <c r="Z21" s="41"/>
      <c r="AA21" s="41"/>
      <c r="AB21" s="68" t="str">
        <f>IF($B21="","",'Workflow (Tracker)'!L44)</f>
        <v/>
      </c>
      <c r="AC21" s="69" t="str">
        <f>IF($B21="","",'E08 — Estabilização Hypercare'!K26)</f>
        <v/>
      </c>
      <c r="AD21" s="66" t="str">
        <f>IF($B21="","",'E08 — Estabilização Hypercare'!O26)</f>
        <v/>
      </c>
      <c r="AE21" s="66" t="str">
        <f>IF($B21="","",'E08 — Estabilização Hypercare'!Q26)</f>
        <v/>
      </c>
      <c r="AF21" s="66" t="str">
        <f>IF(OR($B21="",'E08 — Estabilização Hypercare'!R26=""),"",'E08 — Estabilização Hypercare'!R26)</f>
        <v/>
      </c>
      <c r="AG21" s="60" t="str">
        <f>IF($B21="","",'E08 — Estabilização Hypercare'!S26)</f>
        <v/>
      </c>
      <c r="AH21" s="61" t="str">
        <f>IF($B21="","",'E08 — Estabilização Hypercare'!T26)</f>
        <v/>
      </c>
      <c r="AI21" s="62" t="str">
        <f>IF($B21="","",'E08 — Estabilização Hypercare'!N26)</f>
        <v/>
      </c>
      <c r="AJ21" s="61" t="str">
        <f>IF(OR($B21="",'E08 — Estabilização Hypercare'!U26=""),"",'E08 — Estabilização Hypercare'!U26)</f>
        <v/>
      </c>
      <c r="AK21" s="60" t="str">
        <f t="shared" si="3"/>
        <v/>
      </c>
      <c r="AL21" s="65" t="str">
        <f t="shared" si="4"/>
        <v/>
      </c>
    </row>
    <row r="22" spans="2:38" s="42" customFormat="1" x14ac:dyDescent="0.35">
      <c r="B22" s="55" t="str">
        <f t="shared" si="0"/>
        <v/>
      </c>
      <c r="C22" s="40"/>
      <c r="D22" s="40"/>
      <c r="E22" s="41"/>
      <c r="F22" s="41"/>
      <c r="G22" s="41"/>
      <c r="H22" s="68" t="str">
        <f>IF('E2 — Triagem'!D27="","",'E2 — Triagem'!D27)</f>
        <v/>
      </c>
      <c r="I22" s="71"/>
      <c r="J22" s="41"/>
      <c r="K22" s="41"/>
      <c r="L22" s="71"/>
      <c r="M22" s="71"/>
      <c r="N22" s="71"/>
      <c r="O22" s="71"/>
      <c r="P22" s="41"/>
      <c r="Q22" s="41"/>
      <c r="R22" s="71"/>
      <c r="S22" s="71"/>
      <c r="T22" s="75"/>
      <c r="U22" s="75"/>
      <c r="V22" s="75"/>
      <c r="W22" s="58" t="str">
        <f t="shared" si="1"/>
        <v/>
      </c>
      <c r="X22" s="59" t="str">
        <f t="shared" si="2"/>
        <v/>
      </c>
      <c r="Y22" s="41"/>
      <c r="Z22" s="41"/>
      <c r="AA22" s="41"/>
      <c r="AB22" s="68" t="str">
        <f>IF($B22="","",'Workflow (Tracker)'!L45)</f>
        <v/>
      </c>
      <c r="AC22" s="69" t="str">
        <f>IF($B22="","",'E08 — Estabilização Hypercare'!K27)</f>
        <v/>
      </c>
      <c r="AD22" s="66" t="str">
        <f>IF($B22="","",'E08 — Estabilização Hypercare'!O27)</f>
        <v/>
      </c>
      <c r="AE22" s="66" t="str">
        <f>IF($B22="","",'E08 — Estabilização Hypercare'!Q27)</f>
        <v/>
      </c>
      <c r="AF22" s="66" t="str">
        <f>IF(OR($B22="",'E08 — Estabilização Hypercare'!R27=""),"",'E08 — Estabilização Hypercare'!R27)</f>
        <v/>
      </c>
      <c r="AG22" s="60" t="str">
        <f>IF($B22="","",'E08 — Estabilização Hypercare'!S27)</f>
        <v/>
      </c>
      <c r="AH22" s="61" t="str">
        <f>IF($B22="","",'E08 — Estabilização Hypercare'!T27)</f>
        <v/>
      </c>
      <c r="AI22" s="62" t="str">
        <f>IF($B22="","",'E08 — Estabilização Hypercare'!N27)</f>
        <v/>
      </c>
      <c r="AJ22" s="61" t="str">
        <f>IF(OR($B22="",'E08 — Estabilização Hypercare'!U27=""),"",'E08 — Estabilização Hypercare'!U27)</f>
        <v/>
      </c>
      <c r="AK22" s="60" t="str">
        <f t="shared" si="3"/>
        <v/>
      </c>
      <c r="AL22" s="65" t="str">
        <f t="shared" si="4"/>
        <v/>
      </c>
    </row>
    <row r="23" spans="2:38" s="42" customFormat="1" x14ac:dyDescent="0.35">
      <c r="B23" s="55" t="str">
        <f t="shared" si="0"/>
        <v/>
      </c>
      <c r="C23" s="40"/>
      <c r="D23" s="40"/>
      <c r="E23" s="41"/>
      <c r="F23" s="41"/>
      <c r="G23" s="41"/>
      <c r="H23" s="68" t="str">
        <f>IF('E2 — Triagem'!D28="","",'E2 — Triagem'!D28)</f>
        <v/>
      </c>
      <c r="I23" s="71"/>
      <c r="J23" s="41"/>
      <c r="K23" s="41"/>
      <c r="L23" s="71"/>
      <c r="M23" s="71"/>
      <c r="N23" s="71"/>
      <c r="O23" s="71"/>
      <c r="P23" s="41"/>
      <c r="Q23" s="41"/>
      <c r="R23" s="71"/>
      <c r="S23" s="71"/>
      <c r="T23" s="75"/>
      <c r="U23" s="75"/>
      <c r="V23" s="75"/>
      <c r="W23" s="58" t="str">
        <f t="shared" si="1"/>
        <v/>
      </c>
      <c r="X23" s="59" t="str">
        <f t="shared" si="2"/>
        <v/>
      </c>
      <c r="Y23" s="41"/>
      <c r="Z23" s="41"/>
      <c r="AA23" s="41"/>
      <c r="AB23" s="68" t="str">
        <f>IF($B23="","",'Workflow (Tracker)'!L46)</f>
        <v/>
      </c>
      <c r="AC23" s="69" t="str">
        <f>IF($B23="","",'E08 — Estabilização Hypercare'!K28)</f>
        <v/>
      </c>
      <c r="AD23" s="66" t="str">
        <f>IF($B23="","",'E08 — Estabilização Hypercare'!O28)</f>
        <v/>
      </c>
      <c r="AE23" s="66" t="str">
        <f>IF($B23="","",'E08 — Estabilização Hypercare'!Q28)</f>
        <v/>
      </c>
      <c r="AF23" s="66" t="str">
        <f>IF(OR($B23="",'E08 — Estabilização Hypercare'!R28=""),"",'E08 — Estabilização Hypercare'!R28)</f>
        <v/>
      </c>
      <c r="AG23" s="60" t="str">
        <f>IF($B23="","",'E08 — Estabilização Hypercare'!S28)</f>
        <v/>
      </c>
      <c r="AH23" s="61" t="str">
        <f>IF($B23="","",'E08 — Estabilização Hypercare'!T28)</f>
        <v/>
      </c>
      <c r="AI23" s="62" t="str">
        <f>IF($B23="","",'E08 — Estabilização Hypercare'!N28)</f>
        <v/>
      </c>
      <c r="AJ23" s="61" t="str">
        <f>IF(OR($B23="",'E08 — Estabilização Hypercare'!U28=""),"",'E08 — Estabilização Hypercare'!U28)</f>
        <v/>
      </c>
      <c r="AK23" s="60" t="str">
        <f t="shared" si="3"/>
        <v/>
      </c>
      <c r="AL23" s="65" t="str">
        <f t="shared" si="4"/>
        <v/>
      </c>
    </row>
    <row r="24" spans="2:38" s="42" customFormat="1" x14ac:dyDescent="0.35">
      <c r="B24" s="55" t="str">
        <f t="shared" si="0"/>
        <v/>
      </c>
      <c r="C24" s="40"/>
      <c r="D24" s="40"/>
      <c r="E24" s="41"/>
      <c r="F24" s="41"/>
      <c r="G24" s="41"/>
      <c r="H24" s="68" t="str">
        <f>IF('E2 — Triagem'!D29="","",'E2 — Triagem'!D29)</f>
        <v/>
      </c>
      <c r="I24" s="71"/>
      <c r="J24" s="41"/>
      <c r="K24" s="41"/>
      <c r="L24" s="71"/>
      <c r="M24" s="71"/>
      <c r="N24" s="71"/>
      <c r="O24" s="71"/>
      <c r="P24" s="41"/>
      <c r="Q24" s="41"/>
      <c r="R24" s="71"/>
      <c r="S24" s="71"/>
      <c r="T24" s="75"/>
      <c r="U24" s="75"/>
      <c r="V24" s="75"/>
      <c r="W24" s="58" t="str">
        <f t="shared" si="1"/>
        <v/>
      </c>
      <c r="X24" s="59" t="str">
        <f t="shared" si="2"/>
        <v/>
      </c>
      <c r="Y24" s="41"/>
      <c r="Z24" s="41"/>
      <c r="AA24" s="41"/>
      <c r="AB24" s="68" t="str">
        <f>IF($B24="","",'Workflow (Tracker)'!L47)</f>
        <v/>
      </c>
      <c r="AC24" s="69" t="str">
        <f>IF($B24="","",'E08 — Estabilização Hypercare'!K29)</f>
        <v/>
      </c>
      <c r="AD24" s="66" t="str">
        <f>IF($B24="","",'E08 — Estabilização Hypercare'!O29)</f>
        <v/>
      </c>
      <c r="AE24" s="66" t="str">
        <f>IF($B24="","",'E08 — Estabilização Hypercare'!Q29)</f>
        <v/>
      </c>
      <c r="AF24" s="66" t="str">
        <f>IF(OR($B24="",'E08 — Estabilização Hypercare'!R29=""),"",'E08 — Estabilização Hypercare'!R29)</f>
        <v/>
      </c>
      <c r="AG24" s="60" t="str">
        <f>IF($B24="","",'E08 — Estabilização Hypercare'!S29)</f>
        <v/>
      </c>
      <c r="AH24" s="61" t="str">
        <f>IF($B24="","",'E08 — Estabilização Hypercare'!T29)</f>
        <v/>
      </c>
      <c r="AI24" s="62" t="str">
        <f>IF($B24="","",'E08 — Estabilização Hypercare'!N29)</f>
        <v/>
      </c>
      <c r="AJ24" s="61" t="str">
        <f>IF(OR($B24="",'E08 — Estabilização Hypercare'!U29=""),"",'E08 — Estabilização Hypercare'!U29)</f>
        <v/>
      </c>
      <c r="AK24" s="60" t="str">
        <f t="shared" si="3"/>
        <v/>
      </c>
      <c r="AL24" s="65" t="str">
        <f t="shared" si="4"/>
        <v/>
      </c>
    </row>
    <row r="25" spans="2:38" s="42" customFormat="1" x14ac:dyDescent="0.35">
      <c r="B25" s="55" t="str">
        <f t="shared" si="0"/>
        <v/>
      </c>
      <c r="C25" s="40"/>
      <c r="D25" s="40"/>
      <c r="E25" s="41"/>
      <c r="F25" s="41"/>
      <c r="G25" s="41"/>
      <c r="H25" s="68" t="str">
        <f>IF('E2 — Triagem'!D30="","",'E2 — Triagem'!D30)</f>
        <v/>
      </c>
      <c r="I25" s="71"/>
      <c r="J25" s="41"/>
      <c r="K25" s="41"/>
      <c r="L25" s="71"/>
      <c r="M25" s="71"/>
      <c r="N25" s="71"/>
      <c r="O25" s="71"/>
      <c r="P25" s="41"/>
      <c r="Q25" s="41"/>
      <c r="R25" s="71"/>
      <c r="S25" s="71"/>
      <c r="T25" s="75"/>
      <c r="U25" s="75"/>
      <c r="V25" s="75"/>
      <c r="W25" s="58" t="str">
        <f t="shared" si="1"/>
        <v/>
      </c>
      <c r="X25" s="59" t="str">
        <f t="shared" si="2"/>
        <v/>
      </c>
      <c r="Y25" s="41"/>
      <c r="Z25" s="41"/>
      <c r="AA25" s="41"/>
      <c r="AB25" s="68" t="str">
        <f>IF($B25="","",'Workflow (Tracker)'!L48)</f>
        <v/>
      </c>
      <c r="AC25" s="69" t="str">
        <f>IF($B25="","",'E08 — Estabilização Hypercare'!K30)</f>
        <v/>
      </c>
      <c r="AD25" s="66" t="str">
        <f>IF($B25="","",'E08 — Estabilização Hypercare'!O30)</f>
        <v/>
      </c>
      <c r="AE25" s="66" t="str">
        <f>IF($B25="","",'E08 — Estabilização Hypercare'!Q30)</f>
        <v/>
      </c>
      <c r="AF25" s="66" t="str">
        <f>IF(OR($B25="",'E08 — Estabilização Hypercare'!R30=""),"",'E08 — Estabilização Hypercare'!R30)</f>
        <v/>
      </c>
      <c r="AG25" s="60" t="str">
        <f>IF($B25="","",'E08 — Estabilização Hypercare'!S30)</f>
        <v/>
      </c>
      <c r="AH25" s="61" t="str">
        <f>IF($B25="","",'E08 — Estabilização Hypercare'!T30)</f>
        <v/>
      </c>
      <c r="AI25" s="62" t="str">
        <f>IF($B25="","",'E08 — Estabilização Hypercare'!N30)</f>
        <v/>
      </c>
      <c r="AJ25" s="61" t="str">
        <f>IF(OR($B25="",'E08 — Estabilização Hypercare'!U30=""),"",'E08 — Estabilização Hypercare'!U30)</f>
        <v/>
      </c>
      <c r="AK25" s="60" t="str">
        <f t="shared" si="3"/>
        <v/>
      </c>
      <c r="AL25" s="65" t="str">
        <f t="shared" si="4"/>
        <v/>
      </c>
    </row>
    <row r="26" spans="2:38" s="42" customFormat="1" x14ac:dyDescent="0.35">
      <c r="B26" s="55" t="str">
        <f t="shared" si="0"/>
        <v/>
      </c>
      <c r="C26" s="40"/>
      <c r="D26" s="40"/>
      <c r="E26" s="41"/>
      <c r="F26" s="41"/>
      <c r="G26" s="41"/>
      <c r="H26" s="68" t="str">
        <f>IF('E2 — Triagem'!D31="","",'E2 — Triagem'!D31)</f>
        <v/>
      </c>
      <c r="I26" s="71"/>
      <c r="J26" s="41"/>
      <c r="K26" s="41"/>
      <c r="L26" s="71"/>
      <c r="M26" s="71"/>
      <c r="N26" s="71"/>
      <c r="O26" s="71"/>
      <c r="P26" s="41"/>
      <c r="Q26" s="41"/>
      <c r="R26" s="71"/>
      <c r="S26" s="71"/>
      <c r="T26" s="75"/>
      <c r="U26" s="75"/>
      <c r="V26" s="75"/>
      <c r="W26" s="58" t="str">
        <f t="shared" si="1"/>
        <v/>
      </c>
      <c r="X26" s="59" t="str">
        <f t="shared" si="2"/>
        <v/>
      </c>
      <c r="Y26" s="41"/>
      <c r="Z26" s="41"/>
      <c r="AA26" s="41"/>
      <c r="AB26" s="68" t="str">
        <f>IF($B26="","",'Workflow (Tracker)'!L49)</f>
        <v/>
      </c>
      <c r="AC26" s="69" t="str">
        <f>IF($B26="","",'E08 — Estabilização Hypercare'!K31)</f>
        <v/>
      </c>
      <c r="AD26" s="66" t="str">
        <f>IF($B26="","",'E08 — Estabilização Hypercare'!O31)</f>
        <v/>
      </c>
      <c r="AE26" s="66" t="str">
        <f>IF($B26="","",'E08 — Estabilização Hypercare'!Q31)</f>
        <v/>
      </c>
      <c r="AF26" s="66" t="str">
        <f>IF(OR($B26="",'E08 — Estabilização Hypercare'!R31=""),"",'E08 — Estabilização Hypercare'!R31)</f>
        <v/>
      </c>
      <c r="AG26" s="60" t="str">
        <f>IF($B26="","",'E08 — Estabilização Hypercare'!S31)</f>
        <v/>
      </c>
      <c r="AH26" s="61" t="str">
        <f>IF($B26="","",'E08 — Estabilização Hypercare'!T31)</f>
        <v/>
      </c>
      <c r="AI26" s="62" t="str">
        <f>IF($B26="","",'E08 — Estabilização Hypercare'!N31)</f>
        <v/>
      </c>
      <c r="AJ26" s="61" t="str">
        <f>IF(OR($B26="",'E08 — Estabilização Hypercare'!U31=""),"",'E08 — Estabilização Hypercare'!U31)</f>
        <v/>
      </c>
      <c r="AK26" s="60" t="str">
        <f t="shared" si="3"/>
        <v/>
      </c>
      <c r="AL26" s="65" t="str">
        <f t="shared" si="4"/>
        <v/>
      </c>
    </row>
    <row r="27" spans="2:38" s="42" customFormat="1" x14ac:dyDescent="0.35">
      <c r="B27" s="55" t="str">
        <f t="shared" si="0"/>
        <v/>
      </c>
      <c r="C27" s="40"/>
      <c r="D27" s="40"/>
      <c r="E27" s="41"/>
      <c r="F27" s="41"/>
      <c r="G27" s="41"/>
      <c r="H27" s="68" t="str">
        <f>IF('E2 — Triagem'!D32="","",'E2 — Triagem'!D32)</f>
        <v/>
      </c>
      <c r="I27" s="71"/>
      <c r="J27" s="41"/>
      <c r="K27" s="41"/>
      <c r="L27" s="71"/>
      <c r="M27" s="71"/>
      <c r="N27" s="71"/>
      <c r="O27" s="71"/>
      <c r="P27" s="41"/>
      <c r="Q27" s="41"/>
      <c r="R27" s="71"/>
      <c r="S27" s="71"/>
      <c r="T27" s="75"/>
      <c r="U27" s="75"/>
      <c r="V27" s="75"/>
      <c r="W27" s="58" t="str">
        <f t="shared" si="1"/>
        <v/>
      </c>
      <c r="X27" s="59" t="str">
        <f t="shared" si="2"/>
        <v/>
      </c>
      <c r="Y27" s="41"/>
      <c r="Z27" s="41"/>
      <c r="AA27" s="41"/>
      <c r="AB27" s="68" t="str">
        <f>IF($B27="","",'Workflow (Tracker)'!L50)</f>
        <v/>
      </c>
      <c r="AC27" s="69" t="str">
        <f>IF($B27="","",'E08 — Estabilização Hypercare'!K32)</f>
        <v/>
      </c>
      <c r="AD27" s="66" t="str">
        <f>IF($B27="","",'E08 — Estabilização Hypercare'!O32)</f>
        <v/>
      </c>
      <c r="AE27" s="66" t="str">
        <f>IF($B27="","",'E08 — Estabilização Hypercare'!Q32)</f>
        <v/>
      </c>
      <c r="AF27" s="66" t="str">
        <f>IF(OR($B27="",'E08 — Estabilização Hypercare'!R32=""),"",'E08 — Estabilização Hypercare'!R32)</f>
        <v/>
      </c>
      <c r="AG27" s="60" t="str">
        <f>IF($B27="","",'E08 — Estabilização Hypercare'!S32)</f>
        <v/>
      </c>
      <c r="AH27" s="61" t="str">
        <f>IF($B27="","",'E08 — Estabilização Hypercare'!T32)</f>
        <v/>
      </c>
      <c r="AI27" s="62" t="str">
        <f>IF($B27="","",'E08 — Estabilização Hypercare'!N32)</f>
        <v/>
      </c>
      <c r="AJ27" s="61" t="str">
        <f>IF(OR($B27="",'E08 — Estabilização Hypercare'!U32=""),"",'E08 — Estabilização Hypercare'!U32)</f>
        <v/>
      </c>
      <c r="AK27" s="60" t="str">
        <f t="shared" si="3"/>
        <v/>
      </c>
      <c r="AL27" s="65" t="str">
        <f t="shared" si="4"/>
        <v/>
      </c>
    </row>
    <row r="28" spans="2:38" s="42" customFormat="1" x14ac:dyDescent="0.35">
      <c r="B28" s="55" t="str">
        <f t="shared" si="0"/>
        <v/>
      </c>
      <c r="C28" s="40"/>
      <c r="D28" s="40"/>
      <c r="E28" s="41"/>
      <c r="F28" s="41"/>
      <c r="G28" s="41"/>
      <c r="H28" s="68" t="str">
        <f>IF('E2 — Triagem'!D33="","",'E2 — Triagem'!D33)</f>
        <v/>
      </c>
      <c r="I28" s="71"/>
      <c r="J28" s="41"/>
      <c r="K28" s="41"/>
      <c r="L28" s="71"/>
      <c r="M28" s="71"/>
      <c r="N28" s="71"/>
      <c r="O28" s="71"/>
      <c r="P28" s="41"/>
      <c r="Q28" s="41"/>
      <c r="R28" s="71"/>
      <c r="S28" s="71"/>
      <c r="T28" s="75"/>
      <c r="U28" s="75"/>
      <c r="V28" s="75"/>
      <c r="W28" s="58" t="str">
        <f t="shared" si="1"/>
        <v/>
      </c>
      <c r="X28" s="59" t="str">
        <f t="shared" si="2"/>
        <v/>
      </c>
      <c r="Y28" s="41"/>
      <c r="Z28" s="41"/>
      <c r="AA28" s="41"/>
      <c r="AB28" s="68" t="str">
        <f>IF($B28="","",'Workflow (Tracker)'!L51)</f>
        <v/>
      </c>
      <c r="AC28" s="69" t="str">
        <f>IF($B28="","",'E08 — Estabilização Hypercare'!K33)</f>
        <v/>
      </c>
      <c r="AD28" s="66" t="str">
        <f>IF($B28="","",'E08 — Estabilização Hypercare'!O33)</f>
        <v/>
      </c>
      <c r="AE28" s="66" t="str">
        <f>IF($B28="","",'E08 — Estabilização Hypercare'!Q33)</f>
        <v/>
      </c>
      <c r="AF28" s="66" t="str">
        <f>IF(OR($B28="",'E08 — Estabilização Hypercare'!R33=""),"",'E08 — Estabilização Hypercare'!R33)</f>
        <v/>
      </c>
      <c r="AG28" s="60" t="str">
        <f>IF($B28="","",'E08 — Estabilização Hypercare'!S33)</f>
        <v/>
      </c>
      <c r="AH28" s="61" t="str">
        <f>IF($B28="","",'E08 — Estabilização Hypercare'!T33)</f>
        <v/>
      </c>
      <c r="AI28" s="62" t="str">
        <f>IF($B28="","",'E08 — Estabilização Hypercare'!N33)</f>
        <v/>
      </c>
      <c r="AJ28" s="61" t="str">
        <f>IF(OR($B28="",'E08 — Estabilização Hypercare'!U33=""),"",'E08 — Estabilização Hypercare'!U33)</f>
        <v/>
      </c>
      <c r="AK28" s="60" t="str">
        <f t="shared" si="3"/>
        <v/>
      </c>
      <c r="AL28" s="65" t="str">
        <f t="shared" si="4"/>
        <v/>
      </c>
    </row>
    <row r="29" spans="2:38" s="42" customFormat="1" x14ac:dyDescent="0.35">
      <c r="B29" s="55" t="str">
        <f t="shared" si="0"/>
        <v/>
      </c>
      <c r="C29" s="40"/>
      <c r="D29" s="40"/>
      <c r="E29" s="41"/>
      <c r="F29" s="41"/>
      <c r="G29" s="41"/>
      <c r="H29" s="68" t="str">
        <f>IF('E2 — Triagem'!D34="","",'E2 — Triagem'!D34)</f>
        <v/>
      </c>
      <c r="I29" s="71"/>
      <c r="J29" s="41"/>
      <c r="K29" s="41"/>
      <c r="L29" s="71"/>
      <c r="M29" s="71"/>
      <c r="N29" s="71"/>
      <c r="O29" s="71"/>
      <c r="P29" s="41"/>
      <c r="Q29" s="41"/>
      <c r="R29" s="71"/>
      <c r="S29" s="71"/>
      <c r="T29" s="75"/>
      <c r="U29" s="75"/>
      <c r="V29" s="75"/>
      <c r="W29" s="58" t="str">
        <f t="shared" si="1"/>
        <v/>
      </c>
      <c r="X29" s="59" t="str">
        <f t="shared" si="2"/>
        <v/>
      </c>
      <c r="Y29" s="41"/>
      <c r="Z29" s="41"/>
      <c r="AA29" s="41"/>
      <c r="AB29" s="68" t="str">
        <f>IF($B29="","",'Workflow (Tracker)'!L52)</f>
        <v/>
      </c>
      <c r="AC29" s="69" t="str">
        <f>IF($B29="","",'E08 — Estabilização Hypercare'!K34)</f>
        <v/>
      </c>
      <c r="AD29" s="66" t="str">
        <f>IF($B29="","",'E08 — Estabilização Hypercare'!O34)</f>
        <v/>
      </c>
      <c r="AE29" s="66" t="str">
        <f>IF($B29="","",'E08 — Estabilização Hypercare'!Q34)</f>
        <v/>
      </c>
      <c r="AF29" s="66" t="str">
        <f>IF(OR($B29="",'E08 — Estabilização Hypercare'!R34=""),"",'E08 — Estabilização Hypercare'!R34)</f>
        <v/>
      </c>
      <c r="AG29" s="60" t="str">
        <f>IF($B29="","",'E08 — Estabilização Hypercare'!S34)</f>
        <v/>
      </c>
      <c r="AH29" s="61" t="str">
        <f>IF($B29="","",'E08 — Estabilização Hypercare'!T34)</f>
        <v/>
      </c>
      <c r="AI29" s="62" t="str">
        <f>IF($B29="","",'E08 — Estabilização Hypercare'!N34)</f>
        <v/>
      </c>
      <c r="AJ29" s="61" t="str">
        <f>IF(OR($B29="",'E08 — Estabilização Hypercare'!U34=""),"",'E08 — Estabilização Hypercare'!U34)</f>
        <v/>
      </c>
      <c r="AK29" s="60" t="str">
        <f t="shared" si="3"/>
        <v/>
      </c>
      <c r="AL29" s="65" t="str">
        <f t="shared" si="4"/>
        <v/>
      </c>
    </row>
    <row r="30" spans="2:38" s="42" customFormat="1" x14ac:dyDescent="0.35">
      <c r="B30" s="55" t="str">
        <f t="shared" si="0"/>
        <v/>
      </c>
      <c r="C30" s="40"/>
      <c r="D30" s="40"/>
      <c r="E30" s="41"/>
      <c r="F30" s="41"/>
      <c r="G30" s="41"/>
      <c r="H30" s="68" t="str">
        <f>IF('E2 — Triagem'!D35="","",'E2 — Triagem'!D35)</f>
        <v/>
      </c>
      <c r="I30" s="71"/>
      <c r="J30" s="41"/>
      <c r="K30" s="41"/>
      <c r="L30" s="71"/>
      <c r="M30" s="71"/>
      <c r="N30" s="71"/>
      <c r="O30" s="71"/>
      <c r="P30" s="41"/>
      <c r="Q30" s="41"/>
      <c r="R30" s="71"/>
      <c r="S30" s="71"/>
      <c r="T30" s="75"/>
      <c r="U30" s="75"/>
      <c r="V30" s="75"/>
      <c r="W30" s="58" t="str">
        <f t="shared" si="1"/>
        <v/>
      </c>
      <c r="X30" s="59" t="str">
        <f t="shared" si="2"/>
        <v/>
      </c>
      <c r="Y30" s="41"/>
      <c r="Z30" s="41"/>
      <c r="AA30" s="41"/>
      <c r="AB30" s="68" t="str">
        <f>IF($B30="","",'Workflow (Tracker)'!L53)</f>
        <v/>
      </c>
      <c r="AC30" s="69" t="str">
        <f>IF($B30="","",'E08 — Estabilização Hypercare'!K35)</f>
        <v/>
      </c>
      <c r="AD30" s="66" t="str">
        <f>IF($B30="","",'E08 — Estabilização Hypercare'!O35)</f>
        <v/>
      </c>
      <c r="AE30" s="66" t="str">
        <f>IF($B30="","",'E08 — Estabilização Hypercare'!Q35)</f>
        <v/>
      </c>
      <c r="AF30" s="66" t="str">
        <f>IF(OR($B30="",'E08 — Estabilização Hypercare'!R35=""),"",'E08 — Estabilização Hypercare'!R35)</f>
        <v/>
      </c>
      <c r="AG30" s="60" t="str">
        <f>IF($B30="","",'E08 — Estabilização Hypercare'!S35)</f>
        <v/>
      </c>
      <c r="AH30" s="61" t="str">
        <f>IF($B30="","",'E08 — Estabilização Hypercare'!T35)</f>
        <v/>
      </c>
      <c r="AI30" s="62" t="str">
        <f>IF($B30="","",'E08 — Estabilização Hypercare'!N35)</f>
        <v/>
      </c>
      <c r="AJ30" s="61" t="str">
        <f>IF(OR($B30="",'E08 — Estabilização Hypercare'!U35=""),"",'E08 — Estabilização Hypercare'!U35)</f>
        <v/>
      </c>
      <c r="AK30" s="60" t="str">
        <f t="shared" si="3"/>
        <v/>
      </c>
      <c r="AL30" s="65" t="str">
        <f t="shared" si="4"/>
        <v/>
      </c>
    </row>
    <row r="31" spans="2:38" s="42" customFormat="1" x14ac:dyDescent="0.35">
      <c r="B31" s="55" t="str">
        <f t="shared" si="0"/>
        <v/>
      </c>
      <c r="C31" s="40"/>
      <c r="D31" s="40"/>
      <c r="E31" s="41"/>
      <c r="F31" s="41"/>
      <c r="G31" s="41"/>
      <c r="H31" s="68" t="str">
        <f>IF('E2 — Triagem'!D36="","",'E2 — Triagem'!D36)</f>
        <v/>
      </c>
      <c r="I31" s="71"/>
      <c r="J31" s="41"/>
      <c r="K31" s="41"/>
      <c r="L31" s="71"/>
      <c r="M31" s="71"/>
      <c r="N31" s="71"/>
      <c r="O31" s="71"/>
      <c r="P31" s="41"/>
      <c r="Q31" s="41"/>
      <c r="R31" s="71"/>
      <c r="S31" s="71"/>
      <c r="T31" s="75"/>
      <c r="U31" s="75"/>
      <c r="V31" s="75"/>
      <c r="W31" s="58" t="str">
        <f t="shared" si="1"/>
        <v/>
      </c>
      <c r="X31" s="59" t="str">
        <f t="shared" si="2"/>
        <v/>
      </c>
      <c r="Y31" s="41"/>
      <c r="Z31" s="41"/>
      <c r="AA31" s="41"/>
      <c r="AB31" s="68" t="str">
        <f>IF($B31="","",'Workflow (Tracker)'!L54)</f>
        <v/>
      </c>
      <c r="AC31" s="69" t="str">
        <f>IF($B31="","",'E08 — Estabilização Hypercare'!K36)</f>
        <v/>
      </c>
      <c r="AD31" s="66" t="str">
        <f>IF($B31="","",'E08 — Estabilização Hypercare'!O36)</f>
        <v/>
      </c>
      <c r="AE31" s="66" t="str">
        <f>IF($B31="","",'E08 — Estabilização Hypercare'!Q36)</f>
        <v/>
      </c>
      <c r="AF31" s="66" t="str">
        <f>IF(OR($B31="",'E08 — Estabilização Hypercare'!R36=""),"",'E08 — Estabilização Hypercare'!R36)</f>
        <v/>
      </c>
      <c r="AG31" s="60" t="str">
        <f>IF($B31="","",'E08 — Estabilização Hypercare'!S36)</f>
        <v/>
      </c>
      <c r="AH31" s="61" t="str">
        <f>IF($B31="","",'E08 — Estabilização Hypercare'!T36)</f>
        <v/>
      </c>
      <c r="AI31" s="62" t="str">
        <f>IF($B31="","",'E08 — Estabilização Hypercare'!N36)</f>
        <v/>
      </c>
      <c r="AJ31" s="61" t="str">
        <f>IF(OR($B31="",'E08 — Estabilização Hypercare'!U36=""),"",'E08 — Estabilização Hypercare'!U36)</f>
        <v/>
      </c>
      <c r="AK31" s="60" t="str">
        <f t="shared" si="3"/>
        <v/>
      </c>
      <c r="AL31" s="65" t="str">
        <f t="shared" si="4"/>
        <v/>
      </c>
    </row>
    <row r="32" spans="2:38" s="42" customFormat="1" x14ac:dyDescent="0.35">
      <c r="B32" s="55" t="str">
        <f t="shared" si="0"/>
        <v/>
      </c>
      <c r="C32" s="40"/>
      <c r="D32" s="40"/>
      <c r="E32" s="41"/>
      <c r="F32" s="41"/>
      <c r="G32" s="41"/>
      <c r="H32" s="68" t="str">
        <f>IF('E2 — Triagem'!D37="","",'E2 — Triagem'!D37)</f>
        <v/>
      </c>
      <c r="I32" s="71"/>
      <c r="J32" s="41"/>
      <c r="K32" s="41"/>
      <c r="L32" s="71"/>
      <c r="M32" s="71"/>
      <c r="N32" s="71"/>
      <c r="O32" s="71"/>
      <c r="P32" s="41"/>
      <c r="Q32" s="41"/>
      <c r="R32" s="71"/>
      <c r="S32" s="71"/>
      <c r="T32" s="75"/>
      <c r="U32" s="75"/>
      <c r="V32" s="75"/>
      <c r="W32" s="58" t="str">
        <f t="shared" si="1"/>
        <v/>
      </c>
      <c r="X32" s="59" t="str">
        <f t="shared" si="2"/>
        <v/>
      </c>
      <c r="Y32" s="41"/>
      <c r="Z32" s="41"/>
      <c r="AA32" s="41"/>
      <c r="AB32" s="68" t="str">
        <f>IF($B32="","",'Workflow (Tracker)'!L55)</f>
        <v/>
      </c>
      <c r="AC32" s="69" t="str">
        <f>IF($B32="","",'E08 — Estabilização Hypercare'!K37)</f>
        <v/>
      </c>
      <c r="AD32" s="66" t="str">
        <f>IF($B32="","",'E08 — Estabilização Hypercare'!O37)</f>
        <v/>
      </c>
      <c r="AE32" s="66" t="str">
        <f>IF($B32="","",'E08 — Estabilização Hypercare'!Q37)</f>
        <v/>
      </c>
      <c r="AF32" s="66" t="str">
        <f>IF(OR($B32="",'E08 — Estabilização Hypercare'!R37=""),"",'E08 — Estabilização Hypercare'!R37)</f>
        <v/>
      </c>
      <c r="AG32" s="60" t="str">
        <f>IF($B32="","",'E08 — Estabilização Hypercare'!S37)</f>
        <v/>
      </c>
      <c r="AH32" s="61" t="str">
        <f>IF($B32="","",'E08 — Estabilização Hypercare'!T37)</f>
        <v/>
      </c>
      <c r="AI32" s="62" t="str">
        <f>IF($B32="","",'E08 — Estabilização Hypercare'!N37)</f>
        <v/>
      </c>
      <c r="AJ32" s="61" t="str">
        <f>IF(OR($B32="",'E08 — Estabilização Hypercare'!U37=""),"",'E08 — Estabilização Hypercare'!U37)</f>
        <v/>
      </c>
      <c r="AK32" s="60" t="str">
        <f t="shared" si="3"/>
        <v/>
      </c>
      <c r="AL32" s="65" t="str">
        <f t="shared" si="4"/>
        <v/>
      </c>
    </row>
    <row r="33" spans="2:38" s="42" customFormat="1" x14ac:dyDescent="0.35">
      <c r="B33" s="55" t="str">
        <f t="shared" si="0"/>
        <v/>
      </c>
      <c r="C33" s="40"/>
      <c r="D33" s="40"/>
      <c r="E33" s="41"/>
      <c r="F33" s="41"/>
      <c r="G33" s="41"/>
      <c r="H33" s="68" t="str">
        <f>IF('E2 — Triagem'!D38="","",'E2 — Triagem'!D38)</f>
        <v/>
      </c>
      <c r="I33" s="71"/>
      <c r="J33" s="41"/>
      <c r="K33" s="41"/>
      <c r="L33" s="71"/>
      <c r="M33" s="71"/>
      <c r="N33" s="71"/>
      <c r="O33" s="71"/>
      <c r="P33" s="41"/>
      <c r="Q33" s="41"/>
      <c r="R33" s="71"/>
      <c r="S33" s="71"/>
      <c r="T33" s="75"/>
      <c r="U33" s="75"/>
      <c r="V33" s="75"/>
      <c r="W33" s="58" t="str">
        <f t="shared" si="1"/>
        <v/>
      </c>
      <c r="X33" s="59" t="str">
        <f t="shared" si="2"/>
        <v/>
      </c>
      <c r="Y33" s="41"/>
      <c r="Z33" s="41"/>
      <c r="AA33" s="41"/>
      <c r="AB33" s="68" t="str">
        <f>IF($B33="","",'Workflow (Tracker)'!L56)</f>
        <v/>
      </c>
      <c r="AC33" s="69" t="str">
        <f>IF($B33="","",'E08 — Estabilização Hypercare'!K38)</f>
        <v/>
      </c>
      <c r="AD33" s="66" t="str">
        <f>IF($B33="","",'E08 — Estabilização Hypercare'!O38)</f>
        <v/>
      </c>
      <c r="AE33" s="66" t="str">
        <f>IF($B33="","",'E08 — Estabilização Hypercare'!Q38)</f>
        <v/>
      </c>
      <c r="AF33" s="66" t="str">
        <f>IF(OR($B33="",'E08 — Estabilização Hypercare'!R38=""),"",'E08 — Estabilização Hypercare'!R38)</f>
        <v/>
      </c>
      <c r="AG33" s="60" t="str">
        <f>IF($B33="","",'E08 — Estabilização Hypercare'!S38)</f>
        <v/>
      </c>
      <c r="AH33" s="61" t="str">
        <f>IF($B33="","",'E08 — Estabilização Hypercare'!T38)</f>
        <v/>
      </c>
      <c r="AI33" s="62" t="str">
        <f>IF($B33="","",'E08 — Estabilização Hypercare'!N38)</f>
        <v/>
      </c>
      <c r="AJ33" s="61" t="str">
        <f>IF(OR($B33="",'E08 — Estabilização Hypercare'!U38=""),"",'E08 — Estabilização Hypercare'!U38)</f>
        <v/>
      </c>
      <c r="AK33" s="60" t="str">
        <f t="shared" si="3"/>
        <v/>
      </c>
      <c r="AL33" s="65" t="str">
        <f t="shared" si="4"/>
        <v/>
      </c>
    </row>
    <row r="34" spans="2:38" s="42" customFormat="1" x14ac:dyDescent="0.35">
      <c r="B34" s="55" t="str">
        <f t="shared" si="0"/>
        <v/>
      </c>
      <c r="C34" s="40"/>
      <c r="D34" s="40"/>
      <c r="E34" s="41"/>
      <c r="F34" s="41"/>
      <c r="G34" s="41"/>
      <c r="H34" s="68" t="str">
        <f>IF('E2 — Triagem'!D39="","",'E2 — Triagem'!D39)</f>
        <v/>
      </c>
      <c r="I34" s="71"/>
      <c r="J34" s="41"/>
      <c r="K34" s="41"/>
      <c r="L34" s="71"/>
      <c r="M34" s="71"/>
      <c r="N34" s="71"/>
      <c r="O34" s="71"/>
      <c r="P34" s="41"/>
      <c r="Q34" s="41"/>
      <c r="R34" s="71"/>
      <c r="S34" s="71"/>
      <c r="T34" s="75"/>
      <c r="U34" s="75"/>
      <c r="V34" s="75"/>
      <c r="W34" s="58" t="str">
        <f t="shared" si="1"/>
        <v/>
      </c>
      <c r="X34" s="59" t="str">
        <f t="shared" si="2"/>
        <v/>
      </c>
      <c r="Y34" s="41"/>
      <c r="Z34" s="41"/>
      <c r="AA34" s="41"/>
      <c r="AB34" s="68" t="str">
        <f>IF($B34="","",'Workflow (Tracker)'!L57)</f>
        <v/>
      </c>
      <c r="AC34" s="69" t="str">
        <f>IF($B34="","",'E08 — Estabilização Hypercare'!K39)</f>
        <v/>
      </c>
      <c r="AD34" s="66" t="str">
        <f>IF($B34="","",'E08 — Estabilização Hypercare'!O39)</f>
        <v/>
      </c>
      <c r="AE34" s="66" t="str">
        <f>IF($B34="","",'E08 — Estabilização Hypercare'!Q39)</f>
        <v/>
      </c>
      <c r="AF34" s="66" t="str">
        <f>IF(OR($B34="",'E08 — Estabilização Hypercare'!R39=""),"",'E08 — Estabilização Hypercare'!R39)</f>
        <v/>
      </c>
      <c r="AG34" s="60" t="str">
        <f>IF($B34="","",'E08 — Estabilização Hypercare'!S39)</f>
        <v/>
      </c>
      <c r="AH34" s="61" t="str">
        <f>IF($B34="","",'E08 — Estabilização Hypercare'!T39)</f>
        <v/>
      </c>
      <c r="AI34" s="62" t="str">
        <f>IF($B34="","",'E08 — Estabilização Hypercare'!N39)</f>
        <v/>
      </c>
      <c r="AJ34" s="61" t="str">
        <f>IF(OR($B34="",'E08 — Estabilização Hypercare'!U39=""),"",'E08 — Estabilização Hypercare'!U39)</f>
        <v/>
      </c>
      <c r="AK34" s="60" t="str">
        <f t="shared" si="3"/>
        <v/>
      </c>
      <c r="AL34" s="65" t="str">
        <f t="shared" si="4"/>
        <v/>
      </c>
    </row>
    <row r="35" spans="2:38" s="42" customFormat="1" x14ac:dyDescent="0.35">
      <c r="B35" s="55" t="str">
        <f t="shared" si="0"/>
        <v/>
      </c>
      <c r="C35" s="40"/>
      <c r="D35" s="40"/>
      <c r="E35" s="41"/>
      <c r="F35" s="41"/>
      <c r="G35" s="41"/>
      <c r="H35" s="68" t="str">
        <f>IF('E2 — Triagem'!D40="","",'E2 — Triagem'!D40)</f>
        <v/>
      </c>
      <c r="I35" s="71"/>
      <c r="J35" s="41"/>
      <c r="K35" s="41"/>
      <c r="L35" s="71"/>
      <c r="M35" s="71"/>
      <c r="N35" s="71"/>
      <c r="O35" s="71"/>
      <c r="P35" s="41"/>
      <c r="Q35" s="41"/>
      <c r="R35" s="71"/>
      <c r="S35" s="71"/>
      <c r="T35" s="75"/>
      <c r="U35" s="75"/>
      <c r="V35" s="75"/>
      <c r="W35" s="58" t="str">
        <f t="shared" si="1"/>
        <v/>
      </c>
      <c r="X35" s="59" t="str">
        <f t="shared" si="2"/>
        <v/>
      </c>
      <c r="Y35" s="41"/>
      <c r="Z35" s="41"/>
      <c r="AA35" s="41"/>
      <c r="AB35" s="68" t="str">
        <f>IF($B35="","",'Workflow (Tracker)'!L58)</f>
        <v/>
      </c>
      <c r="AC35" s="69" t="str">
        <f>IF($B35="","",'E08 — Estabilização Hypercare'!K40)</f>
        <v/>
      </c>
      <c r="AD35" s="66" t="str">
        <f>IF($B35="","",'E08 — Estabilização Hypercare'!O40)</f>
        <v/>
      </c>
      <c r="AE35" s="66" t="str">
        <f>IF($B35="","",'E08 — Estabilização Hypercare'!Q40)</f>
        <v/>
      </c>
      <c r="AF35" s="66" t="str">
        <f>IF(OR($B35="",'E08 — Estabilização Hypercare'!R40=""),"",'E08 — Estabilização Hypercare'!R40)</f>
        <v/>
      </c>
      <c r="AG35" s="60" t="str">
        <f>IF($B35="","",'E08 — Estabilização Hypercare'!S40)</f>
        <v/>
      </c>
      <c r="AH35" s="61" t="str">
        <f>IF($B35="","",'E08 — Estabilização Hypercare'!T40)</f>
        <v/>
      </c>
      <c r="AI35" s="62" t="str">
        <f>IF($B35="","",'E08 — Estabilização Hypercare'!N40)</f>
        <v/>
      </c>
      <c r="AJ35" s="61" t="str">
        <f>IF(OR($B35="",'E08 — Estabilização Hypercare'!U40=""),"",'E08 — Estabilização Hypercare'!U40)</f>
        <v/>
      </c>
      <c r="AK35" s="60" t="str">
        <f t="shared" si="3"/>
        <v/>
      </c>
      <c r="AL35" s="65" t="str">
        <f t="shared" si="4"/>
        <v/>
      </c>
    </row>
    <row r="36" spans="2:38" s="42" customFormat="1" x14ac:dyDescent="0.35">
      <c r="B36" s="55" t="str">
        <f t="shared" si="0"/>
        <v/>
      </c>
      <c r="C36" s="40"/>
      <c r="D36" s="40"/>
      <c r="E36" s="41"/>
      <c r="F36" s="41"/>
      <c r="G36" s="41"/>
      <c r="H36" s="68" t="str">
        <f>IF('E2 — Triagem'!D41="","",'E2 — Triagem'!D41)</f>
        <v/>
      </c>
      <c r="I36" s="71"/>
      <c r="J36" s="41"/>
      <c r="K36" s="41"/>
      <c r="L36" s="71"/>
      <c r="M36" s="71"/>
      <c r="N36" s="71"/>
      <c r="O36" s="71"/>
      <c r="P36" s="41"/>
      <c r="Q36" s="41"/>
      <c r="R36" s="71"/>
      <c r="S36" s="71"/>
      <c r="T36" s="75"/>
      <c r="U36" s="75"/>
      <c r="V36" s="75"/>
      <c r="W36" s="58" t="str">
        <f t="shared" si="1"/>
        <v/>
      </c>
      <c r="X36" s="59" t="str">
        <f t="shared" si="2"/>
        <v/>
      </c>
      <c r="Y36" s="41"/>
      <c r="Z36" s="41"/>
      <c r="AA36" s="41"/>
      <c r="AB36" s="68" t="str">
        <f>IF($B36="","",'Workflow (Tracker)'!L59)</f>
        <v/>
      </c>
      <c r="AC36" s="69" t="str">
        <f>IF($B36="","",'E08 — Estabilização Hypercare'!K41)</f>
        <v/>
      </c>
      <c r="AD36" s="66" t="str">
        <f>IF($B36="","",'E08 — Estabilização Hypercare'!O41)</f>
        <v/>
      </c>
      <c r="AE36" s="66" t="str">
        <f>IF($B36="","",'E08 — Estabilização Hypercare'!Q41)</f>
        <v/>
      </c>
      <c r="AF36" s="66" t="str">
        <f>IF(OR($B36="",'E08 — Estabilização Hypercare'!R41=""),"",'E08 — Estabilização Hypercare'!R41)</f>
        <v/>
      </c>
      <c r="AG36" s="60" t="str">
        <f>IF($B36="","",'E08 — Estabilização Hypercare'!S41)</f>
        <v/>
      </c>
      <c r="AH36" s="61" t="str">
        <f>IF($B36="","",'E08 — Estabilização Hypercare'!T41)</f>
        <v/>
      </c>
      <c r="AI36" s="62" t="str">
        <f>IF($B36="","",'E08 — Estabilização Hypercare'!N41)</f>
        <v/>
      </c>
      <c r="AJ36" s="61" t="str">
        <f>IF(OR($B36="",'E08 — Estabilização Hypercare'!U41=""),"",'E08 — Estabilização Hypercare'!U41)</f>
        <v/>
      </c>
      <c r="AK36" s="60" t="str">
        <f t="shared" si="3"/>
        <v/>
      </c>
      <c r="AL36" s="65" t="str">
        <f t="shared" si="4"/>
        <v/>
      </c>
    </row>
    <row r="37" spans="2:38" s="42" customFormat="1" x14ac:dyDescent="0.35">
      <c r="B37" s="55" t="str">
        <f t="shared" si="0"/>
        <v/>
      </c>
      <c r="C37" s="40"/>
      <c r="D37" s="40"/>
      <c r="E37" s="41"/>
      <c r="F37" s="41"/>
      <c r="G37" s="41"/>
      <c r="H37" s="68" t="str">
        <f>IF('E2 — Triagem'!D42="","",'E2 — Triagem'!D42)</f>
        <v/>
      </c>
      <c r="I37" s="71"/>
      <c r="J37" s="41"/>
      <c r="K37" s="41"/>
      <c r="L37" s="71"/>
      <c r="M37" s="71"/>
      <c r="N37" s="71"/>
      <c r="O37" s="71"/>
      <c r="P37" s="41"/>
      <c r="Q37" s="41"/>
      <c r="R37" s="71"/>
      <c r="S37" s="71"/>
      <c r="T37" s="75"/>
      <c r="U37" s="75"/>
      <c r="V37" s="75"/>
      <c r="W37" s="58" t="str">
        <f t="shared" si="1"/>
        <v/>
      </c>
      <c r="X37" s="59" t="str">
        <f t="shared" si="2"/>
        <v/>
      </c>
      <c r="Y37" s="41"/>
      <c r="Z37" s="41"/>
      <c r="AA37" s="41"/>
      <c r="AB37" s="68" t="str">
        <f>IF($B37="","",'Workflow (Tracker)'!L60)</f>
        <v/>
      </c>
      <c r="AC37" s="69" t="str">
        <f>IF($B37="","",'E08 — Estabilização Hypercare'!K42)</f>
        <v/>
      </c>
      <c r="AD37" s="66" t="str">
        <f>IF($B37="","",'E08 — Estabilização Hypercare'!O42)</f>
        <v/>
      </c>
      <c r="AE37" s="66" t="str">
        <f>IF($B37="","",'E08 — Estabilização Hypercare'!Q42)</f>
        <v/>
      </c>
      <c r="AF37" s="66" t="str">
        <f>IF(OR($B37="",'E08 — Estabilização Hypercare'!R42=""),"",'E08 — Estabilização Hypercare'!R42)</f>
        <v/>
      </c>
      <c r="AG37" s="60" t="str">
        <f>IF($B37="","",'E08 — Estabilização Hypercare'!S42)</f>
        <v/>
      </c>
      <c r="AH37" s="61" t="str">
        <f>IF($B37="","",'E08 — Estabilização Hypercare'!T42)</f>
        <v/>
      </c>
      <c r="AI37" s="62" t="str">
        <f>IF($B37="","",'E08 — Estabilização Hypercare'!N42)</f>
        <v/>
      </c>
      <c r="AJ37" s="61" t="str">
        <f>IF(OR($B37="",'E08 — Estabilização Hypercare'!U42=""),"",'E08 — Estabilização Hypercare'!U42)</f>
        <v/>
      </c>
      <c r="AK37" s="60" t="str">
        <f t="shared" si="3"/>
        <v/>
      </c>
      <c r="AL37" s="65" t="str">
        <f t="shared" si="4"/>
        <v/>
      </c>
    </row>
    <row r="38" spans="2:38" s="42" customFormat="1" x14ac:dyDescent="0.35">
      <c r="B38" s="55" t="str">
        <f t="shared" si="0"/>
        <v/>
      </c>
      <c r="C38" s="40"/>
      <c r="D38" s="40"/>
      <c r="E38" s="41"/>
      <c r="F38" s="41"/>
      <c r="G38" s="41"/>
      <c r="H38" s="68" t="str">
        <f>IF('E2 — Triagem'!D43="","",'E2 — Triagem'!D43)</f>
        <v/>
      </c>
      <c r="I38" s="71"/>
      <c r="J38" s="41"/>
      <c r="K38" s="41"/>
      <c r="L38" s="71"/>
      <c r="M38" s="71"/>
      <c r="N38" s="71"/>
      <c r="O38" s="71"/>
      <c r="P38" s="41"/>
      <c r="Q38" s="41"/>
      <c r="R38" s="71"/>
      <c r="S38" s="71"/>
      <c r="T38" s="75"/>
      <c r="U38" s="75"/>
      <c r="V38" s="75"/>
      <c r="W38" s="58" t="str">
        <f t="shared" si="1"/>
        <v/>
      </c>
      <c r="X38" s="59" t="str">
        <f t="shared" si="2"/>
        <v/>
      </c>
      <c r="Y38" s="41"/>
      <c r="Z38" s="41"/>
      <c r="AA38" s="41"/>
      <c r="AB38" s="68" t="str">
        <f>IF($B38="","",'Workflow (Tracker)'!L61)</f>
        <v/>
      </c>
      <c r="AC38" s="69" t="str">
        <f>IF($B38="","",'E08 — Estabilização Hypercare'!K43)</f>
        <v/>
      </c>
      <c r="AD38" s="66" t="str">
        <f>IF($B38="","",'E08 — Estabilização Hypercare'!O43)</f>
        <v/>
      </c>
      <c r="AE38" s="66" t="str">
        <f>IF($B38="","",'E08 — Estabilização Hypercare'!Q43)</f>
        <v/>
      </c>
      <c r="AF38" s="66" t="str">
        <f>IF(OR($B38="",'E08 — Estabilização Hypercare'!R43=""),"",'E08 — Estabilização Hypercare'!R43)</f>
        <v/>
      </c>
      <c r="AG38" s="60" t="str">
        <f>IF($B38="","",'E08 — Estabilização Hypercare'!S43)</f>
        <v/>
      </c>
      <c r="AH38" s="61" t="str">
        <f>IF($B38="","",'E08 — Estabilização Hypercare'!T43)</f>
        <v/>
      </c>
      <c r="AI38" s="62" t="str">
        <f>IF($B38="","",'E08 — Estabilização Hypercare'!N43)</f>
        <v/>
      </c>
      <c r="AJ38" s="61" t="str">
        <f>IF(OR($B38="",'E08 — Estabilização Hypercare'!U43=""),"",'E08 — Estabilização Hypercare'!U43)</f>
        <v/>
      </c>
      <c r="AK38" s="60" t="str">
        <f t="shared" si="3"/>
        <v/>
      </c>
      <c r="AL38" s="65" t="str">
        <f t="shared" si="4"/>
        <v/>
      </c>
    </row>
    <row r="39" spans="2:38" s="42" customFormat="1" x14ac:dyDescent="0.35">
      <c r="B39" s="55" t="str">
        <f t="shared" si="0"/>
        <v/>
      </c>
      <c r="C39" s="40"/>
      <c r="D39" s="40"/>
      <c r="E39" s="41"/>
      <c r="F39" s="41"/>
      <c r="G39" s="41"/>
      <c r="H39" s="68" t="str">
        <f>IF('E2 — Triagem'!D44="","",'E2 — Triagem'!D44)</f>
        <v/>
      </c>
      <c r="I39" s="71"/>
      <c r="J39" s="41"/>
      <c r="K39" s="41"/>
      <c r="L39" s="71"/>
      <c r="M39" s="71"/>
      <c r="N39" s="71"/>
      <c r="O39" s="71"/>
      <c r="P39" s="41"/>
      <c r="Q39" s="41"/>
      <c r="R39" s="71"/>
      <c r="S39" s="71"/>
      <c r="T39" s="75"/>
      <c r="U39" s="75"/>
      <c r="V39" s="75"/>
      <c r="W39" s="58" t="str">
        <f t="shared" si="1"/>
        <v/>
      </c>
      <c r="X39" s="59" t="str">
        <f t="shared" si="2"/>
        <v/>
      </c>
      <c r="Y39" s="41"/>
      <c r="Z39" s="41"/>
      <c r="AA39" s="41"/>
      <c r="AB39" s="68" t="str">
        <f>IF($B39="","",'Workflow (Tracker)'!L62)</f>
        <v/>
      </c>
      <c r="AC39" s="69" t="str">
        <f>IF($B39="","",'E08 — Estabilização Hypercare'!K44)</f>
        <v/>
      </c>
      <c r="AD39" s="66" t="str">
        <f>IF($B39="","",'E08 — Estabilização Hypercare'!O44)</f>
        <v/>
      </c>
      <c r="AE39" s="66" t="str">
        <f>IF($B39="","",'E08 — Estabilização Hypercare'!Q44)</f>
        <v/>
      </c>
      <c r="AF39" s="66" t="str">
        <f>IF(OR($B39="",'E08 — Estabilização Hypercare'!R44=""),"",'E08 — Estabilização Hypercare'!R44)</f>
        <v/>
      </c>
      <c r="AG39" s="60" t="str">
        <f>IF($B39="","",'E08 — Estabilização Hypercare'!S44)</f>
        <v/>
      </c>
      <c r="AH39" s="61" t="str">
        <f>IF($B39="","",'E08 — Estabilização Hypercare'!T44)</f>
        <v/>
      </c>
      <c r="AI39" s="62" t="str">
        <f>IF($B39="","",'E08 — Estabilização Hypercare'!N44)</f>
        <v/>
      </c>
      <c r="AJ39" s="61" t="str">
        <f>IF(OR($B39="",'E08 — Estabilização Hypercare'!U44=""),"",'E08 — Estabilização Hypercare'!U44)</f>
        <v/>
      </c>
      <c r="AK39" s="60" t="str">
        <f t="shared" si="3"/>
        <v/>
      </c>
      <c r="AL39" s="65" t="str">
        <f t="shared" si="4"/>
        <v/>
      </c>
    </row>
    <row r="40" spans="2:38" s="42" customFormat="1" x14ac:dyDescent="0.35">
      <c r="B40" s="55" t="str">
        <f t="shared" si="0"/>
        <v/>
      </c>
      <c r="C40" s="40"/>
      <c r="D40" s="40"/>
      <c r="E40" s="41"/>
      <c r="F40" s="41"/>
      <c r="G40" s="41"/>
      <c r="H40" s="68" t="str">
        <f>IF('E2 — Triagem'!D45="","",'E2 — Triagem'!D45)</f>
        <v/>
      </c>
      <c r="I40" s="71"/>
      <c r="J40" s="41"/>
      <c r="K40" s="41"/>
      <c r="L40" s="71"/>
      <c r="M40" s="71"/>
      <c r="N40" s="71"/>
      <c r="O40" s="71"/>
      <c r="P40" s="41"/>
      <c r="Q40" s="41"/>
      <c r="R40" s="71"/>
      <c r="S40" s="71"/>
      <c r="T40" s="75"/>
      <c r="U40" s="75"/>
      <c r="V40" s="75"/>
      <c r="W40" s="58" t="str">
        <f t="shared" si="1"/>
        <v/>
      </c>
      <c r="X40" s="59" t="str">
        <f t="shared" si="2"/>
        <v/>
      </c>
      <c r="Y40" s="41"/>
      <c r="Z40" s="41"/>
      <c r="AA40" s="41"/>
      <c r="AB40" s="68" t="str">
        <f>IF($B40="","",'Workflow (Tracker)'!L63)</f>
        <v/>
      </c>
      <c r="AC40" s="69" t="str">
        <f>IF($B40="","",'E08 — Estabilização Hypercare'!K45)</f>
        <v/>
      </c>
      <c r="AD40" s="66" t="str">
        <f>IF($B40="","",'E08 — Estabilização Hypercare'!O45)</f>
        <v/>
      </c>
      <c r="AE40" s="66" t="str">
        <f>IF($B40="","",'E08 — Estabilização Hypercare'!Q45)</f>
        <v/>
      </c>
      <c r="AF40" s="66" t="str">
        <f>IF(OR($B40="",'E08 — Estabilização Hypercare'!R45=""),"",'E08 — Estabilização Hypercare'!R45)</f>
        <v/>
      </c>
      <c r="AG40" s="60" t="str">
        <f>IF($B40="","",'E08 — Estabilização Hypercare'!S45)</f>
        <v/>
      </c>
      <c r="AH40" s="61" t="str">
        <f>IF($B40="","",'E08 — Estabilização Hypercare'!T45)</f>
        <v/>
      </c>
      <c r="AI40" s="62" t="str">
        <f>IF($B40="","",'E08 — Estabilização Hypercare'!N45)</f>
        <v/>
      </c>
      <c r="AJ40" s="61" t="str">
        <f>IF(OR($B40="",'E08 — Estabilização Hypercare'!U45=""),"",'E08 — Estabilização Hypercare'!U45)</f>
        <v/>
      </c>
      <c r="AK40" s="60" t="str">
        <f t="shared" si="3"/>
        <v/>
      </c>
      <c r="AL40" s="65" t="str">
        <f t="shared" si="4"/>
        <v/>
      </c>
    </row>
    <row r="41" spans="2:38" s="42" customFormat="1" x14ac:dyDescent="0.35">
      <c r="B41" s="55" t="str">
        <f t="shared" si="0"/>
        <v/>
      </c>
      <c r="C41" s="40"/>
      <c r="D41" s="40"/>
      <c r="E41" s="41"/>
      <c r="F41" s="41"/>
      <c r="G41" s="41"/>
      <c r="H41" s="68" t="str">
        <f>IF('E2 — Triagem'!D46="","",'E2 — Triagem'!D46)</f>
        <v/>
      </c>
      <c r="I41" s="71"/>
      <c r="J41" s="41"/>
      <c r="K41" s="41"/>
      <c r="L41" s="71"/>
      <c r="M41" s="71"/>
      <c r="N41" s="71"/>
      <c r="O41" s="71"/>
      <c r="P41" s="41"/>
      <c r="Q41" s="41"/>
      <c r="R41" s="71"/>
      <c r="S41" s="71"/>
      <c r="T41" s="75"/>
      <c r="U41" s="75"/>
      <c r="V41" s="75"/>
      <c r="W41" s="58" t="str">
        <f t="shared" si="1"/>
        <v/>
      </c>
      <c r="X41" s="59" t="str">
        <f t="shared" si="2"/>
        <v/>
      </c>
      <c r="Y41" s="41"/>
      <c r="Z41" s="41"/>
      <c r="AA41" s="41"/>
      <c r="AB41" s="68" t="str">
        <f>IF($B41="","",'Workflow (Tracker)'!L64)</f>
        <v/>
      </c>
      <c r="AC41" s="69" t="str">
        <f>IF($B41="","",'E08 — Estabilização Hypercare'!K46)</f>
        <v/>
      </c>
      <c r="AD41" s="66" t="str">
        <f>IF($B41="","",'E08 — Estabilização Hypercare'!O46)</f>
        <v/>
      </c>
      <c r="AE41" s="66" t="str">
        <f>IF($B41="","",'E08 — Estabilização Hypercare'!Q46)</f>
        <v/>
      </c>
      <c r="AF41" s="66" t="str">
        <f>IF(OR($B41="",'E08 — Estabilização Hypercare'!R46=""),"",'E08 — Estabilização Hypercare'!R46)</f>
        <v/>
      </c>
      <c r="AG41" s="60" t="str">
        <f>IF($B41="","",'E08 — Estabilização Hypercare'!S46)</f>
        <v/>
      </c>
      <c r="AH41" s="61" t="str">
        <f>IF($B41="","",'E08 — Estabilização Hypercare'!T46)</f>
        <v/>
      </c>
      <c r="AI41" s="62" t="str">
        <f>IF($B41="","",'E08 — Estabilização Hypercare'!N46)</f>
        <v/>
      </c>
      <c r="AJ41" s="61" t="str">
        <f>IF(OR($B41="",'E08 — Estabilização Hypercare'!U46=""),"",'E08 — Estabilização Hypercare'!U46)</f>
        <v/>
      </c>
      <c r="AK41" s="60" t="str">
        <f t="shared" si="3"/>
        <v/>
      </c>
      <c r="AL41" s="65" t="str">
        <f t="shared" si="4"/>
        <v/>
      </c>
    </row>
    <row r="42" spans="2:38" s="42" customFormat="1" x14ac:dyDescent="0.35">
      <c r="B42" s="55" t="str">
        <f t="shared" si="0"/>
        <v/>
      </c>
      <c r="C42" s="40"/>
      <c r="D42" s="40"/>
      <c r="E42" s="41"/>
      <c r="F42" s="41"/>
      <c r="G42" s="41"/>
      <c r="H42" s="68" t="str">
        <f>IF('E2 — Triagem'!D47="","",'E2 — Triagem'!D47)</f>
        <v/>
      </c>
      <c r="I42" s="71"/>
      <c r="J42" s="41"/>
      <c r="K42" s="41"/>
      <c r="L42" s="71"/>
      <c r="M42" s="71"/>
      <c r="N42" s="71"/>
      <c r="O42" s="71"/>
      <c r="P42" s="41"/>
      <c r="Q42" s="41"/>
      <c r="R42" s="71"/>
      <c r="S42" s="71"/>
      <c r="T42" s="75"/>
      <c r="U42" s="75"/>
      <c r="V42" s="75"/>
      <c r="W42" s="58" t="str">
        <f t="shared" si="1"/>
        <v/>
      </c>
      <c r="X42" s="59" t="str">
        <f t="shared" si="2"/>
        <v/>
      </c>
      <c r="Y42" s="41"/>
      <c r="Z42" s="41"/>
      <c r="AA42" s="41"/>
      <c r="AB42" s="68" t="str">
        <f>IF($B42="","",'Workflow (Tracker)'!L65)</f>
        <v/>
      </c>
      <c r="AC42" s="69" t="str">
        <f>IF($B42="","",'E08 — Estabilização Hypercare'!K47)</f>
        <v/>
      </c>
      <c r="AD42" s="66" t="str">
        <f>IF($B42="","",'E08 — Estabilização Hypercare'!O47)</f>
        <v/>
      </c>
      <c r="AE42" s="66" t="str">
        <f>IF($B42="","",'E08 — Estabilização Hypercare'!Q47)</f>
        <v/>
      </c>
      <c r="AF42" s="66" t="str">
        <f>IF(OR($B42="",'E08 — Estabilização Hypercare'!R47=""),"",'E08 — Estabilização Hypercare'!R47)</f>
        <v/>
      </c>
      <c r="AG42" s="60" t="str">
        <f>IF($B42="","",'E08 — Estabilização Hypercare'!S47)</f>
        <v/>
      </c>
      <c r="AH42" s="61" t="str">
        <f>IF($B42="","",'E08 — Estabilização Hypercare'!T47)</f>
        <v/>
      </c>
      <c r="AI42" s="62" t="str">
        <f>IF($B42="","",'E08 — Estabilização Hypercare'!N47)</f>
        <v/>
      </c>
      <c r="AJ42" s="61" t="str">
        <f>IF(OR($B42="",'E08 — Estabilização Hypercare'!U47=""),"",'E08 — Estabilização Hypercare'!U47)</f>
        <v/>
      </c>
      <c r="AK42" s="60" t="str">
        <f t="shared" si="3"/>
        <v/>
      </c>
      <c r="AL42" s="65" t="str">
        <f t="shared" si="4"/>
        <v/>
      </c>
    </row>
    <row r="43" spans="2:38" s="42" customFormat="1" x14ac:dyDescent="0.35">
      <c r="B43" s="55" t="str">
        <f t="shared" si="0"/>
        <v/>
      </c>
      <c r="C43" s="40"/>
      <c r="D43" s="40"/>
      <c r="E43" s="41"/>
      <c r="F43" s="41"/>
      <c r="G43" s="41"/>
      <c r="H43" s="68" t="str">
        <f>IF('E2 — Triagem'!D48="","",'E2 — Triagem'!D48)</f>
        <v/>
      </c>
      <c r="I43" s="71"/>
      <c r="J43" s="41"/>
      <c r="K43" s="41"/>
      <c r="L43" s="71"/>
      <c r="M43" s="71"/>
      <c r="N43" s="71"/>
      <c r="O43" s="71"/>
      <c r="P43" s="41"/>
      <c r="Q43" s="41"/>
      <c r="R43" s="71"/>
      <c r="S43" s="71"/>
      <c r="T43" s="75"/>
      <c r="U43" s="75"/>
      <c r="V43" s="75"/>
      <c r="W43" s="58" t="str">
        <f t="shared" si="1"/>
        <v/>
      </c>
      <c r="X43" s="59" t="str">
        <f t="shared" si="2"/>
        <v/>
      </c>
      <c r="Y43" s="41"/>
      <c r="Z43" s="41"/>
      <c r="AA43" s="41"/>
      <c r="AB43" s="68" t="str">
        <f>IF($B43="","",'Workflow (Tracker)'!L66)</f>
        <v/>
      </c>
      <c r="AC43" s="69" t="str">
        <f>IF($B43="","",'E08 — Estabilização Hypercare'!K48)</f>
        <v/>
      </c>
      <c r="AD43" s="66" t="str">
        <f>IF($B43="","",'E08 — Estabilização Hypercare'!O48)</f>
        <v/>
      </c>
      <c r="AE43" s="66" t="str">
        <f>IF($B43="","",'E08 — Estabilização Hypercare'!Q48)</f>
        <v/>
      </c>
      <c r="AF43" s="66" t="str">
        <f>IF(OR($B43="",'E08 — Estabilização Hypercare'!R48=""),"",'E08 — Estabilização Hypercare'!R48)</f>
        <v/>
      </c>
      <c r="AG43" s="60" t="str">
        <f>IF($B43="","",'E08 — Estabilização Hypercare'!S48)</f>
        <v/>
      </c>
      <c r="AH43" s="61" t="str">
        <f>IF($B43="","",'E08 — Estabilização Hypercare'!T48)</f>
        <v/>
      </c>
      <c r="AI43" s="62" t="str">
        <f>IF($B43="","",'E08 — Estabilização Hypercare'!N48)</f>
        <v/>
      </c>
      <c r="AJ43" s="61" t="str">
        <f>IF(OR($B43="",'E08 — Estabilização Hypercare'!U48=""),"",'E08 — Estabilização Hypercare'!U48)</f>
        <v/>
      </c>
      <c r="AK43" s="60" t="str">
        <f t="shared" si="3"/>
        <v/>
      </c>
      <c r="AL43" s="65" t="str">
        <f t="shared" si="4"/>
        <v/>
      </c>
    </row>
    <row r="44" spans="2:38" s="42" customFormat="1" x14ac:dyDescent="0.35">
      <c r="B44" s="55" t="str">
        <f t="shared" si="0"/>
        <v/>
      </c>
      <c r="C44" s="40"/>
      <c r="D44" s="40"/>
      <c r="E44" s="41"/>
      <c r="F44" s="41"/>
      <c r="G44" s="41"/>
      <c r="H44" s="68" t="str">
        <f>IF('E2 — Triagem'!D49="","",'E2 — Triagem'!D49)</f>
        <v/>
      </c>
      <c r="I44" s="71"/>
      <c r="J44" s="41"/>
      <c r="K44" s="41"/>
      <c r="L44" s="71"/>
      <c r="M44" s="71"/>
      <c r="N44" s="71"/>
      <c r="O44" s="71"/>
      <c r="P44" s="41"/>
      <c r="Q44" s="41"/>
      <c r="R44" s="71"/>
      <c r="S44" s="71"/>
      <c r="T44" s="75"/>
      <c r="U44" s="75"/>
      <c r="V44" s="75"/>
      <c r="W44" s="58" t="str">
        <f t="shared" si="1"/>
        <v/>
      </c>
      <c r="X44" s="59" t="str">
        <f t="shared" si="2"/>
        <v/>
      </c>
      <c r="Y44" s="41"/>
      <c r="Z44" s="41"/>
      <c r="AA44" s="41"/>
      <c r="AB44" s="68" t="str">
        <f>IF($B44="","",'Workflow (Tracker)'!L67)</f>
        <v/>
      </c>
      <c r="AC44" s="69" t="str">
        <f>IF($B44="","",'E08 — Estabilização Hypercare'!K49)</f>
        <v/>
      </c>
      <c r="AD44" s="66" t="str">
        <f>IF($B44="","",'E08 — Estabilização Hypercare'!O49)</f>
        <v/>
      </c>
      <c r="AE44" s="66" t="str">
        <f>IF($B44="","",'E08 — Estabilização Hypercare'!Q49)</f>
        <v/>
      </c>
      <c r="AF44" s="66" t="str">
        <f>IF(OR($B44="",'E08 — Estabilização Hypercare'!R49=""),"",'E08 — Estabilização Hypercare'!R49)</f>
        <v/>
      </c>
      <c r="AG44" s="60" t="str">
        <f>IF($B44="","",'E08 — Estabilização Hypercare'!S49)</f>
        <v/>
      </c>
      <c r="AH44" s="61" t="str">
        <f>IF($B44="","",'E08 — Estabilização Hypercare'!T49)</f>
        <v/>
      </c>
      <c r="AI44" s="62" t="str">
        <f>IF($B44="","",'E08 — Estabilização Hypercare'!N49)</f>
        <v/>
      </c>
      <c r="AJ44" s="61" t="str">
        <f>IF(OR($B44="",'E08 — Estabilização Hypercare'!U49=""),"",'E08 — Estabilização Hypercare'!U49)</f>
        <v/>
      </c>
      <c r="AK44" s="60" t="str">
        <f t="shared" si="3"/>
        <v/>
      </c>
      <c r="AL44" s="65" t="str">
        <f t="shared" si="4"/>
        <v/>
      </c>
    </row>
    <row r="45" spans="2:38" s="42" customFormat="1" x14ac:dyDescent="0.35">
      <c r="B45" s="55" t="str">
        <f t="shared" si="0"/>
        <v/>
      </c>
      <c r="C45" s="40"/>
      <c r="D45" s="40"/>
      <c r="E45" s="41"/>
      <c r="F45" s="41"/>
      <c r="G45" s="41"/>
      <c r="H45" s="68" t="str">
        <f>IF('E2 — Triagem'!D50="","",'E2 — Triagem'!D50)</f>
        <v/>
      </c>
      <c r="I45" s="71"/>
      <c r="J45" s="41"/>
      <c r="K45" s="41"/>
      <c r="L45" s="71"/>
      <c r="M45" s="71"/>
      <c r="N45" s="71"/>
      <c r="O45" s="71"/>
      <c r="P45" s="41"/>
      <c r="Q45" s="41"/>
      <c r="R45" s="71"/>
      <c r="S45" s="71"/>
      <c r="T45" s="75"/>
      <c r="U45" s="75"/>
      <c r="V45" s="75"/>
      <c r="W45" s="58" t="str">
        <f t="shared" si="1"/>
        <v/>
      </c>
      <c r="X45" s="59" t="str">
        <f t="shared" si="2"/>
        <v/>
      </c>
      <c r="Y45" s="41"/>
      <c r="Z45" s="41"/>
      <c r="AA45" s="41"/>
      <c r="AB45" s="68" t="str">
        <f>IF($B45="","",'Workflow (Tracker)'!L68)</f>
        <v/>
      </c>
      <c r="AC45" s="69" t="str">
        <f>IF($B45="","",'E08 — Estabilização Hypercare'!K50)</f>
        <v/>
      </c>
      <c r="AD45" s="66" t="str">
        <f>IF($B45="","",'E08 — Estabilização Hypercare'!O50)</f>
        <v/>
      </c>
      <c r="AE45" s="66" t="str">
        <f>IF($B45="","",'E08 — Estabilização Hypercare'!Q50)</f>
        <v/>
      </c>
      <c r="AF45" s="66" t="str">
        <f>IF(OR($B45="",'E08 — Estabilização Hypercare'!R50=""),"",'E08 — Estabilização Hypercare'!R50)</f>
        <v/>
      </c>
      <c r="AG45" s="60" t="str">
        <f>IF($B45="","",'E08 — Estabilização Hypercare'!S50)</f>
        <v/>
      </c>
      <c r="AH45" s="61" t="str">
        <f>IF($B45="","",'E08 — Estabilização Hypercare'!T50)</f>
        <v/>
      </c>
      <c r="AI45" s="62" t="str">
        <f>IF($B45="","",'E08 — Estabilização Hypercare'!N50)</f>
        <v/>
      </c>
      <c r="AJ45" s="61" t="str">
        <f>IF(OR($B45="",'E08 — Estabilização Hypercare'!U50=""),"",'E08 — Estabilização Hypercare'!U50)</f>
        <v/>
      </c>
      <c r="AK45" s="60" t="str">
        <f t="shared" si="3"/>
        <v/>
      </c>
      <c r="AL45" s="65" t="str">
        <f t="shared" si="4"/>
        <v/>
      </c>
    </row>
    <row r="46" spans="2:38" s="42" customFormat="1" x14ac:dyDescent="0.35">
      <c r="B46" s="55" t="str">
        <f t="shared" si="0"/>
        <v/>
      </c>
      <c r="C46" s="40"/>
      <c r="D46" s="40"/>
      <c r="E46" s="41"/>
      <c r="F46" s="41"/>
      <c r="G46" s="41"/>
      <c r="H46" s="68" t="str">
        <f>IF('E2 — Triagem'!D51="","",'E2 — Triagem'!D51)</f>
        <v/>
      </c>
      <c r="I46" s="71"/>
      <c r="J46" s="41"/>
      <c r="K46" s="41"/>
      <c r="L46" s="71"/>
      <c r="M46" s="71"/>
      <c r="N46" s="71"/>
      <c r="O46" s="71"/>
      <c r="P46" s="41"/>
      <c r="Q46" s="41"/>
      <c r="R46" s="71"/>
      <c r="S46" s="71"/>
      <c r="T46" s="75"/>
      <c r="U46" s="75"/>
      <c r="V46" s="75"/>
      <c r="W46" s="58" t="str">
        <f t="shared" si="1"/>
        <v/>
      </c>
      <c r="X46" s="59" t="str">
        <f t="shared" si="2"/>
        <v/>
      </c>
      <c r="Y46" s="41"/>
      <c r="Z46" s="41"/>
      <c r="AA46" s="41"/>
      <c r="AB46" s="68" t="str">
        <f>IF($B46="","",'Workflow (Tracker)'!L69)</f>
        <v/>
      </c>
      <c r="AC46" s="69" t="str">
        <f>IF($B46="","",'E08 — Estabilização Hypercare'!K51)</f>
        <v/>
      </c>
      <c r="AD46" s="66" t="str">
        <f>IF($B46="","",'E08 — Estabilização Hypercare'!O51)</f>
        <v/>
      </c>
      <c r="AE46" s="66" t="str">
        <f>IF($B46="","",'E08 — Estabilização Hypercare'!Q51)</f>
        <v/>
      </c>
      <c r="AF46" s="66" t="str">
        <f>IF(OR($B46="",'E08 — Estabilização Hypercare'!R51=""),"",'E08 — Estabilização Hypercare'!R51)</f>
        <v/>
      </c>
      <c r="AG46" s="60" t="str">
        <f>IF($B46="","",'E08 — Estabilização Hypercare'!S51)</f>
        <v/>
      </c>
      <c r="AH46" s="61" t="str">
        <f>IF($B46="","",'E08 — Estabilização Hypercare'!T51)</f>
        <v/>
      </c>
      <c r="AI46" s="62" t="str">
        <f>IF($B46="","",'E08 — Estabilização Hypercare'!N51)</f>
        <v/>
      </c>
      <c r="AJ46" s="61" t="str">
        <f>IF(OR($B46="",'E08 — Estabilização Hypercare'!U51=""),"",'E08 — Estabilização Hypercare'!U51)</f>
        <v/>
      </c>
      <c r="AK46" s="60" t="str">
        <f t="shared" si="3"/>
        <v/>
      </c>
      <c r="AL46" s="65" t="str">
        <f t="shared" si="4"/>
        <v/>
      </c>
    </row>
    <row r="47" spans="2:38" s="42" customFormat="1" x14ac:dyDescent="0.35">
      <c r="B47" s="55" t="str">
        <f t="shared" si="0"/>
        <v/>
      </c>
      <c r="C47" s="40"/>
      <c r="D47" s="40"/>
      <c r="E47" s="41"/>
      <c r="F47" s="41"/>
      <c r="G47" s="41"/>
      <c r="H47" s="68" t="str">
        <f>IF('E2 — Triagem'!D52="","",'E2 — Triagem'!D52)</f>
        <v/>
      </c>
      <c r="I47" s="71"/>
      <c r="J47" s="41"/>
      <c r="K47" s="41"/>
      <c r="L47" s="71"/>
      <c r="M47" s="71"/>
      <c r="N47" s="71"/>
      <c r="O47" s="71"/>
      <c r="P47" s="41"/>
      <c r="Q47" s="41"/>
      <c r="R47" s="71"/>
      <c r="S47" s="71"/>
      <c r="T47" s="75"/>
      <c r="U47" s="75"/>
      <c r="V47" s="75"/>
      <c r="W47" s="58" t="str">
        <f t="shared" si="1"/>
        <v/>
      </c>
      <c r="X47" s="59" t="str">
        <f t="shared" si="2"/>
        <v/>
      </c>
      <c r="Y47" s="41"/>
      <c r="Z47" s="41"/>
      <c r="AA47" s="41"/>
      <c r="AB47" s="68" t="str">
        <f>IF($B47="","",'Workflow (Tracker)'!L70)</f>
        <v/>
      </c>
      <c r="AC47" s="69" t="str">
        <f>IF($B47="","",'E08 — Estabilização Hypercare'!K52)</f>
        <v/>
      </c>
      <c r="AD47" s="66" t="str">
        <f>IF($B47="","",'E08 — Estabilização Hypercare'!O52)</f>
        <v/>
      </c>
      <c r="AE47" s="66" t="str">
        <f>IF($B47="","",'E08 — Estabilização Hypercare'!Q52)</f>
        <v/>
      </c>
      <c r="AF47" s="66" t="str">
        <f>IF(OR($B47="",'E08 — Estabilização Hypercare'!R52=""),"",'E08 — Estabilização Hypercare'!R52)</f>
        <v/>
      </c>
      <c r="AG47" s="60" t="str">
        <f>IF($B47="","",'E08 — Estabilização Hypercare'!S52)</f>
        <v/>
      </c>
      <c r="AH47" s="61" t="str">
        <f>IF($B47="","",'E08 — Estabilização Hypercare'!T52)</f>
        <v/>
      </c>
      <c r="AI47" s="62" t="str">
        <f>IF($B47="","",'E08 — Estabilização Hypercare'!N52)</f>
        <v/>
      </c>
      <c r="AJ47" s="61" t="str">
        <f>IF(OR($B47="",'E08 — Estabilização Hypercare'!U52=""),"",'E08 — Estabilização Hypercare'!U52)</f>
        <v/>
      </c>
      <c r="AK47" s="60" t="str">
        <f t="shared" si="3"/>
        <v/>
      </c>
      <c r="AL47" s="65" t="str">
        <f t="shared" si="4"/>
        <v/>
      </c>
    </row>
    <row r="48" spans="2:38" s="42" customFormat="1" x14ac:dyDescent="0.35">
      <c r="B48" s="55" t="str">
        <f t="shared" si="0"/>
        <v/>
      </c>
      <c r="C48" s="40"/>
      <c r="D48" s="40"/>
      <c r="E48" s="41"/>
      <c r="F48" s="41"/>
      <c r="G48" s="41"/>
      <c r="H48" s="68" t="str">
        <f>IF('E2 — Triagem'!D53="","",'E2 — Triagem'!D53)</f>
        <v/>
      </c>
      <c r="I48" s="71"/>
      <c r="J48" s="41"/>
      <c r="K48" s="41"/>
      <c r="L48" s="71"/>
      <c r="M48" s="71"/>
      <c r="N48" s="71"/>
      <c r="O48" s="71"/>
      <c r="P48" s="41"/>
      <c r="Q48" s="41"/>
      <c r="R48" s="71"/>
      <c r="S48" s="71"/>
      <c r="T48" s="75"/>
      <c r="U48" s="75"/>
      <c r="V48" s="75"/>
      <c r="W48" s="58" t="str">
        <f t="shared" si="1"/>
        <v/>
      </c>
      <c r="X48" s="59" t="str">
        <f t="shared" si="2"/>
        <v/>
      </c>
      <c r="Y48" s="41"/>
      <c r="Z48" s="41"/>
      <c r="AA48" s="41"/>
      <c r="AB48" s="68" t="str">
        <f>IF($B48="","",'Workflow (Tracker)'!L71)</f>
        <v/>
      </c>
      <c r="AC48" s="69" t="str">
        <f>IF($B48="","",'E08 — Estabilização Hypercare'!K53)</f>
        <v/>
      </c>
      <c r="AD48" s="66" t="str">
        <f>IF($B48="","",'E08 — Estabilização Hypercare'!O53)</f>
        <v/>
      </c>
      <c r="AE48" s="66" t="str">
        <f>IF($B48="","",'E08 — Estabilização Hypercare'!Q53)</f>
        <v/>
      </c>
      <c r="AF48" s="66" t="str">
        <f>IF(OR($B48="",'E08 — Estabilização Hypercare'!R53=""),"",'E08 — Estabilização Hypercare'!R53)</f>
        <v/>
      </c>
      <c r="AG48" s="60" t="str">
        <f>IF($B48="","",'E08 — Estabilização Hypercare'!S53)</f>
        <v/>
      </c>
      <c r="AH48" s="61" t="str">
        <f>IF($B48="","",'E08 — Estabilização Hypercare'!T53)</f>
        <v/>
      </c>
      <c r="AI48" s="62" t="str">
        <f>IF($B48="","",'E08 — Estabilização Hypercare'!N53)</f>
        <v/>
      </c>
      <c r="AJ48" s="61" t="str">
        <f>IF(OR($B48="",'E08 — Estabilização Hypercare'!U53=""),"",'E08 — Estabilização Hypercare'!U53)</f>
        <v/>
      </c>
      <c r="AK48" s="60" t="str">
        <f t="shared" si="3"/>
        <v/>
      </c>
      <c r="AL48" s="65" t="str">
        <f t="shared" si="4"/>
        <v/>
      </c>
    </row>
    <row r="49" spans="2:38" s="42" customFormat="1" x14ac:dyDescent="0.35">
      <c r="B49" s="55" t="str">
        <f t="shared" si="0"/>
        <v/>
      </c>
      <c r="C49" s="40"/>
      <c r="D49" s="40"/>
      <c r="E49" s="41"/>
      <c r="F49" s="41"/>
      <c r="G49" s="41"/>
      <c r="H49" s="68" t="str">
        <f>IF('E2 — Triagem'!D54="","",'E2 — Triagem'!D54)</f>
        <v/>
      </c>
      <c r="I49" s="71"/>
      <c r="J49" s="41"/>
      <c r="K49" s="41"/>
      <c r="L49" s="71"/>
      <c r="M49" s="71"/>
      <c r="N49" s="71"/>
      <c r="O49" s="71"/>
      <c r="P49" s="41"/>
      <c r="Q49" s="41"/>
      <c r="R49" s="71"/>
      <c r="S49" s="71"/>
      <c r="T49" s="75"/>
      <c r="U49" s="75"/>
      <c r="V49" s="75"/>
      <c r="W49" s="58" t="str">
        <f t="shared" si="1"/>
        <v/>
      </c>
      <c r="X49" s="59" t="str">
        <f t="shared" si="2"/>
        <v/>
      </c>
      <c r="Y49" s="41"/>
      <c r="Z49" s="41"/>
      <c r="AA49" s="41"/>
      <c r="AB49" s="68" t="str">
        <f>IF($B49="","",'Workflow (Tracker)'!L72)</f>
        <v/>
      </c>
      <c r="AC49" s="69" t="str">
        <f>IF($B49="","",'E08 — Estabilização Hypercare'!K54)</f>
        <v/>
      </c>
      <c r="AD49" s="66" t="str">
        <f>IF($B49="","",'E08 — Estabilização Hypercare'!O54)</f>
        <v/>
      </c>
      <c r="AE49" s="66" t="str">
        <f>IF($B49="","",'E08 — Estabilização Hypercare'!Q54)</f>
        <v/>
      </c>
      <c r="AF49" s="66" t="str">
        <f>IF(OR($B49="",'E08 — Estabilização Hypercare'!R54=""),"",'E08 — Estabilização Hypercare'!R54)</f>
        <v/>
      </c>
      <c r="AG49" s="60" t="str">
        <f>IF($B49="","",'E08 — Estabilização Hypercare'!S54)</f>
        <v/>
      </c>
      <c r="AH49" s="61" t="str">
        <f>IF($B49="","",'E08 — Estabilização Hypercare'!T54)</f>
        <v/>
      </c>
      <c r="AI49" s="62" t="str">
        <f>IF($B49="","",'E08 — Estabilização Hypercare'!N54)</f>
        <v/>
      </c>
      <c r="AJ49" s="61" t="str">
        <f>IF(OR($B49="",'E08 — Estabilização Hypercare'!U54=""),"",'E08 — Estabilização Hypercare'!U54)</f>
        <v/>
      </c>
      <c r="AK49" s="60" t="str">
        <f t="shared" si="3"/>
        <v/>
      </c>
      <c r="AL49" s="65" t="str">
        <f t="shared" si="4"/>
        <v/>
      </c>
    </row>
    <row r="50" spans="2:38" s="42" customFormat="1" x14ac:dyDescent="0.35">
      <c r="B50" s="55" t="str">
        <f t="shared" si="0"/>
        <v/>
      </c>
      <c r="C50" s="40"/>
      <c r="D50" s="40"/>
      <c r="E50" s="41"/>
      <c r="F50" s="41"/>
      <c r="G50" s="41"/>
      <c r="H50" s="68" t="str">
        <f>IF('E2 — Triagem'!D55="","",'E2 — Triagem'!D55)</f>
        <v/>
      </c>
      <c r="I50" s="71"/>
      <c r="J50" s="41"/>
      <c r="K50" s="41"/>
      <c r="L50" s="71"/>
      <c r="M50" s="71"/>
      <c r="N50" s="71"/>
      <c r="O50" s="71"/>
      <c r="P50" s="41"/>
      <c r="Q50" s="41"/>
      <c r="R50" s="71"/>
      <c r="S50" s="71"/>
      <c r="T50" s="75"/>
      <c r="U50" s="75"/>
      <c r="V50" s="75"/>
      <c r="W50" s="58" t="str">
        <f t="shared" si="1"/>
        <v/>
      </c>
      <c r="X50" s="59" t="str">
        <f t="shared" si="2"/>
        <v/>
      </c>
      <c r="Y50" s="41"/>
      <c r="Z50" s="41"/>
      <c r="AA50" s="41"/>
      <c r="AB50" s="68" t="str">
        <f>IF($B50="","",'Workflow (Tracker)'!L73)</f>
        <v/>
      </c>
      <c r="AC50" s="69" t="str">
        <f>IF($B50="","",'E08 — Estabilização Hypercare'!K55)</f>
        <v/>
      </c>
      <c r="AD50" s="66" t="str">
        <f>IF($B50="","",'E08 — Estabilização Hypercare'!O55)</f>
        <v/>
      </c>
      <c r="AE50" s="66" t="str">
        <f>IF($B50="","",'E08 — Estabilização Hypercare'!Q55)</f>
        <v/>
      </c>
      <c r="AF50" s="66" t="str">
        <f>IF(OR($B50="",'E08 — Estabilização Hypercare'!R55=""),"",'E08 — Estabilização Hypercare'!R55)</f>
        <v/>
      </c>
      <c r="AG50" s="60" t="str">
        <f>IF($B50="","",'E08 — Estabilização Hypercare'!S55)</f>
        <v/>
      </c>
      <c r="AH50" s="61" t="str">
        <f>IF($B50="","",'E08 — Estabilização Hypercare'!T55)</f>
        <v/>
      </c>
      <c r="AI50" s="62" t="str">
        <f>IF($B50="","",'E08 — Estabilização Hypercare'!N55)</f>
        <v/>
      </c>
      <c r="AJ50" s="61" t="str">
        <f>IF(OR($B50="",'E08 — Estabilização Hypercare'!U55=""),"",'E08 — Estabilização Hypercare'!U55)</f>
        <v/>
      </c>
      <c r="AK50" s="60" t="str">
        <f t="shared" si="3"/>
        <v/>
      </c>
      <c r="AL50" s="65" t="str">
        <f t="shared" si="4"/>
        <v/>
      </c>
    </row>
    <row r="51" spans="2:38" s="42" customFormat="1" x14ac:dyDescent="0.35">
      <c r="B51" s="55" t="str">
        <f t="shared" si="0"/>
        <v/>
      </c>
      <c r="C51" s="40"/>
      <c r="D51" s="40"/>
      <c r="E51" s="41"/>
      <c r="F51" s="41"/>
      <c r="G51" s="41"/>
      <c r="H51" s="68" t="str">
        <f>IF('E2 — Triagem'!D56="","",'E2 — Triagem'!D56)</f>
        <v/>
      </c>
      <c r="I51" s="71"/>
      <c r="J51" s="41"/>
      <c r="K51" s="41"/>
      <c r="L51" s="71"/>
      <c r="M51" s="71"/>
      <c r="N51" s="71"/>
      <c r="O51" s="71"/>
      <c r="P51" s="41"/>
      <c r="Q51" s="41"/>
      <c r="R51" s="71"/>
      <c r="S51" s="71"/>
      <c r="T51" s="75"/>
      <c r="U51" s="75"/>
      <c r="V51" s="75"/>
      <c r="W51" s="58" t="str">
        <f t="shared" si="1"/>
        <v/>
      </c>
      <c r="X51" s="59" t="str">
        <f t="shared" si="2"/>
        <v/>
      </c>
      <c r="Y51" s="41"/>
      <c r="Z51" s="41"/>
      <c r="AA51" s="41"/>
      <c r="AB51" s="68" t="str">
        <f>IF($B51="","",'Workflow (Tracker)'!L74)</f>
        <v/>
      </c>
      <c r="AC51" s="69" t="str">
        <f>IF($B51="","",'E08 — Estabilização Hypercare'!K56)</f>
        <v/>
      </c>
      <c r="AD51" s="66" t="str">
        <f>IF($B51="","",'E08 — Estabilização Hypercare'!O56)</f>
        <v/>
      </c>
      <c r="AE51" s="66" t="str">
        <f>IF($B51="","",'E08 — Estabilização Hypercare'!Q56)</f>
        <v/>
      </c>
      <c r="AF51" s="66" t="str">
        <f>IF(OR($B51="",'E08 — Estabilização Hypercare'!R56=""),"",'E08 — Estabilização Hypercare'!R56)</f>
        <v/>
      </c>
      <c r="AG51" s="60" t="str">
        <f>IF($B51="","",'E08 — Estabilização Hypercare'!S56)</f>
        <v/>
      </c>
      <c r="AH51" s="61" t="str">
        <f>IF($B51="","",'E08 — Estabilização Hypercare'!T56)</f>
        <v/>
      </c>
      <c r="AI51" s="62" t="str">
        <f>IF($B51="","",'E08 — Estabilização Hypercare'!N56)</f>
        <v/>
      </c>
      <c r="AJ51" s="61" t="str">
        <f>IF(OR($B51="",'E08 — Estabilização Hypercare'!U56=""),"",'E08 — Estabilização Hypercare'!U56)</f>
        <v/>
      </c>
      <c r="AK51" s="60" t="str">
        <f t="shared" si="3"/>
        <v/>
      </c>
      <c r="AL51" s="65" t="str">
        <f t="shared" si="4"/>
        <v/>
      </c>
    </row>
    <row r="52" spans="2:38" s="42" customFormat="1" x14ac:dyDescent="0.35">
      <c r="B52" s="55" t="str">
        <f t="shared" si="0"/>
        <v/>
      </c>
      <c r="C52" s="40"/>
      <c r="D52" s="40"/>
      <c r="E52" s="41"/>
      <c r="F52" s="41"/>
      <c r="G52" s="41"/>
      <c r="H52" s="68" t="str">
        <f>IF('E2 — Triagem'!D57="","",'E2 — Triagem'!D57)</f>
        <v/>
      </c>
      <c r="I52" s="71"/>
      <c r="J52" s="41"/>
      <c r="K52" s="41"/>
      <c r="L52" s="71"/>
      <c r="M52" s="71"/>
      <c r="N52" s="71"/>
      <c r="O52" s="71"/>
      <c r="P52" s="41"/>
      <c r="Q52" s="41"/>
      <c r="R52" s="71"/>
      <c r="S52" s="71"/>
      <c r="T52" s="75"/>
      <c r="U52" s="75"/>
      <c r="V52" s="75"/>
      <c r="W52" s="58" t="str">
        <f t="shared" si="1"/>
        <v/>
      </c>
      <c r="X52" s="59" t="str">
        <f t="shared" si="2"/>
        <v/>
      </c>
      <c r="Y52" s="41"/>
      <c r="Z52" s="41"/>
      <c r="AA52" s="41"/>
      <c r="AB52" s="68" t="str">
        <f>IF($B52="","",'Workflow (Tracker)'!L75)</f>
        <v/>
      </c>
      <c r="AC52" s="69" t="str">
        <f>IF($B52="","",'E08 — Estabilização Hypercare'!K57)</f>
        <v/>
      </c>
      <c r="AD52" s="66" t="str">
        <f>IF($B52="","",'E08 — Estabilização Hypercare'!O57)</f>
        <v/>
      </c>
      <c r="AE52" s="66" t="str">
        <f>IF($B52="","",'E08 — Estabilização Hypercare'!Q57)</f>
        <v/>
      </c>
      <c r="AF52" s="66" t="str">
        <f>IF(OR($B52="",'E08 — Estabilização Hypercare'!R57=""),"",'E08 — Estabilização Hypercare'!R57)</f>
        <v/>
      </c>
      <c r="AG52" s="60" t="str">
        <f>IF($B52="","",'E08 — Estabilização Hypercare'!S57)</f>
        <v/>
      </c>
      <c r="AH52" s="61" t="str">
        <f>IF($B52="","",'E08 — Estabilização Hypercare'!T57)</f>
        <v/>
      </c>
      <c r="AI52" s="62" t="str">
        <f>IF($B52="","",'E08 — Estabilização Hypercare'!N57)</f>
        <v/>
      </c>
      <c r="AJ52" s="61" t="str">
        <f>IF(OR($B52="",'E08 — Estabilização Hypercare'!U57=""),"",'E08 — Estabilização Hypercare'!U57)</f>
        <v/>
      </c>
      <c r="AK52" s="60" t="str">
        <f t="shared" si="3"/>
        <v/>
      </c>
      <c r="AL52" s="65" t="str">
        <f t="shared" si="4"/>
        <v/>
      </c>
    </row>
    <row r="53" spans="2:38" s="42" customFormat="1" x14ac:dyDescent="0.35">
      <c r="B53" s="55" t="str">
        <f t="shared" si="0"/>
        <v/>
      </c>
      <c r="C53" s="40"/>
      <c r="D53" s="40"/>
      <c r="E53" s="41"/>
      <c r="F53" s="41"/>
      <c r="G53" s="41"/>
      <c r="H53" s="68" t="str">
        <f>IF('E2 — Triagem'!D58="","",'E2 — Triagem'!D58)</f>
        <v/>
      </c>
      <c r="I53" s="71"/>
      <c r="J53" s="41"/>
      <c r="K53" s="41"/>
      <c r="L53" s="71"/>
      <c r="M53" s="71"/>
      <c r="N53" s="71"/>
      <c r="O53" s="71"/>
      <c r="P53" s="41"/>
      <c r="Q53" s="41"/>
      <c r="R53" s="71"/>
      <c r="S53" s="71"/>
      <c r="T53" s="75"/>
      <c r="U53" s="75"/>
      <c r="V53" s="75"/>
      <c r="W53" s="58" t="str">
        <f t="shared" si="1"/>
        <v/>
      </c>
      <c r="X53" s="59" t="str">
        <f t="shared" si="2"/>
        <v/>
      </c>
      <c r="Y53" s="41"/>
      <c r="Z53" s="41"/>
      <c r="AA53" s="41"/>
      <c r="AB53" s="68" t="str">
        <f>IF($B53="","",'Workflow (Tracker)'!L76)</f>
        <v/>
      </c>
      <c r="AC53" s="69" t="str">
        <f>IF($B53="","",'E08 — Estabilização Hypercare'!K58)</f>
        <v/>
      </c>
      <c r="AD53" s="66" t="str">
        <f>IF($B53="","",'E08 — Estabilização Hypercare'!O58)</f>
        <v/>
      </c>
      <c r="AE53" s="66" t="str">
        <f>IF($B53="","",'E08 — Estabilização Hypercare'!Q58)</f>
        <v/>
      </c>
      <c r="AF53" s="66" t="str">
        <f>IF(OR($B53="",'E08 — Estabilização Hypercare'!R58=""),"",'E08 — Estabilização Hypercare'!R58)</f>
        <v/>
      </c>
      <c r="AG53" s="60" t="str">
        <f>IF($B53="","",'E08 — Estabilização Hypercare'!S58)</f>
        <v/>
      </c>
      <c r="AH53" s="61" t="str">
        <f>IF($B53="","",'E08 — Estabilização Hypercare'!T58)</f>
        <v/>
      </c>
      <c r="AI53" s="62" t="str">
        <f>IF($B53="","",'E08 — Estabilização Hypercare'!N58)</f>
        <v/>
      </c>
      <c r="AJ53" s="61" t="str">
        <f>IF(OR($B53="",'E08 — Estabilização Hypercare'!U58=""),"",'E08 — Estabilização Hypercare'!U58)</f>
        <v/>
      </c>
      <c r="AK53" s="60" t="str">
        <f t="shared" si="3"/>
        <v/>
      </c>
      <c r="AL53" s="65" t="str">
        <f t="shared" si="4"/>
        <v/>
      </c>
    </row>
    <row r="54" spans="2:38" s="42" customFormat="1" x14ac:dyDescent="0.35">
      <c r="B54" s="55" t="str">
        <f t="shared" si="0"/>
        <v/>
      </c>
      <c r="C54" s="40"/>
      <c r="D54" s="40"/>
      <c r="E54" s="41"/>
      <c r="F54" s="41"/>
      <c r="G54" s="41"/>
      <c r="H54" s="68" t="str">
        <f>IF('E2 — Triagem'!D59="","",'E2 — Triagem'!D59)</f>
        <v/>
      </c>
      <c r="I54" s="71"/>
      <c r="J54" s="41"/>
      <c r="K54" s="41"/>
      <c r="L54" s="71"/>
      <c r="M54" s="71"/>
      <c r="N54" s="71"/>
      <c r="O54" s="71"/>
      <c r="P54" s="41"/>
      <c r="Q54" s="41"/>
      <c r="R54" s="71"/>
      <c r="S54" s="71"/>
      <c r="T54" s="75"/>
      <c r="U54" s="75"/>
      <c r="V54" s="75"/>
      <c r="W54" s="58" t="str">
        <f t="shared" si="1"/>
        <v/>
      </c>
      <c r="X54" s="59" t="str">
        <f t="shared" si="2"/>
        <v/>
      </c>
      <c r="Y54" s="41"/>
      <c r="Z54" s="41"/>
      <c r="AA54" s="41"/>
      <c r="AB54" s="68" t="str">
        <f>IF($B54="","",'Workflow (Tracker)'!L77)</f>
        <v/>
      </c>
      <c r="AC54" s="69" t="str">
        <f>IF($B54="","",'E08 — Estabilização Hypercare'!K59)</f>
        <v/>
      </c>
      <c r="AD54" s="66" t="str">
        <f>IF($B54="","",'E08 — Estabilização Hypercare'!O59)</f>
        <v/>
      </c>
      <c r="AE54" s="66" t="str">
        <f>IF($B54="","",'E08 — Estabilização Hypercare'!Q59)</f>
        <v/>
      </c>
      <c r="AF54" s="66" t="str">
        <f>IF(OR($B54="",'E08 — Estabilização Hypercare'!R59=""),"",'E08 — Estabilização Hypercare'!R59)</f>
        <v/>
      </c>
      <c r="AG54" s="60" t="str">
        <f>IF($B54="","",'E08 — Estabilização Hypercare'!S59)</f>
        <v/>
      </c>
      <c r="AH54" s="61" t="str">
        <f>IF($B54="","",'E08 — Estabilização Hypercare'!T59)</f>
        <v/>
      </c>
      <c r="AI54" s="62" t="str">
        <f>IF($B54="","",'E08 — Estabilização Hypercare'!N59)</f>
        <v/>
      </c>
      <c r="AJ54" s="61" t="str">
        <f>IF(OR($B54="",'E08 — Estabilização Hypercare'!U59=""),"",'E08 — Estabilização Hypercare'!U59)</f>
        <v/>
      </c>
      <c r="AK54" s="60" t="str">
        <f t="shared" si="3"/>
        <v/>
      </c>
      <c r="AL54" s="65" t="str">
        <f t="shared" si="4"/>
        <v/>
      </c>
    </row>
    <row r="55" spans="2:38" s="42" customFormat="1" x14ac:dyDescent="0.35">
      <c r="B55" s="55" t="str">
        <f t="shared" si="0"/>
        <v/>
      </c>
      <c r="C55" s="40"/>
      <c r="D55" s="40"/>
      <c r="E55" s="41"/>
      <c r="F55" s="41"/>
      <c r="G55" s="41"/>
      <c r="H55" s="68" t="str">
        <f>IF('E2 — Triagem'!D60="","",'E2 — Triagem'!D60)</f>
        <v/>
      </c>
      <c r="I55" s="71"/>
      <c r="J55" s="41"/>
      <c r="K55" s="41"/>
      <c r="L55" s="71"/>
      <c r="M55" s="71"/>
      <c r="N55" s="71"/>
      <c r="O55" s="71"/>
      <c r="P55" s="41"/>
      <c r="Q55" s="41"/>
      <c r="R55" s="71"/>
      <c r="S55" s="71"/>
      <c r="T55" s="75"/>
      <c r="U55" s="75"/>
      <c r="V55" s="75"/>
      <c r="W55" s="58" t="str">
        <f t="shared" si="1"/>
        <v/>
      </c>
      <c r="X55" s="59" t="str">
        <f t="shared" si="2"/>
        <v/>
      </c>
      <c r="Y55" s="41"/>
      <c r="Z55" s="41"/>
      <c r="AA55" s="41"/>
      <c r="AB55" s="68" t="str">
        <f>IF($B55="","",'Workflow (Tracker)'!L78)</f>
        <v/>
      </c>
      <c r="AC55" s="69" t="str">
        <f>IF($B55="","",'E08 — Estabilização Hypercare'!K60)</f>
        <v/>
      </c>
      <c r="AD55" s="66" t="str">
        <f>IF($B55="","",'E08 — Estabilização Hypercare'!O60)</f>
        <v/>
      </c>
      <c r="AE55" s="66" t="str">
        <f>IF($B55="","",'E08 — Estabilização Hypercare'!Q60)</f>
        <v/>
      </c>
      <c r="AF55" s="66" t="str">
        <f>IF(OR($B55="",'E08 — Estabilização Hypercare'!R60=""),"",'E08 — Estabilização Hypercare'!R60)</f>
        <v/>
      </c>
      <c r="AG55" s="60" t="str">
        <f>IF($B55="","",'E08 — Estabilização Hypercare'!S60)</f>
        <v/>
      </c>
      <c r="AH55" s="61" t="str">
        <f>IF($B55="","",'E08 — Estabilização Hypercare'!T60)</f>
        <v/>
      </c>
      <c r="AI55" s="62" t="str">
        <f>IF($B55="","",'E08 — Estabilização Hypercare'!N60)</f>
        <v/>
      </c>
      <c r="AJ55" s="61" t="str">
        <f>IF(OR($B55="",'E08 — Estabilização Hypercare'!U60=""),"",'E08 — Estabilização Hypercare'!U60)</f>
        <v/>
      </c>
      <c r="AK55" s="60" t="str">
        <f t="shared" si="3"/>
        <v/>
      </c>
      <c r="AL55" s="65" t="str">
        <f t="shared" si="4"/>
        <v/>
      </c>
    </row>
    <row r="56" spans="2:38" s="42" customFormat="1" x14ac:dyDescent="0.35">
      <c r="B56" s="55" t="str">
        <f t="shared" si="0"/>
        <v/>
      </c>
      <c r="C56" s="40"/>
      <c r="D56" s="40"/>
      <c r="E56" s="41"/>
      <c r="F56" s="41"/>
      <c r="G56" s="41"/>
      <c r="H56" s="68" t="str">
        <f>IF('E2 — Triagem'!D61="","",'E2 — Triagem'!D61)</f>
        <v/>
      </c>
      <c r="I56" s="71"/>
      <c r="J56" s="41"/>
      <c r="K56" s="41"/>
      <c r="L56" s="71"/>
      <c r="M56" s="71"/>
      <c r="N56" s="71"/>
      <c r="O56" s="71"/>
      <c r="P56" s="41"/>
      <c r="Q56" s="41"/>
      <c r="R56" s="71"/>
      <c r="S56" s="71"/>
      <c r="T56" s="75"/>
      <c r="U56" s="75"/>
      <c r="V56" s="75"/>
      <c r="W56" s="58" t="str">
        <f t="shared" si="1"/>
        <v/>
      </c>
      <c r="X56" s="59" t="str">
        <f t="shared" si="2"/>
        <v/>
      </c>
      <c r="Y56" s="41"/>
      <c r="Z56" s="41"/>
      <c r="AA56" s="41"/>
      <c r="AB56" s="68" t="str">
        <f>IF($B56="","",'Workflow (Tracker)'!L79)</f>
        <v/>
      </c>
      <c r="AC56" s="69" t="str">
        <f>IF($B56="","",'E08 — Estabilização Hypercare'!K61)</f>
        <v/>
      </c>
      <c r="AD56" s="66" t="str">
        <f>IF($B56="","",'E08 — Estabilização Hypercare'!O61)</f>
        <v/>
      </c>
      <c r="AE56" s="66" t="str">
        <f>IF($B56="","",'E08 — Estabilização Hypercare'!Q61)</f>
        <v/>
      </c>
      <c r="AF56" s="66" t="str">
        <f>IF(OR($B56="",'E08 — Estabilização Hypercare'!R61=""),"",'E08 — Estabilização Hypercare'!R61)</f>
        <v/>
      </c>
      <c r="AG56" s="60" t="str">
        <f>IF($B56="","",'E08 — Estabilização Hypercare'!S61)</f>
        <v/>
      </c>
      <c r="AH56" s="61" t="str">
        <f>IF($B56="","",'E08 — Estabilização Hypercare'!T61)</f>
        <v/>
      </c>
      <c r="AI56" s="62" t="str">
        <f>IF($B56="","",'E08 — Estabilização Hypercare'!N61)</f>
        <v/>
      </c>
      <c r="AJ56" s="61" t="str">
        <f>IF(OR($B56="",'E08 — Estabilização Hypercare'!U61=""),"",'E08 — Estabilização Hypercare'!U61)</f>
        <v/>
      </c>
      <c r="AK56" s="60" t="str">
        <f t="shared" si="3"/>
        <v/>
      </c>
      <c r="AL56" s="65" t="str">
        <f t="shared" si="4"/>
        <v/>
      </c>
    </row>
    <row r="57" spans="2:38" s="42" customFormat="1" x14ac:dyDescent="0.35">
      <c r="B57" s="55" t="str">
        <f t="shared" si="0"/>
        <v/>
      </c>
      <c r="C57" s="40"/>
      <c r="D57" s="40"/>
      <c r="E57" s="41"/>
      <c r="F57" s="41"/>
      <c r="G57" s="41"/>
      <c r="H57" s="68" t="str">
        <f>IF('E2 — Triagem'!D62="","",'E2 — Triagem'!D62)</f>
        <v/>
      </c>
      <c r="I57" s="71"/>
      <c r="J57" s="41"/>
      <c r="K57" s="41"/>
      <c r="L57" s="71"/>
      <c r="M57" s="71"/>
      <c r="N57" s="71"/>
      <c r="O57" s="71"/>
      <c r="P57" s="41"/>
      <c r="Q57" s="41"/>
      <c r="R57" s="71"/>
      <c r="S57" s="71"/>
      <c r="T57" s="75"/>
      <c r="U57" s="75"/>
      <c r="V57" s="75"/>
      <c r="W57" s="58" t="str">
        <f t="shared" si="1"/>
        <v/>
      </c>
      <c r="X57" s="59" t="str">
        <f t="shared" si="2"/>
        <v/>
      </c>
      <c r="Y57" s="41"/>
      <c r="Z57" s="41"/>
      <c r="AA57" s="41"/>
      <c r="AB57" s="68" t="str">
        <f>IF($B57="","",'Workflow (Tracker)'!L80)</f>
        <v/>
      </c>
      <c r="AC57" s="69" t="str">
        <f>IF($B57="","",'E08 — Estabilização Hypercare'!K62)</f>
        <v/>
      </c>
      <c r="AD57" s="66" t="str">
        <f>IF($B57="","",'E08 — Estabilização Hypercare'!O62)</f>
        <v/>
      </c>
      <c r="AE57" s="66" t="str">
        <f>IF($B57="","",'E08 — Estabilização Hypercare'!Q62)</f>
        <v/>
      </c>
      <c r="AF57" s="66" t="str">
        <f>IF(OR($B57="",'E08 — Estabilização Hypercare'!R62=""),"",'E08 — Estabilização Hypercare'!R62)</f>
        <v/>
      </c>
      <c r="AG57" s="60" t="str">
        <f>IF($B57="","",'E08 — Estabilização Hypercare'!S62)</f>
        <v/>
      </c>
      <c r="AH57" s="61" t="str">
        <f>IF($B57="","",'E08 — Estabilização Hypercare'!T62)</f>
        <v/>
      </c>
      <c r="AI57" s="62" t="str">
        <f>IF($B57="","",'E08 — Estabilização Hypercare'!N62)</f>
        <v/>
      </c>
      <c r="AJ57" s="61" t="str">
        <f>IF(OR($B57="",'E08 — Estabilização Hypercare'!U62=""),"",'E08 — Estabilização Hypercare'!U62)</f>
        <v/>
      </c>
      <c r="AK57" s="60" t="str">
        <f t="shared" si="3"/>
        <v/>
      </c>
      <c r="AL57" s="65" t="str">
        <f t="shared" si="4"/>
        <v/>
      </c>
    </row>
    <row r="58" spans="2:38" s="42" customFormat="1" x14ac:dyDescent="0.35">
      <c r="B58" s="55" t="str">
        <f t="shared" si="0"/>
        <v/>
      </c>
      <c r="C58" s="40"/>
      <c r="D58" s="40"/>
      <c r="E58" s="41"/>
      <c r="F58" s="41"/>
      <c r="G58" s="41"/>
      <c r="H58" s="68" t="str">
        <f>IF('E2 — Triagem'!D63="","",'E2 — Triagem'!D63)</f>
        <v/>
      </c>
      <c r="I58" s="71"/>
      <c r="J58" s="41"/>
      <c r="K58" s="41"/>
      <c r="L58" s="71"/>
      <c r="M58" s="71"/>
      <c r="N58" s="71"/>
      <c r="O58" s="71"/>
      <c r="P58" s="41"/>
      <c r="Q58" s="41"/>
      <c r="R58" s="71"/>
      <c r="S58" s="71"/>
      <c r="T58" s="75"/>
      <c r="U58" s="75"/>
      <c r="V58" s="75"/>
      <c r="W58" s="58" t="str">
        <f t="shared" si="1"/>
        <v/>
      </c>
      <c r="X58" s="59" t="str">
        <f t="shared" si="2"/>
        <v/>
      </c>
      <c r="Y58" s="41"/>
      <c r="Z58" s="41"/>
      <c r="AA58" s="41"/>
      <c r="AB58" s="68" t="str">
        <f>IF($B58="","",'Workflow (Tracker)'!L81)</f>
        <v/>
      </c>
      <c r="AC58" s="69" t="str">
        <f>IF($B58="","",'E08 — Estabilização Hypercare'!K63)</f>
        <v/>
      </c>
      <c r="AD58" s="66" t="str">
        <f>IF($B58="","",'E08 — Estabilização Hypercare'!O63)</f>
        <v/>
      </c>
      <c r="AE58" s="66" t="str">
        <f>IF($B58="","",'E08 — Estabilização Hypercare'!Q63)</f>
        <v/>
      </c>
      <c r="AF58" s="66" t="str">
        <f>IF(OR($B58="",'E08 — Estabilização Hypercare'!R63=""),"",'E08 — Estabilização Hypercare'!R63)</f>
        <v/>
      </c>
      <c r="AG58" s="60" t="str">
        <f>IF($B58="","",'E08 — Estabilização Hypercare'!S63)</f>
        <v/>
      </c>
      <c r="AH58" s="61" t="str">
        <f>IF($B58="","",'E08 — Estabilização Hypercare'!T63)</f>
        <v/>
      </c>
      <c r="AI58" s="62" t="str">
        <f>IF($B58="","",'E08 — Estabilização Hypercare'!N63)</f>
        <v/>
      </c>
      <c r="AJ58" s="61" t="str">
        <f>IF(OR($B58="",'E08 — Estabilização Hypercare'!U63=""),"",'E08 — Estabilização Hypercare'!U63)</f>
        <v/>
      </c>
      <c r="AK58" s="60" t="str">
        <f t="shared" si="3"/>
        <v/>
      </c>
      <c r="AL58" s="65" t="str">
        <f t="shared" si="4"/>
        <v/>
      </c>
    </row>
    <row r="59" spans="2:38" s="42" customFormat="1" x14ac:dyDescent="0.35">
      <c r="B59" s="55" t="str">
        <f t="shared" si="0"/>
        <v/>
      </c>
      <c r="C59" s="40"/>
      <c r="D59" s="40"/>
      <c r="E59" s="41"/>
      <c r="F59" s="41"/>
      <c r="G59" s="41"/>
      <c r="H59" s="68" t="str">
        <f>IF('E2 — Triagem'!D64="","",'E2 — Triagem'!D64)</f>
        <v/>
      </c>
      <c r="I59" s="71"/>
      <c r="J59" s="41"/>
      <c r="K59" s="41"/>
      <c r="L59" s="71"/>
      <c r="M59" s="71"/>
      <c r="N59" s="71"/>
      <c r="O59" s="71"/>
      <c r="P59" s="41"/>
      <c r="Q59" s="41"/>
      <c r="R59" s="71"/>
      <c r="S59" s="71"/>
      <c r="T59" s="75"/>
      <c r="U59" s="75"/>
      <c r="V59" s="75"/>
      <c r="W59" s="58" t="str">
        <f t="shared" si="1"/>
        <v/>
      </c>
      <c r="X59" s="59" t="str">
        <f t="shared" si="2"/>
        <v/>
      </c>
      <c r="Y59" s="41"/>
      <c r="Z59" s="41"/>
      <c r="AA59" s="41"/>
      <c r="AB59" s="68" t="str">
        <f>IF($B59="","",'Workflow (Tracker)'!L82)</f>
        <v/>
      </c>
      <c r="AC59" s="69" t="str">
        <f>IF($B59="","",'E08 — Estabilização Hypercare'!K64)</f>
        <v/>
      </c>
      <c r="AD59" s="66" t="str">
        <f>IF($B59="","",'E08 — Estabilização Hypercare'!O64)</f>
        <v/>
      </c>
      <c r="AE59" s="66" t="str">
        <f>IF($B59="","",'E08 — Estabilização Hypercare'!Q64)</f>
        <v/>
      </c>
      <c r="AF59" s="66" t="str">
        <f>IF(OR($B59="",'E08 — Estabilização Hypercare'!R64=""),"",'E08 — Estabilização Hypercare'!R64)</f>
        <v/>
      </c>
      <c r="AG59" s="60" t="str">
        <f>IF($B59="","",'E08 — Estabilização Hypercare'!S64)</f>
        <v/>
      </c>
      <c r="AH59" s="61" t="str">
        <f>IF($B59="","",'E08 — Estabilização Hypercare'!T64)</f>
        <v/>
      </c>
      <c r="AI59" s="62" t="str">
        <f>IF($B59="","",'E08 — Estabilização Hypercare'!N64)</f>
        <v/>
      </c>
      <c r="AJ59" s="61" t="str">
        <f>IF(OR($B59="",'E08 — Estabilização Hypercare'!U64=""),"",'E08 — Estabilização Hypercare'!U64)</f>
        <v/>
      </c>
      <c r="AK59" s="60" t="str">
        <f t="shared" si="3"/>
        <v/>
      </c>
      <c r="AL59" s="65" t="str">
        <f t="shared" si="4"/>
        <v/>
      </c>
    </row>
    <row r="60" spans="2:38" s="42" customFormat="1" x14ac:dyDescent="0.35">
      <c r="B60" s="55" t="str">
        <f t="shared" si="0"/>
        <v/>
      </c>
      <c r="C60" s="40"/>
      <c r="D60" s="40"/>
      <c r="E60" s="41"/>
      <c r="F60" s="41"/>
      <c r="G60" s="41"/>
      <c r="H60" s="68" t="str">
        <f>IF('E2 — Triagem'!D65="","",'E2 — Triagem'!D65)</f>
        <v/>
      </c>
      <c r="I60" s="71"/>
      <c r="J60" s="41"/>
      <c r="K60" s="41"/>
      <c r="L60" s="71"/>
      <c r="M60" s="71"/>
      <c r="N60" s="71"/>
      <c r="O60" s="71"/>
      <c r="P60" s="41"/>
      <c r="Q60" s="41"/>
      <c r="R60" s="71"/>
      <c r="S60" s="71"/>
      <c r="T60" s="75"/>
      <c r="U60" s="75"/>
      <c r="V60" s="75"/>
      <c r="W60" s="58" t="str">
        <f t="shared" si="1"/>
        <v/>
      </c>
      <c r="X60" s="59" t="str">
        <f t="shared" si="2"/>
        <v/>
      </c>
      <c r="Y60" s="41"/>
      <c r="Z60" s="41"/>
      <c r="AA60" s="41"/>
      <c r="AB60" s="68" t="str">
        <f>IF($B60="","",'Workflow (Tracker)'!L83)</f>
        <v/>
      </c>
      <c r="AC60" s="69" t="str">
        <f>IF($B60="","",'E08 — Estabilização Hypercare'!K65)</f>
        <v/>
      </c>
      <c r="AD60" s="66" t="str">
        <f>IF($B60="","",'E08 — Estabilização Hypercare'!O65)</f>
        <v/>
      </c>
      <c r="AE60" s="66" t="str">
        <f>IF($B60="","",'E08 — Estabilização Hypercare'!Q65)</f>
        <v/>
      </c>
      <c r="AF60" s="66" t="str">
        <f>IF(OR($B60="",'E08 — Estabilização Hypercare'!R65=""),"",'E08 — Estabilização Hypercare'!R65)</f>
        <v/>
      </c>
      <c r="AG60" s="60" t="str">
        <f>IF($B60="","",'E08 — Estabilização Hypercare'!S65)</f>
        <v/>
      </c>
      <c r="AH60" s="61" t="str">
        <f>IF($B60="","",'E08 — Estabilização Hypercare'!T65)</f>
        <v/>
      </c>
      <c r="AI60" s="62" t="str">
        <f>IF($B60="","",'E08 — Estabilização Hypercare'!N65)</f>
        <v/>
      </c>
      <c r="AJ60" s="61" t="str">
        <f>IF(OR($B60="",'E08 — Estabilização Hypercare'!U65=""),"",'E08 — Estabilização Hypercare'!U65)</f>
        <v/>
      </c>
      <c r="AK60" s="60" t="str">
        <f t="shared" si="3"/>
        <v/>
      </c>
      <c r="AL60" s="65" t="str">
        <f t="shared" si="4"/>
        <v/>
      </c>
    </row>
    <row r="61" spans="2:38" s="42" customFormat="1" x14ac:dyDescent="0.35">
      <c r="B61" s="55" t="str">
        <f t="shared" si="0"/>
        <v/>
      </c>
      <c r="C61" s="40"/>
      <c r="D61" s="40"/>
      <c r="E61" s="41"/>
      <c r="F61" s="41"/>
      <c r="G61" s="41"/>
      <c r="H61" s="68" t="str">
        <f>IF('E2 — Triagem'!D66="","",'E2 — Triagem'!D66)</f>
        <v/>
      </c>
      <c r="I61" s="71"/>
      <c r="J61" s="41"/>
      <c r="K61" s="41"/>
      <c r="L61" s="71"/>
      <c r="M61" s="71"/>
      <c r="N61" s="71"/>
      <c r="O61" s="71"/>
      <c r="P61" s="41"/>
      <c r="Q61" s="41"/>
      <c r="R61" s="71"/>
      <c r="S61" s="71"/>
      <c r="T61" s="75"/>
      <c r="U61" s="75"/>
      <c r="V61" s="75"/>
      <c r="W61" s="58" t="str">
        <f t="shared" si="1"/>
        <v/>
      </c>
      <c r="X61" s="59" t="str">
        <f t="shared" si="2"/>
        <v/>
      </c>
      <c r="Y61" s="41"/>
      <c r="Z61" s="41"/>
      <c r="AA61" s="41"/>
      <c r="AB61" s="68" t="str">
        <f>IF($B61="","",'Workflow (Tracker)'!L84)</f>
        <v/>
      </c>
      <c r="AC61" s="69" t="str">
        <f>IF($B61="","",'E08 — Estabilização Hypercare'!K66)</f>
        <v/>
      </c>
      <c r="AD61" s="66" t="str">
        <f>IF($B61="","",'E08 — Estabilização Hypercare'!O66)</f>
        <v/>
      </c>
      <c r="AE61" s="66" t="str">
        <f>IF($B61="","",'E08 — Estabilização Hypercare'!Q66)</f>
        <v/>
      </c>
      <c r="AF61" s="66" t="str">
        <f>IF(OR($B61="",'E08 — Estabilização Hypercare'!R66=""),"",'E08 — Estabilização Hypercare'!R66)</f>
        <v/>
      </c>
      <c r="AG61" s="60" t="str">
        <f>IF($B61="","",'E08 — Estabilização Hypercare'!S66)</f>
        <v/>
      </c>
      <c r="AH61" s="61" t="str">
        <f>IF($B61="","",'E08 — Estabilização Hypercare'!T66)</f>
        <v/>
      </c>
      <c r="AI61" s="62" t="str">
        <f>IF($B61="","",'E08 — Estabilização Hypercare'!N66)</f>
        <v/>
      </c>
      <c r="AJ61" s="61" t="str">
        <f>IF(OR($B61="",'E08 — Estabilização Hypercare'!U66=""),"",'E08 — Estabilização Hypercare'!U66)</f>
        <v/>
      </c>
      <c r="AK61" s="60" t="str">
        <f t="shared" si="3"/>
        <v/>
      </c>
      <c r="AL61" s="65" t="str">
        <f t="shared" si="4"/>
        <v/>
      </c>
    </row>
    <row r="62" spans="2:38" s="42" customFormat="1" x14ac:dyDescent="0.35">
      <c r="B62" s="55" t="str">
        <f t="shared" si="0"/>
        <v/>
      </c>
      <c r="C62" s="40"/>
      <c r="D62" s="40"/>
      <c r="E62" s="41"/>
      <c r="F62" s="41"/>
      <c r="G62" s="41"/>
      <c r="H62" s="68" t="str">
        <f>IF('E2 — Triagem'!D67="","",'E2 — Triagem'!D67)</f>
        <v/>
      </c>
      <c r="I62" s="71"/>
      <c r="J62" s="41"/>
      <c r="K62" s="41"/>
      <c r="L62" s="71"/>
      <c r="M62" s="71"/>
      <c r="N62" s="71"/>
      <c r="O62" s="71"/>
      <c r="P62" s="41"/>
      <c r="Q62" s="41"/>
      <c r="R62" s="71"/>
      <c r="S62" s="71"/>
      <c r="T62" s="75"/>
      <c r="U62" s="75"/>
      <c r="V62" s="75"/>
      <c r="W62" s="58" t="str">
        <f t="shared" si="1"/>
        <v/>
      </c>
      <c r="X62" s="59" t="str">
        <f t="shared" si="2"/>
        <v/>
      </c>
      <c r="Y62" s="41"/>
      <c r="Z62" s="41"/>
      <c r="AA62" s="41"/>
      <c r="AB62" s="68" t="str">
        <f>IF($B62="","",'Workflow (Tracker)'!L85)</f>
        <v/>
      </c>
      <c r="AC62" s="69" t="str">
        <f>IF($B62="","",'E08 — Estabilização Hypercare'!K67)</f>
        <v/>
      </c>
      <c r="AD62" s="66" t="str">
        <f>IF($B62="","",'E08 — Estabilização Hypercare'!O67)</f>
        <v/>
      </c>
      <c r="AE62" s="66" t="str">
        <f>IF($B62="","",'E08 — Estabilização Hypercare'!Q67)</f>
        <v/>
      </c>
      <c r="AF62" s="66" t="str">
        <f>IF(OR($B62="",'E08 — Estabilização Hypercare'!R67=""),"",'E08 — Estabilização Hypercare'!R67)</f>
        <v/>
      </c>
      <c r="AG62" s="60" t="str">
        <f>IF($B62="","",'E08 — Estabilização Hypercare'!S67)</f>
        <v/>
      </c>
      <c r="AH62" s="61" t="str">
        <f>IF($B62="","",'E08 — Estabilização Hypercare'!T67)</f>
        <v/>
      </c>
      <c r="AI62" s="62" t="str">
        <f>IF($B62="","",'E08 — Estabilização Hypercare'!N67)</f>
        <v/>
      </c>
      <c r="AJ62" s="61" t="str">
        <f>IF(OR($B62="",'E08 — Estabilização Hypercare'!U67=""),"",'E08 — Estabilização Hypercare'!U67)</f>
        <v/>
      </c>
      <c r="AK62" s="60" t="str">
        <f t="shared" si="3"/>
        <v/>
      </c>
      <c r="AL62" s="65" t="str">
        <f t="shared" si="4"/>
        <v/>
      </c>
    </row>
    <row r="63" spans="2:38" s="42" customFormat="1" x14ac:dyDescent="0.35">
      <c r="B63" s="55" t="str">
        <f t="shared" si="0"/>
        <v/>
      </c>
      <c r="C63" s="40"/>
      <c r="D63" s="40"/>
      <c r="E63" s="41"/>
      <c r="F63" s="41"/>
      <c r="G63" s="41"/>
      <c r="H63" s="68" t="str">
        <f>IF('E2 — Triagem'!D68="","",'E2 — Triagem'!D68)</f>
        <v/>
      </c>
      <c r="I63" s="71"/>
      <c r="J63" s="41"/>
      <c r="K63" s="41"/>
      <c r="L63" s="71"/>
      <c r="M63" s="71"/>
      <c r="N63" s="71"/>
      <c r="O63" s="71"/>
      <c r="P63" s="41"/>
      <c r="Q63" s="41"/>
      <c r="R63" s="71"/>
      <c r="S63" s="71"/>
      <c r="T63" s="75"/>
      <c r="U63" s="75"/>
      <c r="V63" s="75"/>
      <c r="W63" s="58" t="str">
        <f t="shared" si="1"/>
        <v/>
      </c>
      <c r="X63" s="59" t="str">
        <f t="shared" si="2"/>
        <v/>
      </c>
      <c r="Y63" s="41"/>
      <c r="Z63" s="41"/>
      <c r="AA63" s="41"/>
      <c r="AB63" s="68" t="str">
        <f>IF($B63="","",'Workflow (Tracker)'!L86)</f>
        <v/>
      </c>
      <c r="AC63" s="69" t="str">
        <f>IF($B63="","",'E08 — Estabilização Hypercare'!K68)</f>
        <v/>
      </c>
      <c r="AD63" s="66" t="str">
        <f>IF($B63="","",'E08 — Estabilização Hypercare'!O68)</f>
        <v/>
      </c>
      <c r="AE63" s="66" t="str">
        <f>IF($B63="","",'E08 — Estabilização Hypercare'!Q68)</f>
        <v/>
      </c>
      <c r="AF63" s="66" t="str">
        <f>IF(OR($B63="",'E08 — Estabilização Hypercare'!R68=""),"",'E08 — Estabilização Hypercare'!R68)</f>
        <v/>
      </c>
      <c r="AG63" s="60" t="str">
        <f>IF($B63="","",'E08 — Estabilização Hypercare'!S68)</f>
        <v/>
      </c>
      <c r="AH63" s="61" t="str">
        <f>IF($B63="","",'E08 — Estabilização Hypercare'!T68)</f>
        <v/>
      </c>
      <c r="AI63" s="62" t="str">
        <f>IF($B63="","",'E08 — Estabilização Hypercare'!N68)</f>
        <v/>
      </c>
      <c r="AJ63" s="61" t="str">
        <f>IF(OR($B63="",'E08 — Estabilização Hypercare'!U68=""),"",'E08 — Estabilização Hypercare'!U68)</f>
        <v/>
      </c>
      <c r="AK63" s="60" t="str">
        <f t="shared" si="3"/>
        <v/>
      </c>
      <c r="AL63" s="65" t="str">
        <f t="shared" si="4"/>
        <v/>
      </c>
    </row>
    <row r="64" spans="2:38" s="42" customFormat="1" x14ac:dyDescent="0.35">
      <c r="B64" s="55" t="str">
        <f t="shared" si="0"/>
        <v/>
      </c>
      <c r="C64" s="40"/>
      <c r="D64" s="40"/>
      <c r="E64" s="41"/>
      <c r="F64" s="41"/>
      <c r="G64" s="41"/>
      <c r="H64" s="68" t="str">
        <f>IF('E2 — Triagem'!D69="","",'E2 — Triagem'!D69)</f>
        <v/>
      </c>
      <c r="I64" s="71"/>
      <c r="J64" s="41"/>
      <c r="K64" s="41"/>
      <c r="L64" s="71"/>
      <c r="M64" s="71"/>
      <c r="N64" s="71"/>
      <c r="O64" s="71"/>
      <c r="P64" s="41"/>
      <c r="Q64" s="41"/>
      <c r="R64" s="71"/>
      <c r="S64" s="71"/>
      <c r="T64" s="75"/>
      <c r="U64" s="75"/>
      <c r="V64" s="75"/>
      <c r="W64" s="58" t="str">
        <f t="shared" si="1"/>
        <v/>
      </c>
      <c r="X64" s="59" t="str">
        <f t="shared" si="2"/>
        <v/>
      </c>
      <c r="Y64" s="41"/>
      <c r="Z64" s="41"/>
      <c r="AA64" s="41"/>
      <c r="AB64" s="68" t="str">
        <f>IF($B64="","",'Workflow (Tracker)'!L87)</f>
        <v/>
      </c>
      <c r="AC64" s="69" t="str">
        <f>IF($B64="","",'E08 — Estabilização Hypercare'!K69)</f>
        <v/>
      </c>
      <c r="AD64" s="66" t="str">
        <f>IF($B64="","",'E08 — Estabilização Hypercare'!O69)</f>
        <v/>
      </c>
      <c r="AE64" s="66" t="str">
        <f>IF($B64="","",'E08 — Estabilização Hypercare'!Q69)</f>
        <v/>
      </c>
      <c r="AF64" s="66" t="str">
        <f>IF(OR($B64="",'E08 — Estabilização Hypercare'!R69=""),"",'E08 — Estabilização Hypercare'!R69)</f>
        <v/>
      </c>
      <c r="AG64" s="60" t="str">
        <f>IF($B64="","",'E08 — Estabilização Hypercare'!S69)</f>
        <v/>
      </c>
      <c r="AH64" s="61" t="str">
        <f>IF($B64="","",'E08 — Estabilização Hypercare'!T69)</f>
        <v/>
      </c>
      <c r="AI64" s="62" t="str">
        <f>IF($B64="","",'E08 — Estabilização Hypercare'!N69)</f>
        <v/>
      </c>
      <c r="AJ64" s="61" t="str">
        <f>IF(OR($B64="",'E08 — Estabilização Hypercare'!U69=""),"",'E08 — Estabilização Hypercare'!U69)</f>
        <v/>
      </c>
      <c r="AK64" s="60" t="str">
        <f t="shared" si="3"/>
        <v/>
      </c>
      <c r="AL64" s="65" t="str">
        <f t="shared" si="4"/>
        <v/>
      </c>
    </row>
    <row r="65" spans="2:38" s="42" customFormat="1" x14ac:dyDescent="0.35">
      <c r="B65" s="55" t="str">
        <f t="shared" si="0"/>
        <v/>
      </c>
      <c r="C65" s="40"/>
      <c r="D65" s="40"/>
      <c r="E65" s="41"/>
      <c r="F65" s="41"/>
      <c r="G65" s="41"/>
      <c r="H65" s="68" t="str">
        <f>IF('E2 — Triagem'!D70="","",'E2 — Triagem'!D70)</f>
        <v/>
      </c>
      <c r="I65" s="71"/>
      <c r="J65" s="41"/>
      <c r="K65" s="41"/>
      <c r="L65" s="71"/>
      <c r="M65" s="71"/>
      <c r="N65" s="71"/>
      <c r="O65" s="71"/>
      <c r="P65" s="41"/>
      <c r="Q65" s="41"/>
      <c r="R65" s="71"/>
      <c r="S65" s="71"/>
      <c r="T65" s="75"/>
      <c r="U65" s="75"/>
      <c r="V65" s="75"/>
      <c r="W65" s="58" t="str">
        <f t="shared" si="1"/>
        <v/>
      </c>
      <c r="X65" s="59" t="str">
        <f t="shared" si="2"/>
        <v/>
      </c>
      <c r="Y65" s="41"/>
      <c r="Z65" s="41"/>
      <c r="AA65" s="41"/>
      <c r="AB65" s="68" t="str">
        <f>IF($B65="","",'Workflow (Tracker)'!L88)</f>
        <v/>
      </c>
      <c r="AC65" s="69" t="str">
        <f>IF($B65="","",'E08 — Estabilização Hypercare'!K70)</f>
        <v/>
      </c>
      <c r="AD65" s="66" t="str">
        <f>IF($B65="","",'E08 — Estabilização Hypercare'!O70)</f>
        <v/>
      </c>
      <c r="AE65" s="66" t="str">
        <f>IF($B65="","",'E08 — Estabilização Hypercare'!Q70)</f>
        <v/>
      </c>
      <c r="AF65" s="66" t="str">
        <f>IF(OR($B65="",'E08 — Estabilização Hypercare'!R70=""),"",'E08 — Estabilização Hypercare'!R70)</f>
        <v/>
      </c>
      <c r="AG65" s="60" t="str">
        <f>IF($B65="","",'E08 — Estabilização Hypercare'!S70)</f>
        <v/>
      </c>
      <c r="AH65" s="61" t="str">
        <f>IF($B65="","",'E08 — Estabilização Hypercare'!T70)</f>
        <v/>
      </c>
      <c r="AI65" s="62" t="str">
        <f>IF($B65="","",'E08 — Estabilização Hypercare'!N70)</f>
        <v/>
      </c>
      <c r="AJ65" s="61" t="str">
        <f>IF(OR($B65="",'E08 — Estabilização Hypercare'!U70=""),"",'E08 — Estabilização Hypercare'!U70)</f>
        <v/>
      </c>
      <c r="AK65" s="60" t="str">
        <f t="shared" si="3"/>
        <v/>
      </c>
      <c r="AL65" s="65" t="str">
        <f t="shared" si="4"/>
        <v/>
      </c>
    </row>
    <row r="66" spans="2:38" s="42" customFormat="1" x14ac:dyDescent="0.35">
      <c r="B66" s="55" t="str">
        <f t="shared" si="0"/>
        <v/>
      </c>
      <c r="C66" s="40"/>
      <c r="D66" s="40"/>
      <c r="E66" s="41"/>
      <c r="F66" s="41"/>
      <c r="G66" s="41"/>
      <c r="H66" s="68" t="str">
        <f>IF('E2 — Triagem'!D71="","",'E2 — Triagem'!D71)</f>
        <v/>
      </c>
      <c r="I66" s="71"/>
      <c r="J66" s="41"/>
      <c r="K66" s="41"/>
      <c r="L66" s="71"/>
      <c r="M66" s="71"/>
      <c r="N66" s="71"/>
      <c r="O66" s="71"/>
      <c r="P66" s="41"/>
      <c r="Q66" s="41"/>
      <c r="R66" s="71"/>
      <c r="S66" s="71"/>
      <c r="T66" s="75"/>
      <c r="U66" s="75"/>
      <c r="V66" s="75"/>
      <c r="W66" s="58" t="str">
        <f t="shared" si="1"/>
        <v/>
      </c>
      <c r="X66" s="59" t="str">
        <f t="shared" si="2"/>
        <v/>
      </c>
      <c r="Y66" s="41"/>
      <c r="Z66" s="41"/>
      <c r="AA66" s="41"/>
      <c r="AB66" s="68" t="str">
        <f>IF($B66="","",'Workflow (Tracker)'!L89)</f>
        <v/>
      </c>
      <c r="AC66" s="69" t="str">
        <f>IF($B66="","",'E08 — Estabilização Hypercare'!K71)</f>
        <v/>
      </c>
      <c r="AD66" s="66" t="str">
        <f>IF($B66="","",'E08 — Estabilização Hypercare'!O71)</f>
        <v/>
      </c>
      <c r="AE66" s="66" t="str">
        <f>IF($B66="","",'E08 — Estabilização Hypercare'!Q71)</f>
        <v/>
      </c>
      <c r="AF66" s="66" t="str">
        <f>IF(OR($B66="",'E08 — Estabilização Hypercare'!R71=""),"",'E08 — Estabilização Hypercare'!R71)</f>
        <v/>
      </c>
      <c r="AG66" s="60" t="str">
        <f>IF($B66="","",'E08 — Estabilização Hypercare'!S71)</f>
        <v/>
      </c>
      <c r="AH66" s="61" t="str">
        <f>IF($B66="","",'E08 — Estabilização Hypercare'!T71)</f>
        <v/>
      </c>
      <c r="AI66" s="62" t="str">
        <f>IF($B66="","",'E08 — Estabilização Hypercare'!N71)</f>
        <v/>
      </c>
      <c r="AJ66" s="61" t="str">
        <f>IF(OR($B66="",'E08 — Estabilização Hypercare'!U71=""),"",'E08 — Estabilização Hypercare'!U71)</f>
        <v/>
      </c>
      <c r="AK66" s="60" t="str">
        <f t="shared" si="3"/>
        <v/>
      </c>
      <c r="AL66" s="65" t="str">
        <f t="shared" si="4"/>
        <v/>
      </c>
    </row>
    <row r="67" spans="2:38" s="42" customFormat="1" x14ac:dyDescent="0.35">
      <c r="B67" s="55" t="str">
        <f t="shared" ref="B67:B130" si="5">IF($C67="","",Prefixo&amp;"-"&amp;TEXT(ROW()-2,"0000"))</f>
        <v/>
      </c>
      <c r="C67" s="40"/>
      <c r="D67" s="40"/>
      <c r="E67" s="41"/>
      <c r="F67" s="41"/>
      <c r="G67" s="41"/>
      <c r="H67" s="68" t="str">
        <f>IF('E2 — Triagem'!D72="","",'E2 — Triagem'!D72)</f>
        <v/>
      </c>
      <c r="I67" s="71"/>
      <c r="J67" s="41"/>
      <c r="K67" s="41"/>
      <c r="L67" s="71"/>
      <c r="M67" s="71"/>
      <c r="N67" s="71"/>
      <c r="O67" s="71"/>
      <c r="P67" s="41"/>
      <c r="Q67" s="41"/>
      <c r="R67" s="71"/>
      <c r="S67" s="71"/>
      <c r="T67" s="75"/>
      <c r="U67" s="75"/>
      <c r="V67" s="75"/>
      <c r="W67" s="58" t="str">
        <f t="shared" si="1"/>
        <v/>
      </c>
      <c r="X67" s="59" t="str">
        <f t="shared" si="2"/>
        <v/>
      </c>
      <c r="Y67" s="41"/>
      <c r="Z67" s="41"/>
      <c r="AA67" s="41"/>
      <c r="AB67" s="68" t="str">
        <f>IF($B67="","",'Workflow (Tracker)'!L90)</f>
        <v/>
      </c>
      <c r="AC67" s="69" t="str">
        <f>IF($B67="","",'E08 — Estabilização Hypercare'!K72)</f>
        <v/>
      </c>
      <c r="AD67" s="66" t="str">
        <f>IF($B67="","",'E08 — Estabilização Hypercare'!O72)</f>
        <v/>
      </c>
      <c r="AE67" s="66" t="str">
        <f>IF($B67="","",'E08 — Estabilização Hypercare'!Q72)</f>
        <v/>
      </c>
      <c r="AF67" s="66" t="str">
        <f>IF(OR($B67="",'E08 — Estabilização Hypercare'!R72=""),"",'E08 — Estabilização Hypercare'!R72)</f>
        <v/>
      </c>
      <c r="AG67" s="60" t="str">
        <f>IF($B67="","",'E08 — Estabilização Hypercare'!S72)</f>
        <v/>
      </c>
      <c r="AH67" s="61" t="str">
        <f>IF($B67="","",'E08 — Estabilização Hypercare'!T72)</f>
        <v/>
      </c>
      <c r="AI67" s="62" t="str">
        <f>IF($B67="","",'E08 — Estabilização Hypercare'!N72)</f>
        <v/>
      </c>
      <c r="AJ67" s="61" t="str">
        <f>IF(OR($B67="",'E08 — Estabilização Hypercare'!U72=""),"",'E08 — Estabilização Hypercare'!U72)</f>
        <v/>
      </c>
      <c r="AK67" s="60" t="str">
        <f t="shared" si="3"/>
        <v/>
      </c>
      <c r="AL67" s="65" t="str">
        <f t="shared" si="4"/>
        <v/>
      </c>
    </row>
    <row r="68" spans="2:38" s="42" customFormat="1" x14ac:dyDescent="0.35">
      <c r="B68" s="55" t="str">
        <f t="shared" si="5"/>
        <v/>
      </c>
      <c r="C68" s="40"/>
      <c r="D68" s="40"/>
      <c r="E68" s="41"/>
      <c r="F68" s="41"/>
      <c r="G68" s="41"/>
      <c r="H68" s="68" t="str">
        <f>IF('E2 — Triagem'!D73="","",'E2 — Triagem'!D73)</f>
        <v/>
      </c>
      <c r="I68" s="71"/>
      <c r="J68" s="41"/>
      <c r="K68" s="41"/>
      <c r="L68" s="71"/>
      <c r="M68" s="71"/>
      <c r="N68" s="71"/>
      <c r="O68" s="71"/>
      <c r="P68" s="41"/>
      <c r="Q68" s="41"/>
      <c r="R68" s="71"/>
      <c r="S68" s="71"/>
      <c r="T68" s="75"/>
      <c r="U68" s="75"/>
      <c r="V68" s="75"/>
      <c r="W68" s="58" t="str">
        <f t="shared" ref="W68:W131" si="6">IF(OR($U68="",$V68="",$U68&lt;=0),"",$U68-$V68)</f>
        <v/>
      </c>
      <c r="X68" s="59" t="str">
        <f t="shared" ref="X68:X131" si="7">IF(OR($U68="",$V68="",$U68&lt;=0),"",($U68-$V68)/$U68)</f>
        <v/>
      </c>
      <c r="Y68" s="41"/>
      <c r="Z68" s="41"/>
      <c r="AA68" s="41"/>
      <c r="AB68" s="68" t="str">
        <f>IF($B68="","",'Workflow (Tracker)'!L91)</f>
        <v/>
      </c>
      <c r="AC68" s="69" t="str">
        <f>IF($B68="","",'E08 — Estabilização Hypercare'!K73)</f>
        <v/>
      </c>
      <c r="AD68" s="66" t="str">
        <f>IF($B68="","",'E08 — Estabilização Hypercare'!O73)</f>
        <v/>
      </c>
      <c r="AE68" s="66" t="str">
        <f>IF($B68="","",'E08 — Estabilização Hypercare'!Q73)</f>
        <v/>
      </c>
      <c r="AF68" s="66" t="str">
        <f>IF(OR($B68="",'E08 — Estabilização Hypercare'!R73=""),"",'E08 — Estabilização Hypercare'!R73)</f>
        <v/>
      </c>
      <c r="AG68" s="60" t="str">
        <f>IF($B68="","",'E08 — Estabilização Hypercare'!S73)</f>
        <v/>
      </c>
      <c r="AH68" s="61" t="str">
        <f>IF($B68="","",'E08 — Estabilização Hypercare'!T73)</f>
        <v/>
      </c>
      <c r="AI68" s="62" t="str">
        <f>IF($B68="","",'E08 — Estabilização Hypercare'!N73)</f>
        <v/>
      </c>
      <c r="AJ68" s="61" t="str">
        <f>IF(OR($B68="",'E08 — Estabilização Hypercare'!U73=""),"",'E08 — Estabilização Hypercare'!U73)</f>
        <v/>
      </c>
      <c r="AK68" s="60" t="str">
        <f t="shared" ref="AK68:AK131" si="8">IF(OR($B68="",$AF68="",$C68=""),"",$AF68-$C68)</f>
        <v/>
      </c>
      <c r="AL68" s="65" t="str">
        <f t="shared" ref="AL68:AL131" si="9">IF($B68="","",IF($AB68="Concluído","Encerrado",IF(AND($S68="Concluído",$AB68&lt;&gt;"Concluído"),"Em Hypercare",$S68)))</f>
        <v/>
      </c>
    </row>
    <row r="69" spans="2:38" s="42" customFormat="1" x14ac:dyDescent="0.35">
      <c r="B69" s="55" t="str">
        <f t="shared" si="5"/>
        <v/>
      </c>
      <c r="C69" s="40"/>
      <c r="D69" s="40"/>
      <c r="E69" s="41"/>
      <c r="F69" s="41"/>
      <c r="G69" s="41"/>
      <c r="H69" s="68" t="str">
        <f>IF('E2 — Triagem'!D74="","",'E2 — Triagem'!D74)</f>
        <v/>
      </c>
      <c r="I69" s="71"/>
      <c r="J69" s="41"/>
      <c r="K69" s="41"/>
      <c r="L69" s="71"/>
      <c r="M69" s="71"/>
      <c r="N69" s="71"/>
      <c r="O69" s="71"/>
      <c r="P69" s="41"/>
      <c r="Q69" s="41"/>
      <c r="R69" s="71"/>
      <c r="S69" s="71"/>
      <c r="T69" s="75"/>
      <c r="U69" s="75"/>
      <c r="V69" s="75"/>
      <c r="W69" s="58" t="str">
        <f t="shared" si="6"/>
        <v/>
      </c>
      <c r="X69" s="59" t="str">
        <f t="shared" si="7"/>
        <v/>
      </c>
      <c r="Y69" s="41"/>
      <c r="Z69" s="41"/>
      <c r="AA69" s="41"/>
      <c r="AB69" s="68" t="str">
        <f>IF($B69="","",'Workflow (Tracker)'!L92)</f>
        <v/>
      </c>
      <c r="AC69" s="69" t="str">
        <f>IF($B69="","",'E08 — Estabilização Hypercare'!K74)</f>
        <v/>
      </c>
      <c r="AD69" s="66" t="str">
        <f>IF($B69="","",'E08 — Estabilização Hypercare'!O74)</f>
        <v/>
      </c>
      <c r="AE69" s="66" t="str">
        <f>IF($B69="","",'E08 — Estabilização Hypercare'!Q74)</f>
        <v/>
      </c>
      <c r="AF69" s="66" t="str">
        <f>IF(OR($B69="",'E08 — Estabilização Hypercare'!R74=""),"",'E08 — Estabilização Hypercare'!R74)</f>
        <v/>
      </c>
      <c r="AG69" s="60" t="str">
        <f>IF($B69="","",'E08 — Estabilização Hypercare'!S74)</f>
        <v/>
      </c>
      <c r="AH69" s="61" t="str">
        <f>IF($B69="","",'E08 — Estabilização Hypercare'!T74)</f>
        <v/>
      </c>
      <c r="AI69" s="62" t="str">
        <f>IF($B69="","",'E08 — Estabilização Hypercare'!N74)</f>
        <v/>
      </c>
      <c r="AJ69" s="61" t="str">
        <f>IF(OR($B69="",'E08 — Estabilização Hypercare'!U74=""),"",'E08 — Estabilização Hypercare'!U74)</f>
        <v/>
      </c>
      <c r="AK69" s="60" t="str">
        <f t="shared" si="8"/>
        <v/>
      </c>
      <c r="AL69" s="65" t="str">
        <f t="shared" si="9"/>
        <v/>
      </c>
    </row>
    <row r="70" spans="2:38" s="42" customFormat="1" x14ac:dyDescent="0.35">
      <c r="B70" s="55" t="str">
        <f t="shared" si="5"/>
        <v/>
      </c>
      <c r="C70" s="40"/>
      <c r="D70" s="40"/>
      <c r="E70" s="41"/>
      <c r="F70" s="41"/>
      <c r="G70" s="41"/>
      <c r="H70" s="68" t="str">
        <f>IF('E2 — Triagem'!D75="","",'E2 — Triagem'!D75)</f>
        <v/>
      </c>
      <c r="I70" s="71"/>
      <c r="J70" s="41"/>
      <c r="K70" s="41"/>
      <c r="L70" s="71"/>
      <c r="M70" s="71"/>
      <c r="N70" s="71"/>
      <c r="O70" s="71"/>
      <c r="P70" s="41"/>
      <c r="Q70" s="41"/>
      <c r="R70" s="71"/>
      <c r="S70" s="71"/>
      <c r="T70" s="75"/>
      <c r="U70" s="75"/>
      <c r="V70" s="75"/>
      <c r="W70" s="58" t="str">
        <f t="shared" si="6"/>
        <v/>
      </c>
      <c r="X70" s="59" t="str">
        <f t="shared" si="7"/>
        <v/>
      </c>
      <c r="Y70" s="41"/>
      <c r="Z70" s="41"/>
      <c r="AA70" s="41"/>
      <c r="AB70" s="68" t="str">
        <f>IF($B70="","",'Workflow (Tracker)'!L93)</f>
        <v/>
      </c>
      <c r="AC70" s="69" t="str">
        <f>IF($B70="","",'E08 — Estabilização Hypercare'!K75)</f>
        <v/>
      </c>
      <c r="AD70" s="66" t="str">
        <f>IF($B70="","",'E08 — Estabilização Hypercare'!O75)</f>
        <v/>
      </c>
      <c r="AE70" s="66" t="str">
        <f>IF($B70="","",'E08 — Estabilização Hypercare'!Q75)</f>
        <v/>
      </c>
      <c r="AF70" s="66" t="str">
        <f>IF(OR($B70="",'E08 — Estabilização Hypercare'!R75=""),"",'E08 — Estabilização Hypercare'!R75)</f>
        <v/>
      </c>
      <c r="AG70" s="60" t="str">
        <f>IF($B70="","",'E08 — Estabilização Hypercare'!S75)</f>
        <v/>
      </c>
      <c r="AH70" s="61" t="str">
        <f>IF($B70="","",'E08 — Estabilização Hypercare'!T75)</f>
        <v/>
      </c>
      <c r="AI70" s="62" t="str">
        <f>IF($B70="","",'E08 — Estabilização Hypercare'!N75)</f>
        <v/>
      </c>
      <c r="AJ70" s="61" t="str">
        <f>IF(OR($B70="",'E08 — Estabilização Hypercare'!U75=""),"",'E08 — Estabilização Hypercare'!U75)</f>
        <v/>
      </c>
      <c r="AK70" s="60" t="str">
        <f t="shared" si="8"/>
        <v/>
      </c>
      <c r="AL70" s="65" t="str">
        <f t="shared" si="9"/>
        <v/>
      </c>
    </row>
    <row r="71" spans="2:38" s="42" customFormat="1" x14ac:dyDescent="0.35">
      <c r="B71" s="55" t="str">
        <f t="shared" si="5"/>
        <v/>
      </c>
      <c r="C71" s="40"/>
      <c r="D71" s="40"/>
      <c r="E71" s="41"/>
      <c r="F71" s="41"/>
      <c r="G71" s="41"/>
      <c r="H71" s="68" t="str">
        <f>IF('E2 — Triagem'!D76="","",'E2 — Triagem'!D76)</f>
        <v/>
      </c>
      <c r="I71" s="71"/>
      <c r="J71" s="41"/>
      <c r="K71" s="41"/>
      <c r="L71" s="71"/>
      <c r="M71" s="71"/>
      <c r="N71" s="71"/>
      <c r="O71" s="71"/>
      <c r="P71" s="41"/>
      <c r="Q71" s="41"/>
      <c r="R71" s="71"/>
      <c r="S71" s="71"/>
      <c r="T71" s="75"/>
      <c r="U71" s="75"/>
      <c r="V71" s="75"/>
      <c r="W71" s="58" t="str">
        <f t="shared" si="6"/>
        <v/>
      </c>
      <c r="X71" s="59" t="str">
        <f t="shared" si="7"/>
        <v/>
      </c>
      <c r="Y71" s="41"/>
      <c r="Z71" s="41"/>
      <c r="AA71" s="41"/>
      <c r="AB71" s="68" t="str">
        <f>IF($B71="","",'Workflow (Tracker)'!L94)</f>
        <v/>
      </c>
      <c r="AC71" s="69" t="str">
        <f>IF($B71="","",'E08 — Estabilização Hypercare'!K76)</f>
        <v/>
      </c>
      <c r="AD71" s="66" t="str">
        <f>IF($B71="","",'E08 — Estabilização Hypercare'!O76)</f>
        <v/>
      </c>
      <c r="AE71" s="66" t="str">
        <f>IF($B71="","",'E08 — Estabilização Hypercare'!Q76)</f>
        <v/>
      </c>
      <c r="AF71" s="66" t="str">
        <f>IF(OR($B71="",'E08 — Estabilização Hypercare'!R76=""),"",'E08 — Estabilização Hypercare'!R76)</f>
        <v/>
      </c>
      <c r="AG71" s="60" t="str">
        <f>IF($B71="","",'E08 — Estabilização Hypercare'!S76)</f>
        <v/>
      </c>
      <c r="AH71" s="61" t="str">
        <f>IF($B71="","",'E08 — Estabilização Hypercare'!T76)</f>
        <v/>
      </c>
      <c r="AI71" s="62" t="str">
        <f>IF($B71="","",'E08 — Estabilização Hypercare'!N76)</f>
        <v/>
      </c>
      <c r="AJ71" s="61" t="str">
        <f>IF(OR($B71="",'E08 — Estabilização Hypercare'!U76=""),"",'E08 — Estabilização Hypercare'!U76)</f>
        <v/>
      </c>
      <c r="AK71" s="60" t="str">
        <f t="shared" si="8"/>
        <v/>
      </c>
      <c r="AL71" s="65" t="str">
        <f t="shared" si="9"/>
        <v/>
      </c>
    </row>
    <row r="72" spans="2:38" s="42" customFormat="1" x14ac:dyDescent="0.35">
      <c r="B72" s="55" t="str">
        <f t="shared" si="5"/>
        <v/>
      </c>
      <c r="C72" s="40"/>
      <c r="D72" s="40"/>
      <c r="E72" s="41"/>
      <c r="F72" s="41"/>
      <c r="G72" s="41"/>
      <c r="H72" s="68" t="str">
        <f>IF('E2 — Triagem'!D77="","",'E2 — Triagem'!D77)</f>
        <v/>
      </c>
      <c r="I72" s="71"/>
      <c r="J72" s="41"/>
      <c r="K72" s="41"/>
      <c r="L72" s="71"/>
      <c r="M72" s="71"/>
      <c r="N72" s="71"/>
      <c r="O72" s="71"/>
      <c r="P72" s="41"/>
      <c r="Q72" s="41"/>
      <c r="R72" s="71"/>
      <c r="S72" s="71"/>
      <c r="T72" s="75"/>
      <c r="U72" s="75"/>
      <c r="V72" s="75"/>
      <c r="W72" s="58" t="str">
        <f t="shared" si="6"/>
        <v/>
      </c>
      <c r="X72" s="59" t="str">
        <f t="shared" si="7"/>
        <v/>
      </c>
      <c r="Y72" s="41"/>
      <c r="Z72" s="41"/>
      <c r="AA72" s="41"/>
      <c r="AB72" s="68" t="str">
        <f>IF($B72="","",'Workflow (Tracker)'!L95)</f>
        <v/>
      </c>
      <c r="AC72" s="69" t="str">
        <f>IF($B72="","",'E08 — Estabilização Hypercare'!K77)</f>
        <v/>
      </c>
      <c r="AD72" s="66" t="str">
        <f>IF($B72="","",'E08 — Estabilização Hypercare'!O77)</f>
        <v/>
      </c>
      <c r="AE72" s="66" t="str">
        <f>IF($B72="","",'E08 — Estabilização Hypercare'!Q77)</f>
        <v/>
      </c>
      <c r="AF72" s="66" t="str">
        <f>IF(OR($B72="",'E08 — Estabilização Hypercare'!R77=""),"",'E08 — Estabilização Hypercare'!R77)</f>
        <v/>
      </c>
      <c r="AG72" s="60" t="str">
        <f>IF($B72="","",'E08 — Estabilização Hypercare'!S77)</f>
        <v/>
      </c>
      <c r="AH72" s="61" t="str">
        <f>IF($B72="","",'E08 — Estabilização Hypercare'!T77)</f>
        <v/>
      </c>
      <c r="AI72" s="62" t="str">
        <f>IF($B72="","",'E08 — Estabilização Hypercare'!N77)</f>
        <v/>
      </c>
      <c r="AJ72" s="61" t="str">
        <f>IF(OR($B72="",'E08 — Estabilização Hypercare'!U77=""),"",'E08 — Estabilização Hypercare'!U77)</f>
        <v/>
      </c>
      <c r="AK72" s="60" t="str">
        <f t="shared" si="8"/>
        <v/>
      </c>
      <c r="AL72" s="65" t="str">
        <f t="shared" si="9"/>
        <v/>
      </c>
    </row>
    <row r="73" spans="2:38" s="42" customFormat="1" x14ac:dyDescent="0.35">
      <c r="B73" s="55" t="str">
        <f t="shared" si="5"/>
        <v/>
      </c>
      <c r="C73" s="40"/>
      <c r="D73" s="40"/>
      <c r="E73" s="41"/>
      <c r="F73" s="41"/>
      <c r="G73" s="41"/>
      <c r="H73" s="68" t="str">
        <f>IF('E2 — Triagem'!D78="","",'E2 — Triagem'!D78)</f>
        <v/>
      </c>
      <c r="I73" s="71"/>
      <c r="J73" s="41"/>
      <c r="K73" s="41"/>
      <c r="L73" s="71"/>
      <c r="M73" s="71"/>
      <c r="N73" s="71"/>
      <c r="O73" s="71"/>
      <c r="P73" s="41"/>
      <c r="Q73" s="41"/>
      <c r="R73" s="71"/>
      <c r="S73" s="71"/>
      <c r="T73" s="75"/>
      <c r="U73" s="75"/>
      <c r="V73" s="75"/>
      <c r="W73" s="58" t="str">
        <f t="shared" si="6"/>
        <v/>
      </c>
      <c r="X73" s="59" t="str">
        <f t="shared" si="7"/>
        <v/>
      </c>
      <c r="Y73" s="41"/>
      <c r="Z73" s="41"/>
      <c r="AA73" s="41"/>
      <c r="AB73" s="68" t="str">
        <f>IF($B73="","",'Workflow (Tracker)'!L96)</f>
        <v/>
      </c>
      <c r="AC73" s="69" t="str">
        <f>IF($B73="","",'E08 — Estabilização Hypercare'!K78)</f>
        <v/>
      </c>
      <c r="AD73" s="66" t="str">
        <f>IF($B73="","",'E08 — Estabilização Hypercare'!O78)</f>
        <v/>
      </c>
      <c r="AE73" s="66" t="str">
        <f>IF($B73="","",'E08 — Estabilização Hypercare'!Q78)</f>
        <v/>
      </c>
      <c r="AF73" s="66" t="str">
        <f>IF(OR($B73="",'E08 — Estabilização Hypercare'!R78=""),"",'E08 — Estabilização Hypercare'!R78)</f>
        <v/>
      </c>
      <c r="AG73" s="60" t="str">
        <f>IF($B73="","",'E08 — Estabilização Hypercare'!S78)</f>
        <v/>
      </c>
      <c r="AH73" s="61" t="str">
        <f>IF($B73="","",'E08 — Estabilização Hypercare'!T78)</f>
        <v/>
      </c>
      <c r="AI73" s="62" t="str">
        <f>IF($B73="","",'E08 — Estabilização Hypercare'!N78)</f>
        <v/>
      </c>
      <c r="AJ73" s="61" t="str">
        <f>IF(OR($B73="",'E08 — Estabilização Hypercare'!U78=""),"",'E08 — Estabilização Hypercare'!U78)</f>
        <v/>
      </c>
      <c r="AK73" s="60" t="str">
        <f t="shared" si="8"/>
        <v/>
      </c>
      <c r="AL73" s="65" t="str">
        <f t="shared" si="9"/>
        <v/>
      </c>
    </row>
    <row r="74" spans="2:38" s="42" customFormat="1" x14ac:dyDescent="0.35">
      <c r="B74" s="55" t="str">
        <f t="shared" si="5"/>
        <v/>
      </c>
      <c r="C74" s="40"/>
      <c r="D74" s="40"/>
      <c r="E74" s="41"/>
      <c r="F74" s="41"/>
      <c r="G74" s="41"/>
      <c r="H74" s="68" t="str">
        <f>IF('E2 — Triagem'!D79="","",'E2 — Triagem'!D79)</f>
        <v/>
      </c>
      <c r="I74" s="71"/>
      <c r="J74" s="41"/>
      <c r="K74" s="41"/>
      <c r="L74" s="71"/>
      <c r="M74" s="71"/>
      <c r="N74" s="71"/>
      <c r="O74" s="71"/>
      <c r="P74" s="41"/>
      <c r="Q74" s="41"/>
      <c r="R74" s="71"/>
      <c r="S74" s="71"/>
      <c r="T74" s="75"/>
      <c r="U74" s="75"/>
      <c r="V74" s="75"/>
      <c r="W74" s="58" t="str">
        <f t="shared" si="6"/>
        <v/>
      </c>
      <c r="X74" s="59" t="str">
        <f t="shared" si="7"/>
        <v/>
      </c>
      <c r="Y74" s="41"/>
      <c r="Z74" s="41"/>
      <c r="AA74" s="41"/>
      <c r="AB74" s="68" t="str">
        <f>IF($B74="","",'Workflow (Tracker)'!L97)</f>
        <v/>
      </c>
      <c r="AC74" s="69" t="str">
        <f>IF($B74="","",'E08 — Estabilização Hypercare'!K79)</f>
        <v/>
      </c>
      <c r="AD74" s="66" t="str">
        <f>IF($B74="","",'E08 — Estabilização Hypercare'!O79)</f>
        <v/>
      </c>
      <c r="AE74" s="66" t="str">
        <f>IF($B74="","",'E08 — Estabilização Hypercare'!Q79)</f>
        <v/>
      </c>
      <c r="AF74" s="66" t="str">
        <f>IF(OR($B74="",'E08 — Estabilização Hypercare'!R79=""),"",'E08 — Estabilização Hypercare'!R79)</f>
        <v/>
      </c>
      <c r="AG74" s="60" t="str">
        <f>IF($B74="","",'E08 — Estabilização Hypercare'!S79)</f>
        <v/>
      </c>
      <c r="AH74" s="61" t="str">
        <f>IF($B74="","",'E08 — Estabilização Hypercare'!T79)</f>
        <v/>
      </c>
      <c r="AI74" s="62" t="str">
        <f>IF($B74="","",'E08 — Estabilização Hypercare'!N79)</f>
        <v/>
      </c>
      <c r="AJ74" s="61" t="str">
        <f>IF(OR($B74="",'E08 — Estabilização Hypercare'!U79=""),"",'E08 — Estabilização Hypercare'!U79)</f>
        <v/>
      </c>
      <c r="AK74" s="60" t="str">
        <f t="shared" si="8"/>
        <v/>
      </c>
      <c r="AL74" s="65" t="str">
        <f t="shared" si="9"/>
        <v/>
      </c>
    </row>
    <row r="75" spans="2:38" s="42" customFormat="1" x14ac:dyDescent="0.35">
      <c r="B75" s="55" t="str">
        <f t="shared" si="5"/>
        <v/>
      </c>
      <c r="C75" s="40"/>
      <c r="D75" s="40"/>
      <c r="E75" s="41"/>
      <c r="F75" s="41"/>
      <c r="G75" s="41"/>
      <c r="H75" s="68" t="str">
        <f>IF('E2 — Triagem'!D80="","",'E2 — Triagem'!D80)</f>
        <v/>
      </c>
      <c r="I75" s="71"/>
      <c r="J75" s="41"/>
      <c r="K75" s="41"/>
      <c r="L75" s="71"/>
      <c r="M75" s="71"/>
      <c r="N75" s="71"/>
      <c r="O75" s="71"/>
      <c r="P75" s="41"/>
      <c r="Q75" s="41"/>
      <c r="R75" s="71"/>
      <c r="S75" s="71"/>
      <c r="T75" s="75"/>
      <c r="U75" s="75"/>
      <c r="V75" s="75"/>
      <c r="W75" s="58" t="str">
        <f t="shared" si="6"/>
        <v/>
      </c>
      <c r="X75" s="59" t="str">
        <f t="shared" si="7"/>
        <v/>
      </c>
      <c r="Y75" s="41"/>
      <c r="Z75" s="41"/>
      <c r="AA75" s="41"/>
      <c r="AB75" s="68" t="str">
        <f>IF($B75="","",'Workflow (Tracker)'!L98)</f>
        <v/>
      </c>
      <c r="AC75" s="69" t="str">
        <f>IF($B75="","",'E08 — Estabilização Hypercare'!K80)</f>
        <v/>
      </c>
      <c r="AD75" s="66" t="str">
        <f>IF($B75="","",'E08 — Estabilização Hypercare'!O80)</f>
        <v/>
      </c>
      <c r="AE75" s="66" t="str">
        <f>IF($B75="","",'E08 — Estabilização Hypercare'!Q80)</f>
        <v/>
      </c>
      <c r="AF75" s="66" t="str">
        <f>IF(OR($B75="",'E08 — Estabilização Hypercare'!R80=""),"",'E08 — Estabilização Hypercare'!R80)</f>
        <v/>
      </c>
      <c r="AG75" s="60" t="str">
        <f>IF($B75="","",'E08 — Estabilização Hypercare'!S80)</f>
        <v/>
      </c>
      <c r="AH75" s="61" t="str">
        <f>IF($B75="","",'E08 — Estabilização Hypercare'!T80)</f>
        <v/>
      </c>
      <c r="AI75" s="62" t="str">
        <f>IF($B75="","",'E08 — Estabilização Hypercare'!N80)</f>
        <v/>
      </c>
      <c r="AJ75" s="61" t="str">
        <f>IF(OR($B75="",'E08 — Estabilização Hypercare'!U80=""),"",'E08 — Estabilização Hypercare'!U80)</f>
        <v/>
      </c>
      <c r="AK75" s="60" t="str">
        <f t="shared" si="8"/>
        <v/>
      </c>
      <c r="AL75" s="65" t="str">
        <f t="shared" si="9"/>
        <v/>
      </c>
    </row>
    <row r="76" spans="2:38" s="42" customFormat="1" x14ac:dyDescent="0.35">
      <c r="B76" s="55" t="str">
        <f t="shared" si="5"/>
        <v/>
      </c>
      <c r="C76" s="40"/>
      <c r="D76" s="40"/>
      <c r="E76" s="41"/>
      <c r="F76" s="41"/>
      <c r="G76" s="41"/>
      <c r="H76" s="68" t="str">
        <f>IF('E2 — Triagem'!D81="","",'E2 — Triagem'!D81)</f>
        <v/>
      </c>
      <c r="I76" s="71"/>
      <c r="J76" s="41"/>
      <c r="K76" s="41"/>
      <c r="L76" s="71"/>
      <c r="M76" s="71"/>
      <c r="N76" s="71"/>
      <c r="O76" s="71"/>
      <c r="P76" s="41"/>
      <c r="Q76" s="41"/>
      <c r="R76" s="71"/>
      <c r="S76" s="71"/>
      <c r="T76" s="75"/>
      <c r="U76" s="75"/>
      <c r="V76" s="75"/>
      <c r="W76" s="58" t="str">
        <f t="shared" si="6"/>
        <v/>
      </c>
      <c r="X76" s="59" t="str">
        <f t="shared" si="7"/>
        <v/>
      </c>
      <c r="Y76" s="41"/>
      <c r="Z76" s="41"/>
      <c r="AA76" s="41"/>
      <c r="AB76" s="68" t="str">
        <f>IF($B76="","",'Workflow (Tracker)'!L99)</f>
        <v/>
      </c>
      <c r="AC76" s="69" t="str">
        <f>IF($B76="","",'E08 — Estabilização Hypercare'!K81)</f>
        <v/>
      </c>
      <c r="AD76" s="66" t="str">
        <f>IF($B76="","",'E08 — Estabilização Hypercare'!O81)</f>
        <v/>
      </c>
      <c r="AE76" s="66" t="str">
        <f>IF($B76="","",'E08 — Estabilização Hypercare'!Q81)</f>
        <v/>
      </c>
      <c r="AF76" s="66" t="str">
        <f>IF(OR($B76="",'E08 — Estabilização Hypercare'!R81=""),"",'E08 — Estabilização Hypercare'!R81)</f>
        <v/>
      </c>
      <c r="AG76" s="60" t="str">
        <f>IF($B76="","",'E08 — Estabilização Hypercare'!S81)</f>
        <v/>
      </c>
      <c r="AH76" s="61" t="str">
        <f>IF($B76="","",'E08 — Estabilização Hypercare'!T81)</f>
        <v/>
      </c>
      <c r="AI76" s="62" t="str">
        <f>IF($B76="","",'E08 — Estabilização Hypercare'!N81)</f>
        <v/>
      </c>
      <c r="AJ76" s="61" t="str">
        <f>IF(OR($B76="",'E08 — Estabilização Hypercare'!U81=""),"",'E08 — Estabilização Hypercare'!U81)</f>
        <v/>
      </c>
      <c r="AK76" s="60" t="str">
        <f t="shared" si="8"/>
        <v/>
      </c>
      <c r="AL76" s="65" t="str">
        <f t="shared" si="9"/>
        <v/>
      </c>
    </row>
    <row r="77" spans="2:38" s="42" customFormat="1" x14ac:dyDescent="0.35">
      <c r="B77" s="55" t="str">
        <f t="shared" si="5"/>
        <v/>
      </c>
      <c r="C77" s="40"/>
      <c r="D77" s="40"/>
      <c r="E77" s="41"/>
      <c r="F77" s="41"/>
      <c r="G77" s="41"/>
      <c r="H77" s="68" t="str">
        <f>IF('E2 — Triagem'!D82="","",'E2 — Triagem'!D82)</f>
        <v/>
      </c>
      <c r="I77" s="71"/>
      <c r="J77" s="41"/>
      <c r="K77" s="41"/>
      <c r="L77" s="71"/>
      <c r="M77" s="71"/>
      <c r="N77" s="71"/>
      <c r="O77" s="71"/>
      <c r="P77" s="41"/>
      <c r="Q77" s="41"/>
      <c r="R77" s="71"/>
      <c r="S77" s="71"/>
      <c r="T77" s="75"/>
      <c r="U77" s="75"/>
      <c r="V77" s="75"/>
      <c r="W77" s="58" t="str">
        <f t="shared" si="6"/>
        <v/>
      </c>
      <c r="X77" s="59" t="str">
        <f t="shared" si="7"/>
        <v/>
      </c>
      <c r="Y77" s="41"/>
      <c r="Z77" s="41"/>
      <c r="AA77" s="41"/>
      <c r="AB77" s="68" t="str">
        <f>IF($B77="","",'Workflow (Tracker)'!L100)</f>
        <v/>
      </c>
      <c r="AC77" s="69" t="str">
        <f>IF($B77="","",'E08 — Estabilização Hypercare'!K82)</f>
        <v/>
      </c>
      <c r="AD77" s="66" t="str">
        <f>IF($B77="","",'E08 — Estabilização Hypercare'!O82)</f>
        <v/>
      </c>
      <c r="AE77" s="66" t="str">
        <f>IF($B77="","",'E08 — Estabilização Hypercare'!Q82)</f>
        <v/>
      </c>
      <c r="AF77" s="66" t="str">
        <f>IF(OR($B77="",'E08 — Estabilização Hypercare'!R82=""),"",'E08 — Estabilização Hypercare'!R82)</f>
        <v/>
      </c>
      <c r="AG77" s="60" t="str">
        <f>IF($B77="","",'E08 — Estabilização Hypercare'!S82)</f>
        <v/>
      </c>
      <c r="AH77" s="61" t="str">
        <f>IF($B77="","",'E08 — Estabilização Hypercare'!T82)</f>
        <v/>
      </c>
      <c r="AI77" s="62" t="str">
        <f>IF($B77="","",'E08 — Estabilização Hypercare'!N82)</f>
        <v/>
      </c>
      <c r="AJ77" s="61" t="str">
        <f>IF(OR($B77="",'E08 — Estabilização Hypercare'!U82=""),"",'E08 — Estabilização Hypercare'!U82)</f>
        <v/>
      </c>
      <c r="AK77" s="60" t="str">
        <f t="shared" si="8"/>
        <v/>
      </c>
      <c r="AL77" s="65" t="str">
        <f t="shared" si="9"/>
        <v/>
      </c>
    </row>
    <row r="78" spans="2:38" s="42" customFormat="1" x14ac:dyDescent="0.35">
      <c r="B78" s="55" t="str">
        <f t="shared" si="5"/>
        <v/>
      </c>
      <c r="C78" s="40"/>
      <c r="D78" s="40"/>
      <c r="E78" s="41"/>
      <c r="F78" s="41"/>
      <c r="G78" s="41"/>
      <c r="H78" s="68" t="str">
        <f>IF('E2 — Triagem'!D83="","",'E2 — Triagem'!D83)</f>
        <v/>
      </c>
      <c r="I78" s="71"/>
      <c r="J78" s="41"/>
      <c r="K78" s="41"/>
      <c r="L78" s="71"/>
      <c r="M78" s="71"/>
      <c r="N78" s="71"/>
      <c r="O78" s="71"/>
      <c r="P78" s="41"/>
      <c r="Q78" s="41"/>
      <c r="R78" s="71"/>
      <c r="S78" s="71"/>
      <c r="T78" s="75"/>
      <c r="U78" s="75"/>
      <c r="V78" s="75"/>
      <c r="W78" s="58" t="str">
        <f t="shared" si="6"/>
        <v/>
      </c>
      <c r="X78" s="59" t="str">
        <f t="shared" si="7"/>
        <v/>
      </c>
      <c r="Y78" s="41"/>
      <c r="Z78" s="41"/>
      <c r="AA78" s="41"/>
      <c r="AB78" s="68" t="str">
        <f>IF($B78="","",'Workflow (Tracker)'!L101)</f>
        <v/>
      </c>
      <c r="AC78" s="69" t="str">
        <f>IF($B78="","",'E08 — Estabilização Hypercare'!K83)</f>
        <v/>
      </c>
      <c r="AD78" s="66" t="str">
        <f>IF($B78="","",'E08 — Estabilização Hypercare'!O83)</f>
        <v/>
      </c>
      <c r="AE78" s="66" t="str">
        <f>IF($B78="","",'E08 — Estabilização Hypercare'!Q83)</f>
        <v/>
      </c>
      <c r="AF78" s="66" t="str">
        <f>IF(OR($B78="",'E08 — Estabilização Hypercare'!R83=""),"",'E08 — Estabilização Hypercare'!R83)</f>
        <v/>
      </c>
      <c r="AG78" s="60" t="str">
        <f>IF($B78="","",'E08 — Estabilização Hypercare'!S83)</f>
        <v/>
      </c>
      <c r="AH78" s="61" t="str">
        <f>IF($B78="","",'E08 — Estabilização Hypercare'!T83)</f>
        <v/>
      </c>
      <c r="AI78" s="62" t="str">
        <f>IF($B78="","",'E08 — Estabilização Hypercare'!N83)</f>
        <v/>
      </c>
      <c r="AJ78" s="61" t="str">
        <f>IF(OR($B78="",'E08 — Estabilização Hypercare'!U83=""),"",'E08 — Estabilização Hypercare'!U83)</f>
        <v/>
      </c>
      <c r="AK78" s="60" t="str">
        <f t="shared" si="8"/>
        <v/>
      </c>
      <c r="AL78" s="65" t="str">
        <f t="shared" si="9"/>
        <v/>
      </c>
    </row>
    <row r="79" spans="2:38" s="42" customFormat="1" x14ac:dyDescent="0.35">
      <c r="B79" s="55" t="str">
        <f t="shared" si="5"/>
        <v/>
      </c>
      <c r="C79" s="40"/>
      <c r="D79" s="40"/>
      <c r="E79" s="41"/>
      <c r="F79" s="41"/>
      <c r="G79" s="41"/>
      <c r="H79" s="68" t="str">
        <f>IF('E2 — Triagem'!D84="","",'E2 — Triagem'!D84)</f>
        <v/>
      </c>
      <c r="I79" s="71"/>
      <c r="J79" s="41"/>
      <c r="K79" s="41"/>
      <c r="L79" s="71"/>
      <c r="M79" s="71"/>
      <c r="N79" s="71"/>
      <c r="O79" s="71"/>
      <c r="P79" s="41"/>
      <c r="Q79" s="41"/>
      <c r="R79" s="71"/>
      <c r="S79" s="71"/>
      <c r="T79" s="75"/>
      <c r="U79" s="75"/>
      <c r="V79" s="75"/>
      <c r="W79" s="58" t="str">
        <f t="shared" si="6"/>
        <v/>
      </c>
      <c r="X79" s="59" t="str">
        <f t="shared" si="7"/>
        <v/>
      </c>
      <c r="Y79" s="41"/>
      <c r="Z79" s="41"/>
      <c r="AA79" s="41"/>
      <c r="AB79" s="68" t="str">
        <f>IF($B79="","",'Workflow (Tracker)'!L102)</f>
        <v/>
      </c>
      <c r="AC79" s="69" t="str">
        <f>IF($B79="","",'E08 — Estabilização Hypercare'!K84)</f>
        <v/>
      </c>
      <c r="AD79" s="66" t="str">
        <f>IF($B79="","",'E08 — Estabilização Hypercare'!O84)</f>
        <v/>
      </c>
      <c r="AE79" s="66" t="str">
        <f>IF($B79="","",'E08 — Estabilização Hypercare'!Q84)</f>
        <v/>
      </c>
      <c r="AF79" s="66" t="str">
        <f>IF(OR($B79="",'E08 — Estabilização Hypercare'!R84=""),"",'E08 — Estabilização Hypercare'!R84)</f>
        <v/>
      </c>
      <c r="AG79" s="60" t="str">
        <f>IF($B79="","",'E08 — Estabilização Hypercare'!S84)</f>
        <v/>
      </c>
      <c r="AH79" s="61" t="str">
        <f>IF($B79="","",'E08 — Estabilização Hypercare'!T84)</f>
        <v/>
      </c>
      <c r="AI79" s="62" t="str">
        <f>IF($B79="","",'E08 — Estabilização Hypercare'!N84)</f>
        <v/>
      </c>
      <c r="AJ79" s="61" t="str">
        <f>IF(OR($B79="",'E08 — Estabilização Hypercare'!U84=""),"",'E08 — Estabilização Hypercare'!U84)</f>
        <v/>
      </c>
      <c r="AK79" s="60" t="str">
        <f t="shared" si="8"/>
        <v/>
      </c>
      <c r="AL79" s="65" t="str">
        <f t="shared" si="9"/>
        <v/>
      </c>
    </row>
    <row r="80" spans="2:38" s="42" customFormat="1" x14ac:dyDescent="0.35">
      <c r="B80" s="55" t="str">
        <f t="shared" si="5"/>
        <v/>
      </c>
      <c r="C80" s="40"/>
      <c r="D80" s="40"/>
      <c r="E80" s="41"/>
      <c r="F80" s="41"/>
      <c r="G80" s="41"/>
      <c r="H80" s="68" t="str">
        <f>IF('E2 — Triagem'!D85="","",'E2 — Triagem'!D85)</f>
        <v/>
      </c>
      <c r="I80" s="71"/>
      <c r="J80" s="41"/>
      <c r="K80" s="41"/>
      <c r="L80" s="71"/>
      <c r="M80" s="71"/>
      <c r="N80" s="71"/>
      <c r="O80" s="71"/>
      <c r="P80" s="41"/>
      <c r="Q80" s="41"/>
      <c r="R80" s="71"/>
      <c r="S80" s="71"/>
      <c r="T80" s="75"/>
      <c r="U80" s="75"/>
      <c r="V80" s="75"/>
      <c r="W80" s="58" t="str">
        <f t="shared" si="6"/>
        <v/>
      </c>
      <c r="X80" s="59" t="str">
        <f t="shared" si="7"/>
        <v/>
      </c>
      <c r="Y80" s="41"/>
      <c r="Z80" s="41"/>
      <c r="AA80" s="41"/>
      <c r="AB80" s="68" t="str">
        <f>IF($B80="","",'Workflow (Tracker)'!L103)</f>
        <v/>
      </c>
      <c r="AC80" s="69" t="str">
        <f>IF($B80="","",'E08 — Estabilização Hypercare'!K85)</f>
        <v/>
      </c>
      <c r="AD80" s="66" t="str">
        <f>IF($B80="","",'E08 — Estabilização Hypercare'!O85)</f>
        <v/>
      </c>
      <c r="AE80" s="66" t="str">
        <f>IF($B80="","",'E08 — Estabilização Hypercare'!Q85)</f>
        <v/>
      </c>
      <c r="AF80" s="66" t="str">
        <f>IF(OR($B80="",'E08 — Estabilização Hypercare'!R85=""),"",'E08 — Estabilização Hypercare'!R85)</f>
        <v/>
      </c>
      <c r="AG80" s="60" t="str">
        <f>IF($B80="","",'E08 — Estabilização Hypercare'!S85)</f>
        <v/>
      </c>
      <c r="AH80" s="61" t="str">
        <f>IF($B80="","",'E08 — Estabilização Hypercare'!T85)</f>
        <v/>
      </c>
      <c r="AI80" s="62" t="str">
        <f>IF($B80="","",'E08 — Estabilização Hypercare'!N85)</f>
        <v/>
      </c>
      <c r="AJ80" s="61" t="str">
        <f>IF(OR($B80="",'E08 — Estabilização Hypercare'!U85=""),"",'E08 — Estabilização Hypercare'!U85)</f>
        <v/>
      </c>
      <c r="AK80" s="60" t="str">
        <f t="shared" si="8"/>
        <v/>
      </c>
      <c r="AL80" s="65" t="str">
        <f t="shared" si="9"/>
        <v/>
      </c>
    </row>
    <row r="81" spans="2:38" s="42" customFormat="1" x14ac:dyDescent="0.35">
      <c r="B81" s="55" t="str">
        <f t="shared" si="5"/>
        <v/>
      </c>
      <c r="C81" s="40"/>
      <c r="D81" s="40"/>
      <c r="E81" s="41"/>
      <c r="F81" s="41"/>
      <c r="G81" s="41"/>
      <c r="H81" s="68" t="str">
        <f>IF('E2 — Triagem'!D86="","",'E2 — Triagem'!D86)</f>
        <v/>
      </c>
      <c r="I81" s="71"/>
      <c r="J81" s="41"/>
      <c r="K81" s="41"/>
      <c r="L81" s="71"/>
      <c r="M81" s="71"/>
      <c r="N81" s="71"/>
      <c r="O81" s="71"/>
      <c r="P81" s="41"/>
      <c r="Q81" s="41"/>
      <c r="R81" s="71"/>
      <c r="S81" s="71"/>
      <c r="T81" s="75"/>
      <c r="U81" s="75"/>
      <c r="V81" s="75"/>
      <c r="W81" s="58" t="str">
        <f t="shared" si="6"/>
        <v/>
      </c>
      <c r="X81" s="59" t="str">
        <f t="shared" si="7"/>
        <v/>
      </c>
      <c r="Y81" s="41"/>
      <c r="Z81" s="41"/>
      <c r="AA81" s="41"/>
      <c r="AB81" s="68" t="str">
        <f>IF($B81="","",'Workflow (Tracker)'!L104)</f>
        <v/>
      </c>
      <c r="AC81" s="69" t="str">
        <f>IF($B81="","",'E08 — Estabilização Hypercare'!K86)</f>
        <v/>
      </c>
      <c r="AD81" s="66" t="str">
        <f>IF($B81="","",'E08 — Estabilização Hypercare'!O86)</f>
        <v/>
      </c>
      <c r="AE81" s="66" t="str">
        <f>IF($B81="","",'E08 — Estabilização Hypercare'!Q86)</f>
        <v/>
      </c>
      <c r="AF81" s="66" t="str">
        <f>IF(OR($B81="",'E08 — Estabilização Hypercare'!R86=""),"",'E08 — Estabilização Hypercare'!R86)</f>
        <v/>
      </c>
      <c r="AG81" s="60" t="str">
        <f>IF($B81="","",'E08 — Estabilização Hypercare'!S86)</f>
        <v/>
      </c>
      <c r="AH81" s="61" t="str">
        <f>IF($B81="","",'E08 — Estabilização Hypercare'!T86)</f>
        <v/>
      </c>
      <c r="AI81" s="62" t="str">
        <f>IF($B81="","",'E08 — Estabilização Hypercare'!N86)</f>
        <v/>
      </c>
      <c r="AJ81" s="61" t="str">
        <f>IF(OR($B81="",'E08 — Estabilização Hypercare'!U86=""),"",'E08 — Estabilização Hypercare'!U86)</f>
        <v/>
      </c>
      <c r="AK81" s="60" t="str">
        <f t="shared" si="8"/>
        <v/>
      </c>
      <c r="AL81" s="65" t="str">
        <f t="shared" si="9"/>
        <v/>
      </c>
    </row>
    <row r="82" spans="2:38" s="42" customFormat="1" x14ac:dyDescent="0.35">
      <c r="B82" s="55" t="str">
        <f t="shared" si="5"/>
        <v/>
      </c>
      <c r="C82" s="40"/>
      <c r="D82" s="40"/>
      <c r="E82" s="41"/>
      <c r="F82" s="41"/>
      <c r="G82" s="41"/>
      <c r="H82" s="68" t="str">
        <f>IF('E2 — Triagem'!D87="","",'E2 — Triagem'!D87)</f>
        <v/>
      </c>
      <c r="I82" s="71"/>
      <c r="J82" s="41"/>
      <c r="K82" s="41"/>
      <c r="L82" s="71"/>
      <c r="M82" s="71"/>
      <c r="N82" s="71"/>
      <c r="O82" s="71"/>
      <c r="P82" s="41"/>
      <c r="Q82" s="41"/>
      <c r="R82" s="71"/>
      <c r="S82" s="71"/>
      <c r="T82" s="75"/>
      <c r="U82" s="75"/>
      <c r="V82" s="75"/>
      <c r="W82" s="58" t="str">
        <f t="shared" si="6"/>
        <v/>
      </c>
      <c r="X82" s="59" t="str">
        <f t="shared" si="7"/>
        <v/>
      </c>
      <c r="Y82" s="41"/>
      <c r="Z82" s="41"/>
      <c r="AA82" s="41"/>
      <c r="AB82" s="68" t="str">
        <f>IF($B82="","",'Workflow (Tracker)'!L105)</f>
        <v/>
      </c>
      <c r="AC82" s="69" t="str">
        <f>IF($B82="","",'E08 — Estabilização Hypercare'!K87)</f>
        <v/>
      </c>
      <c r="AD82" s="66" t="str">
        <f>IF($B82="","",'E08 — Estabilização Hypercare'!O87)</f>
        <v/>
      </c>
      <c r="AE82" s="66" t="str">
        <f>IF($B82="","",'E08 — Estabilização Hypercare'!Q87)</f>
        <v/>
      </c>
      <c r="AF82" s="66" t="str">
        <f>IF(OR($B82="",'E08 — Estabilização Hypercare'!R87=""),"",'E08 — Estabilização Hypercare'!R87)</f>
        <v/>
      </c>
      <c r="AG82" s="60" t="str">
        <f>IF($B82="","",'E08 — Estabilização Hypercare'!S87)</f>
        <v/>
      </c>
      <c r="AH82" s="61" t="str">
        <f>IF($B82="","",'E08 — Estabilização Hypercare'!T87)</f>
        <v/>
      </c>
      <c r="AI82" s="62" t="str">
        <f>IF($B82="","",'E08 — Estabilização Hypercare'!N87)</f>
        <v/>
      </c>
      <c r="AJ82" s="61" t="str">
        <f>IF(OR($B82="",'E08 — Estabilização Hypercare'!U87=""),"",'E08 — Estabilização Hypercare'!U87)</f>
        <v/>
      </c>
      <c r="AK82" s="60" t="str">
        <f t="shared" si="8"/>
        <v/>
      </c>
      <c r="AL82" s="65" t="str">
        <f t="shared" si="9"/>
        <v/>
      </c>
    </row>
    <row r="83" spans="2:38" s="42" customFormat="1" x14ac:dyDescent="0.35">
      <c r="B83" s="55" t="str">
        <f t="shared" si="5"/>
        <v/>
      </c>
      <c r="C83" s="40"/>
      <c r="D83" s="40"/>
      <c r="E83" s="41"/>
      <c r="F83" s="41"/>
      <c r="G83" s="41"/>
      <c r="H83" s="68" t="str">
        <f>IF('E2 — Triagem'!D88="","",'E2 — Triagem'!D88)</f>
        <v/>
      </c>
      <c r="I83" s="71"/>
      <c r="J83" s="41"/>
      <c r="K83" s="41"/>
      <c r="L83" s="71"/>
      <c r="M83" s="71"/>
      <c r="N83" s="71"/>
      <c r="O83" s="71"/>
      <c r="P83" s="41"/>
      <c r="Q83" s="41"/>
      <c r="R83" s="71"/>
      <c r="S83" s="71"/>
      <c r="T83" s="75"/>
      <c r="U83" s="75"/>
      <c r="V83" s="75"/>
      <c r="W83" s="58" t="str">
        <f t="shared" si="6"/>
        <v/>
      </c>
      <c r="X83" s="59" t="str">
        <f t="shared" si="7"/>
        <v/>
      </c>
      <c r="Y83" s="41"/>
      <c r="Z83" s="41"/>
      <c r="AA83" s="41"/>
      <c r="AB83" s="68" t="str">
        <f>IF($B83="","",'Workflow (Tracker)'!L106)</f>
        <v/>
      </c>
      <c r="AC83" s="69" t="str">
        <f>IF($B83="","",'E08 — Estabilização Hypercare'!K88)</f>
        <v/>
      </c>
      <c r="AD83" s="66" t="str">
        <f>IF($B83="","",'E08 — Estabilização Hypercare'!O88)</f>
        <v/>
      </c>
      <c r="AE83" s="66" t="str">
        <f>IF($B83="","",'E08 — Estabilização Hypercare'!Q88)</f>
        <v/>
      </c>
      <c r="AF83" s="66" t="str">
        <f>IF(OR($B83="",'E08 — Estabilização Hypercare'!R88=""),"",'E08 — Estabilização Hypercare'!R88)</f>
        <v/>
      </c>
      <c r="AG83" s="60" t="str">
        <f>IF($B83="","",'E08 — Estabilização Hypercare'!S88)</f>
        <v/>
      </c>
      <c r="AH83" s="61" t="str">
        <f>IF($B83="","",'E08 — Estabilização Hypercare'!T88)</f>
        <v/>
      </c>
      <c r="AI83" s="62" t="str">
        <f>IF($B83="","",'E08 — Estabilização Hypercare'!N88)</f>
        <v/>
      </c>
      <c r="AJ83" s="61" t="str">
        <f>IF(OR($B83="",'E08 — Estabilização Hypercare'!U88=""),"",'E08 — Estabilização Hypercare'!U88)</f>
        <v/>
      </c>
      <c r="AK83" s="60" t="str">
        <f t="shared" si="8"/>
        <v/>
      </c>
      <c r="AL83" s="65" t="str">
        <f t="shared" si="9"/>
        <v/>
      </c>
    </row>
    <row r="84" spans="2:38" s="42" customFormat="1" x14ac:dyDescent="0.35">
      <c r="B84" s="55" t="str">
        <f t="shared" si="5"/>
        <v/>
      </c>
      <c r="C84" s="40"/>
      <c r="D84" s="40"/>
      <c r="E84" s="41"/>
      <c r="F84" s="41"/>
      <c r="G84" s="41"/>
      <c r="H84" s="68" t="str">
        <f>IF('E2 — Triagem'!D89="","",'E2 — Triagem'!D89)</f>
        <v/>
      </c>
      <c r="I84" s="71"/>
      <c r="J84" s="41"/>
      <c r="K84" s="41"/>
      <c r="L84" s="71"/>
      <c r="M84" s="71"/>
      <c r="N84" s="71"/>
      <c r="O84" s="71"/>
      <c r="P84" s="41"/>
      <c r="Q84" s="41"/>
      <c r="R84" s="71"/>
      <c r="S84" s="71"/>
      <c r="T84" s="75"/>
      <c r="U84" s="75"/>
      <c r="V84" s="75"/>
      <c r="W84" s="58" t="str">
        <f t="shared" si="6"/>
        <v/>
      </c>
      <c r="X84" s="59" t="str">
        <f t="shared" si="7"/>
        <v/>
      </c>
      <c r="Y84" s="41"/>
      <c r="Z84" s="41"/>
      <c r="AA84" s="41"/>
      <c r="AB84" s="68" t="str">
        <f>IF($B84="","",'Workflow (Tracker)'!L107)</f>
        <v/>
      </c>
      <c r="AC84" s="69" t="str">
        <f>IF($B84="","",'E08 — Estabilização Hypercare'!K89)</f>
        <v/>
      </c>
      <c r="AD84" s="66" t="str">
        <f>IF($B84="","",'E08 — Estabilização Hypercare'!O89)</f>
        <v/>
      </c>
      <c r="AE84" s="66" t="str">
        <f>IF($B84="","",'E08 — Estabilização Hypercare'!Q89)</f>
        <v/>
      </c>
      <c r="AF84" s="66" t="str">
        <f>IF(OR($B84="",'E08 — Estabilização Hypercare'!R89=""),"",'E08 — Estabilização Hypercare'!R89)</f>
        <v/>
      </c>
      <c r="AG84" s="60" t="str">
        <f>IF($B84="","",'E08 — Estabilização Hypercare'!S89)</f>
        <v/>
      </c>
      <c r="AH84" s="61" t="str">
        <f>IF($B84="","",'E08 — Estabilização Hypercare'!T89)</f>
        <v/>
      </c>
      <c r="AI84" s="62" t="str">
        <f>IF($B84="","",'E08 — Estabilização Hypercare'!N89)</f>
        <v/>
      </c>
      <c r="AJ84" s="61" t="str">
        <f>IF(OR($B84="",'E08 — Estabilização Hypercare'!U89=""),"",'E08 — Estabilização Hypercare'!U89)</f>
        <v/>
      </c>
      <c r="AK84" s="60" t="str">
        <f t="shared" si="8"/>
        <v/>
      </c>
      <c r="AL84" s="65" t="str">
        <f t="shared" si="9"/>
        <v/>
      </c>
    </row>
    <row r="85" spans="2:38" s="42" customFormat="1" x14ac:dyDescent="0.35">
      <c r="B85" s="55" t="str">
        <f t="shared" si="5"/>
        <v/>
      </c>
      <c r="C85" s="40"/>
      <c r="D85" s="40"/>
      <c r="E85" s="41"/>
      <c r="F85" s="41"/>
      <c r="G85" s="41"/>
      <c r="H85" s="68" t="str">
        <f>IF('E2 — Triagem'!D90="","",'E2 — Triagem'!D90)</f>
        <v/>
      </c>
      <c r="I85" s="71"/>
      <c r="J85" s="41"/>
      <c r="K85" s="41"/>
      <c r="L85" s="71"/>
      <c r="M85" s="71"/>
      <c r="N85" s="71"/>
      <c r="O85" s="71"/>
      <c r="P85" s="41"/>
      <c r="Q85" s="41"/>
      <c r="R85" s="71"/>
      <c r="S85" s="71"/>
      <c r="T85" s="75"/>
      <c r="U85" s="75"/>
      <c r="V85" s="75"/>
      <c r="W85" s="58" t="str">
        <f t="shared" si="6"/>
        <v/>
      </c>
      <c r="X85" s="59" t="str">
        <f t="shared" si="7"/>
        <v/>
      </c>
      <c r="Y85" s="41"/>
      <c r="Z85" s="41"/>
      <c r="AA85" s="41"/>
      <c r="AB85" s="68" t="str">
        <f>IF($B85="","",'Workflow (Tracker)'!L108)</f>
        <v/>
      </c>
      <c r="AC85" s="69" t="str">
        <f>IF($B85="","",'E08 — Estabilização Hypercare'!K90)</f>
        <v/>
      </c>
      <c r="AD85" s="66" t="str">
        <f>IF($B85="","",'E08 — Estabilização Hypercare'!O90)</f>
        <v/>
      </c>
      <c r="AE85" s="66" t="str">
        <f>IF($B85="","",'E08 — Estabilização Hypercare'!Q90)</f>
        <v/>
      </c>
      <c r="AF85" s="66" t="str">
        <f>IF(OR($B85="",'E08 — Estabilização Hypercare'!R90=""),"",'E08 — Estabilização Hypercare'!R90)</f>
        <v/>
      </c>
      <c r="AG85" s="60" t="str">
        <f>IF($B85="","",'E08 — Estabilização Hypercare'!S90)</f>
        <v/>
      </c>
      <c r="AH85" s="61" t="str">
        <f>IF($B85="","",'E08 — Estabilização Hypercare'!T90)</f>
        <v/>
      </c>
      <c r="AI85" s="62" t="str">
        <f>IF($B85="","",'E08 — Estabilização Hypercare'!N90)</f>
        <v/>
      </c>
      <c r="AJ85" s="61" t="str">
        <f>IF(OR($B85="",'E08 — Estabilização Hypercare'!U90=""),"",'E08 — Estabilização Hypercare'!U90)</f>
        <v/>
      </c>
      <c r="AK85" s="60" t="str">
        <f t="shared" si="8"/>
        <v/>
      </c>
      <c r="AL85" s="65" t="str">
        <f t="shared" si="9"/>
        <v/>
      </c>
    </row>
    <row r="86" spans="2:38" s="42" customFormat="1" x14ac:dyDescent="0.35">
      <c r="B86" s="55" t="str">
        <f t="shared" si="5"/>
        <v/>
      </c>
      <c r="C86" s="40"/>
      <c r="D86" s="40"/>
      <c r="E86" s="41"/>
      <c r="F86" s="41"/>
      <c r="G86" s="41"/>
      <c r="H86" s="68" t="str">
        <f>IF('E2 — Triagem'!D91="","",'E2 — Triagem'!D91)</f>
        <v/>
      </c>
      <c r="I86" s="71"/>
      <c r="J86" s="41"/>
      <c r="K86" s="41"/>
      <c r="L86" s="71"/>
      <c r="M86" s="71"/>
      <c r="N86" s="71"/>
      <c r="O86" s="71"/>
      <c r="P86" s="41"/>
      <c r="Q86" s="41"/>
      <c r="R86" s="71"/>
      <c r="S86" s="71"/>
      <c r="T86" s="75"/>
      <c r="U86" s="75"/>
      <c r="V86" s="75"/>
      <c r="W86" s="58" t="str">
        <f t="shared" si="6"/>
        <v/>
      </c>
      <c r="X86" s="59" t="str">
        <f t="shared" si="7"/>
        <v/>
      </c>
      <c r="Y86" s="41"/>
      <c r="Z86" s="41"/>
      <c r="AA86" s="41"/>
      <c r="AB86" s="68" t="str">
        <f>IF($B86="","",'Workflow (Tracker)'!L109)</f>
        <v/>
      </c>
      <c r="AC86" s="69" t="str">
        <f>IF($B86="","",'E08 — Estabilização Hypercare'!K91)</f>
        <v/>
      </c>
      <c r="AD86" s="66" t="str">
        <f>IF($B86="","",'E08 — Estabilização Hypercare'!O91)</f>
        <v/>
      </c>
      <c r="AE86" s="66" t="str">
        <f>IF($B86="","",'E08 — Estabilização Hypercare'!Q91)</f>
        <v/>
      </c>
      <c r="AF86" s="66" t="str">
        <f>IF(OR($B86="",'E08 — Estabilização Hypercare'!R91=""),"",'E08 — Estabilização Hypercare'!R91)</f>
        <v/>
      </c>
      <c r="AG86" s="60" t="str">
        <f>IF($B86="","",'E08 — Estabilização Hypercare'!S91)</f>
        <v/>
      </c>
      <c r="AH86" s="61" t="str">
        <f>IF($B86="","",'E08 — Estabilização Hypercare'!T91)</f>
        <v/>
      </c>
      <c r="AI86" s="62" t="str">
        <f>IF($B86="","",'E08 — Estabilização Hypercare'!N91)</f>
        <v/>
      </c>
      <c r="AJ86" s="61" t="str">
        <f>IF(OR($B86="",'E08 — Estabilização Hypercare'!U91=""),"",'E08 — Estabilização Hypercare'!U91)</f>
        <v/>
      </c>
      <c r="AK86" s="60" t="str">
        <f t="shared" si="8"/>
        <v/>
      </c>
      <c r="AL86" s="65" t="str">
        <f t="shared" si="9"/>
        <v/>
      </c>
    </row>
    <row r="87" spans="2:38" s="42" customFormat="1" x14ac:dyDescent="0.35">
      <c r="B87" s="55" t="str">
        <f t="shared" si="5"/>
        <v/>
      </c>
      <c r="C87" s="40"/>
      <c r="D87" s="40"/>
      <c r="E87" s="41"/>
      <c r="F87" s="41"/>
      <c r="G87" s="41"/>
      <c r="H87" s="68" t="str">
        <f>IF('E2 — Triagem'!D92="","",'E2 — Triagem'!D92)</f>
        <v/>
      </c>
      <c r="I87" s="71"/>
      <c r="J87" s="41"/>
      <c r="K87" s="41"/>
      <c r="L87" s="71"/>
      <c r="M87" s="71"/>
      <c r="N87" s="71"/>
      <c r="O87" s="71"/>
      <c r="P87" s="41"/>
      <c r="Q87" s="41"/>
      <c r="R87" s="71"/>
      <c r="S87" s="71"/>
      <c r="T87" s="75"/>
      <c r="U87" s="75"/>
      <c r="V87" s="75"/>
      <c r="W87" s="58" t="str">
        <f t="shared" si="6"/>
        <v/>
      </c>
      <c r="X87" s="59" t="str">
        <f t="shared" si="7"/>
        <v/>
      </c>
      <c r="Y87" s="41"/>
      <c r="Z87" s="41"/>
      <c r="AA87" s="41"/>
      <c r="AB87" s="68" t="str">
        <f>IF($B87="","",'Workflow (Tracker)'!L110)</f>
        <v/>
      </c>
      <c r="AC87" s="69" t="str">
        <f>IF($B87="","",'E08 — Estabilização Hypercare'!K92)</f>
        <v/>
      </c>
      <c r="AD87" s="66" t="str">
        <f>IF($B87="","",'E08 — Estabilização Hypercare'!O92)</f>
        <v/>
      </c>
      <c r="AE87" s="66" t="str">
        <f>IF($B87="","",'E08 — Estabilização Hypercare'!Q92)</f>
        <v/>
      </c>
      <c r="AF87" s="66" t="str">
        <f>IF(OR($B87="",'E08 — Estabilização Hypercare'!R92=""),"",'E08 — Estabilização Hypercare'!R92)</f>
        <v/>
      </c>
      <c r="AG87" s="60" t="str">
        <f>IF($B87="","",'E08 — Estabilização Hypercare'!S92)</f>
        <v/>
      </c>
      <c r="AH87" s="61" t="str">
        <f>IF($B87="","",'E08 — Estabilização Hypercare'!T92)</f>
        <v/>
      </c>
      <c r="AI87" s="62" t="str">
        <f>IF($B87="","",'E08 — Estabilização Hypercare'!N92)</f>
        <v/>
      </c>
      <c r="AJ87" s="61" t="str">
        <f>IF(OR($B87="",'E08 — Estabilização Hypercare'!U92=""),"",'E08 — Estabilização Hypercare'!U92)</f>
        <v/>
      </c>
      <c r="AK87" s="60" t="str">
        <f t="shared" si="8"/>
        <v/>
      </c>
      <c r="AL87" s="65" t="str">
        <f t="shared" si="9"/>
        <v/>
      </c>
    </row>
    <row r="88" spans="2:38" s="42" customFormat="1" x14ac:dyDescent="0.35">
      <c r="B88" s="55" t="str">
        <f t="shared" si="5"/>
        <v/>
      </c>
      <c r="C88" s="40"/>
      <c r="D88" s="40"/>
      <c r="E88" s="41"/>
      <c r="F88" s="41"/>
      <c r="G88" s="41"/>
      <c r="H88" s="68" t="str">
        <f>IF('E2 — Triagem'!D93="","",'E2 — Triagem'!D93)</f>
        <v/>
      </c>
      <c r="I88" s="71"/>
      <c r="J88" s="41"/>
      <c r="K88" s="41"/>
      <c r="L88" s="71"/>
      <c r="M88" s="71"/>
      <c r="N88" s="71"/>
      <c r="O88" s="71"/>
      <c r="P88" s="41"/>
      <c r="Q88" s="41"/>
      <c r="R88" s="71"/>
      <c r="S88" s="71"/>
      <c r="T88" s="75"/>
      <c r="U88" s="75"/>
      <c r="V88" s="75"/>
      <c r="W88" s="58" t="str">
        <f t="shared" si="6"/>
        <v/>
      </c>
      <c r="X88" s="59" t="str">
        <f t="shared" si="7"/>
        <v/>
      </c>
      <c r="Y88" s="41"/>
      <c r="Z88" s="41"/>
      <c r="AA88" s="41"/>
      <c r="AB88" s="68" t="str">
        <f>IF($B88="","",'Workflow (Tracker)'!L111)</f>
        <v/>
      </c>
      <c r="AC88" s="69" t="str">
        <f>IF($B88="","",'E08 — Estabilização Hypercare'!K93)</f>
        <v/>
      </c>
      <c r="AD88" s="66" t="str">
        <f>IF($B88="","",'E08 — Estabilização Hypercare'!O93)</f>
        <v/>
      </c>
      <c r="AE88" s="66" t="str">
        <f>IF($B88="","",'E08 — Estabilização Hypercare'!Q93)</f>
        <v/>
      </c>
      <c r="AF88" s="66" t="str">
        <f>IF(OR($B88="",'E08 — Estabilização Hypercare'!R93=""),"",'E08 — Estabilização Hypercare'!R93)</f>
        <v/>
      </c>
      <c r="AG88" s="60" t="str">
        <f>IF($B88="","",'E08 — Estabilização Hypercare'!S93)</f>
        <v/>
      </c>
      <c r="AH88" s="61" t="str">
        <f>IF($B88="","",'E08 — Estabilização Hypercare'!T93)</f>
        <v/>
      </c>
      <c r="AI88" s="62" t="str">
        <f>IF($B88="","",'E08 — Estabilização Hypercare'!N93)</f>
        <v/>
      </c>
      <c r="AJ88" s="61" t="str">
        <f>IF(OR($B88="",'E08 — Estabilização Hypercare'!U93=""),"",'E08 — Estabilização Hypercare'!U93)</f>
        <v/>
      </c>
      <c r="AK88" s="60" t="str">
        <f t="shared" si="8"/>
        <v/>
      </c>
      <c r="AL88" s="65" t="str">
        <f t="shared" si="9"/>
        <v/>
      </c>
    </row>
    <row r="89" spans="2:38" s="42" customFormat="1" x14ac:dyDescent="0.35">
      <c r="B89" s="55" t="str">
        <f t="shared" si="5"/>
        <v/>
      </c>
      <c r="C89" s="40"/>
      <c r="D89" s="40"/>
      <c r="E89" s="41"/>
      <c r="F89" s="41"/>
      <c r="G89" s="41"/>
      <c r="H89" s="68" t="str">
        <f>IF('E2 — Triagem'!D94="","",'E2 — Triagem'!D94)</f>
        <v/>
      </c>
      <c r="I89" s="71"/>
      <c r="J89" s="41"/>
      <c r="K89" s="41"/>
      <c r="L89" s="71"/>
      <c r="M89" s="71"/>
      <c r="N89" s="71"/>
      <c r="O89" s="71"/>
      <c r="P89" s="41"/>
      <c r="Q89" s="41"/>
      <c r="R89" s="71"/>
      <c r="S89" s="71"/>
      <c r="T89" s="75"/>
      <c r="U89" s="75"/>
      <c r="V89" s="75"/>
      <c r="W89" s="58" t="str">
        <f t="shared" si="6"/>
        <v/>
      </c>
      <c r="X89" s="59" t="str">
        <f t="shared" si="7"/>
        <v/>
      </c>
      <c r="Y89" s="41"/>
      <c r="Z89" s="41"/>
      <c r="AA89" s="41"/>
      <c r="AB89" s="68" t="str">
        <f>IF($B89="","",'Workflow (Tracker)'!L112)</f>
        <v/>
      </c>
      <c r="AC89" s="69" t="str">
        <f>IF($B89="","",'E08 — Estabilização Hypercare'!K94)</f>
        <v/>
      </c>
      <c r="AD89" s="66" t="str">
        <f>IF($B89="","",'E08 — Estabilização Hypercare'!O94)</f>
        <v/>
      </c>
      <c r="AE89" s="66" t="str">
        <f>IF($B89="","",'E08 — Estabilização Hypercare'!Q94)</f>
        <v/>
      </c>
      <c r="AF89" s="66" t="str">
        <f>IF(OR($B89="",'E08 — Estabilização Hypercare'!R94=""),"",'E08 — Estabilização Hypercare'!R94)</f>
        <v/>
      </c>
      <c r="AG89" s="60" t="str">
        <f>IF($B89="","",'E08 — Estabilização Hypercare'!S94)</f>
        <v/>
      </c>
      <c r="AH89" s="61" t="str">
        <f>IF($B89="","",'E08 — Estabilização Hypercare'!T94)</f>
        <v/>
      </c>
      <c r="AI89" s="62" t="str">
        <f>IF($B89="","",'E08 — Estabilização Hypercare'!N94)</f>
        <v/>
      </c>
      <c r="AJ89" s="61" t="str">
        <f>IF(OR($B89="",'E08 — Estabilização Hypercare'!U94=""),"",'E08 — Estabilização Hypercare'!U94)</f>
        <v/>
      </c>
      <c r="AK89" s="60" t="str">
        <f t="shared" si="8"/>
        <v/>
      </c>
      <c r="AL89" s="65" t="str">
        <f t="shared" si="9"/>
        <v/>
      </c>
    </row>
    <row r="90" spans="2:38" s="42" customFormat="1" x14ac:dyDescent="0.35">
      <c r="B90" s="55" t="str">
        <f t="shared" si="5"/>
        <v/>
      </c>
      <c r="C90" s="40"/>
      <c r="D90" s="40"/>
      <c r="E90" s="41"/>
      <c r="F90" s="41"/>
      <c r="G90" s="41"/>
      <c r="H90" s="68" t="str">
        <f>IF('E2 — Triagem'!D95="","",'E2 — Triagem'!D95)</f>
        <v/>
      </c>
      <c r="I90" s="71"/>
      <c r="J90" s="41"/>
      <c r="K90" s="41"/>
      <c r="L90" s="71"/>
      <c r="M90" s="71"/>
      <c r="N90" s="71"/>
      <c r="O90" s="71"/>
      <c r="P90" s="41"/>
      <c r="Q90" s="41"/>
      <c r="R90" s="71"/>
      <c r="S90" s="71"/>
      <c r="T90" s="75"/>
      <c r="U90" s="75"/>
      <c r="V90" s="75"/>
      <c r="W90" s="58" t="str">
        <f t="shared" si="6"/>
        <v/>
      </c>
      <c r="X90" s="59" t="str">
        <f t="shared" si="7"/>
        <v/>
      </c>
      <c r="Y90" s="41"/>
      <c r="Z90" s="41"/>
      <c r="AA90" s="41"/>
      <c r="AB90" s="68" t="str">
        <f>IF($B90="","",'Workflow (Tracker)'!L113)</f>
        <v/>
      </c>
      <c r="AC90" s="69" t="str">
        <f>IF($B90="","",'E08 — Estabilização Hypercare'!K95)</f>
        <v/>
      </c>
      <c r="AD90" s="66" t="str">
        <f>IF($B90="","",'E08 — Estabilização Hypercare'!O95)</f>
        <v/>
      </c>
      <c r="AE90" s="66" t="str">
        <f>IF($B90="","",'E08 — Estabilização Hypercare'!Q95)</f>
        <v/>
      </c>
      <c r="AF90" s="66" t="str">
        <f>IF(OR($B90="",'E08 — Estabilização Hypercare'!R95=""),"",'E08 — Estabilização Hypercare'!R95)</f>
        <v/>
      </c>
      <c r="AG90" s="60" t="str">
        <f>IF($B90="","",'E08 — Estabilização Hypercare'!S95)</f>
        <v/>
      </c>
      <c r="AH90" s="61" t="str">
        <f>IF($B90="","",'E08 — Estabilização Hypercare'!T95)</f>
        <v/>
      </c>
      <c r="AI90" s="62" t="str">
        <f>IF($B90="","",'E08 — Estabilização Hypercare'!N95)</f>
        <v/>
      </c>
      <c r="AJ90" s="61" t="str">
        <f>IF(OR($B90="",'E08 — Estabilização Hypercare'!U95=""),"",'E08 — Estabilização Hypercare'!U95)</f>
        <v/>
      </c>
      <c r="AK90" s="60" t="str">
        <f t="shared" si="8"/>
        <v/>
      </c>
      <c r="AL90" s="65" t="str">
        <f t="shared" si="9"/>
        <v/>
      </c>
    </row>
    <row r="91" spans="2:38" s="42" customFormat="1" x14ac:dyDescent="0.35">
      <c r="B91" s="55" t="str">
        <f t="shared" si="5"/>
        <v/>
      </c>
      <c r="C91" s="40"/>
      <c r="D91" s="40"/>
      <c r="E91" s="41"/>
      <c r="F91" s="41"/>
      <c r="G91" s="41"/>
      <c r="H91" s="68" t="str">
        <f>IF('E2 — Triagem'!D96="","",'E2 — Triagem'!D96)</f>
        <v/>
      </c>
      <c r="I91" s="71"/>
      <c r="J91" s="41"/>
      <c r="K91" s="41"/>
      <c r="L91" s="71"/>
      <c r="M91" s="71"/>
      <c r="N91" s="71"/>
      <c r="O91" s="71"/>
      <c r="P91" s="41"/>
      <c r="Q91" s="41"/>
      <c r="R91" s="71"/>
      <c r="S91" s="71"/>
      <c r="T91" s="75"/>
      <c r="U91" s="75"/>
      <c r="V91" s="75"/>
      <c r="W91" s="58" t="str">
        <f t="shared" si="6"/>
        <v/>
      </c>
      <c r="X91" s="59" t="str">
        <f t="shared" si="7"/>
        <v/>
      </c>
      <c r="Y91" s="41"/>
      <c r="Z91" s="41"/>
      <c r="AA91" s="41"/>
      <c r="AB91" s="68" t="str">
        <f>IF($B91="","",'Workflow (Tracker)'!L114)</f>
        <v/>
      </c>
      <c r="AC91" s="69" t="str">
        <f>IF($B91="","",'E08 — Estabilização Hypercare'!K96)</f>
        <v/>
      </c>
      <c r="AD91" s="66" t="str">
        <f>IF($B91="","",'E08 — Estabilização Hypercare'!O96)</f>
        <v/>
      </c>
      <c r="AE91" s="66" t="str">
        <f>IF($B91="","",'E08 — Estabilização Hypercare'!Q96)</f>
        <v/>
      </c>
      <c r="AF91" s="66" t="str">
        <f>IF(OR($B91="",'E08 — Estabilização Hypercare'!R96=""),"",'E08 — Estabilização Hypercare'!R96)</f>
        <v/>
      </c>
      <c r="AG91" s="60" t="str">
        <f>IF($B91="","",'E08 — Estabilização Hypercare'!S96)</f>
        <v/>
      </c>
      <c r="AH91" s="61" t="str">
        <f>IF($B91="","",'E08 — Estabilização Hypercare'!T96)</f>
        <v/>
      </c>
      <c r="AI91" s="62" t="str">
        <f>IF($B91="","",'E08 — Estabilização Hypercare'!N96)</f>
        <v/>
      </c>
      <c r="AJ91" s="61" t="str">
        <f>IF(OR($B91="",'E08 — Estabilização Hypercare'!U96=""),"",'E08 — Estabilização Hypercare'!U96)</f>
        <v/>
      </c>
      <c r="AK91" s="60" t="str">
        <f t="shared" si="8"/>
        <v/>
      </c>
      <c r="AL91" s="65" t="str">
        <f t="shared" si="9"/>
        <v/>
      </c>
    </row>
    <row r="92" spans="2:38" s="42" customFormat="1" x14ac:dyDescent="0.35">
      <c r="B92" s="55" t="str">
        <f t="shared" si="5"/>
        <v/>
      </c>
      <c r="C92" s="40"/>
      <c r="D92" s="40"/>
      <c r="E92" s="41"/>
      <c r="F92" s="41"/>
      <c r="G92" s="41"/>
      <c r="H92" s="68" t="str">
        <f>IF('E2 — Triagem'!D97="","",'E2 — Triagem'!D97)</f>
        <v/>
      </c>
      <c r="I92" s="71"/>
      <c r="J92" s="41"/>
      <c r="K92" s="41"/>
      <c r="L92" s="71"/>
      <c r="M92" s="71"/>
      <c r="N92" s="71"/>
      <c r="O92" s="71"/>
      <c r="P92" s="41"/>
      <c r="Q92" s="41"/>
      <c r="R92" s="71"/>
      <c r="S92" s="71"/>
      <c r="T92" s="75"/>
      <c r="U92" s="75"/>
      <c r="V92" s="75"/>
      <c r="W92" s="58" t="str">
        <f t="shared" si="6"/>
        <v/>
      </c>
      <c r="X92" s="59" t="str">
        <f t="shared" si="7"/>
        <v/>
      </c>
      <c r="Y92" s="41"/>
      <c r="Z92" s="41"/>
      <c r="AA92" s="41"/>
      <c r="AB92" s="68" t="str">
        <f>IF($B92="","",'Workflow (Tracker)'!L115)</f>
        <v/>
      </c>
      <c r="AC92" s="69" t="str">
        <f>IF($B92="","",'E08 — Estabilização Hypercare'!K97)</f>
        <v/>
      </c>
      <c r="AD92" s="66" t="str">
        <f>IF($B92="","",'E08 — Estabilização Hypercare'!O97)</f>
        <v/>
      </c>
      <c r="AE92" s="66" t="str">
        <f>IF($B92="","",'E08 — Estabilização Hypercare'!Q97)</f>
        <v/>
      </c>
      <c r="AF92" s="66" t="str">
        <f>IF(OR($B92="",'E08 — Estabilização Hypercare'!R97=""),"",'E08 — Estabilização Hypercare'!R97)</f>
        <v/>
      </c>
      <c r="AG92" s="60" t="str">
        <f>IF($B92="","",'E08 — Estabilização Hypercare'!S97)</f>
        <v/>
      </c>
      <c r="AH92" s="61" t="str">
        <f>IF($B92="","",'E08 — Estabilização Hypercare'!T97)</f>
        <v/>
      </c>
      <c r="AI92" s="62" t="str">
        <f>IF($B92="","",'E08 — Estabilização Hypercare'!N97)</f>
        <v/>
      </c>
      <c r="AJ92" s="61" t="str">
        <f>IF(OR($B92="",'E08 — Estabilização Hypercare'!U97=""),"",'E08 — Estabilização Hypercare'!U97)</f>
        <v/>
      </c>
      <c r="AK92" s="60" t="str">
        <f t="shared" si="8"/>
        <v/>
      </c>
      <c r="AL92" s="65" t="str">
        <f t="shared" si="9"/>
        <v/>
      </c>
    </row>
    <row r="93" spans="2:38" s="42" customFormat="1" x14ac:dyDescent="0.35">
      <c r="B93" s="55" t="str">
        <f t="shared" si="5"/>
        <v/>
      </c>
      <c r="C93" s="40"/>
      <c r="D93" s="40"/>
      <c r="E93" s="41"/>
      <c r="F93" s="41"/>
      <c r="G93" s="41"/>
      <c r="H93" s="68" t="str">
        <f>IF('E2 — Triagem'!D98="","",'E2 — Triagem'!D98)</f>
        <v/>
      </c>
      <c r="I93" s="71"/>
      <c r="J93" s="41"/>
      <c r="K93" s="41"/>
      <c r="L93" s="71"/>
      <c r="M93" s="71"/>
      <c r="N93" s="71"/>
      <c r="O93" s="71"/>
      <c r="P93" s="41"/>
      <c r="Q93" s="41"/>
      <c r="R93" s="71"/>
      <c r="S93" s="71"/>
      <c r="T93" s="75"/>
      <c r="U93" s="75"/>
      <c r="V93" s="75"/>
      <c r="W93" s="58" t="str">
        <f t="shared" si="6"/>
        <v/>
      </c>
      <c r="X93" s="59" t="str">
        <f t="shared" si="7"/>
        <v/>
      </c>
      <c r="Y93" s="41"/>
      <c r="Z93" s="41"/>
      <c r="AA93" s="41"/>
      <c r="AB93" s="68" t="str">
        <f>IF($B93="","",'Workflow (Tracker)'!L116)</f>
        <v/>
      </c>
      <c r="AC93" s="69" t="str">
        <f>IF($B93="","",'E08 — Estabilização Hypercare'!K98)</f>
        <v/>
      </c>
      <c r="AD93" s="66" t="str">
        <f>IF($B93="","",'E08 — Estabilização Hypercare'!O98)</f>
        <v/>
      </c>
      <c r="AE93" s="66" t="str">
        <f>IF($B93="","",'E08 — Estabilização Hypercare'!Q98)</f>
        <v/>
      </c>
      <c r="AF93" s="66" t="str">
        <f>IF(OR($B93="",'E08 — Estabilização Hypercare'!R98=""),"",'E08 — Estabilização Hypercare'!R98)</f>
        <v/>
      </c>
      <c r="AG93" s="60" t="str">
        <f>IF($B93="","",'E08 — Estabilização Hypercare'!S98)</f>
        <v/>
      </c>
      <c r="AH93" s="61" t="str">
        <f>IF($B93="","",'E08 — Estabilização Hypercare'!T98)</f>
        <v/>
      </c>
      <c r="AI93" s="62" t="str">
        <f>IF($B93="","",'E08 — Estabilização Hypercare'!N98)</f>
        <v/>
      </c>
      <c r="AJ93" s="61" t="str">
        <f>IF(OR($B93="",'E08 — Estabilização Hypercare'!U98=""),"",'E08 — Estabilização Hypercare'!U98)</f>
        <v/>
      </c>
      <c r="AK93" s="60" t="str">
        <f t="shared" si="8"/>
        <v/>
      </c>
      <c r="AL93" s="65" t="str">
        <f t="shared" si="9"/>
        <v/>
      </c>
    </row>
    <row r="94" spans="2:38" s="42" customFormat="1" x14ac:dyDescent="0.35">
      <c r="B94" s="55" t="str">
        <f t="shared" si="5"/>
        <v/>
      </c>
      <c r="C94" s="40"/>
      <c r="D94" s="40"/>
      <c r="E94" s="41"/>
      <c r="F94" s="41"/>
      <c r="G94" s="41"/>
      <c r="H94" s="68" t="str">
        <f>IF('E2 — Triagem'!D99="","",'E2 — Triagem'!D99)</f>
        <v/>
      </c>
      <c r="I94" s="71"/>
      <c r="J94" s="41"/>
      <c r="K94" s="41"/>
      <c r="L94" s="71"/>
      <c r="M94" s="71"/>
      <c r="N94" s="71"/>
      <c r="O94" s="71"/>
      <c r="P94" s="41"/>
      <c r="Q94" s="41"/>
      <c r="R94" s="71"/>
      <c r="S94" s="71"/>
      <c r="T94" s="75"/>
      <c r="U94" s="75"/>
      <c r="V94" s="75"/>
      <c r="W94" s="58" t="str">
        <f t="shared" si="6"/>
        <v/>
      </c>
      <c r="X94" s="59" t="str">
        <f t="shared" si="7"/>
        <v/>
      </c>
      <c r="Y94" s="41"/>
      <c r="Z94" s="41"/>
      <c r="AA94" s="41"/>
      <c r="AB94" s="68" t="str">
        <f>IF($B94="","",'Workflow (Tracker)'!L117)</f>
        <v/>
      </c>
      <c r="AC94" s="69" t="str">
        <f>IF($B94="","",'E08 — Estabilização Hypercare'!K99)</f>
        <v/>
      </c>
      <c r="AD94" s="66" t="str">
        <f>IF($B94="","",'E08 — Estabilização Hypercare'!O99)</f>
        <v/>
      </c>
      <c r="AE94" s="66" t="str">
        <f>IF($B94="","",'E08 — Estabilização Hypercare'!Q99)</f>
        <v/>
      </c>
      <c r="AF94" s="66" t="str">
        <f>IF(OR($B94="",'E08 — Estabilização Hypercare'!R99=""),"",'E08 — Estabilização Hypercare'!R99)</f>
        <v/>
      </c>
      <c r="AG94" s="60" t="str">
        <f>IF($B94="","",'E08 — Estabilização Hypercare'!S99)</f>
        <v/>
      </c>
      <c r="AH94" s="61" t="str">
        <f>IF($B94="","",'E08 — Estabilização Hypercare'!T99)</f>
        <v/>
      </c>
      <c r="AI94" s="62" t="str">
        <f>IF($B94="","",'E08 — Estabilização Hypercare'!N99)</f>
        <v/>
      </c>
      <c r="AJ94" s="61" t="str">
        <f>IF(OR($B94="",'E08 — Estabilização Hypercare'!U99=""),"",'E08 — Estabilização Hypercare'!U99)</f>
        <v/>
      </c>
      <c r="AK94" s="60" t="str">
        <f t="shared" si="8"/>
        <v/>
      </c>
      <c r="AL94" s="65" t="str">
        <f t="shared" si="9"/>
        <v/>
      </c>
    </row>
    <row r="95" spans="2:38" s="42" customFormat="1" x14ac:dyDescent="0.35">
      <c r="B95" s="55" t="str">
        <f t="shared" si="5"/>
        <v/>
      </c>
      <c r="C95" s="40"/>
      <c r="D95" s="40"/>
      <c r="E95" s="41"/>
      <c r="F95" s="41"/>
      <c r="G95" s="41"/>
      <c r="H95" s="68" t="str">
        <f>IF('E2 — Triagem'!D100="","",'E2 — Triagem'!D100)</f>
        <v/>
      </c>
      <c r="I95" s="71"/>
      <c r="J95" s="41"/>
      <c r="K95" s="41"/>
      <c r="L95" s="71"/>
      <c r="M95" s="71"/>
      <c r="N95" s="71"/>
      <c r="O95" s="71"/>
      <c r="P95" s="41"/>
      <c r="Q95" s="41"/>
      <c r="R95" s="71"/>
      <c r="S95" s="71"/>
      <c r="T95" s="75"/>
      <c r="U95" s="75"/>
      <c r="V95" s="75"/>
      <c r="W95" s="58" t="str">
        <f t="shared" si="6"/>
        <v/>
      </c>
      <c r="X95" s="59" t="str">
        <f t="shared" si="7"/>
        <v/>
      </c>
      <c r="Y95" s="41"/>
      <c r="Z95" s="41"/>
      <c r="AA95" s="41"/>
      <c r="AB95" s="68" t="str">
        <f>IF($B95="","",'Workflow (Tracker)'!L118)</f>
        <v/>
      </c>
      <c r="AC95" s="69" t="str">
        <f>IF($B95="","",'E08 — Estabilização Hypercare'!K100)</f>
        <v/>
      </c>
      <c r="AD95" s="66" t="str">
        <f>IF($B95="","",'E08 — Estabilização Hypercare'!O100)</f>
        <v/>
      </c>
      <c r="AE95" s="66" t="str">
        <f>IF($B95="","",'E08 — Estabilização Hypercare'!Q100)</f>
        <v/>
      </c>
      <c r="AF95" s="66" t="str">
        <f>IF(OR($B95="",'E08 — Estabilização Hypercare'!R100=""),"",'E08 — Estabilização Hypercare'!R100)</f>
        <v/>
      </c>
      <c r="AG95" s="60" t="str">
        <f>IF($B95="","",'E08 — Estabilização Hypercare'!S100)</f>
        <v/>
      </c>
      <c r="AH95" s="61" t="str">
        <f>IF($B95="","",'E08 — Estabilização Hypercare'!T100)</f>
        <v/>
      </c>
      <c r="AI95" s="62" t="str">
        <f>IF($B95="","",'E08 — Estabilização Hypercare'!N100)</f>
        <v/>
      </c>
      <c r="AJ95" s="61" t="str">
        <f>IF(OR($B95="",'E08 — Estabilização Hypercare'!U100=""),"",'E08 — Estabilização Hypercare'!U100)</f>
        <v/>
      </c>
      <c r="AK95" s="60" t="str">
        <f t="shared" si="8"/>
        <v/>
      </c>
      <c r="AL95" s="65" t="str">
        <f t="shared" si="9"/>
        <v/>
      </c>
    </row>
    <row r="96" spans="2:38" s="42" customFormat="1" x14ac:dyDescent="0.35">
      <c r="B96" s="55" t="str">
        <f t="shared" si="5"/>
        <v/>
      </c>
      <c r="C96" s="40"/>
      <c r="D96" s="40"/>
      <c r="E96" s="41"/>
      <c r="F96" s="41"/>
      <c r="G96" s="41"/>
      <c r="H96" s="68" t="str">
        <f>IF('E2 — Triagem'!D101="","",'E2 — Triagem'!D101)</f>
        <v/>
      </c>
      <c r="I96" s="71"/>
      <c r="J96" s="41"/>
      <c r="K96" s="41"/>
      <c r="L96" s="71"/>
      <c r="M96" s="71"/>
      <c r="N96" s="71"/>
      <c r="O96" s="71"/>
      <c r="P96" s="41"/>
      <c r="Q96" s="41"/>
      <c r="R96" s="71"/>
      <c r="S96" s="71"/>
      <c r="T96" s="75"/>
      <c r="U96" s="75"/>
      <c r="V96" s="75"/>
      <c r="W96" s="58" t="str">
        <f t="shared" si="6"/>
        <v/>
      </c>
      <c r="X96" s="59" t="str">
        <f t="shared" si="7"/>
        <v/>
      </c>
      <c r="Y96" s="41"/>
      <c r="Z96" s="41"/>
      <c r="AA96" s="41"/>
      <c r="AB96" s="68" t="str">
        <f>IF($B96="","",'Workflow (Tracker)'!L119)</f>
        <v/>
      </c>
      <c r="AC96" s="69" t="str">
        <f>IF($B96="","",'E08 — Estabilização Hypercare'!K101)</f>
        <v/>
      </c>
      <c r="AD96" s="66" t="str">
        <f>IF($B96="","",'E08 — Estabilização Hypercare'!O101)</f>
        <v/>
      </c>
      <c r="AE96" s="66" t="str">
        <f>IF($B96="","",'E08 — Estabilização Hypercare'!Q101)</f>
        <v/>
      </c>
      <c r="AF96" s="66" t="str">
        <f>IF(OR($B96="",'E08 — Estabilização Hypercare'!R101=""),"",'E08 — Estabilização Hypercare'!R101)</f>
        <v/>
      </c>
      <c r="AG96" s="60" t="str">
        <f>IF($B96="","",'E08 — Estabilização Hypercare'!S101)</f>
        <v/>
      </c>
      <c r="AH96" s="61" t="str">
        <f>IF($B96="","",'E08 — Estabilização Hypercare'!T101)</f>
        <v/>
      </c>
      <c r="AI96" s="62" t="str">
        <f>IF($B96="","",'E08 — Estabilização Hypercare'!N101)</f>
        <v/>
      </c>
      <c r="AJ96" s="61" t="str">
        <f>IF(OR($B96="",'E08 — Estabilização Hypercare'!U101=""),"",'E08 — Estabilização Hypercare'!U101)</f>
        <v/>
      </c>
      <c r="AK96" s="60" t="str">
        <f t="shared" si="8"/>
        <v/>
      </c>
      <c r="AL96" s="65" t="str">
        <f t="shared" si="9"/>
        <v/>
      </c>
    </row>
    <row r="97" spans="2:38" s="42" customFormat="1" x14ac:dyDescent="0.35">
      <c r="B97" s="55" t="str">
        <f t="shared" si="5"/>
        <v/>
      </c>
      <c r="C97" s="40"/>
      <c r="D97" s="40"/>
      <c r="E97" s="41"/>
      <c r="F97" s="41"/>
      <c r="G97" s="41"/>
      <c r="H97" s="68" t="str">
        <f>IF('E2 — Triagem'!D102="","",'E2 — Triagem'!D102)</f>
        <v/>
      </c>
      <c r="I97" s="71"/>
      <c r="J97" s="41"/>
      <c r="K97" s="41"/>
      <c r="L97" s="71"/>
      <c r="M97" s="71"/>
      <c r="N97" s="71"/>
      <c r="O97" s="71"/>
      <c r="P97" s="41"/>
      <c r="Q97" s="41"/>
      <c r="R97" s="71"/>
      <c r="S97" s="71"/>
      <c r="T97" s="75"/>
      <c r="U97" s="75"/>
      <c r="V97" s="75"/>
      <c r="W97" s="58" t="str">
        <f t="shared" si="6"/>
        <v/>
      </c>
      <c r="X97" s="59" t="str">
        <f t="shared" si="7"/>
        <v/>
      </c>
      <c r="Y97" s="41"/>
      <c r="Z97" s="41"/>
      <c r="AA97" s="41"/>
      <c r="AB97" s="68" t="str">
        <f>IF($B97="","",'Workflow (Tracker)'!L120)</f>
        <v/>
      </c>
      <c r="AC97" s="69" t="str">
        <f>IF($B97="","",'E08 — Estabilização Hypercare'!K102)</f>
        <v/>
      </c>
      <c r="AD97" s="66" t="str">
        <f>IF($B97="","",'E08 — Estabilização Hypercare'!O102)</f>
        <v/>
      </c>
      <c r="AE97" s="66" t="str">
        <f>IF($B97="","",'E08 — Estabilização Hypercare'!Q102)</f>
        <v/>
      </c>
      <c r="AF97" s="66" t="str">
        <f>IF(OR($B97="",'E08 — Estabilização Hypercare'!R102=""),"",'E08 — Estabilização Hypercare'!R102)</f>
        <v/>
      </c>
      <c r="AG97" s="60" t="str">
        <f>IF($B97="","",'E08 — Estabilização Hypercare'!S102)</f>
        <v/>
      </c>
      <c r="AH97" s="61" t="str">
        <f>IF($B97="","",'E08 — Estabilização Hypercare'!T102)</f>
        <v/>
      </c>
      <c r="AI97" s="62" t="str">
        <f>IF($B97="","",'E08 — Estabilização Hypercare'!N102)</f>
        <v/>
      </c>
      <c r="AJ97" s="61" t="str">
        <f>IF(OR($B97="",'E08 — Estabilização Hypercare'!U102=""),"",'E08 — Estabilização Hypercare'!U102)</f>
        <v/>
      </c>
      <c r="AK97" s="60" t="str">
        <f t="shared" si="8"/>
        <v/>
      </c>
      <c r="AL97" s="65" t="str">
        <f t="shared" si="9"/>
        <v/>
      </c>
    </row>
    <row r="98" spans="2:38" s="42" customFormat="1" x14ac:dyDescent="0.35">
      <c r="B98" s="55" t="str">
        <f t="shared" si="5"/>
        <v/>
      </c>
      <c r="C98" s="40"/>
      <c r="D98" s="40"/>
      <c r="E98" s="41"/>
      <c r="F98" s="41"/>
      <c r="G98" s="41"/>
      <c r="H98" s="68" t="str">
        <f>IF('E2 — Triagem'!D103="","",'E2 — Triagem'!D103)</f>
        <v/>
      </c>
      <c r="I98" s="71"/>
      <c r="J98" s="41"/>
      <c r="K98" s="41"/>
      <c r="L98" s="71"/>
      <c r="M98" s="71"/>
      <c r="N98" s="71"/>
      <c r="O98" s="71"/>
      <c r="P98" s="41"/>
      <c r="Q98" s="41"/>
      <c r="R98" s="71"/>
      <c r="S98" s="71"/>
      <c r="T98" s="75"/>
      <c r="U98" s="75"/>
      <c r="V98" s="75"/>
      <c r="W98" s="58" t="str">
        <f t="shared" si="6"/>
        <v/>
      </c>
      <c r="X98" s="59" t="str">
        <f t="shared" si="7"/>
        <v/>
      </c>
      <c r="Y98" s="41"/>
      <c r="Z98" s="41"/>
      <c r="AA98" s="41"/>
      <c r="AB98" s="68" t="str">
        <f>IF($B98="","",'Workflow (Tracker)'!L121)</f>
        <v/>
      </c>
      <c r="AC98" s="69" t="str">
        <f>IF($B98="","",'E08 — Estabilização Hypercare'!K103)</f>
        <v/>
      </c>
      <c r="AD98" s="66" t="str">
        <f>IF($B98="","",'E08 — Estabilização Hypercare'!O103)</f>
        <v/>
      </c>
      <c r="AE98" s="66" t="str">
        <f>IF($B98="","",'E08 — Estabilização Hypercare'!Q103)</f>
        <v/>
      </c>
      <c r="AF98" s="66" t="str">
        <f>IF(OR($B98="",'E08 — Estabilização Hypercare'!R103=""),"",'E08 — Estabilização Hypercare'!R103)</f>
        <v/>
      </c>
      <c r="AG98" s="60" t="str">
        <f>IF($B98="","",'E08 — Estabilização Hypercare'!S103)</f>
        <v/>
      </c>
      <c r="AH98" s="61" t="str">
        <f>IF($B98="","",'E08 — Estabilização Hypercare'!T103)</f>
        <v/>
      </c>
      <c r="AI98" s="62" t="str">
        <f>IF($B98="","",'E08 — Estabilização Hypercare'!N103)</f>
        <v/>
      </c>
      <c r="AJ98" s="61" t="str">
        <f>IF(OR($B98="",'E08 — Estabilização Hypercare'!U103=""),"",'E08 — Estabilização Hypercare'!U103)</f>
        <v/>
      </c>
      <c r="AK98" s="60" t="str">
        <f t="shared" si="8"/>
        <v/>
      </c>
      <c r="AL98" s="65" t="str">
        <f t="shared" si="9"/>
        <v/>
      </c>
    </row>
    <row r="99" spans="2:38" s="42" customFormat="1" x14ac:dyDescent="0.35">
      <c r="B99" s="55" t="str">
        <f t="shared" si="5"/>
        <v/>
      </c>
      <c r="C99" s="40"/>
      <c r="D99" s="40"/>
      <c r="E99" s="41"/>
      <c r="F99" s="41"/>
      <c r="G99" s="41"/>
      <c r="H99" s="68" t="str">
        <f>IF('E2 — Triagem'!D104="","",'E2 — Triagem'!D104)</f>
        <v/>
      </c>
      <c r="I99" s="71"/>
      <c r="J99" s="41"/>
      <c r="K99" s="41"/>
      <c r="L99" s="71"/>
      <c r="M99" s="71"/>
      <c r="N99" s="71"/>
      <c r="O99" s="71"/>
      <c r="P99" s="41"/>
      <c r="Q99" s="41"/>
      <c r="R99" s="71"/>
      <c r="S99" s="71"/>
      <c r="T99" s="75"/>
      <c r="U99" s="75"/>
      <c r="V99" s="75"/>
      <c r="W99" s="58" t="str">
        <f t="shared" si="6"/>
        <v/>
      </c>
      <c r="X99" s="59" t="str">
        <f t="shared" si="7"/>
        <v/>
      </c>
      <c r="Y99" s="41"/>
      <c r="Z99" s="41"/>
      <c r="AA99" s="41"/>
      <c r="AB99" s="68" t="str">
        <f>IF($B99="","",'Workflow (Tracker)'!L122)</f>
        <v/>
      </c>
      <c r="AC99" s="69" t="str">
        <f>IF($B99="","",'E08 — Estabilização Hypercare'!K104)</f>
        <v/>
      </c>
      <c r="AD99" s="66" t="str">
        <f>IF($B99="","",'E08 — Estabilização Hypercare'!O104)</f>
        <v/>
      </c>
      <c r="AE99" s="66" t="str">
        <f>IF($B99="","",'E08 — Estabilização Hypercare'!Q104)</f>
        <v/>
      </c>
      <c r="AF99" s="66" t="str">
        <f>IF(OR($B99="",'E08 — Estabilização Hypercare'!R104=""),"",'E08 — Estabilização Hypercare'!R104)</f>
        <v/>
      </c>
      <c r="AG99" s="60" t="str">
        <f>IF($B99="","",'E08 — Estabilização Hypercare'!S104)</f>
        <v/>
      </c>
      <c r="AH99" s="61" t="str">
        <f>IF($B99="","",'E08 — Estabilização Hypercare'!T104)</f>
        <v/>
      </c>
      <c r="AI99" s="62" t="str">
        <f>IF($B99="","",'E08 — Estabilização Hypercare'!N104)</f>
        <v/>
      </c>
      <c r="AJ99" s="61" t="str">
        <f>IF(OR($B99="",'E08 — Estabilização Hypercare'!U104=""),"",'E08 — Estabilização Hypercare'!U104)</f>
        <v/>
      </c>
      <c r="AK99" s="60" t="str">
        <f t="shared" si="8"/>
        <v/>
      </c>
      <c r="AL99" s="65" t="str">
        <f t="shared" si="9"/>
        <v/>
      </c>
    </row>
    <row r="100" spans="2:38" s="42" customFormat="1" x14ac:dyDescent="0.35">
      <c r="B100" s="55" t="str">
        <f t="shared" si="5"/>
        <v/>
      </c>
      <c r="C100" s="40"/>
      <c r="D100" s="40"/>
      <c r="E100" s="41"/>
      <c r="F100" s="41"/>
      <c r="G100" s="41"/>
      <c r="H100" s="68" t="str">
        <f>IF('E2 — Triagem'!D105="","",'E2 — Triagem'!D105)</f>
        <v/>
      </c>
      <c r="I100" s="71"/>
      <c r="J100" s="41"/>
      <c r="K100" s="41"/>
      <c r="L100" s="71"/>
      <c r="M100" s="71"/>
      <c r="N100" s="71"/>
      <c r="O100" s="71"/>
      <c r="P100" s="41"/>
      <c r="Q100" s="41"/>
      <c r="R100" s="71"/>
      <c r="S100" s="71"/>
      <c r="T100" s="75"/>
      <c r="U100" s="75"/>
      <c r="V100" s="75"/>
      <c r="W100" s="58" t="str">
        <f t="shared" si="6"/>
        <v/>
      </c>
      <c r="X100" s="59" t="str">
        <f t="shared" si="7"/>
        <v/>
      </c>
      <c r="Y100" s="41"/>
      <c r="Z100" s="41"/>
      <c r="AA100" s="41"/>
      <c r="AB100" s="68" t="str">
        <f>IF($B100="","",'Workflow (Tracker)'!L123)</f>
        <v/>
      </c>
      <c r="AC100" s="69" t="str">
        <f>IF($B100="","",'E08 — Estabilização Hypercare'!K105)</f>
        <v/>
      </c>
      <c r="AD100" s="66" t="str">
        <f>IF($B100="","",'E08 — Estabilização Hypercare'!O105)</f>
        <v/>
      </c>
      <c r="AE100" s="66" t="str">
        <f>IF($B100="","",'E08 — Estabilização Hypercare'!Q105)</f>
        <v/>
      </c>
      <c r="AF100" s="66" t="str">
        <f>IF(OR($B100="",'E08 — Estabilização Hypercare'!R105=""),"",'E08 — Estabilização Hypercare'!R105)</f>
        <v/>
      </c>
      <c r="AG100" s="60" t="str">
        <f>IF($B100="","",'E08 — Estabilização Hypercare'!S105)</f>
        <v/>
      </c>
      <c r="AH100" s="61" t="str">
        <f>IF($B100="","",'E08 — Estabilização Hypercare'!T105)</f>
        <v/>
      </c>
      <c r="AI100" s="62" t="str">
        <f>IF($B100="","",'E08 — Estabilização Hypercare'!N105)</f>
        <v/>
      </c>
      <c r="AJ100" s="61" t="str">
        <f>IF(OR($B100="",'E08 — Estabilização Hypercare'!U105=""),"",'E08 — Estabilização Hypercare'!U105)</f>
        <v/>
      </c>
      <c r="AK100" s="60" t="str">
        <f t="shared" si="8"/>
        <v/>
      </c>
      <c r="AL100" s="65" t="str">
        <f t="shared" si="9"/>
        <v/>
      </c>
    </row>
    <row r="101" spans="2:38" s="42" customFormat="1" x14ac:dyDescent="0.35">
      <c r="B101" s="55" t="str">
        <f t="shared" si="5"/>
        <v/>
      </c>
      <c r="C101" s="40"/>
      <c r="D101" s="40"/>
      <c r="E101" s="41"/>
      <c r="F101" s="41"/>
      <c r="G101" s="41"/>
      <c r="H101" s="68" t="str">
        <f>IF('E2 — Triagem'!D106="","",'E2 — Triagem'!D106)</f>
        <v/>
      </c>
      <c r="I101" s="71"/>
      <c r="J101" s="41"/>
      <c r="K101" s="41"/>
      <c r="L101" s="71"/>
      <c r="M101" s="71"/>
      <c r="N101" s="71"/>
      <c r="O101" s="71"/>
      <c r="P101" s="41"/>
      <c r="Q101" s="41"/>
      <c r="R101" s="71"/>
      <c r="S101" s="71"/>
      <c r="T101" s="75"/>
      <c r="U101" s="75"/>
      <c r="V101" s="75"/>
      <c r="W101" s="58" t="str">
        <f t="shared" si="6"/>
        <v/>
      </c>
      <c r="X101" s="59" t="str">
        <f t="shared" si="7"/>
        <v/>
      </c>
      <c r="Y101" s="41"/>
      <c r="Z101" s="41"/>
      <c r="AA101" s="41"/>
      <c r="AB101" s="68" t="str">
        <f>IF($B101="","",'Workflow (Tracker)'!L124)</f>
        <v/>
      </c>
      <c r="AC101" s="69" t="str">
        <f>IF($B101="","",'E08 — Estabilização Hypercare'!K106)</f>
        <v/>
      </c>
      <c r="AD101" s="66" t="str">
        <f>IF($B101="","",'E08 — Estabilização Hypercare'!O106)</f>
        <v/>
      </c>
      <c r="AE101" s="66" t="str">
        <f>IF($B101="","",'E08 — Estabilização Hypercare'!Q106)</f>
        <v/>
      </c>
      <c r="AF101" s="66" t="str">
        <f>IF(OR($B101="",'E08 — Estabilização Hypercare'!R106=""),"",'E08 — Estabilização Hypercare'!R106)</f>
        <v/>
      </c>
      <c r="AG101" s="60" t="str">
        <f>IF($B101="","",'E08 — Estabilização Hypercare'!S106)</f>
        <v/>
      </c>
      <c r="AH101" s="61" t="str">
        <f>IF($B101="","",'E08 — Estabilização Hypercare'!T106)</f>
        <v/>
      </c>
      <c r="AI101" s="62" t="str">
        <f>IF($B101="","",'E08 — Estabilização Hypercare'!N106)</f>
        <v/>
      </c>
      <c r="AJ101" s="61" t="str">
        <f>IF(OR($B101="",'E08 — Estabilização Hypercare'!U106=""),"",'E08 — Estabilização Hypercare'!U106)</f>
        <v/>
      </c>
      <c r="AK101" s="60" t="str">
        <f t="shared" si="8"/>
        <v/>
      </c>
      <c r="AL101" s="65" t="str">
        <f t="shared" si="9"/>
        <v/>
      </c>
    </row>
    <row r="102" spans="2:38" s="42" customFormat="1" x14ac:dyDescent="0.35">
      <c r="B102" s="55" t="str">
        <f t="shared" si="5"/>
        <v/>
      </c>
      <c r="C102" s="40"/>
      <c r="D102" s="40"/>
      <c r="E102" s="41"/>
      <c r="F102" s="41"/>
      <c r="G102" s="41"/>
      <c r="H102" s="68" t="str">
        <f>IF('E2 — Triagem'!D107="","",'E2 — Triagem'!D107)</f>
        <v/>
      </c>
      <c r="I102" s="71"/>
      <c r="J102" s="41"/>
      <c r="K102" s="41"/>
      <c r="L102" s="71"/>
      <c r="M102" s="71"/>
      <c r="N102" s="71"/>
      <c r="O102" s="71"/>
      <c r="P102" s="41"/>
      <c r="Q102" s="41"/>
      <c r="R102" s="71"/>
      <c r="S102" s="71"/>
      <c r="T102" s="75"/>
      <c r="U102" s="75"/>
      <c r="V102" s="75"/>
      <c r="W102" s="58" t="str">
        <f t="shared" si="6"/>
        <v/>
      </c>
      <c r="X102" s="59" t="str">
        <f t="shared" si="7"/>
        <v/>
      </c>
      <c r="Y102" s="41"/>
      <c r="Z102" s="41"/>
      <c r="AA102" s="41"/>
      <c r="AB102" s="68" t="str">
        <f>IF($B102="","",'Workflow (Tracker)'!L125)</f>
        <v/>
      </c>
      <c r="AC102" s="69" t="str">
        <f>IF($B102="","",'E08 — Estabilização Hypercare'!K107)</f>
        <v/>
      </c>
      <c r="AD102" s="66" t="str">
        <f>IF($B102="","",'E08 — Estabilização Hypercare'!O107)</f>
        <v/>
      </c>
      <c r="AE102" s="66" t="str">
        <f>IF($B102="","",'E08 — Estabilização Hypercare'!Q107)</f>
        <v/>
      </c>
      <c r="AF102" s="66" t="str">
        <f>IF(OR($B102="",'E08 — Estabilização Hypercare'!R107=""),"",'E08 — Estabilização Hypercare'!R107)</f>
        <v/>
      </c>
      <c r="AG102" s="60" t="str">
        <f>IF($B102="","",'E08 — Estabilização Hypercare'!S107)</f>
        <v/>
      </c>
      <c r="AH102" s="61" t="str">
        <f>IF($B102="","",'E08 — Estabilização Hypercare'!T107)</f>
        <v/>
      </c>
      <c r="AI102" s="62" t="str">
        <f>IF($B102="","",'E08 — Estabilização Hypercare'!N107)</f>
        <v/>
      </c>
      <c r="AJ102" s="61" t="str">
        <f>IF(OR($B102="",'E08 — Estabilização Hypercare'!U107=""),"",'E08 — Estabilização Hypercare'!U107)</f>
        <v/>
      </c>
      <c r="AK102" s="60" t="str">
        <f t="shared" si="8"/>
        <v/>
      </c>
      <c r="AL102" s="65" t="str">
        <f t="shared" si="9"/>
        <v/>
      </c>
    </row>
    <row r="103" spans="2:38" s="42" customFormat="1" x14ac:dyDescent="0.35">
      <c r="B103" s="55" t="str">
        <f t="shared" si="5"/>
        <v/>
      </c>
      <c r="C103" s="40"/>
      <c r="D103" s="40"/>
      <c r="E103" s="41"/>
      <c r="F103" s="41"/>
      <c r="G103" s="41"/>
      <c r="H103" s="68" t="str">
        <f>IF('E2 — Triagem'!D108="","",'E2 — Triagem'!D108)</f>
        <v/>
      </c>
      <c r="I103" s="71"/>
      <c r="J103" s="41"/>
      <c r="K103" s="41"/>
      <c r="L103" s="71"/>
      <c r="M103" s="71"/>
      <c r="N103" s="71"/>
      <c r="O103" s="71"/>
      <c r="P103" s="41"/>
      <c r="Q103" s="41"/>
      <c r="R103" s="71"/>
      <c r="S103" s="71"/>
      <c r="T103" s="75"/>
      <c r="U103" s="75"/>
      <c r="V103" s="75"/>
      <c r="W103" s="58" t="str">
        <f t="shared" si="6"/>
        <v/>
      </c>
      <c r="X103" s="59" t="str">
        <f t="shared" si="7"/>
        <v/>
      </c>
      <c r="Y103" s="41"/>
      <c r="Z103" s="41"/>
      <c r="AA103" s="41"/>
      <c r="AB103" s="68" t="str">
        <f>IF($B103="","",'Workflow (Tracker)'!L126)</f>
        <v/>
      </c>
      <c r="AC103" s="69" t="str">
        <f>IF($B103="","",'E08 — Estabilização Hypercare'!K108)</f>
        <v/>
      </c>
      <c r="AD103" s="66" t="str">
        <f>IF($B103="","",'E08 — Estabilização Hypercare'!O108)</f>
        <v/>
      </c>
      <c r="AE103" s="66" t="str">
        <f>IF($B103="","",'E08 — Estabilização Hypercare'!Q108)</f>
        <v/>
      </c>
      <c r="AF103" s="66" t="str">
        <f>IF(OR($B103="",'E08 — Estabilização Hypercare'!R108=""),"",'E08 — Estabilização Hypercare'!R108)</f>
        <v/>
      </c>
      <c r="AG103" s="60" t="str">
        <f>IF($B103="","",'E08 — Estabilização Hypercare'!S108)</f>
        <v/>
      </c>
      <c r="AH103" s="61" t="str">
        <f>IF($B103="","",'E08 — Estabilização Hypercare'!T108)</f>
        <v/>
      </c>
      <c r="AI103" s="62" t="str">
        <f>IF($B103="","",'E08 — Estabilização Hypercare'!N108)</f>
        <v/>
      </c>
      <c r="AJ103" s="61" t="str">
        <f>IF(OR($B103="",'E08 — Estabilização Hypercare'!U108=""),"",'E08 — Estabilização Hypercare'!U108)</f>
        <v/>
      </c>
      <c r="AK103" s="60" t="str">
        <f t="shared" si="8"/>
        <v/>
      </c>
      <c r="AL103" s="65" t="str">
        <f t="shared" si="9"/>
        <v/>
      </c>
    </row>
    <row r="104" spans="2:38" s="42" customFormat="1" x14ac:dyDescent="0.35">
      <c r="B104" s="55" t="str">
        <f t="shared" si="5"/>
        <v/>
      </c>
      <c r="C104" s="40"/>
      <c r="D104" s="40"/>
      <c r="E104" s="41"/>
      <c r="F104" s="41"/>
      <c r="G104" s="41"/>
      <c r="H104" s="68" t="str">
        <f>IF('E2 — Triagem'!D109="","",'E2 — Triagem'!D109)</f>
        <v/>
      </c>
      <c r="I104" s="71"/>
      <c r="J104" s="41"/>
      <c r="K104" s="41"/>
      <c r="L104" s="71"/>
      <c r="M104" s="71"/>
      <c r="N104" s="71"/>
      <c r="O104" s="71"/>
      <c r="P104" s="41"/>
      <c r="Q104" s="41"/>
      <c r="R104" s="71"/>
      <c r="S104" s="71"/>
      <c r="T104" s="75"/>
      <c r="U104" s="75"/>
      <c r="V104" s="75"/>
      <c r="W104" s="58" t="str">
        <f t="shared" si="6"/>
        <v/>
      </c>
      <c r="X104" s="59" t="str">
        <f t="shared" si="7"/>
        <v/>
      </c>
      <c r="Y104" s="41"/>
      <c r="Z104" s="41"/>
      <c r="AA104" s="41"/>
      <c r="AB104" s="68" t="str">
        <f>IF($B104="","",'Workflow (Tracker)'!L127)</f>
        <v/>
      </c>
      <c r="AC104" s="69" t="str">
        <f>IF($B104="","",'E08 — Estabilização Hypercare'!K109)</f>
        <v/>
      </c>
      <c r="AD104" s="66" t="str">
        <f>IF($B104="","",'E08 — Estabilização Hypercare'!O109)</f>
        <v/>
      </c>
      <c r="AE104" s="66" t="str">
        <f>IF($B104="","",'E08 — Estabilização Hypercare'!Q109)</f>
        <v/>
      </c>
      <c r="AF104" s="66" t="str">
        <f>IF(OR($B104="",'E08 — Estabilização Hypercare'!R109=""),"",'E08 — Estabilização Hypercare'!R109)</f>
        <v/>
      </c>
      <c r="AG104" s="60" t="str">
        <f>IF($B104="","",'E08 — Estabilização Hypercare'!S109)</f>
        <v/>
      </c>
      <c r="AH104" s="61" t="str">
        <f>IF($B104="","",'E08 — Estabilização Hypercare'!T109)</f>
        <v/>
      </c>
      <c r="AI104" s="62" t="str">
        <f>IF($B104="","",'E08 — Estabilização Hypercare'!N109)</f>
        <v/>
      </c>
      <c r="AJ104" s="61" t="str">
        <f>IF(OR($B104="",'E08 — Estabilização Hypercare'!U109=""),"",'E08 — Estabilização Hypercare'!U109)</f>
        <v/>
      </c>
      <c r="AK104" s="60" t="str">
        <f t="shared" si="8"/>
        <v/>
      </c>
      <c r="AL104" s="65" t="str">
        <f t="shared" si="9"/>
        <v/>
      </c>
    </row>
    <row r="105" spans="2:38" s="42" customFormat="1" x14ac:dyDescent="0.35">
      <c r="B105" s="55" t="str">
        <f t="shared" si="5"/>
        <v/>
      </c>
      <c r="C105" s="40"/>
      <c r="D105" s="40"/>
      <c r="E105" s="41"/>
      <c r="F105" s="41"/>
      <c r="G105" s="41"/>
      <c r="H105" s="68" t="str">
        <f>IF('E2 — Triagem'!D110="","",'E2 — Triagem'!D110)</f>
        <v/>
      </c>
      <c r="I105" s="71"/>
      <c r="J105" s="41"/>
      <c r="K105" s="41"/>
      <c r="L105" s="71"/>
      <c r="M105" s="71"/>
      <c r="N105" s="71"/>
      <c r="O105" s="71"/>
      <c r="P105" s="41"/>
      <c r="Q105" s="41"/>
      <c r="R105" s="71"/>
      <c r="S105" s="71"/>
      <c r="T105" s="75"/>
      <c r="U105" s="75"/>
      <c r="V105" s="75"/>
      <c r="W105" s="58" t="str">
        <f t="shared" si="6"/>
        <v/>
      </c>
      <c r="X105" s="59" t="str">
        <f t="shared" si="7"/>
        <v/>
      </c>
      <c r="Y105" s="41"/>
      <c r="Z105" s="41"/>
      <c r="AA105" s="41"/>
      <c r="AB105" s="68" t="str">
        <f>IF($B105="","",'Workflow (Tracker)'!L128)</f>
        <v/>
      </c>
      <c r="AC105" s="69" t="str">
        <f>IF($B105="","",'E08 — Estabilização Hypercare'!K110)</f>
        <v/>
      </c>
      <c r="AD105" s="66" t="str">
        <f>IF($B105="","",'E08 — Estabilização Hypercare'!O110)</f>
        <v/>
      </c>
      <c r="AE105" s="66" t="str">
        <f>IF($B105="","",'E08 — Estabilização Hypercare'!Q110)</f>
        <v/>
      </c>
      <c r="AF105" s="66" t="str">
        <f>IF(OR($B105="",'E08 — Estabilização Hypercare'!R110=""),"",'E08 — Estabilização Hypercare'!R110)</f>
        <v/>
      </c>
      <c r="AG105" s="60" t="str">
        <f>IF($B105="","",'E08 — Estabilização Hypercare'!S110)</f>
        <v/>
      </c>
      <c r="AH105" s="61" t="str">
        <f>IF($B105="","",'E08 — Estabilização Hypercare'!T110)</f>
        <v/>
      </c>
      <c r="AI105" s="62" t="str">
        <f>IF($B105="","",'E08 — Estabilização Hypercare'!N110)</f>
        <v/>
      </c>
      <c r="AJ105" s="61" t="str">
        <f>IF(OR($B105="",'E08 — Estabilização Hypercare'!U110=""),"",'E08 — Estabilização Hypercare'!U110)</f>
        <v/>
      </c>
      <c r="AK105" s="60" t="str">
        <f t="shared" si="8"/>
        <v/>
      </c>
      <c r="AL105" s="65" t="str">
        <f t="shared" si="9"/>
        <v/>
      </c>
    </row>
    <row r="106" spans="2:38" s="42" customFormat="1" x14ac:dyDescent="0.35">
      <c r="B106" s="55" t="str">
        <f t="shared" si="5"/>
        <v/>
      </c>
      <c r="C106" s="40"/>
      <c r="D106" s="40"/>
      <c r="E106" s="41"/>
      <c r="F106" s="41"/>
      <c r="G106" s="41"/>
      <c r="H106" s="68" t="str">
        <f>IF('E2 — Triagem'!D111="","",'E2 — Triagem'!D111)</f>
        <v/>
      </c>
      <c r="I106" s="71"/>
      <c r="J106" s="41"/>
      <c r="K106" s="41"/>
      <c r="L106" s="71"/>
      <c r="M106" s="71"/>
      <c r="N106" s="71"/>
      <c r="O106" s="71"/>
      <c r="P106" s="41"/>
      <c r="Q106" s="41"/>
      <c r="R106" s="71"/>
      <c r="S106" s="71"/>
      <c r="T106" s="75"/>
      <c r="U106" s="75"/>
      <c r="V106" s="75"/>
      <c r="W106" s="58" t="str">
        <f t="shared" si="6"/>
        <v/>
      </c>
      <c r="X106" s="59" t="str">
        <f t="shared" si="7"/>
        <v/>
      </c>
      <c r="Y106" s="41"/>
      <c r="Z106" s="41"/>
      <c r="AA106" s="41"/>
      <c r="AB106" s="68" t="str">
        <f>IF($B106="","",'Workflow (Tracker)'!L129)</f>
        <v/>
      </c>
      <c r="AC106" s="69" t="str">
        <f>IF($B106="","",'E08 — Estabilização Hypercare'!K111)</f>
        <v/>
      </c>
      <c r="AD106" s="66" t="str">
        <f>IF($B106="","",'E08 — Estabilização Hypercare'!O111)</f>
        <v/>
      </c>
      <c r="AE106" s="66" t="str">
        <f>IF($B106="","",'E08 — Estabilização Hypercare'!Q111)</f>
        <v/>
      </c>
      <c r="AF106" s="66" t="str">
        <f>IF(OR($B106="",'E08 — Estabilização Hypercare'!R111=""),"",'E08 — Estabilização Hypercare'!R111)</f>
        <v/>
      </c>
      <c r="AG106" s="60" t="str">
        <f>IF($B106="","",'E08 — Estabilização Hypercare'!S111)</f>
        <v/>
      </c>
      <c r="AH106" s="61" t="str">
        <f>IF($B106="","",'E08 — Estabilização Hypercare'!T111)</f>
        <v/>
      </c>
      <c r="AI106" s="62" t="str">
        <f>IF($B106="","",'E08 — Estabilização Hypercare'!N111)</f>
        <v/>
      </c>
      <c r="AJ106" s="61" t="str">
        <f>IF(OR($B106="",'E08 — Estabilização Hypercare'!U111=""),"",'E08 — Estabilização Hypercare'!U111)</f>
        <v/>
      </c>
      <c r="AK106" s="60" t="str">
        <f t="shared" si="8"/>
        <v/>
      </c>
      <c r="AL106" s="65" t="str">
        <f t="shared" si="9"/>
        <v/>
      </c>
    </row>
    <row r="107" spans="2:38" s="42" customFormat="1" x14ac:dyDescent="0.35">
      <c r="B107" s="55" t="str">
        <f t="shared" si="5"/>
        <v/>
      </c>
      <c r="C107" s="40"/>
      <c r="D107" s="40"/>
      <c r="E107" s="41"/>
      <c r="F107" s="41"/>
      <c r="G107" s="41"/>
      <c r="H107" s="68" t="str">
        <f>IF('E2 — Triagem'!D112="","",'E2 — Triagem'!D112)</f>
        <v/>
      </c>
      <c r="I107" s="71"/>
      <c r="J107" s="41"/>
      <c r="K107" s="41"/>
      <c r="L107" s="71"/>
      <c r="M107" s="71"/>
      <c r="N107" s="71"/>
      <c r="O107" s="71"/>
      <c r="P107" s="41"/>
      <c r="Q107" s="41"/>
      <c r="R107" s="71"/>
      <c r="S107" s="71"/>
      <c r="T107" s="75"/>
      <c r="U107" s="75"/>
      <c r="V107" s="75"/>
      <c r="W107" s="58" t="str">
        <f t="shared" si="6"/>
        <v/>
      </c>
      <c r="X107" s="59" t="str">
        <f t="shared" si="7"/>
        <v/>
      </c>
      <c r="Y107" s="41"/>
      <c r="Z107" s="41"/>
      <c r="AA107" s="41"/>
      <c r="AB107" s="68" t="str">
        <f>IF($B107="","",'Workflow (Tracker)'!L130)</f>
        <v/>
      </c>
      <c r="AC107" s="69" t="str">
        <f>IF($B107="","",'E08 — Estabilização Hypercare'!K112)</f>
        <v/>
      </c>
      <c r="AD107" s="66" t="str">
        <f>IF($B107="","",'E08 — Estabilização Hypercare'!O112)</f>
        <v/>
      </c>
      <c r="AE107" s="66" t="str">
        <f>IF($B107="","",'E08 — Estabilização Hypercare'!Q112)</f>
        <v/>
      </c>
      <c r="AF107" s="66" t="str">
        <f>IF(OR($B107="",'E08 — Estabilização Hypercare'!R112=""),"",'E08 — Estabilização Hypercare'!R112)</f>
        <v/>
      </c>
      <c r="AG107" s="60" t="str">
        <f>IF($B107="","",'E08 — Estabilização Hypercare'!S112)</f>
        <v/>
      </c>
      <c r="AH107" s="61" t="str">
        <f>IF($B107="","",'E08 — Estabilização Hypercare'!T112)</f>
        <v/>
      </c>
      <c r="AI107" s="62" t="str">
        <f>IF($B107="","",'E08 — Estabilização Hypercare'!N112)</f>
        <v/>
      </c>
      <c r="AJ107" s="61" t="str">
        <f>IF(OR($B107="",'E08 — Estabilização Hypercare'!U112=""),"",'E08 — Estabilização Hypercare'!U112)</f>
        <v/>
      </c>
      <c r="AK107" s="60" t="str">
        <f t="shared" si="8"/>
        <v/>
      </c>
      <c r="AL107" s="65" t="str">
        <f t="shared" si="9"/>
        <v/>
      </c>
    </row>
    <row r="108" spans="2:38" s="42" customFormat="1" x14ac:dyDescent="0.35">
      <c r="B108" s="55" t="str">
        <f t="shared" si="5"/>
        <v/>
      </c>
      <c r="C108" s="40"/>
      <c r="D108" s="40"/>
      <c r="E108" s="41"/>
      <c r="F108" s="41"/>
      <c r="G108" s="41"/>
      <c r="H108" s="68" t="str">
        <f>IF('E2 — Triagem'!D113="","",'E2 — Triagem'!D113)</f>
        <v/>
      </c>
      <c r="I108" s="71"/>
      <c r="J108" s="41"/>
      <c r="K108" s="41"/>
      <c r="L108" s="71"/>
      <c r="M108" s="71"/>
      <c r="N108" s="71"/>
      <c r="O108" s="71"/>
      <c r="P108" s="41"/>
      <c r="Q108" s="41"/>
      <c r="R108" s="71"/>
      <c r="S108" s="71"/>
      <c r="T108" s="75"/>
      <c r="U108" s="75"/>
      <c r="V108" s="75"/>
      <c r="W108" s="58" t="str">
        <f t="shared" si="6"/>
        <v/>
      </c>
      <c r="X108" s="59" t="str">
        <f t="shared" si="7"/>
        <v/>
      </c>
      <c r="Y108" s="41"/>
      <c r="Z108" s="41"/>
      <c r="AA108" s="41"/>
      <c r="AB108" s="68" t="str">
        <f>IF($B108="","",'Workflow (Tracker)'!L131)</f>
        <v/>
      </c>
      <c r="AC108" s="69" t="str">
        <f>IF($B108="","",'E08 — Estabilização Hypercare'!K113)</f>
        <v/>
      </c>
      <c r="AD108" s="66" t="str">
        <f>IF($B108="","",'E08 — Estabilização Hypercare'!O113)</f>
        <v/>
      </c>
      <c r="AE108" s="66" t="str">
        <f>IF($B108="","",'E08 — Estabilização Hypercare'!Q113)</f>
        <v/>
      </c>
      <c r="AF108" s="66" t="str">
        <f>IF(OR($B108="",'E08 — Estabilização Hypercare'!R113=""),"",'E08 — Estabilização Hypercare'!R113)</f>
        <v/>
      </c>
      <c r="AG108" s="60" t="str">
        <f>IF($B108="","",'E08 — Estabilização Hypercare'!S113)</f>
        <v/>
      </c>
      <c r="AH108" s="61" t="str">
        <f>IF($B108="","",'E08 — Estabilização Hypercare'!T113)</f>
        <v/>
      </c>
      <c r="AI108" s="62" t="str">
        <f>IF($B108="","",'E08 — Estabilização Hypercare'!N113)</f>
        <v/>
      </c>
      <c r="AJ108" s="61" t="str">
        <f>IF(OR($B108="",'E08 — Estabilização Hypercare'!U113=""),"",'E08 — Estabilização Hypercare'!U113)</f>
        <v/>
      </c>
      <c r="AK108" s="60" t="str">
        <f t="shared" si="8"/>
        <v/>
      </c>
      <c r="AL108" s="65" t="str">
        <f t="shared" si="9"/>
        <v/>
      </c>
    </row>
    <row r="109" spans="2:38" s="42" customFormat="1" x14ac:dyDescent="0.35">
      <c r="B109" s="55" t="str">
        <f t="shared" si="5"/>
        <v/>
      </c>
      <c r="C109" s="40"/>
      <c r="D109" s="40"/>
      <c r="E109" s="41"/>
      <c r="F109" s="41"/>
      <c r="G109" s="41"/>
      <c r="H109" s="68" t="str">
        <f>IF('E2 — Triagem'!D114="","",'E2 — Triagem'!D114)</f>
        <v/>
      </c>
      <c r="I109" s="71"/>
      <c r="J109" s="41"/>
      <c r="K109" s="41"/>
      <c r="L109" s="71"/>
      <c r="M109" s="71"/>
      <c r="N109" s="71"/>
      <c r="O109" s="71"/>
      <c r="P109" s="41"/>
      <c r="Q109" s="41"/>
      <c r="R109" s="71"/>
      <c r="S109" s="71"/>
      <c r="T109" s="75"/>
      <c r="U109" s="75"/>
      <c r="V109" s="75"/>
      <c r="W109" s="58" t="str">
        <f t="shared" si="6"/>
        <v/>
      </c>
      <c r="X109" s="59" t="str">
        <f t="shared" si="7"/>
        <v/>
      </c>
      <c r="Y109" s="41"/>
      <c r="Z109" s="41"/>
      <c r="AA109" s="41"/>
      <c r="AB109" s="68" t="str">
        <f>IF($B109="","",'Workflow (Tracker)'!L132)</f>
        <v/>
      </c>
      <c r="AC109" s="69" t="str">
        <f>IF($B109="","",'E08 — Estabilização Hypercare'!K114)</f>
        <v/>
      </c>
      <c r="AD109" s="66" t="str">
        <f>IF($B109="","",'E08 — Estabilização Hypercare'!O114)</f>
        <v/>
      </c>
      <c r="AE109" s="66" t="str">
        <f>IF($B109="","",'E08 — Estabilização Hypercare'!Q114)</f>
        <v/>
      </c>
      <c r="AF109" s="66" t="str">
        <f>IF(OR($B109="",'E08 — Estabilização Hypercare'!R114=""),"",'E08 — Estabilização Hypercare'!R114)</f>
        <v/>
      </c>
      <c r="AG109" s="60" t="str">
        <f>IF($B109="","",'E08 — Estabilização Hypercare'!S114)</f>
        <v/>
      </c>
      <c r="AH109" s="61" t="str">
        <f>IF($B109="","",'E08 — Estabilização Hypercare'!T114)</f>
        <v/>
      </c>
      <c r="AI109" s="62" t="str">
        <f>IF($B109="","",'E08 — Estabilização Hypercare'!N114)</f>
        <v/>
      </c>
      <c r="AJ109" s="61" t="str">
        <f>IF(OR($B109="",'E08 — Estabilização Hypercare'!U114=""),"",'E08 — Estabilização Hypercare'!U114)</f>
        <v/>
      </c>
      <c r="AK109" s="60" t="str">
        <f t="shared" si="8"/>
        <v/>
      </c>
      <c r="AL109" s="65" t="str">
        <f t="shared" si="9"/>
        <v/>
      </c>
    </row>
    <row r="110" spans="2:38" s="42" customFormat="1" x14ac:dyDescent="0.35">
      <c r="B110" s="55" t="str">
        <f t="shared" si="5"/>
        <v/>
      </c>
      <c r="C110" s="40"/>
      <c r="D110" s="40"/>
      <c r="E110" s="41"/>
      <c r="F110" s="41"/>
      <c r="G110" s="41"/>
      <c r="H110" s="68" t="str">
        <f>IF('E2 — Triagem'!D115="","",'E2 — Triagem'!D115)</f>
        <v/>
      </c>
      <c r="I110" s="71"/>
      <c r="J110" s="41"/>
      <c r="K110" s="41"/>
      <c r="L110" s="71"/>
      <c r="M110" s="71"/>
      <c r="N110" s="71"/>
      <c r="O110" s="71"/>
      <c r="P110" s="41"/>
      <c r="Q110" s="41"/>
      <c r="R110" s="71"/>
      <c r="S110" s="71"/>
      <c r="T110" s="75"/>
      <c r="U110" s="75"/>
      <c r="V110" s="75"/>
      <c r="W110" s="58" t="str">
        <f t="shared" si="6"/>
        <v/>
      </c>
      <c r="X110" s="59" t="str">
        <f t="shared" si="7"/>
        <v/>
      </c>
      <c r="Y110" s="41"/>
      <c r="Z110" s="41"/>
      <c r="AA110" s="41"/>
      <c r="AB110" s="68" t="str">
        <f>IF($B110="","",'Workflow (Tracker)'!L133)</f>
        <v/>
      </c>
      <c r="AC110" s="69" t="str">
        <f>IF($B110="","",'E08 — Estabilização Hypercare'!K115)</f>
        <v/>
      </c>
      <c r="AD110" s="66" t="str">
        <f>IF($B110="","",'E08 — Estabilização Hypercare'!O115)</f>
        <v/>
      </c>
      <c r="AE110" s="66" t="str">
        <f>IF($B110="","",'E08 — Estabilização Hypercare'!Q115)</f>
        <v/>
      </c>
      <c r="AF110" s="66" t="str">
        <f>IF(OR($B110="",'E08 — Estabilização Hypercare'!R115=""),"",'E08 — Estabilização Hypercare'!R115)</f>
        <v/>
      </c>
      <c r="AG110" s="60" t="str">
        <f>IF($B110="","",'E08 — Estabilização Hypercare'!S115)</f>
        <v/>
      </c>
      <c r="AH110" s="61" t="str">
        <f>IF($B110="","",'E08 — Estabilização Hypercare'!T115)</f>
        <v/>
      </c>
      <c r="AI110" s="62" t="str">
        <f>IF($B110="","",'E08 — Estabilização Hypercare'!N115)</f>
        <v/>
      </c>
      <c r="AJ110" s="61" t="str">
        <f>IF(OR($B110="",'E08 — Estabilização Hypercare'!U115=""),"",'E08 — Estabilização Hypercare'!U115)</f>
        <v/>
      </c>
      <c r="AK110" s="60" t="str">
        <f t="shared" si="8"/>
        <v/>
      </c>
      <c r="AL110" s="65" t="str">
        <f t="shared" si="9"/>
        <v/>
      </c>
    </row>
    <row r="111" spans="2:38" s="42" customFormat="1" x14ac:dyDescent="0.35">
      <c r="B111" s="55" t="str">
        <f t="shared" si="5"/>
        <v/>
      </c>
      <c r="C111" s="40"/>
      <c r="D111" s="40"/>
      <c r="E111" s="41"/>
      <c r="F111" s="41"/>
      <c r="G111" s="41"/>
      <c r="H111" s="68" t="str">
        <f>IF('E2 — Triagem'!D116="","",'E2 — Triagem'!D116)</f>
        <v/>
      </c>
      <c r="I111" s="71"/>
      <c r="J111" s="41"/>
      <c r="K111" s="41"/>
      <c r="L111" s="71"/>
      <c r="M111" s="71"/>
      <c r="N111" s="71"/>
      <c r="O111" s="71"/>
      <c r="P111" s="41"/>
      <c r="Q111" s="41"/>
      <c r="R111" s="71"/>
      <c r="S111" s="71"/>
      <c r="T111" s="75"/>
      <c r="U111" s="75"/>
      <c r="V111" s="75"/>
      <c r="W111" s="58" t="str">
        <f t="shared" si="6"/>
        <v/>
      </c>
      <c r="X111" s="59" t="str">
        <f t="shared" si="7"/>
        <v/>
      </c>
      <c r="Y111" s="41"/>
      <c r="Z111" s="41"/>
      <c r="AA111" s="41"/>
      <c r="AB111" s="68" t="str">
        <f>IF($B111="","",'Workflow (Tracker)'!L134)</f>
        <v/>
      </c>
      <c r="AC111" s="69" t="str">
        <f>IF($B111="","",'E08 — Estabilização Hypercare'!K116)</f>
        <v/>
      </c>
      <c r="AD111" s="66" t="str">
        <f>IF($B111="","",'E08 — Estabilização Hypercare'!O116)</f>
        <v/>
      </c>
      <c r="AE111" s="66" t="str">
        <f>IF($B111="","",'E08 — Estabilização Hypercare'!Q116)</f>
        <v/>
      </c>
      <c r="AF111" s="66" t="str">
        <f>IF(OR($B111="",'E08 — Estabilização Hypercare'!R116=""),"",'E08 — Estabilização Hypercare'!R116)</f>
        <v/>
      </c>
      <c r="AG111" s="60" t="str">
        <f>IF($B111="","",'E08 — Estabilização Hypercare'!S116)</f>
        <v/>
      </c>
      <c r="AH111" s="61" t="str">
        <f>IF($B111="","",'E08 — Estabilização Hypercare'!T116)</f>
        <v/>
      </c>
      <c r="AI111" s="62" t="str">
        <f>IF($B111="","",'E08 — Estabilização Hypercare'!N116)</f>
        <v/>
      </c>
      <c r="AJ111" s="61" t="str">
        <f>IF(OR($B111="",'E08 — Estabilização Hypercare'!U116=""),"",'E08 — Estabilização Hypercare'!U116)</f>
        <v/>
      </c>
      <c r="AK111" s="60" t="str">
        <f t="shared" si="8"/>
        <v/>
      </c>
      <c r="AL111" s="65" t="str">
        <f t="shared" si="9"/>
        <v/>
      </c>
    </row>
    <row r="112" spans="2:38" s="42" customFormat="1" x14ac:dyDescent="0.35">
      <c r="B112" s="55" t="str">
        <f t="shared" si="5"/>
        <v/>
      </c>
      <c r="C112" s="40"/>
      <c r="D112" s="40"/>
      <c r="E112" s="41"/>
      <c r="F112" s="41"/>
      <c r="G112" s="41"/>
      <c r="H112" s="68" t="str">
        <f>IF('E2 — Triagem'!D117="","",'E2 — Triagem'!D117)</f>
        <v/>
      </c>
      <c r="I112" s="71"/>
      <c r="J112" s="41"/>
      <c r="K112" s="41"/>
      <c r="L112" s="71"/>
      <c r="M112" s="71"/>
      <c r="N112" s="71"/>
      <c r="O112" s="71"/>
      <c r="P112" s="41"/>
      <c r="Q112" s="41"/>
      <c r="R112" s="71"/>
      <c r="S112" s="71"/>
      <c r="T112" s="75"/>
      <c r="U112" s="75"/>
      <c r="V112" s="75"/>
      <c r="W112" s="58" t="str">
        <f t="shared" si="6"/>
        <v/>
      </c>
      <c r="X112" s="59" t="str">
        <f t="shared" si="7"/>
        <v/>
      </c>
      <c r="Y112" s="41"/>
      <c r="Z112" s="41"/>
      <c r="AA112" s="41"/>
      <c r="AB112" s="68" t="str">
        <f>IF($B112="","",'Workflow (Tracker)'!L135)</f>
        <v/>
      </c>
      <c r="AC112" s="69" t="str">
        <f>IF($B112="","",'E08 — Estabilização Hypercare'!K117)</f>
        <v/>
      </c>
      <c r="AD112" s="66" t="str">
        <f>IF($B112="","",'E08 — Estabilização Hypercare'!O117)</f>
        <v/>
      </c>
      <c r="AE112" s="66" t="str">
        <f>IF($B112="","",'E08 — Estabilização Hypercare'!Q117)</f>
        <v/>
      </c>
      <c r="AF112" s="66" t="str">
        <f>IF(OR($B112="",'E08 — Estabilização Hypercare'!R117=""),"",'E08 — Estabilização Hypercare'!R117)</f>
        <v/>
      </c>
      <c r="AG112" s="60" t="str">
        <f>IF($B112="","",'E08 — Estabilização Hypercare'!S117)</f>
        <v/>
      </c>
      <c r="AH112" s="61" t="str">
        <f>IF($B112="","",'E08 — Estabilização Hypercare'!T117)</f>
        <v/>
      </c>
      <c r="AI112" s="62" t="str">
        <f>IF($B112="","",'E08 — Estabilização Hypercare'!N117)</f>
        <v/>
      </c>
      <c r="AJ112" s="61" t="str">
        <f>IF(OR($B112="",'E08 — Estabilização Hypercare'!U117=""),"",'E08 — Estabilização Hypercare'!U117)</f>
        <v/>
      </c>
      <c r="AK112" s="60" t="str">
        <f t="shared" si="8"/>
        <v/>
      </c>
      <c r="AL112" s="65" t="str">
        <f t="shared" si="9"/>
        <v/>
      </c>
    </row>
    <row r="113" spans="2:38" s="42" customFormat="1" x14ac:dyDescent="0.35">
      <c r="B113" s="55" t="str">
        <f t="shared" si="5"/>
        <v/>
      </c>
      <c r="C113" s="40"/>
      <c r="D113" s="40"/>
      <c r="E113" s="41"/>
      <c r="F113" s="41"/>
      <c r="G113" s="41"/>
      <c r="H113" s="68" t="str">
        <f>IF('E2 — Triagem'!D118="","",'E2 — Triagem'!D118)</f>
        <v/>
      </c>
      <c r="I113" s="71"/>
      <c r="J113" s="41"/>
      <c r="K113" s="41"/>
      <c r="L113" s="71"/>
      <c r="M113" s="71"/>
      <c r="N113" s="71"/>
      <c r="O113" s="71"/>
      <c r="P113" s="41"/>
      <c r="Q113" s="41"/>
      <c r="R113" s="71"/>
      <c r="S113" s="71"/>
      <c r="T113" s="75"/>
      <c r="U113" s="75"/>
      <c r="V113" s="75"/>
      <c r="W113" s="58" t="str">
        <f t="shared" si="6"/>
        <v/>
      </c>
      <c r="X113" s="59" t="str">
        <f t="shared" si="7"/>
        <v/>
      </c>
      <c r="Y113" s="41"/>
      <c r="Z113" s="41"/>
      <c r="AA113" s="41"/>
      <c r="AB113" s="68" t="str">
        <f>IF($B113="","",'Workflow (Tracker)'!L136)</f>
        <v/>
      </c>
      <c r="AC113" s="69" t="str">
        <f>IF($B113="","",'E08 — Estabilização Hypercare'!K118)</f>
        <v/>
      </c>
      <c r="AD113" s="66" t="str">
        <f>IF($B113="","",'E08 — Estabilização Hypercare'!O118)</f>
        <v/>
      </c>
      <c r="AE113" s="66" t="str">
        <f>IF($B113="","",'E08 — Estabilização Hypercare'!Q118)</f>
        <v/>
      </c>
      <c r="AF113" s="66" t="str">
        <f>IF(OR($B113="",'E08 — Estabilização Hypercare'!R118=""),"",'E08 — Estabilização Hypercare'!R118)</f>
        <v/>
      </c>
      <c r="AG113" s="60" t="str">
        <f>IF($B113="","",'E08 — Estabilização Hypercare'!S118)</f>
        <v/>
      </c>
      <c r="AH113" s="61" t="str">
        <f>IF($B113="","",'E08 — Estabilização Hypercare'!T118)</f>
        <v/>
      </c>
      <c r="AI113" s="62" t="str">
        <f>IF($B113="","",'E08 — Estabilização Hypercare'!N118)</f>
        <v/>
      </c>
      <c r="AJ113" s="61" t="str">
        <f>IF(OR($B113="",'E08 — Estabilização Hypercare'!U118=""),"",'E08 — Estabilização Hypercare'!U118)</f>
        <v/>
      </c>
      <c r="AK113" s="60" t="str">
        <f t="shared" si="8"/>
        <v/>
      </c>
      <c r="AL113" s="65" t="str">
        <f t="shared" si="9"/>
        <v/>
      </c>
    </row>
    <row r="114" spans="2:38" s="42" customFormat="1" x14ac:dyDescent="0.35">
      <c r="B114" s="55" t="str">
        <f t="shared" si="5"/>
        <v/>
      </c>
      <c r="C114" s="40"/>
      <c r="D114" s="40"/>
      <c r="E114" s="41"/>
      <c r="F114" s="41"/>
      <c r="G114" s="41"/>
      <c r="H114" s="68" t="str">
        <f>IF('E2 — Triagem'!D119="","",'E2 — Triagem'!D119)</f>
        <v/>
      </c>
      <c r="I114" s="71"/>
      <c r="J114" s="41"/>
      <c r="K114" s="41"/>
      <c r="L114" s="71"/>
      <c r="M114" s="71"/>
      <c r="N114" s="71"/>
      <c r="O114" s="71"/>
      <c r="P114" s="41"/>
      <c r="Q114" s="41"/>
      <c r="R114" s="71"/>
      <c r="S114" s="71"/>
      <c r="T114" s="75"/>
      <c r="U114" s="75"/>
      <c r="V114" s="75"/>
      <c r="W114" s="58" t="str">
        <f t="shared" si="6"/>
        <v/>
      </c>
      <c r="X114" s="59" t="str">
        <f t="shared" si="7"/>
        <v/>
      </c>
      <c r="Y114" s="41"/>
      <c r="Z114" s="41"/>
      <c r="AA114" s="41"/>
      <c r="AB114" s="68" t="str">
        <f>IF($B114="","",'Workflow (Tracker)'!L137)</f>
        <v/>
      </c>
      <c r="AC114" s="69" t="str">
        <f>IF($B114="","",'E08 — Estabilização Hypercare'!K119)</f>
        <v/>
      </c>
      <c r="AD114" s="66" t="str">
        <f>IF($B114="","",'E08 — Estabilização Hypercare'!O119)</f>
        <v/>
      </c>
      <c r="AE114" s="66" t="str">
        <f>IF($B114="","",'E08 — Estabilização Hypercare'!Q119)</f>
        <v/>
      </c>
      <c r="AF114" s="66" t="str">
        <f>IF(OR($B114="",'E08 — Estabilização Hypercare'!R119=""),"",'E08 — Estabilização Hypercare'!R119)</f>
        <v/>
      </c>
      <c r="AG114" s="60" t="str">
        <f>IF($B114="","",'E08 — Estabilização Hypercare'!S119)</f>
        <v/>
      </c>
      <c r="AH114" s="61" t="str">
        <f>IF($B114="","",'E08 — Estabilização Hypercare'!T119)</f>
        <v/>
      </c>
      <c r="AI114" s="62" t="str">
        <f>IF($B114="","",'E08 — Estabilização Hypercare'!N119)</f>
        <v/>
      </c>
      <c r="AJ114" s="61" t="str">
        <f>IF(OR($B114="",'E08 — Estabilização Hypercare'!U119=""),"",'E08 — Estabilização Hypercare'!U119)</f>
        <v/>
      </c>
      <c r="AK114" s="60" t="str">
        <f t="shared" si="8"/>
        <v/>
      </c>
      <c r="AL114" s="65" t="str">
        <f t="shared" si="9"/>
        <v/>
      </c>
    </row>
    <row r="115" spans="2:38" s="42" customFormat="1" x14ac:dyDescent="0.35">
      <c r="B115" s="55" t="str">
        <f t="shared" si="5"/>
        <v/>
      </c>
      <c r="C115" s="40"/>
      <c r="D115" s="40"/>
      <c r="E115" s="41"/>
      <c r="F115" s="41"/>
      <c r="G115" s="41"/>
      <c r="H115" s="68" t="str">
        <f>IF('E2 — Triagem'!D120="","",'E2 — Triagem'!D120)</f>
        <v/>
      </c>
      <c r="I115" s="71"/>
      <c r="J115" s="41"/>
      <c r="K115" s="41"/>
      <c r="L115" s="71"/>
      <c r="M115" s="71"/>
      <c r="N115" s="71"/>
      <c r="O115" s="71"/>
      <c r="P115" s="41"/>
      <c r="Q115" s="41"/>
      <c r="R115" s="71"/>
      <c r="S115" s="71"/>
      <c r="T115" s="75"/>
      <c r="U115" s="75"/>
      <c r="V115" s="75"/>
      <c r="W115" s="58" t="str">
        <f t="shared" si="6"/>
        <v/>
      </c>
      <c r="X115" s="59" t="str">
        <f t="shared" si="7"/>
        <v/>
      </c>
      <c r="Y115" s="41"/>
      <c r="Z115" s="41"/>
      <c r="AA115" s="41"/>
      <c r="AB115" s="68" t="str">
        <f>IF($B115="","",'Workflow (Tracker)'!L138)</f>
        <v/>
      </c>
      <c r="AC115" s="69" t="str">
        <f>IF($B115="","",'E08 — Estabilização Hypercare'!K120)</f>
        <v/>
      </c>
      <c r="AD115" s="66" t="str">
        <f>IF($B115="","",'E08 — Estabilização Hypercare'!O120)</f>
        <v/>
      </c>
      <c r="AE115" s="66" t="str">
        <f>IF($B115="","",'E08 — Estabilização Hypercare'!Q120)</f>
        <v/>
      </c>
      <c r="AF115" s="66" t="str">
        <f>IF(OR($B115="",'E08 — Estabilização Hypercare'!R120=""),"",'E08 — Estabilização Hypercare'!R120)</f>
        <v/>
      </c>
      <c r="AG115" s="60" t="str">
        <f>IF($B115="","",'E08 — Estabilização Hypercare'!S120)</f>
        <v/>
      </c>
      <c r="AH115" s="61" t="str">
        <f>IF($B115="","",'E08 — Estabilização Hypercare'!T120)</f>
        <v/>
      </c>
      <c r="AI115" s="62" t="str">
        <f>IF($B115="","",'E08 — Estabilização Hypercare'!N120)</f>
        <v/>
      </c>
      <c r="AJ115" s="61" t="str">
        <f>IF(OR($B115="",'E08 — Estabilização Hypercare'!U120=""),"",'E08 — Estabilização Hypercare'!U120)</f>
        <v/>
      </c>
      <c r="AK115" s="60" t="str">
        <f t="shared" si="8"/>
        <v/>
      </c>
      <c r="AL115" s="65" t="str">
        <f t="shared" si="9"/>
        <v/>
      </c>
    </row>
    <row r="116" spans="2:38" s="42" customFormat="1" x14ac:dyDescent="0.35">
      <c r="B116" s="55" t="str">
        <f t="shared" si="5"/>
        <v/>
      </c>
      <c r="C116" s="40"/>
      <c r="D116" s="40"/>
      <c r="E116" s="41"/>
      <c r="F116" s="41"/>
      <c r="G116" s="41"/>
      <c r="H116" s="68" t="str">
        <f>IF('E2 — Triagem'!D121="","",'E2 — Triagem'!D121)</f>
        <v/>
      </c>
      <c r="I116" s="71"/>
      <c r="J116" s="41"/>
      <c r="K116" s="41"/>
      <c r="L116" s="71"/>
      <c r="M116" s="71"/>
      <c r="N116" s="71"/>
      <c r="O116" s="71"/>
      <c r="P116" s="41"/>
      <c r="Q116" s="41"/>
      <c r="R116" s="71"/>
      <c r="S116" s="71"/>
      <c r="T116" s="75"/>
      <c r="U116" s="75"/>
      <c r="V116" s="75"/>
      <c r="W116" s="58" t="str">
        <f t="shared" si="6"/>
        <v/>
      </c>
      <c r="X116" s="59" t="str">
        <f t="shared" si="7"/>
        <v/>
      </c>
      <c r="Y116" s="41"/>
      <c r="Z116" s="41"/>
      <c r="AA116" s="41"/>
      <c r="AB116" s="68" t="str">
        <f>IF($B116="","",'Workflow (Tracker)'!L139)</f>
        <v/>
      </c>
      <c r="AC116" s="69" t="str">
        <f>IF($B116="","",'E08 — Estabilização Hypercare'!K121)</f>
        <v/>
      </c>
      <c r="AD116" s="66" t="str">
        <f>IF($B116="","",'E08 — Estabilização Hypercare'!O121)</f>
        <v/>
      </c>
      <c r="AE116" s="66" t="str">
        <f>IF($B116="","",'E08 — Estabilização Hypercare'!Q121)</f>
        <v/>
      </c>
      <c r="AF116" s="66" t="str">
        <f>IF(OR($B116="",'E08 — Estabilização Hypercare'!R121=""),"",'E08 — Estabilização Hypercare'!R121)</f>
        <v/>
      </c>
      <c r="AG116" s="60" t="str">
        <f>IF($B116="","",'E08 — Estabilização Hypercare'!S121)</f>
        <v/>
      </c>
      <c r="AH116" s="61" t="str">
        <f>IF($B116="","",'E08 — Estabilização Hypercare'!T121)</f>
        <v/>
      </c>
      <c r="AI116" s="62" t="str">
        <f>IF($B116="","",'E08 — Estabilização Hypercare'!N121)</f>
        <v/>
      </c>
      <c r="AJ116" s="61" t="str">
        <f>IF(OR($B116="",'E08 — Estabilização Hypercare'!U121=""),"",'E08 — Estabilização Hypercare'!U121)</f>
        <v/>
      </c>
      <c r="AK116" s="60" t="str">
        <f t="shared" si="8"/>
        <v/>
      </c>
      <c r="AL116" s="65" t="str">
        <f t="shared" si="9"/>
        <v/>
      </c>
    </row>
    <row r="117" spans="2:38" s="42" customFormat="1" x14ac:dyDescent="0.35">
      <c r="B117" s="55" t="str">
        <f t="shared" si="5"/>
        <v/>
      </c>
      <c r="C117" s="40"/>
      <c r="D117" s="40"/>
      <c r="E117" s="41"/>
      <c r="F117" s="41"/>
      <c r="G117" s="41"/>
      <c r="H117" s="68" t="str">
        <f>IF('E2 — Triagem'!D122="","",'E2 — Triagem'!D122)</f>
        <v/>
      </c>
      <c r="I117" s="71"/>
      <c r="J117" s="41"/>
      <c r="K117" s="41"/>
      <c r="L117" s="71"/>
      <c r="M117" s="71"/>
      <c r="N117" s="71"/>
      <c r="O117" s="71"/>
      <c r="P117" s="41"/>
      <c r="Q117" s="41"/>
      <c r="R117" s="71"/>
      <c r="S117" s="71"/>
      <c r="T117" s="75"/>
      <c r="U117" s="75"/>
      <c r="V117" s="75"/>
      <c r="W117" s="58" t="str">
        <f t="shared" si="6"/>
        <v/>
      </c>
      <c r="X117" s="59" t="str">
        <f t="shared" si="7"/>
        <v/>
      </c>
      <c r="Y117" s="41"/>
      <c r="Z117" s="41"/>
      <c r="AA117" s="41"/>
      <c r="AB117" s="68" t="str">
        <f>IF($B117="","",'Workflow (Tracker)'!L140)</f>
        <v/>
      </c>
      <c r="AC117" s="69" t="str">
        <f>IF($B117="","",'E08 — Estabilização Hypercare'!K122)</f>
        <v/>
      </c>
      <c r="AD117" s="66" t="str">
        <f>IF($B117="","",'E08 — Estabilização Hypercare'!O122)</f>
        <v/>
      </c>
      <c r="AE117" s="66" t="str">
        <f>IF($B117="","",'E08 — Estabilização Hypercare'!Q122)</f>
        <v/>
      </c>
      <c r="AF117" s="66" t="str">
        <f>IF(OR($B117="",'E08 — Estabilização Hypercare'!R122=""),"",'E08 — Estabilização Hypercare'!R122)</f>
        <v/>
      </c>
      <c r="AG117" s="60" t="str">
        <f>IF($B117="","",'E08 — Estabilização Hypercare'!S122)</f>
        <v/>
      </c>
      <c r="AH117" s="61" t="str">
        <f>IF($B117="","",'E08 — Estabilização Hypercare'!T122)</f>
        <v/>
      </c>
      <c r="AI117" s="62" t="str">
        <f>IF($B117="","",'E08 — Estabilização Hypercare'!N122)</f>
        <v/>
      </c>
      <c r="AJ117" s="61" t="str">
        <f>IF(OR($B117="",'E08 — Estabilização Hypercare'!U122=""),"",'E08 — Estabilização Hypercare'!U122)</f>
        <v/>
      </c>
      <c r="AK117" s="60" t="str">
        <f t="shared" si="8"/>
        <v/>
      </c>
      <c r="AL117" s="65" t="str">
        <f t="shared" si="9"/>
        <v/>
      </c>
    </row>
    <row r="118" spans="2:38" s="42" customFormat="1" x14ac:dyDescent="0.35">
      <c r="B118" s="55" t="str">
        <f t="shared" si="5"/>
        <v/>
      </c>
      <c r="C118" s="40"/>
      <c r="D118" s="40"/>
      <c r="E118" s="41"/>
      <c r="F118" s="41"/>
      <c r="G118" s="41"/>
      <c r="H118" s="68" t="str">
        <f>IF('E2 — Triagem'!D123="","",'E2 — Triagem'!D123)</f>
        <v/>
      </c>
      <c r="I118" s="71"/>
      <c r="J118" s="41"/>
      <c r="K118" s="41"/>
      <c r="L118" s="71"/>
      <c r="M118" s="71"/>
      <c r="N118" s="71"/>
      <c r="O118" s="71"/>
      <c r="P118" s="41"/>
      <c r="Q118" s="41"/>
      <c r="R118" s="71"/>
      <c r="S118" s="71"/>
      <c r="T118" s="75"/>
      <c r="U118" s="75"/>
      <c r="V118" s="75"/>
      <c r="W118" s="58" t="str">
        <f t="shared" si="6"/>
        <v/>
      </c>
      <c r="X118" s="59" t="str">
        <f t="shared" si="7"/>
        <v/>
      </c>
      <c r="Y118" s="41"/>
      <c r="Z118" s="41"/>
      <c r="AA118" s="41"/>
      <c r="AB118" s="68" t="str">
        <f>IF($B118="","",'Workflow (Tracker)'!L141)</f>
        <v/>
      </c>
      <c r="AC118" s="69" t="str">
        <f>IF($B118="","",'E08 — Estabilização Hypercare'!K123)</f>
        <v/>
      </c>
      <c r="AD118" s="66" t="str">
        <f>IF($B118="","",'E08 — Estabilização Hypercare'!O123)</f>
        <v/>
      </c>
      <c r="AE118" s="66" t="str">
        <f>IF($B118="","",'E08 — Estabilização Hypercare'!Q123)</f>
        <v/>
      </c>
      <c r="AF118" s="66" t="str">
        <f>IF(OR($B118="",'E08 — Estabilização Hypercare'!R123=""),"",'E08 — Estabilização Hypercare'!R123)</f>
        <v/>
      </c>
      <c r="AG118" s="60" t="str">
        <f>IF($B118="","",'E08 — Estabilização Hypercare'!S123)</f>
        <v/>
      </c>
      <c r="AH118" s="61" t="str">
        <f>IF($B118="","",'E08 — Estabilização Hypercare'!T123)</f>
        <v/>
      </c>
      <c r="AI118" s="62" t="str">
        <f>IF($B118="","",'E08 — Estabilização Hypercare'!N123)</f>
        <v/>
      </c>
      <c r="AJ118" s="61" t="str">
        <f>IF(OR($B118="",'E08 — Estabilização Hypercare'!U123=""),"",'E08 — Estabilização Hypercare'!U123)</f>
        <v/>
      </c>
      <c r="AK118" s="60" t="str">
        <f t="shared" si="8"/>
        <v/>
      </c>
      <c r="AL118" s="65" t="str">
        <f t="shared" si="9"/>
        <v/>
      </c>
    </row>
    <row r="119" spans="2:38" s="42" customFormat="1" x14ac:dyDescent="0.35">
      <c r="B119" s="55" t="str">
        <f t="shared" si="5"/>
        <v/>
      </c>
      <c r="C119" s="40"/>
      <c r="D119" s="40"/>
      <c r="E119" s="41"/>
      <c r="F119" s="41"/>
      <c r="G119" s="41"/>
      <c r="H119" s="68" t="str">
        <f>IF('E2 — Triagem'!D124="","",'E2 — Triagem'!D124)</f>
        <v/>
      </c>
      <c r="I119" s="71"/>
      <c r="J119" s="41"/>
      <c r="K119" s="41"/>
      <c r="L119" s="71"/>
      <c r="M119" s="71"/>
      <c r="N119" s="71"/>
      <c r="O119" s="71"/>
      <c r="P119" s="41"/>
      <c r="Q119" s="41"/>
      <c r="R119" s="71"/>
      <c r="S119" s="71"/>
      <c r="T119" s="75"/>
      <c r="U119" s="75"/>
      <c r="V119" s="75"/>
      <c r="W119" s="58" t="str">
        <f t="shared" si="6"/>
        <v/>
      </c>
      <c r="X119" s="59" t="str">
        <f t="shared" si="7"/>
        <v/>
      </c>
      <c r="Y119" s="41"/>
      <c r="Z119" s="41"/>
      <c r="AA119" s="41"/>
      <c r="AB119" s="68" t="str">
        <f>IF($B119="","",'Workflow (Tracker)'!L142)</f>
        <v/>
      </c>
      <c r="AC119" s="69" t="str">
        <f>IF($B119="","",'E08 — Estabilização Hypercare'!K124)</f>
        <v/>
      </c>
      <c r="AD119" s="66" t="str">
        <f>IF($B119="","",'E08 — Estabilização Hypercare'!O124)</f>
        <v/>
      </c>
      <c r="AE119" s="66" t="str">
        <f>IF($B119="","",'E08 — Estabilização Hypercare'!Q124)</f>
        <v/>
      </c>
      <c r="AF119" s="66" t="str">
        <f>IF(OR($B119="",'E08 — Estabilização Hypercare'!R124=""),"",'E08 — Estabilização Hypercare'!R124)</f>
        <v/>
      </c>
      <c r="AG119" s="60" t="str">
        <f>IF($B119="","",'E08 — Estabilização Hypercare'!S124)</f>
        <v/>
      </c>
      <c r="AH119" s="61" t="str">
        <f>IF($B119="","",'E08 — Estabilização Hypercare'!T124)</f>
        <v/>
      </c>
      <c r="AI119" s="62" t="str">
        <f>IF($B119="","",'E08 — Estabilização Hypercare'!N124)</f>
        <v/>
      </c>
      <c r="AJ119" s="61" t="str">
        <f>IF(OR($B119="",'E08 — Estabilização Hypercare'!U124=""),"",'E08 — Estabilização Hypercare'!U124)</f>
        <v/>
      </c>
      <c r="AK119" s="60" t="str">
        <f t="shared" si="8"/>
        <v/>
      </c>
      <c r="AL119" s="65" t="str">
        <f t="shared" si="9"/>
        <v/>
      </c>
    </row>
    <row r="120" spans="2:38" s="42" customFormat="1" x14ac:dyDescent="0.35">
      <c r="B120" s="55" t="str">
        <f t="shared" si="5"/>
        <v/>
      </c>
      <c r="C120" s="40"/>
      <c r="D120" s="40"/>
      <c r="E120" s="41"/>
      <c r="F120" s="41"/>
      <c r="G120" s="41"/>
      <c r="H120" s="68" t="str">
        <f>IF('E2 — Triagem'!D125="","",'E2 — Triagem'!D125)</f>
        <v/>
      </c>
      <c r="I120" s="71"/>
      <c r="J120" s="41"/>
      <c r="K120" s="41"/>
      <c r="L120" s="71"/>
      <c r="M120" s="71"/>
      <c r="N120" s="71"/>
      <c r="O120" s="71"/>
      <c r="P120" s="41"/>
      <c r="Q120" s="41"/>
      <c r="R120" s="71"/>
      <c r="S120" s="71"/>
      <c r="T120" s="75"/>
      <c r="U120" s="75"/>
      <c r="V120" s="75"/>
      <c r="W120" s="58" t="str">
        <f t="shared" si="6"/>
        <v/>
      </c>
      <c r="X120" s="59" t="str">
        <f t="shared" si="7"/>
        <v/>
      </c>
      <c r="Y120" s="41"/>
      <c r="Z120" s="41"/>
      <c r="AA120" s="41"/>
      <c r="AB120" s="68" t="str">
        <f>IF($B120="","",'Workflow (Tracker)'!L143)</f>
        <v/>
      </c>
      <c r="AC120" s="69" t="str">
        <f>IF($B120="","",'E08 — Estabilização Hypercare'!K125)</f>
        <v/>
      </c>
      <c r="AD120" s="66" t="str">
        <f>IF($B120="","",'E08 — Estabilização Hypercare'!O125)</f>
        <v/>
      </c>
      <c r="AE120" s="66" t="str">
        <f>IF($B120="","",'E08 — Estabilização Hypercare'!Q125)</f>
        <v/>
      </c>
      <c r="AF120" s="66" t="str">
        <f>IF(OR($B120="",'E08 — Estabilização Hypercare'!R125=""),"",'E08 — Estabilização Hypercare'!R125)</f>
        <v/>
      </c>
      <c r="AG120" s="60" t="str">
        <f>IF($B120="","",'E08 — Estabilização Hypercare'!S125)</f>
        <v/>
      </c>
      <c r="AH120" s="61" t="str">
        <f>IF($B120="","",'E08 — Estabilização Hypercare'!T125)</f>
        <v/>
      </c>
      <c r="AI120" s="62" t="str">
        <f>IF($B120="","",'E08 — Estabilização Hypercare'!N125)</f>
        <v/>
      </c>
      <c r="AJ120" s="61" t="str">
        <f>IF(OR($B120="",'E08 — Estabilização Hypercare'!U125=""),"",'E08 — Estabilização Hypercare'!U125)</f>
        <v/>
      </c>
      <c r="AK120" s="60" t="str">
        <f t="shared" si="8"/>
        <v/>
      </c>
      <c r="AL120" s="65" t="str">
        <f t="shared" si="9"/>
        <v/>
      </c>
    </row>
    <row r="121" spans="2:38" s="42" customFormat="1" x14ac:dyDescent="0.35">
      <c r="B121" s="55" t="str">
        <f t="shared" si="5"/>
        <v/>
      </c>
      <c r="C121" s="40"/>
      <c r="D121" s="40"/>
      <c r="E121" s="41"/>
      <c r="F121" s="41"/>
      <c r="G121" s="41"/>
      <c r="H121" s="68" t="str">
        <f>IF('E2 — Triagem'!D126="","",'E2 — Triagem'!D126)</f>
        <v/>
      </c>
      <c r="I121" s="71"/>
      <c r="J121" s="41"/>
      <c r="K121" s="41"/>
      <c r="L121" s="71"/>
      <c r="M121" s="71"/>
      <c r="N121" s="71"/>
      <c r="O121" s="71"/>
      <c r="P121" s="41"/>
      <c r="Q121" s="41"/>
      <c r="R121" s="71"/>
      <c r="S121" s="71"/>
      <c r="T121" s="75"/>
      <c r="U121" s="75"/>
      <c r="V121" s="75"/>
      <c r="W121" s="58" t="str">
        <f t="shared" si="6"/>
        <v/>
      </c>
      <c r="X121" s="59" t="str">
        <f t="shared" si="7"/>
        <v/>
      </c>
      <c r="Y121" s="41"/>
      <c r="Z121" s="41"/>
      <c r="AA121" s="41"/>
      <c r="AB121" s="68" t="str">
        <f>IF($B121="","",'Workflow (Tracker)'!L144)</f>
        <v/>
      </c>
      <c r="AC121" s="69" t="str">
        <f>IF($B121="","",'E08 — Estabilização Hypercare'!K126)</f>
        <v/>
      </c>
      <c r="AD121" s="66" t="str">
        <f>IF($B121="","",'E08 — Estabilização Hypercare'!O126)</f>
        <v/>
      </c>
      <c r="AE121" s="66" t="str">
        <f>IF($B121="","",'E08 — Estabilização Hypercare'!Q126)</f>
        <v/>
      </c>
      <c r="AF121" s="66" t="str">
        <f>IF(OR($B121="",'E08 — Estabilização Hypercare'!R126=""),"",'E08 — Estabilização Hypercare'!R126)</f>
        <v/>
      </c>
      <c r="AG121" s="60" t="str">
        <f>IF($B121="","",'E08 — Estabilização Hypercare'!S126)</f>
        <v/>
      </c>
      <c r="AH121" s="61" t="str">
        <f>IF($B121="","",'E08 — Estabilização Hypercare'!T126)</f>
        <v/>
      </c>
      <c r="AI121" s="62" t="str">
        <f>IF($B121="","",'E08 — Estabilização Hypercare'!N126)</f>
        <v/>
      </c>
      <c r="AJ121" s="61" t="str">
        <f>IF(OR($B121="",'E08 — Estabilização Hypercare'!U126=""),"",'E08 — Estabilização Hypercare'!U126)</f>
        <v/>
      </c>
      <c r="AK121" s="60" t="str">
        <f t="shared" si="8"/>
        <v/>
      </c>
      <c r="AL121" s="65" t="str">
        <f t="shared" si="9"/>
        <v/>
      </c>
    </row>
    <row r="122" spans="2:38" s="42" customFormat="1" x14ac:dyDescent="0.35">
      <c r="B122" s="55" t="str">
        <f t="shared" si="5"/>
        <v/>
      </c>
      <c r="C122" s="40"/>
      <c r="D122" s="40"/>
      <c r="E122" s="41"/>
      <c r="F122" s="41"/>
      <c r="G122" s="41"/>
      <c r="H122" s="68" t="str">
        <f>IF('E2 — Triagem'!D127="","",'E2 — Triagem'!D127)</f>
        <v/>
      </c>
      <c r="I122" s="71"/>
      <c r="J122" s="41"/>
      <c r="K122" s="41"/>
      <c r="L122" s="71"/>
      <c r="M122" s="71"/>
      <c r="N122" s="71"/>
      <c r="O122" s="71"/>
      <c r="P122" s="41"/>
      <c r="Q122" s="41"/>
      <c r="R122" s="71"/>
      <c r="S122" s="71"/>
      <c r="T122" s="75"/>
      <c r="U122" s="75"/>
      <c r="V122" s="75"/>
      <c r="W122" s="58" t="str">
        <f t="shared" si="6"/>
        <v/>
      </c>
      <c r="X122" s="59" t="str">
        <f t="shared" si="7"/>
        <v/>
      </c>
      <c r="Y122" s="41"/>
      <c r="Z122" s="41"/>
      <c r="AA122" s="41"/>
      <c r="AB122" s="68" t="str">
        <f>IF($B122="","",'Workflow (Tracker)'!L145)</f>
        <v/>
      </c>
      <c r="AC122" s="69" t="str">
        <f>IF($B122="","",'E08 — Estabilização Hypercare'!K127)</f>
        <v/>
      </c>
      <c r="AD122" s="66" t="str">
        <f>IF($B122="","",'E08 — Estabilização Hypercare'!O127)</f>
        <v/>
      </c>
      <c r="AE122" s="66" t="str">
        <f>IF($B122="","",'E08 — Estabilização Hypercare'!Q127)</f>
        <v/>
      </c>
      <c r="AF122" s="66" t="str">
        <f>IF(OR($B122="",'E08 — Estabilização Hypercare'!R127=""),"",'E08 — Estabilização Hypercare'!R127)</f>
        <v/>
      </c>
      <c r="AG122" s="60" t="str">
        <f>IF($B122="","",'E08 — Estabilização Hypercare'!S127)</f>
        <v/>
      </c>
      <c r="AH122" s="61" t="str">
        <f>IF($B122="","",'E08 — Estabilização Hypercare'!T127)</f>
        <v/>
      </c>
      <c r="AI122" s="62" t="str">
        <f>IF($B122="","",'E08 — Estabilização Hypercare'!N127)</f>
        <v/>
      </c>
      <c r="AJ122" s="61" t="str">
        <f>IF(OR($B122="",'E08 — Estabilização Hypercare'!U127=""),"",'E08 — Estabilização Hypercare'!U127)</f>
        <v/>
      </c>
      <c r="AK122" s="60" t="str">
        <f t="shared" si="8"/>
        <v/>
      </c>
      <c r="AL122" s="65" t="str">
        <f t="shared" si="9"/>
        <v/>
      </c>
    </row>
    <row r="123" spans="2:38" s="42" customFormat="1" x14ac:dyDescent="0.35">
      <c r="B123" s="55" t="str">
        <f t="shared" si="5"/>
        <v/>
      </c>
      <c r="C123" s="40"/>
      <c r="D123" s="40"/>
      <c r="E123" s="41"/>
      <c r="F123" s="41"/>
      <c r="G123" s="41"/>
      <c r="H123" s="68" t="str">
        <f>IF('E2 — Triagem'!D128="","",'E2 — Triagem'!D128)</f>
        <v/>
      </c>
      <c r="I123" s="71"/>
      <c r="J123" s="41"/>
      <c r="K123" s="41"/>
      <c r="L123" s="71"/>
      <c r="M123" s="71"/>
      <c r="N123" s="71"/>
      <c r="O123" s="71"/>
      <c r="P123" s="41"/>
      <c r="Q123" s="41"/>
      <c r="R123" s="71"/>
      <c r="S123" s="71"/>
      <c r="T123" s="75"/>
      <c r="U123" s="75"/>
      <c r="V123" s="75"/>
      <c r="W123" s="58" t="str">
        <f t="shared" si="6"/>
        <v/>
      </c>
      <c r="X123" s="59" t="str">
        <f t="shared" si="7"/>
        <v/>
      </c>
      <c r="Y123" s="41"/>
      <c r="Z123" s="41"/>
      <c r="AA123" s="41"/>
      <c r="AB123" s="68" t="str">
        <f>IF($B123="","",'Workflow (Tracker)'!L146)</f>
        <v/>
      </c>
      <c r="AC123" s="69" t="str">
        <f>IF($B123="","",'E08 — Estabilização Hypercare'!K128)</f>
        <v/>
      </c>
      <c r="AD123" s="66" t="str">
        <f>IF($B123="","",'E08 — Estabilização Hypercare'!O128)</f>
        <v/>
      </c>
      <c r="AE123" s="66" t="str">
        <f>IF($B123="","",'E08 — Estabilização Hypercare'!Q128)</f>
        <v/>
      </c>
      <c r="AF123" s="66" t="str">
        <f>IF(OR($B123="",'E08 — Estabilização Hypercare'!R128=""),"",'E08 — Estabilização Hypercare'!R128)</f>
        <v/>
      </c>
      <c r="AG123" s="60" t="str">
        <f>IF($B123="","",'E08 — Estabilização Hypercare'!S128)</f>
        <v/>
      </c>
      <c r="AH123" s="61" t="str">
        <f>IF($B123="","",'E08 — Estabilização Hypercare'!T128)</f>
        <v/>
      </c>
      <c r="AI123" s="62" t="str">
        <f>IF($B123="","",'E08 — Estabilização Hypercare'!N128)</f>
        <v/>
      </c>
      <c r="AJ123" s="61" t="str">
        <f>IF(OR($B123="",'E08 — Estabilização Hypercare'!U128=""),"",'E08 — Estabilização Hypercare'!U128)</f>
        <v/>
      </c>
      <c r="AK123" s="60" t="str">
        <f t="shared" si="8"/>
        <v/>
      </c>
      <c r="AL123" s="65" t="str">
        <f t="shared" si="9"/>
        <v/>
      </c>
    </row>
    <row r="124" spans="2:38" s="42" customFormat="1" x14ac:dyDescent="0.35">
      <c r="B124" s="55" t="str">
        <f t="shared" si="5"/>
        <v/>
      </c>
      <c r="C124" s="40"/>
      <c r="D124" s="40"/>
      <c r="E124" s="41"/>
      <c r="F124" s="41"/>
      <c r="G124" s="41"/>
      <c r="H124" s="68" t="str">
        <f>IF('E2 — Triagem'!D129="","",'E2 — Triagem'!D129)</f>
        <v/>
      </c>
      <c r="I124" s="71"/>
      <c r="J124" s="41"/>
      <c r="K124" s="41"/>
      <c r="L124" s="71"/>
      <c r="M124" s="71"/>
      <c r="N124" s="71"/>
      <c r="O124" s="71"/>
      <c r="P124" s="41"/>
      <c r="Q124" s="41"/>
      <c r="R124" s="71"/>
      <c r="S124" s="71"/>
      <c r="T124" s="75"/>
      <c r="U124" s="75"/>
      <c r="V124" s="75"/>
      <c r="W124" s="58" t="str">
        <f t="shared" si="6"/>
        <v/>
      </c>
      <c r="X124" s="59" t="str">
        <f t="shared" si="7"/>
        <v/>
      </c>
      <c r="Y124" s="41"/>
      <c r="Z124" s="41"/>
      <c r="AA124" s="41"/>
      <c r="AB124" s="68" t="str">
        <f>IF($B124="","",'Workflow (Tracker)'!L147)</f>
        <v/>
      </c>
      <c r="AC124" s="69" t="str">
        <f>IF($B124="","",'E08 — Estabilização Hypercare'!K129)</f>
        <v/>
      </c>
      <c r="AD124" s="66" t="str">
        <f>IF($B124="","",'E08 — Estabilização Hypercare'!O129)</f>
        <v/>
      </c>
      <c r="AE124" s="66" t="str">
        <f>IF($B124="","",'E08 — Estabilização Hypercare'!Q129)</f>
        <v/>
      </c>
      <c r="AF124" s="66" t="str">
        <f>IF(OR($B124="",'E08 — Estabilização Hypercare'!R129=""),"",'E08 — Estabilização Hypercare'!R129)</f>
        <v/>
      </c>
      <c r="AG124" s="60" t="str">
        <f>IF($B124="","",'E08 — Estabilização Hypercare'!S129)</f>
        <v/>
      </c>
      <c r="AH124" s="61" t="str">
        <f>IF($B124="","",'E08 — Estabilização Hypercare'!T129)</f>
        <v/>
      </c>
      <c r="AI124" s="62" t="str">
        <f>IF($B124="","",'E08 — Estabilização Hypercare'!N129)</f>
        <v/>
      </c>
      <c r="AJ124" s="61" t="str">
        <f>IF(OR($B124="",'E08 — Estabilização Hypercare'!U129=""),"",'E08 — Estabilização Hypercare'!U129)</f>
        <v/>
      </c>
      <c r="AK124" s="60" t="str">
        <f t="shared" si="8"/>
        <v/>
      </c>
      <c r="AL124" s="65" t="str">
        <f t="shared" si="9"/>
        <v/>
      </c>
    </row>
    <row r="125" spans="2:38" s="42" customFormat="1" x14ac:dyDescent="0.35">
      <c r="B125" s="55" t="str">
        <f t="shared" si="5"/>
        <v/>
      </c>
      <c r="C125" s="40"/>
      <c r="D125" s="40"/>
      <c r="E125" s="41"/>
      <c r="F125" s="41"/>
      <c r="G125" s="41"/>
      <c r="H125" s="68" t="str">
        <f>IF('E2 — Triagem'!D130="","",'E2 — Triagem'!D130)</f>
        <v/>
      </c>
      <c r="I125" s="71"/>
      <c r="J125" s="41"/>
      <c r="K125" s="41"/>
      <c r="L125" s="71"/>
      <c r="M125" s="71"/>
      <c r="N125" s="71"/>
      <c r="O125" s="71"/>
      <c r="P125" s="41"/>
      <c r="Q125" s="41"/>
      <c r="R125" s="71"/>
      <c r="S125" s="71"/>
      <c r="T125" s="75"/>
      <c r="U125" s="75"/>
      <c r="V125" s="75"/>
      <c r="W125" s="58" t="str">
        <f t="shared" si="6"/>
        <v/>
      </c>
      <c r="X125" s="59" t="str">
        <f t="shared" si="7"/>
        <v/>
      </c>
      <c r="Y125" s="41"/>
      <c r="Z125" s="41"/>
      <c r="AA125" s="41"/>
      <c r="AB125" s="68" t="str">
        <f>IF($B125="","",'Workflow (Tracker)'!L148)</f>
        <v/>
      </c>
      <c r="AC125" s="69" t="str">
        <f>IF($B125="","",'E08 — Estabilização Hypercare'!K130)</f>
        <v/>
      </c>
      <c r="AD125" s="66" t="str">
        <f>IF($B125="","",'E08 — Estabilização Hypercare'!O130)</f>
        <v/>
      </c>
      <c r="AE125" s="66" t="str">
        <f>IF($B125="","",'E08 — Estabilização Hypercare'!Q130)</f>
        <v/>
      </c>
      <c r="AF125" s="66" t="str">
        <f>IF(OR($B125="",'E08 — Estabilização Hypercare'!R130=""),"",'E08 — Estabilização Hypercare'!R130)</f>
        <v/>
      </c>
      <c r="AG125" s="60" t="str">
        <f>IF($B125="","",'E08 — Estabilização Hypercare'!S130)</f>
        <v/>
      </c>
      <c r="AH125" s="61" t="str">
        <f>IF($B125="","",'E08 — Estabilização Hypercare'!T130)</f>
        <v/>
      </c>
      <c r="AI125" s="62" t="str">
        <f>IF($B125="","",'E08 — Estabilização Hypercare'!N130)</f>
        <v/>
      </c>
      <c r="AJ125" s="61" t="str">
        <f>IF(OR($B125="",'E08 — Estabilização Hypercare'!U130=""),"",'E08 — Estabilização Hypercare'!U130)</f>
        <v/>
      </c>
      <c r="AK125" s="60" t="str">
        <f t="shared" si="8"/>
        <v/>
      </c>
      <c r="AL125" s="65" t="str">
        <f t="shared" si="9"/>
        <v/>
      </c>
    </row>
    <row r="126" spans="2:38" s="42" customFormat="1" x14ac:dyDescent="0.35">
      <c r="B126" s="55" t="str">
        <f t="shared" si="5"/>
        <v/>
      </c>
      <c r="C126" s="40"/>
      <c r="D126" s="40"/>
      <c r="E126" s="41"/>
      <c r="F126" s="41"/>
      <c r="G126" s="41"/>
      <c r="H126" s="68" t="str">
        <f>IF('E2 — Triagem'!D131="","",'E2 — Triagem'!D131)</f>
        <v/>
      </c>
      <c r="I126" s="71"/>
      <c r="J126" s="41"/>
      <c r="K126" s="41"/>
      <c r="L126" s="71"/>
      <c r="M126" s="71"/>
      <c r="N126" s="71"/>
      <c r="O126" s="71"/>
      <c r="P126" s="41"/>
      <c r="Q126" s="41"/>
      <c r="R126" s="71"/>
      <c r="S126" s="71"/>
      <c r="T126" s="75"/>
      <c r="U126" s="75"/>
      <c r="V126" s="75"/>
      <c r="W126" s="58" t="str">
        <f t="shared" si="6"/>
        <v/>
      </c>
      <c r="X126" s="59" t="str">
        <f t="shared" si="7"/>
        <v/>
      </c>
      <c r="Y126" s="41"/>
      <c r="Z126" s="41"/>
      <c r="AA126" s="41"/>
      <c r="AB126" s="68" t="str">
        <f>IF($B126="","",'Workflow (Tracker)'!L149)</f>
        <v/>
      </c>
      <c r="AC126" s="69" t="str">
        <f>IF($B126="","",'E08 — Estabilização Hypercare'!K131)</f>
        <v/>
      </c>
      <c r="AD126" s="66" t="str">
        <f>IF($B126="","",'E08 — Estabilização Hypercare'!O131)</f>
        <v/>
      </c>
      <c r="AE126" s="66" t="str">
        <f>IF($B126="","",'E08 — Estabilização Hypercare'!Q131)</f>
        <v/>
      </c>
      <c r="AF126" s="66" t="str">
        <f>IF(OR($B126="",'E08 — Estabilização Hypercare'!R131=""),"",'E08 — Estabilização Hypercare'!R131)</f>
        <v/>
      </c>
      <c r="AG126" s="60" t="str">
        <f>IF($B126="","",'E08 — Estabilização Hypercare'!S131)</f>
        <v/>
      </c>
      <c r="AH126" s="61" t="str">
        <f>IF($B126="","",'E08 — Estabilização Hypercare'!T131)</f>
        <v/>
      </c>
      <c r="AI126" s="62" t="str">
        <f>IF($B126="","",'E08 — Estabilização Hypercare'!N131)</f>
        <v/>
      </c>
      <c r="AJ126" s="61" t="str">
        <f>IF(OR($B126="",'E08 — Estabilização Hypercare'!U131=""),"",'E08 — Estabilização Hypercare'!U131)</f>
        <v/>
      </c>
      <c r="AK126" s="60" t="str">
        <f t="shared" si="8"/>
        <v/>
      </c>
      <c r="AL126" s="65" t="str">
        <f t="shared" si="9"/>
        <v/>
      </c>
    </row>
    <row r="127" spans="2:38" s="42" customFormat="1" x14ac:dyDescent="0.35">
      <c r="B127" s="55" t="str">
        <f t="shared" si="5"/>
        <v/>
      </c>
      <c r="C127" s="40"/>
      <c r="D127" s="40"/>
      <c r="E127" s="41"/>
      <c r="F127" s="41"/>
      <c r="G127" s="41"/>
      <c r="H127" s="68" t="str">
        <f>IF('E2 — Triagem'!D132="","",'E2 — Triagem'!D132)</f>
        <v/>
      </c>
      <c r="I127" s="71"/>
      <c r="J127" s="41"/>
      <c r="K127" s="41"/>
      <c r="L127" s="71"/>
      <c r="M127" s="71"/>
      <c r="N127" s="71"/>
      <c r="O127" s="71"/>
      <c r="P127" s="41"/>
      <c r="Q127" s="41"/>
      <c r="R127" s="71"/>
      <c r="S127" s="71"/>
      <c r="T127" s="75"/>
      <c r="U127" s="75"/>
      <c r="V127" s="75"/>
      <c r="W127" s="58" t="str">
        <f t="shared" si="6"/>
        <v/>
      </c>
      <c r="X127" s="59" t="str">
        <f t="shared" si="7"/>
        <v/>
      </c>
      <c r="Y127" s="41"/>
      <c r="Z127" s="41"/>
      <c r="AA127" s="41"/>
      <c r="AB127" s="68" t="str">
        <f>IF($B127="","",'Workflow (Tracker)'!L150)</f>
        <v/>
      </c>
      <c r="AC127" s="69" t="str">
        <f>IF($B127="","",'E08 — Estabilização Hypercare'!K132)</f>
        <v/>
      </c>
      <c r="AD127" s="66" t="str">
        <f>IF($B127="","",'E08 — Estabilização Hypercare'!O132)</f>
        <v/>
      </c>
      <c r="AE127" s="66" t="str">
        <f>IF($B127="","",'E08 — Estabilização Hypercare'!Q132)</f>
        <v/>
      </c>
      <c r="AF127" s="66" t="str">
        <f>IF(OR($B127="",'E08 — Estabilização Hypercare'!R132=""),"",'E08 — Estabilização Hypercare'!R132)</f>
        <v/>
      </c>
      <c r="AG127" s="60" t="str">
        <f>IF($B127="","",'E08 — Estabilização Hypercare'!S132)</f>
        <v/>
      </c>
      <c r="AH127" s="61" t="str">
        <f>IF($B127="","",'E08 — Estabilização Hypercare'!T132)</f>
        <v/>
      </c>
      <c r="AI127" s="62" t="str">
        <f>IF($B127="","",'E08 — Estabilização Hypercare'!N132)</f>
        <v/>
      </c>
      <c r="AJ127" s="61" t="str">
        <f>IF(OR($B127="",'E08 — Estabilização Hypercare'!U132=""),"",'E08 — Estabilização Hypercare'!U132)</f>
        <v/>
      </c>
      <c r="AK127" s="60" t="str">
        <f t="shared" si="8"/>
        <v/>
      </c>
      <c r="AL127" s="65" t="str">
        <f t="shared" si="9"/>
        <v/>
      </c>
    </row>
    <row r="128" spans="2:38" s="42" customFormat="1" x14ac:dyDescent="0.35">
      <c r="B128" s="55" t="str">
        <f t="shared" si="5"/>
        <v/>
      </c>
      <c r="C128" s="40"/>
      <c r="D128" s="40"/>
      <c r="E128" s="41"/>
      <c r="F128" s="41"/>
      <c r="G128" s="41"/>
      <c r="H128" s="68" t="str">
        <f>IF('E2 — Triagem'!D133="","",'E2 — Triagem'!D133)</f>
        <v/>
      </c>
      <c r="I128" s="71"/>
      <c r="J128" s="41"/>
      <c r="K128" s="41"/>
      <c r="L128" s="71"/>
      <c r="M128" s="71"/>
      <c r="N128" s="71"/>
      <c r="O128" s="71"/>
      <c r="P128" s="41"/>
      <c r="Q128" s="41"/>
      <c r="R128" s="71"/>
      <c r="S128" s="71"/>
      <c r="T128" s="75"/>
      <c r="U128" s="75"/>
      <c r="V128" s="75"/>
      <c r="W128" s="58" t="str">
        <f t="shared" si="6"/>
        <v/>
      </c>
      <c r="X128" s="59" t="str">
        <f t="shared" si="7"/>
        <v/>
      </c>
      <c r="Y128" s="41"/>
      <c r="Z128" s="41"/>
      <c r="AA128" s="41"/>
      <c r="AB128" s="68" t="str">
        <f>IF($B128="","",'Workflow (Tracker)'!L151)</f>
        <v/>
      </c>
      <c r="AC128" s="69" t="str">
        <f>IF($B128="","",'E08 — Estabilização Hypercare'!K133)</f>
        <v/>
      </c>
      <c r="AD128" s="66" t="str">
        <f>IF($B128="","",'E08 — Estabilização Hypercare'!O133)</f>
        <v/>
      </c>
      <c r="AE128" s="66" t="str">
        <f>IF($B128="","",'E08 — Estabilização Hypercare'!Q133)</f>
        <v/>
      </c>
      <c r="AF128" s="66" t="str">
        <f>IF(OR($B128="",'E08 — Estabilização Hypercare'!R133=""),"",'E08 — Estabilização Hypercare'!R133)</f>
        <v/>
      </c>
      <c r="AG128" s="60" t="str">
        <f>IF($B128="","",'E08 — Estabilização Hypercare'!S133)</f>
        <v/>
      </c>
      <c r="AH128" s="61" t="str">
        <f>IF($B128="","",'E08 — Estabilização Hypercare'!T133)</f>
        <v/>
      </c>
      <c r="AI128" s="62" t="str">
        <f>IF($B128="","",'E08 — Estabilização Hypercare'!N133)</f>
        <v/>
      </c>
      <c r="AJ128" s="61" t="str">
        <f>IF(OR($B128="",'E08 — Estabilização Hypercare'!U133=""),"",'E08 — Estabilização Hypercare'!U133)</f>
        <v/>
      </c>
      <c r="AK128" s="60" t="str">
        <f t="shared" si="8"/>
        <v/>
      </c>
      <c r="AL128" s="65" t="str">
        <f t="shared" si="9"/>
        <v/>
      </c>
    </row>
    <row r="129" spans="2:38" s="42" customFormat="1" x14ac:dyDescent="0.35">
      <c r="B129" s="55" t="str">
        <f t="shared" si="5"/>
        <v/>
      </c>
      <c r="C129" s="40"/>
      <c r="D129" s="40"/>
      <c r="E129" s="41"/>
      <c r="F129" s="41"/>
      <c r="G129" s="41"/>
      <c r="H129" s="68" t="str">
        <f>IF('E2 — Triagem'!D134="","",'E2 — Triagem'!D134)</f>
        <v/>
      </c>
      <c r="I129" s="71"/>
      <c r="J129" s="41"/>
      <c r="K129" s="41"/>
      <c r="L129" s="71"/>
      <c r="M129" s="71"/>
      <c r="N129" s="71"/>
      <c r="O129" s="71"/>
      <c r="P129" s="41"/>
      <c r="Q129" s="41"/>
      <c r="R129" s="71"/>
      <c r="S129" s="71"/>
      <c r="T129" s="75"/>
      <c r="U129" s="75"/>
      <c r="V129" s="75"/>
      <c r="W129" s="58" t="str">
        <f t="shared" si="6"/>
        <v/>
      </c>
      <c r="X129" s="59" t="str">
        <f t="shared" si="7"/>
        <v/>
      </c>
      <c r="Y129" s="41"/>
      <c r="Z129" s="41"/>
      <c r="AA129" s="41"/>
      <c r="AB129" s="68" t="str">
        <f>IF($B129="","",'Workflow (Tracker)'!L152)</f>
        <v/>
      </c>
      <c r="AC129" s="69" t="str">
        <f>IF($B129="","",'E08 — Estabilização Hypercare'!K134)</f>
        <v/>
      </c>
      <c r="AD129" s="66" t="str">
        <f>IF($B129="","",'E08 — Estabilização Hypercare'!O134)</f>
        <v/>
      </c>
      <c r="AE129" s="66" t="str">
        <f>IF($B129="","",'E08 — Estabilização Hypercare'!Q134)</f>
        <v/>
      </c>
      <c r="AF129" s="66" t="str">
        <f>IF(OR($B129="",'E08 — Estabilização Hypercare'!R134=""),"",'E08 — Estabilização Hypercare'!R134)</f>
        <v/>
      </c>
      <c r="AG129" s="60" t="str">
        <f>IF($B129="","",'E08 — Estabilização Hypercare'!S134)</f>
        <v/>
      </c>
      <c r="AH129" s="61" t="str">
        <f>IF($B129="","",'E08 — Estabilização Hypercare'!T134)</f>
        <v/>
      </c>
      <c r="AI129" s="62" t="str">
        <f>IF($B129="","",'E08 — Estabilização Hypercare'!N134)</f>
        <v/>
      </c>
      <c r="AJ129" s="61" t="str">
        <f>IF(OR($B129="",'E08 — Estabilização Hypercare'!U134=""),"",'E08 — Estabilização Hypercare'!U134)</f>
        <v/>
      </c>
      <c r="AK129" s="60" t="str">
        <f t="shared" si="8"/>
        <v/>
      </c>
      <c r="AL129" s="65" t="str">
        <f t="shared" si="9"/>
        <v/>
      </c>
    </row>
    <row r="130" spans="2:38" s="42" customFormat="1" x14ac:dyDescent="0.35">
      <c r="B130" s="55" t="str">
        <f t="shared" si="5"/>
        <v/>
      </c>
      <c r="C130" s="40"/>
      <c r="D130" s="40"/>
      <c r="E130" s="41"/>
      <c r="F130" s="41"/>
      <c r="G130" s="41"/>
      <c r="H130" s="68" t="str">
        <f>IF('E2 — Triagem'!D135="","",'E2 — Triagem'!D135)</f>
        <v/>
      </c>
      <c r="I130" s="71"/>
      <c r="J130" s="41"/>
      <c r="K130" s="41"/>
      <c r="L130" s="71"/>
      <c r="M130" s="71"/>
      <c r="N130" s="71"/>
      <c r="O130" s="71"/>
      <c r="P130" s="41"/>
      <c r="Q130" s="41"/>
      <c r="R130" s="71"/>
      <c r="S130" s="71"/>
      <c r="T130" s="75"/>
      <c r="U130" s="75"/>
      <c r="V130" s="75"/>
      <c r="W130" s="58" t="str">
        <f t="shared" si="6"/>
        <v/>
      </c>
      <c r="X130" s="59" t="str">
        <f t="shared" si="7"/>
        <v/>
      </c>
      <c r="Y130" s="41"/>
      <c r="Z130" s="41"/>
      <c r="AA130" s="41"/>
      <c r="AB130" s="68" t="str">
        <f>IF($B130="","",'Workflow (Tracker)'!L153)</f>
        <v/>
      </c>
      <c r="AC130" s="69" t="str">
        <f>IF($B130="","",'E08 — Estabilização Hypercare'!K135)</f>
        <v/>
      </c>
      <c r="AD130" s="66" t="str">
        <f>IF($B130="","",'E08 — Estabilização Hypercare'!O135)</f>
        <v/>
      </c>
      <c r="AE130" s="66" t="str">
        <f>IF($B130="","",'E08 — Estabilização Hypercare'!Q135)</f>
        <v/>
      </c>
      <c r="AF130" s="66" t="str">
        <f>IF(OR($B130="",'E08 — Estabilização Hypercare'!R135=""),"",'E08 — Estabilização Hypercare'!R135)</f>
        <v/>
      </c>
      <c r="AG130" s="60" t="str">
        <f>IF($B130="","",'E08 — Estabilização Hypercare'!S135)</f>
        <v/>
      </c>
      <c r="AH130" s="61" t="str">
        <f>IF($B130="","",'E08 — Estabilização Hypercare'!T135)</f>
        <v/>
      </c>
      <c r="AI130" s="62" t="str">
        <f>IF($B130="","",'E08 — Estabilização Hypercare'!N135)</f>
        <v/>
      </c>
      <c r="AJ130" s="61" t="str">
        <f>IF(OR($B130="",'E08 — Estabilização Hypercare'!U135=""),"",'E08 — Estabilização Hypercare'!U135)</f>
        <v/>
      </c>
      <c r="AK130" s="60" t="str">
        <f t="shared" si="8"/>
        <v/>
      </c>
      <c r="AL130" s="65" t="str">
        <f t="shared" si="9"/>
        <v/>
      </c>
    </row>
    <row r="131" spans="2:38" s="42" customFormat="1" x14ac:dyDescent="0.35">
      <c r="B131" s="55" t="str">
        <f t="shared" ref="B131:B194" si="10">IF($C131="","",Prefixo&amp;"-"&amp;TEXT(ROW()-2,"0000"))</f>
        <v/>
      </c>
      <c r="C131" s="40"/>
      <c r="D131" s="40"/>
      <c r="E131" s="41"/>
      <c r="F131" s="41"/>
      <c r="G131" s="41"/>
      <c r="H131" s="68" t="str">
        <f>IF('E2 — Triagem'!D136="","",'E2 — Triagem'!D136)</f>
        <v/>
      </c>
      <c r="I131" s="71"/>
      <c r="J131" s="41"/>
      <c r="K131" s="41"/>
      <c r="L131" s="71"/>
      <c r="M131" s="71"/>
      <c r="N131" s="71"/>
      <c r="O131" s="71"/>
      <c r="P131" s="41"/>
      <c r="Q131" s="41"/>
      <c r="R131" s="71"/>
      <c r="S131" s="71"/>
      <c r="T131" s="75"/>
      <c r="U131" s="75"/>
      <c r="V131" s="75"/>
      <c r="W131" s="58" t="str">
        <f t="shared" si="6"/>
        <v/>
      </c>
      <c r="X131" s="59" t="str">
        <f t="shared" si="7"/>
        <v/>
      </c>
      <c r="Y131" s="41"/>
      <c r="Z131" s="41"/>
      <c r="AA131" s="41"/>
      <c r="AB131" s="68" t="str">
        <f>IF($B131="","",'Workflow (Tracker)'!L154)</f>
        <v/>
      </c>
      <c r="AC131" s="69" t="str">
        <f>IF($B131="","",'E08 — Estabilização Hypercare'!K136)</f>
        <v/>
      </c>
      <c r="AD131" s="66" t="str">
        <f>IF($B131="","",'E08 — Estabilização Hypercare'!O136)</f>
        <v/>
      </c>
      <c r="AE131" s="66" t="str">
        <f>IF($B131="","",'E08 — Estabilização Hypercare'!Q136)</f>
        <v/>
      </c>
      <c r="AF131" s="66" t="str">
        <f>IF(OR($B131="",'E08 — Estabilização Hypercare'!R136=""),"",'E08 — Estabilização Hypercare'!R136)</f>
        <v/>
      </c>
      <c r="AG131" s="60" t="str">
        <f>IF($B131="","",'E08 — Estabilização Hypercare'!S136)</f>
        <v/>
      </c>
      <c r="AH131" s="61" t="str">
        <f>IF($B131="","",'E08 — Estabilização Hypercare'!T136)</f>
        <v/>
      </c>
      <c r="AI131" s="62" t="str">
        <f>IF($B131="","",'E08 — Estabilização Hypercare'!N136)</f>
        <v/>
      </c>
      <c r="AJ131" s="61" t="str">
        <f>IF(OR($B131="",'E08 — Estabilização Hypercare'!U136=""),"",'E08 — Estabilização Hypercare'!U136)</f>
        <v/>
      </c>
      <c r="AK131" s="60" t="str">
        <f t="shared" si="8"/>
        <v/>
      </c>
      <c r="AL131" s="65" t="str">
        <f t="shared" si="9"/>
        <v/>
      </c>
    </row>
    <row r="132" spans="2:38" s="42" customFormat="1" x14ac:dyDescent="0.35">
      <c r="B132" s="55" t="str">
        <f t="shared" si="10"/>
        <v/>
      </c>
      <c r="C132" s="40"/>
      <c r="D132" s="40"/>
      <c r="E132" s="41"/>
      <c r="F132" s="41"/>
      <c r="G132" s="41"/>
      <c r="H132" s="68" t="str">
        <f>IF('E2 — Triagem'!D137="","",'E2 — Triagem'!D137)</f>
        <v/>
      </c>
      <c r="I132" s="71"/>
      <c r="J132" s="41"/>
      <c r="K132" s="41"/>
      <c r="L132" s="71"/>
      <c r="M132" s="71"/>
      <c r="N132" s="71"/>
      <c r="O132" s="71"/>
      <c r="P132" s="41"/>
      <c r="Q132" s="41"/>
      <c r="R132" s="71"/>
      <c r="S132" s="71"/>
      <c r="T132" s="75"/>
      <c r="U132" s="75"/>
      <c r="V132" s="75"/>
      <c r="W132" s="58" t="str">
        <f t="shared" ref="W132:W195" si="11">IF(OR($U132="",$V132="",$U132&lt;=0),"",$U132-$V132)</f>
        <v/>
      </c>
      <c r="X132" s="59" t="str">
        <f t="shared" ref="X132:X195" si="12">IF(OR($U132="",$V132="",$U132&lt;=0),"",($U132-$V132)/$U132)</f>
        <v/>
      </c>
      <c r="Y132" s="41"/>
      <c r="Z132" s="41"/>
      <c r="AA132" s="41"/>
      <c r="AB132" s="68" t="str">
        <f>IF($B132="","",'Workflow (Tracker)'!L155)</f>
        <v/>
      </c>
      <c r="AC132" s="69" t="str">
        <f>IF($B132="","",'E08 — Estabilização Hypercare'!K137)</f>
        <v/>
      </c>
      <c r="AD132" s="66" t="str">
        <f>IF($B132="","",'E08 — Estabilização Hypercare'!O137)</f>
        <v/>
      </c>
      <c r="AE132" s="66" t="str">
        <f>IF($B132="","",'E08 — Estabilização Hypercare'!Q137)</f>
        <v/>
      </c>
      <c r="AF132" s="66" t="str">
        <f>IF(OR($B132="",'E08 — Estabilização Hypercare'!R137=""),"",'E08 — Estabilização Hypercare'!R137)</f>
        <v/>
      </c>
      <c r="AG132" s="60" t="str">
        <f>IF($B132="","",'E08 — Estabilização Hypercare'!S137)</f>
        <v/>
      </c>
      <c r="AH132" s="61" t="str">
        <f>IF($B132="","",'E08 — Estabilização Hypercare'!T137)</f>
        <v/>
      </c>
      <c r="AI132" s="62" t="str">
        <f>IF($B132="","",'E08 — Estabilização Hypercare'!N137)</f>
        <v/>
      </c>
      <c r="AJ132" s="61" t="str">
        <f>IF(OR($B132="",'E08 — Estabilização Hypercare'!U137=""),"",'E08 — Estabilização Hypercare'!U137)</f>
        <v/>
      </c>
      <c r="AK132" s="60" t="str">
        <f t="shared" ref="AK132:AK195" si="13">IF(OR($B132="",$AF132="",$C132=""),"",$AF132-$C132)</f>
        <v/>
      </c>
      <c r="AL132" s="65" t="str">
        <f t="shared" ref="AL132:AL195" si="14">IF($B132="","",IF($AB132="Concluído","Encerrado",IF(AND($S132="Concluído",$AB132&lt;&gt;"Concluído"),"Em Hypercare",$S132)))</f>
        <v/>
      </c>
    </row>
    <row r="133" spans="2:38" s="42" customFormat="1" x14ac:dyDescent="0.35">
      <c r="B133" s="55" t="str">
        <f t="shared" si="10"/>
        <v/>
      </c>
      <c r="C133" s="40"/>
      <c r="D133" s="40"/>
      <c r="E133" s="41"/>
      <c r="F133" s="41"/>
      <c r="G133" s="41"/>
      <c r="H133" s="68" t="str">
        <f>IF('E2 — Triagem'!D138="","",'E2 — Triagem'!D138)</f>
        <v/>
      </c>
      <c r="I133" s="71"/>
      <c r="J133" s="41"/>
      <c r="K133" s="41"/>
      <c r="L133" s="71"/>
      <c r="M133" s="71"/>
      <c r="N133" s="71"/>
      <c r="O133" s="71"/>
      <c r="P133" s="41"/>
      <c r="Q133" s="41"/>
      <c r="R133" s="71"/>
      <c r="S133" s="71"/>
      <c r="T133" s="75"/>
      <c r="U133" s="75"/>
      <c r="V133" s="75"/>
      <c r="W133" s="58" t="str">
        <f t="shared" si="11"/>
        <v/>
      </c>
      <c r="X133" s="59" t="str">
        <f t="shared" si="12"/>
        <v/>
      </c>
      <c r="Y133" s="41"/>
      <c r="Z133" s="41"/>
      <c r="AA133" s="41"/>
      <c r="AB133" s="68" t="str">
        <f>IF($B133="","",'Workflow (Tracker)'!L156)</f>
        <v/>
      </c>
      <c r="AC133" s="69" t="str">
        <f>IF($B133="","",'E08 — Estabilização Hypercare'!K138)</f>
        <v/>
      </c>
      <c r="AD133" s="66" t="str">
        <f>IF($B133="","",'E08 — Estabilização Hypercare'!O138)</f>
        <v/>
      </c>
      <c r="AE133" s="66" t="str">
        <f>IF($B133="","",'E08 — Estabilização Hypercare'!Q138)</f>
        <v/>
      </c>
      <c r="AF133" s="66" t="str">
        <f>IF(OR($B133="",'E08 — Estabilização Hypercare'!R138=""),"",'E08 — Estabilização Hypercare'!R138)</f>
        <v/>
      </c>
      <c r="AG133" s="60" t="str">
        <f>IF($B133="","",'E08 — Estabilização Hypercare'!S138)</f>
        <v/>
      </c>
      <c r="AH133" s="61" t="str">
        <f>IF($B133="","",'E08 — Estabilização Hypercare'!T138)</f>
        <v/>
      </c>
      <c r="AI133" s="62" t="str">
        <f>IF($B133="","",'E08 — Estabilização Hypercare'!N138)</f>
        <v/>
      </c>
      <c r="AJ133" s="61" t="str">
        <f>IF(OR($B133="",'E08 — Estabilização Hypercare'!U138=""),"",'E08 — Estabilização Hypercare'!U138)</f>
        <v/>
      </c>
      <c r="AK133" s="60" t="str">
        <f t="shared" si="13"/>
        <v/>
      </c>
      <c r="AL133" s="65" t="str">
        <f t="shared" si="14"/>
        <v/>
      </c>
    </row>
    <row r="134" spans="2:38" s="42" customFormat="1" x14ac:dyDescent="0.35">
      <c r="B134" s="55" t="str">
        <f t="shared" si="10"/>
        <v/>
      </c>
      <c r="C134" s="40"/>
      <c r="D134" s="40"/>
      <c r="E134" s="41"/>
      <c r="F134" s="41"/>
      <c r="G134" s="41"/>
      <c r="H134" s="68" t="str">
        <f>IF('E2 — Triagem'!D139="","",'E2 — Triagem'!D139)</f>
        <v/>
      </c>
      <c r="I134" s="71"/>
      <c r="J134" s="41"/>
      <c r="K134" s="41"/>
      <c r="L134" s="71"/>
      <c r="M134" s="71"/>
      <c r="N134" s="71"/>
      <c r="O134" s="71"/>
      <c r="P134" s="41"/>
      <c r="Q134" s="41"/>
      <c r="R134" s="71"/>
      <c r="S134" s="71"/>
      <c r="T134" s="75"/>
      <c r="U134" s="75"/>
      <c r="V134" s="75"/>
      <c r="W134" s="58" t="str">
        <f t="shared" si="11"/>
        <v/>
      </c>
      <c r="X134" s="59" t="str">
        <f t="shared" si="12"/>
        <v/>
      </c>
      <c r="Y134" s="41"/>
      <c r="Z134" s="41"/>
      <c r="AA134" s="41"/>
      <c r="AB134" s="68" t="str">
        <f>IF($B134="","",'Workflow (Tracker)'!L157)</f>
        <v/>
      </c>
      <c r="AC134" s="69" t="str">
        <f>IF($B134="","",'E08 — Estabilização Hypercare'!K139)</f>
        <v/>
      </c>
      <c r="AD134" s="66" t="str">
        <f>IF($B134="","",'E08 — Estabilização Hypercare'!O139)</f>
        <v/>
      </c>
      <c r="AE134" s="66" t="str">
        <f>IF($B134="","",'E08 — Estabilização Hypercare'!Q139)</f>
        <v/>
      </c>
      <c r="AF134" s="66" t="str">
        <f>IF(OR($B134="",'E08 — Estabilização Hypercare'!R139=""),"",'E08 — Estabilização Hypercare'!R139)</f>
        <v/>
      </c>
      <c r="AG134" s="60" t="str">
        <f>IF($B134="","",'E08 — Estabilização Hypercare'!S139)</f>
        <v/>
      </c>
      <c r="AH134" s="61" t="str">
        <f>IF($B134="","",'E08 — Estabilização Hypercare'!T139)</f>
        <v/>
      </c>
      <c r="AI134" s="62" t="str">
        <f>IF($B134="","",'E08 — Estabilização Hypercare'!N139)</f>
        <v/>
      </c>
      <c r="AJ134" s="61" t="str">
        <f>IF(OR($B134="",'E08 — Estabilização Hypercare'!U139=""),"",'E08 — Estabilização Hypercare'!U139)</f>
        <v/>
      </c>
      <c r="AK134" s="60" t="str">
        <f t="shared" si="13"/>
        <v/>
      </c>
      <c r="AL134" s="65" t="str">
        <f t="shared" si="14"/>
        <v/>
      </c>
    </row>
    <row r="135" spans="2:38" s="42" customFormat="1" x14ac:dyDescent="0.35">
      <c r="B135" s="55" t="str">
        <f t="shared" si="10"/>
        <v/>
      </c>
      <c r="C135" s="40"/>
      <c r="D135" s="40"/>
      <c r="E135" s="41"/>
      <c r="F135" s="41"/>
      <c r="G135" s="41"/>
      <c r="H135" s="68" t="str">
        <f>IF('E2 — Triagem'!D140="","",'E2 — Triagem'!D140)</f>
        <v/>
      </c>
      <c r="I135" s="71"/>
      <c r="J135" s="41"/>
      <c r="K135" s="41"/>
      <c r="L135" s="71"/>
      <c r="M135" s="71"/>
      <c r="N135" s="71"/>
      <c r="O135" s="71"/>
      <c r="P135" s="41"/>
      <c r="Q135" s="41"/>
      <c r="R135" s="71"/>
      <c r="S135" s="71"/>
      <c r="T135" s="75"/>
      <c r="U135" s="75"/>
      <c r="V135" s="75"/>
      <c r="W135" s="58" t="str">
        <f t="shared" si="11"/>
        <v/>
      </c>
      <c r="X135" s="59" t="str">
        <f t="shared" si="12"/>
        <v/>
      </c>
      <c r="Y135" s="41"/>
      <c r="Z135" s="41"/>
      <c r="AA135" s="41"/>
      <c r="AB135" s="68" t="str">
        <f>IF($B135="","",'Workflow (Tracker)'!L158)</f>
        <v/>
      </c>
      <c r="AC135" s="69" t="str">
        <f>IF($B135="","",'E08 — Estabilização Hypercare'!K140)</f>
        <v/>
      </c>
      <c r="AD135" s="66" t="str">
        <f>IF($B135="","",'E08 — Estabilização Hypercare'!O140)</f>
        <v/>
      </c>
      <c r="AE135" s="66" t="str">
        <f>IF($B135="","",'E08 — Estabilização Hypercare'!Q140)</f>
        <v/>
      </c>
      <c r="AF135" s="66" t="str">
        <f>IF(OR($B135="",'E08 — Estabilização Hypercare'!R140=""),"",'E08 — Estabilização Hypercare'!R140)</f>
        <v/>
      </c>
      <c r="AG135" s="60" t="str">
        <f>IF($B135="","",'E08 — Estabilização Hypercare'!S140)</f>
        <v/>
      </c>
      <c r="AH135" s="61" t="str">
        <f>IF($B135="","",'E08 — Estabilização Hypercare'!T140)</f>
        <v/>
      </c>
      <c r="AI135" s="62" t="str">
        <f>IF($B135="","",'E08 — Estabilização Hypercare'!N140)</f>
        <v/>
      </c>
      <c r="AJ135" s="61" t="str">
        <f>IF(OR($B135="",'E08 — Estabilização Hypercare'!U140=""),"",'E08 — Estabilização Hypercare'!U140)</f>
        <v/>
      </c>
      <c r="AK135" s="60" t="str">
        <f t="shared" si="13"/>
        <v/>
      </c>
      <c r="AL135" s="65" t="str">
        <f t="shared" si="14"/>
        <v/>
      </c>
    </row>
    <row r="136" spans="2:38" s="42" customFormat="1" x14ac:dyDescent="0.35">
      <c r="B136" s="55" t="str">
        <f t="shared" si="10"/>
        <v/>
      </c>
      <c r="C136" s="40"/>
      <c r="D136" s="40"/>
      <c r="E136" s="41"/>
      <c r="F136" s="41"/>
      <c r="G136" s="41"/>
      <c r="H136" s="68" t="str">
        <f>IF('E2 — Triagem'!D141="","",'E2 — Triagem'!D141)</f>
        <v/>
      </c>
      <c r="I136" s="71"/>
      <c r="J136" s="41"/>
      <c r="K136" s="41"/>
      <c r="L136" s="71"/>
      <c r="M136" s="71"/>
      <c r="N136" s="71"/>
      <c r="O136" s="71"/>
      <c r="P136" s="41"/>
      <c r="Q136" s="41"/>
      <c r="R136" s="71"/>
      <c r="S136" s="71"/>
      <c r="T136" s="75"/>
      <c r="U136" s="75"/>
      <c r="V136" s="75"/>
      <c r="W136" s="58" t="str">
        <f t="shared" si="11"/>
        <v/>
      </c>
      <c r="X136" s="59" t="str">
        <f t="shared" si="12"/>
        <v/>
      </c>
      <c r="Y136" s="41"/>
      <c r="Z136" s="41"/>
      <c r="AA136" s="41"/>
      <c r="AB136" s="68" t="str">
        <f>IF($B136="","",'Workflow (Tracker)'!L159)</f>
        <v/>
      </c>
      <c r="AC136" s="69" t="str">
        <f>IF($B136="","",'E08 — Estabilização Hypercare'!K141)</f>
        <v/>
      </c>
      <c r="AD136" s="66" t="str">
        <f>IF($B136="","",'E08 — Estabilização Hypercare'!O141)</f>
        <v/>
      </c>
      <c r="AE136" s="66" t="str">
        <f>IF($B136="","",'E08 — Estabilização Hypercare'!Q141)</f>
        <v/>
      </c>
      <c r="AF136" s="66" t="str">
        <f>IF(OR($B136="",'E08 — Estabilização Hypercare'!R141=""),"",'E08 — Estabilização Hypercare'!R141)</f>
        <v/>
      </c>
      <c r="AG136" s="60" t="str">
        <f>IF($B136="","",'E08 — Estabilização Hypercare'!S141)</f>
        <v/>
      </c>
      <c r="AH136" s="61" t="str">
        <f>IF($B136="","",'E08 — Estabilização Hypercare'!T141)</f>
        <v/>
      </c>
      <c r="AI136" s="62" t="str">
        <f>IF($B136="","",'E08 — Estabilização Hypercare'!N141)</f>
        <v/>
      </c>
      <c r="AJ136" s="61" t="str">
        <f>IF(OR($B136="",'E08 — Estabilização Hypercare'!U141=""),"",'E08 — Estabilização Hypercare'!U141)</f>
        <v/>
      </c>
      <c r="AK136" s="60" t="str">
        <f t="shared" si="13"/>
        <v/>
      </c>
      <c r="AL136" s="65" t="str">
        <f t="shared" si="14"/>
        <v/>
      </c>
    </row>
    <row r="137" spans="2:38" s="42" customFormat="1" x14ac:dyDescent="0.35">
      <c r="B137" s="55" t="str">
        <f t="shared" si="10"/>
        <v/>
      </c>
      <c r="C137" s="40"/>
      <c r="D137" s="40"/>
      <c r="E137" s="41"/>
      <c r="F137" s="41"/>
      <c r="G137" s="41"/>
      <c r="H137" s="68" t="str">
        <f>IF('E2 — Triagem'!D142="","",'E2 — Triagem'!D142)</f>
        <v/>
      </c>
      <c r="I137" s="71"/>
      <c r="J137" s="41"/>
      <c r="K137" s="41"/>
      <c r="L137" s="71"/>
      <c r="M137" s="71"/>
      <c r="N137" s="71"/>
      <c r="O137" s="71"/>
      <c r="P137" s="41"/>
      <c r="Q137" s="41"/>
      <c r="R137" s="71"/>
      <c r="S137" s="71"/>
      <c r="T137" s="75"/>
      <c r="U137" s="75"/>
      <c r="V137" s="75"/>
      <c r="W137" s="58" t="str">
        <f t="shared" si="11"/>
        <v/>
      </c>
      <c r="X137" s="59" t="str">
        <f t="shared" si="12"/>
        <v/>
      </c>
      <c r="Y137" s="41"/>
      <c r="Z137" s="41"/>
      <c r="AA137" s="41"/>
      <c r="AB137" s="68" t="str">
        <f>IF($B137="","",'Workflow (Tracker)'!L160)</f>
        <v/>
      </c>
      <c r="AC137" s="69" t="str">
        <f>IF($B137="","",'E08 — Estabilização Hypercare'!K142)</f>
        <v/>
      </c>
      <c r="AD137" s="66" t="str">
        <f>IF($B137="","",'E08 — Estabilização Hypercare'!O142)</f>
        <v/>
      </c>
      <c r="AE137" s="66" t="str">
        <f>IF($B137="","",'E08 — Estabilização Hypercare'!Q142)</f>
        <v/>
      </c>
      <c r="AF137" s="66" t="str">
        <f>IF(OR($B137="",'E08 — Estabilização Hypercare'!R142=""),"",'E08 — Estabilização Hypercare'!R142)</f>
        <v/>
      </c>
      <c r="AG137" s="60" t="str">
        <f>IF($B137="","",'E08 — Estabilização Hypercare'!S142)</f>
        <v/>
      </c>
      <c r="AH137" s="61" t="str">
        <f>IF($B137="","",'E08 — Estabilização Hypercare'!T142)</f>
        <v/>
      </c>
      <c r="AI137" s="62" t="str">
        <f>IF($B137="","",'E08 — Estabilização Hypercare'!N142)</f>
        <v/>
      </c>
      <c r="AJ137" s="61" t="str">
        <f>IF(OR($B137="",'E08 — Estabilização Hypercare'!U142=""),"",'E08 — Estabilização Hypercare'!U142)</f>
        <v/>
      </c>
      <c r="AK137" s="60" t="str">
        <f t="shared" si="13"/>
        <v/>
      </c>
      <c r="AL137" s="65" t="str">
        <f t="shared" si="14"/>
        <v/>
      </c>
    </row>
    <row r="138" spans="2:38" s="42" customFormat="1" x14ac:dyDescent="0.35">
      <c r="B138" s="55" t="str">
        <f t="shared" si="10"/>
        <v/>
      </c>
      <c r="C138" s="40"/>
      <c r="D138" s="40"/>
      <c r="E138" s="41"/>
      <c r="F138" s="41"/>
      <c r="G138" s="41"/>
      <c r="H138" s="68" t="str">
        <f>IF('E2 — Triagem'!D143="","",'E2 — Triagem'!D143)</f>
        <v/>
      </c>
      <c r="I138" s="71"/>
      <c r="J138" s="41"/>
      <c r="K138" s="41"/>
      <c r="L138" s="71"/>
      <c r="M138" s="71"/>
      <c r="N138" s="71"/>
      <c r="O138" s="71"/>
      <c r="P138" s="41"/>
      <c r="Q138" s="41"/>
      <c r="R138" s="71"/>
      <c r="S138" s="71"/>
      <c r="T138" s="75"/>
      <c r="U138" s="75"/>
      <c r="V138" s="75"/>
      <c r="W138" s="58" t="str">
        <f t="shared" si="11"/>
        <v/>
      </c>
      <c r="X138" s="59" t="str">
        <f t="shared" si="12"/>
        <v/>
      </c>
      <c r="Y138" s="41"/>
      <c r="Z138" s="41"/>
      <c r="AA138" s="41"/>
      <c r="AB138" s="68" t="str">
        <f>IF($B138="","",'Workflow (Tracker)'!L161)</f>
        <v/>
      </c>
      <c r="AC138" s="69" t="str">
        <f>IF($B138="","",'E08 — Estabilização Hypercare'!K143)</f>
        <v/>
      </c>
      <c r="AD138" s="66" t="str">
        <f>IF($B138="","",'E08 — Estabilização Hypercare'!O143)</f>
        <v/>
      </c>
      <c r="AE138" s="66" t="str">
        <f>IF($B138="","",'E08 — Estabilização Hypercare'!Q143)</f>
        <v/>
      </c>
      <c r="AF138" s="66" t="str">
        <f>IF(OR($B138="",'E08 — Estabilização Hypercare'!R143=""),"",'E08 — Estabilização Hypercare'!R143)</f>
        <v/>
      </c>
      <c r="AG138" s="60" t="str">
        <f>IF($B138="","",'E08 — Estabilização Hypercare'!S143)</f>
        <v/>
      </c>
      <c r="AH138" s="61" t="str">
        <f>IF($B138="","",'E08 — Estabilização Hypercare'!T143)</f>
        <v/>
      </c>
      <c r="AI138" s="62" t="str">
        <f>IF($B138="","",'E08 — Estabilização Hypercare'!N143)</f>
        <v/>
      </c>
      <c r="AJ138" s="61" t="str">
        <f>IF(OR($B138="",'E08 — Estabilização Hypercare'!U143=""),"",'E08 — Estabilização Hypercare'!U143)</f>
        <v/>
      </c>
      <c r="AK138" s="60" t="str">
        <f t="shared" si="13"/>
        <v/>
      </c>
      <c r="AL138" s="65" t="str">
        <f t="shared" si="14"/>
        <v/>
      </c>
    </row>
    <row r="139" spans="2:38" s="42" customFormat="1" x14ac:dyDescent="0.35">
      <c r="B139" s="55" t="str">
        <f t="shared" si="10"/>
        <v/>
      </c>
      <c r="C139" s="40"/>
      <c r="D139" s="40"/>
      <c r="E139" s="41"/>
      <c r="F139" s="41"/>
      <c r="G139" s="41"/>
      <c r="H139" s="68" t="str">
        <f>IF('E2 — Triagem'!D144="","",'E2 — Triagem'!D144)</f>
        <v/>
      </c>
      <c r="I139" s="71"/>
      <c r="J139" s="41"/>
      <c r="K139" s="41"/>
      <c r="L139" s="71"/>
      <c r="M139" s="71"/>
      <c r="N139" s="71"/>
      <c r="O139" s="71"/>
      <c r="P139" s="41"/>
      <c r="Q139" s="41"/>
      <c r="R139" s="71"/>
      <c r="S139" s="71"/>
      <c r="T139" s="75"/>
      <c r="U139" s="75"/>
      <c r="V139" s="75"/>
      <c r="W139" s="58" t="str">
        <f t="shared" si="11"/>
        <v/>
      </c>
      <c r="X139" s="59" t="str">
        <f t="shared" si="12"/>
        <v/>
      </c>
      <c r="Y139" s="41"/>
      <c r="Z139" s="41"/>
      <c r="AA139" s="41"/>
      <c r="AB139" s="68" t="str">
        <f>IF($B139="","",'Workflow (Tracker)'!L162)</f>
        <v/>
      </c>
      <c r="AC139" s="69" t="str">
        <f>IF($B139="","",'E08 — Estabilização Hypercare'!K144)</f>
        <v/>
      </c>
      <c r="AD139" s="66" t="str">
        <f>IF($B139="","",'E08 — Estabilização Hypercare'!O144)</f>
        <v/>
      </c>
      <c r="AE139" s="66" t="str">
        <f>IF($B139="","",'E08 — Estabilização Hypercare'!Q144)</f>
        <v/>
      </c>
      <c r="AF139" s="66" t="str">
        <f>IF(OR($B139="",'E08 — Estabilização Hypercare'!R144=""),"",'E08 — Estabilização Hypercare'!R144)</f>
        <v/>
      </c>
      <c r="AG139" s="60" t="str">
        <f>IF($B139="","",'E08 — Estabilização Hypercare'!S144)</f>
        <v/>
      </c>
      <c r="AH139" s="61" t="str">
        <f>IF($B139="","",'E08 — Estabilização Hypercare'!T144)</f>
        <v/>
      </c>
      <c r="AI139" s="62" t="str">
        <f>IF($B139="","",'E08 — Estabilização Hypercare'!N144)</f>
        <v/>
      </c>
      <c r="AJ139" s="61" t="str">
        <f>IF(OR($B139="",'E08 — Estabilização Hypercare'!U144=""),"",'E08 — Estabilização Hypercare'!U144)</f>
        <v/>
      </c>
      <c r="AK139" s="60" t="str">
        <f t="shared" si="13"/>
        <v/>
      </c>
      <c r="AL139" s="65" t="str">
        <f t="shared" si="14"/>
        <v/>
      </c>
    </row>
    <row r="140" spans="2:38" s="42" customFormat="1" x14ac:dyDescent="0.35">
      <c r="B140" s="55" t="str">
        <f t="shared" si="10"/>
        <v/>
      </c>
      <c r="C140" s="40"/>
      <c r="D140" s="40"/>
      <c r="E140" s="41"/>
      <c r="F140" s="41"/>
      <c r="G140" s="41"/>
      <c r="H140" s="68" t="str">
        <f>IF('E2 — Triagem'!D145="","",'E2 — Triagem'!D145)</f>
        <v/>
      </c>
      <c r="I140" s="71"/>
      <c r="J140" s="41"/>
      <c r="K140" s="41"/>
      <c r="L140" s="71"/>
      <c r="M140" s="71"/>
      <c r="N140" s="71"/>
      <c r="O140" s="71"/>
      <c r="P140" s="41"/>
      <c r="Q140" s="41"/>
      <c r="R140" s="71"/>
      <c r="S140" s="71"/>
      <c r="T140" s="75"/>
      <c r="U140" s="75"/>
      <c r="V140" s="75"/>
      <c r="W140" s="58" t="str">
        <f t="shared" si="11"/>
        <v/>
      </c>
      <c r="X140" s="59" t="str">
        <f t="shared" si="12"/>
        <v/>
      </c>
      <c r="Y140" s="41"/>
      <c r="Z140" s="41"/>
      <c r="AA140" s="41"/>
      <c r="AB140" s="68" t="str">
        <f>IF($B140="","",'Workflow (Tracker)'!L163)</f>
        <v/>
      </c>
      <c r="AC140" s="69" t="str">
        <f>IF($B140="","",'E08 — Estabilização Hypercare'!K145)</f>
        <v/>
      </c>
      <c r="AD140" s="66" t="str">
        <f>IF($B140="","",'E08 — Estabilização Hypercare'!O145)</f>
        <v/>
      </c>
      <c r="AE140" s="66" t="str">
        <f>IF($B140="","",'E08 — Estabilização Hypercare'!Q145)</f>
        <v/>
      </c>
      <c r="AF140" s="66" t="str">
        <f>IF(OR($B140="",'E08 — Estabilização Hypercare'!R145=""),"",'E08 — Estabilização Hypercare'!R145)</f>
        <v/>
      </c>
      <c r="AG140" s="60" t="str">
        <f>IF($B140="","",'E08 — Estabilização Hypercare'!S145)</f>
        <v/>
      </c>
      <c r="AH140" s="61" t="str">
        <f>IF($B140="","",'E08 — Estabilização Hypercare'!T145)</f>
        <v/>
      </c>
      <c r="AI140" s="62" t="str">
        <f>IF($B140="","",'E08 — Estabilização Hypercare'!N145)</f>
        <v/>
      </c>
      <c r="AJ140" s="61" t="str">
        <f>IF(OR($B140="",'E08 — Estabilização Hypercare'!U145=""),"",'E08 — Estabilização Hypercare'!U145)</f>
        <v/>
      </c>
      <c r="AK140" s="60" t="str">
        <f t="shared" si="13"/>
        <v/>
      </c>
      <c r="AL140" s="65" t="str">
        <f t="shared" si="14"/>
        <v/>
      </c>
    </row>
    <row r="141" spans="2:38" s="42" customFormat="1" x14ac:dyDescent="0.35">
      <c r="B141" s="55" t="str">
        <f t="shared" si="10"/>
        <v/>
      </c>
      <c r="C141" s="40"/>
      <c r="D141" s="40"/>
      <c r="E141" s="41"/>
      <c r="F141" s="41"/>
      <c r="G141" s="41"/>
      <c r="H141" s="68" t="str">
        <f>IF('E2 — Triagem'!D146="","",'E2 — Triagem'!D146)</f>
        <v/>
      </c>
      <c r="I141" s="71"/>
      <c r="J141" s="41"/>
      <c r="K141" s="41"/>
      <c r="L141" s="71"/>
      <c r="M141" s="71"/>
      <c r="N141" s="71"/>
      <c r="O141" s="71"/>
      <c r="P141" s="41"/>
      <c r="Q141" s="41"/>
      <c r="R141" s="71"/>
      <c r="S141" s="71"/>
      <c r="T141" s="75"/>
      <c r="U141" s="75"/>
      <c r="V141" s="75"/>
      <c r="W141" s="58" t="str">
        <f t="shared" si="11"/>
        <v/>
      </c>
      <c r="X141" s="59" t="str">
        <f t="shared" si="12"/>
        <v/>
      </c>
      <c r="Y141" s="41"/>
      <c r="Z141" s="41"/>
      <c r="AA141" s="41"/>
      <c r="AB141" s="68" t="str">
        <f>IF($B141="","",'Workflow (Tracker)'!L164)</f>
        <v/>
      </c>
      <c r="AC141" s="69" t="str">
        <f>IF($B141="","",'E08 — Estabilização Hypercare'!K146)</f>
        <v/>
      </c>
      <c r="AD141" s="66" t="str">
        <f>IF($B141="","",'E08 — Estabilização Hypercare'!O146)</f>
        <v/>
      </c>
      <c r="AE141" s="66" t="str">
        <f>IF($B141="","",'E08 — Estabilização Hypercare'!Q146)</f>
        <v/>
      </c>
      <c r="AF141" s="66" t="str">
        <f>IF(OR($B141="",'E08 — Estabilização Hypercare'!R146=""),"",'E08 — Estabilização Hypercare'!R146)</f>
        <v/>
      </c>
      <c r="AG141" s="60" t="str">
        <f>IF($B141="","",'E08 — Estabilização Hypercare'!S146)</f>
        <v/>
      </c>
      <c r="AH141" s="61" t="str">
        <f>IF($B141="","",'E08 — Estabilização Hypercare'!T146)</f>
        <v/>
      </c>
      <c r="AI141" s="62" t="str">
        <f>IF($B141="","",'E08 — Estabilização Hypercare'!N146)</f>
        <v/>
      </c>
      <c r="AJ141" s="61" t="str">
        <f>IF(OR($B141="",'E08 — Estabilização Hypercare'!U146=""),"",'E08 — Estabilização Hypercare'!U146)</f>
        <v/>
      </c>
      <c r="AK141" s="60" t="str">
        <f t="shared" si="13"/>
        <v/>
      </c>
      <c r="AL141" s="65" t="str">
        <f t="shared" si="14"/>
        <v/>
      </c>
    </row>
    <row r="142" spans="2:38" s="42" customFormat="1" x14ac:dyDescent="0.35">
      <c r="B142" s="55" t="str">
        <f t="shared" si="10"/>
        <v/>
      </c>
      <c r="C142" s="40"/>
      <c r="D142" s="40"/>
      <c r="E142" s="41"/>
      <c r="F142" s="41"/>
      <c r="G142" s="41"/>
      <c r="H142" s="68" t="str">
        <f>IF('E2 — Triagem'!D147="","",'E2 — Triagem'!D147)</f>
        <v/>
      </c>
      <c r="I142" s="71"/>
      <c r="J142" s="41"/>
      <c r="K142" s="41"/>
      <c r="L142" s="71"/>
      <c r="M142" s="71"/>
      <c r="N142" s="71"/>
      <c r="O142" s="71"/>
      <c r="P142" s="41"/>
      <c r="Q142" s="41"/>
      <c r="R142" s="71"/>
      <c r="S142" s="71"/>
      <c r="T142" s="75"/>
      <c r="U142" s="75"/>
      <c r="V142" s="75"/>
      <c r="W142" s="58" t="str">
        <f t="shared" si="11"/>
        <v/>
      </c>
      <c r="X142" s="59" t="str">
        <f t="shared" si="12"/>
        <v/>
      </c>
      <c r="Y142" s="41"/>
      <c r="Z142" s="41"/>
      <c r="AA142" s="41"/>
      <c r="AB142" s="68" t="str">
        <f>IF($B142="","",'Workflow (Tracker)'!L165)</f>
        <v/>
      </c>
      <c r="AC142" s="69" t="str">
        <f>IF($B142="","",'E08 — Estabilização Hypercare'!K147)</f>
        <v/>
      </c>
      <c r="AD142" s="66" t="str">
        <f>IF($B142="","",'E08 — Estabilização Hypercare'!O147)</f>
        <v/>
      </c>
      <c r="AE142" s="66" t="str">
        <f>IF($B142="","",'E08 — Estabilização Hypercare'!Q147)</f>
        <v/>
      </c>
      <c r="AF142" s="66" t="str">
        <f>IF(OR($B142="",'E08 — Estabilização Hypercare'!R147=""),"",'E08 — Estabilização Hypercare'!R147)</f>
        <v/>
      </c>
      <c r="AG142" s="60" t="str">
        <f>IF($B142="","",'E08 — Estabilização Hypercare'!S147)</f>
        <v/>
      </c>
      <c r="AH142" s="61" t="str">
        <f>IF($B142="","",'E08 — Estabilização Hypercare'!T147)</f>
        <v/>
      </c>
      <c r="AI142" s="62" t="str">
        <f>IF($B142="","",'E08 — Estabilização Hypercare'!N147)</f>
        <v/>
      </c>
      <c r="AJ142" s="61" t="str">
        <f>IF(OR($B142="",'E08 — Estabilização Hypercare'!U147=""),"",'E08 — Estabilização Hypercare'!U147)</f>
        <v/>
      </c>
      <c r="AK142" s="60" t="str">
        <f t="shared" si="13"/>
        <v/>
      </c>
      <c r="AL142" s="65" t="str">
        <f t="shared" si="14"/>
        <v/>
      </c>
    </row>
    <row r="143" spans="2:38" s="42" customFormat="1" x14ac:dyDescent="0.35">
      <c r="B143" s="55" t="str">
        <f t="shared" si="10"/>
        <v/>
      </c>
      <c r="C143" s="40"/>
      <c r="D143" s="40"/>
      <c r="E143" s="41"/>
      <c r="F143" s="41"/>
      <c r="G143" s="41"/>
      <c r="H143" s="68" t="str">
        <f>IF('E2 — Triagem'!D148="","",'E2 — Triagem'!D148)</f>
        <v/>
      </c>
      <c r="I143" s="71"/>
      <c r="J143" s="41"/>
      <c r="K143" s="41"/>
      <c r="L143" s="71"/>
      <c r="M143" s="71"/>
      <c r="N143" s="71"/>
      <c r="O143" s="71"/>
      <c r="P143" s="41"/>
      <c r="Q143" s="41"/>
      <c r="R143" s="71"/>
      <c r="S143" s="71"/>
      <c r="T143" s="75"/>
      <c r="U143" s="75"/>
      <c r="V143" s="75"/>
      <c r="W143" s="58" t="str">
        <f t="shared" si="11"/>
        <v/>
      </c>
      <c r="X143" s="59" t="str">
        <f t="shared" si="12"/>
        <v/>
      </c>
      <c r="Y143" s="41"/>
      <c r="Z143" s="41"/>
      <c r="AA143" s="41"/>
      <c r="AB143" s="68" t="str">
        <f>IF($B143="","",'Workflow (Tracker)'!L166)</f>
        <v/>
      </c>
      <c r="AC143" s="69" t="str">
        <f>IF($B143="","",'E08 — Estabilização Hypercare'!K148)</f>
        <v/>
      </c>
      <c r="AD143" s="66" t="str">
        <f>IF($B143="","",'E08 — Estabilização Hypercare'!O148)</f>
        <v/>
      </c>
      <c r="AE143" s="66" t="str">
        <f>IF($B143="","",'E08 — Estabilização Hypercare'!Q148)</f>
        <v/>
      </c>
      <c r="AF143" s="66" t="str">
        <f>IF(OR($B143="",'E08 — Estabilização Hypercare'!R148=""),"",'E08 — Estabilização Hypercare'!R148)</f>
        <v/>
      </c>
      <c r="AG143" s="60" t="str">
        <f>IF($B143="","",'E08 — Estabilização Hypercare'!S148)</f>
        <v/>
      </c>
      <c r="AH143" s="61" t="str">
        <f>IF($B143="","",'E08 — Estabilização Hypercare'!T148)</f>
        <v/>
      </c>
      <c r="AI143" s="62" t="str">
        <f>IF($B143="","",'E08 — Estabilização Hypercare'!N148)</f>
        <v/>
      </c>
      <c r="AJ143" s="61" t="str">
        <f>IF(OR($B143="",'E08 — Estabilização Hypercare'!U148=""),"",'E08 — Estabilização Hypercare'!U148)</f>
        <v/>
      </c>
      <c r="AK143" s="60" t="str">
        <f t="shared" si="13"/>
        <v/>
      </c>
      <c r="AL143" s="65" t="str">
        <f t="shared" si="14"/>
        <v/>
      </c>
    </row>
    <row r="144" spans="2:38" s="42" customFormat="1" x14ac:dyDescent="0.35">
      <c r="B144" s="55" t="str">
        <f t="shared" si="10"/>
        <v/>
      </c>
      <c r="C144" s="40"/>
      <c r="D144" s="40"/>
      <c r="E144" s="41"/>
      <c r="F144" s="41"/>
      <c r="G144" s="41"/>
      <c r="H144" s="68" t="str">
        <f>IF('E2 — Triagem'!D149="","",'E2 — Triagem'!D149)</f>
        <v/>
      </c>
      <c r="I144" s="71"/>
      <c r="J144" s="41"/>
      <c r="K144" s="41"/>
      <c r="L144" s="71"/>
      <c r="M144" s="71"/>
      <c r="N144" s="71"/>
      <c r="O144" s="71"/>
      <c r="P144" s="41"/>
      <c r="Q144" s="41"/>
      <c r="R144" s="71"/>
      <c r="S144" s="71"/>
      <c r="T144" s="75"/>
      <c r="U144" s="75"/>
      <c r="V144" s="75"/>
      <c r="W144" s="58" t="str">
        <f t="shared" si="11"/>
        <v/>
      </c>
      <c r="X144" s="59" t="str">
        <f t="shared" si="12"/>
        <v/>
      </c>
      <c r="Y144" s="41"/>
      <c r="Z144" s="41"/>
      <c r="AA144" s="41"/>
      <c r="AB144" s="68" t="str">
        <f>IF($B144="","",'Workflow (Tracker)'!L167)</f>
        <v/>
      </c>
      <c r="AC144" s="69" t="str">
        <f>IF($B144="","",'E08 — Estabilização Hypercare'!K149)</f>
        <v/>
      </c>
      <c r="AD144" s="66" t="str">
        <f>IF($B144="","",'E08 — Estabilização Hypercare'!O149)</f>
        <v/>
      </c>
      <c r="AE144" s="66" t="str">
        <f>IF($B144="","",'E08 — Estabilização Hypercare'!Q149)</f>
        <v/>
      </c>
      <c r="AF144" s="66" t="str">
        <f>IF(OR($B144="",'E08 — Estabilização Hypercare'!R149=""),"",'E08 — Estabilização Hypercare'!R149)</f>
        <v/>
      </c>
      <c r="AG144" s="60" t="str">
        <f>IF($B144="","",'E08 — Estabilização Hypercare'!S149)</f>
        <v/>
      </c>
      <c r="AH144" s="61" t="str">
        <f>IF($B144="","",'E08 — Estabilização Hypercare'!T149)</f>
        <v/>
      </c>
      <c r="AI144" s="62" t="str">
        <f>IF($B144="","",'E08 — Estabilização Hypercare'!N149)</f>
        <v/>
      </c>
      <c r="AJ144" s="61" t="str">
        <f>IF(OR($B144="",'E08 — Estabilização Hypercare'!U149=""),"",'E08 — Estabilização Hypercare'!U149)</f>
        <v/>
      </c>
      <c r="AK144" s="60" t="str">
        <f t="shared" si="13"/>
        <v/>
      </c>
      <c r="AL144" s="65" t="str">
        <f t="shared" si="14"/>
        <v/>
      </c>
    </row>
    <row r="145" spans="2:38" s="42" customFormat="1" x14ac:dyDescent="0.35">
      <c r="B145" s="55" t="str">
        <f t="shared" si="10"/>
        <v/>
      </c>
      <c r="C145" s="40"/>
      <c r="D145" s="40"/>
      <c r="E145" s="41"/>
      <c r="F145" s="41"/>
      <c r="G145" s="41"/>
      <c r="H145" s="68" t="str">
        <f>IF('E2 — Triagem'!D150="","",'E2 — Triagem'!D150)</f>
        <v/>
      </c>
      <c r="I145" s="71"/>
      <c r="J145" s="41"/>
      <c r="K145" s="41"/>
      <c r="L145" s="71"/>
      <c r="M145" s="71"/>
      <c r="N145" s="71"/>
      <c r="O145" s="71"/>
      <c r="P145" s="41"/>
      <c r="Q145" s="41"/>
      <c r="R145" s="71"/>
      <c r="S145" s="71"/>
      <c r="T145" s="75"/>
      <c r="U145" s="75"/>
      <c r="V145" s="75"/>
      <c r="W145" s="58" t="str">
        <f t="shared" si="11"/>
        <v/>
      </c>
      <c r="X145" s="59" t="str">
        <f t="shared" si="12"/>
        <v/>
      </c>
      <c r="Y145" s="41"/>
      <c r="Z145" s="41"/>
      <c r="AA145" s="41"/>
      <c r="AB145" s="68" t="str">
        <f>IF($B145="","",'Workflow (Tracker)'!L168)</f>
        <v/>
      </c>
      <c r="AC145" s="69" t="str">
        <f>IF($B145="","",'E08 — Estabilização Hypercare'!K150)</f>
        <v/>
      </c>
      <c r="AD145" s="66" t="str">
        <f>IF($B145="","",'E08 — Estabilização Hypercare'!O150)</f>
        <v/>
      </c>
      <c r="AE145" s="66" t="str">
        <f>IF($B145="","",'E08 — Estabilização Hypercare'!Q150)</f>
        <v/>
      </c>
      <c r="AF145" s="66" t="str">
        <f>IF(OR($B145="",'E08 — Estabilização Hypercare'!R150=""),"",'E08 — Estabilização Hypercare'!R150)</f>
        <v/>
      </c>
      <c r="AG145" s="60" t="str">
        <f>IF($B145="","",'E08 — Estabilização Hypercare'!S150)</f>
        <v/>
      </c>
      <c r="AH145" s="61" t="str">
        <f>IF($B145="","",'E08 — Estabilização Hypercare'!T150)</f>
        <v/>
      </c>
      <c r="AI145" s="62" t="str">
        <f>IF($B145="","",'E08 — Estabilização Hypercare'!N150)</f>
        <v/>
      </c>
      <c r="AJ145" s="61" t="str">
        <f>IF(OR($B145="",'E08 — Estabilização Hypercare'!U150=""),"",'E08 — Estabilização Hypercare'!U150)</f>
        <v/>
      </c>
      <c r="AK145" s="60" t="str">
        <f t="shared" si="13"/>
        <v/>
      </c>
      <c r="AL145" s="65" t="str">
        <f t="shared" si="14"/>
        <v/>
      </c>
    </row>
    <row r="146" spans="2:38" s="42" customFormat="1" x14ac:dyDescent="0.35">
      <c r="B146" s="55" t="str">
        <f t="shared" si="10"/>
        <v/>
      </c>
      <c r="C146" s="40"/>
      <c r="D146" s="40"/>
      <c r="E146" s="41"/>
      <c r="F146" s="41"/>
      <c r="G146" s="41"/>
      <c r="H146" s="68" t="str">
        <f>IF('E2 — Triagem'!D151="","",'E2 — Triagem'!D151)</f>
        <v/>
      </c>
      <c r="I146" s="71"/>
      <c r="J146" s="41"/>
      <c r="K146" s="41"/>
      <c r="L146" s="71"/>
      <c r="M146" s="71"/>
      <c r="N146" s="71"/>
      <c r="O146" s="71"/>
      <c r="P146" s="41"/>
      <c r="Q146" s="41"/>
      <c r="R146" s="71"/>
      <c r="S146" s="71"/>
      <c r="T146" s="75"/>
      <c r="U146" s="75"/>
      <c r="V146" s="75"/>
      <c r="W146" s="58" t="str">
        <f t="shared" si="11"/>
        <v/>
      </c>
      <c r="X146" s="59" t="str">
        <f t="shared" si="12"/>
        <v/>
      </c>
      <c r="Y146" s="41"/>
      <c r="Z146" s="41"/>
      <c r="AA146" s="41"/>
      <c r="AB146" s="68" t="str">
        <f>IF($B146="","",'Workflow (Tracker)'!L169)</f>
        <v/>
      </c>
      <c r="AC146" s="69" t="str">
        <f>IF($B146="","",'E08 — Estabilização Hypercare'!K151)</f>
        <v/>
      </c>
      <c r="AD146" s="66" t="str">
        <f>IF($B146="","",'E08 — Estabilização Hypercare'!O151)</f>
        <v/>
      </c>
      <c r="AE146" s="66" t="str">
        <f>IF($B146="","",'E08 — Estabilização Hypercare'!Q151)</f>
        <v/>
      </c>
      <c r="AF146" s="66" t="str">
        <f>IF(OR($B146="",'E08 — Estabilização Hypercare'!R151=""),"",'E08 — Estabilização Hypercare'!R151)</f>
        <v/>
      </c>
      <c r="AG146" s="60" t="str">
        <f>IF($B146="","",'E08 — Estabilização Hypercare'!S151)</f>
        <v/>
      </c>
      <c r="AH146" s="61" t="str">
        <f>IF($B146="","",'E08 — Estabilização Hypercare'!T151)</f>
        <v/>
      </c>
      <c r="AI146" s="62" t="str">
        <f>IF($B146="","",'E08 — Estabilização Hypercare'!N151)</f>
        <v/>
      </c>
      <c r="AJ146" s="61" t="str">
        <f>IF(OR($B146="",'E08 — Estabilização Hypercare'!U151=""),"",'E08 — Estabilização Hypercare'!U151)</f>
        <v/>
      </c>
      <c r="AK146" s="60" t="str">
        <f t="shared" si="13"/>
        <v/>
      </c>
      <c r="AL146" s="65" t="str">
        <f t="shared" si="14"/>
        <v/>
      </c>
    </row>
    <row r="147" spans="2:38" s="42" customFormat="1" x14ac:dyDescent="0.35">
      <c r="B147" s="55" t="str">
        <f t="shared" si="10"/>
        <v/>
      </c>
      <c r="C147" s="40"/>
      <c r="D147" s="40"/>
      <c r="E147" s="41"/>
      <c r="F147" s="41"/>
      <c r="G147" s="41"/>
      <c r="H147" s="68" t="str">
        <f>IF('E2 — Triagem'!D152="","",'E2 — Triagem'!D152)</f>
        <v/>
      </c>
      <c r="I147" s="71"/>
      <c r="J147" s="41"/>
      <c r="K147" s="41"/>
      <c r="L147" s="71"/>
      <c r="M147" s="71"/>
      <c r="N147" s="71"/>
      <c r="O147" s="71"/>
      <c r="P147" s="41"/>
      <c r="Q147" s="41"/>
      <c r="R147" s="71"/>
      <c r="S147" s="71"/>
      <c r="T147" s="75"/>
      <c r="U147" s="75"/>
      <c r="V147" s="75"/>
      <c r="W147" s="58" t="str">
        <f t="shared" si="11"/>
        <v/>
      </c>
      <c r="X147" s="59" t="str">
        <f t="shared" si="12"/>
        <v/>
      </c>
      <c r="Y147" s="41"/>
      <c r="Z147" s="41"/>
      <c r="AA147" s="41"/>
      <c r="AB147" s="68" t="str">
        <f>IF($B147="","",'Workflow (Tracker)'!L170)</f>
        <v/>
      </c>
      <c r="AC147" s="69" t="str">
        <f>IF($B147="","",'E08 — Estabilização Hypercare'!K152)</f>
        <v/>
      </c>
      <c r="AD147" s="66" t="str">
        <f>IF($B147="","",'E08 — Estabilização Hypercare'!O152)</f>
        <v/>
      </c>
      <c r="AE147" s="66" t="str">
        <f>IF($B147="","",'E08 — Estabilização Hypercare'!Q152)</f>
        <v/>
      </c>
      <c r="AF147" s="66" t="str">
        <f>IF(OR($B147="",'E08 — Estabilização Hypercare'!R152=""),"",'E08 — Estabilização Hypercare'!R152)</f>
        <v/>
      </c>
      <c r="AG147" s="60" t="str">
        <f>IF($B147="","",'E08 — Estabilização Hypercare'!S152)</f>
        <v/>
      </c>
      <c r="AH147" s="61" t="str">
        <f>IF($B147="","",'E08 — Estabilização Hypercare'!T152)</f>
        <v/>
      </c>
      <c r="AI147" s="62" t="str">
        <f>IF($B147="","",'E08 — Estabilização Hypercare'!N152)</f>
        <v/>
      </c>
      <c r="AJ147" s="61" t="str">
        <f>IF(OR($B147="",'E08 — Estabilização Hypercare'!U152=""),"",'E08 — Estabilização Hypercare'!U152)</f>
        <v/>
      </c>
      <c r="AK147" s="60" t="str">
        <f t="shared" si="13"/>
        <v/>
      </c>
      <c r="AL147" s="65" t="str">
        <f t="shared" si="14"/>
        <v/>
      </c>
    </row>
    <row r="148" spans="2:38" s="42" customFormat="1" x14ac:dyDescent="0.35">
      <c r="B148" s="55" t="str">
        <f t="shared" si="10"/>
        <v/>
      </c>
      <c r="C148" s="40"/>
      <c r="D148" s="40"/>
      <c r="E148" s="41"/>
      <c r="F148" s="41"/>
      <c r="G148" s="41"/>
      <c r="H148" s="68" t="str">
        <f>IF('E2 — Triagem'!D153="","",'E2 — Triagem'!D153)</f>
        <v/>
      </c>
      <c r="I148" s="71"/>
      <c r="J148" s="41"/>
      <c r="K148" s="41"/>
      <c r="L148" s="71"/>
      <c r="M148" s="71"/>
      <c r="N148" s="71"/>
      <c r="O148" s="71"/>
      <c r="P148" s="41"/>
      <c r="Q148" s="41"/>
      <c r="R148" s="71"/>
      <c r="S148" s="71"/>
      <c r="T148" s="75"/>
      <c r="U148" s="75"/>
      <c r="V148" s="75"/>
      <c r="W148" s="58" t="str">
        <f t="shared" si="11"/>
        <v/>
      </c>
      <c r="X148" s="59" t="str">
        <f t="shared" si="12"/>
        <v/>
      </c>
      <c r="Y148" s="41"/>
      <c r="Z148" s="41"/>
      <c r="AA148" s="41"/>
      <c r="AB148" s="68" t="str">
        <f>IF($B148="","",'Workflow (Tracker)'!L171)</f>
        <v/>
      </c>
      <c r="AC148" s="69" t="str">
        <f>IF($B148="","",'E08 — Estabilização Hypercare'!K153)</f>
        <v/>
      </c>
      <c r="AD148" s="66" t="str">
        <f>IF($B148="","",'E08 — Estabilização Hypercare'!O153)</f>
        <v/>
      </c>
      <c r="AE148" s="66" t="str">
        <f>IF($B148="","",'E08 — Estabilização Hypercare'!Q153)</f>
        <v/>
      </c>
      <c r="AF148" s="66" t="str">
        <f>IF(OR($B148="",'E08 — Estabilização Hypercare'!R153=""),"",'E08 — Estabilização Hypercare'!R153)</f>
        <v/>
      </c>
      <c r="AG148" s="60" t="str">
        <f>IF($B148="","",'E08 — Estabilização Hypercare'!S153)</f>
        <v/>
      </c>
      <c r="AH148" s="61" t="str">
        <f>IF($B148="","",'E08 — Estabilização Hypercare'!T153)</f>
        <v/>
      </c>
      <c r="AI148" s="62" t="str">
        <f>IF($B148="","",'E08 — Estabilização Hypercare'!N153)</f>
        <v/>
      </c>
      <c r="AJ148" s="61" t="str">
        <f>IF(OR($B148="",'E08 — Estabilização Hypercare'!U153=""),"",'E08 — Estabilização Hypercare'!U153)</f>
        <v/>
      </c>
      <c r="AK148" s="60" t="str">
        <f t="shared" si="13"/>
        <v/>
      </c>
      <c r="AL148" s="65" t="str">
        <f t="shared" si="14"/>
        <v/>
      </c>
    </row>
    <row r="149" spans="2:38" s="42" customFormat="1" x14ac:dyDescent="0.35">
      <c r="B149" s="55" t="str">
        <f t="shared" si="10"/>
        <v/>
      </c>
      <c r="C149" s="40"/>
      <c r="D149" s="40"/>
      <c r="E149" s="41"/>
      <c r="F149" s="41"/>
      <c r="G149" s="41"/>
      <c r="H149" s="68" t="str">
        <f>IF('E2 — Triagem'!D154="","",'E2 — Triagem'!D154)</f>
        <v/>
      </c>
      <c r="I149" s="71"/>
      <c r="J149" s="41"/>
      <c r="K149" s="41"/>
      <c r="L149" s="71"/>
      <c r="M149" s="71"/>
      <c r="N149" s="71"/>
      <c r="O149" s="71"/>
      <c r="P149" s="41"/>
      <c r="Q149" s="41"/>
      <c r="R149" s="71"/>
      <c r="S149" s="71"/>
      <c r="T149" s="75"/>
      <c r="U149" s="75"/>
      <c r="V149" s="75"/>
      <c r="W149" s="58" t="str">
        <f t="shared" si="11"/>
        <v/>
      </c>
      <c r="X149" s="59" t="str">
        <f t="shared" si="12"/>
        <v/>
      </c>
      <c r="Y149" s="41"/>
      <c r="Z149" s="41"/>
      <c r="AA149" s="41"/>
      <c r="AB149" s="68" t="str">
        <f>IF($B149="","",'Workflow (Tracker)'!L172)</f>
        <v/>
      </c>
      <c r="AC149" s="69" t="str">
        <f>IF($B149="","",'E08 — Estabilização Hypercare'!K154)</f>
        <v/>
      </c>
      <c r="AD149" s="66" t="str">
        <f>IF($B149="","",'E08 — Estabilização Hypercare'!O154)</f>
        <v/>
      </c>
      <c r="AE149" s="66" t="str">
        <f>IF($B149="","",'E08 — Estabilização Hypercare'!Q154)</f>
        <v/>
      </c>
      <c r="AF149" s="66" t="str">
        <f>IF(OR($B149="",'E08 — Estabilização Hypercare'!R154=""),"",'E08 — Estabilização Hypercare'!R154)</f>
        <v/>
      </c>
      <c r="AG149" s="60" t="str">
        <f>IF($B149="","",'E08 — Estabilização Hypercare'!S154)</f>
        <v/>
      </c>
      <c r="AH149" s="61" t="str">
        <f>IF($B149="","",'E08 — Estabilização Hypercare'!T154)</f>
        <v/>
      </c>
      <c r="AI149" s="62" t="str">
        <f>IF($B149="","",'E08 — Estabilização Hypercare'!N154)</f>
        <v/>
      </c>
      <c r="AJ149" s="61" t="str">
        <f>IF(OR($B149="",'E08 — Estabilização Hypercare'!U154=""),"",'E08 — Estabilização Hypercare'!U154)</f>
        <v/>
      </c>
      <c r="AK149" s="60" t="str">
        <f t="shared" si="13"/>
        <v/>
      </c>
      <c r="AL149" s="65" t="str">
        <f t="shared" si="14"/>
        <v/>
      </c>
    </row>
    <row r="150" spans="2:38" s="42" customFormat="1" x14ac:dyDescent="0.35">
      <c r="B150" s="55" t="str">
        <f t="shared" si="10"/>
        <v/>
      </c>
      <c r="C150" s="40"/>
      <c r="D150" s="40"/>
      <c r="E150" s="41"/>
      <c r="F150" s="41"/>
      <c r="G150" s="41"/>
      <c r="H150" s="68" t="str">
        <f>IF('E2 — Triagem'!D155="","",'E2 — Triagem'!D155)</f>
        <v/>
      </c>
      <c r="I150" s="71"/>
      <c r="J150" s="41"/>
      <c r="K150" s="41"/>
      <c r="L150" s="71"/>
      <c r="M150" s="71"/>
      <c r="N150" s="71"/>
      <c r="O150" s="71"/>
      <c r="P150" s="41"/>
      <c r="Q150" s="41"/>
      <c r="R150" s="71"/>
      <c r="S150" s="71"/>
      <c r="T150" s="75"/>
      <c r="U150" s="75"/>
      <c r="V150" s="75"/>
      <c r="W150" s="58" t="str">
        <f t="shared" si="11"/>
        <v/>
      </c>
      <c r="X150" s="59" t="str">
        <f t="shared" si="12"/>
        <v/>
      </c>
      <c r="Y150" s="41"/>
      <c r="Z150" s="41"/>
      <c r="AA150" s="41"/>
      <c r="AB150" s="68" t="str">
        <f>IF($B150="","",'Workflow (Tracker)'!L173)</f>
        <v/>
      </c>
      <c r="AC150" s="69" t="str">
        <f>IF($B150="","",'E08 — Estabilização Hypercare'!K155)</f>
        <v/>
      </c>
      <c r="AD150" s="66" t="str">
        <f>IF($B150="","",'E08 — Estabilização Hypercare'!O155)</f>
        <v/>
      </c>
      <c r="AE150" s="66" t="str">
        <f>IF($B150="","",'E08 — Estabilização Hypercare'!Q155)</f>
        <v/>
      </c>
      <c r="AF150" s="66" t="str">
        <f>IF(OR($B150="",'E08 — Estabilização Hypercare'!R155=""),"",'E08 — Estabilização Hypercare'!R155)</f>
        <v/>
      </c>
      <c r="AG150" s="60" t="str">
        <f>IF($B150="","",'E08 — Estabilização Hypercare'!S155)</f>
        <v/>
      </c>
      <c r="AH150" s="61" t="str">
        <f>IF($B150="","",'E08 — Estabilização Hypercare'!T155)</f>
        <v/>
      </c>
      <c r="AI150" s="62" t="str">
        <f>IF($B150="","",'E08 — Estabilização Hypercare'!N155)</f>
        <v/>
      </c>
      <c r="AJ150" s="61" t="str">
        <f>IF(OR($B150="",'E08 — Estabilização Hypercare'!U155=""),"",'E08 — Estabilização Hypercare'!U155)</f>
        <v/>
      </c>
      <c r="AK150" s="60" t="str">
        <f t="shared" si="13"/>
        <v/>
      </c>
      <c r="AL150" s="65" t="str">
        <f t="shared" si="14"/>
        <v/>
      </c>
    </row>
    <row r="151" spans="2:38" s="42" customFormat="1" x14ac:dyDescent="0.35">
      <c r="B151" s="55" t="str">
        <f t="shared" si="10"/>
        <v/>
      </c>
      <c r="C151" s="40"/>
      <c r="D151" s="40"/>
      <c r="E151" s="41"/>
      <c r="F151" s="41"/>
      <c r="G151" s="41"/>
      <c r="H151" s="68" t="str">
        <f>IF('E2 — Triagem'!D156="","",'E2 — Triagem'!D156)</f>
        <v/>
      </c>
      <c r="I151" s="71"/>
      <c r="J151" s="41"/>
      <c r="K151" s="41"/>
      <c r="L151" s="71"/>
      <c r="M151" s="71"/>
      <c r="N151" s="71"/>
      <c r="O151" s="71"/>
      <c r="P151" s="41"/>
      <c r="Q151" s="41"/>
      <c r="R151" s="71"/>
      <c r="S151" s="71"/>
      <c r="T151" s="75"/>
      <c r="U151" s="75"/>
      <c r="V151" s="75"/>
      <c r="W151" s="58" t="str">
        <f t="shared" si="11"/>
        <v/>
      </c>
      <c r="X151" s="59" t="str">
        <f t="shared" si="12"/>
        <v/>
      </c>
      <c r="Y151" s="41"/>
      <c r="Z151" s="41"/>
      <c r="AA151" s="41"/>
      <c r="AB151" s="68" t="str">
        <f>IF($B151="","",'Workflow (Tracker)'!L174)</f>
        <v/>
      </c>
      <c r="AC151" s="69" t="str">
        <f>IF($B151="","",'E08 — Estabilização Hypercare'!K156)</f>
        <v/>
      </c>
      <c r="AD151" s="66" t="str">
        <f>IF($B151="","",'E08 — Estabilização Hypercare'!O156)</f>
        <v/>
      </c>
      <c r="AE151" s="66" t="str">
        <f>IF($B151="","",'E08 — Estabilização Hypercare'!Q156)</f>
        <v/>
      </c>
      <c r="AF151" s="66" t="str">
        <f>IF(OR($B151="",'E08 — Estabilização Hypercare'!R156=""),"",'E08 — Estabilização Hypercare'!R156)</f>
        <v/>
      </c>
      <c r="AG151" s="60" t="str">
        <f>IF($B151="","",'E08 — Estabilização Hypercare'!S156)</f>
        <v/>
      </c>
      <c r="AH151" s="61" t="str">
        <f>IF($B151="","",'E08 — Estabilização Hypercare'!T156)</f>
        <v/>
      </c>
      <c r="AI151" s="62" t="str">
        <f>IF($B151="","",'E08 — Estabilização Hypercare'!N156)</f>
        <v/>
      </c>
      <c r="AJ151" s="61" t="str">
        <f>IF(OR($B151="",'E08 — Estabilização Hypercare'!U156=""),"",'E08 — Estabilização Hypercare'!U156)</f>
        <v/>
      </c>
      <c r="AK151" s="60" t="str">
        <f t="shared" si="13"/>
        <v/>
      </c>
      <c r="AL151" s="65" t="str">
        <f t="shared" si="14"/>
        <v/>
      </c>
    </row>
    <row r="152" spans="2:38" s="42" customFormat="1" x14ac:dyDescent="0.35">
      <c r="B152" s="55" t="str">
        <f t="shared" si="10"/>
        <v/>
      </c>
      <c r="C152" s="40"/>
      <c r="D152" s="40"/>
      <c r="E152" s="41"/>
      <c r="F152" s="41"/>
      <c r="G152" s="41"/>
      <c r="H152" s="68" t="str">
        <f>IF('E2 — Triagem'!D157="","",'E2 — Triagem'!D157)</f>
        <v/>
      </c>
      <c r="I152" s="71"/>
      <c r="J152" s="41"/>
      <c r="K152" s="41"/>
      <c r="L152" s="71"/>
      <c r="M152" s="71"/>
      <c r="N152" s="71"/>
      <c r="O152" s="71"/>
      <c r="P152" s="41"/>
      <c r="Q152" s="41"/>
      <c r="R152" s="71"/>
      <c r="S152" s="71"/>
      <c r="T152" s="75"/>
      <c r="U152" s="75"/>
      <c r="V152" s="75"/>
      <c r="W152" s="58" t="str">
        <f t="shared" si="11"/>
        <v/>
      </c>
      <c r="X152" s="59" t="str">
        <f t="shared" si="12"/>
        <v/>
      </c>
      <c r="Y152" s="41"/>
      <c r="Z152" s="41"/>
      <c r="AA152" s="41"/>
      <c r="AB152" s="68" t="str">
        <f>IF($B152="","",'Workflow (Tracker)'!L175)</f>
        <v/>
      </c>
      <c r="AC152" s="69" t="str">
        <f>IF($B152="","",'E08 — Estabilização Hypercare'!K157)</f>
        <v/>
      </c>
      <c r="AD152" s="66" t="str">
        <f>IF($B152="","",'E08 — Estabilização Hypercare'!O157)</f>
        <v/>
      </c>
      <c r="AE152" s="66" t="str">
        <f>IF($B152="","",'E08 — Estabilização Hypercare'!Q157)</f>
        <v/>
      </c>
      <c r="AF152" s="66" t="str">
        <f>IF(OR($B152="",'E08 — Estabilização Hypercare'!R157=""),"",'E08 — Estabilização Hypercare'!R157)</f>
        <v/>
      </c>
      <c r="AG152" s="60" t="str">
        <f>IF($B152="","",'E08 — Estabilização Hypercare'!S157)</f>
        <v/>
      </c>
      <c r="AH152" s="61" t="str">
        <f>IF($B152="","",'E08 — Estabilização Hypercare'!T157)</f>
        <v/>
      </c>
      <c r="AI152" s="62" t="str">
        <f>IF($B152="","",'E08 — Estabilização Hypercare'!N157)</f>
        <v/>
      </c>
      <c r="AJ152" s="61" t="str">
        <f>IF(OR($B152="",'E08 — Estabilização Hypercare'!U157=""),"",'E08 — Estabilização Hypercare'!U157)</f>
        <v/>
      </c>
      <c r="AK152" s="60" t="str">
        <f t="shared" si="13"/>
        <v/>
      </c>
      <c r="AL152" s="65" t="str">
        <f t="shared" si="14"/>
        <v/>
      </c>
    </row>
    <row r="153" spans="2:38" s="42" customFormat="1" x14ac:dyDescent="0.35">
      <c r="B153" s="55" t="str">
        <f t="shared" si="10"/>
        <v/>
      </c>
      <c r="C153" s="40"/>
      <c r="D153" s="40"/>
      <c r="E153" s="41"/>
      <c r="F153" s="41"/>
      <c r="G153" s="41"/>
      <c r="H153" s="68" t="str">
        <f>IF('E2 — Triagem'!D158="","",'E2 — Triagem'!D158)</f>
        <v/>
      </c>
      <c r="I153" s="71"/>
      <c r="J153" s="41"/>
      <c r="K153" s="41"/>
      <c r="L153" s="71"/>
      <c r="M153" s="71"/>
      <c r="N153" s="71"/>
      <c r="O153" s="71"/>
      <c r="P153" s="41"/>
      <c r="Q153" s="41"/>
      <c r="R153" s="71"/>
      <c r="S153" s="71"/>
      <c r="T153" s="75"/>
      <c r="U153" s="75"/>
      <c r="V153" s="75"/>
      <c r="W153" s="58" t="str">
        <f t="shared" si="11"/>
        <v/>
      </c>
      <c r="X153" s="59" t="str">
        <f t="shared" si="12"/>
        <v/>
      </c>
      <c r="Y153" s="41"/>
      <c r="Z153" s="41"/>
      <c r="AA153" s="41"/>
      <c r="AB153" s="68" t="str">
        <f>IF($B153="","",'Workflow (Tracker)'!L176)</f>
        <v/>
      </c>
      <c r="AC153" s="69" t="str">
        <f>IF($B153="","",'E08 — Estabilização Hypercare'!K158)</f>
        <v/>
      </c>
      <c r="AD153" s="66" t="str">
        <f>IF($B153="","",'E08 — Estabilização Hypercare'!O158)</f>
        <v/>
      </c>
      <c r="AE153" s="66" t="str">
        <f>IF($B153="","",'E08 — Estabilização Hypercare'!Q158)</f>
        <v/>
      </c>
      <c r="AF153" s="66" t="str">
        <f>IF(OR($B153="",'E08 — Estabilização Hypercare'!R158=""),"",'E08 — Estabilização Hypercare'!R158)</f>
        <v/>
      </c>
      <c r="AG153" s="60" t="str">
        <f>IF($B153="","",'E08 — Estabilização Hypercare'!S158)</f>
        <v/>
      </c>
      <c r="AH153" s="61" t="str">
        <f>IF($B153="","",'E08 — Estabilização Hypercare'!T158)</f>
        <v/>
      </c>
      <c r="AI153" s="62" t="str">
        <f>IF($B153="","",'E08 — Estabilização Hypercare'!N158)</f>
        <v/>
      </c>
      <c r="AJ153" s="61" t="str">
        <f>IF(OR($B153="",'E08 — Estabilização Hypercare'!U158=""),"",'E08 — Estabilização Hypercare'!U158)</f>
        <v/>
      </c>
      <c r="AK153" s="60" t="str">
        <f t="shared" si="13"/>
        <v/>
      </c>
      <c r="AL153" s="65" t="str">
        <f t="shared" si="14"/>
        <v/>
      </c>
    </row>
    <row r="154" spans="2:38" s="42" customFormat="1" x14ac:dyDescent="0.35">
      <c r="B154" s="55" t="str">
        <f t="shared" si="10"/>
        <v/>
      </c>
      <c r="C154" s="40"/>
      <c r="D154" s="40"/>
      <c r="E154" s="41"/>
      <c r="F154" s="41"/>
      <c r="G154" s="41"/>
      <c r="H154" s="68" t="str">
        <f>IF('E2 — Triagem'!D159="","",'E2 — Triagem'!D159)</f>
        <v/>
      </c>
      <c r="I154" s="71"/>
      <c r="J154" s="41"/>
      <c r="K154" s="41"/>
      <c r="L154" s="71"/>
      <c r="M154" s="71"/>
      <c r="N154" s="71"/>
      <c r="O154" s="71"/>
      <c r="P154" s="41"/>
      <c r="Q154" s="41"/>
      <c r="R154" s="71"/>
      <c r="S154" s="71"/>
      <c r="T154" s="75"/>
      <c r="U154" s="75"/>
      <c r="V154" s="75"/>
      <c r="W154" s="58" t="str">
        <f t="shared" si="11"/>
        <v/>
      </c>
      <c r="X154" s="59" t="str">
        <f t="shared" si="12"/>
        <v/>
      </c>
      <c r="Y154" s="41"/>
      <c r="Z154" s="41"/>
      <c r="AA154" s="41"/>
      <c r="AB154" s="68" t="str">
        <f>IF($B154="","",'Workflow (Tracker)'!L177)</f>
        <v/>
      </c>
      <c r="AC154" s="69" t="str">
        <f>IF($B154="","",'E08 — Estabilização Hypercare'!K159)</f>
        <v/>
      </c>
      <c r="AD154" s="66" t="str">
        <f>IF($B154="","",'E08 — Estabilização Hypercare'!O159)</f>
        <v/>
      </c>
      <c r="AE154" s="66" t="str">
        <f>IF($B154="","",'E08 — Estabilização Hypercare'!Q159)</f>
        <v/>
      </c>
      <c r="AF154" s="66" t="str">
        <f>IF(OR($B154="",'E08 — Estabilização Hypercare'!R159=""),"",'E08 — Estabilização Hypercare'!R159)</f>
        <v/>
      </c>
      <c r="AG154" s="60" t="str">
        <f>IF($B154="","",'E08 — Estabilização Hypercare'!S159)</f>
        <v/>
      </c>
      <c r="AH154" s="61" t="str">
        <f>IF($B154="","",'E08 — Estabilização Hypercare'!T159)</f>
        <v/>
      </c>
      <c r="AI154" s="62" t="str">
        <f>IF($B154="","",'E08 — Estabilização Hypercare'!N159)</f>
        <v/>
      </c>
      <c r="AJ154" s="61" t="str">
        <f>IF(OR($B154="",'E08 — Estabilização Hypercare'!U159=""),"",'E08 — Estabilização Hypercare'!U159)</f>
        <v/>
      </c>
      <c r="AK154" s="60" t="str">
        <f t="shared" si="13"/>
        <v/>
      </c>
      <c r="AL154" s="65" t="str">
        <f t="shared" si="14"/>
        <v/>
      </c>
    </row>
    <row r="155" spans="2:38" s="42" customFormat="1" x14ac:dyDescent="0.35">
      <c r="B155" s="55" t="str">
        <f t="shared" si="10"/>
        <v/>
      </c>
      <c r="C155" s="40"/>
      <c r="D155" s="40"/>
      <c r="E155" s="41"/>
      <c r="F155" s="41"/>
      <c r="G155" s="41"/>
      <c r="H155" s="68" t="str">
        <f>IF('E2 — Triagem'!D160="","",'E2 — Triagem'!D160)</f>
        <v/>
      </c>
      <c r="I155" s="71"/>
      <c r="J155" s="41"/>
      <c r="K155" s="41"/>
      <c r="L155" s="71"/>
      <c r="M155" s="71"/>
      <c r="N155" s="71"/>
      <c r="O155" s="71"/>
      <c r="P155" s="41"/>
      <c r="Q155" s="41"/>
      <c r="R155" s="71"/>
      <c r="S155" s="71"/>
      <c r="T155" s="75"/>
      <c r="U155" s="75"/>
      <c r="V155" s="75"/>
      <c r="W155" s="58" t="str">
        <f t="shared" si="11"/>
        <v/>
      </c>
      <c r="X155" s="59" t="str">
        <f t="shared" si="12"/>
        <v/>
      </c>
      <c r="Y155" s="41"/>
      <c r="Z155" s="41"/>
      <c r="AA155" s="41"/>
      <c r="AB155" s="68" t="str">
        <f>IF($B155="","",'Workflow (Tracker)'!L178)</f>
        <v/>
      </c>
      <c r="AC155" s="69" t="str">
        <f>IF($B155="","",'E08 — Estabilização Hypercare'!K160)</f>
        <v/>
      </c>
      <c r="AD155" s="66" t="str">
        <f>IF($B155="","",'E08 — Estabilização Hypercare'!O160)</f>
        <v/>
      </c>
      <c r="AE155" s="66" t="str">
        <f>IF($B155="","",'E08 — Estabilização Hypercare'!Q160)</f>
        <v/>
      </c>
      <c r="AF155" s="66" t="str">
        <f>IF(OR($B155="",'E08 — Estabilização Hypercare'!R160=""),"",'E08 — Estabilização Hypercare'!R160)</f>
        <v/>
      </c>
      <c r="AG155" s="60" t="str">
        <f>IF($B155="","",'E08 — Estabilização Hypercare'!S160)</f>
        <v/>
      </c>
      <c r="AH155" s="61" t="str">
        <f>IF($B155="","",'E08 — Estabilização Hypercare'!T160)</f>
        <v/>
      </c>
      <c r="AI155" s="62" t="str">
        <f>IF($B155="","",'E08 — Estabilização Hypercare'!N160)</f>
        <v/>
      </c>
      <c r="AJ155" s="61" t="str">
        <f>IF(OR($B155="",'E08 — Estabilização Hypercare'!U160=""),"",'E08 — Estabilização Hypercare'!U160)</f>
        <v/>
      </c>
      <c r="AK155" s="60" t="str">
        <f t="shared" si="13"/>
        <v/>
      </c>
      <c r="AL155" s="65" t="str">
        <f t="shared" si="14"/>
        <v/>
      </c>
    </row>
    <row r="156" spans="2:38" s="42" customFormat="1" x14ac:dyDescent="0.35">
      <c r="B156" s="55" t="str">
        <f t="shared" si="10"/>
        <v/>
      </c>
      <c r="C156" s="40"/>
      <c r="D156" s="40"/>
      <c r="E156" s="41"/>
      <c r="F156" s="41"/>
      <c r="G156" s="41"/>
      <c r="H156" s="68" t="str">
        <f>IF('E2 — Triagem'!D161="","",'E2 — Triagem'!D161)</f>
        <v/>
      </c>
      <c r="I156" s="71"/>
      <c r="J156" s="41"/>
      <c r="K156" s="41"/>
      <c r="L156" s="71"/>
      <c r="M156" s="71"/>
      <c r="N156" s="71"/>
      <c r="O156" s="71"/>
      <c r="P156" s="41"/>
      <c r="Q156" s="41"/>
      <c r="R156" s="71"/>
      <c r="S156" s="71"/>
      <c r="T156" s="75"/>
      <c r="U156" s="75"/>
      <c r="V156" s="75"/>
      <c r="W156" s="58" t="str">
        <f t="shared" si="11"/>
        <v/>
      </c>
      <c r="X156" s="59" t="str">
        <f t="shared" si="12"/>
        <v/>
      </c>
      <c r="Y156" s="41"/>
      <c r="Z156" s="41"/>
      <c r="AA156" s="41"/>
      <c r="AB156" s="68" t="str">
        <f>IF($B156="","",'Workflow (Tracker)'!L179)</f>
        <v/>
      </c>
      <c r="AC156" s="69" t="str">
        <f>IF($B156="","",'E08 — Estabilização Hypercare'!K161)</f>
        <v/>
      </c>
      <c r="AD156" s="66" t="str">
        <f>IF($B156="","",'E08 — Estabilização Hypercare'!O161)</f>
        <v/>
      </c>
      <c r="AE156" s="66" t="str">
        <f>IF($B156="","",'E08 — Estabilização Hypercare'!Q161)</f>
        <v/>
      </c>
      <c r="AF156" s="66" t="str">
        <f>IF(OR($B156="",'E08 — Estabilização Hypercare'!R161=""),"",'E08 — Estabilização Hypercare'!R161)</f>
        <v/>
      </c>
      <c r="AG156" s="60" t="str">
        <f>IF($B156="","",'E08 — Estabilização Hypercare'!S161)</f>
        <v/>
      </c>
      <c r="AH156" s="61" t="str">
        <f>IF($B156="","",'E08 — Estabilização Hypercare'!T161)</f>
        <v/>
      </c>
      <c r="AI156" s="62" t="str">
        <f>IF($B156="","",'E08 — Estabilização Hypercare'!N161)</f>
        <v/>
      </c>
      <c r="AJ156" s="61" t="str">
        <f>IF(OR($B156="",'E08 — Estabilização Hypercare'!U161=""),"",'E08 — Estabilização Hypercare'!U161)</f>
        <v/>
      </c>
      <c r="AK156" s="60" t="str">
        <f t="shared" si="13"/>
        <v/>
      </c>
      <c r="AL156" s="65" t="str">
        <f t="shared" si="14"/>
        <v/>
      </c>
    </row>
    <row r="157" spans="2:38" s="42" customFormat="1" x14ac:dyDescent="0.35">
      <c r="B157" s="55" t="str">
        <f t="shared" si="10"/>
        <v/>
      </c>
      <c r="C157" s="40"/>
      <c r="D157" s="40"/>
      <c r="E157" s="41"/>
      <c r="F157" s="41"/>
      <c r="G157" s="41"/>
      <c r="H157" s="68" t="str">
        <f>IF('E2 — Triagem'!D162="","",'E2 — Triagem'!D162)</f>
        <v/>
      </c>
      <c r="I157" s="71"/>
      <c r="J157" s="41"/>
      <c r="K157" s="41"/>
      <c r="L157" s="71"/>
      <c r="M157" s="71"/>
      <c r="N157" s="71"/>
      <c r="O157" s="71"/>
      <c r="P157" s="41"/>
      <c r="Q157" s="41"/>
      <c r="R157" s="71"/>
      <c r="S157" s="71"/>
      <c r="T157" s="75"/>
      <c r="U157" s="75"/>
      <c r="V157" s="75"/>
      <c r="W157" s="58" t="str">
        <f t="shared" si="11"/>
        <v/>
      </c>
      <c r="X157" s="59" t="str">
        <f t="shared" si="12"/>
        <v/>
      </c>
      <c r="Y157" s="41"/>
      <c r="Z157" s="41"/>
      <c r="AA157" s="41"/>
      <c r="AB157" s="68" t="str">
        <f>IF($B157="","",'Workflow (Tracker)'!L180)</f>
        <v/>
      </c>
      <c r="AC157" s="69" t="str">
        <f>IF($B157="","",'E08 — Estabilização Hypercare'!K162)</f>
        <v/>
      </c>
      <c r="AD157" s="66" t="str">
        <f>IF($B157="","",'E08 — Estabilização Hypercare'!O162)</f>
        <v/>
      </c>
      <c r="AE157" s="66" t="str">
        <f>IF($B157="","",'E08 — Estabilização Hypercare'!Q162)</f>
        <v/>
      </c>
      <c r="AF157" s="66" t="str">
        <f>IF(OR($B157="",'E08 — Estabilização Hypercare'!R162=""),"",'E08 — Estabilização Hypercare'!R162)</f>
        <v/>
      </c>
      <c r="AG157" s="60" t="str">
        <f>IF($B157="","",'E08 — Estabilização Hypercare'!S162)</f>
        <v/>
      </c>
      <c r="AH157" s="61" t="str">
        <f>IF($B157="","",'E08 — Estabilização Hypercare'!T162)</f>
        <v/>
      </c>
      <c r="AI157" s="62" t="str">
        <f>IF($B157="","",'E08 — Estabilização Hypercare'!N162)</f>
        <v/>
      </c>
      <c r="AJ157" s="61" t="str">
        <f>IF(OR($B157="",'E08 — Estabilização Hypercare'!U162=""),"",'E08 — Estabilização Hypercare'!U162)</f>
        <v/>
      </c>
      <c r="AK157" s="60" t="str">
        <f t="shared" si="13"/>
        <v/>
      </c>
      <c r="AL157" s="65" t="str">
        <f t="shared" si="14"/>
        <v/>
      </c>
    </row>
    <row r="158" spans="2:38" s="42" customFormat="1" x14ac:dyDescent="0.35">
      <c r="B158" s="55" t="str">
        <f t="shared" si="10"/>
        <v/>
      </c>
      <c r="C158" s="40"/>
      <c r="D158" s="40"/>
      <c r="E158" s="41"/>
      <c r="F158" s="41"/>
      <c r="G158" s="41"/>
      <c r="H158" s="68" t="str">
        <f>IF('E2 — Triagem'!D163="","",'E2 — Triagem'!D163)</f>
        <v/>
      </c>
      <c r="I158" s="71"/>
      <c r="J158" s="41"/>
      <c r="K158" s="41"/>
      <c r="L158" s="71"/>
      <c r="M158" s="71"/>
      <c r="N158" s="71"/>
      <c r="O158" s="71"/>
      <c r="P158" s="41"/>
      <c r="Q158" s="41"/>
      <c r="R158" s="71"/>
      <c r="S158" s="71"/>
      <c r="T158" s="75"/>
      <c r="U158" s="75"/>
      <c r="V158" s="75"/>
      <c r="W158" s="58" t="str">
        <f t="shared" si="11"/>
        <v/>
      </c>
      <c r="X158" s="59" t="str">
        <f t="shared" si="12"/>
        <v/>
      </c>
      <c r="Y158" s="41"/>
      <c r="Z158" s="41"/>
      <c r="AA158" s="41"/>
      <c r="AB158" s="68" t="str">
        <f>IF($B158="","",'Workflow (Tracker)'!L181)</f>
        <v/>
      </c>
      <c r="AC158" s="69" t="str">
        <f>IF($B158="","",'E08 — Estabilização Hypercare'!K163)</f>
        <v/>
      </c>
      <c r="AD158" s="66" t="str">
        <f>IF($B158="","",'E08 — Estabilização Hypercare'!O163)</f>
        <v/>
      </c>
      <c r="AE158" s="66" t="str">
        <f>IF($B158="","",'E08 — Estabilização Hypercare'!Q163)</f>
        <v/>
      </c>
      <c r="AF158" s="66" t="str">
        <f>IF(OR($B158="",'E08 — Estabilização Hypercare'!R163=""),"",'E08 — Estabilização Hypercare'!R163)</f>
        <v/>
      </c>
      <c r="AG158" s="60" t="str">
        <f>IF($B158="","",'E08 — Estabilização Hypercare'!S163)</f>
        <v/>
      </c>
      <c r="AH158" s="61" t="str">
        <f>IF($B158="","",'E08 — Estabilização Hypercare'!T163)</f>
        <v/>
      </c>
      <c r="AI158" s="62" t="str">
        <f>IF($B158="","",'E08 — Estabilização Hypercare'!N163)</f>
        <v/>
      </c>
      <c r="AJ158" s="61" t="str">
        <f>IF(OR($B158="",'E08 — Estabilização Hypercare'!U163=""),"",'E08 — Estabilização Hypercare'!U163)</f>
        <v/>
      </c>
      <c r="AK158" s="60" t="str">
        <f t="shared" si="13"/>
        <v/>
      </c>
      <c r="AL158" s="65" t="str">
        <f t="shared" si="14"/>
        <v/>
      </c>
    </row>
    <row r="159" spans="2:38" s="42" customFormat="1" x14ac:dyDescent="0.35">
      <c r="B159" s="55" t="str">
        <f t="shared" si="10"/>
        <v/>
      </c>
      <c r="C159" s="40"/>
      <c r="D159" s="40"/>
      <c r="E159" s="41"/>
      <c r="F159" s="41"/>
      <c r="G159" s="41"/>
      <c r="H159" s="68" t="str">
        <f>IF('E2 — Triagem'!D164="","",'E2 — Triagem'!D164)</f>
        <v/>
      </c>
      <c r="I159" s="71"/>
      <c r="J159" s="41"/>
      <c r="K159" s="41"/>
      <c r="L159" s="71"/>
      <c r="M159" s="71"/>
      <c r="N159" s="71"/>
      <c r="O159" s="71"/>
      <c r="P159" s="41"/>
      <c r="Q159" s="41"/>
      <c r="R159" s="71"/>
      <c r="S159" s="71"/>
      <c r="T159" s="75"/>
      <c r="U159" s="75"/>
      <c r="V159" s="75"/>
      <c r="W159" s="58" t="str">
        <f t="shared" si="11"/>
        <v/>
      </c>
      <c r="X159" s="59" t="str">
        <f t="shared" si="12"/>
        <v/>
      </c>
      <c r="Y159" s="41"/>
      <c r="Z159" s="41"/>
      <c r="AA159" s="41"/>
      <c r="AB159" s="68" t="str">
        <f>IF($B159="","",'Workflow (Tracker)'!L182)</f>
        <v/>
      </c>
      <c r="AC159" s="69" t="str">
        <f>IF($B159="","",'E08 — Estabilização Hypercare'!K164)</f>
        <v/>
      </c>
      <c r="AD159" s="66" t="str">
        <f>IF($B159="","",'E08 — Estabilização Hypercare'!O164)</f>
        <v/>
      </c>
      <c r="AE159" s="66" t="str">
        <f>IF($B159="","",'E08 — Estabilização Hypercare'!Q164)</f>
        <v/>
      </c>
      <c r="AF159" s="66" t="str">
        <f>IF(OR($B159="",'E08 — Estabilização Hypercare'!R164=""),"",'E08 — Estabilização Hypercare'!R164)</f>
        <v/>
      </c>
      <c r="AG159" s="60" t="str">
        <f>IF($B159="","",'E08 — Estabilização Hypercare'!S164)</f>
        <v/>
      </c>
      <c r="AH159" s="61" t="str">
        <f>IF($B159="","",'E08 — Estabilização Hypercare'!T164)</f>
        <v/>
      </c>
      <c r="AI159" s="62" t="str">
        <f>IF($B159="","",'E08 — Estabilização Hypercare'!N164)</f>
        <v/>
      </c>
      <c r="AJ159" s="61" t="str">
        <f>IF(OR($B159="",'E08 — Estabilização Hypercare'!U164=""),"",'E08 — Estabilização Hypercare'!U164)</f>
        <v/>
      </c>
      <c r="AK159" s="60" t="str">
        <f t="shared" si="13"/>
        <v/>
      </c>
      <c r="AL159" s="65" t="str">
        <f t="shared" si="14"/>
        <v/>
      </c>
    </row>
    <row r="160" spans="2:38" s="42" customFormat="1" x14ac:dyDescent="0.35">
      <c r="B160" s="55" t="str">
        <f t="shared" si="10"/>
        <v/>
      </c>
      <c r="C160" s="40"/>
      <c r="D160" s="40"/>
      <c r="E160" s="41"/>
      <c r="F160" s="41"/>
      <c r="G160" s="41"/>
      <c r="H160" s="68" t="str">
        <f>IF('E2 — Triagem'!D165="","",'E2 — Triagem'!D165)</f>
        <v/>
      </c>
      <c r="I160" s="71"/>
      <c r="J160" s="41"/>
      <c r="K160" s="41"/>
      <c r="L160" s="71"/>
      <c r="M160" s="71"/>
      <c r="N160" s="71"/>
      <c r="O160" s="71"/>
      <c r="P160" s="41"/>
      <c r="Q160" s="41"/>
      <c r="R160" s="71"/>
      <c r="S160" s="71"/>
      <c r="T160" s="75"/>
      <c r="U160" s="75"/>
      <c r="V160" s="75"/>
      <c r="W160" s="58" t="str">
        <f t="shared" si="11"/>
        <v/>
      </c>
      <c r="X160" s="59" t="str">
        <f t="shared" si="12"/>
        <v/>
      </c>
      <c r="Y160" s="41"/>
      <c r="Z160" s="41"/>
      <c r="AA160" s="41"/>
      <c r="AB160" s="68" t="str">
        <f>IF($B160="","",'Workflow (Tracker)'!L183)</f>
        <v/>
      </c>
      <c r="AC160" s="69" t="str">
        <f>IF($B160="","",'E08 — Estabilização Hypercare'!K165)</f>
        <v/>
      </c>
      <c r="AD160" s="66" t="str">
        <f>IF($B160="","",'E08 — Estabilização Hypercare'!O165)</f>
        <v/>
      </c>
      <c r="AE160" s="66" t="str">
        <f>IF($B160="","",'E08 — Estabilização Hypercare'!Q165)</f>
        <v/>
      </c>
      <c r="AF160" s="66" t="str">
        <f>IF(OR($B160="",'E08 — Estabilização Hypercare'!R165=""),"",'E08 — Estabilização Hypercare'!R165)</f>
        <v/>
      </c>
      <c r="AG160" s="60" t="str">
        <f>IF($B160="","",'E08 — Estabilização Hypercare'!S165)</f>
        <v/>
      </c>
      <c r="AH160" s="61" t="str">
        <f>IF($B160="","",'E08 — Estabilização Hypercare'!T165)</f>
        <v/>
      </c>
      <c r="AI160" s="62" t="str">
        <f>IF($B160="","",'E08 — Estabilização Hypercare'!N165)</f>
        <v/>
      </c>
      <c r="AJ160" s="61" t="str">
        <f>IF(OR($B160="",'E08 — Estabilização Hypercare'!U165=""),"",'E08 — Estabilização Hypercare'!U165)</f>
        <v/>
      </c>
      <c r="AK160" s="60" t="str">
        <f t="shared" si="13"/>
        <v/>
      </c>
      <c r="AL160" s="65" t="str">
        <f t="shared" si="14"/>
        <v/>
      </c>
    </row>
    <row r="161" spans="2:38" s="42" customFormat="1" x14ac:dyDescent="0.35">
      <c r="B161" s="55" t="str">
        <f t="shared" si="10"/>
        <v/>
      </c>
      <c r="C161" s="40"/>
      <c r="D161" s="40"/>
      <c r="E161" s="41"/>
      <c r="F161" s="41"/>
      <c r="G161" s="41"/>
      <c r="H161" s="68" t="str">
        <f>IF('E2 — Triagem'!D166="","",'E2 — Triagem'!D166)</f>
        <v/>
      </c>
      <c r="I161" s="71"/>
      <c r="J161" s="41"/>
      <c r="K161" s="41"/>
      <c r="L161" s="71"/>
      <c r="M161" s="71"/>
      <c r="N161" s="71"/>
      <c r="O161" s="71"/>
      <c r="P161" s="41"/>
      <c r="Q161" s="41"/>
      <c r="R161" s="71"/>
      <c r="S161" s="71"/>
      <c r="T161" s="75"/>
      <c r="U161" s="75"/>
      <c r="V161" s="75"/>
      <c r="W161" s="58" t="str">
        <f t="shared" si="11"/>
        <v/>
      </c>
      <c r="X161" s="59" t="str">
        <f t="shared" si="12"/>
        <v/>
      </c>
      <c r="Y161" s="41"/>
      <c r="Z161" s="41"/>
      <c r="AA161" s="41"/>
      <c r="AB161" s="68" t="str">
        <f>IF($B161="","",'Workflow (Tracker)'!L184)</f>
        <v/>
      </c>
      <c r="AC161" s="69" t="str">
        <f>IF($B161="","",'E08 — Estabilização Hypercare'!K166)</f>
        <v/>
      </c>
      <c r="AD161" s="66" t="str">
        <f>IF($B161="","",'E08 — Estabilização Hypercare'!O166)</f>
        <v/>
      </c>
      <c r="AE161" s="66" t="str">
        <f>IF($B161="","",'E08 — Estabilização Hypercare'!Q166)</f>
        <v/>
      </c>
      <c r="AF161" s="66" t="str">
        <f>IF(OR($B161="",'E08 — Estabilização Hypercare'!R166=""),"",'E08 — Estabilização Hypercare'!R166)</f>
        <v/>
      </c>
      <c r="AG161" s="60" t="str">
        <f>IF($B161="","",'E08 — Estabilização Hypercare'!S166)</f>
        <v/>
      </c>
      <c r="AH161" s="61" t="str">
        <f>IF($B161="","",'E08 — Estabilização Hypercare'!T166)</f>
        <v/>
      </c>
      <c r="AI161" s="62" t="str">
        <f>IF($B161="","",'E08 — Estabilização Hypercare'!N166)</f>
        <v/>
      </c>
      <c r="AJ161" s="61" t="str">
        <f>IF(OR($B161="",'E08 — Estabilização Hypercare'!U166=""),"",'E08 — Estabilização Hypercare'!U166)</f>
        <v/>
      </c>
      <c r="AK161" s="60" t="str">
        <f t="shared" si="13"/>
        <v/>
      </c>
      <c r="AL161" s="65" t="str">
        <f t="shared" si="14"/>
        <v/>
      </c>
    </row>
    <row r="162" spans="2:38" s="42" customFormat="1" x14ac:dyDescent="0.35">
      <c r="B162" s="55" t="str">
        <f t="shared" si="10"/>
        <v/>
      </c>
      <c r="C162" s="40"/>
      <c r="D162" s="40"/>
      <c r="E162" s="41"/>
      <c r="F162" s="41"/>
      <c r="G162" s="41"/>
      <c r="H162" s="68" t="str">
        <f>IF('E2 — Triagem'!D167="","",'E2 — Triagem'!D167)</f>
        <v/>
      </c>
      <c r="I162" s="71"/>
      <c r="J162" s="41"/>
      <c r="K162" s="41"/>
      <c r="L162" s="71"/>
      <c r="M162" s="71"/>
      <c r="N162" s="71"/>
      <c r="O162" s="71"/>
      <c r="P162" s="41"/>
      <c r="Q162" s="41"/>
      <c r="R162" s="71"/>
      <c r="S162" s="71"/>
      <c r="T162" s="75"/>
      <c r="U162" s="75"/>
      <c r="V162" s="75"/>
      <c r="W162" s="58" t="str">
        <f t="shared" si="11"/>
        <v/>
      </c>
      <c r="X162" s="59" t="str">
        <f t="shared" si="12"/>
        <v/>
      </c>
      <c r="Y162" s="41"/>
      <c r="Z162" s="41"/>
      <c r="AA162" s="41"/>
      <c r="AB162" s="68" t="str">
        <f>IF($B162="","",'Workflow (Tracker)'!L185)</f>
        <v/>
      </c>
      <c r="AC162" s="69" t="str">
        <f>IF($B162="","",'E08 — Estabilização Hypercare'!K167)</f>
        <v/>
      </c>
      <c r="AD162" s="66" t="str">
        <f>IF($B162="","",'E08 — Estabilização Hypercare'!O167)</f>
        <v/>
      </c>
      <c r="AE162" s="66" t="str">
        <f>IF($B162="","",'E08 — Estabilização Hypercare'!Q167)</f>
        <v/>
      </c>
      <c r="AF162" s="66" t="str">
        <f>IF(OR($B162="",'E08 — Estabilização Hypercare'!R167=""),"",'E08 — Estabilização Hypercare'!R167)</f>
        <v/>
      </c>
      <c r="AG162" s="60" t="str">
        <f>IF($B162="","",'E08 — Estabilização Hypercare'!S167)</f>
        <v/>
      </c>
      <c r="AH162" s="61" t="str">
        <f>IF($B162="","",'E08 — Estabilização Hypercare'!T167)</f>
        <v/>
      </c>
      <c r="AI162" s="62" t="str">
        <f>IF($B162="","",'E08 — Estabilização Hypercare'!N167)</f>
        <v/>
      </c>
      <c r="AJ162" s="61" t="str">
        <f>IF(OR($B162="",'E08 — Estabilização Hypercare'!U167=""),"",'E08 — Estabilização Hypercare'!U167)</f>
        <v/>
      </c>
      <c r="AK162" s="60" t="str">
        <f t="shared" si="13"/>
        <v/>
      </c>
      <c r="AL162" s="65" t="str">
        <f t="shared" si="14"/>
        <v/>
      </c>
    </row>
    <row r="163" spans="2:38" s="42" customFormat="1" x14ac:dyDescent="0.35">
      <c r="B163" s="55" t="str">
        <f t="shared" si="10"/>
        <v/>
      </c>
      <c r="C163" s="40"/>
      <c r="D163" s="40"/>
      <c r="E163" s="41"/>
      <c r="F163" s="41"/>
      <c r="G163" s="41"/>
      <c r="H163" s="68" t="str">
        <f>IF('E2 — Triagem'!D168="","",'E2 — Triagem'!D168)</f>
        <v/>
      </c>
      <c r="I163" s="71"/>
      <c r="J163" s="41"/>
      <c r="K163" s="41"/>
      <c r="L163" s="71"/>
      <c r="M163" s="71"/>
      <c r="N163" s="71"/>
      <c r="O163" s="71"/>
      <c r="P163" s="41"/>
      <c r="Q163" s="41"/>
      <c r="R163" s="71"/>
      <c r="S163" s="71"/>
      <c r="T163" s="75"/>
      <c r="U163" s="75"/>
      <c r="V163" s="75"/>
      <c r="W163" s="58" t="str">
        <f t="shared" si="11"/>
        <v/>
      </c>
      <c r="X163" s="59" t="str">
        <f t="shared" si="12"/>
        <v/>
      </c>
      <c r="Y163" s="41"/>
      <c r="Z163" s="41"/>
      <c r="AA163" s="41"/>
      <c r="AB163" s="68" t="str">
        <f>IF($B163="","",'Workflow (Tracker)'!L186)</f>
        <v/>
      </c>
      <c r="AC163" s="69" t="str">
        <f>IF($B163="","",'E08 — Estabilização Hypercare'!K168)</f>
        <v/>
      </c>
      <c r="AD163" s="66" t="str">
        <f>IF($B163="","",'E08 — Estabilização Hypercare'!O168)</f>
        <v/>
      </c>
      <c r="AE163" s="66" t="str">
        <f>IF($B163="","",'E08 — Estabilização Hypercare'!Q168)</f>
        <v/>
      </c>
      <c r="AF163" s="66" t="str">
        <f>IF(OR($B163="",'E08 — Estabilização Hypercare'!R168=""),"",'E08 — Estabilização Hypercare'!R168)</f>
        <v/>
      </c>
      <c r="AG163" s="60" t="str">
        <f>IF($B163="","",'E08 — Estabilização Hypercare'!S168)</f>
        <v/>
      </c>
      <c r="AH163" s="61" t="str">
        <f>IF($B163="","",'E08 — Estabilização Hypercare'!T168)</f>
        <v/>
      </c>
      <c r="AI163" s="62" t="str">
        <f>IF($B163="","",'E08 — Estabilização Hypercare'!N168)</f>
        <v/>
      </c>
      <c r="AJ163" s="61" t="str">
        <f>IF(OR($B163="",'E08 — Estabilização Hypercare'!U168=""),"",'E08 — Estabilização Hypercare'!U168)</f>
        <v/>
      </c>
      <c r="AK163" s="60" t="str">
        <f t="shared" si="13"/>
        <v/>
      </c>
      <c r="AL163" s="65" t="str">
        <f t="shared" si="14"/>
        <v/>
      </c>
    </row>
    <row r="164" spans="2:38" s="42" customFormat="1" x14ac:dyDescent="0.35">
      <c r="B164" s="55" t="str">
        <f t="shared" si="10"/>
        <v/>
      </c>
      <c r="C164" s="40"/>
      <c r="D164" s="40"/>
      <c r="E164" s="41"/>
      <c r="F164" s="41"/>
      <c r="G164" s="41"/>
      <c r="H164" s="68" t="str">
        <f>IF('E2 — Triagem'!D169="","",'E2 — Triagem'!D169)</f>
        <v/>
      </c>
      <c r="I164" s="71"/>
      <c r="J164" s="41"/>
      <c r="K164" s="41"/>
      <c r="L164" s="71"/>
      <c r="M164" s="71"/>
      <c r="N164" s="71"/>
      <c r="O164" s="71"/>
      <c r="P164" s="41"/>
      <c r="Q164" s="41"/>
      <c r="R164" s="71"/>
      <c r="S164" s="71"/>
      <c r="T164" s="75"/>
      <c r="U164" s="75"/>
      <c r="V164" s="75"/>
      <c r="W164" s="58" t="str">
        <f t="shared" si="11"/>
        <v/>
      </c>
      <c r="X164" s="59" t="str">
        <f t="shared" si="12"/>
        <v/>
      </c>
      <c r="Y164" s="41"/>
      <c r="Z164" s="41"/>
      <c r="AA164" s="41"/>
      <c r="AB164" s="68" t="str">
        <f>IF($B164="","",'Workflow (Tracker)'!L187)</f>
        <v/>
      </c>
      <c r="AC164" s="69" t="str">
        <f>IF($B164="","",'E08 — Estabilização Hypercare'!K169)</f>
        <v/>
      </c>
      <c r="AD164" s="66" t="str">
        <f>IF($B164="","",'E08 — Estabilização Hypercare'!O169)</f>
        <v/>
      </c>
      <c r="AE164" s="66" t="str">
        <f>IF($B164="","",'E08 — Estabilização Hypercare'!Q169)</f>
        <v/>
      </c>
      <c r="AF164" s="66" t="str">
        <f>IF(OR($B164="",'E08 — Estabilização Hypercare'!R169=""),"",'E08 — Estabilização Hypercare'!R169)</f>
        <v/>
      </c>
      <c r="AG164" s="60" t="str">
        <f>IF($B164="","",'E08 — Estabilização Hypercare'!S169)</f>
        <v/>
      </c>
      <c r="AH164" s="61" t="str">
        <f>IF($B164="","",'E08 — Estabilização Hypercare'!T169)</f>
        <v/>
      </c>
      <c r="AI164" s="62" t="str">
        <f>IF($B164="","",'E08 — Estabilização Hypercare'!N169)</f>
        <v/>
      </c>
      <c r="AJ164" s="61" t="str">
        <f>IF(OR($B164="",'E08 — Estabilização Hypercare'!U169=""),"",'E08 — Estabilização Hypercare'!U169)</f>
        <v/>
      </c>
      <c r="AK164" s="60" t="str">
        <f t="shared" si="13"/>
        <v/>
      </c>
      <c r="AL164" s="65" t="str">
        <f t="shared" si="14"/>
        <v/>
      </c>
    </row>
    <row r="165" spans="2:38" s="42" customFormat="1" x14ac:dyDescent="0.35">
      <c r="B165" s="55" t="str">
        <f t="shared" si="10"/>
        <v/>
      </c>
      <c r="C165" s="40"/>
      <c r="D165" s="40"/>
      <c r="E165" s="41"/>
      <c r="F165" s="41"/>
      <c r="G165" s="41"/>
      <c r="H165" s="68" t="str">
        <f>IF('E2 — Triagem'!D170="","",'E2 — Triagem'!D170)</f>
        <v/>
      </c>
      <c r="I165" s="71"/>
      <c r="J165" s="41"/>
      <c r="K165" s="41"/>
      <c r="L165" s="71"/>
      <c r="M165" s="71"/>
      <c r="N165" s="71"/>
      <c r="O165" s="71"/>
      <c r="P165" s="41"/>
      <c r="Q165" s="41"/>
      <c r="R165" s="71"/>
      <c r="S165" s="71"/>
      <c r="T165" s="75"/>
      <c r="U165" s="75"/>
      <c r="V165" s="75"/>
      <c r="W165" s="58" t="str">
        <f t="shared" si="11"/>
        <v/>
      </c>
      <c r="X165" s="59" t="str">
        <f t="shared" si="12"/>
        <v/>
      </c>
      <c r="Y165" s="41"/>
      <c r="Z165" s="41"/>
      <c r="AA165" s="41"/>
      <c r="AB165" s="68" t="str">
        <f>IF($B165="","",'Workflow (Tracker)'!L188)</f>
        <v/>
      </c>
      <c r="AC165" s="69" t="str">
        <f>IF($B165="","",'E08 — Estabilização Hypercare'!K170)</f>
        <v/>
      </c>
      <c r="AD165" s="66" t="str">
        <f>IF($B165="","",'E08 — Estabilização Hypercare'!O170)</f>
        <v/>
      </c>
      <c r="AE165" s="66" t="str">
        <f>IF($B165="","",'E08 — Estabilização Hypercare'!Q170)</f>
        <v/>
      </c>
      <c r="AF165" s="66" t="str">
        <f>IF(OR($B165="",'E08 — Estabilização Hypercare'!R170=""),"",'E08 — Estabilização Hypercare'!R170)</f>
        <v/>
      </c>
      <c r="AG165" s="60" t="str">
        <f>IF($B165="","",'E08 — Estabilização Hypercare'!S170)</f>
        <v/>
      </c>
      <c r="AH165" s="61" t="str">
        <f>IF($B165="","",'E08 — Estabilização Hypercare'!T170)</f>
        <v/>
      </c>
      <c r="AI165" s="62" t="str">
        <f>IF($B165="","",'E08 — Estabilização Hypercare'!N170)</f>
        <v/>
      </c>
      <c r="AJ165" s="61" t="str">
        <f>IF(OR($B165="",'E08 — Estabilização Hypercare'!U170=""),"",'E08 — Estabilização Hypercare'!U170)</f>
        <v/>
      </c>
      <c r="AK165" s="60" t="str">
        <f t="shared" si="13"/>
        <v/>
      </c>
      <c r="AL165" s="65" t="str">
        <f t="shared" si="14"/>
        <v/>
      </c>
    </row>
    <row r="166" spans="2:38" s="42" customFormat="1" x14ac:dyDescent="0.35">
      <c r="B166" s="55" t="str">
        <f t="shared" si="10"/>
        <v/>
      </c>
      <c r="C166" s="40"/>
      <c r="D166" s="40"/>
      <c r="E166" s="41"/>
      <c r="F166" s="41"/>
      <c r="G166" s="41"/>
      <c r="H166" s="68" t="str">
        <f>IF('E2 — Triagem'!D171="","",'E2 — Triagem'!D171)</f>
        <v/>
      </c>
      <c r="I166" s="71"/>
      <c r="J166" s="41"/>
      <c r="K166" s="41"/>
      <c r="L166" s="71"/>
      <c r="M166" s="71"/>
      <c r="N166" s="71"/>
      <c r="O166" s="71"/>
      <c r="P166" s="41"/>
      <c r="Q166" s="41"/>
      <c r="R166" s="71"/>
      <c r="S166" s="71"/>
      <c r="T166" s="75"/>
      <c r="U166" s="75"/>
      <c r="V166" s="75"/>
      <c r="W166" s="58" t="str">
        <f t="shared" si="11"/>
        <v/>
      </c>
      <c r="X166" s="59" t="str">
        <f t="shared" si="12"/>
        <v/>
      </c>
      <c r="Y166" s="41"/>
      <c r="Z166" s="41"/>
      <c r="AA166" s="41"/>
      <c r="AB166" s="68" t="str">
        <f>IF($B166="","",'Workflow (Tracker)'!L189)</f>
        <v/>
      </c>
      <c r="AC166" s="69" t="str">
        <f>IF($B166="","",'E08 — Estabilização Hypercare'!K171)</f>
        <v/>
      </c>
      <c r="AD166" s="66" t="str">
        <f>IF($B166="","",'E08 — Estabilização Hypercare'!O171)</f>
        <v/>
      </c>
      <c r="AE166" s="66" t="str">
        <f>IF($B166="","",'E08 — Estabilização Hypercare'!Q171)</f>
        <v/>
      </c>
      <c r="AF166" s="66" t="str">
        <f>IF(OR($B166="",'E08 — Estabilização Hypercare'!R171=""),"",'E08 — Estabilização Hypercare'!R171)</f>
        <v/>
      </c>
      <c r="AG166" s="60" t="str">
        <f>IF($B166="","",'E08 — Estabilização Hypercare'!S171)</f>
        <v/>
      </c>
      <c r="AH166" s="61" t="str">
        <f>IF($B166="","",'E08 — Estabilização Hypercare'!T171)</f>
        <v/>
      </c>
      <c r="AI166" s="62" t="str">
        <f>IF($B166="","",'E08 — Estabilização Hypercare'!N171)</f>
        <v/>
      </c>
      <c r="AJ166" s="61" t="str">
        <f>IF(OR($B166="",'E08 — Estabilização Hypercare'!U171=""),"",'E08 — Estabilização Hypercare'!U171)</f>
        <v/>
      </c>
      <c r="AK166" s="60" t="str">
        <f t="shared" si="13"/>
        <v/>
      </c>
      <c r="AL166" s="65" t="str">
        <f t="shared" si="14"/>
        <v/>
      </c>
    </row>
    <row r="167" spans="2:38" s="42" customFormat="1" x14ac:dyDescent="0.35">
      <c r="B167" s="55" t="str">
        <f t="shared" si="10"/>
        <v/>
      </c>
      <c r="C167" s="40"/>
      <c r="D167" s="40"/>
      <c r="E167" s="41"/>
      <c r="F167" s="41"/>
      <c r="G167" s="41"/>
      <c r="H167" s="68" t="str">
        <f>IF('E2 — Triagem'!D172="","",'E2 — Triagem'!D172)</f>
        <v/>
      </c>
      <c r="I167" s="71"/>
      <c r="J167" s="41"/>
      <c r="K167" s="41"/>
      <c r="L167" s="71"/>
      <c r="M167" s="71"/>
      <c r="N167" s="71"/>
      <c r="O167" s="71"/>
      <c r="P167" s="41"/>
      <c r="Q167" s="41"/>
      <c r="R167" s="71"/>
      <c r="S167" s="71"/>
      <c r="T167" s="75"/>
      <c r="U167" s="75"/>
      <c r="V167" s="75"/>
      <c r="W167" s="58" t="str">
        <f t="shared" si="11"/>
        <v/>
      </c>
      <c r="X167" s="59" t="str">
        <f t="shared" si="12"/>
        <v/>
      </c>
      <c r="Y167" s="41"/>
      <c r="Z167" s="41"/>
      <c r="AA167" s="41"/>
      <c r="AB167" s="68" t="str">
        <f>IF($B167="","",'Workflow (Tracker)'!L190)</f>
        <v/>
      </c>
      <c r="AC167" s="69" t="str">
        <f>IF($B167="","",'E08 — Estabilização Hypercare'!K172)</f>
        <v/>
      </c>
      <c r="AD167" s="66" t="str">
        <f>IF($B167="","",'E08 — Estabilização Hypercare'!O172)</f>
        <v/>
      </c>
      <c r="AE167" s="66" t="str">
        <f>IF($B167="","",'E08 — Estabilização Hypercare'!Q172)</f>
        <v/>
      </c>
      <c r="AF167" s="66" t="str">
        <f>IF(OR($B167="",'E08 — Estabilização Hypercare'!R172=""),"",'E08 — Estabilização Hypercare'!R172)</f>
        <v/>
      </c>
      <c r="AG167" s="60" t="str">
        <f>IF($B167="","",'E08 — Estabilização Hypercare'!S172)</f>
        <v/>
      </c>
      <c r="AH167" s="61" t="str">
        <f>IF($B167="","",'E08 — Estabilização Hypercare'!T172)</f>
        <v/>
      </c>
      <c r="AI167" s="62" t="str">
        <f>IF($B167="","",'E08 — Estabilização Hypercare'!N172)</f>
        <v/>
      </c>
      <c r="AJ167" s="61" t="str">
        <f>IF(OR($B167="",'E08 — Estabilização Hypercare'!U172=""),"",'E08 — Estabilização Hypercare'!U172)</f>
        <v/>
      </c>
      <c r="AK167" s="60" t="str">
        <f t="shared" si="13"/>
        <v/>
      </c>
      <c r="AL167" s="65" t="str">
        <f t="shared" si="14"/>
        <v/>
      </c>
    </row>
    <row r="168" spans="2:38" s="42" customFormat="1" x14ac:dyDescent="0.35">
      <c r="B168" s="55" t="str">
        <f t="shared" si="10"/>
        <v/>
      </c>
      <c r="C168" s="40"/>
      <c r="D168" s="40"/>
      <c r="E168" s="41"/>
      <c r="F168" s="41"/>
      <c r="G168" s="41"/>
      <c r="H168" s="68" t="str">
        <f>IF('E2 — Triagem'!D173="","",'E2 — Triagem'!D173)</f>
        <v/>
      </c>
      <c r="I168" s="71"/>
      <c r="J168" s="41"/>
      <c r="K168" s="41"/>
      <c r="L168" s="71"/>
      <c r="M168" s="71"/>
      <c r="N168" s="71"/>
      <c r="O168" s="71"/>
      <c r="P168" s="41"/>
      <c r="Q168" s="41"/>
      <c r="R168" s="71"/>
      <c r="S168" s="71"/>
      <c r="T168" s="75"/>
      <c r="U168" s="75"/>
      <c r="V168" s="75"/>
      <c r="W168" s="58" t="str">
        <f t="shared" si="11"/>
        <v/>
      </c>
      <c r="X168" s="59" t="str">
        <f t="shared" si="12"/>
        <v/>
      </c>
      <c r="Y168" s="41"/>
      <c r="Z168" s="41"/>
      <c r="AA168" s="41"/>
      <c r="AB168" s="68" t="str">
        <f>IF($B168="","",'Workflow (Tracker)'!L191)</f>
        <v/>
      </c>
      <c r="AC168" s="69" t="str">
        <f>IF($B168="","",'E08 — Estabilização Hypercare'!K173)</f>
        <v/>
      </c>
      <c r="AD168" s="66" t="str">
        <f>IF($B168="","",'E08 — Estabilização Hypercare'!O173)</f>
        <v/>
      </c>
      <c r="AE168" s="66" t="str">
        <f>IF($B168="","",'E08 — Estabilização Hypercare'!Q173)</f>
        <v/>
      </c>
      <c r="AF168" s="66" t="str">
        <f>IF(OR($B168="",'E08 — Estabilização Hypercare'!R173=""),"",'E08 — Estabilização Hypercare'!R173)</f>
        <v/>
      </c>
      <c r="AG168" s="60" t="str">
        <f>IF($B168="","",'E08 — Estabilização Hypercare'!S173)</f>
        <v/>
      </c>
      <c r="AH168" s="61" t="str">
        <f>IF($B168="","",'E08 — Estabilização Hypercare'!T173)</f>
        <v/>
      </c>
      <c r="AI168" s="62" t="str">
        <f>IF($B168="","",'E08 — Estabilização Hypercare'!N173)</f>
        <v/>
      </c>
      <c r="AJ168" s="61" t="str">
        <f>IF(OR($B168="",'E08 — Estabilização Hypercare'!U173=""),"",'E08 — Estabilização Hypercare'!U173)</f>
        <v/>
      </c>
      <c r="AK168" s="60" t="str">
        <f t="shared" si="13"/>
        <v/>
      </c>
      <c r="AL168" s="65" t="str">
        <f t="shared" si="14"/>
        <v/>
      </c>
    </row>
    <row r="169" spans="2:38" s="42" customFormat="1" x14ac:dyDescent="0.35">
      <c r="B169" s="55" t="str">
        <f t="shared" si="10"/>
        <v/>
      </c>
      <c r="C169" s="40"/>
      <c r="D169" s="40"/>
      <c r="E169" s="41"/>
      <c r="F169" s="41"/>
      <c r="G169" s="41"/>
      <c r="H169" s="68" t="str">
        <f>IF('E2 — Triagem'!D174="","",'E2 — Triagem'!D174)</f>
        <v/>
      </c>
      <c r="I169" s="71"/>
      <c r="J169" s="41"/>
      <c r="K169" s="41"/>
      <c r="L169" s="71"/>
      <c r="M169" s="71"/>
      <c r="N169" s="71"/>
      <c r="O169" s="71"/>
      <c r="P169" s="41"/>
      <c r="Q169" s="41"/>
      <c r="R169" s="71"/>
      <c r="S169" s="71"/>
      <c r="T169" s="75"/>
      <c r="U169" s="75"/>
      <c r="V169" s="75"/>
      <c r="W169" s="58" t="str">
        <f t="shared" si="11"/>
        <v/>
      </c>
      <c r="X169" s="59" t="str">
        <f t="shared" si="12"/>
        <v/>
      </c>
      <c r="Y169" s="41"/>
      <c r="Z169" s="41"/>
      <c r="AA169" s="41"/>
      <c r="AB169" s="68" t="str">
        <f>IF($B169="","",'Workflow (Tracker)'!L192)</f>
        <v/>
      </c>
      <c r="AC169" s="69" t="str">
        <f>IF($B169="","",'E08 — Estabilização Hypercare'!K174)</f>
        <v/>
      </c>
      <c r="AD169" s="66" t="str">
        <f>IF($B169="","",'E08 — Estabilização Hypercare'!O174)</f>
        <v/>
      </c>
      <c r="AE169" s="66" t="str">
        <f>IF($B169="","",'E08 — Estabilização Hypercare'!Q174)</f>
        <v/>
      </c>
      <c r="AF169" s="66" t="str">
        <f>IF(OR($B169="",'E08 — Estabilização Hypercare'!R174=""),"",'E08 — Estabilização Hypercare'!R174)</f>
        <v/>
      </c>
      <c r="AG169" s="60" t="str">
        <f>IF($B169="","",'E08 — Estabilização Hypercare'!S174)</f>
        <v/>
      </c>
      <c r="AH169" s="61" t="str">
        <f>IF($B169="","",'E08 — Estabilização Hypercare'!T174)</f>
        <v/>
      </c>
      <c r="AI169" s="62" t="str">
        <f>IF($B169="","",'E08 — Estabilização Hypercare'!N174)</f>
        <v/>
      </c>
      <c r="AJ169" s="61" t="str">
        <f>IF(OR($B169="",'E08 — Estabilização Hypercare'!U174=""),"",'E08 — Estabilização Hypercare'!U174)</f>
        <v/>
      </c>
      <c r="AK169" s="60" t="str">
        <f t="shared" si="13"/>
        <v/>
      </c>
      <c r="AL169" s="65" t="str">
        <f t="shared" si="14"/>
        <v/>
      </c>
    </row>
    <row r="170" spans="2:38" s="42" customFormat="1" x14ac:dyDescent="0.35">
      <c r="B170" s="55" t="str">
        <f t="shared" si="10"/>
        <v/>
      </c>
      <c r="C170" s="40"/>
      <c r="D170" s="40"/>
      <c r="E170" s="41"/>
      <c r="F170" s="41"/>
      <c r="G170" s="41"/>
      <c r="H170" s="68" t="str">
        <f>IF('E2 — Triagem'!D175="","",'E2 — Triagem'!D175)</f>
        <v/>
      </c>
      <c r="I170" s="71"/>
      <c r="J170" s="41"/>
      <c r="K170" s="41"/>
      <c r="L170" s="71"/>
      <c r="M170" s="71"/>
      <c r="N170" s="71"/>
      <c r="O170" s="71"/>
      <c r="P170" s="41"/>
      <c r="Q170" s="41"/>
      <c r="R170" s="71"/>
      <c r="S170" s="71"/>
      <c r="T170" s="75"/>
      <c r="U170" s="75"/>
      <c r="V170" s="75"/>
      <c r="W170" s="58" t="str">
        <f t="shared" si="11"/>
        <v/>
      </c>
      <c r="X170" s="59" t="str">
        <f t="shared" si="12"/>
        <v/>
      </c>
      <c r="Y170" s="41"/>
      <c r="Z170" s="41"/>
      <c r="AA170" s="41"/>
      <c r="AB170" s="68" t="str">
        <f>IF($B170="","",'Workflow (Tracker)'!L193)</f>
        <v/>
      </c>
      <c r="AC170" s="69" t="str">
        <f>IF($B170="","",'E08 — Estabilização Hypercare'!K175)</f>
        <v/>
      </c>
      <c r="AD170" s="66" t="str">
        <f>IF($B170="","",'E08 — Estabilização Hypercare'!O175)</f>
        <v/>
      </c>
      <c r="AE170" s="66" t="str">
        <f>IF($B170="","",'E08 — Estabilização Hypercare'!Q175)</f>
        <v/>
      </c>
      <c r="AF170" s="66" t="str">
        <f>IF(OR($B170="",'E08 — Estabilização Hypercare'!R175=""),"",'E08 — Estabilização Hypercare'!R175)</f>
        <v/>
      </c>
      <c r="AG170" s="60" t="str">
        <f>IF($B170="","",'E08 — Estabilização Hypercare'!S175)</f>
        <v/>
      </c>
      <c r="AH170" s="61" t="str">
        <f>IF($B170="","",'E08 — Estabilização Hypercare'!T175)</f>
        <v/>
      </c>
      <c r="AI170" s="62" t="str">
        <f>IF($B170="","",'E08 — Estabilização Hypercare'!N175)</f>
        <v/>
      </c>
      <c r="AJ170" s="61" t="str">
        <f>IF(OR($B170="",'E08 — Estabilização Hypercare'!U175=""),"",'E08 — Estabilização Hypercare'!U175)</f>
        <v/>
      </c>
      <c r="AK170" s="60" t="str">
        <f t="shared" si="13"/>
        <v/>
      </c>
      <c r="AL170" s="65" t="str">
        <f t="shared" si="14"/>
        <v/>
      </c>
    </row>
    <row r="171" spans="2:38" s="42" customFormat="1" x14ac:dyDescent="0.35">
      <c r="B171" s="55" t="str">
        <f t="shared" si="10"/>
        <v/>
      </c>
      <c r="C171" s="40"/>
      <c r="D171" s="40"/>
      <c r="E171" s="41"/>
      <c r="F171" s="41"/>
      <c r="G171" s="41"/>
      <c r="H171" s="68" t="str">
        <f>IF('E2 — Triagem'!D176="","",'E2 — Triagem'!D176)</f>
        <v/>
      </c>
      <c r="I171" s="71"/>
      <c r="J171" s="41"/>
      <c r="K171" s="41"/>
      <c r="L171" s="71"/>
      <c r="M171" s="71"/>
      <c r="N171" s="71"/>
      <c r="O171" s="71"/>
      <c r="P171" s="41"/>
      <c r="Q171" s="41"/>
      <c r="R171" s="71"/>
      <c r="S171" s="71"/>
      <c r="T171" s="75"/>
      <c r="U171" s="75"/>
      <c r="V171" s="75"/>
      <c r="W171" s="58" t="str">
        <f t="shared" si="11"/>
        <v/>
      </c>
      <c r="X171" s="59" t="str">
        <f t="shared" si="12"/>
        <v/>
      </c>
      <c r="Y171" s="41"/>
      <c r="Z171" s="41"/>
      <c r="AA171" s="41"/>
      <c r="AB171" s="68" t="str">
        <f>IF($B171="","",'Workflow (Tracker)'!L194)</f>
        <v/>
      </c>
      <c r="AC171" s="69" t="str">
        <f>IF($B171="","",'E08 — Estabilização Hypercare'!K176)</f>
        <v/>
      </c>
      <c r="AD171" s="66" t="str">
        <f>IF($B171="","",'E08 — Estabilização Hypercare'!O176)</f>
        <v/>
      </c>
      <c r="AE171" s="66" t="str">
        <f>IF($B171="","",'E08 — Estabilização Hypercare'!Q176)</f>
        <v/>
      </c>
      <c r="AF171" s="66" t="str">
        <f>IF(OR($B171="",'E08 — Estabilização Hypercare'!R176=""),"",'E08 — Estabilização Hypercare'!R176)</f>
        <v/>
      </c>
      <c r="AG171" s="60" t="str">
        <f>IF($B171="","",'E08 — Estabilização Hypercare'!S176)</f>
        <v/>
      </c>
      <c r="AH171" s="61" t="str">
        <f>IF($B171="","",'E08 — Estabilização Hypercare'!T176)</f>
        <v/>
      </c>
      <c r="AI171" s="62" t="str">
        <f>IF($B171="","",'E08 — Estabilização Hypercare'!N176)</f>
        <v/>
      </c>
      <c r="AJ171" s="61" t="str">
        <f>IF(OR($B171="",'E08 — Estabilização Hypercare'!U176=""),"",'E08 — Estabilização Hypercare'!U176)</f>
        <v/>
      </c>
      <c r="AK171" s="60" t="str">
        <f t="shared" si="13"/>
        <v/>
      </c>
      <c r="AL171" s="65" t="str">
        <f t="shared" si="14"/>
        <v/>
      </c>
    </row>
    <row r="172" spans="2:38" s="42" customFormat="1" x14ac:dyDescent="0.35">
      <c r="B172" s="55" t="str">
        <f t="shared" si="10"/>
        <v/>
      </c>
      <c r="C172" s="40"/>
      <c r="D172" s="40"/>
      <c r="E172" s="41"/>
      <c r="F172" s="41"/>
      <c r="G172" s="41"/>
      <c r="H172" s="68" t="str">
        <f>IF('E2 — Triagem'!D177="","",'E2 — Triagem'!D177)</f>
        <v/>
      </c>
      <c r="I172" s="71"/>
      <c r="J172" s="41"/>
      <c r="K172" s="41"/>
      <c r="L172" s="71"/>
      <c r="M172" s="71"/>
      <c r="N172" s="71"/>
      <c r="O172" s="71"/>
      <c r="P172" s="41"/>
      <c r="Q172" s="41"/>
      <c r="R172" s="71"/>
      <c r="S172" s="71"/>
      <c r="T172" s="75"/>
      <c r="U172" s="75"/>
      <c r="V172" s="75"/>
      <c r="W172" s="58" t="str">
        <f t="shared" si="11"/>
        <v/>
      </c>
      <c r="X172" s="59" t="str">
        <f t="shared" si="12"/>
        <v/>
      </c>
      <c r="Y172" s="41"/>
      <c r="Z172" s="41"/>
      <c r="AA172" s="41"/>
      <c r="AB172" s="68" t="str">
        <f>IF($B172="","",'Workflow (Tracker)'!L195)</f>
        <v/>
      </c>
      <c r="AC172" s="69" t="str">
        <f>IF($B172="","",'E08 — Estabilização Hypercare'!K177)</f>
        <v/>
      </c>
      <c r="AD172" s="66" t="str">
        <f>IF($B172="","",'E08 — Estabilização Hypercare'!O177)</f>
        <v/>
      </c>
      <c r="AE172" s="66" t="str">
        <f>IF($B172="","",'E08 — Estabilização Hypercare'!Q177)</f>
        <v/>
      </c>
      <c r="AF172" s="66" t="str">
        <f>IF(OR($B172="",'E08 — Estabilização Hypercare'!R177=""),"",'E08 — Estabilização Hypercare'!R177)</f>
        <v/>
      </c>
      <c r="AG172" s="60" t="str">
        <f>IF($B172="","",'E08 — Estabilização Hypercare'!S177)</f>
        <v/>
      </c>
      <c r="AH172" s="61" t="str">
        <f>IF($B172="","",'E08 — Estabilização Hypercare'!T177)</f>
        <v/>
      </c>
      <c r="AI172" s="62" t="str">
        <f>IF($B172="","",'E08 — Estabilização Hypercare'!N177)</f>
        <v/>
      </c>
      <c r="AJ172" s="61" t="str">
        <f>IF(OR($B172="",'E08 — Estabilização Hypercare'!U177=""),"",'E08 — Estabilização Hypercare'!U177)</f>
        <v/>
      </c>
      <c r="AK172" s="60" t="str">
        <f t="shared" si="13"/>
        <v/>
      </c>
      <c r="AL172" s="65" t="str">
        <f t="shared" si="14"/>
        <v/>
      </c>
    </row>
    <row r="173" spans="2:38" s="42" customFormat="1" x14ac:dyDescent="0.35">
      <c r="B173" s="55" t="str">
        <f t="shared" si="10"/>
        <v/>
      </c>
      <c r="C173" s="40"/>
      <c r="D173" s="40"/>
      <c r="E173" s="41"/>
      <c r="F173" s="41"/>
      <c r="G173" s="41"/>
      <c r="H173" s="68" t="str">
        <f>IF('E2 — Triagem'!D178="","",'E2 — Triagem'!D178)</f>
        <v/>
      </c>
      <c r="I173" s="71"/>
      <c r="J173" s="41"/>
      <c r="K173" s="41"/>
      <c r="L173" s="71"/>
      <c r="M173" s="71"/>
      <c r="N173" s="71"/>
      <c r="O173" s="71"/>
      <c r="P173" s="41"/>
      <c r="Q173" s="41"/>
      <c r="R173" s="71"/>
      <c r="S173" s="71"/>
      <c r="T173" s="75"/>
      <c r="U173" s="75"/>
      <c r="V173" s="75"/>
      <c r="W173" s="58" t="str">
        <f t="shared" si="11"/>
        <v/>
      </c>
      <c r="X173" s="59" t="str">
        <f t="shared" si="12"/>
        <v/>
      </c>
      <c r="Y173" s="41"/>
      <c r="Z173" s="41"/>
      <c r="AA173" s="41"/>
      <c r="AB173" s="68" t="str">
        <f>IF($B173="","",'Workflow (Tracker)'!L196)</f>
        <v/>
      </c>
      <c r="AC173" s="69" t="str">
        <f>IF($B173="","",'E08 — Estabilização Hypercare'!K178)</f>
        <v/>
      </c>
      <c r="AD173" s="66" t="str">
        <f>IF($B173="","",'E08 — Estabilização Hypercare'!O178)</f>
        <v/>
      </c>
      <c r="AE173" s="66" t="str">
        <f>IF($B173="","",'E08 — Estabilização Hypercare'!Q178)</f>
        <v/>
      </c>
      <c r="AF173" s="66" t="str">
        <f>IF(OR($B173="",'E08 — Estabilização Hypercare'!R178=""),"",'E08 — Estabilização Hypercare'!R178)</f>
        <v/>
      </c>
      <c r="AG173" s="60" t="str">
        <f>IF($B173="","",'E08 — Estabilização Hypercare'!S178)</f>
        <v/>
      </c>
      <c r="AH173" s="61" t="str">
        <f>IF($B173="","",'E08 — Estabilização Hypercare'!T178)</f>
        <v/>
      </c>
      <c r="AI173" s="62" t="str">
        <f>IF($B173="","",'E08 — Estabilização Hypercare'!N178)</f>
        <v/>
      </c>
      <c r="AJ173" s="61" t="str">
        <f>IF(OR($B173="",'E08 — Estabilização Hypercare'!U178=""),"",'E08 — Estabilização Hypercare'!U178)</f>
        <v/>
      </c>
      <c r="AK173" s="60" t="str">
        <f t="shared" si="13"/>
        <v/>
      </c>
      <c r="AL173" s="65" t="str">
        <f t="shared" si="14"/>
        <v/>
      </c>
    </row>
    <row r="174" spans="2:38" s="42" customFormat="1" x14ac:dyDescent="0.35">
      <c r="B174" s="55" t="str">
        <f t="shared" si="10"/>
        <v/>
      </c>
      <c r="C174" s="40"/>
      <c r="D174" s="40"/>
      <c r="E174" s="41"/>
      <c r="F174" s="41"/>
      <c r="G174" s="41"/>
      <c r="H174" s="68" t="str">
        <f>IF('E2 — Triagem'!D179="","",'E2 — Triagem'!D179)</f>
        <v/>
      </c>
      <c r="I174" s="71"/>
      <c r="J174" s="41"/>
      <c r="K174" s="41"/>
      <c r="L174" s="71"/>
      <c r="M174" s="71"/>
      <c r="N174" s="71"/>
      <c r="O174" s="71"/>
      <c r="P174" s="41"/>
      <c r="Q174" s="41"/>
      <c r="R174" s="71"/>
      <c r="S174" s="71"/>
      <c r="T174" s="75"/>
      <c r="U174" s="75"/>
      <c r="V174" s="75"/>
      <c r="W174" s="58" t="str">
        <f t="shared" si="11"/>
        <v/>
      </c>
      <c r="X174" s="59" t="str">
        <f t="shared" si="12"/>
        <v/>
      </c>
      <c r="Y174" s="41"/>
      <c r="Z174" s="41"/>
      <c r="AA174" s="41"/>
      <c r="AB174" s="68" t="str">
        <f>IF($B174="","",'Workflow (Tracker)'!L197)</f>
        <v/>
      </c>
      <c r="AC174" s="69" t="str">
        <f>IF($B174="","",'E08 — Estabilização Hypercare'!K179)</f>
        <v/>
      </c>
      <c r="AD174" s="66" t="str">
        <f>IF($B174="","",'E08 — Estabilização Hypercare'!O179)</f>
        <v/>
      </c>
      <c r="AE174" s="66" t="str">
        <f>IF($B174="","",'E08 — Estabilização Hypercare'!Q179)</f>
        <v/>
      </c>
      <c r="AF174" s="66" t="str">
        <f>IF(OR($B174="",'E08 — Estabilização Hypercare'!R179=""),"",'E08 — Estabilização Hypercare'!R179)</f>
        <v/>
      </c>
      <c r="AG174" s="60" t="str">
        <f>IF($B174="","",'E08 — Estabilização Hypercare'!S179)</f>
        <v/>
      </c>
      <c r="AH174" s="61" t="str">
        <f>IF($B174="","",'E08 — Estabilização Hypercare'!T179)</f>
        <v/>
      </c>
      <c r="AI174" s="62" t="str">
        <f>IF($B174="","",'E08 — Estabilização Hypercare'!N179)</f>
        <v/>
      </c>
      <c r="AJ174" s="61" t="str">
        <f>IF(OR($B174="",'E08 — Estabilização Hypercare'!U179=""),"",'E08 — Estabilização Hypercare'!U179)</f>
        <v/>
      </c>
      <c r="AK174" s="60" t="str">
        <f t="shared" si="13"/>
        <v/>
      </c>
      <c r="AL174" s="65" t="str">
        <f t="shared" si="14"/>
        <v/>
      </c>
    </row>
    <row r="175" spans="2:38" s="42" customFormat="1" x14ac:dyDescent="0.35">
      <c r="B175" s="55" t="str">
        <f t="shared" si="10"/>
        <v/>
      </c>
      <c r="C175" s="40"/>
      <c r="D175" s="40"/>
      <c r="E175" s="41"/>
      <c r="F175" s="41"/>
      <c r="G175" s="41"/>
      <c r="H175" s="68" t="str">
        <f>IF('E2 — Triagem'!D180="","",'E2 — Triagem'!D180)</f>
        <v/>
      </c>
      <c r="I175" s="71"/>
      <c r="J175" s="41"/>
      <c r="K175" s="41"/>
      <c r="L175" s="71"/>
      <c r="M175" s="71"/>
      <c r="N175" s="71"/>
      <c r="O175" s="71"/>
      <c r="P175" s="41"/>
      <c r="Q175" s="41"/>
      <c r="R175" s="71"/>
      <c r="S175" s="71"/>
      <c r="T175" s="75"/>
      <c r="U175" s="75"/>
      <c r="V175" s="75"/>
      <c r="W175" s="58" t="str">
        <f t="shared" si="11"/>
        <v/>
      </c>
      <c r="X175" s="59" t="str">
        <f t="shared" si="12"/>
        <v/>
      </c>
      <c r="Y175" s="41"/>
      <c r="Z175" s="41"/>
      <c r="AA175" s="41"/>
      <c r="AB175" s="68" t="str">
        <f>IF($B175="","",'Workflow (Tracker)'!L198)</f>
        <v/>
      </c>
      <c r="AC175" s="69" t="str">
        <f>IF($B175="","",'E08 — Estabilização Hypercare'!K180)</f>
        <v/>
      </c>
      <c r="AD175" s="66" t="str">
        <f>IF($B175="","",'E08 — Estabilização Hypercare'!O180)</f>
        <v/>
      </c>
      <c r="AE175" s="66" t="str">
        <f>IF($B175="","",'E08 — Estabilização Hypercare'!Q180)</f>
        <v/>
      </c>
      <c r="AF175" s="66" t="str">
        <f>IF(OR($B175="",'E08 — Estabilização Hypercare'!R180=""),"",'E08 — Estabilização Hypercare'!R180)</f>
        <v/>
      </c>
      <c r="AG175" s="60" t="str">
        <f>IF($B175="","",'E08 — Estabilização Hypercare'!S180)</f>
        <v/>
      </c>
      <c r="AH175" s="61" t="str">
        <f>IF($B175="","",'E08 — Estabilização Hypercare'!T180)</f>
        <v/>
      </c>
      <c r="AI175" s="62" t="str">
        <f>IF($B175="","",'E08 — Estabilização Hypercare'!N180)</f>
        <v/>
      </c>
      <c r="AJ175" s="61" t="str">
        <f>IF(OR($B175="",'E08 — Estabilização Hypercare'!U180=""),"",'E08 — Estabilização Hypercare'!U180)</f>
        <v/>
      </c>
      <c r="AK175" s="60" t="str">
        <f t="shared" si="13"/>
        <v/>
      </c>
      <c r="AL175" s="65" t="str">
        <f t="shared" si="14"/>
        <v/>
      </c>
    </row>
    <row r="176" spans="2:38" s="42" customFormat="1" x14ac:dyDescent="0.35">
      <c r="B176" s="55" t="str">
        <f t="shared" si="10"/>
        <v/>
      </c>
      <c r="C176" s="40"/>
      <c r="D176" s="40"/>
      <c r="E176" s="41"/>
      <c r="F176" s="41"/>
      <c r="G176" s="41"/>
      <c r="H176" s="68" t="str">
        <f>IF('E2 — Triagem'!D181="","",'E2 — Triagem'!D181)</f>
        <v/>
      </c>
      <c r="I176" s="71"/>
      <c r="J176" s="41"/>
      <c r="K176" s="41"/>
      <c r="L176" s="71"/>
      <c r="M176" s="71"/>
      <c r="N176" s="71"/>
      <c r="O176" s="71"/>
      <c r="P176" s="41"/>
      <c r="Q176" s="41"/>
      <c r="R176" s="71"/>
      <c r="S176" s="71"/>
      <c r="T176" s="75"/>
      <c r="U176" s="75"/>
      <c r="V176" s="75"/>
      <c r="W176" s="58" t="str">
        <f t="shared" si="11"/>
        <v/>
      </c>
      <c r="X176" s="59" t="str">
        <f t="shared" si="12"/>
        <v/>
      </c>
      <c r="Y176" s="41"/>
      <c r="Z176" s="41"/>
      <c r="AA176" s="41"/>
      <c r="AB176" s="68" t="str">
        <f>IF($B176="","",'Workflow (Tracker)'!L199)</f>
        <v/>
      </c>
      <c r="AC176" s="69" t="str">
        <f>IF($B176="","",'E08 — Estabilização Hypercare'!K181)</f>
        <v/>
      </c>
      <c r="AD176" s="66" t="str">
        <f>IF($B176="","",'E08 — Estabilização Hypercare'!O181)</f>
        <v/>
      </c>
      <c r="AE176" s="66" t="str">
        <f>IF($B176="","",'E08 — Estabilização Hypercare'!Q181)</f>
        <v/>
      </c>
      <c r="AF176" s="66" t="str">
        <f>IF(OR($B176="",'E08 — Estabilização Hypercare'!R181=""),"",'E08 — Estabilização Hypercare'!R181)</f>
        <v/>
      </c>
      <c r="AG176" s="60" t="str">
        <f>IF($B176="","",'E08 — Estabilização Hypercare'!S181)</f>
        <v/>
      </c>
      <c r="AH176" s="61" t="str">
        <f>IF($B176="","",'E08 — Estabilização Hypercare'!T181)</f>
        <v/>
      </c>
      <c r="AI176" s="62" t="str">
        <f>IF($B176="","",'E08 — Estabilização Hypercare'!N181)</f>
        <v/>
      </c>
      <c r="AJ176" s="61" t="str">
        <f>IF(OR($B176="",'E08 — Estabilização Hypercare'!U181=""),"",'E08 — Estabilização Hypercare'!U181)</f>
        <v/>
      </c>
      <c r="AK176" s="60" t="str">
        <f t="shared" si="13"/>
        <v/>
      </c>
      <c r="AL176" s="65" t="str">
        <f t="shared" si="14"/>
        <v/>
      </c>
    </row>
    <row r="177" spans="2:38" s="42" customFormat="1" x14ac:dyDescent="0.35">
      <c r="B177" s="55" t="str">
        <f t="shared" si="10"/>
        <v/>
      </c>
      <c r="C177" s="40"/>
      <c r="D177" s="40"/>
      <c r="E177" s="41"/>
      <c r="F177" s="41"/>
      <c r="G177" s="41"/>
      <c r="H177" s="68" t="str">
        <f>IF('E2 — Triagem'!D182="","",'E2 — Triagem'!D182)</f>
        <v/>
      </c>
      <c r="I177" s="71"/>
      <c r="J177" s="41"/>
      <c r="K177" s="41"/>
      <c r="L177" s="71"/>
      <c r="M177" s="71"/>
      <c r="N177" s="71"/>
      <c r="O177" s="71"/>
      <c r="P177" s="41"/>
      <c r="Q177" s="41"/>
      <c r="R177" s="71"/>
      <c r="S177" s="71"/>
      <c r="T177" s="75"/>
      <c r="U177" s="75"/>
      <c r="V177" s="75"/>
      <c r="W177" s="58" t="str">
        <f t="shared" si="11"/>
        <v/>
      </c>
      <c r="X177" s="59" t="str">
        <f t="shared" si="12"/>
        <v/>
      </c>
      <c r="Y177" s="41"/>
      <c r="Z177" s="41"/>
      <c r="AA177" s="41"/>
      <c r="AB177" s="68" t="str">
        <f>IF($B177="","",'Workflow (Tracker)'!L200)</f>
        <v/>
      </c>
      <c r="AC177" s="69" t="str">
        <f>IF($B177="","",'E08 — Estabilização Hypercare'!K182)</f>
        <v/>
      </c>
      <c r="AD177" s="66" t="str">
        <f>IF($B177="","",'E08 — Estabilização Hypercare'!O182)</f>
        <v/>
      </c>
      <c r="AE177" s="66" t="str">
        <f>IF($B177="","",'E08 — Estabilização Hypercare'!Q182)</f>
        <v/>
      </c>
      <c r="AF177" s="66" t="str">
        <f>IF(OR($B177="",'E08 — Estabilização Hypercare'!R182=""),"",'E08 — Estabilização Hypercare'!R182)</f>
        <v/>
      </c>
      <c r="AG177" s="60" t="str">
        <f>IF($B177="","",'E08 — Estabilização Hypercare'!S182)</f>
        <v/>
      </c>
      <c r="AH177" s="61" t="str">
        <f>IF($B177="","",'E08 — Estabilização Hypercare'!T182)</f>
        <v/>
      </c>
      <c r="AI177" s="62" t="str">
        <f>IF($B177="","",'E08 — Estabilização Hypercare'!N182)</f>
        <v/>
      </c>
      <c r="AJ177" s="61" t="str">
        <f>IF(OR($B177="",'E08 — Estabilização Hypercare'!U182=""),"",'E08 — Estabilização Hypercare'!U182)</f>
        <v/>
      </c>
      <c r="AK177" s="60" t="str">
        <f t="shared" si="13"/>
        <v/>
      </c>
      <c r="AL177" s="65" t="str">
        <f t="shared" si="14"/>
        <v/>
      </c>
    </row>
    <row r="178" spans="2:38" s="42" customFormat="1" x14ac:dyDescent="0.35">
      <c r="B178" s="55" t="str">
        <f t="shared" si="10"/>
        <v/>
      </c>
      <c r="C178" s="40"/>
      <c r="D178" s="40"/>
      <c r="E178" s="41"/>
      <c r="F178" s="41"/>
      <c r="G178" s="41"/>
      <c r="H178" s="68" t="str">
        <f>IF('E2 — Triagem'!D183="","",'E2 — Triagem'!D183)</f>
        <v/>
      </c>
      <c r="I178" s="71"/>
      <c r="J178" s="41"/>
      <c r="K178" s="41"/>
      <c r="L178" s="71"/>
      <c r="M178" s="71"/>
      <c r="N178" s="71"/>
      <c r="O178" s="71"/>
      <c r="P178" s="41"/>
      <c r="Q178" s="41"/>
      <c r="R178" s="71"/>
      <c r="S178" s="71"/>
      <c r="T178" s="75"/>
      <c r="U178" s="75"/>
      <c r="V178" s="75"/>
      <c r="W178" s="58" t="str">
        <f t="shared" si="11"/>
        <v/>
      </c>
      <c r="X178" s="59" t="str">
        <f t="shared" si="12"/>
        <v/>
      </c>
      <c r="Y178" s="41"/>
      <c r="Z178" s="41"/>
      <c r="AA178" s="41"/>
      <c r="AB178" s="68" t="str">
        <f>IF($B178="","",'Workflow (Tracker)'!L201)</f>
        <v/>
      </c>
      <c r="AC178" s="69" t="str">
        <f>IF($B178="","",'E08 — Estabilização Hypercare'!K183)</f>
        <v/>
      </c>
      <c r="AD178" s="66" t="str">
        <f>IF($B178="","",'E08 — Estabilização Hypercare'!O183)</f>
        <v/>
      </c>
      <c r="AE178" s="66" t="str">
        <f>IF($B178="","",'E08 — Estabilização Hypercare'!Q183)</f>
        <v/>
      </c>
      <c r="AF178" s="66" t="str">
        <f>IF(OR($B178="",'E08 — Estabilização Hypercare'!R183=""),"",'E08 — Estabilização Hypercare'!R183)</f>
        <v/>
      </c>
      <c r="AG178" s="60" t="str">
        <f>IF($B178="","",'E08 — Estabilização Hypercare'!S183)</f>
        <v/>
      </c>
      <c r="AH178" s="61" t="str">
        <f>IF($B178="","",'E08 — Estabilização Hypercare'!T183)</f>
        <v/>
      </c>
      <c r="AI178" s="62" t="str">
        <f>IF($B178="","",'E08 — Estabilização Hypercare'!N183)</f>
        <v/>
      </c>
      <c r="AJ178" s="61" t="str">
        <f>IF(OR($B178="",'E08 — Estabilização Hypercare'!U183=""),"",'E08 — Estabilização Hypercare'!U183)</f>
        <v/>
      </c>
      <c r="AK178" s="60" t="str">
        <f t="shared" si="13"/>
        <v/>
      </c>
      <c r="AL178" s="65" t="str">
        <f t="shared" si="14"/>
        <v/>
      </c>
    </row>
    <row r="179" spans="2:38" s="42" customFormat="1" x14ac:dyDescent="0.35">
      <c r="B179" s="55" t="str">
        <f t="shared" si="10"/>
        <v/>
      </c>
      <c r="C179" s="40"/>
      <c r="D179" s="40"/>
      <c r="E179" s="41"/>
      <c r="F179" s="41"/>
      <c r="G179" s="41"/>
      <c r="H179" s="68" t="str">
        <f>IF('E2 — Triagem'!D184="","",'E2 — Triagem'!D184)</f>
        <v/>
      </c>
      <c r="I179" s="71"/>
      <c r="J179" s="41"/>
      <c r="K179" s="41"/>
      <c r="L179" s="71"/>
      <c r="M179" s="71"/>
      <c r="N179" s="71"/>
      <c r="O179" s="71"/>
      <c r="P179" s="41"/>
      <c r="Q179" s="41"/>
      <c r="R179" s="71"/>
      <c r="S179" s="71"/>
      <c r="T179" s="75"/>
      <c r="U179" s="75"/>
      <c r="V179" s="75"/>
      <c r="W179" s="58" t="str">
        <f t="shared" si="11"/>
        <v/>
      </c>
      <c r="X179" s="59" t="str">
        <f t="shared" si="12"/>
        <v/>
      </c>
      <c r="Y179" s="41"/>
      <c r="Z179" s="41"/>
      <c r="AA179" s="41"/>
      <c r="AB179" s="68" t="str">
        <f>IF($B179="","",'Workflow (Tracker)'!L202)</f>
        <v/>
      </c>
      <c r="AC179" s="69" t="str">
        <f>IF($B179="","",'E08 — Estabilização Hypercare'!K184)</f>
        <v/>
      </c>
      <c r="AD179" s="66" t="str">
        <f>IF($B179="","",'E08 — Estabilização Hypercare'!O184)</f>
        <v/>
      </c>
      <c r="AE179" s="66" t="str">
        <f>IF($B179="","",'E08 — Estabilização Hypercare'!Q184)</f>
        <v/>
      </c>
      <c r="AF179" s="66" t="str">
        <f>IF(OR($B179="",'E08 — Estabilização Hypercare'!R184=""),"",'E08 — Estabilização Hypercare'!R184)</f>
        <v/>
      </c>
      <c r="AG179" s="60" t="str">
        <f>IF($B179="","",'E08 — Estabilização Hypercare'!S184)</f>
        <v/>
      </c>
      <c r="AH179" s="61" t="str">
        <f>IF($B179="","",'E08 — Estabilização Hypercare'!T184)</f>
        <v/>
      </c>
      <c r="AI179" s="62" t="str">
        <f>IF($B179="","",'E08 — Estabilização Hypercare'!N184)</f>
        <v/>
      </c>
      <c r="AJ179" s="61" t="str">
        <f>IF(OR($B179="",'E08 — Estabilização Hypercare'!U184=""),"",'E08 — Estabilização Hypercare'!U184)</f>
        <v/>
      </c>
      <c r="AK179" s="60" t="str">
        <f t="shared" si="13"/>
        <v/>
      </c>
      <c r="AL179" s="65" t="str">
        <f t="shared" si="14"/>
        <v/>
      </c>
    </row>
    <row r="180" spans="2:38" s="42" customFormat="1" x14ac:dyDescent="0.35">
      <c r="B180" s="55" t="str">
        <f t="shared" si="10"/>
        <v/>
      </c>
      <c r="C180" s="40"/>
      <c r="D180" s="40"/>
      <c r="E180" s="41"/>
      <c r="F180" s="41"/>
      <c r="G180" s="41"/>
      <c r="H180" s="68" t="str">
        <f>IF('E2 — Triagem'!D185="","",'E2 — Triagem'!D185)</f>
        <v/>
      </c>
      <c r="I180" s="71"/>
      <c r="J180" s="41"/>
      <c r="K180" s="41"/>
      <c r="L180" s="71"/>
      <c r="M180" s="71"/>
      <c r="N180" s="71"/>
      <c r="O180" s="71"/>
      <c r="P180" s="41"/>
      <c r="Q180" s="41"/>
      <c r="R180" s="71"/>
      <c r="S180" s="71"/>
      <c r="T180" s="75"/>
      <c r="U180" s="75"/>
      <c r="V180" s="75"/>
      <c r="W180" s="58" t="str">
        <f t="shared" si="11"/>
        <v/>
      </c>
      <c r="X180" s="59" t="str">
        <f t="shared" si="12"/>
        <v/>
      </c>
      <c r="Y180" s="41"/>
      <c r="Z180" s="41"/>
      <c r="AA180" s="41"/>
      <c r="AB180" s="68" t="str">
        <f>IF($B180="","",'Workflow (Tracker)'!L203)</f>
        <v/>
      </c>
      <c r="AC180" s="69" t="str">
        <f>IF($B180="","",'E08 — Estabilização Hypercare'!K185)</f>
        <v/>
      </c>
      <c r="AD180" s="66" t="str">
        <f>IF($B180="","",'E08 — Estabilização Hypercare'!O185)</f>
        <v/>
      </c>
      <c r="AE180" s="66" t="str">
        <f>IF($B180="","",'E08 — Estabilização Hypercare'!Q185)</f>
        <v/>
      </c>
      <c r="AF180" s="66" t="str">
        <f>IF(OR($B180="",'E08 — Estabilização Hypercare'!R185=""),"",'E08 — Estabilização Hypercare'!R185)</f>
        <v/>
      </c>
      <c r="AG180" s="60" t="str">
        <f>IF($B180="","",'E08 — Estabilização Hypercare'!S185)</f>
        <v/>
      </c>
      <c r="AH180" s="61" t="str">
        <f>IF($B180="","",'E08 — Estabilização Hypercare'!T185)</f>
        <v/>
      </c>
      <c r="AI180" s="62" t="str">
        <f>IF($B180="","",'E08 — Estabilização Hypercare'!N185)</f>
        <v/>
      </c>
      <c r="AJ180" s="61" t="str">
        <f>IF(OR($B180="",'E08 — Estabilização Hypercare'!U185=""),"",'E08 — Estabilização Hypercare'!U185)</f>
        <v/>
      </c>
      <c r="AK180" s="60" t="str">
        <f t="shared" si="13"/>
        <v/>
      </c>
      <c r="AL180" s="65" t="str">
        <f t="shared" si="14"/>
        <v/>
      </c>
    </row>
    <row r="181" spans="2:38" s="42" customFormat="1" x14ac:dyDescent="0.35">
      <c r="B181" s="55" t="str">
        <f t="shared" si="10"/>
        <v/>
      </c>
      <c r="C181" s="40"/>
      <c r="D181" s="40"/>
      <c r="E181" s="41"/>
      <c r="F181" s="41"/>
      <c r="G181" s="41"/>
      <c r="H181" s="68" t="str">
        <f>IF('E2 — Triagem'!D186="","",'E2 — Triagem'!D186)</f>
        <v/>
      </c>
      <c r="I181" s="71"/>
      <c r="J181" s="41"/>
      <c r="K181" s="41"/>
      <c r="L181" s="71"/>
      <c r="M181" s="71"/>
      <c r="N181" s="71"/>
      <c r="O181" s="71"/>
      <c r="P181" s="41"/>
      <c r="Q181" s="41"/>
      <c r="R181" s="71"/>
      <c r="S181" s="71"/>
      <c r="T181" s="75"/>
      <c r="U181" s="75"/>
      <c r="V181" s="75"/>
      <c r="W181" s="58" t="str">
        <f t="shared" si="11"/>
        <v/>
      </c>
      <c r="X181" s="59" t="str">
        <f t="shared" si="12"/>
        <v/>
      </c>
      <c r="Y181" s="41"/>
      <c r="Z181" s="41"/>
      <c r="AA181" s="41"/>
      <c r="AB181" s="68" t="str">
        <f>IF($B181="","",'Workflow (Tracker)'!L204)</f>
        <v/>
      </c>
      <c r="AC181" s="69" t="str">
        <f>IF($B181="","",'E08 — Estabilização Hypercare'!K186)</f>
        <v/>
      </c>
      <c r="AD181" s="66" t="str">
        <f>IF($B181="","",'E08 — Estabilização Hypercare'!O186)</f>
        <v/>
      </c>
      <c r="AE181" s="66" t="str">
        <f>IF($B181="","",'E08 — Estabilização Hypercare'!Q186)</f>
        <v/>
      </c>
      <c r="AF181" s="66" t="str">
        <f>IF(OR($B181="",'E08 — Estabilização Hypercare'!R186=""),"",'E08 — Estabilização Hypercare'!R186)</f>
        <v/>
      </c>
      <c r="AG181" s="60" t="str">
        <f>IF($B181="","",'E08 — Estabilização Hypercare'!S186)</f>
        <v/>
      </c>
      <c r="AH181" s="61" t="str">
        <f>IF($B181="","",'E08 — Estabilização Hypercare'!T186)</f>
        <v/>
      </c>
      <c r="AI181" s="62" t="str">
        <f>IF($B181="","",'E08 — Estabilização Hypercare'!N186)</f>
        <v/>
      </c>
      <c r="AJ181" s="61" t="str">
        <f>IF(OR($B181="",'E08 — Estabilização Hypercare'!U186=""),"",'E08 — Estabilização Hypercare'!U186)</f>
        <v/>
      </c>
      <c r="AK181" s="60" t="str">
        <f t="shared" si="13"/>
        <v/>
      </c>
      <c r="AL181" s="65" t="str">
        <f t="shared" si="14"/>
        <v/>
      </c>
    </row>
    <row r="182" spans="2:38" s="42" customFormat="1" x14ac:dyDescent="0.35">
      <c r="B182" s="55" t="str">
        <f t="shared" si="10"/>
        <v/>
      </c>
      <c r="C182" s="40"/>
      <c r="D182" s="40"/>
      <c r="E182" s="41"/>
      <c r="F182" s="41"/>
      <c r="G182" s="41"/>
      <c r="H182" s="68" t="str">
        <f>IF('E2 — Triagem'!D187="","",'E2 — Triagem'!D187)</f>
        <v/>
      </c>
      <c r="I182" s="71"/>
      <c r="J182" s="41"/>
      <c r="K182" s="41"/>
      <c r="L182" s="71"/>
      <c r="M182" s="71"/>
      <c r="N182" s="71"/>
      <c r="O182" s="71"/>
      <c r="P182" s="41"/>
      <c r="Q182" s="41"/>
      <c r="R182" s="71"/>
      <c r="S182" s="71"/>
      <c r="T182" s="75"/>
      <c r="U182" s="75"/>
      <c r="V182" s="75"/>
      <c r="W182" s="58" t="str">
        <f t="shared" si="11"/>
        <v/>
      </c>
      <c r="X182" s="59" t="str">
        <f t="shared" si="12"/>
        <v/>
      </c>
      <c r="Y182" s="41"/>
      <c r="Z182" s="41"/>
      <c r="AA182" s="41"/>
      <c r="AB182" s="68" t="str">
        <f>IF($B182="","",'Workflow (Tracker)'!L205)</f>
        <v/>
      </c>
      <c r="AC182" s="69" t="str">
        <f>IF($B182="","",'E08 — Estabilização Hypercare'!K187)</f>
        <v/>
      </c>
      <c r="AD182" s="66" t="str">
        <f>IF($B182="","",'E08 — Estabilização Hypercare'!O187)</f>
        <v/>
      </c>
      <c r="AE182" s="66" t="str">
        <f>IF($B182="","",'E08 — Estabilização Hypercare'!Q187)</f>
        <v/>
      </c>
      <c r="AF182" s="66" t="str">
        <f>IF(OR($B182="",'E08 — Estabilização Hypercare'!R187=""),"",'E08 — Estabilização Hypercare'!R187)</f>
        <v/>
      </c>
      <c r="AG182" s="60" t="str">
        <f>IF($B182="","",'E08 — Estabilização Hypercare'!S187)</f>
        <v/>
      </c>
      <c r="AH182" s="61" t="str">
        <f>IF($B182="","",'E08 — Estabilização Hypercare'!T187)</f>
        <v/>
      </c>
      <c r="AI182" s="62" t="str">
        <f>IF($B182="","",'E08 — Estabilização Hypercare'!N187)</f>
        <v/>
      </c>
      <c r="AJ182" s="61" t="str">
        <f>IF(OR($B182="",'E08 — Estabilização Hypercare'!U187=""),"",'E08 — Estabilização Hypercare'!U187)</f>
        <v/>
      </c>
      <c r="AK182" s="60" t="str">
        <f t="shared" si="13"/>
        <v/>
      </c>
      <c r="AL182" s="65" t="str">
        <f t="shared" si="14"/>
        <v/>
      </c>
    </row>
    <row r="183" spans="2:38" s="42" customFormat="1" x14ac:dyDescent="0.35">
      <c r="B183" s="55" t="str">
        <f t="shared" si="10"/>
        <v/>
      </c>
      <c r="C183" s="40"/>
      <c r="D183" s="40"/>
      <c r="E183" s="41"/>
      <c r="F183" s="41"/>
      <c r="G183" s="41"/>
      <c r="H183" s="68" t="str">
        <f>IF('E2 — Triagem'!D188="","",'E2 — Triagem'!D188)</f>
        <v/>
      </c>
      <c r="I183" s="71"/>
      <c r="J183" s="41"/>
      <c r="K183" s="41"/>
      <c r="L183" s="71"/>
      <c r="M183" s="71"/>
      <c r="N183" s="71"/>
      <c r="O183" s="71"/>
      <c r="P183" s="41"/>
      <c r="Q183" s="41"/>
      <c r="R183" s="71"/>
      <c r="S183" s="71"/>
      <c r="T183" s="75"/>
      <c r="U183" s="75"/>
      <c r="V183" s="75"/>
      <c r="W183" s="58" t="str">
        <f t="shared" si="11"/>
        <v/>
      </c>
      <c r="X183" s="59" t="str">
        <f t="shared" si="12"/>
        <v/>
      </c>
      <c r="Y183" s="41"/>
      <c r="Z183" s="41"/>
      <c r="AA183" s="41"/>
      <c r="AB183" s="68" t="str">
        <f>IF($B183="","",'Workflow (Tracker)'!L206)</f>
        <v/>
      </c>
      <c r="AC183" s="69" t="str">
        <f>IF($B183="","",'E08 — Estabilização Hypercare'!K188)</f>
        <v/>
      </c>
      <c r="AD183" s="66" t="str">
        <f>IF($B183="","",'E08 — Estabilização Hypercare'!O188)</f>
        <v/>
      </c>
      <c r="AE183" s="66" t="str">
        <f>IF($B183="","",'E08 — Estabilização Hypercare'!Q188)</f>
        <v/>
      </c>
      <c r="AF183" s="66" t="str">
        <f>IF(OR($B183="",'E08 — Estabilização Hypercare'!R188=""),"",'E08 — Estabilização Hypercare'!R188)</f>
        <v/>
      </c>
      <c r="AG183" s="60" t="str">
        <f>IF($B183="","",'E08 — Estabilização Hypercare'!S188)</f>
        <v/>
      </c>
      <c r="AH183" s="61" t="str">
        <f>IF($B183="","",'E08 — Estabilização Hypercare'!T188)</f>
        <v/>
      </c>
      <c r="AI183" s="62" t="str">
        <f>IF($B183="","",'E08 — Estabilização Hypercare'!N188)</f>
        <v/>
      </c>
      <c r="AJ183" s="61" t="str">
        <f>IF(OR($B183="",'E08 — Estabilização Hypercare'!U188=""),"",'E08 — Estabilização Hypercare'!U188)</f>
        <v/>
      </c>
      <c r="AK183" s="60" t="str">
        <f t="shared" si="13"/>
        <v/>
      </c>
      <c r="AL183" s="65" t="str">
        <f t="shared" si="14"/>
        <v/>
      </c>
    </row>
    <row r="184" spans="2:38" s="42" customFormat="1" x14ac:dyDescent="0.35">
      <c r="B184" s="55" t="str">
        <f t="shared" si="10"/>
        <v/>
      </c>
      <c r="C184" s="40"/>
      <c r="D184" s="40"/>
      <c r="E184" s="41"/>
      <c r="F184" s="41"/>
      <c r="G184" s="41"/>
      <c r="H184" s="68" t="str">
        <f>IF('E2 — Triagem'!D189="","",'E2 — Triagem'!D189)</f>
        <v/>
      </c>
      <c r="I184" s="71"/>
      <c r="J184" s="41"/>
      <c r="K184" s="41"/>
      <c r="L184" s="71"/>
      <c r="M184" s="71"/>
      <c r="N184" s="71"/>
      <c r="O184" s="71"/>
      <c r="P184" s="41"/>
      <c r="Q184" s="41"/>
      <c r="R184" s="71"/>
      <c r="S184" s="71"/>
      <c r="T184" s="75"/>
      <c r="U184" s="75"/>
      <c r="V184" s="75"/>
      <c r="W184" s="58" t="str">
        <f t="shared" si="11"/>
        <v/>
      </c>
      <c r="X184" s="59" t="str">
        <f t="shared" si="12"/>
        <v/>
      </c>
      <c r="Y184" s="41"/>
      <c r="Z184" s="41"/>
      <c r="AA184" s="41"/>
      <c r="AB184" s="68" t="str">
        <f>IF($B184="","",'Workflow (Tracker)'!L207)</f>
        <v/>
      </c>
      <c r="AC184" s="69" t="str">
        <f>IF($B184="","",'E08 — Estabilização Hypercare'!K189)</f>
        <v/>
      </c>
      <c r="AD184" s="66" t="str">
        <f>IF($B184="","",'E08 — Estabilização Hypercare'!O189)</f>
        <v/>
      </c>
      <c r="AE184" s="66" t="str">
        <f>IF($B184="","",'E08 — Estabilização Hypercare'!Q189)</f>
        <v/>
      </c>
      <c r="AF184" s="66" t="str">
        <f>IF(OR($B184="",'E08 — Estabilização Hypercare'!R189=""),"",'E08 — Estabilização Hypercare'!R189)</f>
        <v/>
      </c>
      <c r="AG184" s="60" t="str">
        <f>IF($B184="","",'E08 — Estabilização Hypercare'!S189)</f>
        <v/>
      </c>
      <c r="AH184" s="61" t="str">
        <f>IF($B184="","",'E08 — Estabilização Hypercare'!T189)</f>
        <v/>
      </c>
      <c r="AI184" s="62" t="str">
        <f>IF($B184="","",'E08 — Estabilização Hypercare'!N189)</f>
        <v/>
      </c>
      <c r="AJ184" s="61" t="str">
        <f>IF(OR($B184="",'E08 — Estabilização Hypercare'!U189=""),"",'E08 — Estabilização Hypercare'!U189)</f>
        <v/>
      </c>
      <c r="AK184" s="60" t="str">
        <f t="shared" si="13"/>
        <v/>
      </c>
      <c r="AL184" s="65" t="str">
        <f t="shared" si="14"/>
        <v/>
      </c>
    </row>
    <row r="185" spans="2:38" s="42" customFormat="1" x14ac:dyDescent="0.35">
      <c r="B185" s="55" t="str">
        <f t="shared" si="10"/>
        <v/>
      </c>
      <c r="C185" s="40"/>
      <c r="D185" s="40"/>
      <c r="E185" s="41"/>
      <c r="F185" s="41"/>
      <c r="G185" s="41"/>
      <c r="H185" s="68" t="str">
        <f>IF('E2 — Triagem'!D190="","",'E2 — Triagem'!D190)</f>
        <v/>
      </c>
      <c r="I185" s="71"/>
      <c r="J185" s="41"/>
      <c r="K185" s="41"/>
      <c r="L185" s="71"/>
      <c r="M185" s="71"/>
      <c r="N185" s="71"/>
      <c r="O185" s="71"/>
      <c r="P185" s="41"/>
      <c r="Q185" s="41"/>
      <c r="R185" s="71"/>
      <c r="S185" s="71"/>
      <c r="T185" s="75"/>
      <c r="U185" s="75"/>
      <c r="V185" s="75"/>
      <c r="W185" s="58" t="str">
        <f t="shared" si="11"/>
        <v/>
      </c>
      <c r="X185" s="59" t="str">
        <f t="shared" si="12"/>
        <v/>
      </c>
      <c r="Y185" s="41"/>
      <c r="Z185" s="41"/>
      <c r="AA185" s="41"/>
      <c r="AB185" s="68" t="str">
        <f>IF($B185="","",'Workflow (Tracker)'!L208)</f>
        <v/>
      </c>
      <c r="AC185" s="69" t="str">
        <f>IF($B185="","",'E08 — Estabilização Hypercare'!K190)</f>
        <v/>
      </c>
      <c r="AD185" s="66" t="str">
        <f>IF($B185="","",'E08 — Estabilização Hypercare'!O190)</f>
        <v/>
      </c>
      <c r="AE185" s="66" t="str">
        <f>IF($B185="","",'E08 — Estabilização Hypercare'!Q190)</f>
        <v/>
      </c>
      <c r="AF185" s="66" t="str">
        <f>IF(OR($B185="",'E08 — Estabilização Hypercare'!R190=""),"",'E08 — Estabilização Hypercare'!R190)</f>
        <v/>
      </c>
      <c r="AG185" s="60" t="str">
        <f>IF($B185="","",'E08 — Estabilização Hypercare'!S190)</f>
        <v/>
      </c>
      <c r="AH185" s="61" t="str">
        <f>IF($B185="","",'E08 — Estabilização Hypercare'!T190)</f>
        <v/>
      </c>
      <c r="AI185" s="62" t="str">
        <f>IF($B185="","",'E08 — Estabilização Hypercare'!N190)</f>
        <v/>
      </c>
      <c r="AJ185" s="61" t="str">
        <f>IF(OR($B185="",'E08 — Estabilização Hypercare'!U190=""),"",'E08 — Estabilização Hypercare'!U190)</f>
        <v/>
      </c>
      <c r="AK185" s="60" t="str">
        <f t="shared" si="13"/>
        <v/>
      </c>
      <c r="AL185" s="65" t="str">
        <f t="shared" si="14"/>
        <v/>
      </c>
    </row>
    <row r="186" spans="2:38" s="42" customFormat="1" x14ac:dyDescent="0.35">
      <c r="B186" s="55" t="str">
        <f t="shared" si="10"/>
        <v/>
      </c>
      <c r="C186" s="40"/>
      <c r="D186" s="40"/>
      <c r="E186" s="41"/>
      <c r="F186" s="41"/>
      <c r="G186" s="41"/>
      <c r="H186" s="68" t="str">
        <f>IF('E2 — Triagem'!D191="","",'E2 — Triagem'!D191)</f>
        <v/>
      </c>
      <c r="I186" s="71"/>
      <c r="J186" s="41"/>
      <c r="K186" s="41"/>
      <c r="L186" s="71"/>
      <c r="M186" s="71"/>
      <c r="N186" s="71"/>
      <c r="O186" s="71"/>
      <c r="P186" s="41"/>
      <c r="Q186" s="41"/>
      <c r="R186" s="71"/>
      <c r="S186" s="71"/>
      <c r="T186" s="75"/>
      <c r="U186" s="75"/>
      <c r="V186" s="75"/>
      <c r="W186" s="58" t="str">
        <f t="shared" si="11"/>
        <v/>
      </c>
      <c r="X186" s="59" t="str">
        <f t="shared" si="12"/>
        <v/>
      </c>
      <c r="Y186" s="41"/>
      <c r="Z186" s="41"/>
      <c r="AA186" s="41"/>
      <c r="AB186" s="68" t="str">
        <f>IF($B186="","",'Workflow (Tracker)'!L209)</f>
        <v/>
      </c>
      <c r="AC186" s="69" t="str">
        <f>IF($B186="","",'E08 — Estabilização Hypercare'!K191)</f>
        <v/>
      </c>
      <c r="AD186" s="66" t="str">
        <f>IF($B186="","",'E08 — Estabilização Hypercare'!O191)</f>
        <v/>
      </c>
      <c r="AE186" s="66" t="str">
        <f>IF($B186="","",'E08 — Estabilização Hypercare'!Q191)</f>
        <v/>
      </c>
      <c r="AF186" s="66" t="str">
        <f>IF(OR($B186="",'E08 — Estabilização Hypercare'!R191=""),"",'E08 — Estabilização Hypercare'!R191)</f>
        <v/>
      </c>
      <c r="AG186" s="60" t="str">
        <f>IF($B186="","",'E08 — Estabilização Hypercare'!S191)</f>
        <v/>
      </c>
      <c r="AH186" s="61" t="str">
        <f>IF($B186="","",'E08 — Estabilização Hypercare'!T191)</f>
        <v/>
      </c>
      <c r="AI186" s="62" t="str">
        <f>IF($B186="","",'E08 — Estabilização Hypercare'!N191)</f>
        <v/>
      </c>
      <c r="AJ186" s="61" t="str">
        <f>IF(OR($B186="",'E08 — Estabilização Hypercare'!U191=""),"",'E08 — Estabilização Hypercare'!U191)</f>
        <v/>
      </c>
      <c r="AK186" s="60" t="str">
        <f t="shared" si="13"/>
        <v/>
      </c>
      <c r="AL186" s="65" t="str">
        <f t="shared" si="14"/>
        <v/>
      </c>
    </row>
    <row r="187" spans="2:38" s="42" customFormat="1" x14ac:dyDescent="0.35">
      <c r="B187" s="55" t="str">
        <f t="shared" si="10"/>
        <v/>
      </c>
      <c r="C187" s="40"/>
      <c r="D187" s="40"/>
      <c r="E187" s="41"/>
      <c r="F187" s="41"/>
      <c r="G187" s="41"/>
      <c r="H187" s="68" t="str">
        <f>IF('E2 — Triagem'!D192="","",'E2 — Triagem'!D192)</f>
        <v/>
      </c>
      <c r="I187" s="71"/>
      <c r="J187" s="41"/>
      <c r="K187" s="41"/>
      <c r="L187" s="71"/>
      <c r="M187" s="71"/>
      <c r="N187" s="71"/>
      <c r="O187" s="71"/>
      <c r="P187" s="41"/>
      <c r="Q187" s="41"/>
      <c r="R187" s="71"/>
      <c r="S187" s="71"/>
      <c r="T187" s="75"/>
      <c r="U187" s="75"/>
      <c r="V187" s="75"/>
      <c r="W187" s="58" t="str">
        <f t="shared" si="11"/>
        <v/>
      </c>
      <c r="X187" s="59" t="str">
        <f t="shared" si="12"/>
        <v/>
      </c>
      <c r="Y187" s="41"/>
      <c r="Z187" s="41"/>
      <c r="AA187" s="41"/>
      <c r="AB187" s="68" t="str">
        <f>IF($B187="","",'Workflow (Tracker)'!L210)</f>
        <v/>
      </c>
      <c r="AC187" s="69" t="str">
        <f>IF($B187="","",'E08 — Estabilização Hypercare'!K192)</f>
        <v/>
      </c>
      <c r="AD187" s="66" t="str">
        <f>IF($B187="","",'E08 — Estabilização Hypercare'!O192)</f>
        <v/>
      </c>
      <c r="AE187" s="66" t="str">
        <f>IF($B187="","",'E08 — Estabilização Hypercare'!Q192)</f>
        <v/>
      </c>
      <c r="AF187" s="66" t="str">
        <f>IF(OR($B187="",'E08 — Estabilização Hypercare'!R192=""),"",'E08 — Estabilização Hypercare'!R192)</f>
        <v/>
      </c>
      <c r="AG187" s="60" t="str">
        <f>IF($B187="","",'E08 — Estabilização Hypercare'!S192)</f>
        <v/>
      </c>
      <c r="AH187" s="61" t="str">
        <f>IF($B187="","",'E08 — Estabilização Hypercare'!T192)</f>
        <v/>
      </c>
      <c r="AI187" s="62" t="str">
        <f>IF($B187="","",'E08 — Estabilização Hypercare'!N192)</f>
        <v/>
      </c>
      <c r="AJ187" s="61" t="str">
        <f>IF(OR($B187="",'E08 — Estabilização Hypercare'!U192=""),"",'E08 — Estabilização Hypercare'!U192)</f>
        <v/>
      </c>
      <c r="AK187" s="60" t="str">
        <f t="shared" si="13"/>
        <v/>
      </c>
      <c r="AL187" s="65" t="str">
        <f t="shared" si="14"/>
        <v/>
      </c>
    </row>
    <row r="188" spans="2:38" s="42" customFormat="1" x14ac:dyDescent="0.35">
      <c r="B188" s="55" t="str">
        <f t="shared" si="10"/>
        <v/>
      </c>
      <c r="C188" s="40"/>
      <c r="D188" s="40"/>
      <c r="E188" s="41"/>
      <c r="F188" s="41"/>
      <c r="G188" s="41"/>
      <c r="H188" s="68" t="str">
        <f>IF('E2 — Triagem'!D193="","",'E2 — Triagem'!D193)</f>
        <v/>
      </c>
      <c r="I188" s="71"/>
      <c r="J188" s="41"/>
      <c r="K188" s="41"/>
      <c r="L188" s="71"/>
      <c r="M188" s="71"/>
      <c r="N188" s="71"/>
      <c r="O188" s="71"/>
      <c r="P188" s="41"/>
      <c r="Q188" s="41"/>
      <c r="R188" s="71"/>
      <c r="S188" s="71"/>
      <c r="T188" s="75"/>
      <c r="U188" s="75"/>
      <c r="V188" s="75"/>
      <c r="W188" s="58" t="str">
        <f t="shared" si="11"/>
        <v/>
      </c>
      <c r="X188" s="59" t="str">
        <f t="shared" si="12"/>
        <v/>
      </c>
      <c r="Y188" s="41"/>
      <c r="Z188" s="41"/>
      <c r="AA188" s="41"/>
      <c r="AB188" s="68" t="str">
        <f>IF($B188="","",'Workflow (Tracker)'!L211)</f>
        <v/>
      </c>
      <c r="AC188" s="69" t="str">
        <f>IF($B188="","",'E08 — Estabilização Hypercare'!K193)</f>
        <v/>
      </c>
      <c r="AD188" s="66" t="str">
        <f>IF($B188="","",'E08 — Estabilização Hypercare'!O193)</f>
        <v/>
      </c>
      <c r="AE188" s="66" t="str">
        <f>IF($B188="","",'E08 — Estabilização Hypercare'!Q193)</f>
        <v/>
      </c>
      <c r="AF188" s="66" t="str">
        <f>IF(OR($B188="",'E08 — Estabilização Hypercare'!R193=""),"",'E08 — Estabilização Hypercare'!R193)</f>
        <v/>
      </c>
      <c r="AG188" s="60" t="str">
        <f>IF($B188="","",'E08 — Estabilização Hypercare'!S193)</f>
        <v/>
      </c>
      <c r="AH188" s="61" t="str">
        <f>IF($B188="","",'E08 — Estabilização Hypercare'!T193)</f>
        <v/>
      </c>
      <c r="AI188" s="62" t="str">
        <f>IF($B188="","",'E08 — Estabilização Hypercare'!N193)</f>
        <v/>
      </c>
      <c r="AJ188" s="61" t="str">
        <f>IF(OR($B188="",'E08 — Estabilização Hypercare'!U193=""),"",'E08 — Estabilização Hypercare'!U193)</f>
        <v/>
      </c>
      <c r="AK188" s="60" t="str">
        <f t="shared" si="13"/>
        <v/>
      </c>
      <c r="AL188" s="65" t="str">
        <f t="shared" si="14"/>
        <v/>
      </c>
    </row>
    <row r="189" spans="2:38" s="42" customFormat="1" x14ac:dyDescent="0.35">
      <c r="B189" s="55" t="str">
        <f t="shared" si="10"/>
        <v/>
      </c>
      <c r="C189" s="40"/>
      <c r="D189" s="40"/>
      <c r="E189" s="41"/>
      <c r="F189" s="41"/>
      <c r="G189" s="41"/>
      <c r="H189" s="68" t="str">
        <f>IF('E2 — Triagem'!D194="","",'E2 — Triagem'!D194)</f>
        <v/>
      </c>
      <c r="I189" s="71"/>
      <c r="J189" s="41"/>
      <c r="K189" s="41"/>
      <c r="L189" s="71"/>
      <c r="M189" s="71"/>
      <c r="N189" s="71"/>
      <c r="O189" s="71"/>
      <c r="P189" s="41"/>
      <c r="Q189" s="41"/>
      <c r="R189" s="71"/>
      <c r="S189" s="71"/>
      <c r="T189" s="75"/>
      <c r="U189" s="75"/>
      <c r="V189" s="75"/>
      <c r="W189" s="58" t="str">
        <f t="shared" si="11"/>
        <v/>
      </c>
      <c r="X189" s="59" t="str">
        <f t="shared" si="12"/>
        <v/>
      </c>
      <c r="Y189" s="41"/>
      <c r="Z189" s="41"/>
      <c r="AA189" s="41"/>
      <c r="AB189" s="68" t="str">
        <f>IF($B189="","",'Workflow (Tracker)'!L212)</f>
        <v/>
      </c>
      <c r="AC189" s="69" t="str">
        <f>IF($B189="","",'E08 — Estabilização Hypercare'!K194)</f>
        <v/>
      </c>
      <c r="AD189" s="66" t="str">
        <f>IF($B189="","",'E08 — Estabilização Hypercare'!O194)</f>
        <v/>
      </c>
      <c r="AE189" s="66" t="str">
        <f>IF($B189="","",'E08 — Estabilização Hypercare'!Q194)</f>
        <v/>
      </c>
      <c r="AF189" s="66" t="str">
        <f>IF(OR($B189="",'E08 — Estabilização Hypercare'!R194=""),"",'E08 — Estabilização Hypercare'!R194)</f>
        <v/>
      </c>
      <c r="AG189" s="60" t="str">
        <f>IF($B189="","",'E08 — Estabilização Hypercare'!S194)</f>
        <v/>
      </c>
      <c r="AH189" s="61" t="str">
        <f>IF($B189="","",'E08 — Estabilização Hypercare'!T194)</f>
        <v/>
      </c>
      <c r="AI189" s="62" t="str">
        <f>IF($B189="","",'E08 — Estabilização Hypercare'!N194)</f>
        <v/>
      </c>
      <c r="AJ189" s="61" t="str">
        <f>IF(OR($B189="",'E08 — Estabilização Hypercare'!U194=""),"",'E08 — Estabilização Hypercare'!U194)</f>
        <v/>
      </c>
      <c r="AK189" s="60" t="str">
        <f t="shared" si="13"/>
        <v/>
      </c>
      <c r="AL189" s="65" t="str">
        <f t="shared" si="14"/>
        <v/>
      </c>
    </row>
    <row r="190" spans="2:38" s="42" customFormat="1" x14ac:dyDescent="0.35">
      <c r="B190" s="55" t="str">
        <f t="shared" si="10"/>
        <v/>
      </c>
      <c r="C190" s="40"/>
      <c r="D190" s="40"/>
      <c r="E190" s="41"/>
      <c r="F190" s="41"/>
      <c r="G190" s="41"/>
      <c r="H190" s="68" t="str">
        <f>IF('E2 — Triagem'!D195="","",'E2 — Triagem'!D195)</f>
        <v/>
      </c>
      <c r="I190" s="71"/>
      <c r="J190" s="41"/>
      <c r="K190" s="41"/>
      <c r="L190" s="71"/>
      <c r="M190" s="71"/>
      <c r="N190" s="71"/>
      <c r="O190" s="71"/>
      <c r="P190" s="41"/>
      <c r="Q190" s="41"/>
      <c r="R190" s="71"/>
      <c r="S190" s="71"/>
      <c r="T190" s="75"/>
      <c r="U190" s="75"/>
      <c r="V190" s="75"/>
      <c r="W190" s="58" t="str">
        <f t="shared" si="11"/>
        <v/>
      </c>
      <c r="X190" s="59" t="str">
        <f t="shared" si="12"/>
        <v/>
      </c>
      <c r="Y190" s="41"/>
      <c r="Z190" s="41"/>
      <c r="AA190" s="41"/>
      <c r="AB190" s="68" t="str">
        <f>IF($B190="","",'Workflow (Tracker)'!L213)</f>
        <v/>
      </c>
      <c r="AC190" s="69" t="str">
        <f>IF($B190="","",'E08 — Estabilização Hypercare'!K195)</f>
        <v/>
      </c>
      <c r="AD190" s="66" t="str">
        <f>IF($B190="","",'E08 — Estabilização Hypercare'!O195)</f>
        <v/>
      </c>
      <c r="AE190" s="66" t="str">
        <f>IF($B190="","",'E08 — Estabilização Hypercare'!Q195)</f>
        <v/>
      </c>
      <c r="AF190" s="66" t="str">
        <f>IF(OR($B190="",'E08 — Estabilização Hypercare'!R195=""),"",'E08 — Estabilização Hypercare'!R195)</f>
        <v/>
      </c>
      <c r="AG190" s="60" t="str">
        <f>IF($B190="","",'E08 — Estabilização Hypercare'!S195)</f>
        <v/>
      </c>
      <c r="AH190" s="61" t="str">
        <f>IF($B190="","",'E08 — Estabilização Hypercare'!T195)</f>
        <v/>
      </c>
      <c r="AI190" s="62" t="str">
        <f>IF($B190="","",'E08 — Estabilização Hypercare'!N195)</f>
        <v/>
      </c>
      <c r="AJ190" s="61" t="str">
        <f>IF(OR($B190="",'E08 — Estabilização Hypercare'!U195=""),"",'E08 — Estabilização Hypercare'!U195)</f>
        <v/>
      </c>
      <c r="AK190" s="60" t="str">
        <f t="shared" si="13"/>
        <v/>
      </c>
      <c r="AL190" s="65" t="str">
        <f t="shared" si="14"/>
        <v/>
      </c>
    </row>
    <row r="191" spans="2:38" s="42" customFormat="1" x14ac:dyDescent="0.35">
      <c r="B191" s="55" t="str">
        <f t="shared" si="10"/>
        <v/>
      </c>
      <c r="C191" s="40"/>
      <c r="D191" s="40"/>
      <c r="E191" s="41"/>
      <c r="F191" s="41"/>
      <c r="G191" s="41"/>
      <c r="H191" s="68" t="str">
        <f>IF('E2 — Triagem'!D196="","",'E2 — Triagem'!D196)</f>
        <v/>
      </c>
      <c r="I191" s="71"/>
      <c r="J191" s="41"/>
      <c r="K191" s="41"/>
      <c r="L191" s="71"/>
      <c r="M191" s="71"/>
      <c r="N191" s="71"/>
      <c r="O191" s="71"/>
      <c r="P191" s="41"/>
      <c r="Q191" s="41"/>
      <c r="R191" s="71"/>
      <c r="S191" s="71"/>
      <c r="T191" s="75"/>
      <c r="U191" s="75"/>
      <c r="V191" s="75"/>
      <c r="W191" s="58" t="str">
        <f t="shared" si="11"/>
        <v/>
      </c>
      <c r="X191" s="59" t="str">
        <f t="shared" si="12"/>
        <v/>
      </c>
      <c r="Y191" s="41"/>
      <c r="Z191" s="41"/>
      <c r="AA191" s="41"/>
      <c r="AB191" s="68" t="str">
        <f>IF($B191="","",'Workflow (Tracker)'!L214)</f>
        <v/>
      </c>
      <c r="AC191" s="69" t="str">
        <f>IF($B191="","",'E08 — Estabilização Hypercare'!K196)</f>
        <v/>
      </c>
      <c r="AD191" s="66" t="str">
        <f>IF($B191="","",'E08 — Estabilização Hypercare'!O196)</f>
        <v/>
      </c>
      <c r="AE191" s="66" t="str">
        <f>IF($B191="","",'E08 — Estabilização Hypercare'!Q196)</f>
        <v/>
      </c>
      <c r="AF191" s="66" t="str">
        <f>IF(OR($B191="",'E08 — Estabilização Hypercare'!R196=""),"",'E08 — Estabilização Hypercare'!R196)</f>
        <v/>
      </c>
      <c r="AG191" s="60" t="str">
        <f>IF($B191="","",'E08 — Estabilização Hypercare'!S196)</f>
        <v/>
      </c>
      <c r="AH191" s="61" t="str">
        <f>IF($B191="","",'E08 — Estabilização Hypercare'!T196)</f>
        <v/>
      </c>
      <c r="AI191" s="62" t="str">
        <f>IF($B191="","",'E08 — Estabilização Hypercare'!N196)</f>
        <v/>
      </c>
      <c r="AJ191" s="61" t="str">
        <f>IF(OR($B191="",'E08 — Estabilização Hypercare'!U196=""),"",'E08 — Estabilização Hypercare'!U196)</f>
        <v/>
      </c>
      <c r="AK191" s="60" t="str">
        <f t="shared" si="13"/>
        <v/>
      </c>
      <c r="AL191" s="65" t="str">
        <f t="shared" si="14"/>
        <v/>
      </c>
    </row>
    <row r="192" spans="2:38" s="42" customFormat="1" x14ac:dyDescent="0.35">
      <c r="B192" s="55" t="str">
        <f t="shared" si="10"/>
        <v/>
      </c>
      <c r="C192" s="40"/>
      <c r="D192" s="40"/>
      <c r="E192" s="41"/>
      <c r="F192" s="41"/>
      <c r="G192" s="41"/>
      <c r="H192" s="68" t="str">
        <f>IF('E2 — Triagem'!D197="","",'E2 — Triagem'!D197)</f>
        <v/>
      </c>
      <c r="I192" s="71"/>
      <c r="J192" s="41"/>
      <c r="K192" s="41"/>
      <c r="L192" s="71"/>
      <c r="M192" s="71"/>
      <c r="N192" s="71"/>
      <c r="O192" s="71"/>
      <c r="P192" s="41"/>
      <c r="Q192" s="41"/>
      <c r="R192" s="71"/>
      <c r="S192" s="71"/>
      <c r="T192" s="75"/>
      <c r="U192" s="75"/>
      <c r="V192" s="75"/>
      <c r="W192" s="58" t="str">
        <f t="shared" si="11"/>
        <v/>
      </c>
      <c r="X192" s="59" t="str">
        <f t="shared" si="12"/>
        <v/>
      </c>
      <c r="Y192" s="41"/>
      <c r="Z192" s="41"/>
      <c r="AA192" s="41"/>
      <c r="AB192" s="68" t="str">
        <f>IF($B192="","",'Workflow (Tracker)'!L215)</f>
        <v/>
      </c>
      <c r="AC192" s="69" t="str">
        <f>IF($B192="","",'E08 — Estabilização Hypercare'!K197)</f>
        <v/>
      </c>
      <c r="AD192" s="66" t="str">
        <f>IF($B192="","",'E08 — Estabilização Hypercare'!O197)</f>
        <v/>
      </c>
      <c r="AE192" s="66" t="str">
        <f>IF($B192="","",'E08 — Estabilização Hypercare'!Q197)</f>
        <v/>
      </c>
      <c r="AF192" s="66" t="str">
        <f>IF(OR($B192="",'E08 — Estabilização Hypercare'!R197=""),"",'E08 — Estabilização Hypercare'!R197)</f>
        <v/>
      </c>
      <c r="AG192" s="60" t="str">
        <f>IF($B192="","",'E08 — Estabilização Hypercare'!S197)</f>
        <v/>
      </c>
      <c r="AH192" s="61" t="str">
        <f>IF($B192="","",'E08 — Estabilização Hypercare'!T197)</f>
        <v/>
      </c>
      <c r="AI192" s="62" t="str">
        <f>IF($B192="","",'E08 — Estabilização Hypercare'!N197)</f>
        <v/>
      </c>
      <c r="AJ192" s="61" t="str">
        <f>IF(OR($B192="",'E08 — Estabilização Hypercare'!U197=""),"",'E08 — Estabilização Hypercare'!U197)</f>
        <v/>
      </c>
      <c r="AK192" s="60" t="str">
        <f t="shared" si="13"/>
        <v/>
      </c>
      <c r="AL192" s="65" t="str">
        <f t="shared" si="14"/>
        <v/>
      </c>
    </row>
    <row r="193" spans="2:38" s="42" customFormat="1" x14ac:dyDescent="0.35">
      <c r="B193" s="55" t="str">
        <f t="shared" si="10"/>
        <v/>
      </c>
      <c r="C193" s="40"/>
      <c r="D193" s="40"/>
      <c r="E193" s="41"/>
      <c r="F193" s="41"/>
      <c r="G193" s="41"/>
      <c r="H193" s="68" t="str">
        <f>IF('E2 — Triagem'!D198="","",'E2 — Triagem'!D198)</f>
        <v/>
      </c>
      <c r="I193" s="71"/>
      <c r="J193" s="41"/>
      <c r="K193" s="41"/>
      <c r="L193" s="71"/>
      <c r="M193" s="71"/>
      <c r="N193" s="71"/>
      <c r="O193" s="71"/>
      <c r="P193" s="41"/>
      <c r="Q193" s="41"/>
      <c r="R193" s="71"/>
      <c r="S193" s="71"/>
      <c r="T193" s="75"/>
      <c r="U193" s="75"/>
      <c r="V193" s="75"/>
      <c r="W193" s="58" t="str">
        <f t="shared" si="11"/>
        <v/>
      </c>
      <c r="X193" s="59" t="str">
        <f t="shared" si="12"/>
        <v/>
      </c>
      <c r="Y193" s="41"/>
      <c r="Z193" s="41"/>
      <c r="AA193" s="41"/>
      <c r="AB193" s="68" t="str">
        <f>IF($B193="","",'Workflow (Tracker)'!L216)</f>
        <v/>
      </c>
      <c r="AC193" s="69" t="str">
        <f>IF($B193="","",'E08 — Estabilização Hypercare'!K198)</f>
        <v/>
      </c>
      <c r="AD193" s="66" t="str">
        <f>IF($B193="","",'E08 — Estabilização Hypercare'!O198)</f>
        <v/>
      </c>
      <c r="AE193" s="66" t="str">
        <f>IF($B193="","",'E08 — Estabilização Hypercare'!Q198)</f>
        <v/>
      </c>
      <c r="AF193" s="66" t="str">
        <f>IF(OR($B193="",'E08 — Estabilização Hypercare'!R198=""),"",'E08 — Estabilização Hypercare'!R198)</f>
        <v/>
      </c>
      <c r="AG193" s="60" t="str">
        <f>IF($B193="","",'E08 — Estabilização Hypercare'!S198)</f>
        <v/>
      </c>
      <c r="AH193" s="61" t="str">
        <f>IF($B193="","",'E08 — Estabilização Hypercare'!T198)</f>
        <v/>
      </c>
      <c r="AI193" s="62" t="str">
        <f>IF($B193="","",'E08 — Estabilização Hypercare'!N198)</f>
        <v/>
      </c>
      <c r="AJ193" s="61" t="str">
        <f>IF(OR($B193="",'E08 — Estabilização Hypercare'!U198=""),"",'E08 — Estabilização Hypercare'!U198)</f>
        <v/>
      </c>
      <c r="AK193" s="60" t="str">
        <f t="shared" si="13"/>
        <v/>
      </c>
      <c r="AL193" s="65" t="str">
        <f t="shared" si="14"/>
        <v/>
      </c>
    </row>
    <row r="194" spans="2:38" s="42" customFormat="1" x14ac:dyDescent="0.35">
      <c r="B194" s="55" t="str">
        <f t="shared" si="10"/>
        <v/>
      </c>
      <c r="C194" s="40"/>
      <c r="D194" s="40"/>
      <c r="E194" s="41"/>
      <c r="F194" s="41"/>
      <c r="G194" s="41"/>
      <c r="H194" s="68" t="str">
        <f>IF('E2 — Triagem'!D199="","",'E2 — Triagem'!D199)</f>
        <v/>
      </c>
      <c r="I194" s="71"/>
      <c r="J194" s="41"/>
      <c r="K194" s="41"/>
      <c r="L194" s="71"/>
      <c r="M194" s="71"/>
      <c r="N194" s="71"/>
      <c r="O194" s="71"/>
      <c r="P194" s="41"/>
      <c r="Q194" s="41"/>
      <c r="R194" s="71"/>
      <c r="S194" s="71"/>
      <c r="T194" s="75"/>
      <c r="U194" s="75"/>
      <c r="V194" s="75"/>
      <c r="W194" s="58" t="str">
        <f t="shared" si="11"/>
        <v/>
      </c>
      <c r="X194" s="59" t="str">
        <f t="shared" si="12"/>
        <v/>
      </c>
      <c r="Y194" s="41"/>
      <c r="Z194" s="41"/>
      <c r="AA194" s="41"/>
      <c r="AB194" s="68" t="str">
        <f>IF($B194="","",'Workflow (Tracker)'!L217)</f>
        <v/>
      </c>
      <c r="AC194" s="69" t="str">
        <f>IF($B194="","",'E08 — Estabilização Hypercare'!K199)</f>
        <v/>
      </c>
      <c r="AD194" s="66" t="str">
        <f>IF($B194="","",'E08 — Estabilização Hypercare'!O199)</f>
        <v/>
      </c>
      <c r="AE194" s="66" t="str">
        <f>IF($B194="","",'E08 — Estabilização Hypercare'!Q199)</f>
        <v/>
      </c>
      <c r="AF194" s="66" t="str">
        <f>IF(OR($B194="",'E08 — Estabilização Hypercare'!R199=""),"",'E08 — Estabilização Hypercare'!R199)</f>
        <v/>
      </c>
      <c r="AG194" s="60" t="str">
        <f>IF($B194="","",'E08 — Estabilização Hypercare'!S199)</f>
        <v/>
      </c>
      <c r="AH194" s="61" t="str">
        <f>IF($B194="","",'E08 — Estabilização Hypercare'!T199)</f>
        <v/>
      </c>
      <c r="AI194" s="62" t="str">
        <f>IF($B194="","",'E08 — Estabilização Hypercare'!N199)</f>
        <v/>
      </c>
      <c r="AJ194" s="61" t="str">
        <f>IF(OR($B194="",'E08 — Estabilização Hypercare'!U199=""),"",'E08 — Estabilização Hypercare'!U199)</f>
        <v/>
      </c>
      <c r="AK194" s="60" t="str">
        <f t="shared" si="13"/>
        <v/>
      </c>
      <c r="AL194" s="65" t="str">
        <f t="shared" si="14"/>
        <v/>
      </c>
    </row>
    <row r="195" spans="2:38" s="42" customFormat="1" x14ac:dyDescent="0.35">
      <c r="B195" s="55" t="str">
        <f t="shared" ref="B195:B258" si="15">IF($C195="","",Prefixo&amp;"-"&amp;TEXT(ROW()-2,"0000"))</f>
        <v/>
      </c>
      <c r="C195" s="40"/>
      <c r="D195" s="40"/>
      <c r="E195" s="41"/>
      <c r="F195" s="41"/>
      <c r="G195" s="41"/>
      <c r="H195" s="68" t="str">
        <f>IF('E2 — Triagem'!D200="","",'E2 — Triagem'!D200)</f>
        <v/>
      </c>
      <c r="I195" s="71"/>
      <c r="J195" s="41"/>
      <c r="K195" s="41"/>
      <c r="L195" s="71"/>
      <c r="M195" s="71"/>
      <c r="N195" s="71"/>
      <c r="O195" s="71"/>
      <c r="P195" s="41"/>
      <c r="Q195" s="41"/>
      <c r="R195" s="71"/>
      <c r="S195" s="71"/>
      <c r="T195" s="75"/>
      <c r="U195" s="75"/>
      <c r="V195" s="75"/>
      <c r="W195" s="58" t="str">
        <f t="shared" si="11"/>
        <v/>
      </c>
      <c r="X195" s="59" t="str">
        <f t="shared" si="12"/>
        <v/>
      </c>
      <c r="Y195" s="41"/>
      <c r="Z195" s="41"/>
      <c r="AA195" s="41"/>
      <c r="AB195" s="68" t="str">
        <f>IF($B195="","",'Workflow (Tracker)'!L218)</f>
        <v/>
      </c>
      <c r="AC195" s="69" t="str">
        <f>IF($B195="","",'E08 — Estabilização Hypercare'!K200)</f>
        <v/>
      </c>
      <c r="AD195" s="66" t="str">
        <f>IF($B195="","",'E08 — Estabilização Hypercare'!O200)</f>
        <v/>
      </c>
      <c r="AE195" s="66" t="str">
        <f>IF($B195="","",'E08 — Estabilização Hypercare'!Q200)</f>
        <v/>
      </c>
      <c r="AF195" s="66" t="str">
        <f>IF(OR($B195="",'E08 — Estabilização Hypercare'!R200=""),"",'E08 — Estabilização Hypercare'!R200)</f>
        <v/>
      </c>
      <c r="AG195" s="60" t="str">
        <f>IF($B195="","",'E08 — Estabilização Hypercare'!S200)</f>
        <v/>
      </c>
      <c r="AH195" s="61" t="str">
        <f>IF($B195="","",'E08 — Estabilização Hypercare'!T200)</f>
        <v/>
      </c>
      <c r="AI195" s="62" t="str">
        <f>IF($B195="","",'E08 — Estabilização Hypercare'!N200)</f>
        <v/>
      </c>
      <c r="AJ195" s="61" t="str">
        <f>IF(OR($B195="",'E08 — Estabilização Hypercare'!U200=""),"",'E08 — Estabilização Hypercare'!U200)</f>
        <v/>
      </c>
      <c r="AK195" s="60" t="str">
        <f t="shared" si="13"/>
        <v/>
      </c>
      <c r="AL195" s="65" t="str">
        <f t="shared" si="14"/>
        <v/>
      </c>
    </row>
    <row r="196" spans="2:38" s="42" customFormat="1" x14ac:dyDescent="0.35">
      <c r="B196" s="55" t="str">
        <f t="shared" si="15"/>
        <v/>
      </c>
      <c r="C196" s="40"/>
      <c r="D196" s="40"/>
      <c r="E196" s="41"/>
      <c r="F196" s="41"/>
      <c r="G196" s="41"/>
      <c r="H196" s="68" t="str">
        <f>IF('E2 — Triagem'!D201="","",'E2 — Triagem'!D201)</f>
        <v/>
      </c>
      <c r="I196" s="71"/>
      <c r="J196" s="41"/>
      <c r="K196" s="41"/>
      <c r="L196" s="71"/>
      <c r="M196" s="71"/>
      <c r="N196" s="71"/>
      <c r="O196" s="71"/>
      <c r="P196" s="41"/>
      <c r="Q196" s="41"/>
      <c r="R196" s="71"/>
      <c r="S196" s="71"/>
      <c r="T196" s="75"/>
      <c r="U196" s="75"/>
      <c r="V196" s="75"/>
      <c r="W196" s="58" t="str">
        <f t="shared" ref="W196:W259" si="16">IF(OR($U196="",$V196="",$U196&lt;=0),"",$U196-$V196)</f>
        <v/>
      </c>
      <c r="X196" s="59" t="str">
        <f t="shared" ref="X196:X259" si="17">IF(OR($U196="",$V196="",$U196&lt;=0),"",($U196-$V196)/$U196)</f>
        <v/>
      </c>
      <c r="Y196" s="41"/>
      <c r="Z196" s="41"/>
      <c r="AA196" s="41"/>
      <c r="AB196" s="68" t="str">
        <f>IF($B196="","",'Workflow (Tracker)'!L219)</f>
        <v/>
      </c>
      <c r="AC196" s="69" t="str">
        <f>IF($B196="","",'E08 — Estabilização Hypercare'!K201)</f>
        <v/>
      </c>
      <c r="AD196" s="66" t="str">
        <f>IF($B196="","",'E08 — Estabilização Hypercare'!O201)</f>
        <v/>
      </c>
      <c r="AE196" s="66" t="str">
        <f>IF($B196="","",'E08 — Estabilização Hypercare'!Q201)</f>
        <v/>
      </c>
      <c r="AF196" s="66" t="str">
        <f>IF(OR($B196="",'E08 — Estabilização Hypercare'!R201=""),"",'E08 — Estabilização Hypercare'!R201)</f>
        <v/>
      </c>
      <c r="AG196" s="60" t="str">
        <f>IF($B196="","",'E08 — Estabilização Hypercare'!S201)</f>
        <v/>
      </c>
      <c r="AH196" s="61" t="str">
        <f>IF($B196="","",'E08 — Estabilização Hypercare'!T201)</f>
        <v/>
      </c>
      <c r="AI196" s="62" t="str">
        <f>IF($B196="","",'E08 — Estabilização Hypercare'!N201)</f>
        <v/>
      </c>
      <c r="AJ196" s="61" t="str">
        <f>IF(OR($B196="",'E08 — Estabilização Hypercare'!U201=""),"",'E08 — Estabilização Hypercare'!U201)</f>
        <v/>
      </c>
      <c r="AK196" s="60" t="str">
        <f t="shared" ref="AK196:AK259" si="18">IF(OR($B196="",$AF196="",$C196=""),"",$AF196-$C196)</f>
        <v/>
      </c>
      <c r="AL196" s="65" t="str">
        <f t="shared" ref="AL196:AL259" si="19">IF($B196="","",IF($AB196="Concluído","Encerrado",IF(AND($S196="Concluído",$AB196&lt;&gt;"Concluído"),"Em Hypercare",$S196)))</f>
        <v/>
      </c>
    </row>
    <row r="197" spans="2:38" s="42" customFormat="1" x14ac:dyDescent="0.35">
      <c r="B197" s="55" t="str">
        <f t="shared" si="15"/>
        <v/>
      </c>
      <c r="C197" s="40"/>
      <c r="D197" s="40"/>
      <c r="E197" s="41"/>
      <c r="F197" s="41"/>
      <c r="G197" s="41"/>
      <c r="H197" s="68" t="str">
        <f>IF('E2 — Triagem'!D202="","",'E2 — Triagem'!D202)</f>
        <v/>
      </c>
      <c r="I197" s="71"/>
      <c r="J197" s="41"/>
      <c r="K197" s="41"/>
      <c r="L197" s="71"/>
      <c r="M197" s="71"/>
      <c r="N197" s="71"/>
      <c r="O197" s="71"/>
      <c r="P197" s="41"/>
      <c r="Q197" s="41"/>
      <c r="R197" s="71"/>
      <c r="S197" s="71"/>
      <c r="T197" s="75"/>
      <c r="U197" s="75"/>
      <c r="V197" s="75"/>
      <c r="W197" s="58" t="str">
        <f t="shared" si="16"/>
        <v/>
      </c>
      <c r="X197" s="59" t="str">
        <f t="shared" si="17"/>
        <v/>
      </c>
      <c r="Y197" s="41"/>
      <c r="Z197" s="41"/>
      <c r="AA197" s="41"/>
      <c r="AB197" s="68" t="str">
        <f>IF($B197="","",'Workflow (Tracker)'!L220)</f>
        <v/>
      </c>
      <c r="AC197" s="69" t="str">
        <f>IF($B197="","",'E08 — Estabilização Hypercare'!K202)</f>
        <v/>
      </c>
      <c r="AD197" s="66" t="str">
        <f>IF($B197="","",'E08 — Estabilização Hypercare'!O202)</f>
        <v/>
      </c>
      <c r="AE197" s="66" t="str">
        <f>IF($B197="","",'E08 — Estabilização Hypercare'!Q202)</f>
        <v/>
      </c>
      <c r="AF197" s="66" t="str">
        <f>IF(OR($B197="",'E08 — Estabilização Hypercare'!R202=""),"",'E08 — Estabilização Hypercare'!R202)</f>
        <v/>
      </c>
      <c r="AG197" s="60" t="str">
        <f>IF($B197="","",'E08 — Estabilização Hypercare'!S202)</f>
        <v/>
      </c>
      <c r="AH197" s="61" t="str">
        <f>IF($B197="","",'E08 — Estabilização Hypercare'!T202)</f>
        <v/>
      </c>
      <c r="AI197" s="62" t="str">
        <f>IF($B197="","",'E08 — Estabilização Hypercare'!N202)</f>
        <v/>
      </c>
      <c r="AJ197" s="61" t="str">
        <f>IF(OR($B197="",'E08 — Estabilização Hypercare'!U202=""),"",'E08 — Estabilização Hypercare'!U202)</f>
        <v/>
      </c>
      <c r="AK197" s="60" t="str">
        <f t="shared" si="18"/>
        <v/>
      </c>
      <c r="AL197" s="65" t="str">
        <f t="shared" si="19"/>
        <v/>
      </c>
    </row>
    <row r="198" spans="2:38" s="42" customFormat="1" x14ac:dyDescent="0.35">
      <c r="B198" s="55" t="str">
        <f t="shared" si="15"/>
        <v/>
      </c>
      <c r="C198" s="40"/>
      <c r="D198" s="40"/>
      <c r="E198" s="41"/>
      <c r="F198" s="41"/>
      <c r="G198" s="41"/>
      <c r="H198" s="68" t="str">
        <f>IF('E2 — Triagem'!D203="","",'E2 — Triagem'!D203)</f>
        <v/>
      </c>
      <c r="I198" s="71"/>
      <c r="J198" s="41"/>
      <c r="K198" s="41"/>
      <c r="L198" s="71"/>
      <c r="M198" s="71"/>
      <c r="N198" s="71"/>
      <c r="O198" s="71"/>
      <c r="P198" s="41"/>
      <c r="Q198" s="41"/>
      <c r="R198" s="71"/>
      <c r="S198" s="71"/>
      <c r="T198" s="75"/>
      <c r="U198" s="75"/>
      <c r="V198" s="75"/>
      <c r="W198" s="58" t="str">
        <f t="shared" si="16"/>
        <v/>
      </c>
      <c r="X198" s="59" t="str">
        <f t="shared" si="17"/>
        <v/>
      </c>
      <c r="Y198" s="41"/>
      <c r="Z198" s="41"/>
      <c r="AA198" s="41"/>
      <c r="AB198" s="68" t="str">
        <f>IF($B198="","",'Workflow (Tracker)'!L221)</f>
        <v/>
      </c>
      <c r="AC198" s="69" t="str">
        <f>IF($B198="","",'E08 — Estabilização Hypercare'!K203)</f>
        <v/>
      </c>
      <c r="AD198" s="66" t="str">
        <f>IF($B198="","",'E08 — Estabilização Hypercare'!O203)</f>
        <v/>
      </c>
      <c r="AE198" s="66" t="str">
        <f>IF($B198="","",'E08 — Estabilização Hypercare'!Q203)</f>
        <v/>
      </c>
      <c r="AF198" s="66" t="str">
        <f>IF(OR($B198="",'E08 — Estabilização Hypercare'!R203=""),"",'E08 — Estabilização Hypercare'!R203)</f>
        <v/>
      </c>
      <c r="AG198" s="60" t="str">
        <f>IF($B198="","",'E08 — Estabilização Hypercare'!S203)</f>
        <v/>
      </c>
      <c r="AH198" s="61" t="str">
        <f>IF($B198="","",'E08 — Estabilização Hypercare'!T203)</f>
        <v/>
      </c>
      <c r="AI198" s="62" t="str">
        <f>IF($B198="","",'E08 — Estabilização Hypercare'!N203)</f>
        <v/>
      </c>
      <c r="AJ198" s="61" t="str">
        <f>IF(OR($B198="",'E08 — Estabilização Hypercare'!U203=""),"",'E08 — Estabilização Hypercare'!U203)</f>
        <v/>
      </c>
      <c r="AK198" s="60" t="str">
        <f t="shared" si="18"/>
        <v/>
      </c>
      <c r="AL198" s="65" t="str">
        <f t="shared" si="19"/>
        <v/>
      </c>
    </row>
    <row r="199" spans="2:38" s="42" customFormat="1" x14ac:dyDescent="0.35">
      <c r="B199" s="55" t="str">
        <f t="shared" si="15"/>
        <v/>
      </c>
      <c r="C199" s="40"/>
      <c r="D199" s="40"/>
      <c r="E199" s="41"/>
      <c r="F199" s="41"/>
      <c r="G199" s="41"/>
      <c r="H199" s="68" t="str">
        <f>IF('E2 — Triagem'!D204="","",'E2 — Triagem'!D204)</f>
        <v/>
      </c>
      <c r="I199" s="71"/>
      <c r="J199" s="41"/>
      <c r="K199" s="41"/>
      <c r="L199" s="71"/>
      <c r="M199" s="71"/>
      <c r="N199" s="71"/>
      <c r="O199" s="71"/>
      <c r="P199" s="41"/>
      <c r="Q199" s="41"/>
      <c r="R199" s="71"/>
      <c r="S199" s="71"/>
      <c r="T199" s="75"/>
      <c r="U199" s="75"/>
      <c r="V199" s="75"/>
      <c r="W199" s="58" t="str">
        <f t="shared" si="16"/>
        <v/>
      </c>
      <c r="X199" s="59" t="str">
        <f t="shared" si="17"/>
        <v/>
      </c>
      <c r="Y199" s="41"/>
      <c r="Z199" s="41"/>
      <c r="AA199" s="41"/>
      <c r="AB199" s="68" t="str">
        <f>IF($B199="","",'Workflow (Tracker)'!L222)</f>
        <v/>
      </c>
      <c r="AC199" s="69" t="str">
        <f>IF($B199="","",'E08 — Estabilização Hypercare'!K204)</f>
        <v/>
      </c>
      <c r="AD199" s="66" t="str">
        <f>IF($B199="","",'E08 — Estabilização Hypercare'!O204)</f>
        <v/>
      </c>
      <c r="AE199" s="66" t="str">
        <f>IF($B199="","",'E08 — Estabilização Hypercare'!Q204)</f>
        <v/>
      </c>
      <c r="AF199" s="66" t="str">
        <f>IF(OR($B199="",'E08 — Estabilização Hypercare'!R204=""),"",'E08 — Estabilização Hypercare'!R204)</f>
        <v/>
      </c>
      <c r="AG199" s="60" t="str">
        <f>IF($B199="","",'E08 — Estabilização Hypercare'!S204)</f>
        <v/>
      </c>
      <c r="AH199" s="61" t="str">
        <f>IF($B199="","",'E08 — Estabilização Hypercare'!T204)</f>
        <v/>
      </c>
      <c r="AI199" s="62" t="str">
        <f>IF($B199="","",'E08 — Estabilização Hypercare'!N204)</f>
        <v/>
      </c>
      <c r="AJ199" s="61" t="str">
        <f>IF(OR($B199="",'E08 — Estabilização Hypercare'!U204=""),"",'E08 — Estabilização Hypercare'!U204)</f>
        <v/>
      </c>
      <c r="AK199" s="60" t="str">
        <f t="shared" si="18"/>
        <v/>
      </c>
      <c r="AL199" s="65" t="str">
        <f t="shared" si="19"/>
        <v/>
      </c>
    </row>
    <row r="200" spans="2:38" s="42" customFormat="1" x14ac:dyDescent="0.35">
      <c r="B200" s="55" t="str">
        <f t="shared" si="15"/>
        <v/>
      </c>
      <c r="C200" s="40"/>
      <c r="D200" s="40"/>
      <c r="E200" s="41"/>
      <c r="F200" s="41"/>
      <c r="G200" s="41"/>
      <c r="H200" s="68" t="str">
        <f>IF('E2 — Triagem'!D205="","",'E2 — Triagem'!D205)</f>
        <v/>
      </c>
      <c r="I200" s="71"/>
      <c r="J200" s="41"/>
      <c r="K200" s="41"/>
      <c r="L200" s="71"/>
      <c r="M200" s="71"/>
      <c r="N200" s="71"/>
      <c r="O200" s="71"/>
      <c r="P200" s="41"/>
      <c r="Q200" s="41"/>
      <c r="R200" s="71"/>
      <c r="S200" s="71"/>
      <c r="T200" s="75"/>
      <c r="U200" s="75"/>
      <c r="V200" s="75"/>
      <c r="W200" s="58" t="str">
        <f t="shared" si="16"/>
        <v/>
      </c>
      <c r="X200" s="59" t="str">
        <f t="shared" si="17"/>
        <v/>
      </c>
      <c r="Y200" s="41"/>
      <c r="Z200" s="41"/>
      <c r="AA200" s="41"/>
      <c r="AB200" s="68" t="str">
        <f>IF($B200="","",'Workflow (Tracker)'!L223)</f>
        <v/>
      </c>
      <c r="AC200" s="69" t="str">
        <f>IF($B200="","",'E08 — Estabilização Hypercare'!K205)</f>
        <v/>
      </c>
      <c r="AD200" s="66" t="str">
        <f>IF($B200="","",'E08 — Estabilização Hypercare'!O205)</f>
        <v/>
      </c>
      <c r="AE200" s="66" t="str">
        <f>IF($B200="","",'E08 — Estabilização Hypercare'!Q205)</f>
        <v/>
      </c>
      <c r="AF200" s="66" t="str">
        <f>IF(OR($B200="",'E08 — Estabilização Hypercare'!R205=""),"",'E08 — Estabilização Hypercare'!R205)</f>
        <v/>
      </c>
      <c r="AG200" s="60" t="str">
        <f>IF($B200="","",'E08 — Estabilização Hypercare'!S205)</f>
        <v/>
      </c>
      <c r="AH200" s="61" t="str">
        <f>IF($B200="","",'E08 — Estabilização Hypercare'!T205)</f>
        <v/>
      </c>
      <c r="AI200" s="62" t="str">
        <f>IF($B200="","",'E08 — Estabilização Hypercare'!N205)</f>
        <v/>
      </c>
      <c r="AJ200" s="61" t="str">
        <f>IF(OR($B200="",'E08 — Estabilização Hypercare'!U205=""),"",'E08 — Estabilização Hypercare'!U205)</f>
        <v/>
      </c>
      <c r="AK200" s="60" t="str">
        <f t="shared" si="18"/>
        <v/>
      </c>
      <c r="AL200" s="65" t="str">
        <f t="shared" si="19"/>
        <v/>
      </c>
    </row>
    <row r="201" spans="2:38" s="42" customFormat="1" x14ac:dyDescent="0.35">
      <c r="B201" s="55" t="str">
        <f t="shared" si="15"/>
        <v/>
      </c>
      <c r="C201" s="40"/>
      <c r="D201" s="40"/>
      <c r="E201" s="41"/>
      <c r="F201" s="41"/>
      <c r="G201" s="41"/>
      <c r="H201" s="68" t="str">
        <f>IF('E2 — Triagem'!D206="","",'E2 — Triagem'!D206)</f>
        <v/>
      </c>
      <c r="I201" s="71"/>
      <c r="J201" s="41"/>
      <c r="K201" s="41"/>
      <c r="L201" s="71"/>
      <c r="M201" s="71"/>
      <c r="N201" s="71"/>
      <c r="O201" s="71"/>
      <c r="P201" s="41"/>
      <c r="Q201" s="41"/>
      <c r="R201" s="71"/>
      <c r="S201" s="71"/>
      <c r="T201" s="75"/>
      <c r="U201" s="75"/>
      <c r="V201" s="75"/>
      <c r="W201" s="58" t="str">
        <f t="shared" si="16"/>
        <v/>
      </c>
      <c r="X201" s="59" t="str">
        <f t="shared" si="17"/>
        <v/>
      </c>
      <c r="Y201" s="41"/>
      <c r="Z201" s="41"/>
      <c r="AA201" s="41"/>
      <c r="AB201" s="68" t="str">
        <f>IF($B201="","",'Workflow (Tracker)'!L224)</f>
        <v/>
      </c>
      <c r="AC201" s="69" t="str">
        <f>IF($B201="","",'E08 — Estabilização Hypercare'!K206)</f>
        <v/>
      </c>
      <c r="AD201" s="66" t="str">
        <f>IF($B201="","",'E08 — Estabilização Hypercare'!O206)</f>
        <v/>
      </c>
      <c r="AE201" s="66" t="str">
        <f>IF($B201="","",'E08 — Estabilização Hypercare'!Q206)</f>
        <v/>
      </c>
      <c r="AF201" s="66" t="str">
        <f>IF(OR($B201="",'E08 — Estabilização Hypercare'!R206=""),"",'E08 — Estabilização Hypercare'!R206)</f>
        <v/>
      </c>
      <c r="AG201" s="60" t="str">
        <f>IF($B201="","",'E08 — Estabilização Hypercare'!S206)</f>
        <v/>
      </c>
      <c r="AH201" s="61" t="str">
        <f>IF($B201="","",'E08 — Estabilização Hypercare'!T206)</f>
        <v/>
      </c>
      <c r="AI201" s="62" t="str">
        <f>IF($B201="","",'E08 — Estabilização Hypercare'!N206)</f>
        <v/>
      </c>
      <c r="AJ201" s="61" t="str">
        <f>IF(OR($B201="",'E08 — Estabilização Hypercare'!U206=""),"",'E08 — Estabilização Hypercare'!U206)</f>
        <v/>
      </c>
      <c r="AK201" s="60" t="str">
        <f t="shared" si="18"/>
        <v/>
      </c>
      <c r="AL201" s="65" t="str">
        <f t="shared" si="19"/>
        <v/>
      </c>
    </row>
    <row r="202" spans="2:38" s="42" customFormat="1" x14ac:dyDescent="0.35">
      <c r="B202" s="55" t="str">
        <f t="shared" si="15"/>
        <v/>
      </c>
      <c r="C202" s="40"/>
      <c r="D202" s="40"/>
      <c r="E202" s="41"/>
      <c r="F202" s="41"/>
      <c r="G202" s="41"/>
      <c r="H202" s="68" t="str">
        <f>IF('E2 — Triagem'!D207="","",'E2 — Triagem'!D207)</f>
        <v/>
      </c>
      <c r="I202" s="71"/>
      <c r="J202" s="41"/>
      <c r="K202" s="41"/>
      <c r="L202" s="71"/>
      <c r="M202" s="71"/>
      <c r="N202" s="71"/>
      <c r="O202" s="71"/>
      <c r="P202" s="41"/>
      <c r="Q202" s="41"/>
      <c r="R202" s="71"/>
      <c r="S202" s="71"/>
      <c r="T202" s="75"/>
      <c r="U202" s="75"/>
      <c r="V202" s="75"/>
      <c r="W202" s="58" t="str">
        <f t="shared" si="16"/>
        <v/>
      </c>
      <c r="X202" s="59" t="str">
        <f t="shared" si="17"/>
        <v/>
      </c>
      <c r="Y202" s="41"/>
      <c r="Z202" s="41"/>
      <c r="AA202" s="41"/>
      <c r="AB202" s="68" t="str">
        <f>IF($B202="","",'Workflow (Tracker)'!L225)</f>
        <v/>
      </c>
      <c r="AC202" s="69" t="str">
        <f>IF($B202="","",'E08 — Estabilização Hypercare'!K207)</f>
        <v/>
      </c>
      <c r="AD202" s="66" t="str">
        <f>IF($B202="","",'E08 — Estabilização Hypercare'!O207)</f>
        <v/>
      </c>
      <c r="AE202" s="66" t="str">
        <f>IF($B202="","",'E08 — Estabilização Hypercare'!Q207)</f>
        <v/>
      </c>
      <c r="AF202" s="66" t="str">
        <f>IF(OR($B202="",'E08 — Estabilização Hypercare'!R207=""),"",'E08 — Estabilização Hypercare'!R207)</f>
        <v/>
      </c>
      <c r="AG202" s="60" t="str">
        <f>IF($B202="","",'E08 — Estabilização Hypercare'!S207)</f>
        <v/>
      </c>
      <c r="AH202" s="61" t="str">
        <f>IF($B202="","",'E08 — Estabilização Hypercare'!T207)</f>
        <v/>
      </c>
      <c r="AI202" s="62" t="str">
        <f>IF($B202="","",'E08 — Estabilização Hypercare'!N207)</f>
        <v/>
      </c>
      <c r="AJ202" s="61" t="str">
        <f>IF(OR($B202="",'E08 — Estabilização Hypercare'!U207=""),"",'E08 — Estabilização Hypercare'!U207)</f>
        <v/>
      </c>
      <c r="AK202" s="60" t="str">
        <f t="shared" si="18"/>
        <v/>
      </c>
      <c r="AL202" s="65" t="str">
        <f t="shared" si="19"/>
        <v/>
      </c>
    </row>
    <row r="203" spans="2:38" s="42" customFormat="1" x14ac:dyDescent="0.35">
      <c r="B203" s="55" t="str">
        <f t="shared" si="15"/>
        <v/>
      </c>
      <c r="C203" s="40"/>
      <c r="D203" s="40"/>
      <c r="E203" s="41"/>
      <c r="F203" s="41"/>
      <c r="G203" s="41"/>
      <c r="H203" s="68" t="str">
        <f>IF('E2 — Triagem'!D208="","",'E2 — Triagem'!D208)</f>
        <v/>
      </c>
      <c r="I203" s="71"/>
      <c r="J203" s="41"/>
      <c r="K203" s="41"/>
      <c r="L203" s="71"/>
      <c r="M203" s="71"/>
      <c r="N203" s="71"/>
      <c r="O203" s="71"/>
      <c r="P203" s="41"/>
      <c r="Q203" s="41"/>
      <c r="R203" s="71"/>
      <c r="S203" s="71"/>
      <c r="T203" s="75"/>
      <c r="U203" s="75"/>
      <c r="V203" s="75"/>
      <c r="W203" s="58" t="str">
        <f t="shared" si="16"/>
        <v/>
      </c>
      <c r="X203" s="59" t="str">
        <f t="shared" si="17"/>
        <v/>
      </c>
      <c r="Y203" s="41"/>
      <c r="Z203" s="41"/>
      <c r="AA203" s="41"/>
      <c r="AB203" s="68" t="str">
        <f>IF($B203="","",'Workflow (Tracker)'!L226)</f>
        <v/>
      </c>
      <c r="AC203" s="69" t="str">
        <f>IF($B203="","",'E08 — Estabilização Hypercare'!K208)</f>
        <v/>
      </c>
      <c r="AD203" s="66" t="str">
        <f>IF($B203="","",'E08 — Estabilização Hypercare'!O208)</f>
        <v/>
      </c>
      <c r="AE203" s="66" t="str">
        <f>IF($B203="","",'E08 — Estabilização Hypercare'!Q208)</f>
        <v/>
      </c>
      <c r="AF203" s="66" t="str">
        <f>IF(OR($B203="",'E08 — Estabilização Hypercare'!R208=""),"",'E08 — Estabilização Hypercare'!R208)</f>
        <v/>
      </c>
      <c r="AG203" s="60" t="str">
        <f>IF($B203="","",'E08 — Estabilização Hypercare'!S208)</f>
        <v/>
      </c>
      <c r="AH203" s="61" t="str">
        <f>IF($B203="","",'E08 — Estabilização Hypercare'!T208)</f>
        <v/>
      </c>
      <c r="AI203" s="62" t="str">
        <f>IF($B203="","",'E08 — Estabilização Hypercare'!N208)</f>
        <v/>
      </c>
      <c r="AJ203" s="61" t="str">
        <f>IF(OR($B203="",'E08 — Estabilização Hypercare'!U208=""),"",'E08 — Estabilização Hypercare'!U208)</f>
        <v/>
      </c>
      <c r="AK203" s="60" t="str">
        <f t="shared" si="18"/>
        <v/>
      </c>
      <c r="AL203" s="65" t="str">
        <f t="shared" si="19"/>
        <v/>
      </c>
    </row>
    <row r="204" spans="2:38" s="42" customFormat="1" x14ac:dyDescent="0.35">
      <c r="B204" s="55" t="str">
        <f t="shared" si="15"/>
        <v/>
      </c>
      <c r="C204" s="40"/>
      <c r="D204" s="40"/>
      <c r="E204" s="41"/>
      <c r="F204" s="41"/>
      <c r="G204" s="41"/>
      <c r="H204" s="68" t="str">
        <f>IF('E2 — Triagem'!D209="","",'E2 — Triagem'!D209)</f>
        <v/>
      </c>
      <c r="I204" s="71"/>
      <c r="J204" s="41"/>
      <c r="K204" s="41"/>
      <c r="L204" s="71"/>
      <c r="M204" s="71"/>
      <c r="N204" s="71"/>
      <c r="O204" s="71"/>
      <c r="P204" s="41"/>
      <c r="Q204" s="41"/>
      <c r="R204" s="71"/>
      <c r="S204" s="71"/>
      <c r="T204" s="75"/>
      <c r="U204" s="75"/>
      <c r="V204" s="75"/>
      <c r="W204" s="58" t="str">
        <f t="shared" si="16"/>
        <v/>
      </c>
      <c r="X204" s="59" t="str">
        <f t="shared" si="17"/>
        <v/>
      </c>
      <c r="Y204" s="41"/>
      <c r="Z204" s="41"/>
      <c r="AA204" s="41"/>
      <c r="AB204" s="68" t="str">
        <f>IF($B204="","",'Workflow (Tracker)'!L227)</f>
        <v/>
      </c>
      <c r="AC204" s="69" t="str">
        <f>IF($B204="","",'E08 — Estabilização Hypercare'!K209)</f>
        <v/>
      </c>
      <c r="AD204" s="66" t="str">
        <f>IF($B204="","",'E08 — Estabilização Hypercare'!O209)</f>
        <v/>
      </c>
      <c r="AE204" s="66" t="str">
        <f>IF($B204="","",'E08 — Estabilização Hypercare'!Q209)</f>
        <v/>
      </c>
      <c r="AF204" s="66" t="str">
        <f>IF(OR($B204="",'E08 — Estabilização Hypercare'!R209=""),"",'E08 — Estabilização Hypercare'!R209)</f>
        <v/>
      </c>
      <c r="AG204" s="60" t="str">
        <f>IF($B204="","",'E08 — Estabilização Hypercare'!S209)</f>
        <v/>
      </c>
      <c r="AH204" s="61" t="str">
        <f>IF($B204="","",'E08 — Estabilização Hypercare'!T209)</f>
        <v/>
      </c>
      <c r="AI204" s="62" t="str">
        <f>IF($B204="","",'E08 — Estabilização Hypercare'!N209)</f>
        <v/>
      </c>
      <c r="AJ204" s="61" t="str">
        <f>IF(OR($B204="",'E08 — Estabilização Hypercare'!U209=""),"",'E08 — Estabilização Hypercare'!U209)</f>
        <v/>
      </c>
      <c r="AK204" s="60" t="str">
        <f t="shared" si="18"/>
        <v/>
      </c>
      <c r="AL204" s="65" t="str">
        <f t="shared" si="19"/>
        <v/>
      </c>
    </row>
    <row r="205" spans="2:38" s="42" customFormat="1" x14ac:dyDescent="0.35">
      <c r="B205" s="55" t="str">
        <f t="shared" si="15"/>
        <v/>
      </c>
      <c r="C205" s="40"/>
      <c r="D205" s="40"/>
      <c r="E205" s="41"/>
      <c r="F205" s="41"/>
      <c r="G205" s="41"/>
      <c r="H205" s="68" t="str">
        <f>IF('E2 — Triagem'!D210="","",'E2 — Triagem'!D210)</f>
        <v/>
      </c>
      <c r="I205" s="71"/>
      <c r="J205" s="41"/>
      <c r="K205" s="41"/>
      <c r="L205" s="71"/>
      <c r="M205" s="71"/>
      <c r="N205" s="71"/>
      <c r="O205" s="71"/>
      <c r="P205" s="41"/>
      <c r="Q205" s="41"/>
      <c r="R205" s="71"/>
      <c r="S205" s="71"/>
      <c r="T205" s="75"/>
      <c r="U205" s="75"/>
      <c r="V205" s="75"/>
      <c r="W205" s="58" t="str">
        <f t="shared" si="16"/>
        <v/>
      </c>
      <c r="X205" s="59" t="str">
        <f t="shared" si="17"/>
        <v/>
      </c>
      <c r="Y205" s="41"/>
      <c r="Z205" s="41"/>
      <c r="AA205" s="41"/>
      <c r="AB205" s="68" t="str">
        <f>IF($B205="","",'Workflow (Tracker)'!L228)</f>
        <v/>
      </c>
      <c r="AC205" s="69" t="str">
        <f>IF($B205="","",'E08 — Estabilização Hypercare'!K210)</f>
        <v/>
      </c>
      <c r="AD205" s="66" t="str">
        <f>IF($B205="","",'E08 — Estabilização Hypercare'!O210)</f>
        <v/>
      </c>
      <c r="AE205" s="66" t="str">
        <f>IF($B205="","",'E08 — Estabilização Hypercare'!Q210)</f>
        <v/>
      </c>
      <c r="AF205" s="66" t="str">
        <f>IF(OR($B205="",'E08 — Estabilização Hypercare'!R210=""),"",'E08 — Estabilização Hypercare'!R210)</f>
        <v/>
      </c>
      <c r="AG205" s="60" t="str">
        <f>IF($B205="","",'E08 — Estabilização Hypercare'!S210)</f>
        <v/>
      </c>
      <c r="AH205" s="61" t="str">
        <f>IF($B205="","",'E08 — Estabilização Hypercare'!T210)</f>
        <v/>
      </c>
      <c r="AI205" s="62" t="str">
        <f>IF($B205="","",'E08 — Estabilização Hypercare'!N210)</f>
        <v/>
      </c>
      <c r="AJ205" s="61" t="str">
        <f>IF(OR($B205="",'E08 — Estabilização Hypercare'!U210=""),"",'E08 — Estabilização Hypercare'!U210)</f>
        <v/>
      </c>
      <c r="AK205" s="60" t="str">
        <f t="shared" si="18"/>
        <v/>
      </c>
      <c r="AL205" s="65" t="str">
        <f t="shared" si="19"/>
        <v/>
      </c>
    </row>
    <row r="206" spans="2:38" s="42" customFormat="1" x14ac:dyDescent="0.35">
      <c r="B206" s="55" t="str">
        <f t="shared" si="15"/>
        <v/>
      </c>
      <c r="C206" s="40"/>
      <c r="D206" s="40"/>
      <c r="E206" s="41"/>
      <c r="F206" s="41"/>
      <c r="G206" s="41"/>
      <c r="H206" s="68" t="str">
        <f>IF('E2 — Triagem'!D211="","",'E2 — Triagem'!D211)</f>
        <v/>
      </c>
      <c r="I206" s="71"/>
      <c r="J206" s="41"/>
      <c r="K206" s="41"/>
      <c r="L206" s="71"/>
      <c r="M206" s="71"/>
      <c r="N206" s="71"/>
      <c r="O206" s="71"/>
      <c r="P206" s="41"/>
      <c r="Q206" s="41"/>
      <c r="R206" s="71"/>
      <c r="S206" s="71"/>
      <c r="T206" s="75"/>
      <c r="U206" s="75"/>
      <c r="V206" s="75"/>
      <c r="W206" s="58" t="str">
        <f t="shared" si="16"/>
        <v/>
      </c>
      <c r="X206" s="59" t="str">
        <f t="shared" si="17"/>
        <v/>
      </c>
      <c r="Y206" s="41"/>
      <c r="Z206" s="41"/>
      <c r="AA206" s="41"/>
      <c r="AB206" s="68" t="str">
        <f>IF($B206="","",'Workflow (Tracker)'!L229)</f>
        <v/>
      </c>
      <c r="AC206" s="69" t="str">
        <f>IF($B206="","",'E08 — Estabilização Hypercare'!K211)</f>
        <v/>
      </c>
      <c r="AD206" s="66" t="str">
        <f>IF($B206="","",'E08 — Estabilização Hypercare'!O211)</f>
        <v/>
      </c>
      <c r="AE206" s="66" t="str">
        <f>IF($B206="","",'E08 — Estabilização Hypercare'!Q211)</f>
        <v/>
      </c>
      <c r="AF206" s="66" t="str">
        <f>IF(OR($B206="",'E08 — Estabilização Hypercare'!R211=""),"",'E08 — Estabilização Hypercare'!R211)</f>
        <v/>
      </c>
      <c r="AG206" s="60" t="str">
        <f>IF($B206="","",'E08 — Estabilização Hypercare'!S211)</f>
        <v/>
      </c>
      <c r="AH206" s="61" t="str">
        <f>IF($B206="","",'E08 — Estabilização Hypercare'!T211)</f>
        <v/>
      </c>
      <c r="AI206" s="62" t="str">
        <f>IF($B206="","",'E08 — Estabilização Hypercare'!N211)</f>
        <v/>
      </c>
      <c r="AJ206" s="61" t="str">
        <f>IF(OR($B206="",'E08 — Estabilização Hypercare'!U211=""),"",'E08 — Estabilização Hypercare'!U211)</f>
        <v/>
      </c>
      <c r="AK206" s="60" t="str">
        <f t="shared" si="18"/>
        <v/>
      </c>
      <c r="AL206" s="65" t="str">
        <f t="shared" si="19"/>
        <v/>
      </c>
    </row>
    <row r="207" spans="2:38" s="42" customFormat="1" x14ac:dyDescent="0.35">
      <c r="B207" s="55" t="str">
        <f t="shared" si="15"/>
        <v/>
      </c>
      <c r="C207" s="40"/>
      <c r="D207" s="40"/>
      <c r="E207" s="41"/>
      <c r="F207" s="41"/>
      <c r="G207" s="41"/>
      <c r="H207" s="68" t="str">
        <f>IF('E2 — Triagem'!D212="","",'E2 — Triagem'!D212)</f>
        <v/>
      </c>
      <c r="I207" s="71"/>
      <c r="J207" s="41"/>
      <c r="K207" s="41"/>
      <c r="L207" s="71"/>
      <c r="M207" s="71"/>
      <c r="N207" s="71"/>
      <c r="O207" s="71"/>
      <c r="P207" s="41"/>
      <c r="Q207" s="41"/>
      <c r="R207" s="71"/>
      <c r="S207" s="71"/>
      <c r="T207" s="75"/>
      <c r="U207" s="75"/>
      <c r="V207" s="75"/>
      <c r="W207" s="58" t="str">
        <f t="shared" si="16"/>
        <v/>
      </c>
      <c r="X207" s="59" t="str">
        <f t="shared" si="17"/>
        <v/>
      </c>
      <c r="Y207" s="41"/>
      <c r="Z207" s="41"/>
      <c r="AA207" s="41"/>
      <c r="AB207" s="68" t="str">
        <f>IF($B207="","",'Workflow (Tracker)'!L230)</f>
        <v/>
      </c>
      <c r="AC207" s="69" t="str">
        <f>IF($B207="","",'E08 — Estabilização Hypercare'!K212)</f>
        <v/>
      </c>
      <c r="AD207" s="66" t="str">
        <f>IF($B207="","",'E08 — Estabilização Hypercare'!O212)</f>
        <v/>
      </c>
      <c r="AE207" s="66" t="str">
        <f>IF($B207="","",'E08 — Estabilização Hypercare'!Q212)</f>
        <v/>
      </c>
      <c r="AF207" s="66" t="str">
        <f>IF(OR($B207="",'E08 — Estabilização Hypercare'!R212=""),"",'E08 — Estabilização Hypercare'!R212)</f>
        <v/>
      </c>
      <c r="AG207" s="60" t="str">
        <f>IF($B207="","",'E08 — Estabilização Hypercare'!S212)</f>
        <v/>
      </c>
      <c r="AH207" s="61" t="str">
        <f>IF($B207="","",'E08 — Estabilização Hypercare'!T212)</f>
        <v/>
      </c>
      <c r="AI207" s="62" t="str">
        <f>IF($B207="","",'E08 — Estabilização Hypercare'!N212)</f>
        <v/>
      </c>
      <c r="AJ207" s="61" t="str">
        <f>IF(OR($B207="",'E08 — Estabilização Hypercare'!U212=""),"",'E08 — Estabilização Hypercare'!U212)</f>
        <v/>
      </c>
      <c r="AK207" s="60" t="str">
        <f t="shared" si="18"/>
        <v/>
      </c>
      <c r="AL207" s="65" t="str">
        <f t="shared" si="19"/>
        <v/>
      </c>
    </row>
    <row r="208" spans="2:38" s="42" customFormat="1" x14ac:dyDescent="0.35">
      <c r="B208" s="55" t="str">
        <f t="shared" si="15"/>
        <v/>
      </c>
      <c r="C208" s="40"/>
      <c r="D208" s="40"/>
      <c r="E208" s="41"/>
      <c r="F208" s="41"/>
      <c r="G208" s="41"/>
      <c r="H208" s="68" t="str">
        <f>IF('E2 — Triagem'!D213="","",'E2 — Triagem'!D213)</f>
        <v/>
      </c>
      <c r="I208" s="71"/>
      <c r="J208" s="41"/>
      <c r="K208" s="41"/>
      <c r="L208" s="71"/>
      <c r="M208" s="71"/>
      <c r="N208" s="71"/>
      <c r="O208" s="71"/>
      <c r="P208" s="41"/>
      <c r="Q208" s="41"/>
      <c r="R208" s="71"/>
      <c r="S208" s="71"/>
      <c r="T208" s="75"/>
      <c r="U208" s="75"/>
      <c r="V208" s="75"/>
      <c r="W208" s="58" t="str">
        <f t="shared" si="16"/>
        <v/>
      </c>
      <c r="X208" s="59" t="str">
        <f t="shared" si="17"/>
        <v/>
      </c>
      <c r="Y208" s="41"/>
      <c r="Z208" s="41"/>
      <c r="AA208" s="41"/>
      <c r="AB208" s="68" t="str">
        <f>IF($B208="","",'Workflow (Tracker)'!L231)</f>
        <v/>
      </c>
      <c r="AC208" s="69" t="str">
        <f>IF($B208="","",'E08 — Estabilização Hypercare'!K213)</f>
        <v/>
      </c>
      <c r="AD208" s="66" t="str">
        <f>IF($B208="","",'E08 — Estabilização Hypercare'!O213)</f>
        <v/>
      </c>
      <c r="AE208" s="66" t="str">
        <f>IF($B208="","",'E08 — Estabilização Hypercare'!Q213)</f>
        <v/>
      </c>
      <c r="AF208" s="66" t="str">
        <f>IF(OR($B208="",'E08 — Estabilização Hypercare'!R213=""),"",'E08 — Estabilização Hypercare'!R213)</f>
        <v/>
      </c>
      <c r="AG208" s="60" t="str">
        <f>IF($B208="","",'E08 — Estabilização Hypercare'!S213)</f>
        <v/>
      </c>
      <c r="AH208" s="61" t="str">
        <f>IF($B208="","",'E08 — Estabilização Hypercare'!T213)</f>
        <v/>
      </c>
      <c r="AI208" s="62" t="str">
        <f>IF($B208="","",'E08 — Estabilização Hypercare'!N213)</f>
        <v/>
      </c>
      <c r="AJ208" s="61" t="str">
        <f>IF(OR($B208="",'E08 — Estabilização Hypercare'!U213=""),"",'E08 — Estabilização Hypercare'!U213)</f>
        <v/>
      </c>
      <c r="AK208" s="60" t="str">
        <f t="shared" si="18"/>
        <v/>
      </c>
      <c r="AL208" s="65" t="str">
        <f t="shared" si="19"/>
        <v/>
      </c>
    </row>
    <row r="209" spans="2:38" s="42" customFormat="1" x14ac:dyDescent="0.35">
      <c r="B209" s="55" t="str">
        <f t="shared" si="15"/>
        <v/>
      </c>
      <c r="C209" s="40"/>
      <c r="D209" s="40"/>
      <c r="E209" s="41"/>
      <c r="F209" s="41"/>
      <c r="G209" s="41"/>
      <c r="H209" s="68" t="str">
        <f>IF('E2 — Triagem'!D214="","",'E2 — Triagem'!D214)</f>
        <v/>
      </c>
      <c r="I209" s="71"/>
      <c r="J209" s="41"/>
      <c r="K209" s="41"/>
      <c r="L209" s="71"/>
      <c r="M209" s="71"/>
      <c r="N209" s="71"/>
      <c r="O209" s="71"/>
      <c r="P209" s="41"/>
      <c r="Q209" s="41"/>
      <c r="R209" s="71"/>
      <c r="S209" s="71"/>
      <c r="T209" s="75"/>
      <c r="U209" s="75"/>
      <c r="V209" s="75"/>
      <c r="W209" s="58" t="str">
        <f t="shared" si="16"/>
        <v/>
      </c>
      <c r="X209" s="59" t="str">
        <f t="shared" si="17"/>
        <v/>
      </c>
      <c r="Y209" s="41"/>
      <c r="Z209" s="41"/>
      <c r="AA209" s="41"/>
      <c r="AB209" s="68" t="str">
        <f>IF($B209="","",'Workflow (Tracker)'!L232)</f>
        <v/>
      </c>
      <c r="AC209" s="69" t="str">
        <f>IF($B209="","",'E08 — Estabilização Hypercare'!K214)</f>
        <v/>
      </c>
      <c r="AD209" s="66" t="str">
        <f>IF($B209="","",'E08 — Estabilização Hypercare'!O214)</f>
        <v/>
      </c>
      <c r="AE209" s="66" t="str">
        <f>IF($B209="","",'E08 — Estabilização Hypercare'!Q214)</f>
        <v/>
      </c>
      <c r="AF209" s="66" t="str">
        <f>IF(OR($B209="",'E08 — Estabilização Hypercare'!R214=""),"",'E08 — Estabilização Hypercare'!R214)</f>
        <v/>
      </c>
      <c r="AG209" s="60" t="str">
        <f>IF($B209="","",'E08 — Estabilização Hypercare'!S214)</f>
        <v/>
      </c>
      <c r="AH209" s="61" t="str">
        <f>IF($B209="","",'E08 — Estabilização Hypercare'!T214)</f>
        <v/>
      </c>
      <c r="AI209" s="62" t="str">
        <f>IF($B209="","",'E08 — Estabilização Hypercare'!N214)</f>
        <v/>
      </c>
      <c r="AJ209" s="61" t="str">
        <f>IF(OR($B209="",'E08 — Estabilização Hypercare'!U214=""),"",'E08 — Estabilização Hypercare'!U214)</f>
        <v/>
      </c>
      <c r="AK209" s="60" t="str">
        <f t="shared" si="18"/>
        <v/>
      </c>
      <c r="AL209" s="65" t="str">
        <f t="shared" si="19"/>
        <v/>
      </c>
    </row>
    <row r="210" spans="2:38" s="42" customFormat="1" x14ac:dyDescent="0.35">
      <c r="B210" s="55" t="str">
        <f t="shared" si="15"/>
        <v/>
      </c>
      <c r="C210" s="40"/>
      <c r="D210" s="40"/>
      <c r="E210" s="41"/>
      <c r="F210" s="41"/>
      <c r="G210" s="41"/>
      <c r="H210" s="68" t="str">
        <f>IF('E2 — Triagem'!D215="","",'E2 — Triagem'!D215)</f>
        <v/>
      </c>
      <c r="I210" s="71"/>
      <c r="J210" s="41"/>
      <c r="K210" s="41"/>
      <c r="L210" s="71"/>
      <c r="M210" s="71"/>
      <c r="N210" s="71"/>
      <c r="O210" s="71"/>
      <c r="P210" s="41"/>
      <c r="Q210" s="41"/>
      <c r="R210" s="71"/>
      <c r="S210" s="71"/>
      <c r="T210" s="75"/>
      <c r="U210" s="75"/>
      <c r="V210" s="75"/>
      <c r="W210" s="58" t="str">
        <f t="shared" si="16"/>
        <v/>
      </c>
      <c r="X210" s="59" t="str">
        <f t="shared" si="17"/>
        <v/>
      </c>
      <c r="Y210" s="41"/>
      <c r="Z210" s="41"/>
      <c r="AA210" s="41"/>
      <c r="AB210" s="68" t="str">
        <f>IF($B210="","",'Workflow (Tracker)'!L233)</f>
        <v/>
      </c>
      <c r="AC210" s="69" t="str">
        <f>IF($B210="","",'E08 — Estabilização Hypercare'!K215)</f>
        <v/>
      </c>
      <c r="AD210" s="66" t="str">
        <f>IF($B210="","",'E08 — Estabilização Hypercare'!O215)</f>
        <v/>
      </c>
      <c r="AE210" s="66" t="str">
        <f>IF($B210="","",'E08 — Estabilização Hypercare'!Q215)</f>
        <v/>
      </c>
      <c r="AF210" s="66" t="str">
        <f>IF(OR($B210="",'E08 — Estabilização Hypercare'!R215=""),"",'E08 — Estabilização Hypercare'!R215)</f>
        <v/>
      </c>
      <c r="AG210" s="60" t="str">
        <f>IF($B210="","",'E08 — Estabilização Hypercare'!S215)</f>
        <v/>
      </c>
      <c r="AH210" s="61" t="str">
        <f>IF($B210="","",'E08 — Estabilização Hypercare'!T215)</f>
        <v/>
      </c>
      <c r="AI210" s="62" t="str">
        <f>IF($B210="","",'E08 — Estabilização Hypercare'!N215)</f>
        <v/>
      </c>
      <c r="AJ210" s="61" t="str">
        <f>IF(OR($B210="",'E08 — Estabilização Hypercare'!U215=""),"",'E08 — Estabilização Hypercare'!U215)</f>
        <v/>
      </c>
      <c r="AK210" s="60" t="str">
        <f t="shared" si="18"/>
        <v/>
      </c>
      <c r="AL210" s="65" t="str">
        <f t="shared" si="19"/>
        <v/>
      </c>
    </row>
    <row r="211" spans="2:38" s="42" customFormat="1" x14ac:dyDescent="0.35">
      <c r="B211" s="55" t="str">
        <f t="shared" si="15"/>
        <v/>
      </c>
      <c r="C211" s="40"/>
      <c r="D211" s="40"/>
      <c r="E211" s="41"/>
      <c r="F211" s="41"/>
      <c r="G211" s="41"/>
      <c r="H211" s="68" t="str">
        <f>IF('E2 — Triagem'!D216="","",'E2 — Triagem'!D216)</f>
        <v/>
      </c>
      <c r="I211" s="71"/>
      <c r="J211" s="41"/>
      <c r="K211" s="41"/>
      <c r="L211" s="71"/>
      <c r="M211" s="71"/>
      <c r="N211" s="71"/>
      <c r="O211" s="71"/>
      <c r="P211" s="41"/>
      <c r="Q211" s="41"/>
      <c r="R211" s="71"/>
      <c r="S211" s="71"/>
      <c r="T211" s="75"/>
      <c r="U211" s="75"/>
      <c r="V211" s="75"/>
      <c r="W211" s="58" t="str">
        <f t="shared" si="16"/>
        <v/>
      </c>
      <c r="X211" s="59" t="str">
        <f t="shared" si="17"/>
        <v/>
      </c>
      <c r="Y211" s="41"/>
      <c r="Z211" s="41"/>
      <c r="AA211" s="41"/>
      <c r="AB211" s="68" t="str">
        <f>IF($B211="","",'Workflow (Tracker)'!L234)</f>
        <v/>
      </c>
      <c r="AC211" s="69" t="str">
        <f>IF($B211="","",'E08 — Estabilização Hypercare'!K216)</f>
        <v/>
      </c>
      <c r="AD211" s="66" t="str">
        <f>IF($B211="","",'E08 — Estabilização Hypercare'!O216)</f>
        <v/>
      </c>
      <c r="AE211" s="66" t="str">
        <f>IF($B211="","",'E08 — Estabilização Hypercare'!Q216)</f>
        <v/>
      </c>
      <c r="AF211" s="66" t="str">
        <f>IF(OR($B211="",'E08 — Estabilização Hypercare'!R216=""),"",'E08 — Estabilização Hypercare'!R216)</f>
        <v/>
      </c>
      <c r="AG211" s="60" t="str">
        <f>IF($B211="","",'E08 — Estabilização Hypercare'!S216)</f>
        <v/>
      </c>
      <c r="AH211" s="61" t="str">
        <f>IF($B211="","",'E08 — Estabilização Hypercare'!T216)</f>
        <v/>
      </c>
      <c r="AI211" s="62" t="str">
        <f>IF($B211="","",'E08 — Estabilização Hypercare'!N216)</f>
        <v/>
      </c>
      <c r="AJ211" s="61" t="str">
        <f>IF(OR($B211="",'E08 — Estabilização Hypercare'!U216=""),"",'E08 — Estabilização Hypercare'!U216)</f>
        <v/>
      </c>
      <c r="AK211" s="60" t="str">
        <f t="shared" si="18"/>
        <v/>
      </c>
      <c r="AL211" s="65" t="str">
        <f t="shared" si="19"/>
        <v/>
      </c>
    </row>
    <row r="212" spans="2:38" s="42" customFormat="1" x14ac:dyDescent="0.35">
      <c r="B212" s="55" t="str">
        <f t="shared" si="15"/>
        <v/>
      </c>
      <c r="C212" s="40"/>
      <c r="D212" s="40"/>
      <c r="E212" s="41"/>
      <c r="F212" s="41"/>
      <c r="G212" s="41"/>
      <c r="H212" s="68" t="str">
        <f>IF('E2 — Triagem'!D217="","",'E2 — Triagem'!D217)</f>
        <v/>
      </c>
      <c r="I212" s="71"/>
      <c r="J212" s="41"/>
      <c r="K212" s="41"/>
      <c r="L212" s="71"/>
      <c r="M212" s="71"/>
      <c r="N212" s="71"/>
      <c r="O212" s="71"/>
      <c r="P212" s="41"/>
      <c r="Q212" s="41"/>
      <c r="R212" s="71"/>
      <c r="S212" s="71"/>
      <c r="T212" s="75"/>
      <c r="U212" s="75"/>
      <c r="V212" s="75"/>
      <c r="W212" s="58" t="str">
        <f t="shared" si="16"/>
        <v/>
      </c>
      <c r="X212" s="59" t="str">
        <f t="shared" si="17"/>
        <v/>
      </c>
      <c r="Y212" s="41"/>
      <c r="Z212" s="41"/>
      <c r="AA212" s="41"/>
      <c r="AB212" s="68" t="str">
        <f>IF($B212="","",'Workflow (Tracker)'!L235)</f>
        <v/>
      </c>
      <c r="AC212" s="69" t="str">
        <f>IF($B212="","",'E08 — Estabilização Hypercare'!K217)</f>
        <v/>
      </c>
      <c r="AD212" s="66" t="str">
        <f>IF($B212="","",'E08 — Estabilização Hypercare'!O217)</f>
        <v/>
      </c>
      <c r="AE212" s="66" t="str">
        <f>IF($B212="","",'E08 — Estabilização Hypercare'!Q217)</f>
        <v/>
      </c>
      <c r="AF212" s="66" t="str">
        <f>IF(OR($B212="",'E08 — Estabilização Hypercare'!R217=""),"",'E08 — Estabilização Hypercare'!R217)</f>
        <v/>
      </c>
      <c r="AG212" s="60" t="str">
        <f>IF($B212="","",'E08 — Estabilização Hypercare'!S217)</f>
        <v/>
      </c>
      <c r="AH212" s="61" t="str">
        <f>IF($B212="","",'E08 — Estabilização Hypercare'!T217)</f>
        <v/>
      </c>
      <c r="AI212" s="62" t="str">
        <f>IF($B212="","",'E08 — Estabilização Hypercare'!N217)</f>
        <v/>
      </c>
      <c r="AJ212" s="61" t="str">
        <f>IF(OR($B212="",'E08 — Estabilização Hypercare'!U217=""),"",'E08 — Estabilização Hypercare'!U217)</f>
        <v/>
      </c>
      <c r="AK212" s="60" t="str">
        <f t="shared" si="18"/>
        <v/>
      </c>
      <c r="AL212" s="65" t="str">
        <f t="shared" si="19"/>
        <v/>
      </c>
    </row>
    <row r="213" spans="2:38" s="42" customFormat="1" x14ac:dyDescent="0.35">
      <c r="B213" s="55" t="str">
        <f t="shared" si="15"/>
        <v/>
      </c>
      <c r="C213" s="40"/>
      <c r="D213" s="40"/>
      <c r="E213" s="41"/>
      <c r="F213" s="41"/>
      <c r="G213" s="41"/>
      <c r="H213" s="68" t="str">
        <f>IF('E2 — Triagem'!D218="","",'E2 — Triagem'!D218)</f>
        <v/>
      </c>
      <c r="I213" s="71"/>
      <c r="J213" s="41"/>
      <c r="K213" s="41"/>
      <c r="L213" s="71"/>
      <c r="M213" s="71"/>
      <c r="N213" s="71"/>
      <c r="O213" s="71"/>
      <c r="P213" s="41"/>
      <c r="Q213" s="41"/>
      <c r="R213" s="71"/>
      <c r="S213" s="71"/>
      <c r="T213" s="75"/>
      <c r="U213" s="75"/>
      <c r="V213" s="75"/>
      <c r="W213" s="58" t="str">
        <f t="shared" si="16"/>
        <v/>
      </c>
      <c r="X213" s="59" t="str">
        <f t="shared" si="17"/>
        <v/>
      </c>
      <c r="Y213" s="41"/>
      <c r="Z213" s="41"/>
      <c r="AA213" s="41"/>
      <c r="AB213" s="68" t="str">
        <f>IF($B213="","",'Workflow (Tracker)'!L236)</f>
        <v/>
      </c>
      <c r="AC213" s="69" t="str">
        <f>IF($B213="","",'E08 — Estabilização Hypercare'!K218)</f>
        <v/>
      </c>
      <c r="AD213" s="66" t="str">
        <f>IF($B213="","",'E08 — Estabilização Hypercare'!O218)</f>
        <v/>
      </c>
      <c r="AE213" s="66" t="str">
        <f>IF($B213="","",'E08 — Estabilização Hypercare'!Q218)</f>
        <v/>
      </c>
      <c r="AF213" s="66" t="str">
        <f>IF(OR($B213="",'E08 — Estabilização Hypercare'!R218=""),"",'E08 — Estabilização Hypercare'!R218)</f>
        <v/>
      </c>
      <c r="AG213" s="60" t="str">
        <f>IF($B213="","",'E08 — Estabilização Hypercare'!S218)</f>
        <v/>
      </c>
      <c r="AH213" s="61" t="str">
        <f>IF($B213="","",'E08 — Estabilização Hypercare'!T218)</f>
        <v/>
      </c>
      <c r="AI213" s="62" t="str">
        <f>IF($B213="","",'E08 — Estabilização Hypercare'!N218)</f>
        <v/>
      </c>
      <c r="AJ213" s="61" t="str">
        <f>IF(OR($B213="",'E08 — Estabilização Hypercare'!U218=""),"",'E08 — Estabilização Hypercare'!U218)</f>
        <v/>
      </c>
      <c r="AK213" s="60" t="str">
        <f t="shared" si="18"/>
        <v/>
      </c>
      <c r="AL213" s="65" t="str">
        <f t="shared" si="19"/>
        <v/>
      </c>
    </row>
    <row r="214" spans="2:38" s="42" customFormat="1" x14ac:dyDescent="0.35">
      <c r="B214" s="55" t="str">
        <f t="shared" si="15"/>
        <v/>
      </c>
      <c r="C214" s="40"/>
      <c r="D214" s="40"/>
      <c r="E214" s="41"/>
      <c r="F214" s="41"/>
      <c r="G214" s="41"/>
      <c r="H214" s="68" t="str">
        <f>IF('E2 — Triagem'!D219="","",'E2 — Triagem'!D219)</f>
        <v/>
      </c>
      <c r="I214" s="71"/>
      <c r="J214" s="41"/>
      <c r="K214" s="41"/>
      <c r="L214" s="71"/>
      <c r="M214" s="71"/>
      <c r="N214" s="71"/>
      <c r="O214" s="71"/>
      <c r="P214" s="41"/>
      <c r="Q214" s="41"/>
      <c r="R214" s="71"/>
      <c r="S214" s="71"/>
      <c r="T214" s="75"/>
      <c r="U214" s="75"/>
      <c r="V214" s="75"/>
      <c r="W214" s="58" t="str">
        <f t="shared" si="16"/>
        <v/>
      </c>
      <c r="X214" s="59" t="str">
        <f t="shared" si="17"/>
        <v/>
      </c>
      <c r="Y214" s="41"/>
      <c r="Z214" s="41"/>
      <c r="AA214" s="41"/>
      <c r="AB214" s="68" t="str">
        <f>IF($B214="","",'Workflow (Tracker)'!L237)</f>
        <v/>
      </c>
      <c r="AC214" s="69" t="str">
        <f>IF($B214="","",'E08 — Estabilização Hypercare'!K219)</f>
        <v/>
      </c>
      <c r="AD214" s="66" t="str">
        <f>IF($B214="","",'E08 — Estabilização Hypercare'!O219)</f>
        <v/>
      </c>
      <c r="AE214" s="66" t="str">
        <f>IF($B214="","",'E08 — Estabilização Hypercare'!Q219)</f>
        <v/>
      </c>
      <c r="AF214" s="66" t="str">
        <f>IF(OR($B214="",'E08 — Estabilização Hypercare'!R219=""),"",'E08 — Estabilização Hypercare'!R219)</f>
        <v/>
      </c>
      <c r="AG214" s="60" t="str">
        <f>IF($B214="","",'E08 — Estabilização Hypercare'!S219)</f>
        <v/>
      </c>
      <c r="AH214" s="61" t="str">
        <f>IF($B214="","",'E08 — Estabilização Hypercare'!T219)</f>
        <v/>
      </c>
      <c r="AI214" s="62" t="str">
        <f>IF($B214="","",'E08 — Estabilização Hypercare'!N219)</f>
        <v/>
      </c>
      <c r="AJ214" s="61" t="str">
        <f>IF(OR($B214="",'E08 — Estabilização Hypercare'!U219=""),"",'E08 — Estabilização Hypercare'!U219)</f>
        <v/>
      </c>
      <c r="AK214" s="60" t="str">
        <f t="shared" si="18"/>
        <v/>
      </c>
      <c r="AL214" s="65" t="str">
        <f t="shared" si="19"/>
        <v/>
      </c>
    </row>
    <row r="215" spans="2:38" s="42" customFormat="1" x14ac:dyDescent="0.35">
      <c r="B215" s="55" t="str">
        <f t="shared" si="15"/>
        <v/>
      </c>
      <c r="C215" s="40"/>
      <c r="D215" s="40"/>
      <c r="E215" s="41"/>
      <c r="F215" s="41"/>
      <c r="G215" s="41"/>
      <c r="H215" s="68" t="str">
        <f>IF('E2 — Triagem'!D220="","",'E2 — Triagem'!D220)</f>
        <v/>
      </c>
      <c r="I215" s="71"/>
      <c r="J215" s="41"/>
      <c r="K215" s="41"/>
      <c r="L215" s="71"/>
      <c r="M215" s="71"/>
      <c r="N215" s="71"/>
      <c r="O215" s="71"/>
      <c r="P215" s="41"/>
      <c r="Q215" s="41"/>
      <c r="R215" s="71"/>
      <c r="S215" s="71"/>
      <c r="T215" s="75"/>
      <c r="U215" s="75"/>
      <c r="V215" s="75"/>
      <c r="W215" s="58" t="str">
        <f t="shared" si="16"/>
        <v/>
      </c>
      <c r="X215" s="59" t="str">
        <f t="shared" si="17"/>
        <v/>
      </c>
      <c r="Y215" s="41"/>
      <c r="Z215" s="41"/>
      <c r="AA215" s="41"/>
      <c r="AB215" s="68" t="str">
        <f>IF($B215="","",'Workflow (Tracker)'!L238)</f>
        <v/>
      </c>
      <c r="AC215" s="69" t="str">
        <f>IF($B215="","",'E08 — Estabilização Hypercare'!K220)</f>
        <v/>
      </c>
      <c r="AD215" s="66" t="str">
        <f>IF($B215="","",'E08 — Estabilização Hypercare'!O220)</f>
        <v/>
      </c>
      <c r="AE215" s="66" t="str">
        <f>IF($B215="","",'E08 — Estabilização Hypercare'!Q220)</f>
        <v/>
      </c>
      <c r="AF215" s="66" t="str">
        <f>IF(OR($B215="",'E08 — Estabilização Hypercare'!R220=""),"",'E08 — Estabilização Hypercare'!R220)</f>
        <v/>
      </c>
      <c r="AG215" s="60" t="str">
        <f>IF($B215="","",'E08 — Estabilização Hypercare'!S220)</f>
        <v/>
      </c>
      <c r="AH215" s="61" t="str">
        <f>IF($B215="","",'E08 — Estabilização Hypercare'!T220)</f>
        <v/>
      </c>
      <c r="AI215" s="62" t="str">
        <f>IF($B215="","",'E08 — Estabilização Hypercare'!N220)</f>
        <v/>
      </c>
      <c r="AJ215" s="61" t="str">
        <f>IF(OR($B215="",'E08 — Estabilização Hypercare'!U220=""),"",'E08 — Estabilização Hypercare'!U220)</f>
        <v/>
      </c>
      <c r="AK215" s="60" t="str">
        <f t="shared" si="18"/>
        <v/>
      </c>
      <c r="AL215" s="65" t="str">
        <f t="shared" si="19"/>
        <v/>
      </c>
    </row>
    <row r="216" spans="2:38" s="42" customFormat="1" x14ac:dyDescent="0.35">
      <c r="B216" s="55" t="str">
        <f t="shared" si="15"/>
        <v/>
      </c>
      <c r="C216" s="40"/>
      <c r="D216" s="40"/>
      <c r="E216" s="41"/>
      <c r="F216" s="41"/>
      <c r="G216" s="41"/>
      <c r="H216" s="68" t="str">
        <f>IF('E2 — Triagem'!D221="","",'E2 — Triagem'!D221)</f>
        <v/>
      </c>
      <c r="I216" s="71"/>
      <c r="J216" s="41"/>
      <c r="K216" s="41"/>
      <c r="L216" s="71"/>
      <c r="M216" s="71"/>
      <c r="N216" s="71"/>
      <c r="O216" s="71"/>
      <c r="P216" s="41"/>
      <c r="Q216" s="41"/>
      <c r="R216" s="71"/>
      <c r="S216" s="71"/>
      <c r="T216" s="75"/>
      <c r="U216" s="75"/>
      <c r="V216" s="75"/>
      <c r="W216" s="58" t="str">
        <f t="shared" si="16"/>
        <v/>
      </c>
      <c r="X216" s="59" t="str">
        <f t="shared" si="17"/>
        <v/>
      </c>
      <c r="Y216" s="41"/>
      <c r="Z216" s="41"/>
      <c r="AA216" s="41"/>
      <c r="AB216" s="68" t="str">
        <f>IF($B216="","",'Workflow (Tracker)'!L239)</f>
        <v/>
      </c>
      <c r="AC216" s="69" t="str">
        <f>IF($B216="","",'E08 — Estabilização Hypercare'!K221)</f>
        <v/>
      </c>
      <c r="AD216" s="66" t="str">
        <f>IF($B216="","",'E08 — Estabilização Hypercare'!O221)</f>
        <v/>
      </c>
      <c r="AE216" s="66" t="str">
        <f>IF($B216="","",'E08 — Estabilização Hypercare'!Q221)</f>
        <v/>
      </c>
      <c r="AF216" s="66" t="str">
        <f>IF(OR($B216="",'E08 — Estabilização Hypercare'!R221=""),"",'E08 — Estabilização Hypercare'!R221)</f>
        <v/>
      </c>
      <c r="AG216" s="60" t="str">
        <f>IF($B216="","",'E08 — Estabilização Hypercare'!S221)</f>
        <v/>
      </c>
      <c r="AH216" s="61" t="str">
        <f>IF($B216="","",'E08 — Estabilização Hypercare'!T221)</f>
        <v/>
      </c>
      <c r="AI216" s="62" t="str">
        <f>IF($B216="","",'E08 — Estabilização Hypercare'!N221)</f>
        <v/>
      </c>
      <c r="AJ216" s="61" t="str">
        <f>IF(OR($B216="",'E08 — Estabilização Hypercare'!U221=""),"",'E08 — Estabilização Hypercare'!U221)</f>
        <v/>
      </c>
      <c r="AK216" s="60" t="str">
        <f t="shared" si="18"/>
        <v/>
      </c>
      <c r="AL216" s="65" t="str">
        <f t="shared" si="19"/>
        <v/>
      </c>
    </row>
    <row r="217" spans="2:38" s="42" customFormat="1" x14ac:dyDescent="0.35">
      <c r="B217" s="55" t="str">
        <f t="shared" si="15"/>
        <v/>
      </c>
      <c r="C217" s="40"/>
      <c r="D217" s="40"/>
      <c r="E217" s="41"/>
      <c r="F217" s="41"/>
      <c r="G217" s="41"/>
      <c r="H217" s="68" t="str">
        <f>IF('E2 — Triagem'!D222="","",'E2 — Triagem'!D222)</f>
        <v/>
      </c>
      <c r="I217" s="71"/>
      <c r="J217" s="41"/>
      <c r="K217" s="41"/>
      <c r="L217" s="71"/>
      <c r="M217" s="71"/>
      <c r="N217" s="71"/>
      <c r="O217" s="71"/>
      <c r="P217" s="41"/>
      <c r="Q217" s="41"/>
      <c r="R217" s="71"/>
      <c r="S217" s="71"/>
      <c r="T217" s="75"/>
      <c r="U217" s="75"/>
      <c r="V217" s="75"/>
      <c r="W217" s="58" t="str">
        <f t="shared" si="16"/>
        <v/>
      </c>
      <c r="X217" s="59" t="str">
        <f t="shared" si="17"/>
        <v/>
      </c>
      <c r="Y217" s="41"/>
      <c r="Z217" s="41"/>
      <c r="AA217" s="41"/>
      <c r="AB217" s="68" t="str">
        <f>IF($B217="","",'Workflow (Tracker)'!L240)</f>
        <v/>
      </c>
      <c r="AC217" s="69" t="str">
        <f>IF($B217="","",'E08 — Estabilização Hypercare'!K222)</f>
        <v/>
      </c>
      <c r="AD217" s="66" t="str">
        <f>IF($B217="","",'E08 — Estabilização Hypercare'!O222)</f>
        <v/>
      </c>
      <c r="AE217" s="66" t="str">
        <f>IF($B217="","",'E08 — Estabilização Hypercare'!Q222)</f>
        <v/>
      </c>
      <c r="AF217" s="66" t="str">
        <f>IF(OR($B217="",'E08 — Estabilização Hypercare'!R222=""),"",'E08 — Estabilização Hypercare'!R222)</f>
        <v/>
      </c>
      <c r="AG217" s="60" t="str">
        <f>IF($B217="","",'E08 — Estabilização Hypercare'!S222)</f>
        <v/>
      </c>
      <c r="AH217" s="61" t="str">
        <f>IF($B217="","",'E08 — Estabilização Hypercare'!T222)</f>
        <v/>
      </c>
      <c r="AI217" s="62" t="str">
        <f>IF($B217="","",'E08 — Estabilização Hypercare'!N222)</f>
        <v/>
      </c>
      <c r="AJ217" s="61" t="str">
        <f>IF(OR($B217="",'E08 — Estabilização Hypercare'!U222=""),"",'E08 — Estabilização Hypercare'!U222)</f>
        <v/>
      </c>
      <c r="AK217" s="60" t="str">
        <f t="shared" si="18"/>
        <v/>
      </c>
      <c r="AL217" s="65" t="str">
        <f t="shared" si="19"/>
        <v/>
      </c>
    </row>
    <row r="218" spans="2:38" s="42" customFormat="1" x14ac:dyDescent="0.35">
      <c r="B218" s="55" t="str">
        <f t="shared" si="15"/>
        <v/>
      </c>
      <c r="C218" s="40"/>
      <c r="D218" s="40"/>
      <c r="E218" s="41"/>
      <c r="F218" s="41"/>
      <c r="G218" s="41"/>
      <c r="H218" s="68" t="str">
        <f>IF('E2 — Triagem'!D223="","",'E2 — Triagem'!D223)</f>
        <v/>
      </c>
      <c r="I218" s="71"/>
      <c r="J218" s="41"/>
      <c r="K218" s="41"/>
      <c r="L218" s="71"/>
      <c r="M218" s="71"/>
      <c r="N218" s="71"/>
      <c r="O218" s="71"/>
      <c r="P218" s="41"/>
      <c r="Q218" s="41"/>
      <c r="R218" s="71"/>
      <c r="S218" s="71"/>
      <c r="T218" s="75"/>
      <c r="U218" s="75"/>
      <c r="V218" s="75"/>
      <c r="W218" s="58" t="str">
        <f t="shared" si="16"/>
        <v/>
      </c>
      <c r="X218" s="59" t="str">
        <f t="shared" si="17"/>
        <v/>
      </c>
      <c r="Y218" s="41"/>
      <c r="Z218" s="41"/>
      <c r="AA218" s="41"/>
      <c r="AB218" s="68" t="str">
        <f>IF($B218="","",'Workflow (Tracker)'!L241)</f>
        <v/>
      </c>
      <c r="AC218" s="69" t="str">
        <f>IF($B218="","",'E08 — Estabilização Hypercare'!K223)</f>
        <v/>
      </c>
      <c r="AD218" s="66" t="str">
        <f>IF($B218="","",'E08 — Estabilização Hypercare'!O223)</f>
        <v/>
      </c>
      <c r="AE218" s="66" t="str">
        <f>IF($B218="","",'E08 — Estabilização Hypercare'!Q223)</f>
        <v/>
      </c>
      <c r="AF218" s="66" t="str">
        <f>IF(OR($B218="",'E08 — Estabilização Hypercare'!R223=""),"",'E08 — Estabilização Hypercare'!R223)</f>
        <v/>
      </c>
      <c r="AG218" s="60" t="str">
        <f>IF($B218="","",'E08 — Estabilização Hypercare'!S223)</f>
        <v/>
      </c>
      <c r="AH218" s="61" t="str">
        <f>IF($B218="","",'E08 — Estabilização Hypercare'!T223)</f>
        <v/>
      </c>
      <c r="AI218" s="62" t="str">
        <f>IF($B218="","",'E08 — Estabilização Hypercare'!N223)</f>
        <v/>
      </c>
      <c r="AJ218" s="61" t="str">
        <f>IF(OR($B218="",'E08 — Estabilização Hypercare'!U223=""),"",'E08 — Estabilização Hypercare'!U223)</f>
        <v/>
      </c>
      <c r="AK218" s="60" t="str">
        <f t="shared" si="18"/>
        <v/>
      </c>
      <c r="AL218" s="65" t="str">
        <f t="shared" si="19"/>
        <v/>
      </c>
    </row>
    <row r="219" spans="2:38" s="42" customFormat="1" x14ac:dyDescent="0.35">
      <c r="B219" s="55" t="str">
        <f t="shared" si="15"/>
        <v/>
      </c>
      <c r="C219" s="40"/>
      <c r="D219" s="40"/>
      <c r="E219" s="41"/>
      <c r="F219" s="41"/>
      <c r="G219" s="41"/>
      <c r="H219" s="68" t="str">
        <f>IF('E2 — Triagem'!D224="","",'E2 — Triagem'!D224)</f>
        <v/>
      </c>
      <c r="I219" s="71"/>
      <c r="J219" s="41"/>
      <c r="K219" s="41"/>
      <c r="L219" s="71"/>
      <c r="M219" s="71"/>
      <c r="N219" s="71"/>
      <c r="O219" s="71"/>
      <c r="P219" s="41"/>
      <c r="Q219" s="41"/>
      <c r="R219" s="71"/>
      <c r="S219" s="71"/>
      <c r="T219" s="75"/>
      <c r="U219" s="75"/>
      <c r="V219" s="75"/>
      <c r="W219" s="58" t="str">
        <f t="shared" si="16"/>
        <v/>
      </c>
      <c r="X219" s="59" t="str">
        <f t="shared" si="17"/>
        <v/>
      </c>
      <c r="Y219" s="41"/>
      <c r="Z219" s="41"/>
      <c r="AA219" s="41"/>
      <c r="AB219" s="68" t="str">
        <f>IF($B219="","",'Workflow (Tracker)'!L242)</f>
        <v/>
      </c>
      <c r="AC219" s="69" t="str">
        <f>IF($B219="","",'E08 — Estabilização Hypercare'!K224)</f>
        <v/>
      </c>
      <c r="AD219" s="66" t="str">
        <f>IF($B219="","",'E08 — Estabilização Hypercare'!O224)</f>
        <v/>
      </c>
      <c r="AE219" s="66" t="str">
        <f>IF($B219="","",'E08 — Estabilização Hypercare'!Q224)</f>
        <v/>
      </c>
      <c r="AF219" s="66" t="str">
        <f>IF(OR($B219="",'E08 — Estabilização Hypercare'!R224=""),"",'E08 — Estabilização Hypercare'!R224)</f>
        <v/>
      </c>
      <c r="AG219" s="60" t="str">
        <f>IF($B219="","",'E08 — Estabilização Hypercare'!S224)</f>
        <v/>
      </c>
      <c r="AH219" s="61" t="str">
        <f>IF($B219="","",'E08 — Estabilização Hypercare'!T224)</f>
        <v/>
      </c>
      <c r="AI219" s="62" t="str">
        <f>IF($B219="","",'E08 — Estabilização Hypercare'!N224)</f>
        <v/>
      </c>
      <c r="AJ219" s="61" t="str">
        <f>IF(OR($B219="",'E08 — Estabilização Hypercare'!U224=""),"",'E08 — Estabilização Hypercare'!U224)</f>
        <v/>
      </c>
      <c r="AK219" s="60" t="str">
        <f t="shared" si="18"/>
        <v/>
      </c>
      <c r="AL219" s="65" t="str">
        <f t="shared" si="19"/>
        <v/>
      </c>
    </row>
    <row r="220" spans="2:38" s="42" customFormat="1" x14ac:dyDescent="0.35">
      <c r="B220" s="55" t="str">
        <f t="shared" si="15"/>
        <v/>
      </c>
      <c r="C220" s="40"/>
      <c r="D220" s="40"/>
      <c r="E220" s="41"/>
      <c r="F220" s="41"/>
      <c r="G220" s="41"/>
      <c r="H220" s="68" t="str">
        <f>IF('E2 — Triagem'!D225="","",'E2 — Triagem'!D225)</f>
        <v/>
      </c>
      <c r="I220" s="71"/>
      <c r="J220" s="41"/>
      <c r="K220" s="41"/>
      <c r="L220" s="71"/>
      <c r="M220" s="71"/>
      <c r="N220" s="71"/>
      <c r="O220" s="71"/>
      <c r="P220" s="41"/>
      <c r="Q220" s="41"/>
      <c r="R220" s="71"/>
      <c r="S220" s="71"/>
      <c r="T220" s="75"/>
      <c r="U220" s="75"/>
      <c r="V220" s="75"/>
      <c r="W220" s="58" t="str">
        <f t="shared" si="16"/>
        <v/>
      </c>
      <c r="X220" s="59" t="str">
        <f t="shared" si="17"/>
        <v/>
      </c>
      <c r="Y220" s="41"/>
      <c r="Z220" s="41"/>
      <c r="AA220" s="41"/>
      <c r="AB220" s="68" t="str">
        <f>IF($B220="","",'Workflow (Tracker)'!L243)</f>
        <v/>
      </c>
      <c r="AC220" s="69" t="str">
        <f>IF($B220="","",'E08 — Estabilização Hypercare'!K225)</f>
        <v/>
      </c>
      <c r="AD220" s="66" t="str">
        <f>IF($B220="","",'E08 — Estabilização Hypercare'!O225)</f>
        <v/>
      </c>
      <c r="AE220" s="66" t="str">
        <f>IF($B220="","",'E08 — Estabilização Hypercare'!Q225)</f>
        <v/>
      </c>
      <c r="AF220" s="66" t="str">
        <f>IF(OR($B220="",'E08 — Estabilização Hypercare'!R225=""),"",'E08 — Estabilização Hypercare'!R225)</f>
        <v/>
      </c>
      <c r="AG220" s="60" t="str">
        <f>IF($B220="","",'E08 — Estabilização Hypercare'!S225)</f>
        <v/>
      </c>
      <c r="AH220" s="61" t="str">
        <f>IF($B220="","",'E08 — Estabilização Hypercare'!T225)</f>
        <v/>
      </c>
      <c r="AI220" s="62" t="str">
        <f>IF($B220="","",'E08 — Estabilização Hypercare'!N225)</f>
        <v/>
      </c>
      <c r="AJ220" s="61" t="str">
        <f>IF(OR($B220="",'E08 — Estabilização Hypercare'!U225=""),"",'E08 — Estabilização Hypercare'!U225)</f>
        <v/>
      </c>
      <c r="AK220" s="60" t="str">
        <f t="shared" si="18"/>
        <v/>
      </c>
      <c r="AL220" s="65" t="str">
        <f t="shared" si="19"/>
        <v/>
      </c>
    </row>
    <row r="221" spans="2:38" s="42" customFormat="1" x14ac:dyDescent="0.35">
      <c r="B221" s="55" t="str">
        <f t="shared" si="15"/>
        <v/>
      </c>
      <c r="C221" s="40"/>
      <c r="D221" s="40"/>
      <c r="E221" s="41"/>
      <c r="F221" s="41"/>
      <c r="G221" s="41"/>
      <c r="H221" s="68" t="str">
        <f>IF('E2 — Triagem'!D226="","",'E2 — Triagem'!D226)</f>
        <v/>
      </c>
      <c r="I221" s="71"/>
      <c r="J221" s="41"/>
      <c r="K221" s="41"/>
      <c r="L221" s="71"/>
      <c r="M221" s="71"/>
      <c r="N221" s="71"/>
      <c r="O221" s="71"/>
      <c r="P221" s="41"/>
      <c r="Q221" s="41"/>
      <c r="R221" s="71"/>
      <c r="S221" s="71"/>
      <c r="T221" s="75"/>
      <c r="U221" s="75"/>
      <c r="V221" s="75"/>
      <c r="W221" s="58" t="str">
        <f t="shared" si="16"/>
        <v/>
      </c>
      <c r="X221" s="59" t="str">
        <f t="shared" si="17"/>
        <v/>
      </c>
      <c r="Y221" s="41"/>
      <c r="Z221" s="41"/>
      <c r="AA221" s="41"/>
      <c r="AB221" s="68" t="str">
        <f>IF($B221="","",'Workflow (Tracker)'!L244)</f>
        <v/>
      </c>
      <c r="AC221" s="69" t="str">
        <f>IF($B221="","",'E08 — Estabilização Hypercare'!K226)</f>
        <v/>
      </c>
      <c r="AD221" s="66" t="str">
        <f>IF($B221="","",'E08 — Estabilização Hypercare'!O226)</f>
        <v/>
      </c>
      <c r="AE221" s="66" t="str">
        <f>IF($B221="","",'E08 — Estabilização Hypercare'!Q226)</f>
        <v/>
      </c>
      <c r="AF221" s="66" t="str">
        <f>IF(OR($B221="",'E08 — Estabilização Hypercare'!R226=""),"",'E08 — Estabilização Hypercare'!R226)</f>
        <v/>
      </c>
      <c r="AG221" s="60" t="str">
        <f>IF($B221="","",'E08 — Estabilização Hypercare'!S226)</f>
        <v/>
      </c>
      <c r="AH221" s="61" t="str">
        <f>IF($B221="","",'E08 — Estabilização Hypercare'!T226)</f>
        <v/>
      </c>
      <c r="AI221" s="62" t="str">
        <f>IF($B221="","",'E08 — Estabilização Hypercare'!N226)</f>
        <v/>
      </c>
      <c r="AJ221" s="61" t="str">
        <f>IF(OR($B221="",'E08 — Estabilização Hypercare'!U226=""),"",'E08 — Estabilização Hypercare'!U226)</f>
        <v/>
      </c>
      <c r="AK221" s="60" t="str">
        <f t="shared" si="18"/>
        <v/>
      </c>
      <c r="AL221" s="65" t="str">
        <f t="shared" si="19"/>
        <v/>
      </c>
    </row>
    <row r="222" spans="2:38" s="42" customFormat="1" x14ac:dyDescent="0.35">
      <c r="B222" s="55" t="str">
        <f t="shared" si="15"/>
        <v/>
      </c>
      <c r="C222" s="40"/>
      <c r="D222" s="40"/>
      <c r="E222" s="41"/>
      <c r="F222" s="41"/>
      <c r="G222" s="41"/>
      <c r="H222" s="68" t="str">
        <f>IF('E2 — Triagem'!D227="","",'E2 — Triagem'!D227)</f>
        <v/>
      </c>
      <c r="I222" s="71"/>
      <c r="J222" s="41"/>
      <c r="K222" s="41"/>
      <c r="L222" s="71"/>
      <c r="M222" s="71"/>
      <c r="N222" s="71"/>
      <c r="O222" s="71"/>
      <c r="P222" s="41"/>
      <c r="Q222" s="41"/>
      <c r="R222" s="71"/>
      <c r="S222" s="71"/>
      <c r="T222" s="75"/>
      <c r="U222" s="75"/>
      <c r="V222" s="75"/>
      <c r="W222" s="58" t="str">
        <f t="shared" si="16"/>
        <v/>
      </c>
      <c r="X222" s="59" t="str">
        <f t="shared" si="17"/>
        <v/>
      </c>
      <c r="Y222" s="41"/>
      <c r="Z222" s="41"/>
      <c r="AA222" s="41"/>
      <c r="AB222" s="68" t="str">
        <f>IF($B222="","",'Workflow (Tracker)'!L245)</f>
        <v/>
      </c>
      <c r="AC222" s="69" t="str">
        <f>IF($B222="","",'E08 — Estabilização Hypercare'!K227)</f>
        <v/>
      </c>
      <c r="AD222" s="66" t="str">
        <f>IF($B222="","",'E08 — Estabilização Hypercare'!O227)</f>
        <v/>
      </c>
      <c r="AE222" s="66" t="str">
        <f>IF($B222="","",'E08 — Estabilização Hypercare'!Q227)</f>
        <v/>
      </c>
      <c r="AF222" s="66" t="str">
        <f>IF(OR($B222="",'E08 — Estabilização Hypercare'!R227=""),"",'E08 — Estabilização Hypercare'!R227)</f>
        <v/>
      </c>
      <c r="AG222" s="60" t="str">
        <f>IF($B222="","",'E08 — Estabilização Hypercare'!S227)</f>
        <v/>
      </c>
      <c r="AH222" s="61" t="str">
        <f>IF($B222="","",'E08 — Estabilização Hypercare'!T227)</f>
        <v/>
      </c>
      <c r="AI222" s="62" t="str">
        <f>IF($B222="","",'E08 — Estabilização Hypercare'!N227)</f>
        <v/>
      </c>
      <c r="AJ222" s="61" t="str">
        <f>IF(OR($B222="",'E08 — Estabilização Hypercare'!U227=""),"",'E08 — Estabilização Hypercare'!U227)</f>
        <v/>
      </c>
      <c r="AK222" s="60" t="str">
        <f t="shared" si="18"/>
        <v/>
      </c>
      <c r="AL222" s="65" t="str">
        <f t="shared" si="19"/>
        <v/>
      </c>
    </row>
    <row r="223" spans="2:38" s="42" customFormat="1" x14ac:dyDescent="0.35">
      <c r="B223" s="55" t="str">
        <f t="shared" si="15"/>
        <v/>
      </c>
      <c r="C223" s="40"/>
      <c r="D223" s="40"/>
      <c r="E223" s="41"/>
      <c r="F223" s="41"/>
      <c r="G223" s="41"/>
      <c r="H223" s="68" t="str">
        <f>IF('E2 — Triagem'!D228="","",'E2 — Triagem'!D228)</f>
        <v/>
      </c>
      <c r="I223" s="71"/>
      <c r="J223" s="41"/>
      <c r="K223" s="41"/>
      <c r="L223" s="71"/>
      <c r="M223" s="71"/>
      <c r="N223" s="71"/>
      <c r="O223" s="71"/>
      <c r="P223" s="41"/>
      <c r="Q223" s="41"/>
      <c r="R223" s="71"/>
      <c r="S223" s="71"/>
      <c r="T223" s="75"/>
      <c r="U223" s="75"/>
      <c r="V223" s="75"/>
      <c r="W223" s="58" t="str">
        <f t="shared" si="16"/>
        <v/>
      </c>
      <c r="X223" s="59" t="str">
        <f t="shared" si="17"/>
        <v/>
      </c>
      <c r="Y223" s="41"/>
      <c r="Z223" s="41"/>
      <c r="AA223" s="41"/>
      <c r="AB223" s="68" t="str">
        <f>IF($B223="","",'Workflow (Tracker)'!L246)</f>
        <v/>
      </c>
      <c r="AC223" s="69" t="str">
        <f>IF($B223="","",'E08 — Estabilização Hypercare'!K228)</f>
        <v/>
      </c>
      <c r="AD223" s="66" t="str">
        <f>IF($B223="","",'E08 — Estabilização Hypercare'!O228)</f>
        <v/>
      </c>
      <c r="AE223" s="66" t="str">
        <f>IF($B223="","",'E08 — Estabilização Hypercare'!Q228)</f>
        <v/>
      </c>
      <c r="AF223" s="66" t="str">
        <f>IF(OR($B223="",'E08 — Estabilização Hypercare'!R228=""),"",'E08 — Estabilização Hypercare'!R228)</f>
        <v/>
      </c>
      <c r="AG223" s="60" t="str">
        <f>IF($B223="","",'E08 — Estabilização Hypercare'!S228)</f>
        <v/>
      </c>
      <c r="AH223" s="61" t="str">
        <f>IF($B223="","",'E08 — Estabilização Hypercare'!T228)</f>
        <v/>
      </c>
      <c r="AI223" s="62" t="str">
        <f>IF($B223="","",'E08 — Estabilização Hypercare'!N228)</f>
        <v/>
      </c>
      <c r="AJ223" s="61" t="str">
        <f>IF(OR($B223="",'E08 — Estabilização Hypercare'!U228=""),"",'E08 — Estabilização Hypercare'!U228)</f>
        <v/>
      </c>
      <c r="AK223" s="60" t="str">
        <f t="shared" si="18"/>
        <v/>
      </c>
      <c r="AL223" s="65" t="str">
        <f t="shared" si="19"/>
        <v/>
      </c>
    </row>
    <row r="224" spans="2:38" s="42" customFormat="1" x14ac:dyDescent="0.35">
      <c r="B224" s="55" t="str">
        <f t="shared" si="15"/>
        <v/>
      </c>
      <c r="C224" s="40"/>
      <c r="D224" s="40"/>
      <c r="E224" s="41"/>
      <c r="F224" s="41"/>
      <c r="G224" s="41"/>
      <c r="H224" s="68" t="str">
        <f>IF('E2 — Triagem'!D229="","",'E2 — Triagem'!D229)</f>
        <v/>
      </c>
      <c r="I224" s="71"/>
      <c r="J224" s="41"/>
      <c r="K224" s="41"/>
      <c r="L224" s="71"/>
      <c r="M224" s="71"/>
      <c r="N224" s="71"/>
      <c r="O224" s="71"/>
      <c r="P224" s="41"/>
      <c r="Q224" s="41"/>
      <c r="R224" s="71"/>
      <c r="S224" s="71"/>
      <c r="T224" s="75"/>
      <c r="U224" s="75"/>
      <c r="V224" s="75"/>
      <c r="W224" s="58" t="str">
        <f t="shared" si="16"/>
        <v/>
      </c>
      <c r="X224" s="59" t="str">
        <f t="shared" si="17"/>
        <v/>
      </c>
      <c r="Y224" s="41"/>
      <c r="Z224" s="41"/>
      <c r="AA224" s="41"/>
      <c r="AB224" s="68" t="str">
        <f>IF($B224="","",'Workflow (Tracker)'!L247)</f>
        <v/>
      </c>
      <c r="AC224" s="69" t="str">
        <f>IF($B224="","",'E08 — Estabilização Hypercare'!K229)</f>
        <v/>
      </c>
      <c r="AD224" s="66" t="str">
        <f>IF($B224="","",'E08 — Estabilização Hypercare'!O229)</f>
        <v/>
      </c>
      <c r="AE224" s="66" t="str">
        <f>IF($B224="","",'E08 — Estabilização Hypercare'!Q229)</f>
        <v/>
      </c>
      <c r="AF224" s="66" t="str">
        <f>IF(OR($B224="",'E08 — Estabilização Hypercare'!R229=""),"",'E08 — Estabilização Hypercare'!R229)</f>
        <v/>
      </c>
      <c r="AG224" s="60" t="str">
        <f>IF($B224="","",'E08 — Estabilização Hypercare'!S229)</f>
        <v/>
      </c>
      <c r="AH224" s="61" t="str">
        <f>IF($B224="","",'E08 — Estabilização Hypercare'!T229)</f>
        <v/>
      </c>
      <c r="AI224" s="62" t="str">
        <f>IF($B224="","",'E08 — Estabilização Hypercare'!N229)</f>
        <v/>
      </c>
      <c r="AJ224" s="61" t="str">
        <f>IF(OR($B224="",'E08 — Estabilização Hypercare'!U229=""),"",'E08 — Estabilização Hypercare'!U229)</f>
        <v/>
      </c>
      <c r="AK224" s="60" t="str">
        <f t="shared" si="18"/>
        <v/>
      </c>
      <c r="AL224" s="65" t="str">
        <f t="shared" si="19"/>
        <v/>
      </c>
    </row>
    <row r="225" spans="2:38" s="42" customFormat="1" x14ac:dyDescent="0.35">
      <c r="B225" s="55" t="str">
        <f t="shared" si="15"/>
        <v/>
      </c>
      <c r="C225" s="40"/>
      <c r="D225" s="40"/>
      <c r="E225" s="41"/>
      <c r="F225" s="41"/>
      <c r="G225" s="41"/>
      <c r="H225" s="68" t="str">
        <f>IF('E2 — Triagem'!D230="","",'E2 — Triagem'!D230)</f>
        <v/>
      </c>
      <c r="I225" s="71"/>
      <c r="J225" s="41"/>
      <c r="K225" s="41"/>
      <c r="L225" s="71"/>
      <c r="M225" s="71"/>
      <c r="N225" s="71"/>
      <c r="O225" s="71"/>
      <c r="P225" s="41"/>
      <c r="Q225" s="41"/>
      <c r="R225" s="71"/>
      <c r="S225" s="71"/>
      <c r="T225" s="75"/>
      <c r="U225" s="75"/>
      <c r="V225" s="75"/>
      <c r="W225" s="58" t="str">
        <f t="shared" si="16"/>
        <v/>
      </c>
      <c r="X225" s="59" t="str">
        <f t="shared" si="17"/>
        <v/>
      </c>
      <c r="Y225" s="41"/>
      <c r="Z225" s="41"/>
      <c r="AA225" s="41"/>
      <c r="AB225" s="68" t="str">
        <f>IF($B225="","",'Workflow (Tracker)'!L248)</f>
        <v/>
      </c>
      <c r="AC225" s="69" t="str">
        <f>IF($B225="","",'E08 — Estabilização Hypercare'!K230)</f>
        <v/>
      </c>
      <c r="AD225" s="66" t="str">
        <f>IF($B225="","",'E08 — Estabilização Hypercare'!O230)</f>
        <v/>
      </c>
      <c r="AE225" s="66" t="str">
        <f>IF($B225="","",'E08 — Estabilização Hypercare'!Q230)</f>
        <v/>
      </c>
      <c r="AF225" s="66" t="str">
        <f>IF(OR($B225="",'E08 — Estabilização Hypercare'!R230=""),"",'E08 — Estabilização Hypercare'!R230)</f>
        <v/>
      </c>
      <c r="AG225" s="60" t="str">
        <f>IF($B225="","",'E08 — Estabilização Hypercare'!S230)</f>
        <v/>
      </c>
      <c r="AH225" s="61" t="str">
        <f>IF($B225="","",'E08 — Estabilização Hypercare'!T230)</f>
        <v/>
      </c>
      <c r="AI225" s="62" t="str">
        <f>IF($B225="","",'E08 — Estabilização Hypercare'!N230)</f>
        <v/>
      </c>
      <c r="AJ225" s="61" t="str">
        <f>IF(OR($B225="",'E08 — Estabilização Hypercare'!U230=""),"",'E08 — Estabilização Hypercare'!U230)</f>
        <v/>
      </c>
      <c r="AK225" s="60" t="str">
        <f t="shared" si="18"/>
        <v/>
      </c>
      <c r="AL225" s="65" t="str">
        <f t="shared" si="19"/>
        <v/>
      </c>
    </row>
    <row r="226" spans="2:38" s="42" customFormat="1" x14ac:dyDescent="0.35">
      <c r="B226" s="55" t="str">
        <f t="shared" si="15"/>
        <v/>
      </c>
      <c r="C226" s="40"/>
      <c r="D226" s="40"/>
      <c r="E226" s="41"/>
      <c r="F226" s="41"/>
      <c r="G226" s="41"/>
      <c r="H226" s="68" t="str">
        <f>IF('E2 — Triagem'!D231="","",'E2 — Triagem'!D231)</f>
        <v/>
      </c>
      <c r="I226" s="71"/>
      <c r="J226" s="41"/>
      <c r="K226" s="41"/>
      <c r="L226" s="71"/>
      <c r="M226" s="71"/>
      <c r="N226" s="71"/>
      <c r="O226" s="71"/>
      <c r="P226" s="41"/>
      <c r="Q226" s="41"/>
      <c r="R226" s="71"/>
      <c r="S226" s="71"/>
      <c r="T226" s="75"/>
      <c r="U226" s="75"/>
      <c r="V226" s="75"/>
      <c r="W226" s="58" t="str">
        <f t="shared" si="16"/>
        <v/>
      </c>
      <c r="X226" s="59" t="str">
        <f t="shared" si="17"/>
        <v/>
      </c>
      <c r="Y226" s="41"/>
      <c r="Z226" s="41"/>
      <c r="AA226" s="41"/>
      <c r="AB226" s="68" t="str">
        <f>IF($B226="","",'Workflow (Tracker)'!L249)</f>
        <v/>
      </c>
      <c r="AC226" s="69" t="str">
        <f>IF($B226="","",'E08 — Estabilização Hypercare'!K231)</f>
        <v/>
      </c>
      <c r="AD226" s="66" t="str">
        <f>IF($B226="","",'E08 — Estabilização Hypercare'!O231)</f>
        <v/>
      </c>
      <c r="AE226" s="66" t="str">
        <f>IF($B226="","",'E08 — Estabilização Hypercare'!Q231)</f>
        <v/>
      </c>
      <c r="AF226" s="66" t="str">
        <f>IF(OR($B226="",'E08 — Estabilização Hypercare'!R231=""),"",'E08 — Estabilização Hypercare'!R231)</f>
        <v/>
      </c>
      <c r="AG226" s="60" t="str">
        <f>IF($B226="","",'E08 — Estabilização Hypercare'!S231)</f>
        <v/>
      </c>
      <c r="AH226" s="61" t="str">
        <f>IF($B226="","",'E08 — Estabilização Hypercare'!T231)</f>
        <v/>
      </c>
      <c r="AI226" s="62" t="str">
        <f>IF($B226="","",'E08 — Estabilização Hypercare'!N231)</f>
        <v/>
      </c>
      <c r="AJ226" s="61" t="str">
        <f>IF(OR($B226="",'E08 — Estabilização Hypercare'!U231=""),"",'E08 — Estabilização Hypercare'!U231)</f>
        <v/>
      </c>
      <c r="AK226" s="60" t="str">
        <f t="shared" si="18"/>
        <v/>
      </c>
      <c r="AL226" s="65" t="str">
        <f t="shared" si="19"/>
        <v/>
      </c>
    </row>
    <row r="227" spans="2:38" s="42" customFormat="1" x14ac:dyDescent="0.35">
      <c r="B227" s="55" t="str">
        <f t="shared" si="15"/>
        <v/>
      </c>
      <c r="C227" s="40"/>
      <c r="D227" s="40"/>
      <c r="E227" s="41"/>
      <c r="F227" s="41"/>
      <c r="G227" s="41"/>
      <c r="H227" s="68" t="str">
        <f>IF('E2 — Triagem'!D232="","",'E2 — Triagem'!D232)</f>
        <v/>
      </c>
      <c r="I227" s="71"/>
      <c r="J227" s="41"/>
      <c r="K227" s="41"/>
      <c r="L227" s="71"/>
      <c r="M227" s="71"/>
      <c r="N227" s="71"/>
      <c r="O227" s="71"/>
      <c r="P227" s="41"/>
      <c r="Q227" s="41"/>
      <c r="R227" s="71"/>
      <c r="S227" s="71"/>
      <c r="T227" s="75"/>
      <c r="U227" s="75"/>
      <c r="V227" s="75"/>
      <c r="W227" s="58" t="str">
        <f t="shared" si="16"/>
        <v/>
      </c>
      <c r="X227" s="59" t="str">
        <f t="shared" si="17"/>
        <v/>
      </c>
      <c r="Y227" s="41"/>
      <c r="Z227" s="41"/>
      <c r="AA227" s="41"/>
      <c r="AB227" s="68" t="str">
        <f>IF($B227="","",'Workflow (Tracker)'!L250)</f>
        <v/>
      </c>
      <c r="AC227" s="69" t="str">
        <f>IF($B227="","",'E08 — Estabilização Hypercare'!K232)</f>
        <v/>
      </c>
      <c r="AD227" s="66" t="str">
        <f>IF($B227="","",'E08 — Estabilização Hypercare'!O232)</f>
        <v/>
      </c>
      <c r="AE227" s="66" t="str">
        <f>IF($B227="","",'E08 — Estabilização Hypercare'!Q232)</f>
        <v/>
      </c>
      <c r="AF227" s="66" t="str">
        <f>IF(OR($B227="",'E08 — Estabilização Hypercare'!R232=""),"",'E08 — Estabilização Hypercare'!R232)</f>
        <v/>
      </c>
      <c r="AG227" s="60" t="str">
        <f>IF($B227="","",'E08 — Estabilização Hypercare'!S232)</f>
        <v/>
      </c>
      <c r="AH227" s="61" t="str">
        <f>IF($B227="","",'E08 — Estabilização Hypercare'!T232)</f>
        <v/>
      </c>
      <c r="AI227" s="62" t="str">
        <f>IF($B227="","",'E08 — Estabilização Hypercare'!N232)</f>
        <v/>
      </c>
      <c r="AJ227" s="61" t="str">
        <f>IF(OR($B227="",'E08 — Estabilização Hypercare'!U232=""),"",'E08 — Estabilização Hypercare'!U232)</f>
        <v/>
      </c>
      <c r="AK227" s="60" t="str">
        <f t="shared" si="18"/>
        <v/>
      </c>
      <c r="AL227" s="65" t="str">
        <f t="shared" si="19"/>
        <v/>
      </c>
    </row>
    <row r="228" spans="2:38" s="42" customFormat="1" x14ac:dyDescent="0.35">
      <c r="B228" s="55" t="str">
        <f t="shared" si="15"/>
        <v/>
      </c>
      <c r="C228" s="40"/>
      <c r="D228" s="40"/>
      <c r="E228" s="41"/>
      <c r="F228" s="41"/>
      <c r="G228" s="41"/>
      <c r="H228" s="68" t="str">
        <f>IF('E2 — Triagem'!D233="","",'E2 — Triagem'!D233)</f>
        <v/>
      </c>
      <c r="I228" s="71"/>
      <c r="J228" s="41"/>
      <c r="K228" s="41"/>
      <c r="L228" s="71"/>
      <c r="M228" s="71"/>
      <c r="N228" s="71"/>
      <c r="O228" s="71"/>
      <c r="P228" s="41"/>
      <c r="Q228" s="41"/>
      <c r="R228" s="71"/>
      <c r="S228" s="71"/>
      <c r="T228" s="75"/>
      <c r="U228" s="75"/>
      <c r="V228" s="75"/>
      <c r="W228" s="58" t="str">
        <f t="shared" si="16"/>
        <v/>
      </c>
      <c r="X228" s="59" t="str">
        <f t="shared" si="17"/>
        <v/>
      </c>
      <c r="Y228" s="41"/>
      <c r="Z228" s="41"/>
      <c r="AA228" s="41"/>
      <c r="AB228" s="68" t="str">
        <f>IF($B228="","",'Workflow (Tracker)'!L251)</f>
        <v/>
      </c>
      <c r="AC228" s="69" t="str">
        <f>IF($B228="","",'E08 — Estabilização Hypercare'!K233)</f>
        <v/>
      </c>
      <c r="AD228" s="66" t="str">
        <f>IF($B228="","",'E08 — Estabilização Hypercare'!O233)</f>
        <v/>
      </c>
      <c r="AE228" s="66" t="str">
        <f>IF($B228="","",'E08 — Estabilização Hypercare'!Q233)</f>
        <v/>
      </c>
      <c r="AF228" s="66" t="str">
        <f>IF(OR($B228="",'E08 — Estabilização Hypercare'!R233=""),"",'E08 — Estabilização Hypercare'!R233)</f>
        <v/>
      </c>
      <c r="AG228" s="60" t="str">
        <f>IF($B228="","",'E08 — Estabilização Hypercare'!S233)</f>
        <v/>
      </c>
      <c r="AH228" s="61" t="str">
        <f>IF($B228="","",'E08 — Estabilização Hypercare'!T233)</f>
        <v/>
      </c>
      <c r="AI228" s="62" t="str">
        <f>IF($B228="","",'E08 — Estabilização Hypercare'!N233)</f>
        <v/>
      </c>
      <c r="AJ228" s="61" t="str">
        <f>IF(OR($B228="",'E08 — Estabilização Hypercare'!U233=""),"",'E08 — Estabilização Hypercare'!U233)</f>
        <v/>
      </c>
      <c r="AK228" s="60" t="str">
        <f t="shared" si="18"/>
        <v/>
      </c>
      <c r="AL228" s="65" t="str">
        <f t="shared" si="19"/>
        <v/>
      </c>
    </row>
    <row r="229" spans="2:38" s="42" customFormat="1" x14ac:dyDescent="0.35">
      <c r="B229" s="55" t="str">
        <f t="shared" si="15"/>
        <v/>
      </c>
      <c r="C229" s="40"/>
      <c r="D229" s="40"/>
      <c r="E229" s="41"/>
      <c r="F229" s="41"/>
      <c r="G229" s="41"/>
      <c r="H229" s="68" t="str">
        <f>IF('E2 — Triagem'!D234="","",'E2 — Triagem'!D234)</f>
        <v/>
      </c>
      <c r="I229" s="71"/>
      <c r="J229" s="41"/>
      <c r="K229" s="41"/>
      <c r="L229" s="71"/>
      <c r="M229" s="71"/>
      <c r="N229" s="71"/>
      <c r="O229" s="71"/>
      <c r="P229" s="41"/>
      <c r="Q229" s="41"/>
      <c r="R229" s="71"/>
      <c r="S229" s="71"/>
      <c r="T229" s="75"/>
      <c r="U229" s="75"/>
      <c r="V229" s="75"/>
      <c r="W229" s="58" t="str">
        <f t="shared" si="16"/>
        <v/>
      </c>
      <c r="X229" s="59" t="str">
        <f t="shared" si="17"/>
        <v/>
      </c>
      <c r="Y229" s="41"/>
      <c r="Z229" s="41"/>
      <c r="AA229" s="41"/>
      <c r="AB229" s="68" t="str">
        <f>IF($B229="","",'Workflow (Tracker)'!L252)</f>
        <v/>
      </c>
      <c r="AC229" s="69" t="str">
        <f>IF($B229="","",'E08 — Estabilização Hypercare'!K234)</f>
        <v/>
      </c>
      <c r="AD229" s="66" t="str">
        <f>IF($B229="","",'E08 — Estabilização Hypercare'!O234)</f>
        <v/>
      </c>
      <c r="AE229" s="66" t="str">
        <f>IF($B229="","",'E08 — Estabilização Hypercare'!Q234)</f>
        <v/>
      </c>
      <c r="AF229" s="66" t="str">
        <f>IF(OR($B229="",'E08 — Estabilização Hypercare'!R234=""),"",'E08 — Estabilização Hypercare'!R234)</f>
        <v/>
      </c>
      <c r="AG229" s="60" t="str">
        <f>IF($B229="","",'E08 — Estabilização Hypercare'!S234)</f>
        <v/>
      </c>
      <c r="AH229" s="61" t="str">
        <f>IF($B229="","",'E08 — Estabilização Hypercare'!T234)</f>
        <v/>
      </c>
      <c r="AI229" s="62" t="str">
        <f>IF($B229="","",'E08 — Estabilização Hypercare'!N234)</f>
        <v/>
      </c>
      <c r="AJ229" s="61" t="str">
        <f>IF(OR($B229="",'E08 — Estabilização Hypercare'!U234=""),"",'E08 — Estabilização Hypercare'!U234)</f>
        <v/>
      </c>
      <c r="AK229" s="60" t="str">
        <f t="shared" si="18"/>
        <v/>
      </c>
      <c r="AL229" s="65" t="str">
        <f t="shared" si="19"/>
        <v/>
      </c>
    </row>
    <row r="230" spans="2:38" s="42" customFormat="1" x14ac:dyDescent="0.35">
      <c r="B230" s="55" t="str">
        <f t="shared" si="15"/>
        <v/>
      </c>
      <c r="C230" s="40"/>
      <c r="D230" s="40"/>
      <c r="E230" s="41"/>
      <c r="F230" s="41"/>
      <c r="G230" s="41"/>
      <c r="H230" s="68" t="str">
        <f>IF('E2 — Triagem'!D235="","",'E2 — Triagem'!D235)</f>
        <v/>
      </c>
      <c r="I230" s="71"/>
      <c r="J230" s="41"/>
      <c r="K230" s="41"/>
      <c r="L230" s="71"/>
      <c r="M230" s="71"/>
      <c r="N230" s="71"/>
      <c r="O230" s="71"/>
      <c r="P230" s="41"/>
      <c r="Q230" s="41"/>
      <c r="R230" s="71"/>
      <c r="S230" s="71"/>
      <c r="T230" s="75"/>
      <c r="U230" s="75"/>
      <c r="V230" s="75"/>
      <c r="W230" s="58" t="str">
        <f t="shared" si="16"/>
        <v/>
      </c>
      <c r="X230" s="59" t="str">
        <f t="shared" si="17"/>
        <v/>
      </c>
      <c r="Y230" s="41"/>
      <c r="Z230" s="41"/>
      <c r="AA230" s="41"/>
      <c r="AB230" s="68" t="str">
        <f>IF($B230="","",'Workflow (Tracker)'!L253)</f>
        <v/>
      </c>
      <c r="AC230" s="69" t="str">
        <f>IF($B230="","",'E08 — Estabilização Hypercare'!K235)</f>
        <v/>
      </c>
      <c r="AD230" s="66" t="str">
        <f>IF($B230="","",'E08 — Estabilização Hypercare'!O235)</f>
        <v/>
      </c>
      <c r="AE230" s="66" t="str">
        <f>IF($B230="","",'E08 — Estabilização Hypercare'!Q235)</f>
        <v/>
      </c>
      <c r="AF230" s="66" t="str">
        <f>IF(OR($B230="",'E08 — Estabilização Hypercare'!R235=""),"",'E08 — Estabilização Hypercare'!R235)</f>
        <v/>
      </c>
      <c r="AG230" s="60" t="str">
        <f>IF($B230="","",'E08 — Estabilização Hypercare'!S235)</f>
        <v/>
      </c>
      <c r="AH230" s="61" t="str">
        <f>IF($B230="","",'E08 — Estabilização Hypercare'!T235)</f>
        <v/>
      </c>
      <c r="AI230" s="62" t="str">
        <f>IF($B230="","",'E08 — Estabilização Hypercare'!N235)</f>
        <v/>
      </c>
      <c r="AJ230" s="61" t="str">
        <f>IF(OR($B230="",'E08 — Estabilização Hypercare'!U235=""),"",'E08 — Estabilização Hypercare'!U235)</f>
        <v/>
      </c>
      <c r="AK230" s="60" t="str">
        <f t="shared" si="18"/>
        <v/>
      </c>
      <c r="AL230" s="65" t="str">
        <f t="shared" si="19"/>
        <v/>
      </c>
    </row>
    <row r="231" spans="2:38" s="42" customFormat="1" x14ac:dyDescent="0.35">
      <c r="B231" s="55" t="str">
        <f t="shared" si="15"/>
        <v/>
      </c>
      <c r="C231" s="40"/>
      <c r="D231" s="40"/>
      <c r="E231" s="41"/>
      <c r="F231" s="41"/>
      <c r="G231" s="41"/>
      <c r="H231" s="68" t="str">
        <f>IF('E2 — Triagem'!D236="","",'E2 — Triagem'!D236)</f>
        <v/>
      </c>
      <c r="I231" s="71"/>
      <c r="J231" s="41"/>
      <c r="K231" s="41"/>
      <c r="L231" s="71"/>
      <c r="M231" s="71"/>
      <c r="N231" s="71"/>
      <c r="O231" s="71"/>
      <c r="P231" s="41"/>
      <c r="Q231" s="41"/>
      <c r="R231" s="71"/>
      <c r="S231" s="71"/>
      <c r="T231" s="75"/>
      <c r="U231" s="75"/>
      <c r="V231" s="75"/>
      <c r="W231" s="58" t="str">
        <f t="shared" si="16"/>
        <v/>
      </c>
      <c r="X231" s="59" t="str">
        <f t="shared" si="17"/>
        <v/>
      </c>
      <c r="Y231" s="41"/>
      <c r="Z231" s="41"/>
      <c r="AA231" s="41"/>
      <c r="AB231" s="68" t="str">
        <f>IF($B231="","",'Workflow (Tracker)'!L254)</f>
        <v/>
      </c>
      <c r="AC231" s="69" t="str">
        <f>IF($B231="","",'E08 — Estabilização Hypercare'!K236)</f>
        <v/>
      </c>
      <c r="AD231" s="66" t="str">
        <f>IF($B231="","",'E08 — Estabilização Hypercare'!O236)</f>
        <v/>
      </c>
      <c r="AE231" s="66" t="str">
        <f>IF($B231="","",'E08 — Estabilização Hypercare'!Q236)</f>
        <v/>
      </c>
      <c r="AF231" s="66" t="str">
        <f>IF(OR($B231="",'E08 — Estabilização Hypercare'!R236=""),"",'E08 — Estabilização Hypercare'!R236)</f>
        <v/>
      </c>
      <c r="AG231" s="60" t="str">
        <f>IF($B231="","",'E08 — Estabilização Hypercare'!S236)</f>
        <v/>
      </c>
      <c r="AH231" s="61" t="str">
        <f>IF($B231="","",'E08 — Estabilização Hypercare'!T236)</f>
        <v/>
      </c>
      <c r="AI231" s="62" t="str">
        <f>IF($B231="","",'E08 — Estabilização Hypercare'!N236)</f>
        <v/>
      </c>
      <c r="AJ231" s="61" t="str">
        <f>IF(OR($B231="",'E08 — Estabilização Hypercare'!U236=""),"",'E08 — Estabilização Hypercare'!U236)</f>
        <v/>
      </c>
      <c r="AK231" s="60" t="str">
        <f t="shared" si="18"/>
        <v/>
      </c>
      <c r="AL231" s="65" t="str">
        <f t="shared" si="19"/>
        <v/>
      </c>
    </row>
    <row r="232" spans="2:38" s="42" customFormat="1" x14ac:dyDescent="0.35">
      <c r="B232" s="55" t="str">
        <f t="shared" si="15"/>
        <v/>
      </c>
      <c r="C232" s="40"/>
      <c r="D232" s="40"/>
      <c r="E232" s="41"/>
      <c r="F232" s="41"/>
      <c r="G232" s="41"/>
      <c r="H232" s="68" t="str">
        <f>IF('E2 — Triagem'!D237="","",'E2 — Triagem'!D237)</f>
        <v/>
      </c>
      <c r="I232" s="71"/>
      <c r="J232" s="41"/>
      <c r="K232" s="41"/>
      <c r="L232" s="71"/>
      <c r="M232" s="71"/>
      <c r="N232" s="71"/>
      <c r="O232" s="71"/>
      <c r="P232" s="41"/>
      <c r="Q232" s="41"/>
      <c r="R232" s="71"/>
      <c r="S232" s="71"/>
      <c r="T232" s="75"/>
      <c r="U232" s="75"/>
      <c r="V232" s="75"/>
      <c r="W232" s="58" t="str">
        <f t="shared" si="16"/>
        <v/>
      </c>
      <c r="X232" s="59" t="str">
        <f t="shared" si="17"/>
        <v/>
      </c>
      <c r="Y232" s="41"/>
      <c r="Z232" s="41"/>
      <c r="AA232" s="41"/>
      <c r="AB232" s="68" t="str">
        <f>IF($B232="","",'Workflow (Tracker)'!L255)</f>
        <v/>
      </c>
      <c r="AC232" s="69" t="str">
        <f>IF($B232="","",'E08 — Estabilização Hypercare'!K237)</f>
        <v/>
      </c>
      <c r="AD232" s="66" t="str">
        <f>IF($B232="","",'E08 — Estabilização Hypercare'!O237)</f>
        <v/>
      </c>
      <c r="AE232" s="66" t="str">
        <f>IF($B232="","",'E08 — Estabilização Hypercare'!Q237)</f>
        <v/>
      </c>
      <c r="AF232" s="66" t="str">
        <f>IF(OR($B232="",'E08 — Estabilização Hypercare'!R237=""),"",'E08 — Estabilização Hypercare'!R237)</f>
        <v/>
      </c>
      <c r="AG232" s="60" t="str">
        <f>IF($B232="","",'E08 — Estabilização Hypercare'!S237)</f>
        <v/>
      </c>
      <c r="AH232" s="61" t="str">
        <f>IF($B232="","",'E08 — Estabilização Hypercare'!T237)</f>
        <v/>
      </c>
      <c r="AI232" s="62" t="str">
        <f>IF($B232="","",'E08 — Estabilização Hypercare'!N237)</f>
        <v/>
      </c>
      <c r="AJ232" s="61" t="str">
        <f>IF(OR($B232="",'E08 — Estabilização Hypercare'!U237=""),"",'E08 — Estabilização Hypercare'!U237)</f>
        <v/>
      </c>
      <c r="AK232" s="60" t="str">
        <f t="shared" si="18"/>
        <v/>
      </c>
      <c r="AL232" s="65" t="str">
        <f t="shared" si="19"/>
        <v/>
      </c>
    </row>
    <row r="233" spans="2:38" s="42" customFormat="1" x14ac:dyDescent="0.35">
      <c r="B233" s="55" t="str">
        <f t="shared" si="15"/>
        <v/>
      </c>
      <c r="C233" s="40"/>
      <c r="D233" s="40"/>
      <c r="E233" s="41"/>
      <c r="F233" s="41"/>
      <c r="G233" s="41"/>
      <c r="H233" s="68" t="str">
        <f>IF('E2 — Triagem'!D238="","",'E2 — Triagem'!D238)</f>
        <v/>
      </c>
      <c r="I233" s="71"/>
      <c r="J233" s="41"/>
      <c r="K233" s="41"/>
      <c r="L233" s="71"/>
      <c r="M233" s="71"/>
      <c r="N233" s="71"/>
      <c r="O233" s="71"/>
      <c r="P233" s="41"/>
      <c r="Q233" s="41"/>
      <c r="R233" s="71"/>
      <c r="S233" s="71"/>
      <c r="T233" s="75"/>
      <c r="U233" s="75"/>
      <c r="V233" s="75"/>
      <c r="W233" s="58" t="str">
        <f t="shared" si="16"/>
        <v/>
      </c>
      <c r="X233" s="59" t="str">
        <f t="shared" si="17"/>
        <v/>
      </c>
      <c r="Y233" s="41"/>
      <c r="Z233" s="41"/>
      <c r="AA233" s="41"/>
      <c r="AB233" s="68" t="str">
        <f>IF($B233="","",'Workflow (Tracker)'!L256)</f>
        <v/>
      </c>
      <c r="AC233" s="69" t="str">
        <f>IF($B233="","",'E08 — Estabilização Hypercare'!K238)</f>
        <v/>
      </c>
      <c r="AD233" s="66" t="str">
        <f>IF($B233="","",'E08 — Estabilização Hypercare'!O238)</f>
        <v/>
      </c>
      <c r="AE233" s="66" t="str">
        <f>IF($B233="","",'E08 — Estabilização Hypercare'!Q238)</f>
        <v/>
      </c>
      <c r="AF233" s="66" t="str">
        <f>IF(OR($B233="",'E08 — Estabilização Hypercare'!R238=""),"",'E08 — Estabilização Hypercare'!R238)</f>
        <v/>
      </c>
      <c r="AG233" s="60" t="str">
        <f>IF($B233="","",'E08 — Estabilização Hypercare'!S238)</f>
        <v/>
      </c>
      <c r="AH233" s="61" t="str">
        <f>IF($B233="","",'E08 — Estabilização Hypercare'!T238)</f>
        <v/>
      </c>
      <c r="AI233" s="62" t="str">
        <f>IF($B233="","",'E08 — Estabilização Hypercare'!N238)</f>
        <v/>
      </c>
      <c r="AJ233" s="61" t="str">
        <f>IF(OR($B233="",'E08 — Estabilização Hypercare'!U238=""),"",'E08 — Estabilização Hypercare'!U238)</f>
        <v/>
      </c>
      <c r="AK233" s="60" t="str">
        <f t="shared" si="18"/>
        <v/>
      </c>
      <c r="AL233" s="65" t="str">
        <f t="shared" si="19"/>
        <v/>
      </c>
    </row>
    <row r="234" spans="2:38" s="42" customFormat="1" x14ac:dyDescent="0.35">
      <c r="B234" s="55" t="str">
        <f t="shared" si="15"/>
        <v/>
      </c>
      <c r="C234" s="40"/>
      <c r="D234" s="40"/>
      <c r="E234" s="41"/>
      <c r="F234" s="41"/>
      <c r="G234" s="41"/>
      <c r="H234" s="68" t="str">
        <f>IF('E2 — Triagem'!D239="","",'E2 — Triagem'!D239)</f>
        <v/>
      </c>
      <c r="I234" s="71"/>
      <c r="J234" s="41"/>
      <c r="K234" s="41"/>
      <c r="L234" s="71"/>
      <c r="M234" s="71"/>
      <c r="N234" s="71"/>
      <c r="O234" s="71"/>
      <c r="P234" s="41"/>
      <c r="Q234" s="41"/>
      <c r="R234" s="71"/>
      <c r="S234" s="71"/>
      <c r="T234" s="75"/>
      <c r="U234" s="75"/>
      <c r="V234" s="75"/>
      <c r="W234" s="58" t="str">
        <f t="shared" si="16"/>
        <v/>
      </c>
      <c r="X234" s="59" t="str">
        <f t="shared" si="17"/>
        <v/>
      </c>
      <c r="Y234" s="41"/>
      <c r="Z234" s="41"/>
      <c r="AA234" s="41"/>
      <c r="AB234" s="68" t="str">
        <f>IF($B234="","",'Workflow (Tracker)'!L257)</f>
        <v/>
      </c>
      <c r="AC234" s="69" t="str">
        <f>IF($B234="","",'E08 — Estabilização Hypercare'!K239)</f>
        <v/>
      </c>
      <c r="AD234" s="66" t="str">
        <f>IF($B234="","",'E08 — Estabilização Hypercare'!O239)</f>
        <v/>
      </c>
      <c r="AE234" s="66" t="str">
        <f>IF($B234="","",'E08 — Estabilização Hypercare'!Q239)</f>
        <v/>
      </c>
      <c r="AF234" s="66" t="str">
        <f>IF(OR($B234="",'E08 — Estabilização Hypercare'!R239=""),"",'E08 — Estabilização Hypercare'!R239)</f>
        <v/>
      </c>
      <c r="AG234" s="60" t="str">
        <f>IF($B234="","",'E08 — Estabilização Hypercare'!S239)</f>
        <v/>
      </c>
      <c r="AH234" s="61" t="str">
        <f>IF($B234="","",'E08 — Estabilização Hypercare'!T239)</f>
        <v/>
      </c>
      <c r="AI234" s="62" t="str">
        <f>IF($B234="","",'E08 — Estabilização Hypercare'!N239)</f>
        <v/>
      </c>
      <c r="AJ234" s="61" t="str">
        <f>IF(OR($B234="",'E08 — Estabilização Hypercare'!U239=""),"",'E08 — Estabilização Hypercare'!U239)</f>
        <v/>
      </c>
      <c r="AK234" s="60" t="str">
        <f t="shared" si="18"/>
        <v/>
      </c>
      <c r="AL234" s="65" t="str">
        <f t="shared" si="19"/>
        <v/>
      </c>
    </row>
    <row r="235" spans="2:38" s="42" customFormat="1" x14ac:dyDescent="0.35">
      <c r="B235" s="55" t="str">
        <f t="shared" si="15"/>
        <v/>
      </c>
      <c r="C235" s="40"/>
      <c r="D235" s="40"/>
      <c r="E235" s="41"/>
      <c r="F235" s="41"/>
      <c r="G235" s="41"/>
      <c r="H235" s="68" t="str">
        <f>IF('E2 — Triagem'!D240="","",'E2 — Triagem'!D240)</f>
        <v/>
      </c>
      <c r="I235" s="71"/>
      <c r="J235" s="41"/>
      <c r="K235" s="41"/>
      <c r="L235" s="71"/>
      <c r="M235" s="71"/>
      <c r="N235" s="71"/>
      <c r="O235" s="71"/>
      <c r="P235" s="41"/>
      <c r="Q235" s="41"/>
      <c r="R235" s="71"/>
      <c r="S235" s="71"/>
      <c r="T235" s="75"/>
      <c r="U235" s="75"/>
      <c r="V235" s="75"/>
      <c r="W235" s="58" t="str">
        <f t="shared" si="16"/>
        <v/>
      </c>
      <c r="X235" s="59" t="str">
        <f t="shared" si="17"/>
        <v/>
      </c>
      <c r="Y235" s="41"/>
      <c r="Z235" s="41"/>
      <c r="AA235" s="41"/>
      <c r="AB235" s="68" t="str">
        <f>IF($B235="","",'Workflow (Tracker)'!L258)</f>
        <v/>
      </c>
      <c r="AC235" s="69" t="str">
        <f>IF($B235="","",'E08 — Estabilização Hypercare'!K240)</f>
        <v/>
      </c>
      <c r="AD235" s="66" t="str">
        <f>IF($B235="","",'E08 — Estabilização Hypercare'!O240)</f>
        <v/>
      </c>
      <c r="AE235" s="66" t="str">
        <f>IF($B235="","",'E08 — Estabilização Hypercare'!Q240)</f>
        <v/>
      </c>
      <c r="AF235" s="66" t="str">
        <f>IF(OR($B235="",'E08 — Estabilização Hypercare'!R240=""),"",'E08 — Estabilização Hypercare'!R240)</f>
        <v/>
      </c>
      <c r="AG235" s="60" t="str">
        <f>IF($B235="","",'E08 — Estabilização Hypercare'!S240)</f>
        <v/>
      </c>
      <c r="AH235" s="61" t="str">
        <f>IF($B235="","",'E08 — Estabilização Hypercare'!T240)</f>
        <v/>
      </c>
      <c r="AI235" s="62" t="str">
        <f>IF($B235="","",'E08 — Estabilização Hypercare'!N240)</f>
        <v/>
      </c>
      <c r="AJ235" s="61" t="str">
        <f>IF(OR($B235="",'E08 — Estabilização Hypercare'!U240=""),"",'E08 — Estabilização Hypercare'!U240)</f>
        <v/>
      </c>
      <c r="AK235" s="60" t="str">
        <f t="shared" si="18"/>
        <v/>
      </c>
      <c r="AL235" s="65" t="str">
        <f t="shared" si="19"/>
        <v/>
      </c>
    </row>
    <row r="236" spans="2:38" s="42" customFormat="1" x14ac:dyDescent="0.35">
      <c r="B236" s="55" t="str">
        <f t="shared" si="15"/>
        <v/>
      </c>
      <c r="C236" s="40"/>
      <c r="D236" s="40"/>
      <c r="E236" s="41"/>
      <c r="F236" s="41"/>
      <c r="G236" s="41"/>
      <c r="H236" s="68" t="str">
        <f>IF('E2 — Triagem'!D241="","",'E2 — Triagem'!D241)</f>
        <v/>
      </c>
      <c r="I236" s="71"/>
      <c r="J236" s="41"/>
      <c r="K236" s="41"/>
      <c r="L236" s="71"/>
      <c r="M236" s="71"/>
      <c r="N236" s="71"/>
      <c r="O236" s="71"/>
      <c r="P236" s="41"/>
      <c r="Q236" s="41"/>
      <c r="R236" s="71"/>
      <c r="S236" s="71"/>
      <c r="T236" s="75"/>
      <c r="U236" s="75"/>
      <c r="V236" s="75"/>
      <c r="W236" s="58" t="str">
        <f t="shared" si="16"/>
        <v/>
      </c>
      <c r="X236" s="59" t="str">
        <f t="shared" si="17"/>
        <v/>
      </c>
      <c r="Y236" s="41"/>
      <c r="Z236" s="41"/>
      <c r="AA236" s="41"/>
      <c r="AB236" s="68" t="str">
        <f>IF($B236="","",'Workflow (Tracker)'!L259)</f>
        <v/>
      </c>
      <c r="AC236" s="69" t="str">
        <f>IF($B236="","",'E08 — Estabilização Hypercare'!K241)</f>
        <v/>
      </c>
      <c r="AD236" s="66" t="str">
        <f>IF($B236="","",'E08 — Estabilização Hypercare'!O241)</f>
        <v/>
      </c>
      <c r="AE236" s="66" t="str">
        <f>IF($B236="","",'E08 — Estabilização Hypercare'!Q241)</f>
        <v/>
      </c>
      <c r="AF236" s="66" t="str">
        <f>IF(OR($B236="",'E08 — Estabilização Hypercare'!R241=""),"",'E08 — Estabilização Hypercare'!R241)</f>
        <v/>
      </c>
      <c r="AG236" s="60" t="str">
        <f>IF($B236="","",'E08 — Estabilização Hypercare'!S241)</f>
        <v/>
      </c>
      <c r="AH236" s="61" t="str">
        <f>IF($B236="","",'E08 — Estabilização Hypercare'!T241)</f>
        <v/>
      </c>
      <c r="AI236" s="62" t="str">
        <f>IF($B236="","",'E08 — Estabilização Hypercare'!N241)</f>
        <v/>
      </c>
      <c r="AJ236" s="61" t="str">
        <f>IF(OR($B236="",'E08 — Estabilização Hypercare'!U241=""),"",'E08 — Estabilização Hypercare'!U241)</f>
        <v/>
      </c>
      <c r="AK236" s="60" t="str">
        <f t="shared" si="18"/>
        <v/>
      </c>
      <c r="AL236" s="65" t="str">
        <f t="shared" si="19"/>
        <v/>
      </c>
    </row>
    <row r="237" spans="2:38" s="42" customFormat="1" x14ac:dyDescent="0.35">
      <c r="B237" s="55" t="str">
        <f t="shared" si="15"/>
        <v/>
      </c>
      <c r="C237" s="40"/>
      <c r="D237" s="40"/>
      <c r="E237" s="41"/>
      <c r="F237" s="41"/>
      <c r="G237" s="41"/>
      <c r="H237" s="68" t="str">
        <f>IF('E2 — Triagem'!D242="","",'E2 — Triagem'!D242)</f>
        <v/>
      </c>
      <c r="I237" s="71"/>
      <c r="J237" s="41"/>
      <c r="K237" s="41"/>
      <c r="L237" s="71"/>
      <c r="M237" s="71"/>
      <c r="N237" s="71"/>
      <c r="O237" s="71"/>
      <c r="P237" s="41"/>
      <c r="Q237" s="41"/>
      <c r="R237" s="71"/>
      <c r="S237" s="71"/>
      <c r="T237" s="75"/>
      <c r="U237" s="75"/>
      <c r="V237" s="75"/>
      <c r="W237" s="58" t="str">
        <f t="shared" si="16"/>
        <v/>
      </c>
      <c r="X237" s="59" t="str">
        <f t="shared" si="17"/>
        <v/>
      </c>
      <c r="Y237" s="41"/>
      <c r="Z237" s="41"/>
      <c r="AA237" s="41"/>
      <c r="AB237" s="68" t="str">
        <f>IF($B237="","",'Workflow (Tracker)'!L260)</f>
        <v/>
      </c>
      <c r="AC237" s="69" t="str">
        <f>IF($B237="","",'E08 — Estabilização Hypercare'!K242)</f>
        <v/>
      </c>
      <c r="AD237" s="66" t="str">
        <f>IF($B237="","",'E08 — Estabilização Hypercare'!O242)</f>
        <v/>
      </c>
      <c r="AE237" s="66" t="str">
        <f>IF($B237="","",'E08 — Estabilização Hypercare'!Q242)</f>
        <v/>
      </c>
      <c r="AF237" s="66" t="str">
        <f>IF(OR($B237="",'E08 — Estabilização Hypercare'!R242=""),"",'E08 — Estabilização Hypercare'!R242)</f>
        <v/>
      </c>
      <c r="AG237" s="60" t="str">
        <f>IF($B237="","",'E08 — Estabilização Hypercare'!S242)</f>
        <v/>
      </c>
      <c r="AH237" s="61" t="str">
        <f>IF($B237="","",'E08 — Estabilização Hypercare'!T242)</f>
        <v/>
      </c>
      <c r="AI237" s="62" t="str">
        <f>IF($B237="","",'E08 — Estabilização Hypercare'!N242)</f>
        <v/>
      </c>
      <c r="AJ237" s="61" t="str">
        <f>IF(OR($B237="",'E08 — Estabilização Hypercare'!U242=""),"",'E08 — Estabilização Hypercare'!U242)</f>
        <v/>
      </c>
      <c r="AK237" s="60" t="str">
        <f t="shared" si="18"/>
        <v/>
      </c>
      <c r="AL237" s="65" t="str">
        <f t="shared" si="19"/>
        <v/>
      </c>
    </row>
    <row r="238" spans="2:38" s="42" customFormat="1" x14ac:dyDescent="0.35">
      <c r="B238" s="55" t="str">
        <f t="shared" si="15"/>
        <v/>
      </c>
      <c r="C238" s="40"/>
      <c r="D238" s="40"/>
      <c r="E238" s="41"/>
      <c r="F238" s="41"/>
      <c r="G238" s="41"/>
      <c r="H238" s="68" t="str">
        <f>IF('E2 — Triagem'!D243="","",'E2 — Triagem'!D243)</f>
        <v/>
      </c>
      <c r="I238" s="71"/>
      <c r="J238" s="41"/>
      <c r="K238" s="41"/>
      <c r="L238" s="71"/>
      <c r="M238" s="71"/>
      <c r="N238" s="71"/>
      <c r="O238" s="71"/>
      <c r="P238" s="41"/>
      <c r="Q238" s="41"/>
      <c r="R238" s="71"/>
      <c r="S238" s="71"/>
      <c r="T238" s="75"/>
      <c r="U238" s="75"/>
      <c r="V238" s="75"/>
      <c r="W238" s="58" t="str">
        <f t="shared" si="16"/>
        <v/>
      </c>
      <c r="X238" s="59" t="str">
        <f t="shared" si="17"/>
        <v/>
      </c>
      <c r="Y238" s="41"/>
      <c r="Z238" s="41"/>
      <c r="AA238" s="41"/>
      <c r="AB238" s="68" t="str">
        <f>IF($B238="","",'Workflow (Tracker)'!L261)</f>
        <v/>
      </c>
      <c r="AC238" s="69" t="str">
        <f>IF($B238="","",'E08 — Estabilização Hypercare'!K243)</f>
        <v/>
      </c>
      <c r="AD238" s="66" t="str">
        <f>IF($B238="","",'E08 — Estabilização Hypercare'!O243)</f>
        <v/>
      </c>
      <c r="AE238" s="66" t="str">
        <f>IF($B238="","",'E08 — Estabilização Hypercare'!Q243)</f>
        <v/>
      </c>
      <c r="AF238" s="66" t="str">
        <f>IF(OR($B238="",'E08 — Estabilização Hypercare'!R243=""),"",'E08 — Estabilização Hypercare'!R243)</f>
        <v/>
      </c>
      <c r="AG238" s="60" t="str">
        <f>IF($B238="","",'E08 — Estabilização Hypercare'!S243)</f>
        <v/>
      </c>
      <c r="AH238" s="61" t="str">
        <f>IF($B238="","",'E08 — Estabilização Hypercare'!T243)</f>
        <v/>
      </c>
      <c r="AI238" s="62" t="str">
        <f>IF($B238="","",'E08 — Estabilização Hypercare'!N243)</f>
        <v/>
      </c>
      <c r="AJ238" s="61" t="str">
        <f>IF(OR($B238="",'E08 — Estabilização Hypercare'!U243=""),"",'E08 — Estabilização Hypercare'!U243)</f>
        <v/>
      </c>
      <c r="AK238" s="60" t="str">
        <f t="shared" si="18"/>
        <v/>
      </c>
      <c r="AL238" s="65" t="str">
        <f t="shared" si="19"/>
        <v/>
      </c>
    </row>
    <row r="239" spans="2:38" s="42" customFormat="1" x14ac:dyDescent="0.35">
      <c r="B239" s="55" t="str">
        <f t="shared" si="15"/>
        <v/>
      </c>
      <c r="C239" s="40"/>
      <c r="D239" s="40"/>
      <c r="E239" s="41"/>
      <c r="F239" s="41"/>
      <c r="G239" s="41"/>
      <c r="H239" s="68" t="str">
        <f>IF('E2 — Triagem'!D244="","",'E2 — Triagem'!D244)</f>
        <v/>
      </c>
      <c r="I239" s="71"/>
      <c r="J239" s="41"/>
      <c r="K239" s="41"/>
      <c r="L239" s="71"/>
      <c r="M239" s="71"/>
      <c r="N239" s="71"/>
      <c r="O239" s="71"/>
      <c r="P239" s="41"/>
      <c r="Q239" s="41"/>
      <c r="R239" s="71"/>
      <c r="S239" s="71"/>
      <c r="T239" s="75"/>
      <c r="U239" s="75"/>
      <c r="V239" s="75"/>
      <c r="W239" s="58" t="str">
        <f t="shared" si="16"/>
        <v/>
      </c>
      <c r="X239" s="59" t="str">
        <f t="shared" si="17"/>
        <v/>
      </c>
      <c r="Y239" s="41"/>
      <c r="Z239" s="41"/>
      <c r="AA239" s="41"/>
      <c r="AB239" s="68" t="str">
        <f>IF($B239="","",'Workflow (Tracker)'!L262)</f>
        <v/>
      </c>
      <c r="AC239" s="69" t="str">
        <f>IF($B239="","",'E08 — Estabilização Hypercare'!K244)</f>
        <v/>
      </c>
      <c r="AD239" s="66" t="str">
        <f>IF($B239="","",'E08 — Estabilização Hypercare'!O244)</f>
        <v/>
      </c>
      <c r="AE239" s="66" t="str">
        <f>IF($B239="","",'E08 — Estabilização Hypercare'!Q244)</f>
        <v/>
      </c>
      <c r="AF239" s="66" t="str">
        <f>IF(OR($B239="",'E08 — Estabilização Hypercare'!R244=""),"",'E08 — Estabilização Hypercare'!R244)</f>
        <v/>
      </c>
      <c r="AG239" s="60" t="str">
        <f>IF($B239="","",'E08 — Estabilização Hypercare'!S244)</f>
        <v/>
      </c>
      <c r="AH239" s="61" t="str">
        <f>IF($B239="","",'E08 — Estabilização Hypercare'!T244)</f>
        <v/>
      </c>
      <c r="AI239" s="62" t="str">
        <f>IF($B239="","",'E08 — Estabilização Hypercare'!N244)</f>
        <v/>
      </c>
      <c r="AJ239" s="61" t="str">
        <f>IF(OR($B239="",'E08 — Estabilização Hypercare'!U244=""),"",'E08 — Estabilização Hypercare'!U244)</f>
        <v/>
      </c>
      <c r="AK239" s="60" t="str">
        <f t="shared" si="18"/>
        <v/>
      </c>
      <c r="AL239" s="65" t="str">
        <f t="shared" si="19"/>
        <v/>
      </c>
    </row>
    <row r="240" spans="2:38" s="42" customFormat="1" x14ac:dyDescent="0.35">
      <c r="B240" s="55" t="str">
        <f t="shared" si="15"/>
        <v/>
      </c>
      <c r="C240" s="40"/>
      <c r="D240" s="40"/>
      <c r="E240" s="41"/>
      <c r="F240" s="41"/>
      <c r="G240" s="41"/>
      <c r="H240" s="68" t="str">
        <f>IF('E2 — Triagem'!D245="","",'E2 — Triagem'!D245)</f>
        <v/>
      </c>
      <c r="I240" s="71"/>
      <c r="J240" s="41"/>
      <c r="K240" s="41"/>
      <c r="L240" s="71"/>
      <c r="M240" s="71"/>
      <c r="N240" s="71"/>
      <c r="O240" s="71"/>
      <c r="P240" s="41"/>
      <c r="Q240" s="41"/>
      <c r="R240" s="71"/>
      <c r="S240" s="71"/>
      <c r="T240" s="75"/>
      <c r="U240" s="75"/>
      <c r="V240" s="75"/>
      <c r="W240" s="58" t="str">
        <f t="shared" si="16"/>
        <v/>
      </c>
      <c r="X240" s="59" t="str">
        <f t="shared" si="17"/>
        <v/>
      </c>
      <c r="Y240" s="41"/>
      <c r="Z240" s="41"/>
      <c r="AA240" s="41"/>
      <c r="AB240" s="68" t="str">
        <f>IF($B240="","",'Workflow (Tracker)'!L263)</f>
        <v/>
      </c>
      <c r="AC240" s="69" t="str">
        <f>IF($B240="","",'E08 — Estabilização Hypercare'!K245)</f>
        <v/>
      </c>
      <c r="AD240" s="66" t="str">
        <f>IF($B240="","",'E08 — Estabilização Hypercare'!O245)</f>
        <v/>
      </c>
      <c r="AE240" s="66" t="str">
        <f>IF($B240="","",'E08 — Estabilização Hypercare'!Q245)</f>
        <v/>
      </c>
      <c r="AF240" s="66" t="str">
        <f>IF(OR($B240="",'E08 — Estabilização Hypercare'!R245=""),"",'E08 — Estabilização Hypercare'!R245)</f>
        <v/>
      </c>
      <c r="AG240" s="60" t="str">
        <f>IF($B240="","",'E08 — Estabilização Hypercare'!S245)</f>
        <v/>
      </c>
      <c r="AH240" s="61" t="str">
        <f>IF($B240="","",'E08 — Estabilização Hypercare'!T245)</f>
        <v/>
      </c>
      <c r="AI240" s="62" t="str">
        <f>IF($B240="","",'E08 — Estabilização Hypercare'!N245)</f>
        <v/>
      </c>
      <c r="AJ240" s="61" t="str">
        <f>IF(OR($B240="",'E08 — Estabilização Hypercare'!U245=""),"",'E08 — Estabilização Hypercare'!U245)</f>
        <v/>
      </c>
      <c r="AK240" s="60" t="str">
        <f t="shared" si="18"/>
        <v/>
      </c>
      <c r="AL240" s="65" t="str">
        <f t="shared" si="19"/>
        <v/>
      </c>
    </row>
    <row r="241" spans="2:38" s="42" customFormat="1" x14ac:dyDescent="0.35">
      <c r="B241" s="55" t="str">
        <f t="shared" si="15"/>
        <v/>
      </c>
      <c r="C241" s="40"/>
      <c r="D241" s="40"/>
      <c r="E241" s="41"/>
      <c r="F241" s="41"/>
      <c r="G241" s="41"/>
      <c r="H241" s="68" t="str">
        <f>IF('E2 — Triagem'!D246="","",'E2 — Triagem'!D246)</f>
        <v/>
      </c>
      <c r="I241" s="71"/>
      <c r="J241" s="41"/>
      <c r="K241" s="41"/>
      <c r="L241" s="71"/>
      <c r="M241" s="71"/>
      <c r="N241" s="71"/>
      <c r="O241" s="71"/>
      <c r="P241" s="41"/>
      <c r="Q241" s="41"/>
      <c r="R241" s="71"/>
      <c r="S241" s="71"/>
      <c r="T241" s="75"/>
      <c r="U241" s="75"/>
      <c r="V241" s="75"/>
      <c r="W241" s="58" t="str">
        <f t="shared" si="16"/>
        <v/>
      </c>
      <c r="X241" s="59" t="str">
        <f t="shared" si="17"/>
        <v/>
      </c>
      <c r="Y241" s="41"/>
      <c r="Z241" s="41"/>
      <c r="AA241" s="41"/>
      <c r="AB241" s="68" t="str">
        <f>IF($B241="","",'Workflow (Tracker)'!L264)</f>
        <v/>
      </c>
      <c r="AC241" s="69" t="str">
        <f>IF($B241="","",'E08 — Estabilização Hypercare'!K246)</f>
        <v/>
      </c>
      <c r="AD241" s="66" t="str">
        <f>IF($B241="","",'E08 — Estabilização Hypercare'!O246)</f>
        <v/>
      </c>
      <c r="AE241" s="66" t="str">
        <f>IF($B241="","",'E08 — Estabilização Hypercare'!Q246)</f>
        <v/>
      </c>
      <c r="AF241" s="66" t="str">
        <f>IF(OR($B241="",'E08 — Estabilização Hypercare'!R246=""),"",'E08 — Estabilização Hypercare'!R246)</f>
        <v/>
      </c>
      <c r="AG241" s="60" t="str">
        <f>IF($B241="","",'E08 — Estabilização Hypercare'!S246)</f>
        <v/>
      </c>
      <c r="AH241" s="61" t="str">
        <f>IF($B241="","",'E08 — Estabilização Hypercare'!T246)</f>
        <v/>
      </c>
      <c r="AI241" s="62" t="str">
        <f>IF($B241="","",'E08 — Estabilização Hypercare'!N246)</f>
        <v/>
      </c>
      <c r="AJ241" s="61" t="str">
        <f>IF(OR($B241="",'E08 — Estabilização Hypercare'!U246=""),"",'E08 — Estabilização Hypercare'!U246)</f>
        <v/>
      </c>
      <c r="AK241" s="60" t="str">
        <f t="shared" si="18"/>
        <v/>
      </c>
      <c r="AL241" s="65" t="str">
        <f t="shared" si="19"/>
        <v/>
      </c>
    </row>
    <row r="242" spans="2:38" s="42" customFormat="1" x14ac:dyDescent="0.35">
      <c r="B242" s="55" t="str">
        <f t="shared" si="15"/>
        <v/>
      </c>
      <c r="C242" s="40"/>
      <c r="D242" s="40"/>
      <c r="E242" s="41"/>
      <c r="F242" s="41"/>
      <c r="G242" s="41"/>
      <c r="H242" s="68" t="str">
        <f>IF('E2 — Triagem'!D247="","",'E2 — Triagem'!D247)</f>
        <v/>
      </c>
      <c r="I242" s="71"/>
      <c r="J242" s="41"/>
      <c r="K242" s="41"/>
      <c r="L242" s="71"/>
      <c r="M242" s="71"/>
      <c r="N242" s="71"/>
      <c r="O242" s="71"/>
      <c r="P242" s="41"/>
      <c r="Q242" s="41"/>
      <c r="R242" s="71"/>
      <c r="S242" s="71"/>
      <c r="T242" s="75"/>
      <c r="U242" s="75"/>
      <c r="V242" s="75"/>
      <c r="W242" s="58" t="str">
        <f t="shared" si="16"/>
        <v/>
      </c>
      <c r="X242" s="59" t="str">
        <f t="shared" si="17"/>
        <v/>
      </c>
      <c r="Y242" s="41"/>
      <c r="Z242" s="41"/>
      <c r="AA242" s="41"/>
      <c r="AB242" s="68" t="str">
        <f>IF($B242="","",'Workflow (Tracker)'!L265)</f>
        <v/>
      </c>
      <c r="AC242" s="69" t="str">
        <f>IF($B242="","",'E08 — Estabilização Hypercare'!K247)</f>
        <v/>
      </c>
      <c r="AD242" s="66" t="str">
        <f>IF($B242="","",'E08 — Estabilização Hypercare'!O247)</f>
        <v/>
      </c>
      <c r="AE242" s="66" t="str">
        <f>IF($B242="","",'E08 — Estabilização Hypercare'!Q247)</f>
        <v/>
      </c>
      <c r="AF242" s="66" t="str">
        <f>IF(OR($B242="",'E08 — Estabilização Hypercare'!R247=""),"",'E08 — Estabilização Hypercare'!R247)</f>
        <v/>
      </c>
      <c r="AG242" s="60" t="str">
        <f>IF($B242="","",'E08 — Estabilização Hypercare'!S247)</f>
        <v/>
      </c>
      <c r="AH242" s="61" t="str">
        <f>IF($B242="","",'E08 — Estabilização Hypercare'!T247)</f>
        <v/>
      </c>
      <c r="AI242" s="62" t="str">
        <f>IF($B242="","",'E08 — Estabilização Hypercare'!N247)</f>
        <v/>
      </c>
      <c r="AJ242" s="61" t="str">
        <f>IF(OR($B242="",'E08 — Estabilização Hypercare'!U247=""),"",'E08 — Estabilização Hypercare'!U247)</f>
        <v/>
      </c>
      <c r="AK242" s="60" t="str">
        <f t="shared" si="18"/>
        <v/>
      </c>
      <c r="AL242" s="65" t="str">
        <f t="shared" si="19"/>
        <v/>
      </c>
    </row>
    <row r="243" spans="2:38" s="42" customFormat="1" x14ac:dyDescent="0.35">
      <c r="B243" s="55" t="str">
        <f t="shared" si="15"/>
        <v/>
      </c>
      <c r="C243" s="40"/>
      <c r="D243" s="40"/>
      <c r="E243" s="41"/>
      <c r="F243" s="41"/>
      <c r="G243" s="41"/>
      <c r="H243" s="68" t="str">
        <f>IF('E2 — Triagem'!D248="","",'E2 — Triagem'!D248)</f>
        <v/>
      </c>
      <c r="I243" s="71"/>
      <c r="J243" s="41"/>
      <c r="K243" s="41"/>
      <c r="L243" s="71"/>
      <c r="M243" s="71"/>
      <c r="N243" s="71"/>
      <c r="O243" s="71"/>
      <c r="P243" s="41"/>
      <c r="Q243" s="41"/>
      <c r="R243" s="71"/>
      <c r="S243" s="71"/>
      <c r="T243" s="75"/>
      <c r="U243" s="75"/>
      <c r="V243" s="75"/>
      <c r="W243" s="58" t="str">
        <f t="shared" si="16"/>
        <v/>
      </c>
      <c r="X243" s="59" t="str">
        <f t="shared" si="17"/>
        <v/>
      </c>
      <c r="Y243" s="41"/>
      <c r="Z243" s="41"/>
      <c r="AA243" s="41"/>
      <c r="AB243" s="68" t="str">
        <f>IF($B243="","",'Workflow (Tracker)'!L266)</f>
        <v/>
      </c>
      <c r="AC243" s="69" t="str">
        <f>IF($B243="","",'E08 — Estabilização Hypercare'!K248)</f>
        <v/>
      </c>
      <c r="AD243" s="66" t="str">
        <f>IF($B243="","",'E08 — Estabilização Hypercare'!O248)</f>
        <v/>
      </c>
      <c r="AE243" s="66" t="str">
        <f>IF($B243="","",'E08 — Estabilização Hypercare'!Q248)</f>
        <v/>
      </c>
      <c r="AF243" s="66" t="str">
        <f>IF(OR($B243="",'E08 — Estabilização Hypercare'!R248=""),"",'E08 — Estabilização Hypercare'!R248)</f>
        <v/>
      </c>
      <c r="AG243" s="60" t="str">
        <f>IF($B243="","",'E08 — Estabilização Hypercare'!S248)</f>
        <v/>
      </c>
      <c r="AH243" s="61" t="str">
        <f>IF($B243="","",'E08 — Estabilização Hypercare'!T248)</f>
        <v/>
      </c>
      <c r="AI243" s="62" t="str">
        <f>IF($B243="","",'E08 — Estabilização Hypercare'!N248)</f>
        <v/>
      </c>
      <c r="AJ243" s="61" t="str">
        <f>IF(OR($B243="",'E08 — Estabilização Hypercare'!U248=""),"",'E08 — Estabilização Hypercare'!U248)</f>
        <v/>
      </c>
      <c r="AK243" s="60" t="str">
        <f t="shared" si="18"/>
        <v/>
      </c>
      <c r="AL243" s="65" t="str">
        <f t="shared" si="19"/>
        <v/>
      </c>
    </row>
    <row r="244" spans="2:38" s="42" customFormat="1" x14ac:dyDescent="0.35">
      <c r="B244" s="55" t="str">
        <f t="shared" si="15"/>
        <v/>
      </c>
      <c r="C244" s="40"/>
      <c r="D244" s="40"/>
      <c r="E244" s="41"/>
      <c r="F244" s="41"/>
      <c r="G244" s="41"/>
      <c r="H244" s="68" t="str">
        <f>IF('E2 — Triagem'!D249="","",'E2 — Triagem'!D249)</f>
        <v/>
      </c>
      <c r="I244" s="71"/>
      <c r="J244" s="41"/>
      <c r="K244" s="41"/>
      <c r="L244" s="71"/>
      <c r="M244" s="71"/>
      <c r="N244" s="71"/>
      <c r="O244" s="71"/>
      <c r="P244" s="41"/>
      <c r="Q244" s="41"/>
      <c r="R244" s="71"/>
      <c r="S244" s="71"/>
      <c r="T244" s="75"/>
      <c r="U244" s="75"/>
      <c r="V244" s="75"/>
      <c r="W244" s="58" t="str">
        <f t="shared" si="16"/>
        <v/>
      </c>
      <c r="X244" s="59" t="str">
        <f t="shared" si="17"/>
        <v/>
      </c>
      <c r="Y244" s="41"/>
      <c r="Z244" s="41"/>
      <c r="AA244" s="41"/>
      <c r="AB244" s="68" t="str">
        <f>IF($B244="","",'Workflow (Tracker)'!L267)</f>
        <v/>
      </c>
      <c r="AC244" s="69" t="str">
        <f>IF($B244="","",'E08 — Estabilização Hypercare'!K249)</f>
        <v/>
      </c>
      <c r="AD244" s="66" t="str">
        <f>IF($B244="","",'E08 — Estabilização Hypercare'!O249)</f>
        <v/>
      </c>
      <c r="AE244" s="66" t="str">
        <f>IF($B244="","",'E08 — Estabilização Hypercare'!Q249)</f>
        <v/>
      </c>
      <c r="AF244" s="66" t="str">
        <f>IF(OR($B244="",'E08 — Estabilização Hypercare'!R249=""),"",'E08 — Estabilização Hypercare'!R249)</f>
        <v/>
      </c>
      <c r="AG244" s="60" t="str">
        <f>IF($B244="","",'E08 — Estabilização Hypercare'!S249)</f>
        <v/>
      </c>
      <c r="AH244" s="61" t="str">
        <f>IF($B244="","",'E08 — Estabilização Hypercare'!T249)</f>
        <v/>
      </c>
      <c r="AI244" s="62" t="str">
        <f>IF($B244="","",'E08 — Estabilização Hypercare'!N249)</f>
        <v/>
      </c>
      <c r="AJ244" s="61" t="str">
        <f>IF(OR($B244="",'E08 — Estabilização Hypercare'!U249=""),"",'E08 — Estabilização Hypercare'!U249)</f>
        <v/>
      </c>
      <c r="AK244" s="60" t="str">
        <f t="shared" si="18"/>
        <v/>
      </c>
      <c r="AL244" s="65" t="str">
        <f t="shared" si="19"/>
        <v/>
      </c>
    </row>
    <row r="245" spans="2:38" s="42" customFormat="1" x14ac:dyDescent="0.35">
      <c r="B245" s="55" t="str">
        <f t="shared" si="15"/>
        <v/>
      </c>
      <c r="C245" s="40"/>
      <c r="D245" s="40"/>
      <c r="E245" s="41"/>
      <c r="F245" s="41"/>
      <c r="G245" s="41"/>
      <c r="H245" s="68" t="str">
        <f>IF('E2 — Triagem'!D250="","",'E2 — Triagem'!D250)</f>
        <v/>
      </c>
      <c r="I245" s="71"/>
      <c r="J245" s="41"/>
      <c r="K245" s="41"/>
      <c r="L245" s="71"/>
      <c r="M245" s="71"/>
      <c r="N245" s="71"/>
      <c r="O245" s="71"/>
      <c r="P245" s="41"/>
      <c r="Q245" s="41"/>
      <c r="R245" s="71"/>
      <c r="S245" s="71"/>
      <c r="T245" s="75"/>
      <c r="U245" s="75"/>
      <c r="V245" s="75"/>
      <c r="W245" s="58" t="str">
        <f t="shared" si="16"/>
        <v/>
      </c>
      <c r="X245" s="59" t="str">
        <f t="shared" si="17"/>
        <v/>
      </c>
      <c r="Y245" s="41"/>
      <c r="Z245" s="41"/>
      <c r="AA245" s="41"/>
      <c r="AB245" s="68" t="str">
        <f>IF($B245="","",'Workflow (Tracker)'!L268)</f>
        <v/>
      </c>
      <c r="AC245" s="69" t="str">
        <f>IF($B245="","",'E08 — Estabilização Hypercare'!K250)</f>
        <v/>
      </c>
      <c r="AD245" s="66" t="str">
        <f>IF($B245="","",'E08 — Estabilização Hypercare'!O250)</f>
        <v/>
      </c>
      <c r="AE245" s="66" t="str">
        <f>IF($B245="","",'E08 — Estabilização Hypercare'!Q250)</f>
        <v/>
      </c>
      <c r="AF245" s="66" t="str">
        <f>IF(OR($B245="",'E08 — Estabilização Hypercare'!R250=""),"",'E08 — Estabilização Hypercare'!R250)</f>
        <v/>
      </c>
      <c r="AG245" s="60" t="str">
        <f>IF($B245="","",'E08 — Estabilização Hypercare'!S250)</f>
        <v/>
      </c>
      <c r="AH245" s="61" t="str">
        <f>IF($B245="","",'E08 — Estabilização Hypercare'!T250)</f>
        <v/>
      </c>
      <c r="AI245" s="62" t="str">
        <f>IF($B245="","",'E08 — Estabilização Hypercare'!N250)</f>
        <v/>
      </c>
      <c r="AJ245" s="61" t="str">
        <f>IF(OR($B245="",'E08 — Estabilização Hypercare'!U250=""),"",'E08 — Estabilização Hypercare'!U250)</f>
        <v/>
      </c>
      <c r="AK245" s="60" t="str">
        <f t="shared" si="18"/>
        <v/>
      </c>
      <c r="AL245" s="65" t="str">
        <f t="shared" si="19"/>
        <v/>
      </c>
    </row>
    <row r="246" spans="2:38" s="42" customFormat="1" x14ac:dyDescent="0.35">
      <c r="B246" s="55" t="str">
        <f t="shared" si="15"/>
        <v/>
      </c>
      <c r="C246" s="40"/>
      <c r="D246" s="40"/>
      <c r="E246" s="41"/>
      <c r="F246" s="41"/>
      <c r="G246" s="41"/>
      <c r="H246" s="68" t="str">
        <f>IF('E2 — Triagem'!D251="","",'E2 — Triagem'!D251)</f>
        <v/>
      </c>
      <c r="I246" s="71"/>
      <c r="J246" s="41"/>
      <c r="K246" s="41"/>
      <c r="L246" s="71"/>
      <c r="M246" s="71"/>
      <c r="N246" s="71"/>
      <c r="O246" s="71"/>
      <c r="P246" s="41"/>
      <c r="Q246" s="41"/>
      <c r="R246" s="71"/>
      <c r="S246" s="71"/>
      <c r="T246" s="75"/>
      <c r="U246" s="75"/>
      <c r="V246" s="75"/>
      <c r="W246" s="58" t="str">
        <f t="shared" si="16"/>
        <v/>
      </c>
      <c r="X246" s="59" t="str">
        <f t="shared" si="17"/>
        <v/>
      </c>
      <c r="Y246" s="41"/>
      <c r="Z246" s="41"/>
      <c r="AA246" s="41"/>
      <c r="AB246" s="68" t="str">
        <f>IF($B246="","",'Workflow (Tracker)'!L269)</f>
        <v/>
      </c>
      <c r="AC246" s="69" t="str">
        <f>IF($B246="","",'E08 — Estabilização Hypercare'!K251)</f>
        <v/>
      </c>
      <c r="AD246" s="66" t="str">
        <f>IF($B246="","",'E08 — Estabilização Hypercare'!O251)</f>
        <v/>
      </c>
      <c r="AE246" s="66" t="str">
        <f>IF($B246="","",'E08 — Estabilização Hypercare'!Q251)</f>
        <v/>
      </c>
      <c r="AF246" s="66" t="str">
        <f>IF(OR($B246="",'E08 — Estabilização Hypercare'!R251=""),"",'E08 — Estabilização Hypercare'!R251)</f>
        <v/>
      </c>
      <c r="AG246" s="60" t="str">
        <f>IF($B246="","",'E08 — Estabilização Hypercare'!S251)</f>
        <v/>
      </c>
      <c r="AH246" s="61" t="str">
        <f>IF($B246="","",'E08 — Estabilização Hypercare'!T251)</f>
        <v/>
      </c>
      <c r="AI246" s="62" t="str">
        <f>IF($B246="","",'E08 — Estabilização Hypercare'!N251)</f>
        <v/>
      </c>
      <c r="AJ246" s="61" t="str">
        <f>IF(OR($B246="",'E08 — Estabilização Hypercare'!U251=""),"",'E08 — Estabilização Hypercare'!U251)</f>
        <v/>
      </c>
      <c r="AK246" s="60" t="str">
        <f t="shared" si="18"/>
        <v/>
      </c>
      <c r="AL246" s="65" t="str">
        <f t="shared" si="19"/>
        <v/>
      </c>
    </row>
    <row r="247" spans="2:38" s="42" customFormat="1" x14ac:dyDescent="0.35">
      <c r="B247" s="55" t="str">
        <f t="shared" si="15"/>
        <v/>
      </c>
      <c r="C247" s="40"/>
      <c r="D247" s="40"/>
      <c r="E247" s="41"/>
      <c r="F247" s="41"/>
      <c r="G247" s="41"/>
      <c r="H247" s="68" t="str">
        <f>IF('E2 — Triagem'!D252="","",'E2 — Triagem'!D252)</f>
        <v/>
      </c>
      <c r="I247" s="71"/>
      <c r="J247" s="41"/>
      <c r="K247" s="41"/>
      <c r="L247" s="71"/>
      <c r="M247" s="71"/>
      <c r="N247" s="71"/>
      <c r="O247" s="71"/>
      <c r="P247" s="41"/>
      <c r="Q247" s="41"/>
      <c r="R247" s="71"/>
      <c r="S247" s="71"/>
      <c r="T247" s="75"/>
      <c r="U247" s="75"/>
      <c r="V247" s="75"/>
      <c r="W247" s="58" t="str">
        <f t="shared" si="16"/>
        <v/>
      </c>
      <c r="X247" s="59" t="str">
        <f t="shared" si="17"/>
        <v/>
      </c>
      <c r="Y247" s="41"/>
      <c r="Z247" s="41"/>
      <c r="AA247" s="41"/>
      <c r="AB247" s="68" t="str">
        <f>IF($B247="","",'Workflow (Tracker)'!L270)</f>
        <v/>
      </c>
      <c r="AC247" s="69" t="str">
        <f>IF($B247="","",'E08 — Estabilização Hypercare'!K252)</f>
        <v/>
      </c>
      <c r="AD247" s="66" t="str">
        <f>IF($B247="","",'E08 — Estabilização Hypercare'!O252)</f>
        <v/>
      </c>
      <c r="AE247" s="66" t="str">
        <f>IF($B247="","",'E08 — Estabilização Hypercare'!Q252)</f>
        <v/>
      </c>
      <c r="AF247" s="66" t="str">
        <f>IF(OR($B247="",'E08 — Estabilização Hypercare'!R252=""),"",'E08 — Estabilização Hypercare'!R252)</f>
        <v/>
      </c>
      <c r="AG247" s="60" t="str">
        <f>IF($B247="","",'E08 — Estabilização Hypercare'!S252)</f>
        <v/>
      </c>
      <c r="AH247" s="61" t="str">
        <f>IF($B247="","",'E08 — Estabilização Hypercare'!T252)</f>
        <v/>
      </c>
      <c r="AI247" s="62" t="str">
        <f>IF($B247="","",'E08 — Estabilização Hypercare'!N252)</f>
        <v/>
      </c>
      <c r="AJ247" s="61" t="str">
        <f>IF(OR($B247="",'E08 — Estabilização Hypercare'!U252=""),"",'E08 — Estabilização Hypercare'!U252)</f>
        <v/>
      </c>
      <c r="AK247" s="60" t="str">
        <f t="shared" si="18"/>
        <v/>
      </c>
      <c r="AL247" s="65" t="str">
        <f t="shared" si="19"/>
        <v/>
      </c>
    </row>
    <row r="248" spans="2:38" s="42" customFormat="1" x14ac:dyDescent="0.35">
      <c r="B248" s="55" t="str">
        <f t="shared" si="15"/>
        <v/>
      </c>
      <c r="C248" s="40"/>
      <c r="D248" s="40"/>
      <c r="E248" s="41"/>
      <c r="F248" s="41"/>
      <c r="G248" s="41"/>
      <c r="H248" s="68" t="str">
        <f>IF('E2 — Triagem'!D253="","",'E2 — Triagem'!D253)</f>
        <v/>
      </c>
      <c r="I248" s="71"/>
      <c r="J248" s="41"/>
      <c r="K248" s="41"/>
      <c r="L248" s="71"/>
      <c r="M248" s="71"/>
      <c r="N248" s="71"/>
      <c r="O248" s="71"/>
      <c r="P248" s="41"/>
      <c r="Q248" s="41"/>
      <c r="R248" s="71"/>
      <c r="S248" s="71"/>
      <c r="T248" s="75"/>
      <c r="U248" s="75"/>
      <c r="V248" s="75"/>
      <c r="W248" s="58" t="str">
        <f t="shared" si="16"/>
        <v/>
      </c>
      <c r="X248" s="59" t="str">
        <f t="shared" si="17"/>
        <v/>
      </c>
      <c r="Y248" s="41"/>
      <c r="Z248" s="41"/>
      <c r="AA248" s="41"/>
      <c r="AB248" s="68" t="str">
        <f>IF($B248="","",'Workflow (Tracker)'!L271)</f>
        <v/>
      </c>
      <c r="AC248" s="69" t="str">
        <f>IF($B248="","",'E08 — Estabilização Hypercare'!K253)</f>
        <v/>
      </c>
      <c r="AD248" s="66" t="str">
        <f>IF($B248="","",'E08 — Estabilização Hypercare'!O253)</f>
        <v/>
      </c>
      <c r="AE248" s="66" t="str">
        <f>IF($B248="","",'E08 — Estabilização Hypercare'!Q253)</f>
        <v/>
      </c>
      <c r="AF248" s="66" t="str">
        <f>IF(OR($B248="",'E08 — Estabilização Hypercare'!R253=""),"",'E08 — Estabilização Hypercare'!R253)</f>
        <v/>
      </c>
      <c r="AG248" s="60" t="str">
        <f>IF($B248="","",'E08 — Estabilização Hypercare'!S253)</f>
        <v/>
      </c>
      <c r="AH248" s="61" t="str">
        <f>IF($B248="","",'E08 — Estabilização Hypercare'!T253)</f>
        <v/>
      </c>
      <c r="AI248" s="62" t="str">
        <f>IF($B248="","",'E08 — Estabilização Hypercare'!N253)</f>
        <v/>
      </c>
      <c r="AJ248" s="61" t="str">
        <f>IF(OR($B248="",'E08 — Estabilização Hypercare'!U253=""),"",'E08 — Estabilização Hypercare'!U253)</f>
        <v/>
      </c>
      <c r="AK248" s="60" t="str">
        <f t="shared" si="18"/>
        <v/>
      </c>
      <c r="AL248" s="65" t="str">
        <f t="shared" si="19"/>
        <v/>
      </c>
    </row>
    <row r="249" spans="2:38" s="42" customFormat="1" x14ac:dyDescent="0.35">
      <c r="B249" s="55" t="str">
        <f t="shared" si="15"/>
        <v/>
      </c>
      <c r="C249" s="40"/>
      <c r="D249" s="40"/>
      <c r="E249" s="41"/>
      <c r="F249" s="41"/>
      <c r="G249" s="41"/>
      <c r="H249" s="68" t="str">
        <f>IF('E2 — Triagem'!D254="","",'E2 — Triagem'!D254)</f>
        <v/>
      </c>
      <c r="I249" s="71"/>
      <c r="J249" s="41"/>
      <c r="K249" s="41"/>
      <c r="L249" s="71"/>
      <c r="M249" s="71"/>
      <c r="N249" s="71"/>
      <c r="O249" s="71"/>
      <c r="P249" s="41"/>
      <c r="Q249" s="41"/>
      <c r="R249" s="71"/>
      <c r="S249" s="71"/>
      <c r="T249" s="75"/>
      <c r="U249" s="75"/>
      <c r="V249" s="75"/>
      <c r="W249" s="58" t="str">
        <f t="shared" si="16"/>
        <v/>
      </c>
      <c r="X249" s="59" t="str">
        <f t="shared" si="17"/>
        <v/>
      </c>
      <c r="Y249" s="41"/>
      <c r="Z249" s="41"/>
      <c r="AA249" s="41"/>
      <c r="AB249" s="68" t="str">
        <f>IF($B249="","",'Workflow (Tracker)'!L272)</f>
        <v/>
      </c>
      <c r="AC249" s="69" t="str">
        <f>IF($B249="","",'E08 — Estabilização Hypercare'!K254)</f>
        <v/>
      </c>
      <c r="AD249" s="66" t="str">
        <f>IF($B249="","",'E08 — Estabilização Hypercare'!O254)</f>
        <v/>
      </c>
      <c r="AE249" s="66" t="str">
        <f>IF($B249="","",'E08 — Estabilização Hypercare'!Q254)</f>
        <v/>
      </c>
      <c r="AF249" s="66" t="str">
        <f>IF(OR($B249="",'E08 — Estabilização Hypercare'!R254=""),"",'E08 — Estabilização Hypercare'!R254)</f>
        <v/>
      </c>
      <c r="AG249" s="60" t="str">
        <f>IF($B249="","",'E08 — Estabilização Hypercare'!S254)</f>
        <v/>
      </c>
      <c r="AH249" s="61" t="str">
        <f>IF($B249="","",'E08 — Estabilização Hypercare'!T254)</f>
        <v/>
      </c>
      <c r="AI249" s="62" t="str">
        <f>IF($B249="","",'E08 — Estabilização Hypercare'!N254)</f>
        <v/>
      </c>
      <c r="AJ249" s="61" t="str">
        <f>IF(OR($B249="",'E08 — Estabilização Hypercare'!U254=""),"",'E08 — Estabilização Hypercare'!U254)</f>
        <v/>
      </c>
      <c r="AK249" s="60" t="str">
        <f t="shared" si="18"/>
        <v/>
      </c>
      <c r="AL249" s="65" t="str">
        <f t="shared" si="19"/>
        <v/>
      </c>
    </row>
    <row r="250" spans="2:38" s="42" customFormat="1" x14ac:dyDescent="0.35">
      <c r="B250" s="55" t="str">
        <f t="shared" si="15"/>
        <v/>
      </c>
      <c r="C250" s="40"/>
      <c r="D250" s="40"/>
      <c r="E250" s="41"/>
      <c r="F250" s="41"/>
      <c r="G250" s="41"/>
      <c r="H250" s="68" t="str">
        <f>IF('E2 — Triagem'!D255="","",'E2 — Triagem'!D255)</f>
        <v/>
      </c>
      <c r="I250" s="71"/>
      <c r="J250" s="41"/>
      <c r="K250" s="41"/>
      <c r="L250" s="71"/>
      <c r="M250" s="71"/>
      <c r="N250" s="71"/>
      <c r="O250" s="71"/>
      <c r="P250" s="41"/>
      <c r="Q250" s="41"/>
      <c r="R250" s="71"/>
      <c r="S250" s="71"/>
      <c r="T250" s="75"/>
      <c r="U250" s="75"/>
      <c r="V250" s="75"/>
      <c r="W250" s="58" t="str">
        <f t="shared" si="16"/>
        <v/>
      </c>
      <c r="X250" s="59" t="str">
        <f t="shared" si="17"/>
        <v/>
      </c>
      <c r="Y250" s="41"/>
      <c r="Z250" s="41"/>
      <c r="AA250" s="41"/>
      <c r="AB250" s="68" t="str">
        <f>IF($B250="","",'Workflow (Tracker)'!L273)</f>
        <v/>
      </c>
      <c r="AC250" s="69" t="str">
        <f>IF($B250="","",'E08 — Estabilização Hypercare'!K255)</f>
        <v/>
      </c>
      <c r="AD250" s="66" t="str">
        <f>IF($B250="","",'E08 — Estabilização Hypercare'!O255)</f>
        <v/>
      </c>
      <c r="AE250" s="66" t="str">
        <f>IF($B250="","",'E08 — Estabilização Hypercare'!Q255)</f>
        <v/>
      </c>
      <c r="AF250" s="66" t="str">
        <f>IF(OR($B250="",'E08 — Estabilização Hypercare'!R255=""),"",'E08 — Estabilização Hypercare'!R255)</f>
        <v/>
      </c>
      <c r="AG250" s="60" t="str">
        <f>IF($B250="","",'E08 — Estabilização Hypercare'!S255)</f>
        <v/>
      </c>
      <c r="AH250" s="61" t="str">
        <f>IF($B250="","",'E08 — Estabilização Hypercare'!T255)</f>
        <v/>
      </c>
      <c r="AI250" s="62" t="str">
        <f>IF($B250="","",'E08 — Estabilização Hypercare'!N255)</f>
        <v/>
      </c>
      <c r="AJ250" s="61" t="str">
        <f>IF(OR($B250="",'E08 — Estabilização Hypercare'!U255=""),"",'E08 — Estabilização Hypercare'!U255)</f>
        <v/>
      </c>
      <c r="AK250" s="60" t="str">
        <f t="shared" si="18"/>
        <v/>
      </c>
      <c r="AL250" s="65" t="str">
        <f t="shared" si="19"/>
        <v/>
      </c>
    </row>
    <row r="251" spans="2:38" s="42" customFormat="1" x14ac:dyDescent="0.35">
      <c r="B251" s="55" t="str">
        <f t="shared" si="15"/>
        <v/>
      </c>
      <c r="C251" s="40"/>
      <c r="D251" s="40"/>
      <c r="E251" s="41"/>
      <c r="F251" s="41"/>
      <c r="G251" s="41"/>
      <c r="H251" s="68" t="str">
        <f>IF('E2 — Triagem'!D256="","",'E2 — Triagem'!D256)</f>
        <v/>
      </c>
      <c r="I251" s="71"/>
      <c r="J251" s="41"/>
      <c r="K251" s="41"/>
      <c r="L251" s="71"/>
      <c r="M251" s="71"/>
      <c r="N251" s="71"/>
      <c r="O251" s="71"/>
      <c r="P251" s="41"/>
      <c r="Q251" s="41"/>
      <c r="R251" s="71"/>
      <c r="S251" s="71"/>
      <c r="T251" s="75"/>
      <c r="U251" s="75"/>
      <c r="V251" s="75"/>
      <c r="W251" s="58" t="str">
        <f t="shared" si="16"/>
        <v/>
      </c>
      <c r="X251" s="59" t="str">
        <f t="shared" si="17"/>
        <v/>
      </c>
      <c r="Y251" s="41"/>
      <c r="Z251" s="41"/>
      <c r="AA251" s="41"/>
      <c r="AB251" s="68" t="str">
        <f>IF($B251="","",'Workflow (Tracker)'!L274)</f>
        <v/>
      </c>
      <c r="AC251" s="69" t="str">
        <f>IF($B251="","",'E08 — Estabilização Hypercare'!K256)</f>
        <v/>
      </c>
      <c r="AD251" s="66" t="str">
        <f>IF($B251="","",'E08 — Estabilização Hypercare'!O256)</f>
        <v/>
      </c>
      <c r="AE251" s="66" t="str">
        <f>IF($B251="","",'E08 — Estabilização Hypercare'!Q256)</f>
        <v/>
      </c>
      <c r="AF251" s="66" t="str">
        <f>IF(OR($B251="",'E08 — Estabilização Hypercare'!R256=""),"",'E08 — Estabilização Hypercare'!R256)</f>
        <v/>
      </c>
      <c r="AG251" s="60" t="str">
        <f>IF($B251="","",'E08 — Estabilização Hypercare'!S256)</f>
        <v/>
      </c>
      <c r="AH251" s="61" t="str">
        <f>IF($B251="","",'E08 — Estabilização Hypercare'!T256)</f>
        <v/>
      </c>
      <c r="AI251" s="62" t="str">
        <f>IF($B251="","",'E08 — Estabilização Hypercare'!N256)</f>
        <v/>
      </c>
      <c r="AJ251" s="61" t="str">
        <f>IF(OR($B251="",'E08 — Estabilização Hypercare'!U256=""),"",'E08 — Estabilização Hypercare'!U256)</f>
        <v/>
      </c>
      <c r="AK251" s="60" t="str">
        <f t="shared" si="18"/>
        <v/>
      </c>
      <c r="AL251" s="65" t="str">
        <f t="shared" si="19"/>
        <v/>
      </c>
    </row>
    <row r="252" spans="2:38" s="42" customFormat="1" x14ac:dyDescent="0.35">
      <c r="B252" s="55" t="str">
        <f t="shared" si="15"/>
        <v/>
      </c>
      <c r="C252" s="40"/>
      <c r="D252" s="40"/>
      <c r="E252" s="41"/>
      <c r="F252" s="41"/>
      <c r="G252" s="41"/>
      <c r="H252" s="68" t="str">
        <f>IF('E2 — Triagem'!D257="","",'E2 — Triagem'!D257)</f>
        <v/>
      </c>
      <c r="I252" s="71"/>
      <c r="J252" s="41"/>
      <c r="K252" s="41"/>
      <c r="L252" s="71"/>
      <c r="M252" s="71"/>
      <c r="N252" s="71"/>
      <c r="O252" s="71"/>
      <c r="P252" s="41"/>
      <c r="Q252" s="41"/>
      <c r="R252" s="71"/>
      <c r="S252" s="71"/>
      <c r="T252" s="75"/>
      <c r="U252" s="75"/>
      <c r="V252" s="75"/>
      <c r="W252" s="58" t="str">
        <f t="shared" si="16"/>
        <v/>
      </c>
      <c r="X252" s="59" t="str">
        <f t="shared" si="17"/>
        <v/>
      </c>
      <c r="Y252" s="41"/>
      <c r="Z252" s="41"/>
      <c r="AA252" s="41"/>
      <c r="AB252" s="68" t="str">
        <f>IF($B252="","",'Workflow (Tracker)'!L275)</f>
        <v/>
      </c>
      <c r="AC252" s="69" t="str">
        <f>IF($B252="","",'E08 — Estabilização Hypercare'!K257)</f>
        <v/>
      </c>
      <c r="AD252" s="66" t="str">
        <f>IF($B252="","",'E08 — Estabilização Hypercare'!O257)</f>
        <v/>
      </c>
      <c r="AE252" s="66" t="str">
        <f>IF($B252="","",'E08 — Estabilização Hypercare'!Q257)</f>
        <v/>
      </c>
      <c r="AF252" s="66" t="str">
        <f>IF(OR($B252="",'E08 — Estabilização Hypercare'!R257=""),"",'E08 — Estabilização Hypercare'!R257)</f>
        <v/>
      </c>
      <c r="AG252" s="60" t="str">
        <f>IF($B252="","",'E08 — Estabilização Hypercare'!S257)</f>
        <v/>
      </c>
      <c r="AH252" s="61" t="str">
        <f>IF($B252="","",'E08 — Estabilização Hypercare'!T257)</f>
        <v/>
      </c>
      <c r="AI252" s="62" t="str">
        <f>IF($B252="","",'E08 — Estabilização Hypercare'!N257)</f>
        <v/>
      </c>
      <c r="AJ252" s="61" t="str">
        <f>IF(OR($B252="",'E08 — Estabilização Hypercare'!U257=""),"",'E08 — Estabilização Hypercare'!U257)</f>
        <v/>
      </c>
      <c r="AK252" s="60" t="str">
        <f t="shared" si="18"/>
        <v/>
      </c>
      <c r="AL252" s="65" t="str">
        <f t="shared" si="19"/>
        <v/>
      </c>
    </row>
    <row r="253" spans="2:38" s="42" customFormat="1" x14ac:dyDescent="0.35">
      <c r="B253" s="55" t="str">
        <f t="shared" si="15"/>
        <v/>
      </c>
      <c r="C253" s="40"/>
      <c r="D253" s="40"/>
      <c r="E253" s="41"/>
      <c r="F253" s="41"/>
      <c r="G253" s="41"/>
      <c r="H253" s="68" t="str">
        <f>IF('E2 — Triagem'!D258="","",'E2 — Triagem'!D258)</f>
        <v/>
      </c>
      <c r="I253" s="71"/>
      <c r="J253" s="41"/>
      <c r="K253" s="41"/>
      <c r="L253" s="71"/>
      <c r="M253" s="71"/>
      <c r="N253" s="71"/>
      <c r="O253" s="71"/>
      <c r="P253" s="41"/>
      <c r="Q253" s="41"/>
      <c r="R253" s="71"/>
      <c r="S253" s="71"/>
      <c r="T253" s="75"/>
      <c r="U253" s="75"/>
      <c r="V253" s="75"/>
      <c r="W253" s="58" t="str">
        <f t="shared" si="16"/>
        <v/>
      </c>
      <c r="X253" s="59" t="str">
        <f t="shared" si="17"/>
        <v/>
      </c>
      <c r="Y253" s="41"/>
      <c r="Z253" s="41"/>
      <c r="AA253" s="41"/>
      <c r="AB253" s="68" t="str">
        <f>IF($B253="","",'Workflow (Tracker)'!L276)</f>
        <v/>
      </c>
      <c r="AC253" s="69" t="str">
        <f>IF($B253="","",'E08 — Estabilização Hypercare'!K258)</f>
        <v/>
      </c>
      <c r="AD253" s="66" t="str">
        <f>IF($B253="","",'E08 — Estabilização Hypercare'!O258)</f>
        <v/>
      </c>
      <c r="AE253" s="66" t="str">
        <f>IF($B253="","",'E08 — Estabilização Hypercare'!Q258)</f>
        <v/>
      </c>
      <c r="AF253" s="66" t="str">
        <f>IF(OR($B253="",'E08 — Estabilização Hypercare'!R258=""),"",'E08 — Estabilização Hypercare'!R258)</f>
        <v/>
      </c>
      <c r="AG253" s="60" t="str">
        <f>IF($B253="","",'E08 — Estabilização Hypercare'!S258)</f>
        <v/>
      </c>
      <c r="AH253" s="61" t="str">
        <f>IF($B253="","",'E08 — Estabilização Hypercare'!T258)</f>
        <v/>
      </c>
      <c r="AI253" s="62" t="str">
        <f>IF($B253="","",'E08 — Estabilização Hypercare'!N258)</f>
        <v/>
      </c>
      <c r="AJ253" s="61" t="str">
        <f>IF(OR($B253="",'E08 — Estabilização Hypercare'!U258=""),"",'E08 — Estabilização Hypercare'!U258)</f>
        <v/>
      </c>
      <c r="AK253" s="60" t="str">
        <f t="shared" si="18"/>
        <v/>
      </c>
      <c r="AL253" s="65" t="str">
        <f t="shared" si="19"/>
        <v/>
      </c>
    </row>
    <row r="254" spans="2:38" s="42" customFormat="1" x14ac:dyDescent="0.35">
      <c r="B254" s="55" t="str">
        <f t="shared" si="15"/>
        <v/>
      </c>
      <c r="C254" s="40"/>
      <c r="D254" s="40"/>
      <c r="E254" s="41"/>
      <c r="F254" s="41"/>
      <c r="G254" s="41"/>
      <c r="H254" s="68" t="str">
        <f>IF('E2 — Triagem'!D259="","",'E2 — Triagem'!D259)</f>
        <v/>
      </c>
      <c r="I254" s="71"/>
      <c r="J254" s="41"/>
      <c r="K254" s="41"/>
      <c r="L254" s="71"/>
      <c r="M254" s="71"/>
      <c r="N254" s="71"/>
      <c r="O254" s="71"/>
      <c r="P254" s="41"/>
      <c r="Q254" s="41"/>
      <c r="R254" s="71"/>
      <c r="S254" s="71"/>
      <c r="T254" s="75"/>
      <c r="U254" s="75"/>
      <c r="V254" s="75"/>
      <c r="W254" s="58" t="str">
        <f t="shared" si="16"/>
        <v/>
      </c>
      <c r="X254" s="59" t="str">
        <f t="shared" si="17"/>
        <v/>
      </c>
      <c r="Y254" s="41"/>
      <c r="Z254" s="41"/>
      <c r="AA254" s="41"/>
      <c r="AB254" s="68" t="str">
        <f>IF($B254="","",'Workflow (Tracker)'!L277)</f>
        <v/>
      </c>
      <c r="AC254" s="69" t="str">
        <f>IF($B254="","",'E08 — Estabilização Hypercare'!K259)</f>
        <v/>
      </c>
      <c r="AD254" s="66" t="str">
        <f>IF($B254="","",'E08 — Estabilização Hypercare'!O259)</f>
        <v/>
      </c>
      <c r="AE254" s="66" t="str">
        <f>IF($B254="","",'E08 — Estabilização Hypercare'!Q259)</f>
        <v/>
      </c>
      <c r="AF254" s="66" t="str">
        <f>IF(OR($B254="",'E08 — Estabilização Hypercare'!R259=""),"",'E08 — Estabilização Hypercare'!R259)</f>
        <v/>
      </c>
      <c r="AG254" s="60" t="str">
        <f>IF($B254="","",'E08 — Estabilização Hypercare'!S259)</f>
        <v/>
      </c>
      <c r="AH254" s="61" t="str">
        <f>IF($B254="","",'E08 — Estabilização Hypercare'!T259)</f>
        <v/>
      </c>
      <c r="AI254" s="62" t="str">
        <f>IF($B254="","",'E08 — Estabilização Hypercare'!N259)</f>
        <v/>
      </c>
      <c r="AJ254" s="61" t="str">
        <f>IF(OR($B254="",'E08 — Estabilização Hypercare'!U259=""),"",'E08 — Estabilização Hypercare'!U259)</f>
        <v/>
      </c>
      <c r="AK254" s="60" t="str">
        <f t="shared" si="18"/>
        <v/>
      </c>
      <c r="AL254" s="65" t="str">
        <f t="shared" si="19"/>
        <v/>
      </c>
    </row>
    <row r="255" spans="2:38" s="42" customFormat="1" x14ac:dyDescent="0.35">
      <c r="B255" s="55" t="str">
        <f t="shared" si="15"/>
        <v/>
      </c>
      <c r="C255" s="40"/>
      <c r="D255" s="40"/>
      <c r="E255" s="41"/>
      <c r="F255" s="41"/>
      <c r="G255" s="41"/>
      <c r="H255" s="68" t="str">
        <f>IF('E2 — Triagem'!D260="","",'E2 — Triagem'!D260)</f>
        <v/>
      </c>
      <c r="I255" s="71"/>
      <c r="J255" s="41"/>
      <c r="K255" s="41"/>
      <c r="L255" s="71"/>
      <c r="M255" s="71"/>
      <c r="N255" s="71"/>
      <c r="O255" s="71"/>
      <c r="P255" s="41"/>
      <c r="Q255" s="41"/>
      <c r="R255" s="71"/>
      <c r="S255" s="71"/>
      <c r="T255" s="75"/>
      <c r="U255" s="75"/>
      <c r="V255" s="75"/>
      <c r="W255" s="58" t="str">
        <f t="shared" si="16"/>
        <v/>
      </c>
      <c r="X255" s="59" t="str">
        <f t="shared" si="17"/>
        <v/>
      </c>
      <c r="Y255" s="41"/>
      <c r="Z255" s="41"/>
      <c r="AA255" s="41"/>
      <c r="AB255" s="68" t="str">
        <f>IF($B255="","",'Workflow (Tracker)'!L278)</f>
        <v/>
      </c>
      <c r="AC255" s="69" t="str">
        <f>IF($B255="","",'E08 — Estabilização Hypercare'!K260)</f>
        <v/>
      </c>
      <c r="AD255" s="66" t="str">
        <f>IF($B255="","",'E08 — Estabilização Hypercare'!O260)</f>
        <v/>
      </c>
      <c r="AE255" s="66" t="str">
        <f>IF($B255="","",'E08 — Estabilização Hypercare'!Q260)</f>
        <v/>
      </c>
      <c r="AF255" s="66" t="str">
        <f>IF(OR($B255="",'E08 — Estabilização Hypercare'!R260=""),"",'E08 — Estabilização Hypercare'!R260)</f>
        <v/>
      </c>
      <c r="AG255" s="60" t="str">
        <f>IF($B255="","",'E08 — Estabilização Hypercare'!S260)</f>
        <v/>
      </c>
      <c r="AH255" s="61" t="str">
        <f>IF($B255="","",'E08 — Estabilização Hypercare'!T260)</f>
        <v/>
      </c>
      <c r="AI255" s="62" t="str">
        <f>IF($B255="","",'E08 — Estabilização Hypercare'!N260)</f>
        <v/>
      </c>
      <c r="AJ255" s="61" t="str">
        <f>IF(OR($B255="",'E08 — Estabilização Hypercare'!U260=""),"",'E08 — Estabilização Hypercare'!U260)</f>
        <v/>
      </c>
      <c r="AK255" s="60" t="str">
        <f t="shared" si="18"/>
        <v/>
      </c>
      <c r="AL255" s="65" t="str">
        <f t="shared" si="19"/>
        <v/>
      </c>
    </row>
    <row r="256" spans="2:38" s="42" customFormat="1" x14ac:dyDescent="0.35">
      <c r="B256" s="55" t="str">
        <f t="shared" si="15"/>
        <v/>
      </c>
      <c r="C256" s="40"/>
      <c r="D256" s="40"/>
      <c r="E256" s="41"/>
      <c r="F256" s="41"/>
      <c r="G256" s="41"/>
      <c r="H256" s="68" t="str">
        <f>IF('E2 — Triagem'!D261="","",'E2 — Triagem'!D261)</f>
        <v/>
      </c>
      <c r="I256" s="71"/>
      <c r="J256" s="41"/>
      <c r="K256" s="41"/>
      <c r="L256" s="71"/>
      <c r="M256" s="71"/>
      <c r="N256" s="71"/>
      <c r="O256" s="71"/>
      <c r="P256" s="41"/>
      <c r="Q256" s="41"/>
      <c r="R256" s="71"/>
      <c r="S256" s="71"/>
      <c r="T256" s="75"/>
      <c r="U256" s="75"/>
      <c r="V256" s="75"/>
      <c r="W256" s="58" t="str">
        <f t="shared" si="16"/>
        <v/>
      </c>
      <c r="X256" s="59" t="str">
        <f t="shared" si="17"/>
        <v/>
      </c>
      <c r="Y256" s="41"/>
      <c r="Z256" s="41"/>
      <c r="AA256" s="41"/>
      <c r="AB256" s="68" t="str">
        <f>IF($B256="","",'Workflow (Tracker)'!L279)</f>
        <v/>
      </c>
      <c r="AC256" s="69" t="str">
        <f>IF($B256="","",'E08 — Estabilização Hypercare'!K261)</f>
        <v/>
      </c>
      <c r="AD256" s="66" t="str">
        <f>IF($B256="","",'E08 — Estabilização Hypercare'!O261)</f>
        <v/>
      </c>
      <c r="AE256" s="66" t="str">
        <f>IF($B256="","",'E08 — Estabilização Hypercare'!Q261)</f>
        <v/>
      </c>
      <c r="AF256" s="66" t="str">
        <f>IF(OR($B256="",'E08 — Estabilização Hypercare'!R261=""),"",'E08 — Estabilização Hypercare'!R261)</f>
        <v/>
      </c>
      <c r="AG256" s="60" t="str">
        <f>IF($B256="","",'E08 — Estabilização Hypercare'!S261)</f>
        <v/>
      </c>
      <c r="AH256" s="61" t="str">
        <f>IF($B256="","",'E08 — Estabilização Hypercare'!T261)</f>
        <v/>
      </c>
      <c r="AI256" s="62" t="str">
        <f>IF($B256="","",'E08 — Estabilização Hypercare'!N261)</f>
        <v/>
      </c>
      <c r="AJ256" s="61" t="str">
        <f>IF(OR($B256="",'E08 — Estabilização Hypercare'!U261=""),"",'E08 — Estabilização Hypercare'!U261)</f>
        <v/>
      </c>
      <c r="AK256" s="60" t="str">
        <f t="shared" si="18"/>
        <v/>
      </c>
      <c r="AL256" s="65" t="str">
        <f t="shared" si="19"/>
        <v/>
      </c>
    </row>
    <row r="257" spans="2:38" s="42" customFormat="1" x14ac:dyDescent="0.35">
      <c r="B257" s="55" t="str">
        <f t="shared" si="15"/>
        <v/>
      </c>
      <c r="C257" s="40"/>
      <c r="D257" s="40"/>
      <c r="E257" s="41"/>
      <c r="F257" s="41"/>
      <c r="G257" s="41"/>
      <c r="H257" s="68" t="str">
        <f>IF('E2 — Triagem'!D262="","",'E2 — Triagem'!D262)</f>
        <v/>
      </c>
      <c r="I257" s="71"/>
      <c r="J257" s="41"/>
      <c r="K257" s="41"/>
      <c r="L257" s="71"/>
      <c r="M257" s="71"/>
      <c r="N257" s="71"/>
      <c r="O257" s="71"/>
      <c r="P257" s="41"/>
      <c r="Q257" s="41"/>
      <c r="R257" s="71"/>
      <c r="S257" s="71"/>
      <c r="T257" s="75"/>
      <c r="U257" s="75"/>
      <c r="V257" s="75"/>
      <c r="W257" s="58" t="str">
        <f t="shared" si="16"/>
        <v/>
      </c>
      <c r="X257" s="59" t="str">
        <f t="shared" si="17"/>
        <v/>
      </c>
      <c r="Y257" s="41"/>
      <c r="Z257" s="41"/>
      <c r="AA257" s="41"/>
      <c r="AB257" s="68" t="str">
        <f>IF($B257="","",'Workflow (Tracker)'!L280)</f>
        <v/>
      </c>
      <c r="AC257" s="69" t="str">
        <f>IF($B257="","",'E08 — Estabilização Hypercare'!K262)</f>
        <v/>
      </c>
      <c r="AD257" s="66" t="str">
        <f>IF($B257="","",'E08 — Estabilização Hypercare'!O262)</f>
        <v/>
      </c>
      <c r="AE257" s="66" t="str">
        <f>IF($B257="","",'E08 — Estabilização Hypercare'!Q262)</f>
        <v/>
      </c>
      <c r="AF257" s="66" t="str">
        <f>IF(OR($B257="",'E08 — Estabilização Hypercare'!R262=""),"",'E08 — Estabilização Hypercare'!R262)</f>
        <v/>
      </c>
      <c r="AG257" s="60" t="str">
        <f>IF($B257="","",'E08 — Estabilização Hypercare'!S262)</f>
        <v/>
      </c>
      <c r="AH257" s="61" t="str">
        <f>IF($B257="","",'E08 — Estabilização Hypercare'!T262)</f>
        <v/>
      </c>
      <c r="AI257" s="62" t="str">
        <f>IF($B257="","",'E08 — Estabilização Hypercare'!N262)</f>
        <v/>
      </c>
      <c r="AJ257" s="61" t="str">
        <f>IF(OR($B257="",'E08 — Estabilização Hypercare'!U262=""),"",'E08 — Estabilização Hypercare'!U262)</f>
        <v/>
      </c>
      <c r="AK257" s="60" t="str">
        <f t="shared" si="18"/>
        <v/>
      </c>
      <c r="AL257" s="65" t="str">
        <f t="shared" si="19"/>
        <v/>
      </c>
    </row>
    <row r="258" spans="2:38" s="42" customFormat="1" x14ac:dyDescent="0.35">
      <c r="B258" s="55" t="str">
        <f t="shared" si="15"/>
        <v/>
      </c>
      <c r="C258" s="40"/>
      <c r="D258" s="40"/>
      <c r="E258" s="41"/>
      <c r="F258" s="41"/>
      <c r="G258" s="41"/>
      <c r="H258" s="68" t="str">
        <f>IF('E2 — Triagem'!D263="","",'E2 — Triagem'!D263)</f>
        <v/>
      </c>
      <c r="I258" s="71"/>
      <c r="J258" s="41"/>
      <c r="K258" s="41"/>
      <c r="L258" s="71"/>
      <c r="M258" s="71"/>
      <c r="N258" s="71"/>
      <c r="O258" s="71"/>
      <c r="P258" s="41"/>
      <c r="Q258" s="41"/>
      <c r="R258" s="71"/>
      <c r="S258" s="71"/>
      <c r="T258" s="75"/>
      <c r="U258" s="75"/>
      <c r="V258" s="75"/>
      <c r="W258" s="58" t="str">
        <f t="shared" si="16"/>
        <v/>
      </c>
      <c r="X258" s="59" t="str">
        <f t="shared" si="17"/>
        <v/>
      </c>
      <c r="Y258" s="41"/>
      <c r="Z258" s="41"/>
      <c r="AA258" s="41"/>
      <c r="AB258" s="68" t="str">
        <f>IF($B258="","",'Workflow (Tracker)'!L281)</f>
        <v/>
      </c>
      <c r="AC258" s="69" t="str">
        <f>IF($B258="","",'E08 — Estabilização Hypercare'!K263)</f>
        <v/>
      </c>
      <c r="AD258" s="66" t="str">
        <f>IF($B258="","",'E08 — Estabilização Hypercare'!O263)</f>
        <v/>
      </c>
      <c r="AE258" s="66" t="str">
        <f>IF($B258="","",'E08 — Estabilização Hypercare'!Q263)</f>
        <v/>
      </c>
      <c r="AF258" s="66" t="str">
        <f>IF(OR($B258="",'E08 — Estabilização Hypercare'!R263=""),"",'E08 — Estabilização Hypercare'!R263)</f>
        <v/>
      </c>
      <c r="AG258" s="60" t="str">
        <f>IF($B258="","",'E08 — Estabilização Hypercare'!S263)</f>
        <v/>
      </c>
      <c r="AH258" s="61" t="str">
        <f>IF($B258="","",'E08 — Estabilização Hypercare'!T263)</f>
        <v/>
      </c>
      <c r="AI258" s="62" t="str">
        <f>IF($B258="","",'E08 — Estabilização Hypercare'!N263)</f>
        <v/>
      </c>
      <c r="AJ258" s="61" t="str">
        <f>IF(OR($B258="",'E08 — Estabilização Hypercare'!U263=""),"",'E08 — Estabilização Hypercare'!U263)</f>
        <v/>
      </c>
      <c r="AK258" s="60" t="str">
        <f t="shared" si="18"/>
        <v/>
      </c>
      <c r="AL258" s="65" t="str">
        <f t="shared" si="19"/>
        <v/>
      </c>
    </row>
    <row r="259" spans="2:38" s="42" customFormat="1" x14ac:dyDescent="0.35">
      <c r="B259" s="55" t="str">
        <f t="shared" ref="B259:B322" si="20">IF($C259="","",Prefixo&amp;"-"&amp;TEXT(ROW()-2,"0000"))</f>
        <v/>
      </c>
      <c r="C259" s="40"/>
      <c r="D259" s="40"/>
      <c r="E259" s="41"/>
      <c r="F259" s="41"/>
      <c r="G259" s="41"/>
      <c r="H259" s="68" t="str">
        <f>IF('E2 — Triagem'!D264="","",'E2 — Triagem'!D264)</f>
        <v/>
      </c>
      <c r="I259" s="71"/>
      <c r="J259" s="41"/>
      <c r="K259" s="41"/>
      <c r="L259" s="71"/>
      <c r="M259" s="71"/>
      <c r="N259" s="71"/>
      <c r="O259" s="71"/>
      <c r="P259" s="41"/>
      <c r="Q259" s="41"/>
      <c r="R259" s="71"/>
      <c r="S259" s="71"/>
      <c r="T259" s="75"/>
      <c r="U259" s="75"/>
      <c r="V259" s="75"/>
      <c r="W259" s="58" t="str">
        <f t="shared" si="16"/>
        <v/>
      </c>
      <c r="X259" s="59" t="str">
        <f t="shared" si="17"/>
        <v/>
      </c>
      <c r="Y259" s="41"/>
      <c r="Z259" s="41"/>
      <c r="AA259" s="41"/>
      <c r="AB259" s="68" t="str">
        <f>IF($B259="","",'Workflow (Tracker)'!L282)</f>
        <v/>
      </c>
      <c r="AC259" s="69" t="str">
        <f>IF($B259="","",'E08 — Estabilização Hypercare'!K264)</f>
        <v/>
      </c>
      <c r="AD259" s="66" t="str">
        <f>IF($B259="","",'E08 — Estabilização Hypercare'!O264)</f>
        <v/>
      </c>
      <c r="AE259" s="66" t="str">
        <f>IF($B259="","",'E08 — Estabilização Hypercare'!Q264)</f>
        <v/>
      </c>
      <c r="AF259" s="66" t="str">
        <f>IF(OR($B259="",'E08 — Estabilização Hypercare'!R264=""),"",'E08 — Estabilização Hypercare'!R264)</f>
        <v/>
      </c>
      <c r="AG259" s="60" t="str">
        <f>IF($B259="","",'E08 — Estabilização Hypercare'!S264)</f>
        <v/>
      </c>
      <c r="AH259" s="61" t="str">
        <f>IF($B259="","",'E08 — Estabilização Hypercare'!T264)</f>
        <v/>
      </c>
      <c r="AI259" s="62" t="str">
        <f>IF($B259="","",'E08 — Estabilização Hypercare'!N264)</f>
        <v/>
      </c>
      <c r="AJ259" s="61" t="str">
        <f>IF(OR($B259="",'E08 — Estabilização Hypercare'!U264=""),"",'E08 — Estabilização Hypercare'!U264)</f>
        <v/>
      </c>
      <c r="AK259" s="60" t="str">
        <f t="shared" si="18"/>
        <v/>
      </c>
      <c r="AL259" s="65" t="str">
        <f t="shared" si="19"/>
        <v/>
      </c>
    </row>
    <row r="260" spans="2:38" s="42" customFormat="1" x14ac:dyDescent="0.35">
      <c r="B260" s="55" t="str">
        <f t="shared" si="20"/>
        <v/>
      </c>
      <c r="C260" s="40"/>
      <c r="D260" s="40"/>
      <c r="E260" s="41"/>
      <c r="F260" s="41"/>
      <c r="G260" s="41"/>
      <c r="H260" s="68" t="str">
        <f>IF('E2 — Triagem'!D265="","",'E2 — Triagem'!D265)</f>
        <v/>
      </c>
      <c r="I260" s="71"/>
      <c r="J260" s="41"/>
      <c r="K260" s="41"/>
      <c r="L260" s="71"/>
      <c r="M260" s="71"/>
      <c r="N260" s="71"/>
      <c r="O260" s="71"/>
      <c r="P260" s="41"/>
      <c r="Q260" s="41"/>
      <c r="R260" s="71"/>
      <c r="S260" s="71"/>
      <c r="T260" s="75"/>
      <c r="U260" s="75"/>
      <c r="V260" s="75"/>
      <c r="W260" s="58" t="str">
        <f t="shared" ref="W260:W323" si="21">IF(OR($U260="",$V260="",$U260&lt;=0),"",$U260-$V260)</f>
        <v/>
      </c>
      <c r="X260" s="59" t="str">
        <f t="shared" ref="X260:X323" si="22">IF(OR($U260="",$V260="",$U260&lt;=0),"",($U260-$V260)/$U260)</f>
        <v/>
      </c>
      <c r="Y260" s="41"/>
      <c r="Z260" s="41"/>
      <c r="AA260" s="41"/>
      <c r="AB260" s="68" t="str">
        <f>IF($B260="","",'Workflow (Tracker)'!L283)</f>
        <v/>
      </c>
      <c r="AC260" s="69" t="str">
        <f>IF($B260="","",'E08 — Estabilização Hypercare'!K265)</f>
        <v/>
      </c>
      <c r="AD260" s="66" t="str">
        <f>IF($B260="","",'E08 — Estabilização Hypercare'!O265)</f>
        <v/>
      </c>
      <c r="AE260" s="66" t="str">
        <f>IF($B260="","",'E08 — Estabilização Hypercare'!Q265)</f>
        <v/>
      </c>
      <c r="AF260" s="66" t="str">
        <f>IF(OR($B260="",'E08 — Estabilização Hypercare'!R265=""),"",'E08 — Estabilização Hypercare'!R265)</f>
        <v/>
      </c>
      <c r="AG260" s="60" t="str">
        <f>IF($B260="","",'E08 — Estabilização Hypercare'!S265)</f>
        <v/>
      </c>
      <c r="AH260" s="61" t="str">
        <f>IF($B260="","",'E08 — Estabilização Hypercare'!T265)</f>
        <v/>
      </c>
      <c r="AI260" s="62" t="str">
        <f>IF($B260="","",'E08 — Estabilização Hypercare'!N265)</f>
        <v/>
      </c>
      <c r="AJ260" s="61" t="str">
        <f>IF(OR($B260="",'E08 — Estabilização Hypercare'!U265=""),"",'E08 — Estabilização Hypercare'!U265)</f>
        <v/>
      </c>
      <c r="AK260" s="60" t="str">
        <f t="shared" ref="AK260:AK323" si="23">IF(OR($B260="",$AF260="",$C260=""),"",$AF260-$C260)</f>
        <v/>
      </c>
      <c r="AL260" s="65" t="str">
        <f t="shared" ref="AL260:AL323" si="24">IF($B260="","",IF($AB260="Concluído","Encerrado",IF(AND($S260="Concluído",$AB260&lt;&gt;"Concluído"),"Em Hypercare",$S260)))</f>
        <v/>
      </c>
    </row>
    <row r="261" spans="2:38" s="42" customFormat="1" x14ac:dyDescent="0.35">
      <c r="B261" s="55" t="str">
        <f t="shared" si="20"/>
        <v/>
      </c>
      <c r="C261" s="40"/>
      <c r="D261" s="40"/>
      <c r="E261" s="41"/>
      <c r="F261" s="41"/>
      <c r="G261" s="41"/>
      <c r="H261" s="68" t="str">
        <f>IF('E2 — Triagem'!D266="","",'E2 — Triagem'!D266)</f>
        <v/>
      </c>
      <c r="I261" s="71"/>
      <c r="J261" s="41"/>
      <c r="K261" s="41"/>
      <c r="L261" s="71"/>
      <c r="M261" s="71"/>
      <c r="N261" s="71"/>
      <c r="O261" s="71"/>
      <c r="P261" s="41"/>
      <c r="Q261" s="41"/>
      <c r="R261" s="71"/>
      <c r="S261" s="71"/>
      <c r="T261" s="75"/>
      <c r="U261" s="75"/>
      <c r="V261" s="75"/>
      <c r="W261" s="58" t="str">
        <f t="shared" si="21"/>
        <v/>
      </c>
      <c r="X261" s="59" t="str">
        <f t="shared" si="22"/>
        <v/>
      </c>
      <c r="Y261" s="41"/>
      <c r="Z261" s="41"/>
      <c r="AA261" s="41"/>
      <c r="AB261" s="68" t="str">
        <f>IF($B261="","",'Workflow (Tracker)'!L284)</f>
        <v/>
      </c>
      <c r="AC261" s="69" t="str">
        <f>IF($B261="","",'E08 — Estabilização Hypercare'!K266)</f>
        <v/>
      </c>
      <c r="AD261" s="66" t="str">
        <f>IF($B261="","",'E08 — Estabilização Hypercare'!O266)</f>
        <v/>
      </c>
      <c r="AE261" s="66" t="str">
        <f>IF($B261="","",'E08 — Estabilização Hypercare'!Q266)</f>
        <v/>
      </c>
      <c r="AF261" s="66" t="str">
        <f>IF(OR($B261="",'E08 — Estabilização Hypercare'!R266=""),"",'E08 — Estabilização Hypercare'!R266)</f>
        <v/>
      </c>
      <c r="AG261" s="60" t="str">
        <f>IF($B261="","",'E08 — Estabilização Hypercare'!S266)</f>
        <v/>
      </c>
      <c r="AH261" s="61" t="str">
        <f>IF($B261="","",'E08 — Estabilização Hypercare'!T266)</f>
        <v/>
      </c>
      <c r="AI261" s="62" t="str">
        <f>IF($B261="","",'E08 — Estabilização Hypercare'!N266)</f>
        <v/>
      </c>
      <c r="AJ261" s="61" t="str">
        <f>IF(OR($B261="",'E08 — Estabilização Hypercare'!U266=""),"",'E08 — Estabilização Hypercare'!U266)</f>
        <v/>
      </c>
      <c r="AK261" s="60" t="str">
        <f t="shared" si="23"/>
        <v/>
      </c>
      <c r="AL261" s="65" t="str">
        <f t="shared" si="24"/>
        <v/>
      </c>
    </row>
    <row r="262" spans="2:38" s="42" customFormat="1" x14ac:dyDescent="0.35">
      <c r="B262" s="55" t="str">
        <f t="shared" si="20"/>
        <v/>
      </c>
      <c r="C262" s="40"/>
      <c r="D262" s="40"/>
      <c r="E262" s="41"/>
      <c r="F262" s="41"/>
      <c r="G262" s="41"/>
      <c r="H262" s="68" t="str">
        <f>IF('E2 — Triagem'!D267="","",'E2 — Triagem'!D267)</f>
        <v/>
      </c>
      <c r="I262" s="71"/>
      <c r="J262" s="41"/>
      <c r="K262" s="41"/>
      <c r="L262" s="71"/>
      <c r="M262" s="71"/>
      <c r="N262" s="71"/>
      <c r="O262" s="71"/>
      <c r="P262" s="41"/>
      <c r="Q262" s="41"/>
      <c r="R262" s="71"/>
      <c r="S262" s="71"/>
      <c r="T262" s="75"/>
      <c r="U262" s="75"/>
      <c r="V262" s="75"/>
      <c r="W262" s="58" t="str">
        <f t="shared" si="21"/>
        <v/>
      </c>
      <c r="X262" s="59" t="str">
        <f t="shared" si="22"/>
        <v/>
      </c>
      <c r="Y262" s="41"/>
      <c r="Z262" s="41"/>
      <c r="AA262" s="41"/>
      <c r="AB262" s="68" t="str">
        <f>IF($B262="","",'Workflow (Tracker)'!L285)</f>
        <v/>
      </c>
      <c r="AC262" s="69" t="str">
        <f>IF($B262="","",'E08 — Estabilização Hypercare'!K267)</f>
        <v/>
      </c>
      <c r="AD262" s="66" t="str">
        <f>IF($B262="","",'E08 — Estabilização Hypercare'!O267)</f>
        <v/>
      </c>
      <c r="AE262" s="66" t="str">
        <f>IF($B262="","",'E08 — Estabilização Hypercare'!Q267)</f>
        <v/>
      </c>
      <c r="AF262" s="66" t="str">
        <f>IF(OR($B262="",'E08 — Estabilização Hypercare'!R267=""),"",'E08 — Estabilização Hypercare'!R267)</f>
        <v/>
      </c>
      <c r="AG262" s="60" t="str">
        <f>IF($B262="","",'E08 — Estabilização Hypercare'!S267)</f>
        <v/>
      </c>
      <c r="AH262" s="61" t="str">
        <f>IF($B262="","",'E08 — Estabilização Hypercare'!T267)</f>
        <v/>
      </c>
      <c r="AI262" s="62" t="str">
        <f>IF($B262="","",'E08 — Estabilização Hypercare'!N267)</f>
        <v/>
      </c>
      <c r="AJ262" s="61" t="str">
        <f>IF(OR($B262="",'E08 — Estabilização Hypercare'!U267=""),"",'E08 — Estabilização Hypercare'!U267)</f>
        <v/>
      </c>
      <c r="AK262" s="60" t="str">
        <f t="shared" si="23"/>
        <v/>
      </c>
      <c r="AL262" s="65" t="str">
        <f t="shared" si="24"/>
        <v/>
      </c>
    </row>
    <row r="263" spans="2:38" s="42" customFormat="1" x14ac:dyDescent="0.35">
      <c r="B263" s="55" t="str">
        <f t="shared" si="20"/>
        <v/>
      </c>
      <c r="C263" s="40"/>
      <c r="D263" s="40"/>
      <c r="E263" s="41"/>
      <c r="F263" s="41"/>
      <c r="G263" s="41"/>
      <c r="H263" s="68" t="str">
        <f>IF('E2 — Triagem'!D268="","",'E2 — Triagem'!D268)</f>
        <v/>
      </c>
      <c r="I263" s="71"/>
      <c r="J263" s="41"/>
      <c r="K263" s="41"/>
      <c r="L263" s="71"/>
      <c r="M263" s="71"/>
      <c r="N263" s="71"/>
      <c r="O263" s="71"/>
      <c r="P263" s="41"/>
      <c r="Q263" s="41"/>
      <c r="R263" s="71"/>
      <c r="S263" s="71"/>
      <c r="T263" s="75"/>
      <c r="U263" s="75"/>
      <c r="V263" s="75"/>
      <c r="W263" s="58" t="str">
        <f t="shared" si="21"/>
        <v/>
      </c>
      <c r="X263" s="59" t="str">
        <f t="shared" si="22"/>
        <v/>
      </c>
      <c r="Y263" s="41"/>
      <c r="Z263" s="41"/>
      <c r="AA263" s="41"/>
      <c r="AB263" s="68" t="str">
        <f>IF($B263="","",'Workflow (Tracker)'!L286)</f>
        <v/>
      </c>
      <c r="AC263" s="69" t="str">
        <f>IF($B263="","",'E08 — Estabilização Hypercare'!K268)</f>
        <v/>
      </c>
      <c r="AD263" s="66" t="str">
        <f>IF($B263="","",'E08 — Estabilização Hypercare'!O268)</f>
        <v/>
      </c>
      <c r="AE263" s="66" t="str">
        <f>IF($B263="","",'E08 — Estabilização Hypercare'!Q268)</f>
        <v/>
      </c>
      <c r="AF263" s="66" t="str">
        <f>IF(OR($B263="",'E08 — Estabilização Hypercare'!R268=""),"",'E08 — Estabilização Hypercare'!R268)</f>
        <v/>
      </c>
      <c r="AG263" s="60" t="str">
        <f>IF($B263="","",'E08 — Estabilização Hypercare'!S268)</f>
        <v/>
      </c>
      <c r="AH263" s="61" t="str">
        <f>IF($B263="","",'E08 — Estabilização Hypercare'!T268)</f>
        <v/>
      </c>
      <c r="AI263" s="62" t="str">
        <f>IF($B263="","",'E08 — Estabilização Hypercare'!N268)</f>
        <v/>
      </c>
      <c r="AJ263" s="61" t="str">
        <f>IF(OR($B263="",'E08 — Estabilização Hypercare'!U268=""),"",'E08 — Estabilização Hypercare'!U268)</f>
        <v/>
      </c>
      <c r="AK263" s="60" t="str">
        <f t="shared" si="23"/>
        <v/>
      </c>
      <c r="AL263" s="65" t="str">
        <f t="shared" si="24"/>
        <v/>
      </c>
    </row>
    <row r="264" spans="2:38" s="42" customFormat="1" x14ac:dyDescent="0.35">
      <c r="B264" s="55" t="str">
        <f t="shared" si="20"/>
        <v/>
      </c>
      <c r="C264" s="40"/>
      <c r="D264" s="40"/>
      <c r="E264" s="41"/>
      <c r="F264" s="41"/>
      <c r="G264" s="41"/>
      <c r="H264" s="68" t="str">
        <f>IF('E2 — Triagem'!D269="","",'E2 — Triagem'!D269)</f>
        <v/>
      </c>
      <c r="I264" s="71"/>
      <c r="J264" s="41"/>
      <c r="K264" s="41"/>
      <c r="L264" s="71"/>
      <c r="M264" s="71"/>
      <c r="N264" s="71"/>
      <c r="O264" s="71"/>
      <c r="P264" s="41"/>
      <c r="Q264" s="41"/>
      <c r="R264" s="71"/>
      <c r="S264" s="71"/>
      <c r="T264" s="75"/>
      <c r="U264" s="75"/>
      <c r="V264" s="75"/>
      <c r="W264" s="58" t="str">
        <f t="shared" si="21"/>
        <v/>
      </c>
      <c r="X264" s="59" t="str">
        <f t="shared" si="22"/>
        <v/>
      </c>
      <c r="Y264" s="41"/>
      <c r="Z264" s="41"/>
      <c r="AA264" s="41"/>
      <c r="AB264" s="68" t="str">
        <f>IF($B264="","",'Workflow (Tracker)'!L287)</f>
        <v/>
      </c>
      <c r="AC264" s="69" t="str">
        <f>IF($B264="","",'E08 — Estabilização Hypercare'!K269)</f>
        <v/>
      </c>
      <c r="AD264" s="66" t="str">
        <f>IF($B264="","",'E08 — Estabilização Hypercare'!O269)</f>
        <v/>
      </c>
      <c r="AE264" s="66" t="str">
        <f>IF($B264="","",'E08 — Estabilização Hypercare'!Q269)</f>
        <v/>
      </c>
      <c r="AF264" s="66" t="str">
        <f>IF(OR($B264="",'E08 — Estabilização Hypercare'!R269=""),"",'E08 — Estabilização Hypercare'!R269)</f>
        <v/>
      </c>
      <c r="AG264" s="60" t="str">
        <f>IF($B264="","",'E08 — Estabilização Hypercare'!S269)</f>
        <v/>
      </c>
      <c r="AH264" s="61" t="str">
        <f>IF($B264="","",'E08 — Estabilização Hypercare'!T269)</f>
        <v/>
      </c>
      <c r="AI264" s="62" t="str">
        <f>IF($B264="","",'E08 — Estabilização Hypercare'!N269)</f>
        <v/>
      </c>
      <c r="AJ264" s="61" t="str">
        <f>IF(OR($B264="",'E08 — Estabilização Hypercare'!U269=""),"",'E08 — Estabilização Hypercare'!U269)</f>
        <v/>
      </c>
      <c r="AK264" s="60" t="str">
        <f t="shared" si="23"/>
        <v/>
      </c>
      <c r="AL264" s="65" t="str">
        <f t="shared" si="24"/>
        <v/>
      </c>
    </row>
    <row r="265" spans="2:38" s="42" customFormat="1" x14ac:dyDescent="0.35">
      <c r="B265" s="55" t="str">
        <f t="shared" si="20"/>
        <v/>
      </c>
      <c r="C265" s="40"/>
      <c r="D265" s="40"/>
      <c r="E265" s="41"/>
      <c r="F265" s="41"/>
      <c r="G265" s="41"/>
      <c r="H265" s="68" t="str">
        <f>IF('E2 — Triagem'!D270="","",'E2 — Triagem'!D270)</f>
        <v/>
      </c>
      <c r="I265" s="71"/>
      <c r="J265" s="41"/>
      <c r="K265" s="41"/>
      <c r="L265" s="71"/>
      <c r="M265" s="71"/>
      <c r="N265" s="71"/>
      <c r="O265" s="71"/>
      <c r="P265" s="41"/>
      <c r="Q265" s="41"/>
      <c r="R265" s="71"/>
      <c r="S265" s="71"/>
      <c r="T265" s="75"/>
      <c r="U265" s="75"/>
      <c r="V265" s="75"/>
      <c r="W265" s="58" t="str">
        <f t="shared" si="21"/>
        <v/>
      </c>
      <c r="X265" s="59" t="str">
        <f t="shared" si="22"/>
        <v/>
      </c>
      <c r="Y265" s="41"/>
      <c r="Z265" s="41"/>
      <c r="AA265" s="41"/>
      <c r="AB265" s="68" t="str">
        <f>IF($B265="","",'Workflow (Tracker)'!L288)</f>
        <v/>
      </c>
      <c r="AC265" s="69" t="str">
        <f>IF($B265="","",'E08 — Estabilização Hypercare'!K270)</f>
        <v/>
      </c>
      <c r="AD265" s="66" t="str">
        <f>IF($B265="","",'E08 — Estabilização Hypercare'!O270)</f>
        <v/>
      </c>
      <c r="AE265" s="66" t="str">
        <f>IF($B265="","",'E08 — Estabilização Hypercare'!Q270)</f>
        <v/>
      </c>
      <c r="AF265" s="66" t="str">
        <f>IF(OR($B265="",'E08 — Estabilização Hypercare'!R270=""),"",'E08 — Estabilização Hypercare'!R270)</f>
        <v/>
      </c>
      <c r="AG265" s="60" t="str">
        <f>IF($B265="","",'E08 — Estabilização Hypercare'!S270)</f>
        <v/>
      </c>
      <c r="AH265" s="61" t="str">
        <f>IF($B265="","",'E08 — Estabilização Hypercare'!T270)</f>
        <v/>
      </c>
      <c r="AI265" s="62" t="str">
        <f>IF($B265="","",'E08 — Estabilização Hypercare'!N270)</f>
        <v/>
      </c>
      <c r="AJ265" s="61" t="str">
        <f>IF(OR($B265="",'E08 — Estabilização Hypercare'!U270=""),"",'E08 — Estabilização Hypercare'!U270)</f>
        <v/>
      </c>
      <c r="AK265" s="60" t="str">
        <f t="shared" si="23"/>
        <v/>
      </c>
      <c r="AL265" s="65" t="str">
        <f t="shared" si="24"/>
        <v/>
      </c>
    </row>
    <row r="266" spans="2:38" s="42" customFormat="1" x14ac:dyDescent="0.35">
      <c r="B266" s="55" t="str">
        <f t="shared" si="20"/>
        <v/>
      </c>
      <c r="C266" s="40"/>
      <c r="D266" s="40"/>
      <c r="E266" s="41"/>
      <c r="F266" s="41"/>
      <c r="G266" s="41"/>
      <c r="H266" s="68" t="str">
        <f>IF('E2 — Triagem'!D271="","",'E2 — Triagem'!D271)</f>
        <v/>
      </c>
      <c r="I266" s="71"/>
      <c r="J266" s="41"/>
      <c r="K266" s="41"/>
      <c r="L266" s="71"/>
      <c r="M266" s="71"/>
      <c r="N266" s="71"/>
      <c r="O266" s="71"/>
      <c r="P266" s="41"/>
      <c r="Q266" s="41"/>
      <c r="R266" s="71"/>
      <c r="S266" s="71"/>
      <c r="T266" s="75"/>
      <c r="U266" s="75"/>
      <c r="V266" s="75"/>
      <c r="W266" s="58" t="str">
        <f t="shared" si="21"/>
        <v/>
      </c>
      <c r="X266" s="59" t="str">
        <f t="shared" si="22"/>
        <v/>
      </c>
      <c r="Y266" s="41"/>
      <c r="Z266" s="41"/>
      <c r="AA266" s="41"/>
      <c r="AB266" s="68" t="str">
        <f>IF($B266="","",'Workflow (Tracker)'!L289)</f>
        <v/>
      </c>
      <c r="AC266" s="69" t="str">
        <f>IF($B266="","",'E08 — Estabilização Hypercare'!K271)</f>
        <v/>
      </c>
      <c r="AD266" s="66" t="str">
        <f>IF($B266="","",'E08 — Estabilização Hypercare'!O271)</f>
        <v/>
      </c>
      <c r="AE266" s="66" t="str">
        <f>IF($B266="","",'E08 — Estabilização Hypercare'!Q271)</f>
        <v/>
      </c>
      <c r="AF266" s="66" t="str">
        <f>IF(OR($B266="",'E08 — Estabilização Hypercare'!R271=""),"",'E08 — Estabilização Hypercare'!R271)</f>
        <v/>
      </c>
      <c r="AG266" s="60" t="str">
        <f>IF($B266="","",'E08 — Estabilização Hypercare'!S271)</f>
        <v/>
      </c>
      <c r="AH266" s="61" t="str">
        <f>IF($B266="","",'E08 — Estabilização Hypercare'!T271)</f>
        <v/>
      </c>
      <c r="AI266" s="62" t="str">
        <f>IF($B266="","",'E08 — Estabilização Hypercare'!N271)</f>
        <v/>
      </c>
      <c r="AJ266" s="61" t="str">
        <f>IF(OR($B266="",'E08 — Estabilização Hypercare'!U271=""),"",'E08 — Estabilização Hypercare'!U271)</f>
        <v/>
      </c>
      <c r="AK266" s="60" t="str">
        <f t="shared" si="23"/>
        <v/>
      </c>
      <c r="AL266" s="65" t="str">
        <f t="shared" si="24"/>
        <v/>
      </c>
    </row>
    <row r="267" spans="2:38" s="42" customFormat="1" x14ac:dyDescent="0.35">
      <c r="B267" s="55" t="str">
        <f t="shared" si="20"/>
        <v/>
      </c>
      <c r="C267" s="40"/>
      <c r="D267" s="40"/>
      <c r="E267" s="41"/>
      <c r="F267" s="41"/>
      <c r="G267" s="41"/>
      <c r="H267" s="68" t="str">
        <f>IF('E2 — Triagem'!D272="","",'E2 — Triagem'!D272)</f>
        <v/>
      </c>
      <c r="I267" s="71"/>
      <c r="J267" s="41"/>
      <c r="K267" s="41"/>
      <c r="L267" s="71"/>
      <c r="M267" s="71"/>
      <c r="N267" s="71"/>
      <c r="O267" s="71"/>
      <c r="P267" s="41"/>
      <c r="Q267" s="41"/>
      <c r="R267" s="71"/>
      <c r="S267" s="71"/>
      <c r="T267" s="75"/>
      <c r="U267" s="75"/>
      <c r="V267" s="75"/>
      <c r="W267" s="58" t="str">
        <f t="shared" si="21"/>
        <v/>
      </c>
      <c r="X267" s="59" t="str">
        <f t="shared" si="22"/>
        <v/>
      </c>
      <c r="Y267" s="41"/>
      <c r="Z267" s="41"/>
      <c r="AA267" s="41"/>
      <c r="AB267" s="68" t="str">
        <f>IF($B267="","",'Workflow (Tracker)'!L290)</f>
        <v/>
      </c>
      <c r="AC267" s="69" t="str">
        <f>IF($B267="","",'E08 — Estabilização Hypercare'!K272)</f>
        <v/>
      </c>
      <c r="AD267" s="66" t="str">
        <f>IF($B267="","",'E08 — Estabilização Hypercare'!O272)</f>
        <v/>
      </c>
      <c r="AE267" s="66" t="str">
        <f>IF($B267="","",'E08 — Estabilização Hypercare'!Q272)</f>
        <v/>
      </c>
      <c r="AF267" s="66" t="str">
        <f>IF(OR($B267="",'E08 — Estabilização Hypercare'!R272=""),"",'E08 — Estabilização Hypercare'!R272)</f>
        <v/>
      </c>
      <c r="AG267" s="60" t="str">
        <f>IF($B267="","",'E08 — Estabilização Hypercare'!S272)</f>
        <v/>
      </c>
      <c r="AH267" s="61" t="str">
        <f>IF($B267="","",'E08 — Estabilização Hypercare'!T272)</f>
        <v/>
      </c>
      <c r="AI267" s="62" t="str">
        <f>IF($B267="","",'E08 — Estabilização Hypercare'!N272)</f>
        <v/>
      </c>
      <c r="AJ267" s="61" t="str">
        <f>IF(OR($B267="",'E08 — Estabilização Hypercare'!U272=""),"",'E08 — Estabilização Hypercare'!U272)</f>
        <v/>
      </c>
      <c r="AK267" s="60" t="str">
        <f t="shared" si="23"/>
        <v/>
      </c>
      <c r="AL267" s="65" t="str">
        <f t="shared" si="24"/>
        <v/>
      </c>
    </row>
    <row r="268" spans="2:38" s="42" customFormat="1" x14ac:dyDescent="0.35">
      <c r="B268" s="55" t="str">
        <f t="shared" si="20"/>
        <v/>
      </c>
      <c r="C268" s="40"/>
      <c r="D268" s="40"/>
      <c r="E268" s="41"/>
      <c r="F268" s="41"/>
      <c r="G268" s="41"/>
      <c r="H268" s="68" t="str">
        <f>IF('E2 — Triagem'!D273="","",'E2 — Triagem'!D273)</f>
        <v/>
      </c>
      <c r="I268" s="71"/>
      <c r="J268" s="41"/>
      <c r="K268" s="41"/>
      <c r="L268" s="71"/>
      <c r="M268" s="71"/>
      <c r="N268" s="71"/>
      <c r="O268" s="71"/>
      <c r="P268" s="41"/>
      <c r="Q268" s="41"/>
      <c r="R268" s="71"/>
      <c r="S268" s="71"/>
      <c r="T268" s="75"/>
      <c r="U268" s="75"/>
      <c r="V268" s="75"/>
      <c r="W268" s="58" t="str">
        <f t="shared" si="21"/>
        <v/>
      </c>
      <c r="X268" s="59" t="str">
        <f t="shared" si="22"/>
        <v/>
      </c>
      <c r="Y268" s="41"/>
      <c r="Z268" s="41"/>
      <c r="AA268" s="41"/>
      <c r="AB268" s="68" t="str">
        <f>IF($B268="","",'Workflow (Tracker)'!L291)</f>
        <v/>
      </c>
      <c r="AC268" s="69" t="str">
        <f>IF($B268="","",'E08 — Estabilização Hypercare'!K273)</f>
        <v/>
      </c>
      <c r="AD268" s="66" t="str">
        <f>IF($B268="","",'E08 — Estabilização Hypercare'!O273)</f>
        <v/>
      </c>
      <c r="AE268" s="66" t="str">
        <f>IF($B268="","",'E08 — Estabilização Hypercare'!Q273)</f>
        <v/>
      </c>
      <c r="AF268" s="66" t="str">
        <f>IF(OR($B268="",'E08 — Estabilização Hypercare'!R273=""),"",'E08 — Estabilização Hypercare'!R273)</f>
        <v/>
      </c>
      <c r="AG268" s="60" t="str">
        <f>IF($B268="","",'E08 — Estabilização Hypercare'!S273)</f>
        <v/>
      </c>
      <c r="AH268" s="61" t="str">
        <f>IF($B268="","",'E08 — Estabilização Hypercare'!T273)</f>
        <v/>
      </c>
      <c r="AI268" s="62" t="str">
        <f>IF($B268="","",'E08 — Estabilização Hypercare'!N273)</f>
        <v/>
      </c>
      <c r="AJ268" s="61" t="str">
        <f>IF(OR($B268="",'E08 — Estabilização Hypercare'!U273=""),"",'E08 — Estabilização Hypercare'!U273)</f>
        <v/>
      </c>
      <c r="AK268" s="60" t="str">
        <f t="shared" si="23"/>
        <v/>
      </c>
      <c r="AL268" s="65" t="str">
        <f t="shared" si="24"/>
        <v/>
      </c>
    </row>
    <row r="269" spans="2:38" s="42" customFormat="1" x14ac:dyDescent="0.35">
      <c r="B269" s="55" t="str">
        <f t="shared" si="20"/>
        <v/>
      </c>
      <c r="C269" s="40"/>
      <c r="D269" s="40"/>
      <c r="E269" s="41"/>
      <c r="F269" s="41"/>
      <c r="G269" s="41"/>
      <c r="H269" s="68" t="str">
        <f>IF('E2 — Triagem'!D274="","",'E2 — Triagem'!D274)</f>
        <v/>
      </c>
      <c r="I269" s="71"/>
      <c r="J269" s="41"/>
      <c r="K269" s="41"/>
      <c r="L269" s="71"/>
      <c r="M269" s="71"/>
      <c r="N269" s="71"/>
      <c r="O269" s="71"/>
      <c r="P269" s="41"/>
      <c r="Q269" s="41"/>
      <c r="R269" s="71"/>
      <c r="S269" s="71"/>
      <c r="T269" s="75"/>
      <c r="U269" s="75"/>
      <c r="V269" s="75"/>
      <c r="W269" s="58" t="str">
        <f t="shared" si="21"/>
        <v/>
      </c>
      <c r="X269" s="59" t="str">
        <f t="shared" si="22"/>
        <v/>
      </c>
      <c r="Y269" s="41"/>
      <c r="Z269" s="41"/>
      <c r="AA269" s="41"/>
      <c r="AB269" s="68" t="str">
        <f>IF($B269="","",'Workflow (Tracker)'!L292)</f>
        <v/>
      </c>
      <c r="AC269" s="69" t="str">
        <f>IF($B269="","",'E08 — Estabilização Hypercare'!K274)</f>
        <v/>
      </c>
      <c r="AD269" s="66" t="str">
        <f>IF($B269="","",'E08 — Estabilização Hypercare'!O274)</f>
        <v/>
      </c>
      <c r="AE269" s="66" t="str">
        <f>IF($B269="","",'E08 — Estabilização Hypercare'!Q274)</f>
        <v/>
      </c>
      <c r="AF269" s="66" t="str">
        <f>IF(OR($B269="",'E08 — Estabilização Hypercare'!R274=""),"",'E08 — Estabilização Hypercare'!R274)</f>
        <v/>
      </c>
      <c r="AG269" s="60" t="str">
        <f>IF($B269="","",'E08 — Estabilização Hypercare'!S274)</f>
        <v/>
      </c>
      <c r="AH269" s="61" t="str">
        <f>IF($B269="","",'E08 — Estabilização Hypercare'!T274)</f>
        <v/>
      </c>
      <c r="AI269" s="62" t="str">
        <f>IF($B269="","",'E08 — Estabilização Hypercare'!N274)</f>
        <v/>
      </c>
      <c r="AJ269" s="61" t="str">
        <f>IF(OR($B269="",'E08 — Estabilização Hypercare'!U274=""),"",'E08 — Estabilização Hypercare'!U274)</f>
        <v/>
      </c>
      <c r="AK269" s="60" t="str">
        <f t="shared" si="23"/>
        <v/>
      </c>
      <c r="AL269" s="65" t="str">
        <f t="shared" si="24"/>
        <v/>
      </c>
    </row>
    <row r="270" spans="2:38" s="42" customFormat="1" x14ac:dyDescent="0.35">
      <c r="B270" s="55" t="str">
        <f t="shared" si="20"/>
        <v/>
      </c>
      <c r="C270" s="40"/>
      <c r="D270" s="40"/>
      <c r="E270" s="41"/>
      <c r="F270" s="41"/>
      <c r="G270" s="41"/>
      <c r="H270" s="68" t="str">
        <f>IF('E2 — Triagem'!D275="","",'E2 — Triagem'!D275)</f>
        <v/>
      </c>
      <c r="I270" s="71"/>
      <c r="J270" s="41"/>
      <c r="K270" s="41"/>
      <c r="L270" s="71"/>
      <c r="M270" s="71"/>
      <c r="N270" s="71"/>
      <c r="O270" s="71"/>
      <c r="P270" s="41"/>
      <c r="Q270" s="41"/>
      <c r="R270" s="71"/>
      <c r="S270" s="71"/>
      <c r="T270" s="75"/>
      <c r="U270" s="75"/>
      <c r="V270" s="75"/>
      <c r="W270" s="58" t="str">
        <f t="shared" si="21"/>
        <v/>
      </c>
      <c r="X270" s="59" t="str">
        <f t="shared" si="22"/>
        <v/>
      </c>
      <c r="Y270" s="41"/>
      <c r="Z270" s="41"/>
      <c r="AA270" s="41"/>
      <c r="AB270" s="68" t="str">
        <f>IF($B270="","",'Workflow (Tracker)'!L293)</f>
        <v/>
      </c>
      <c r="AC270" s="69" t="str">
        <f>IF($B270="","",'E08 — Estabilização Hypercare'!K275)</f>
        <v/>
      </c>
      <c r="AD270" s="66" t="str">
        <f>IF($B270="","",'E08 — Estabilização Hypercare'!O275)</f>
        <v/>
      </c>
      <c r="AE270" s="66" t="str">
        <f>IF($B270="","",'E08 — Estabilização Hypercare'!Q275)</f>
        <v/>
      </c>
      <c r="AF270" s="66" t="str">
        <f>IF(OR($B270="",'E08 — Estabilização Hypercare'!R275=""),"",'E08 — Estabilização Hypercare'!R275)</f>
        <v/>
      </c>
      <c r="AG270" s="60" t="str">
        <f>IF($B270="","",'E08 — Estabilização Hypercare'!S275)</f>
        <v/>
      </c>
      <c r="AH270" s="61" t="str">
        <f>IF($B270="","",'E08 — Estabilização Hypercare'!T275)</f>
        <v/>
      </c>
      <c r="AI270" s="62" t="str">
        <f>IF($B270="","",'E08 — Estabilização Hypercare'!N275)</f>
        <v/>
      </c>
      <c r="AJ270" s="61" t="str">
        <f>IF(OR($B270="",'E08 — Estabilização Hypercare'!U275=""),"",'E08 — Estabilização Hypercare'!U275)</f>
        <v/>
      </c>
      <c r="AK270" s="60" t="str">
        <f t="shared" si="23"/>
        <v/>
      </c>
      <c r="AL270" s="65" t="str">
        <f t="shared" si="24"/>
        <v/>
      </c>
    </row>
    <row r="271" spans="2:38" s="42" customFormat="1" x14ac:dyDescent="0.35">
      <c r="B271" s="55" t="str">
        <f t="shared" si="20"/>
        <v/>
      </c>
      <c r="C271" s="40"/>
      <c r="D271" s="40"/>
      <c r="E271" s="41"/>
      <c r="F271" s="41"/>
      <c r="G271" s="41"/>
      <c r="H271" s="68" t="str">
        <f>IF('E2 — Triagem'!D276="","",'E2 — Triagem'!D276)</f>
        <v/>
      </c>
      <c r="I271" s="71"/>
      <c r="J271" s="41"/>
      <c r="K271" s="41"/>
      <c r="L271" s="71"/>
      <c r="M271" s="71"/>
      <c r="N271" s="71"/>
      <c r="O271" s="71"/>
      <c r="P271" s="41"/>
      <c r="Q271" s="41"/>
      <c r="R271" s="71"/>
      <c r="S271" s="71"/>
      <c r="T271" s="75"/>
      <c r="U271" s="75"/>
      <c r="V271" s="75"/>
      <c r="W271" s="58" t="str">
        <f t="shared" si="21"/>
        <v/>
      </c>
      <c r="X271" s="59" t="str">
        <f t="shared" si="22"/>
        <v/>
      </c>
      <c r="Y271" s="41"/>
      <c r="Z271" s="41"/>
      <c r="AA271" s="41"/>
      <c r="AB271" s="68" t="str">
        <f>IF($B271="","",'Workflow (Tracker)'!L294)</f>
        <v/>
      </c>
      <c r="AC271" s="69" t="str">
        <f>IF($B271="","",'E08 — Estabilização Hypercare'!K276)</f>
        <v/>
      </c>
      <c r="AD271" s="66" t="str">
        <f>IF($B271="","",'E08 — Estabilização Hypercare'!O276)</f>
        <v/>
      </c>
      <c r="AE271" s="66" t="str">
        <f>IF($B271="","",'E08 — Estabilização Hypercare'!Q276)</f>
        <v/>
      </c>
      <c r="AF271" s="66" t="str">
        <f>IF(OR($B271="",'E08 — Estabilização Hypercare'!R276=""),"",'E08 — Estabilização Hypercare'!R276)</f>
        <v/>
      </c>
      <c r="AG271" s="60" t="str">
        <f>IF($B271="","",'E08 — Estabilização Hypercare'!S276)</f>
        <v/>
      </c>
      <c r="AH271" s="61" t="str">
        <f>IF($B271="","",'E08 — Estabilização Hypercare'!T276)</f>
        <v/>
      </c>
      <c r="AI271" s="62" t="str">
        <f>IF($B271="","",'E08 — Estabilização Hypercare'!N276)</f>
        <v/>
      </c>
      <c r="AJ271" s="61" t="str">
        <f>IF(OR($B271="",'E08 — Estabilização Hypercare'!U276=""),"",'E08 — Estabilização Hypercare'!U276)</f>
        <v/>
      </c>
      <c r="AK271" s="60" t="str">
        <f t="shared" si="23"/>
        <v/>
      </c>
      <c r="AL271" s="65" t="str">
        <f t="shared" si="24"/>
        <v/>
      </c>
    </row>
    <row r="272" spans="2:38" s="42" customFormat="1" x14ac:dyDescent="0.35">
      <c r="B272" s="55" t="str">
        <f t="shared" si="20"/>
        <v/>
      </c>
      <c r="C272" s="40"/>
      <c r="D272" s="40"/>
      <c r="E272" s="41"/>
      <c r="F272" s="41"/>
      <c r="G272" s="41"/>
      <c r="H272" s="68" t="str">
        <f>IF('E2 — Triagem'!D277="","",'E2 — Triagem'!D277)</f>
        <v/>
      </c>
      <c r="I272" s="71"/>
      <c r="J272" s="41"/>
      <c r="K272" s="41"/>
      <c r="L272" s="71"/>
      <c r="M272" s="71"/>
      <c r="N272" s="71"/>
      <c r="O272" s="71"/>
      <c r="P272" s="41"/>
      <c r="Q272" s="41"/>
      <c r="R272" s="71"/>
      <c r="S272" s="71"/>
      <c r="T272" s="75"/>
      <c r="U272" s="75"/>
      <c r="V272" s="75"/>
      <c r="W272" s="58" t="str">
        <f t="shared" si="21"/>
        <v/>
      </c>
      <c r="X272" s="59" t="str">
        <f t="shared" si="22"/>
        <v/>
      </c>
      <c r="Y272" s="41"/>
      <c r="Z272" s="41"/>
      <c r="AA272" s="41"/>
      <c r="AB272" s="68" t="str">
        <f>IF($B272="","",'Workflow (Tracker)'!L295)</f>
        <v/>
      </c>
      <c r="AC272" s="69" t="str">
        <f>IF($B272="","",'E08 — Estabilização Hypercare'!K277)</f>
        <v/>
      </c>
      <c r="AD272" s="66" t="str">
        <f>IF($B272="","",'E08 — Estabilização Hypercare'!O277)</f>
        <v/>
      </c>
      <c r="AE272" s="66" t="str">
        <f>IF($B272="","",'E08 — Estabilização Hypercare'!Q277)</f>
        <v/>
      </c>
      <c r="AF272" s="66" t="str">
        <f>IF(OR($B272="",'E08 — Estabilização Hypercare'!R277=""),"",'E08 — Estabilização Hypercare'!R277)</f>
        <v/>
      </c>
      <c r="AG272" s="60" t="str">
        <f>IF($B272="","",'E08 — Estabilização Hypercare'!S277)</f>
        <v/>
      </c>
      <c r="AH272" s="61" t="str">
        <f>IF($B272="","",'E08 — Estabilização Hypercare'!T277)</f>
        <v/>
      </c>
      <c r="AI272" s="62" t="str">
        <f>IF($B272="","",'E08 — Estabilização Hypercare'!N277)</f>
        <v/>
      </c>
      <c r="AJ272" s="61" t="str">
        <f>IF(OR($B272="",'E08 — Estabilização Hypercare'!U277=""),"",'E08 — Estabilização Hypercare'!U277)</f>
        <v/>
      </c>
      <c r="AK272" s="60" t="str">
        <f t="shared" si="23"/>
        <v/>
      </c>
      <c r="AL272" s="65" t="str">
        <f t="shared" si="24"/>
        <v/>
      </c>
    </row>
    <row r="273" spans="2:38" s="42" customFormat="1" x14ac:dyDescent="0.35">
      <c r="B273" s="55" t="str">
        <f t="shared" si="20"/>
        <v/>
      </c>
      <c r="C273" s="40"/>
      <c r="D273" s="40"/>
      <c r="E273" s="41"/>
      <c r="F273" s="41"/>
      <c r="G273" s="41"/>
      <c r="H273" s="68" t="str">
        <f>IF('E2 — Triagem'!D278="","",'E2 — Triagem'!D278)</f>
        <v/>
      </c>
      <c r="I273" s="71"/>
      <c r="J273" s="41"/>
      <c r="K273" s="41"/>
      <c r="L273" s="71"/>
      <c r="M273" s="71"/>
      <c r="N273" s="71"/>
      <c r="O273" s="71"/>
      <c r="P273" s="41"/>
      <c r="Q273" s="41"/>
      <c r="R273" s="71"/>
      <c r="S273" s="71"/>
      <c r="T273" s="75"/>
      <c r="U273" s="75"/>
      <c r="V273" s="75"/>
      <c r="W273" s="58" t="str">
        <f t="shared" si="21"/>
        <v/>
      </c>
      <c r="X273" s="59" t="str">
        <f t="shared" si="22"/>
        <v/>
      </c>
      <c r="Y273" s="41"/>
      <c r="Z273" s="41"/>
      <c r="AA273" s="41"/>
      <c r="AB273" s="68" t="str">
        <f>IF($B273="","",'Workflow (Tracker)'!L296)</f>
        <v/>
      </c>
      <c r="AC273" s="69" t="str">
        <f>IF($B273="","",'E08 — Estabilização Hypercare'!K278)</f>
        <v/>
      </c>
      <c r="AD273" s="66" t="str">
        <f>IF($B273="","",'E08 — Estabilização Hypercare'!O278)</f>
        <v/>
      </c>
      <c r="AE273" s="66" t="str">
        <f>IF($B273="","",'E08 — Estabilização Hypercare'!Q278)</f>
        <v/>
      </c>
      <c r="AF273" s="66" t="str">
        <f>IF(OR($B273="",'E08 — Estabilização Hypercare'!R278=""),"",'E08 — Estabilização Hypercare'!R278)</f>
        <v/>
      </c>
      <c r="AG273" s="60" t="str">
        <f>IF($B273="","",'E08 — Estabilização Hypercare'!S278)</f>
        <v/>
      </c>
      <c r="AH273" s="61" t="str">
        <f>IF($B273="","",'E08 — Estabilização Hypercare'!T278)</f>
        <v/>
      </c>
      <c r="AI273" s="62" t="str">
        <f>IF($B273="","",'E08 — Estabilização Hypercare'!N278)</f>
        <v/>
      </c>
      <c r="AJ273" s="61" t="str">
        <f>IF(OR($B273="",'E08 — Estabilização Hypercare'!U278=""),"",'E08 — Estabilização Hypercare'!U278)</f>
        <v/>
      </c>
      <c r="AK273" s="60" t="str">
        <f t="shared" si="23"/>
        <v/>
      </c>
      <c r="AL273" s="65" t="str">
        <f t="shared" si="24"/>
        <v/>
      </c>
    </row>
    <row r="274" spans="2:38" s="42" customFormat="1" x14ac:dyDescent="0.35">
      <c r="B274" s="55" t="str">
        <f t="shared" si="20"/>
        <v/>
      </c>
      <c r="C274" s="40"/>
      <c r="D274" s="40"/>
      <c r="E274" s="41"/>
      <c r="F274" s="41"/>
      <c r="G274" s="41"/>
      <c r="H274" s="68" t="str">
        <f>IF('E2 — Triagem'!D279="","",'E2 — Triagem'!D279)</f>
        <v/>
      </c>
      <c r="I274" s="71"/>
      <c r="J274" s="41"/>
      <c r="K274" s="41"/>
      <c r="L274" s="71"/>
      <c r="M274" s="71"/>
      <c r="N274" s="71"/>
      <c r="O274" s="71"/>
      <c r="P274" s="41"/>
      <c r="Q274" s="41"/>
      <c r="R274" s="71"/>
      <c r="S274" s="71"/>
      <c r="T274" s="75"/>
      <c r="U274" s="75"/>
      <c r="V274" s="75"/>
      <c r="W274" s="58" t="str">
        <f t="shared" si="21"/>
        <v/>
      </c>
      <c r="X274" s="59" t="str">
        <f t="shared" si="22"/>
        <v/>
      </c>
      <c r="Y274" s="41"/>
      <c r="Z274" s="41"/>
      <c r="AA274" s="41"/>
      <c r="AB274" s="68" t="str">
        <f>IF($B274="","",'Workflow (Tracker)'!L297)</f>
        <v/>
      </c>
      <c r="AC274" s="69" t="str">
        <f>IF($B274="","",'E08 — Estabilização Hypercare'!K279)</f>
        <v/>
      </c>
      <c r="AD274" s="66" t="str">
        <f>IF($B274="","",'E08 — Estabilização Hypercare'!O279)</f>
        <v/>
      </c>
      <c r="AE274" s="66" t="str">
        <f>IF($B274="","",'E08 — Estabilização Hypercare'!Q279)</f>
        <v/>
      </c>
      <c r="AF274" s="66" t="str">
        <f>IF(OR($B274="",'E08 — Estabilização Hypercare'!R279=""),"",'E08 — Estabilização Hypercare'!R279)</f>
        <v/>
      </c>
      <c r="AG274" s="60" t="str">
        <f>IF($B274="","",'E08 — Estabilização Hypercare'!S279)</f>
        <v/>
      </c>
      <c r="AH274" s="61" t="str">
        <f>IF($B274="","",'E08 — Estabilização Hypercare'!T279)</f>
        <v/>
      </c>
      <c r="AI274" s="62" t="str">
        <f>IF($B274="","",'E08 — Estabilização Hypercare'!N279)</f>
        <v/>
      </c>
      <c r="AJ274" s="61" t="str">
        <f>IF(OR($B274="",'E08 — Estabilização Hypercare'!U279=""),"",'E08 — Estabilização Hypercare'!U279)</f>
        <v/>
      </c>
      <c r="AK274" s="60" t="str">
        <f t="shared" si="23"/>
        <v/>
      </c>
      <c r="AL274" s="65" t="str">
        <f t="shared" si="24"/>
        <v/>
      </c>
    </row>
    <row r="275" spans="2:38" s="42" customFormat="1" x14ac:dyDescent="0.35">
      <c r="B275" s="55" t="str">
        <f t="shared" si="20"/>
        <v/>
      </c>
      <c r="C275" s="40"/>
      <c r="D275" s="40"/>
      <c r="E275" s="41"/>
      <c r="F275" s="41"/>
      <c r="G275" s="41"/>
      <c r="H275" s="68" t="str">
        <f>IF('E2 — Triagem'!D280="","",'E2 — Triagem'!D280)</f>
        <v/>
      </c>
      <c r="I275" s="71"/>
      <c r="J275" s="41"/>
      <c r="K275" s="41"/>
      <c r="L275" s="71"/>
      <c r="M275" s="71"/>
      <c r="N275" s="71"/>
      <c r="O275" s="71"/>
      <c r="P275" s="41"/>
      <c r="Q275" s="41"/>
      <c r="R275" s="71"/>
      <c r="S275" s="71"/>
      <c r="T275" s="75"/>
      <c r="U275" s="75"/>
      <c r="V275" s="75"/>
      <c r="W275" s="58" t="str">
        <f t="shared" si="21"/>
        <v/>
      </c>
      <c r="X275" s="59" t="str">
        <f t="shared" si="22"/>
        <v/>
      </c>
      <c r="Y275" s="41"/>
      <c r="Z275" s="41"/>
      <c r="AA275" s="41"/>
      <c r="AB275" s="68" t="str">
        <f>IF($B275="","",'Workflow (Tracker)'!L298)</f>
        <v/>
      </c>
      <c r="AC275" s="69" t="str">
        <f>IF($B275="","",'E08 — Estabilização Hypercare'!K280)</f>
        <v/>
      </c>
      <c r="AD275" s="66" t="str">
        <f>IF($B275="","",'E08 — Estabilização Hypercare'!O280)</f>
        <v/>
      </c>
      <c r="AE275" s="66" t="str">
        <f>IF($B275="","",'E08 — Estabilização Hypercare'!Q280)</f>
        <v/>
      </c>
      <c r="AF275" s="66" t="str">
        <f>IF(OR($B275="",'E08 — Estabilização Hypercare'!R280=""),"",'E08 — Estabilização Hypercare'!R280)</f>
        <v/>
      </c>
      <c r="AG275" s="60" t="str">
        <f>IF($B275="","",'E08 — Estabilização Hypercare'!S280)</f>
        <v/>
      </c>
      <c r="AH275" s="61" t="str">
        <f>IF($B275="","",'E08 — Estabilização Hypercare'!T280)</f>
        <v/>
      </c>
      <c r="AI275" s="62" t="str">
        <f>IF($B275="","",'E08 — Estabilização Hypercare'!N280)</f>
        <v/>
      </c>
      <c r="AJ275" s="61" t="str">
        <f>IF(OR($B275="",'E08 — Estabilização Hypercare'!U280=""),"",'E08 — Estabilização Hypercare'!U280)</f>
        <v/>
      </c>
      <c r="AK275" s="60" t="str">
        <f t="shared" si="23"/>
        <v/>
      </c>
      <c r="AL275" s="65" t="str">
        <f t="shared" si="24"/>
        <v/>
      </c>
    </row>
    <row r="276" spans="2:38" s="42" customFormat="1" x14ac:dyDescent="0.35">
      <c r="B276" s="55" t="str">
        <f t="shared" si="20"/>
        <v/>
      </c>
      <c r="C276" s="40"/>
      <c r="D276" s="40"/>
      <c r="E276" s="41"/>
      <c r="F276" s="41"/>
      <c r="G276" s="41"/>
      <c r="H276" s="68" t="str">
        <f>IF('E2 — Triagem'!D281="","",'E2 — Triagem'!D281)</f>
        <v/>
      </c>
      <c r="I276" s="71"/>
      <c r="J276" s="41"/>
      <c r="K276" s="41"/>
      <c r="L276" s="71"/>
      <c r="M276" s="71"/>
      <c r="N276" s="71"/>
      <c r="O276" s="71"/>
      <c r="P276" s="41"/>
      <c r="Q276" s="41"/>
      <c r="R276" s="71"/>
      <c r="S276" s="71"/>
      <c r="T276" s="75"/>
      <c r="U276" s="75"/>
      <c r="V276" s="75"/>
      <c r="W276" s="58" t="str">
        <f t="shared" si="21"/>
        <v/>
      </c>
      <c r="X276" s="59" t="str">
        <f t="shared" si="22"/>
        <v/>
      </c>
      <c r="Y276" s="41"/>
      <c r="Z276" s="41"/>
      <c r="AA276" s="41"/>
      <c r="AB276" s="68" t="str">
        <f>IF($B276="","",'Workflow (Tracker)'!L299)</f>
        <v/>
      </c>
      <c r="AC276" s="69" t="str">
        <f>IF($B276="","",'E08 — Estabilização Hypercare'!K281)</f>
        <v/>
      </c>
      <c r="AD276" s="66" t="str">
        <f>IF($B276="","",'E08 — Estabilização Hypercare'!O281)</f>
        <v/>
      </c>
      <c r="AE276" s="66" t="str">
        <f>IF($B276="","",'E08 — Estabilização Hypercare'!Q281)</f>
        <v/>
      </c>
      <c r="AF276" s="66" t="str">
        <f>IF(OR($B276="",'E08 — Estabilização Hypercare'!R281=""),"",'E08 — Estabilização Hypercare'!R281)</f>
        <v/>
      </c>
      <c r="AG276" s="60" t="str">
        <f>IF($B276="","",'E08 — Estabilização Hypercare'!S281)</f>
        <v/>
      </c>
      <c r="AH276" s="61" t="str">
        <f>IF($B276="","",'E08 — Estabilização Hypercare'!T281)</f>
        <v/>
      </c>
      <c r="AI276" s="62" t="str">
        <f>IF($B276="","",'E08 — Estabilização Hypercare'!N281)</f>
        <v/>
      </c>
      <c r="AJ276" s="61" t="str">
        <f>IF(OR($B276="",'E08 — Estabilização Hypercare'!U281=""),"",'E08 — Estabilização Hypercare'!U281)</f>
        <v/>
      </c>
      <c r="AK276" s="60" t="str">
        <f t="shared" si="23"/>
        <v/>
      </c>
      <c r="AL276" s="65" t="str">
        <f t="shared" si="24"/>
        <v/>
      </c>
    </row>
    <row r="277" spans="2:38" s="42" customFormat="1" x14ac:dyDescent="0.35">
      <c r="B277" s="55" t="str">
        <f t="shared" si="20"/>
        <v/>
      </c>
      <c r="C277" s="40"/>
      <c r="D277" s="40"/>
      <c r="E277" s="41"/>
      <c r="F277" s="41"/>
      <c r="G277" s="41"/>
      <c r="H277" s="68" t="str">
        <f>IF('E2 — Triagem'!D282="","",'E2 — Triagem'!D282)</f>
        <v/>
      </c>
      <c r="I277" s="71"/>
      <c r="J277" s="41"/>
      <c r="K277" s="41"/>
      <c r="L277" s="71"/>
      <c r="M277" s="71"/>
      <c r="N277" s="71"/>
      <c r="O277" s="71"/>
      <c r="P277" s="41"/>
      <c r="Q277" s="41"/>
      <c r="R277" s="71"/>
      <c r="S277" s="71"/>
      <c r="T277" s="75"/>
      <c r="U277" s="75"/>
      <c r="V277" s="75"/>
      <c r="W277" s="58" t="str">
        <f t="shared" si="21"/>
        <v/>
      </c>
      <c r="X277" s="59" t="str">
        <f t="shared" si="22"/>
        <v/>
      </c>
      <c r="Y277" s="41"/>
      <c r="Z277" s="41"/>
      <c r="AA277" s="41"/>
      <c r="AB277" s="68" t="str">
        <f>IF($B277="","",'Workflow (Tracker)'!L300)</f>
        <v/>
      </c>
      <c r="AC277" s="69" t="str">
        <f>IF($B277="","",'E08 — Estabilização Hypercare'!K282)</f>
        <v/>
      </c>
      <c r="AD277" s="66" t="str">
        <f>IF($B277="","",'E08 — Estabilização Hypercare'!O282)</f>
        <v/>
      </c>
      <c r="AE277" s="66" t="str">
        <f>IF($B277="","",'E08 — Estabilização Hypercare'!Q282)</f>
        <v/>
      </c>
      <c r="AF277" s="66" t="str">
        <f>IF(OR($B277="",'E08 — Estabilização Hypercare'!R282=""),"",'E08 — Estabilização Hypercare'!R282)</f>
        <v/>
      </c>
      <c r="AG277" s="60" t="str">
        <f>IF($B277="","",'E08 — Estabilização Hypercare'!S282)</f>
        <v/>
      </c>
      <c r="AH277" s="61" t="str">
        <f>IF($B277="","",'E08 — Estabilização Hypercare'!T282)</f>
        <v/>
      </c>
      <c r="AI277" s="62" t="str">
        <f>IF($B277="","",'E08 — Estabilização Hypercare'!N282)</f>
        <v/>
      </c>
      <c r="AJ277" s="61" t="str">
        <f>IF(OR($B277="",'E08 — Estabilização Hypercare'!U282=""),"",'E08 — Estabilização Hypercare'!U282)</f>
        <v/>
      </c>
      <c r="AK277" s="60" t="str">
        <f t="shared" si="23"/>
        <v/>
      </c>
      <c r="AL277" s="65" t="str">
        <f t="shared" si="24"/>
        <v/>
      </c>
    </row>
    <row r="278" spans="2:38" s="42" customFormat="1" x14ac:dyDescent="0.35">
      <c r="B278" s="55" t="str">
        <f t="shared" si="20"/>
        <v/>
      </c>
      <c r="C278" s="40"/>
      <c r="D278" s="40"/>
      <c r="E278" s="41"/>
      <c r="F278" s="41"/>
      <c r="G278" s="41"/>
      <c r="H278" s="68" t="str">
        <f>IF('E2 — Triagem'!D283="","",'E2 — Triagem'!D283)</f>
        <v/>
      </c>
      <c r="I278" s="71"/>
      <c r="J278" s="41"/>
      <c r="K278" s="41"/>
      <c r="L278" s="71"/>
      <c r="M278" s="71"/>
      <c r="N278" s="71"/>
      <c r="O278" s="71"/>
      <c r="P278" s="41"/>
      <c r="Q278" s="41"/>
      <c r="R278" s="71"/>
      <c r="S278" s="71"/>
      <c r="T278" s="75"/>
      <c r="U278" s="75"/>
      <c r="V278" s="75"/>
      <c r="W278" s="58" t="str">
        <f t="shared" si="21"/>
        <v/>
      </c>
      <c r="X278" s="59" t="str">
        <f t="shared" si="22"/>
        <v/>
      </c>
      <c r="Y278" s="41"/>
      <c r="Z278" s="41"/>
      <c r="AA278" s="41"/>
      <c r="AB278" s="68" t="str">
        <f>IF($B278="","",'Workflow (Tracker)'!L301)</f>
        <v/>
      </c>
      <c r="AC278" s="69" t="str">
        <f>IF($B278="","",'E08 — Estabilização Hypercare'!K283)</f>
        <v/>
      </c>
      <c r="AD278" s="66" t="str">
        <f>IF($B278="","",'E08 — Estabilização Hypercare'!O283)</f>
        <v/>
      </c>
      <c r="AE278" s="66" t="str">
        <f>IF($B278="","",'E08 — Estabilização Hypercare'!Q283)</f>
        <v/>
      </c>
      <c r="AF278" s="66" t="str">
        <f>IF(OR($B278="",'E08 — Estabilização Hypercare'!R283=""),"",'E08 — Estabilização Hypercare'!R283)</f>
        <v/>
      </c>
      <c r="AG278" s="60" t="str">
        <f>IF($B278="","",'E08 — Estabilização Hypercare'!S283)</f>
        <v/>
      </c>
      <c r="AH278" s="61" t="str">
        <f>IF($B278="","",'E08 — Estabilização Hypercare'!T283)</f>
        <v/>
      </c>
      <c r="AI278" s="62" t="str">
        <f>IF($B278="","",'E08 — Estabilização Hypercare'!N283)</f>
        <v/>
      </c>
      <c r="AJ278" s="61" t="str">
        <f>IF(OR($B278="",'E08 — Estabilização Hypercare'!U283=""),"",'E08 — Estabilização Hypercare'!U283)</f>
        <v/>
      </c>
      <c r="AK278" s="60" t="str">
        <f t="shared" si="23"/>
        <v/>
      </c>
      <c r="AL278" s="65" t="str">
        <f t="shared" si="24"/>
        <v/>
      </c>
    </row>
    <row r="279" spans="2:38" s="42" customFormat="1" x14ac:dyDescent="0.35">
      <c r="B279" s="55" t="str">
        <f t="shared" si="20"/>
        <v/>
      </c>
      <c r="C279" s="40"/>
      <c r="D279" s="40"/>
      <c r="E279" s="41"/>
      <c r="F279" s="41"/>
      <c r="G279" s="41"/>
      <c r="H279" s="68" t="str">
        <f>IF('E2 — Triagem'!D284="","",'E2 — Triagem'!D284)</f>
        <v/>
      </c>
      <c r="I279" s="71"/>
      <c r="J279" s="41"/>
      <c r="K279" s="41"/>
      <c r="L279" s="71"/>
      <c r="M279" s="71"/>
      <c r="N279" s="71"/>
      <c r="O279" s="71"/>
      <c r="P279" s="41"/>
      <c r="Q279" s="41"/>
      <c r="R279" s="71"/>
      <c r="S279" s="71"/>
      <c r="T279" s="75"/>
      <c r="U279" s="75"/>
      <c r="V279" s="75"/>
      <c r="W279" s="58" t="str">
        <f t="shared" si="21"/>
        <v/>
      </c>
      <c r="X279" s="59" t="str">
        <f t="shared" si="22"/>
        <v/>
      </c>
      <c r="Y279" s="41"/>
      <c r="Z279" s="41"/>
      <c r="AA279" s="41"/>
      <c r="AB279" s="68" t="str">
        <f>IF($B279="","",'Workflow (Tracker)'!L302)</f>
        <v/>
      </c>
      <c r="AC279" s="69" t="str">
        <f>IF($B279="","",'E08 — Estabilização Hypercare'!K284)</f>
        <v/>
      </c>
      <c r="AD279" s="66" t="str">
        <f>IF($B279="","",'E08 — Estabilização Hypercare'!O284)</f>
        <v/>
      </c>
      <c r="AE279" s="66" t="str">
        <f>IF($B279="","",'E08 — Estabilização Hypercare'!Q284)</f>
        <v/>
      </c>
      <c r="AF279" s="66" t="str">
        <f>IF(OR($B279="",'E08 — Estabilização Hypercare'!R284=""),"",'E08 — Estabilização Hypercare'!R284)</f>
        <v/>
      </c>
      <c r="AG279" s="60" t="str">
        <f>IF($B279="","",'E08 — Estabilização Hypercare'!S284)</f>
        <v/>
      </c>
      <c r="AH279" s="61" t="str">
        <f>IF($B279="","",'E08 — Estabilização Hypercare'!T284)</f>
        <v/>
      </c>
      <c r="AI279" s="62" t="str">
        <f>IF($B279="","",'E08 — Estabilização Hypercare'!N284)</f>
        <v/>
      </c>
      <c r="AJ279" s="61" t="str">
        <f>IF(OR($B279="",'E08 — Estabilização Hypercare'!U284=""),"",'E08 — Estabilização Hypercare'!U284)</f>
        <v/>
      </c>
      <c r="AK279" s="60" t="str">
        <f t="shared" si="23"/>
        <v/>
      </c>
      <c r="AL279" s="65" t="str">
        <f t="shared" si="24"/>
        <v/>
      </c>
    </row>
    <row r="280" spans="2:38" s="42" customFormat="1" x14ac:dyDescent="0.35">
      <c r="B280" s="55" t="str">
        <f t="shared" si="20"/>
        <v/>
      </c>
      <c r="C280" s="40"/>
      <c r="D280" s="40"/>
      <c r="E280" s="41"/>
      <c r="F280" s="41"/>
      <c r="G280" s="41"/>
      <c r="H280" s="68" t="str">
        <f>IF('E2 — Triagem'!D285="","",'E2 — Triagem'!D285)</f>
        <v/>
      </c>
      <c r="I280" s="71"/>
      <c r="J280" s="41"/>
      <c r="K280" s="41"/>
      <c r="L280" s="71"/>
      <c r="M280" s="71"/>
      <c r="N280" s="71"/>
      <c r="O280" s="71"/>
      <c r="P280" s="41"/>
      <c r="Q280" s="41"/>
      <c r="R280" s="71"/>
      <c r="S280" s="71"/>
      <c r="T280" s="75"/>
      <c r="U280" s="75"/>
      <c r="V280" s="75"/>
      <c r="W280" s="58" t="str">
        <f t="shared" si="21"/>
        <v/>
      </c>
      <c r="X280" s="59" t="str">
        <f t="shared" si="22"/>
        <v/>
      </c>
      <c r="Y280" s="41"/>
      <c r="Z280" s="41"/>
      <c r="AA280" s="41"/>
      <c r="AB280" s="68" t="str">
        <f>IF($B280="","",'Workflow (Tracker)'!L303)</f>
        <v/>
      </c>
      <c r="AC280" s="69" t="str">
        <f>IF($B280="","",'E08 — Estabilização Hypercare'!K285)</f>
        <v/>
      </c>
      <c r="AD280" s="66" t="str">
        <f>IF($B280="","",'E08 — Estabilização Hypercare'!O285)</f>
        <v/>
      </c>
      <c r="AE280" s="66" t="str">
        <f>IF($B280="","",'E08 — Estabilização Hypercare'!Q285)</f>
        <v/>
      </c>
      <c r="AF280" s="66" t="str">
        <f>IF(OR($B280="",'E08 — Estabilização Hypercare'!R285=""),"",'E08 — Estabilização Hypercare'!R285)</f>
        <v/>
      </c>
      <c r="AG280" s="60" t="str">
        <f>IF($B280="","",'E08 — Estabilização Hypercare'!S285)</f>
        <v/>
      </c>
      <c r="AH280" s="61" t="str">
        <f>IF($B280="","",'E08 — Estabilização Hypercare'!T285)</f>
        <v/>
      </c>
      <c r="AI280" s="62" t="str">
        <f>IF($B280="","",'E08 — Estabilização Hypercare'!N285)</f>
        <v/>
      </c>
      <c r="AJ280" s="61" t="str">
        <f>IF(OR($B280="",'E08 — Estabilização Hypercare'!U285=""),"",'E08 — Estabilização Hypercare'!U285)</f>
        <v/>
      </c>
      <c r="AK280" s="60" t="str">
        <f t="shared" si="23"/>
        <v/>
      </c>
      <c r="AL280" s="65" t="str">
        <f t="shared" si="24"/>
        <v/>
      </c>
    </row>
    <row r="281" spans="2:38" s="42" customFormat="1" x14ac:dyDescent="0.35">
      <c r="B281" s="55" t="str">
        <f t="shared" si="20"/>
        <v/>
      </c>
      <c r="C281" s="40"/>
      <c r="D281" s="40"/>
      <c r="E281" s="41"/>
      <c r="F281" s="41"/>
      <c r="G281" s="41"/>
      <c r="H281" s="68" t="str">
        <f>IF('E2 — Triagem'!D286="","",'E2 — Triagem'!D286)</f>
        <v/>
      </c>
      <c r="I281" s="71"/>
      <c r="J281" s="41"/>
      <c r="K281" s="41"/>
      <c r="L281" s="71"/>
      <c r="M281" s="71"/>
      <c r="N281" s="71"/>
      <c r="O281" s="71"/>
      <c r="P281" s="41"/>
      <c r="Q281" s="41"/>
      <c r="R281" s="71"/>
      <c r="S281" s="71"/>
      <c r="T281" s="75"/>
      <c r="U281" s="75"/>
      <c r="V281" s="75"/>
      <c r="W281" s="58" t="str">
        <f t="shared" si="21"/>
        <v/>
      </c>
      <c r="X281" s="59" t="str">
        <f t="shared" si="22"/>
        <v/>
      </c>
      <c r="Y281" s="41"/>
      <c r="Z281" s="41"/>
      <c r="AA281" s="41"/>
      <c r="AB281" s="68" t="str">
        <f>IF($B281="","",'Workflow (Tracker)'!L304)</f>
        <v/>
      </c>
      <c r="AC281" s="69" t="str">
        <f>IF($B281="","",'E08 — Estabilização Hypercare'!K286)</f>
        <v/>
      </c>
      <c r="AD281" s="66" t="str">
        <f>IF($B281="","",'E08 — Estabilização Hypercare'!O286)</f>
        <v/>
      </c>
      <c r="AE281" s="66" t="str">
        <f>IF($B281="","",'E08 — Estabilização Hypercare'!Q286)</f>
        <v/>
      </c>
      <c r="AF281" s="66" t="str">
        <f>IF(OR($B281="",'E08 — Estabilização Hypercare'!R286=""),"",'E08 — Estabilização Hypercare'!R286)</f>
        <v/>
      </c>
      <c r="AG281" s="60" t="str">
        <f>IF($B281="","",'E08 — Estabilização Hypercare'!S286)</f>
        <v/>
      </c>
      <c r="AH281" s="61" t="str">
        <f>IF($B281="","",'E08 — Estabilização Hypercare'!T286)</f>
        <v/>
      </c>
      <c r="AI281" s="62" t="str">
        <f>IF($B281="","",'E08 — Estabilização Hypercare'!N286)</f>
        <v/>
      </c>
      <c r="AJ281" s="61" t="str">
        <f>IF(OR($B281="",'E08 — Estabilização Hypercare'!U286=""),"",'E08 — Estabilização Hypercare'!U286)</f>
        <v/>
      </c>
      <c r="AK281" s="60" t="str">
        <f t="shared" si="23"/>
        <v/>
      </c>
      <c r="AL281" s="65" t="str">
        <f t="shared" si="24"/>
        <v/>
      </c>
    </row>
    <row r="282" spans="2:38" s="42" customFormat="1" x14ac:dyDescent="0.35">
      <c r="B282" s="55" t="str">
        <f t="shared" si="20"/>
        <v/>
      </c>
      <c r="C282" s="40"/>
      <c r="D282" s="40"/>
      <c r="E282" s="41"/>
      <c r="F282" s="41"/>
      <c r="G282" s="41"/>
      <c r="H282" s="68" t="str">
        <f>IF('E2 — Triagem'!D287="","",'E2 — Triagem'!D287)</f>
        <v/>
      </c>
      <c r="I282" s="71"/>
      <c r="J282" s="41"/>
      <c r="K282" s="41"/>
      <c r="L282" s="71"/>
      <c r="M282" s="71"/>
      <c r="N282" s="71"/>
      <c r="O282" s="71"/>
      <c r="P282" s="41"/>
      <c r="Q282" s="41"/>
      <c r="R282" s="71"/>
      <c r="S282" s="71"/>
      <c r="T282" s="75"/>
      <c r="U282" s="75"/>
      <c r="V282" s="75"/>
      <c r="W282" s="58" t="str">
        <f t="shared" si="21"/>
        <v/>
      </c>
      <c r="X282" s="59" t="str">
        <f t="shared" si="22"/>
        <v/>
      </c>
      <c r="Y282" s="41"/>
      <c r="Z282" s="41"/>
      <c r="AA282" s="41"/>
      <c r="AB282" s="68" t="str">
        <f>IF($B282="","",'Workflow (Tracker)'!L305)</f>
        <v/>
      </c>
      <c r="AC282" s="69" t="str">
        <f>IF($B282="","",'E08 — Estabilização Hypercare'!K287)</f>
        <v/>
      </c>
      <c r="AD282" s="66" t="str">
        <f>IF($B282="","",'E08 — Estabilização Hypercare'!O287)</f>
        <v/>
      </c>
      <c r="AE282" s="66" t="str">
        <f>IF($B282="","",'E08 — Estabilização Hypercare'!Q287)</f>
        <v/>
      </c>
      <c r="AF282" s="66" t="str">
        <f>IF(OR($B282="",'E08 — Estabilização Hypercare'!R287=""),"",'E08 — Estabilização Hypercare'!R287)</f>
        <v/>
      </c>
      <c r="AG282" s="60" t="str">
        <f>IF($B282="","",'E08 — Estabilização Hypercare'!S287)</f>
        <v/>
      </c>
      <c r="AH282" s="61" t="str">
        <f>IF($B282="","",'E08 — Estabilização Hypercare'!T287)</f>
        <v/>
      </c>
      <c r="AI282" s="62" t="str">
        <f>IF($B282="","",'E08 — Estabilização Hypercare'!N287)</f>
        <v/>
      </c>
      <c r="AJ282" s="61" t="str">
        <f>IF(OR($B282="",'E08 — Estabilização Hypercare'!U287=""),"",'E08 — Estabilização Hypercare'!U287)</f>
        <v/>
      </c>
      <c r="AK282" s="60" t="str">
        <f t="shared" si="23"/>
        <v/>
      </c>
      <c r="AL282" s="65" t="str">
        <f t="shared" si="24"/>
        <v/>
      </c>
    </row>
    <row r="283" spans="2:38" s="42" customFormat="1" x14ac:dyDescent="0.35">
      <c r="B283" s="55" t="str">
        <f t="shared" si="20"/>
        <v/>
      </c>
      <c r="C283" s="40"/>
      <c r="D283" s="40"/>
      <c r="E283" s="41"/>
      <c r="F283" s="41"/>
      <c r="G283" s="41"/>
      <c r="H283" s="68" t="str">
        <f>IF('E2 — Triagem'!D288="","",'E2 — Triagem'!D288)</f>
        <v/>
      </c>
      <c r="I283" s="71"/>
      <c r="J283" s="41"/>
      <c r="K283" s="41"/>
      <c r="L283" s="71"/>
      <c r="M283" s="71"/>
      <c r="N283" s="71"/>
      <c r="O283" s="71"/>
      <c r="P283" s="41"/>
      <c r="Q283" s="41"/>
      <c r="R283" s="71"/>
      <c r="S283" s="71"/>
      <c r="T283" s="75"/>
      <c r="U283" s="75"/>
      <c r="V283" s="75"/>
      <c r="W283" s="58" t="str">
        <f t="shared" si="21"/>
        <v/>
      </c>
      <c r="X283" s="59" t="str">
        <f t="shared" si="22"/>
        <v/>
      </c>
      <c r="Y283" s="41"/>
      <c r="Z283" s="41"/>
      <c r="AA283" s="41"/>
      <c r="AB283" s="68" t="str">
        <f>IF($B283="","",'Workflow (Tracker)'!L306)</f>
        <v/>
      </c>
      <c r="AC283" s="69" t="str">
        <f>IF($B283="","",'E08 — Estabilização Hypercare'!K288)</f>
        <v/>
      </c>
      <c r="AD283" s="66" t="str">
        <f>IF($B283="","",'E08 — Estabilização Hypercare'!O288)</f>
        <v/>
      </c>
      <c r="AE283" s="66" t="str">
        <f>IF($B283="","",'E08 — Estabilização Hypercare'!Q288)</f>
        <v/>
      </c>
      <c r="AF283" s="66" t="str">
        <f>IF(OR($B283="",'E08 — Estabilização Hypercare'!R288=""),"",'E08 — Estabilização Hypercare'!R288)</f>
        <v/>
      </c>
      <c r="AG283" s="60" t="str">
        <f>IF($B283="","",'E08 — Estabilização Hypercare'!S288)</f>
        <v/>
      </c>
      <c r="AH283" s="61" t="str">
        <f>IF($B283="","",'E08 — Estabilização Hypercare'!T288)</f>
        <v/>
      </c>
      <c r="AI283" s="62" t="str">
        <f>IF($B283="","",'E08 — Estabilização Hypercare'!N288)</f>
        <v/>
      </c>
      <c r="AJ283" s="61" t="str">
        <f>IF(OR($B283="",'E08 — Estabilização Hypercare'!U288=""),"",'E08 — Estabilização Hypercare'!U288)</f>
        <v/>
      </c>
      <c r="AK283" s="60" t="str">
        <f t="shared" si="23"/>
        <v/>
      </c>
      <c r="AL283" s="65" t="str">
        <f t="shared" si="24"/>
        <v/>
      </c>
    </row>
    <row r="284" spans="2:38" s="42" customFormat="1" x14ac:dyDescent="0.35">
      <c r="B284" s="55" t="str">
        <f t="shared" si="20"/>
        <v/>
      </c>
      <c r="C284" s="40"/>
      <c r="D284" s="40"/>
      <c r="E284" s="41"/>
      <c r="F284" s="41"/>
      <c r="G284" s="41"/>
      <c r="H284" s="68" t="str">
        <f>IF('E2 — Triagem'!D289="","",'E2 — Triagem'!D289)</f>
        <v/>
      </c>
      <c r="I284" s="71"/>
      <c r="J284" s="41"/>
      <c r="K284" s="41"/>
      <c r="L284" s="71"/>
      <c r="M284" s="71"/>
      <c r="N284" s="71"/>
      <c r="O284" s="71"/>
      <c r="P284" s="41"/>
      <c r="Q284" s="41"/>
      <c r="R284" s="71"/>
      <c r="S284" s="71"/>
      <c r="T284" s="75"/>
      <c r="U284" s="75"/>
      <c r="V284" s="75"/>
      <c r="W284" s="58" t="str">
        <f t="shared" si="21"/>
        <v/>
      </c>
      <c r="X284" s="59" t="str">
        <f t="shared" si="22"/>
        <v/>
      </c>
      <c r="Y284" s="41"/>
      <c r="Z284" s="41"/>
      <c r="AA284" s="41"/>
      <c r="AB284" s="68" t="str">
        <f>IF($B284="","",'Workflow (Tracker)'!L307)</f>
        <v/>
      </c>
      <c r="AC284" s="69" t="str">
        <f>IF($B284="","",'E08 — Estabilização Hypercare'!K289)</f>
        <v/>
      </c>
      <c r="AD284" s="66" t="str">
        <f>IF($B284="","",'E08 — Estabilização Hypercare'!O289)</f>
        <v/>
      </c>
      <c r="AE284" s="66" t="str">
        <f>IF($B284="","",'E08 — Estabilização Hypercare'!Q289)</f>
        <v/>
      </c>
      <c r="AF284" s="66" t="str">
        <f>IF(OR($B284="",'E08 — Estabilização Hypercare'!R289=""),"",'E08 — Estabilização Hypercare'!R289)</f>
        <v/>
      </c>
      <c r="AG284" s="60" t="str">
        <f>IF($B284="","",'E08 — Estabilização Hypercare'!S289)</f>
        <v/>
      </c>
      <c r="AH284" s="61" t="str">
        <f>IF($B284="","",'E08 — Estabilização Hypercare'!T289)</f>
        <v/>
      </c>
      <c r="AI284" s="62" t="str">
        <f>IF($B284="","",'E08 — Estabilização Hypercare'!N289)</f>
        <v/>
      </c>
      <c r="AJ284" s="61" t="str">
        <f>IF(OR($B284="",'E08 — Estabilização Hypercare'!U289=""),"",'E08 — Estabilização Hypercare'!U289)</f>
        <v/>
      </c>
      <c r="AK284" s="60" t="str">
        <f t="shared" si="23"/>
        <v/>
      </c>
      <c r="AL284" s="65" t="str">
        <f t="shared" si="24"/>
        <v/>
      </c>
    </row>
    <row r="285" spans="2:38" s="42" customFormat="1" x14ac:dyDescent="0.35">
      <c r="B285" s="55" t="str">
        <f t="shared" si="20"/>
        <v/>
      </c>
      <c r="C285" s="40"/>
      <c r="D285" s="40"/>
      <c r="E285" s="41"/>
      <c r="F285" s="41"/>
      <c r="G285" s="41"/>
      <c r="H285" s="68" t="str">
        <f>IF('E2 — Triagem'!D290="","",'E2 — Triagem'!D290)</f>
        <v/>
      </c>
      <c r="I285" s="71"/>
      <c r="J285" s="41"/>
      <c r="K285" s="41"/>
      <c r="L285" s="71"/>
      <c r="M285" s="71"/>
      <c r="N285" s="71"/>
      <c r="O285" s="71"/>
      <c r="P285" s="41"/>
      <c r="Q285" s="41"/>
      <c r="R285" s="71"/>
      <c r="S285" s="71"/>
      <c r="T285" s="75"/>
      <c r="U285" s="75"/>
      <c r="V285" s="75"/>
      <c r="W285" s="58" t="str">
        <f t="shared" si="21"/>
        <v/>
      </c>
      <c r="X285" s="59" t="str">
        <f t="shared" si="22"/>
        <v/>
      </c>
      <c r="Y285" s="41"/>
      <c r="Z285" s="41"/>
      <c r="AA285" s="41"/>
      <c r="AB285" s="68" t="str">
        <f>IF($B285="","",'Workflow (Tracker)'!L308)</f>
        <v/>
      </c>
      <c r="AC285" s="69" t="str">
        <f>IF($B285="","",'E08 — Estabilização Hypercare'!K290)</f>
        <v/>
      </c>
      <c r="AD285" s="66" t="str">
        <f>IF($B285="","",'E08 — Estabilização Hypercare'!O290)</f>
        <v/>
      </c>
      <c r="AE285" s="66" t="str">
        <f>IF($B285="","",'E08 — Estabilização Hypercare'!Q290)</f>
        <v/>
      </c>
      <c r="AF285" s="66" t="str">
        <f>IF(OR($B285="",'E08 — Estabilização Hypercare'!R290=""),"",'E08 — Estabilização Hypercare'!R290)</f>
        <v/>
      </c>
      <c r="AG285" s="60" t="str">
        <f>IF($B285="","",'E08 — Estabilização Hypercare'!S290)</f>
        <v/>
      </c>
      <c r="AH285" s="61" t="str">
        <f>IF($B285="","",'E08 — Estabilização Hypercare'!T290)</f>
        <v/>
      </c>
      <c r="AI285" s="62" t="str">
        <f>IF($B285="","",'E08 — Estabilização Hypercare'!N290)</f>
        <v/>
      </c>
      <c r="AJ285" s="61" t="str">
        <f>IF(OR($B285="",'E08 — Estabilização Hypercare'!U290=""),"",'E08 — Estabilização Hypercare'!U290)</f>
        <v/>
      </c>
      <c r="AK285" s="60" t="str">
        <f t="shared" si="23"/>
        <v/>
      </c>
      <c r="AL285" s="65" t="str">
        <f t="shared" si="24"/>
        <v/>
      </c>
    </row>
    <row r="286" spans="2:38" s="42" customFormat="1" x14ac:dyDescent="0.35">
      <c r="B286" s="55" t="str">
        <f t="shared" si="20"/>
        <v/>
      </c>
      <c r="C286" s="40"/>
      <c r="D286" s="40"/>
      <c r="E286" s="41"/>
      <c r="F286" s="41"/>
      <c r="G286" s="41"/>
      <c r="H286" s="68" t="str">
        <f>IF('E2 — Triagem'!D291="","",'E2 — Triagem'!D291)</f>
        <v/>
      </c>
      <c r="I286" s="71"/>
      <c r="J286" s="41"/>
      <c r="K286" s="41"/>
      <c r="L286" s="71"/>
      <c r="M286" s="71"/>
      <c r="N286" s="71"/>
      <c r="O286" s="71"/>
      <c r="P286" s="41"/>
      <c r="Q286" s="41"/>
      <c r="R286" s="71"/>
      <c r="S286" s="71"/>
      <c r="T286" s="75"/>
      <c r="U286" s="75"/>
      <c r="V286" s="75"/>
      <c r="W286" s="58" t="str">
        <f t="shared" si="21"/>
        <v/>
      </c>
      <c r="X286" s="59" t="str">
        <f t="shared" si="22"/>
        <v/>
      </c>
      <c r="Y286" s="41"/>
      <c r="Z286" s="41"/>
      <c r="AA286" s="41"/>
      <c r="AB286" s="68" t="str">
        <f>IF($B286="","",'Workflow (Tracker)'!L309)</f>
        <v/>
      </c>
      <c r="AC286" s="69" t="str">
        <f>IF($B286="","",'E08 — Estabilização Hypercare'!K291)</f>
        <v/>
      </c>
      <c r="AD286" s="66" t="str">
        <f>IF($B286="","",'E08 — Estabilização Hypercare'!O291)</f>
        <v/>
      </c>
      <c r="AE286" s="66" t="str">
        <f>IF($B286="","",'E08 — Estabilização Hypercare'!Q291)</f>
        <v/>
      </c>
      <c r="AF286" s="66" t="str">
        <f>IF(OR($B286="",'E08 — Estabilização Hypercare'!R291=""),"",'E08 — Estabilização Hypercare'!R291)</f>
        <v/>
      </c>
      <c r="AG286" s="60" t="str">
        <f>IF($B286="","",'E08 — Estabilização Hypercare'!S291)</f>
        <v/>
      </c>
      <c r="AH286" s="61" t="str">
        <f>IF($B286="","",'E08 — Estabilização Hypercare'!T291)</f>
        <v/>
      </c>
      <c r="AI286" s="62" t="str">
        <f>IF($B286="","",'E08 — Estabilização Hypercare'!N291)</f>
        <v/>
      </c>
      <c r="AJ286" s="61" t="str">
        <f>IF(OR($B286="",'E08 — Estabilização Hypercare'!U291=""),"",'E08 — Estabilização Hypercare'!U291)</f>
        <v/>
      </c>
      <c r="AK286" s="60" t="str">
        <f t="shared" si="23"/>
        <v/>
      </c>
      <c r="AL286" s="65" t="str">
        <f t="shared" si="24"/>
        <v/>
      </c>
    </row>
    <row r="287" spans="2:38" s="42" customFormat="1" x14ac:dyDescent="0.35">
      <c r="B287" s="55" t="str">
        <f t="shared" si="20"/>
        <v/>
      </c>
      <c r="C287" s="40"/>
      <c r="D287" s="40"/>
      <c r="E287" s="41"/>
      <c r="F287" s="41"/>
      <c r="G287" s="41"/>
      <c r="H287" s="68" t="str">
        <f>IF('E2 — Triagem'!D292="","",'E2 — Triagem'!D292)</f>
        <v/>
      </c>
      <c r="I287" s="71"/>
      <c r="J287" s="41"/>
      <c r="K287" s="41"/>
      <c r="L287" s="71"/>
      <c r="M287" s="71"/>
      <c r="N287" s="71"/>
      <c r="O287" s="71"/>
      <c r="P287" s="41"/>
      <c r="Q287" s="41"/>
      <c r="R287" s="71"/>
      <c r="S287" s="71"/>
      <c r="T287" s="75"/>
      <c r="U287" s="75"/>
      <c r="V287" s="75"/>
      <c r="W287" s="58" t="str">
        <f t="shared" si="21"/>
        <v/>
      </c>
      <c r="X287" s="59" t="str">
        <f t="shared" si="22"/>
        <v/>
      </c>
      <c r="Y287" s="41"/>
      <c r="Z287" s="41"/>
      <c r="AA287" s="41"/>
      <c r="AB287" s="68" t="str">
        <f>IF($B287="","",'Workflow (Tracker)'!L310)</f>
        <v/>
      </c>
      <c r="AC287" s="69" t="str">
        <f>IF($B287="","",'E08 — Estabilização Hypercare'!K292)</f>
        <v/>
      </c>
      <c r="AD287" s="66" t="str">
        <f>IF($B287="","",'E08 — Estabilização Hypercare'!O292)</f>
        <v/>
      </c>
      <c r="AE287" s="66" t="str">
        <f>IF($B287="","",'E08 — Estabilização Hypercare'!Q292)</f>
        <v/>
      </c>
      <c r="AF287" s="66" t="str">
        <f>IF(OR($B287="",'E08 — Estabilização Hypercare'!R292=""),"",'E08 — Estabilização Hypercare'!R292)</f>
        <v/>
      </c>
      <c r="AG287" s="60" t="str">
        <f>IF($B287="","",'E08 — Estabilização Hypercare'!S292)</f>
        <v/>
      </c>
      <c r="AH287" s="61" t="str">
        <f>IF($B287="","",'E08 — Estabilização Hypercare'!T292)</f>
        <v/>
      </c>
      <c r="AI287" s="62" t="str">
        <f>IF($B287="","",'E08 — Estabilização Hypercare'!N292)</f>
        <v/>
      </c>
      <c r="AJ287" s="61" t="str">
        <f>IF(OR($B287="",'E08 — Estabilização Hypercare'!U292=""),"",'E08 — Estabilização Hypercare'!U292)</f>
        <v/>
      </c>
      <c r="AK287" s="60" t="str">
        <f t="shared" si="23"/>
        <v/>
      </c>
      <c r="AL287" s="65" t="str">
        <f t="shared" si="24"/>
        <v/>
      </c>
    </row>
    <row r="288" spans="2:38" s="42" customFormat="1" x14ac:dyDescent="0.35">
      <c r="B288" s="55" t="str">
        <f t="shared" si="20"/>
        <v/>
      </c>
      <c r="C288" s="40"/>
      <c r="D288" s="40"/>
      <c r="E288" s="41"/>
      <c r="F288" s="41"/>
      <c r="G288" s="41"/>
      <c r="H288" s="68" t="str">
        <f>IF('E2 — Triagem'!D293="","",'E2 — Triagem'!D293)</f>
        <v/>
      </c>
      <c r="I288" s="71"/>
      <c r="J288" s="41"/>
      <c r="K288" s="41"/>
      <c r="L288" s="71"/>
      <c r="M288" s="71"/>
      <c r="N288" s="71"/>
      <c r="O288" s="71"/>
      <c r="P288" s="41"/>
      <c r="Q288" s="41"/>
      <c r="R288" s="71"/>
      <c r="S288" s="71"/>
      <c r="T288" s="75"/>
      <c r="U288" s="75"/>
      <c r="V288" s="75"/>
      <c r="W288" s="58" t="str">
        <f t="shared" si="21"/>
        <v/>
      </c>
      <c r="X288" s="59" t="str">
        <f t="shared" si="22"/>
        <v/>
      </c>
      <c r="Y288" s="41"/>
      <c r="Z288" s="41"/>
      <c r="AA288" s="41"/>
      <c r="AB288" s="68" t="str">
        <f>IF($B288="","",'Workflow (Tracker)'!L311)</f>
        <v/>
      </c>
      <c r="AC288" s="69" t="str">
        <f>IF($B288="","",'E08 — Estabilização Hypercare'!K293)</f>
        <v/>
      </c>
      <c r="AD288" s="66" t="str">
        <f>IF($B288="","",'E08 — Estabilização Hypercare'!O293)</f>
        <v/>
      </c>
      <c r="AE288" s="66" t="str">
        <f>IF($B288="","",'E08 — Estabilização Hypercare'!Q293)</f>
        <v/>
      </c>
      <c r="AF288" s="66" t="str">
        <f>IF(OR($B288="",'E08 — Estabilização Hypercare'!R293=""),"",'E08 — Estabilização Hypercare'!R293)</f>
        <v/>
      </c>
      <c r="AG288" s="60" t="str">
        <f>IF($B288="","",'E08 — Estabilização Hypercare'!S293)</f>
        <v/>
      </c>
      <c r="AH288" s="61" t="str">
        <f>IF($B288="","",'E08 — Estabilização Hypercare'!T293)</f>
        <v/>
      </c>
      <c r="AI288" s="62" t="str">
        <f>IF($B288="","",'E08 — Estabilização Hypercare'!N293)</f>
        <v/>
      </c>
      <c r="AJ288" s="61" t="str">
        <f>IF(OR($B288="",'E08 — Estabilização Hypercare'!U293=""),"",'E08 — Estabilização Hypercare'!U293)</f>
        <v/>
      </c>
      <c r="AK288" s="60" t="str">
        <f t="shared" si="23"/>
        <v/>
      </c>
      <c r="AL288" s="65" t="str">
        <f t="shared" si="24"/>
        <v/>
      </c>
    </row>
    <row r="289" spans="2:38" s="42" customFormat="1" x14ac:dyDescent="0.35">
      <c r="B289" s="55" t="str">
        <f t="shared" si="20"/>
        <v/>
      </c>
      <c r="C289" s="40"/>
      <c r="D289" s="40"/>
      <c r="E289" s="41"/>
      <c r="F289" s="41"/>
      <c r="G289" s="41"/>
      <c r="H289" s="68" t="str">
        <f>IF('E2 — Triagem'!D294="","",'E2 — Triagem'!D294)</f>
        <v/>
      </c>
      <c r="I289" s="71"/>
      <c r="J289" s="41"/>
      <c r="K289" s="41"/>
      <c r="L289" s="71"/>
      <c r="M289" s="71"/>
      <c r="N289" s="71"/>
      <c r="O289" s="71"/>
      <c r="P289" s="41"/>
      <c r="Q289" s="41"/>
      <c r="R289" s="71"/>
      <c r="S289" s="71"/>
      <c r="T289" s="75"/>
      <c r="U289" s="75"/>
      <c r="V289" s="75"/>
      <c r="W289" s="58" t="str">
        <f t="shared" si="21"/>
        <v/>
      </c>
      <c r="X289" s="59" t="str">
        <f t="shared" si="22"/>
        <v/>
      </c>
      <c r="Y289" s="41"/>
      <c r="Z289" s="41"/>
      <c r="AA289" s="41"/>
      <c r="AB289" s="68" t="str">
        <f>IF($B289="","",'Workflow (Tracker)'!L312)</f>
        <v/>
      </c>
      <c r="AC289" s="69" t="str">
        <f>IF($B289="","",'E08 — Estabilização Hypercare'!K294)</f>
        <v/>
      </c>
      <c r="AD289" s="66" t="str">
        <f>IF($B289="","",'E08 — Estabilização Hypercare'!O294)</f>
        <v/>
      </c>
      <c r="AE289" s="66" t="str">
        <f>IF($B289="","",'E08 — Estabilização Hypercare'!Q294)</f>
        <v/>
      </c>
      <c r="AF289" s="66" t="str">
        <f>IF(OR($B289="",'E08 — Estabilização Hypercare'!R294=""),"",'E08 — Estabilização Hypercare'!R294)</f>
        <v/>
      </c>
      <c r="AG289" s="60" t="str">
        <f>IF($B289="","",'E08 — Estabilização Hypercare'!S294)</f>
        <v/>
      </c>
      <c r="AH289" s="61" t="str">
        <f>IF($B289="","",'E08 — Estabilização Hypercare'!T294)</f>
        <v/>
      </c>
      <c r="AI289" s="62" t="str">
        <f>IF($B289="","",'E08 — Estabilização Hypercare'!N294)</f>
        <v/>
      </c>
      <c r="AJ289" s="61" t="str">
        <f>IF(OR($B289="",'E08 — Estabilização Hypercare'!U294=""),"",'E08 — Estabilização Hypercare'!U294)</f>
        <v/>
      </c>
      <c r="AK289" s="60" t="str">
        <f t="shared" si="23"/>
        <v/>
      </c>
      <c r="AL289" s="65" t="str">
        <f t="shared" si="24"/>
        <v/>
      </c>
    </row>
    <row r="290" spans="2:38" s="42" customFormat="1" x14ac:dyDescent="0.35">
      <c r="B290" s="55" t="str">
        <f t="shared" si="20"/>
        <v/>
      </c>
      <c r="C290" s="40"/>
      <c r="D290" s="40"/>
      <c r="E290" s="41"/>
      <c r="F290" s="41"/>
      <c r="G290" s="41"/>
      <c r="H290" s="68" t="str">
        <f>IF('E2 — Triagem'!D295="","",'E2 — Triagem'!D295)</f>
        <v/>
      </c>
      <c r="I290" s="71"/>
      <c r="J290" s="41"/>
      <c r="K290" s="41"/>
      <c r="L290" s="71"/>
      <c r="M290" s="71"/>
      <c r="N290" s="71"/>
      <c r="O290" s="71"/>
      <c r="P290" s="41"/>
      <c r="Q290" s="41"/>
      <c r="R290" s="71"/>
      <c r="S290" s="71"/>
      <c r="T290" s="75"/>
      <c r="U290" s="75"/>
      <c r="V290" s="75"/>
      <c r="W290" s="58" t="str">
        <f t="shared" si="21"/>
        <v/>
      </c>
      <c r="X290" s="59" t="str">
        <f t="shared" si="22"/>
        <v/>
      </c>
      <c r="Y290" s="41"/>
      <c r="Z290" s="41"/>
      <c r="AA290" s="41"/>
      <c r="AB290" s="68" t="str">
        <f>IF($B290="","",'Workflow (Tracker)'!L313)</f>
        <v/>
      </c>
      <c r="AC290" s="69" t="str">
        <f>IF($B290="","",'E08 — Estabilização Hypercare'!K295)</f>
        <v/>
      </c>
      <c r="AD290" s="66" t="str">
        <f>IF($B290="","",'E08 — Estabilização Hypercare'!O295)</f>
        <v/>
      </c>
      <c r="AE290" s="66" t="str">
        <f>IF($B290="","",'E08 — Estabilização Hypercare'!Q295)</f>
        <v/>
      </c>
      <c r="AF290" s="66" t="str">
        <f>IF(OR($B290="",'E08 — Estabilização Hypercare'!R295=""),"",'E08 — Estabilização Hypercare'!R295)</f>
        <v/>
      </c>
      <c r="AG290" s="60" t="str">
        <f>IF($B290="","",'E08 — Estabilização Hypercare'!S295)</f>
        <v/>
      </c>
      <c r="AH290" s="61" t="str">
        <f>IF($B290="","",'E08 — Estabilização Hypercare'!T295)</f>
        <v/>
      </c>
      <c r="AI290" s="62" t="str">
        <f>IF($B290="","",'E08 — Estabilização Hypercare'!N295)</f>
        <v/>
      </c>
      <c r="AJ290" s="61" t="str">
        <f>IF(OR($B290="",'E08 — Estabilização Hypercare'!U295=""),"",'E08 — Estabilização Hypercare'!U295)</f>
        <v/>
      </c>
      <c r="AK290" s="60" t="str">
        <f t="shared" si="23"/>
        <v/>
      </c>
      <c r="AL290" s="65" t="str">
        <f t="shared" si="24"/>
        <v/>
      </c>
    </row>
    <row r="291" spans="2:38" s="42" customFormat="1" x14ac:dyDescent="0.35">
      <c r="B291" s="55" t="str">
        <f t="shared" si="20"/>
        <v/>
      </c>
      <c r="C291" s="40"/>
      <c r="D291" s="40"/>
      <c r="E291" s="41"/>
      <c r="F291" s="41"/>
      <c r="G291" s="41"/>
      <c r="H291" s="68" t="str">
        <f>IF('E2 — Triagem'!D296="","",'E2 — Triagem'!D296)</f>
        <v/>
      </c>
      <c r="I291" s="71"/>
      <c r="J291" s="41"/>
      <c r="K291" s="41"/>
      <c r="L291" s="71"/>
      <c r="M291" s="71"/>
      <c r="N291" s="71"/>
      <c r="O291" s="71"/>
      <c r="P291" s="41"/>
      <c r="Q291" s="41"/>
      <c r="R291" s="71"/>
      <c r="S291" s="71"/>
      <c r="T291" s="75"/>
      <c r="U291" s="75"/>
      <c r="V291" s="75"/>
      <c r="W291" s="58" t="str">
        <f t="shared" si="21"/>
        <v/>
      </c>
      <c r="X291" s="59" t="str">
        <f t="shared" si="22"/>
        <v/>
      </c>
      <c r="Y291" s="41"/>
      <c r="Z291" s="41"/>
      <c r="AA291" s="41"/>
      <c r="AB291" s="68" t="str">
        <f>IF($B291="","",'Workflow (Tracker)'!L314)</f>
        <v/>
      </c>
      <c r="AC291" s="69" t="str">
        <f>IF($B291="","",'E08 — Estabilização Hypercare'!K296)</f>
        <v/>
      </c>
      <c r="AD291" s="66" t="str">
        <f>IF($B291="","",'E08 — Estabilização Hypercare'!O296)</f>
        <v/>
      </c>
      <c r="AE291" s="66" t="str">
        <f>IF($B291="","",'E08 — Estabilização Hypercare'!Q296)</f>
        <v/>
      </c>
      <c r="AF291" s="66" t="str">
        <f>IF(OR($B291="",'E08 — Estabilização Hypercare'!R296=""),"",'E08 — Estabilização Hypercare'!R296)</f>
        <v/>
      </c>
      <c r="AG291" s="60" t="str">
        <f>IF($B291="","",'E08 — Estabilização Hypercare'!S296)</f>
        <v/>
      </c>
      <c r="AH291" s="61" t="str">
        <f>IF($B291="","",'E08 — Estabilização Hypercare'!T296)</f>
        <v/>
      </c>
      <c r="AI291" s="62" t="str">
        <f>IF($B291="","",'E08 — Estabilização Hypercare'!N296)</f>
        <v/>
      </c>
      <c r="AJ291" s="61" t="str">
        <f>IF(OR($B291="",'E08 — Estabilização Hypercare'!U296=""),"",'E08 — Estabilização Hypercare'!U296)</f>
        <v/>
      </c>
      <c r="AK291" s="60" t="str">
        <f t="shared" si="23"/>
        <v/>
      </c>
      <c r="AL291" s="65" t="str">
        <f t="shared" si="24"/>
        <v/>
      </c>
    </row>
    <row r="292" spans="2:38" s="42" customFormat="1" x14ac:dyDescent="0.35">
      <c r="B292" s="55" t="str">
        <f t="shared" si="20"/>
        <v/>
      </c>
      <c r="C292" s="40"/>
      <c r="D292" s="40"/>
      <c r="E292" s="41"/>
      <c r="F292" s="41"/>
      <c r="G292" s="41"/>
      <c r="H292" s="68" t="str">
        <f>IF('E2 — Triagem'!D297="","",'E2 — Triagem'!D297)</f>
        <v/>
      </c>
      <c r="I292" s="71"/>
      <c r="J292" s="41"/>
      <c r="K292" s="41"/>
      <c r="L292" s="71"/>
      <c r="M292" s="71"/>
      <c r="N292" s="71"/>
      <c r="O292" s="71"/>
      <c r="P292" s="41"/>
      <c r="Q292" s="41"/>
      <c r="R292" s="71"/>
      <c r="S292" s="71"/>
      <c r="T292" s="75"/>
      <c r="U292" s="75"/>
      <c r="V292" s="75"/>
      <c r="W292" s="58" t="str">
        <f t="shared" si="21"/>
        <v/>
      </c>
      <c r="X292" s="59" t="str">
        <f t="shared" si="22"/>
        <v/>
      </c>
      <c r="Y292" s="41"/>
      <c r="Z292" s="41"/>
      <c r="AA292" s="41"/>
      <c r="AB292" s="68" t="str">
        <f>IF($B292="","",'Workflow (Tracker)'!L315)</f>
        <v/>
      </c>
      <c r="AC292" s="69" t="str">
        <f>IF($B292="","",'E08 — Estabilização Hypercare'!K297)</f>
        <v/>
      </c>
      <c r="AD292" s="66" t="str">
        <f>IF($B292="","",'E08 — Estabilização Hypercare'!O297)</f>
        <v/>
      </c>
      <c r="AE292" s="66" t="str">
        <f>IF($B292="","",'E08 — Estabilização Hypercare'!Q297)</f>
        <v/>
      </c>
      <c r="AF292" s="66" t="str">
        <f>IF(OR($B292="",'E08 — Estabilização Hypercare'!R297=""),"",'E08 — Estabilização Hypercare'!R297)</f>
        <v/>
      </c>
      <c r="AG292" s="60" t="str">
        <f>IF($B292="","",'E08 — Estabilização Hypercare'!S297)</f>
        <v/>
      </c>
      <c r="AH292" s="61" t="str">
        <f>IF($B292="","",'E08 — Estabilização Hypercare'!T297)</f>
        <v/>
      </c>
      <c r="AI292" s="62" t="str">
        <f>IF($B292="","",'E08 — Estabilização Hypercare'!N297)</f>
        <v/>
      </c>
      <c r="AJ292" s="61" t="str">
        <f>IF(OR($B292="",'E08 — Estabilização Hypercare'!U297=""),"",'E08 — Estabilização Hypercare'!U297)</f>
        <v/>
      </c>
      <c r="AK292" s="60" t="str">
        <f t="shared" si="23"/>
        <v/>
      </c>
      <c r="AL292" s="65" t="str">
        <f t="shared" si="24"/>
        <v/>
      </c>
    </row>
    <row r="293" spans="2:38" s="42" customFormat="1" x14ac:dyDescent="0.35">
      <c r="B293" s="55" t="str">
        <f t="shared" si="20"/>
        <v/>
      </c>
      <c r="C293" s="40"/>
      <c r="D293" s="40"/>
      <c r="E293" s="41"/>
      <c r="F293" s="41"/>
      <c r="G293" s="41"/>
      <c r="H293" s="68" t="str">
        <f>IF('E2 — Triagem'!D298="","",'E2 — Triagem'!D298)</f>
        <v/>
      </c>
      <c r="I293" s="71"/>
      <c r="J293" s="41"/>
      <c r="K293" s="41"/>
      <c r="L293" s="71"/>
      <c r="M293" s="71"/>
      <c r="N293" s="71"/>
      <c r="O293" s="71"/>
      <c r="P293" s="41"/>
      <c r="Q293" s="41"/>
      <c r="R293" s="71"/>
      <c r="S293" s="71"/>
      <c r="T293" s="75"/>
      <c r="U293" s="75"/>
      <c r="V293" s="75"/>
      <c r="W293" s="58" t="str">
        <f t="shared" si="21"/>
        <v/>
      </c>
      <c r="X293" s="59" t="str">
        <f t="shared" si="22"/>
        <v/>
      </c>
      <c r="Y293" s="41"/>
      <c r="Z293" s="41"/>
      <c r="AA293" s="41"/>
      <c r="AB293" s="68" t="str">
        <f>IF($B293="","",'Workflow (Tracker)'!L316)</f>
        <v/>
      </c>
      <c r="AC293" s="69" t="str">
        <f>IF($B293="","",'E08 — Estabilização Hypercare'!K298)</f>
        <v/>
      </c>
      <c r="AD293" s="66" t="str">
        <f>IF($B293="","",'E08 — Estabilização Hypercare'!O298)</f>
        <v/>
      </c>
      <c r="AE293" s="66" t="str">
        <f>IF($B293="","",'E08 — Estabilização Hypercare'!Q298)</f>
        <v/>
      </c>
      <c r="AF293" s="66" t="str">
        <f>IF(OR($B293="",'E08 — Estabilização Hypercare'!R298=""),"",'E08 — Estabilização Hypercare'!R298)</f>
        <v/>
      </c>
      <c r="AG293" s="60" t="str">
        <f>IF($B293="","",'E08 — Estabilização Hypercare'!S298)</f>
        <v/>
      </c>
      <c r="AH293" s="61" t="str">
        <f>IF($B293="","",'E08 — Estabilização Hypercare'!T298)</f>
        <v/>
      </c>
      <c r="AI293" s="62" t="str">
        <f>IF($B293="","",'E08 — Estabilização Hypercare'!N298)</f>
        <v/>
      </c>
      <c r="AJ293" s="61" t="str">
        <f>IF(OR($B293="",'E08 — Estabilização Hypercare'!U298=""),"",'E08 — Estabilização Hypercare'!U298)</f>
        <v/>
      </c>
      <c r="AK293" s="60" t="str">
        <f t="shared" si="23"/>
        <v/>
      </c>
      <c r="AL293" s="65" t="str">
        <f t="shared" si="24"/>
        <v/>
      </c>
    </row>
    <row r="294" spans="2:38" s="42" customFormat="1" x14ac:dyDescent="0.35">
      <c r="B294" s="55" t="str">
        <f t="shared" si="20"/>
        <v/>
      </c>
      <c r="C294" s="40"/>
      <c r="D294" s="40"/>
      <c r="E294" s="41"/>
      <c r="F294" s="41"/>
      <c r="G294" s="41"/>
      <c r="H294" s="68" t="str">
        <f>IF('E2 — Triagem'!D299="","",'E2 — Triagem'!D299)</f>
        <v/>
      </c>
      <c r="I294" s="71"/>
      <c r="J294" s="41"/>
      <c r="K294" s="41"/>
      <c r="L294" s="71"/>
      <c r="M294" s="71"/>
      <c r="N294" s="71"/>
      <c r="O294" s="71"/>
      <c r="P294" s="41"/>
      <c r="Q294" s="41"/>
      <c r="R294" s="71"/>
      <c r="S294" s="71"/>
      <c r="T294" s="75"/>
      <c r="U294" s="75"/>
      <c r="V294" s="75"/>
      <c r="W294" s="58" t="str">
        <f t="shared" si="21"/>
        <v/>
      </c>
      <c r="X294" s="59" t="str">
        <f t="shared" si="22"/>
        <v/>
      </c>
      <c r="Y294" s="41"/>
      <c r="Z294" s="41"/>
      <c r="AA294" s="41"/>
      <c r="AB294" s="68" t="str">
        <f>IF($B294="","",'Workflow (Tracker)'!L317)</f>
        <v/>
      </c>
      <c r="AC294" s="69" t="str">
        <f>IF($B294="","",'E08 — Estabilização Hypercare'!K299)</f>
        <v/>
      </c>
      <c r="AD294" s="66" t="str">
        <f>IF($B294="","",'E08 — Estabilização Hypercare'!O299)</f>
        <v/>
      </c>
      <c r="AE294" s="66" t="str">
        <f>IF($B294="","",'E08 — Estabilização Hypercare'!Q299)</f>
        <v/>
      </c>
      <c r="AF294" s="66" t="str">
        <f>IF(OR($B294="",'E08 — Estabilização Hypercare'!R299=""),"",'E08 — Estabilização Hypercare'!R299)</f>
        <v/>
      </c>
      <c r="AG294" s="60" t="str">
        <f>IF($B294="","",'E08 — Estabilização Hypercare'!S299)</f>
        <v/>
      </c>
      <c r="AH294" s="61" t="str">
        <f>IF($B294="","",'E08 — Estabilização Hypercare'!T299)</f>
        <v/>
      </c>
      <c r="AI294" s="62" t="str">
        <f>IF($B294="","",'E08 — Estabilização Hypercare'!N299)</f>
        <v/>
      </c>
      <c r="AJ294" s="61" t="str">
        <f>IF(OR($B294="",'E08 — Estabilização Hypercare'!U299=""),"",'E08 — Estabilização Hypercare'!U299)</f>
        <v/>
      </c>
      <c r="AK294" s="60" t="str">
        <f t="shared" si="23"/>
        <v/>
      </c>
      <c r="AL294" s="65" t="str">
        <f t="shared" si="24"/>
        <v/>
      </c>
    </row>
    <row r="295" spans="2:38" s="42" customFormat="1" x14ac:dyDescent="0.35">
      <c r="B295" s="55" t="str">
        <f t="shared" si="20"/>
        <v/>
      </c>
      <c r="C295" s="40"/>
      <c r="D295" s="40"/>
      <c r="E295" s="41"/>
      <c r="F295" s="41"/>
      <c r="G295" s="41"/>
      <c r="H295" s="68" t="str">
        <f>IF('E2 — Triagem'!D300="","",'E2 — Triagem'!D300)</f>
        <v/>
      </c>
      <c r="I295" s="71"/>
      <c r="J295" s="41"/>
      <c r="K295" s="41"/>
      <c r="L295" s="71"/>
      <c r="M295" s="71"/>
      <c r="N295" s="71"/>
      <c r="O295" s="71"/>
      <c r="P295" s="41"/>
      <c r="Q295" s="41"/>
      <c r="R295" s="71"/>
      <c r="S295" s="71"/>
      <c r="T295" s="75"/>
      <c r="U295" s="75"/>
      <c r="V295" s="75"/>
      <c r="W295" s="58" t="str">
        <f t="shared" si="21"/>
        <v/>
      </c>
      <c r="X295" s="59" t="str">
        <f t="shared" si="22"/>
        <v/>
      </c>
      <c r="Y295" s="41"/>
      <c r="Z295" s="41"/>
      <c r="AA295" s="41"/>
      <c r="AB295" s="68" t="str">
        <f>IF($B295="","",'Workflow (Tracker)'!L318)</f>
        <v/>
      </c>
      <c r="AC295" s="69" t="str">
        <f>IF($B295="","",'E08 — Estabilização Hypercare'!K300)</f>
        <v/>
      </c>
      <c r="AD295" s="66" t="str">
        <f>IF($B295="","",'E08 — Estabilização Hypercare'!O300)</f>
        <v/>
      </c>
      <c r="AE295" s="66" t="str">
        <f>IF($B295="","",'E08 — Estabilização Hypercare'!Q300)</f>
        <v/>
      </c>
      <c r="AF295" s="66" t="str">
        <f>IF(OR($B295="",'E08 — Estabilização Hypercare'!R300=""),"",'E08 — Estabilização Hypercare'!R300)</f>
        <v/>
      </c>
      <c r="AG295" s="60" t="str">
        <f>IF($B295="","",'E08 — Estabilização Hypercare'!S300)</f>
        <v/>
      </c>
      <c r="AH295" s="61" t="str">
        <f>IF($B295="","",'E08 — Estabilização Hypercare'!T300)</f>
        <v/>
      </c>
      <c r="AI295" s="62" t="str">
        <f>IF($B295="","",'E08 — Estabilização Hypercare'!N300)</f>
        <v/>
      </c>
      <c r="AJ295" s="61" t="str">
        <f>IF(OR($B295="",'E08 — Estabilização Hypercare'!U300=""),"",'E08 — Estabilização Hypercare'!U300)</f>
        <v/>
      </c>
      <c r="AK295" s="60" t="str">
        <f t="shared" si="23"/>
        <v/>
      </c>
      <c r="AL295" s="65" t="str">
        <f t="shared" si="24"/>
        <v/>
      </c>
    </row>
    <row r="296" spans="2:38" s="42" customFormat="1" x14ac:dyDescent="0.35">
      <c r="B296" s="55" t="str">
        <f t="shared" si="20"/>
        <v/>
      </c>
      <c r="C296" s="40"/>
      <c r="D296" s="40"/>
      <c r="E296" s="41"/>
      <c r="F296" s="41"/>
      <c r="G296" s="41"/>
      <c r="H296" s="68" t="str">
        <f>IF('E2 — Triagem'!D301="","",'E2 — Triagem'!D301)</f>
        <v/>
      </c>
      <c r="I296" s="71"/>
      <c r="J296" s="41"/>
      <c r="K296" s="41"/>
      <c r="L296" s="71"/>
      <c r="M296" s="71"/>
      <c r="N296" s="71"/>
      <c r="O296" s="71"/>
      <c r="P296" s="41"/>
      <c r="Q296" s="41"/>
      <c r="R296" s="71"/>
      <c r="S296" s="71"/>
      <c r="T296" s="75"/>
      <c r="U296" s="75"/>
      <c r="V296" s="75"/>
      <c r="W296" s="58" t="str">
        <f t="shared" si="21"/>
        <v/>
      </c>
      <c r="X296" s="59" t="str">
        <f t="shared" si="22"/>
        <v/>
      </c>
      <c r="Y296" s="41"/>
      <c r="Z296" s="41"/>
      <c r="AA296" s="41"/>
      <c r="AB296" s="68" t="str">
        <f>IF($B296="","",'Workflow (Tracker)'!L319)</f>
        <v/>
      </c>
      <c r="AC296" s="69" t="str">
        <f>IF($B296="","",'E08 — Estabilização Hypercare'!K301)</f>
        <v/>
      </c>
      <c r="AD296" s="66" t="str">
        <f>IF($B296="","",'E08 — Estabilização Hypercare'!O301)</f>
        <v/>
      </c>
      <c r="AE296" s="66" t="str">
        <f>IF($B296="","",'E08 — Estabilização Hypercare'!Q301)</f>
        <v/>
      </c>
      <c r="AF296" s="66" t="str">
        <f>IF(OR($B296="",'E08 — Estabilização Hypercare'!R301=""),"",'E08 — Estabilização Hypercare'!R301)</f>
        <v/>
      </c>
      <c r="AG296" s="60" t="str">
        <f>IF($B296="","",'E08 — Estabilização Hypercare'!S301)</f>
        <v/>
      </c>
      <c r="AH296" s="61" t="str">
        <f>IF($B296="","",'E08 — Estabilização Hypercare'!T301)</f>
        <v/>
      </c>
      <c r="AI296" s="62" t="str">
        <f>IF($B296="","",'E08 — Estabilização Hypercare'!N301)</f>
        <v/>
      </c>
      <c r="AJ296" s="61" t="str">
        <f>IF(OR($B296="",'E08 — Estabilização Hypercare'!U301=""),"",'E08 — Estabilização Hypercare'!U301)</f>
        <v/>
      </c>
      <c r="AK296" s="60" t="str">
        <f t="shared" si="23"/>
        <v/>
      </c>
      <c r="AL296" s="65" t="str">
        <f t="shared" si="24"/>
        <v/>
      </c>
    </row>
    <row r="297" spans="2:38" s="42" customFormat="1" x14ac:dyDescent="0.35">
      <c r="B297" s="55" t="str">
        <f t="shared" si="20"/>
        <v/>
      </c>
      <c r="C297" s="40"/>
      <c r="D297" s="40"/>
      <c r="E297" s="41"/>
      <c r="F297" s="41"/>
      <c r="G297" s="41"/>
      <c r="H297" s="68" t="str">
        <f>IF('E2 — Triagem'!D302="","",'E2 — Triagem'!D302)</f>
        <v/>
      </c>
      <c r="I297" s="71"/>
      <c r="J297" s="41"/>
      <c r="K297" s="41"/>
      <c r="L297" s="71"/>
      <c r="M297" s="71"/>
      <c r="N297" s="71"/>
      <c r="O297" s="71"/>
      <c r="P297" s="41"/>
      <c r="Q297" s="41"/>
      <c r="R297" s="71"/>
      <c r="S297" s="71"/>
      <c r="T297" s="75"/>
      <c r="U297" s="75"/>
      <c r="V297" s="75"/>
      <c r="W297" s="58" t="str">
        <f t="shared" si="21"/>
        <v/>
      </c>
      <c r="X297" s="59" t="str">
        <f t="shared" si="22"/>
        <v/>
      </c>
      <c r="Y297" s="41"/>
      <c r="Z297" s="41"/>
      <c r="AA297" s="41"/>
      <c r="AB297" s="68" t="str">
        <f>IF($B297="","",'Workflow (Tracker)'!L320)</f>
        <v/>
      </c>
      <c r="AC297" s="69" t="str">
        <f>IF($B297="","",'E08 — Estabilização Hypercare'!K302)</f>
        <v/>
      </c>
      <c r="AD297" s="66" t="str">
        <f>IF($B297="","",'E08 — Estabilização Hypercare'!O302)</f>
        <v/>
      </c>
      <c r="AE297" s="66" t="str">
        <f>IF($B297="","",'E08 — Estabilização Hypercare'!Q302)</f>
        <v/>
      </c>
      <c r="AF297" s="66" t="str">
        <f>IF(OR($B297="",'E08 — Estabilização Hypercare'!R302=""),"",'E08 — Estabilização Hypercare'!R302)</f>
        <v/>
      </c>
      <c r="AG297" s="60" t="str">
        <f>IF($B297="","",'E08 — Estabilização Hypercare'!S302)</f>
        <v/>
      </c>
      <c r="AH297" s="61" t="str">
        <f>IF($B297="","",'E08 — Estabilização Hypercare'!T302)</f>
        <v/>
      </c>
      <c r="AI297" s="62" t="str">
        <f>IF($B297="","",'E08 — Estabilização Hypercare'!N302)</f>
        <v/>
      </c>
      <c r="AJ297" s="61" t="str">
        <f>IF(OR($B297="",'E08 — Estabilização Hypercare'!U302=""),"",'E08 — Estabilização Hypercare'!U302)</f>
        <v/>
      </c>
      <c r="AK297" s="60" t="str">
        <f t="shared" si="23"/>
        <v/>
      </c>
      <c r="AL297" s="65" t="str">
        <f t="shared" si="24"/>
        <v/>
      </c>
    </row>
    <row r="298" spans="2:38" s="42" customFormat="1" x14ac:dyDescent="0.35">
      <c r="B298" s="55" t="str">
        <f t="shared" si="20"/>
        <v/>
      </c>
      <c r="C298" s="40"/>
      <c r="D298" s="40"/>
      <c r="E298" s="41"/>
      <c r="F298" s="41"/>
      <c r="G298" s="41"/>
      <c r="H298" s="68" t="str">
        <f>IF('E2 — Triagem'!D303="","",'E2 — Triagem'!D303)</f>
        <v/>
      </c>
      <c r="I298" s="71"/>
      <c r="J298" s="41"/>
      <c r="K298" s="41"/>
      <c r="L298" s="71"/>
      <c r="M298" s="71"/>
      <c r="N298" s="71"/>
      <c r="O298" s="71"/>
      <c r="P298" s="41"/>
      <c r="Q298" s="41"/>
      <c r="R298" s="71"/>
      <c r="S298" s="71"/>
      <c r="T298" s="75"/>
      <c r="U298" s="75"/>
      <c r="V298" s="75"/>
      <c r="W298" s="58" t="str">
        <f t="shared" si="21"/>
        <v/>
      </c>
      <c r="X298" s="59" t="str">
        <f t="shared" si="22"/>
        <v/>
      </c>
      <c r="Y298" s="41"/>
      <c r="Z298" s="41"/>
      <c r="AA298" s="41"/>
      <c r="AB298" s="68" t="str">
        <f>IF($B298="","",'Workflow (Tracker)'!L321)</f>
        <v/>
      </c>
      <c r="AC298" s="69" t="str">
        <f>IF($B298="","",'E08 — Estabilização Hypercare'!K303)</f>
        <v/>
      </c>
      <c r="AD298" s="66" t="str">
        <f>IF($B298="","",'E08 — Estabilização Hypercare'!O303)</f>
        <v/>
      </c>
      <c r="AE298" s="66" t="str">
        <f>IF($B298="","",'E08 — Estabilização Hypercare'!Q303)</f>
        <v/>
      </c>
      <c r="AF298" s="66" t="str">
        <f>IF(OR($B298="",'E08 — Estabilização Hypercare'!R303=""),"",'E08 — Estabilização Hypercare'!R303)</f>
        <v/>
      </c>
      <c r="AG298" s="60" t="str">
        <f>IF($B298="","",'E08 — Estabilização Hypercare'!S303)</f>
        <v/>
      </c>
      <c r="AH298" s="61" t="str">
        <f>IF($B298="","",'E08 — Estabilização Hypercare'!T303)</f>
        <v/>
      </c>
      <c r="AI298" s="62" t="str">
        <f>IF($B298="","",'E08 — Estabilização Hypercare'!N303)</f>
        <v/>
      </c>
      <c r="AJ298" s="61" t="str">
        <f>IF(OR($B298="",'E08 — Estabilização Hypercare'!U303=""),"",'E08 — Estabilização Hypercare'!U303)</f>
        <v/>
      </c>
      <c r="AK298" s="60" t="str">
        <f t="shared" si="23"/>
        <v/>
      </c>
      <c r="AL298" s="65" t="str">
        <f t="shared" si="24"/>
        <v/>
      </c>
    </row>
    <row r="299" spans="2:38" s="42" customFormat="1" x14ac:dyDescent="0.35">
      <c r="B299" s="55" t="str">
        <f t="shared" si="20"/>
        <v/>
      </c>
      <c r="C299" s="40"/>
      <c r="D299" s="40"/>
      <c r="E299" s="41"/>
      <c r="F299" s="41"/>
      <c r="G299" s="41"/>
      <c r="H299" s="68" t="str">
        <f>IF('E2 — Triagem'!D304="","",'E2 — Triagem'!D304)</f>
        <v/>
      </c>
      <c r="I299" s="71"/>
      <c r="J299" s="41"/>
      <c r="K299" s="41"/>
      <c r="L299" s="71"/>
      <c r="M299" s="71"/>
      <c r="N299" s="71"/>
      <c r="O299" s="71"/>
      <c r="P299" s="41"/>
      <c r="Q299" s="41"/>
      <c r="R299" s="71"/>
      <c r="S299" s="71"/>
      <c r="T299" s="75"/>
      <c r="U299" s="75"/>
      <c r="V299" s="75"/>
      <c r="W299" s="58" t="str">
        <f t="shared" si="21"/>
        <v/>
      </c>
      <c r="X299" s="59" t="str">
        <f t="shared" si="22"/>
        <v/>
      </c>
      <c r="Y299" s="41"/>
      <c r="Z299" s="41"/>
      <c r="AA299" s="41"/>
      <c r="AB299" s="68" t="str">
        <f>IF($B299="","",'Workflow (Tracker)'!L322)</f>
        <v/>
      </c>
      <c r="AC299" s="69" t="str">
        <f>IF($B299="","",'E08 — Estabilização Hypercare'!K304)</f>
        <v/>
      </c>
      <c r="AD299" s="66" t="str">
        <f>IF($B299="","",'E08 — Estabilização Hypercare'!O304)</f>
        <v/>
      </c>
      <c r="AE299" s="66" t="str">
        <f>IF($B299="","",'E08 — Estabilização Hypercare'!Q304)</f>
        <v/>
      </c>
      <c r="AF299" s="66" t="str">
        <f>IF(OR($B299="",'E08 — Estabilização Hypercare'!R304=""),"",'E08 — Estabilização Hypercare'!R304)</f>
        <v/>
      </c>
      <c r="AG299" s="60" t="str">
        <f>IF($B299="","",'E08 — Estabilização Hypercare'!S304)</f>
        <v/>
      </c>
      <c r="AH299" s="61" t="str">
        <f>IF($B299="","",'E08 — Estabilização Hypercare'!T304)</f>
        <v/>
      </c>
      <c r="AI299" s="62" t="str">
        <f>IF($B299="","",'E08 — Estabilização Hypercare'!N304)</f>
        <v/>
      </c>
      <c r="AJ299" s="61" t="str">
        <f>IF(OR($B299="",'E08 — Estabilização Hypercare'!U304=""),"",'E08 — Estabilização Hypercare'!U304)</f>
        <v/>
      </c>
      <c r="AK299" s="60" t="str">
        <f t="shared" si="23"/>
        <v/>
      </c>
      <c r="AL299" s="65" t="str">
        <f t="shared" si="24"/>
        <v/>
      </c>
    </row>
    <row r="300" spans="2:38" s="42" customFormat="1" x14ac:dyDescent="0.35">
      <c r="B300" s="55" t="str">
        <f t="shared" si="20"/>
        <v/>
      </c>
      <c r="C300" s="40"/>
      <c r="D300" s="40"/>
      <c r="E300" s="41"/>
      <c r="F300" s="41"/>
      <c r="G300" s="41"/>
      <c r="H300" s="68" t="str">
        <f>IF('E2 — Triagem'!D305="","",'E2 — Triagem'!D305)</f>
        <v/>
      </c>
      <c r="I300" s="71"/>
      <c r="J300" s="41"/>
      <c r="K300" s="41"/>
      <c r="L300" s="71"/>
      <c r="M300" s="71"/>
      <c r="N300" s="71"/>
      <c r="O300" s="71"/>
      <c r="P300" s="41"/>
      <c r="Q300" s="41"/>
      <c r="R300" s="71"/>
      <c r="S300" s="71"/>
      <c r="T300" s="75"/>
      <c r="U300" s="75"/>
      <c r="V300" s="75"/>
      <c r="W300" s="58" t="str">
        <f t="shared" si="21"/>
        <v/>
      </c>
      <c r="X300" s="59" t="str">
        <f t="shared" si="22"/>
        <v/>
      </c>
      <c r="Y300" s="41"/>
      <c r="Z300" s="41"/>
      <c r="AA300" s="41"/>
      <c r="AB300" s="68" t="str">
        <f>IF($B300="","",'Workflow (Tracker)'!L323)</f>
        <v/>
      </c>
      <c r="AC300" s="69" t="str">
        <f>IF($B300="","",'E08 — Estabilização Hypercare'!K305)</f>
        <v/>
      </c>
      <c r="AD300" s="66" t="str">
        <f>IF($B300="","",'E08 — Estabilização Hypercare'!O305)</f>
        <v/>
      </c>
      <c r="AE300" s="66" t="str">
        <f>IF($B300="","",'E08 — Estabilização Hypercare'!Q305)</f>
        <v/>
      </c>
      <c r="AF300" s="66" t="str">
        <f>IF(OR($B300="",'E08 — Estabilização Hypercare'!R305=""),"",'E08 — Estabilização Hypercare'!R305)</f>
        <v/>
      </c>
      <c r="AG300" s="60" t="str">
        <f>IF($B300="","",'E08 — Estabilização Hypercare'!S305)</f>
        <v/>
      </c>
      <c r="AH300" s="61" t="str">
        <f>IF($B300="","",'E08 — Estabilização Hypercare'!T305)</f>
        <v/>
      </c>
      <c r="AI300" s="62" t="str">
        <f>IF($B300="","",'E08 — Estabilização Hypercare'!N305)</f>
        <v/>
      </c>
      <c r="AJ300" s="61" t="str">
        <f>IF(OR($B300="",'E08 — Estabilização Hypercare'!U305=""),"",'E08 — Estabilização Hypercare'!U305)</f>
        <v/>
      </c>
      <c r="AK300" s="60" t="str">
        <f t="shared" si="23"/>
        <v/>
      </c>
      <c r="AL300" s="65" t="str">
        <f t="shared" si="24"/>
        <v/>
      </c>
    </row>
    <row r="301" spans="2:38" s="42" customFormat="1" x14ac:dyDescent="0.35">
      <c r="B301" s="55" t="str">
        <f t="shared" si="20"/>
        <v/>
      </c>
      <c r="C301" s="40"/>
      <c r="D301" s="40"/>
      <c r="E301" s="41"/>
      <c r="F301" s="41"/>
      <c r="G301" s="41"/>
      <c r="H301" s="68" t="str">
        <f>IF('E2 — Triagem'!D306="","",'E2 — Triagem'!D306)</f>
        <v/>
      </c>
      <c r="I301" s="71"/>
      <c r="J301" s="41"/>
      <c r="K301" s="41"/>
      <c r="L301" s="71"/>
      <c r="M301" s="71"/>
      <c r="N301" s="71"/>
      <c r="O301" s="71"/>
      <c r="P301" s="41"/>
      <c r="Q301" s="41"/>
      <c r="R301" s="71"/>
      <c r="S301" s="71"/>
      <c r="T301" s="75"/>
      <c r="U301" s="75"/>
      <c r="V301" s="75"/>
      <c r="W301" s="58" t="str">
        <f t="shared" si="21"/>
        <v/>
      </c>
      <c r="X301" s="59" t="str">
        <f t="shared" si="22"/>
        <v/>
      </c>
      <c r="Y301" s="41"/>
      <c r="Z301" s="41"/>
      <c r="AA301" s="41"/>
      <c r="AB301" s="68" t="str">
        <f>IF($B301="","",'Workflow (Tracker)'!L324)</f>
        <v/>
      </c>
      <c r="AC301" s="69" t="str">
        <f>IF($B301="","",'E08 — Estabilização Hypercare'!K306)</f>
        <v/>
      </c>
      <c r="AD301" s="66" t="str">
        <f>IF($B301="","",'E08 — Estabilização Hypercare'!O306)</f>
        <v/>
      </c>
      <c r="AE301" s="66" t="str">
        <f>IF($B301="","",'E08 — Estabilização Hypercare'!Q306)</f>
        <v/>
      </c>
      <c r="AF301" s="66" t="str">
        <f>IF(OR($B301="",'E08 — Estabilização Hypercare'!R306=""),"",'E08 — Estabilização Hypercare'!R306)</f>
        <v/>
      </c>
      <c r="AG301" s="60" t="str">
        <f>IF($B301="","",'E08 — Estabilização Hypercare'!S306)</f>
        <v/>
      </c>
      <c r="AH301" s="61" t="str">
        <f>IF($B301="","",'E08 — Estabilização Hypercare'!T306)</f>
        <v/>
      </c>
      <c r="AI301" s="62" t="str">
        <f>IF($B301="","",'E08 — Estabilização Hypercare'!N306)</f>
        <v/>
      </c>
      <c r="AJ301" s="61" t="str">
        <f>IF(OR($B301="",'E08 — Estabilização Hypercare'!U306=""),"",'E08 — Estabilização Hypercare'!U306)</f>
        <v/>
      </c>
      <c r="AK301" s="60" t="str">
        <f t="shared" si="23"/>
        <v/>
      </c>
      <c r="AL301" s="65" t="str">
        <f t="shared" si="24"/>
        <v/>
      </c>
    </row>
    <row r="302" spans="2:38" s="42" customFormat="1" x14ac:dyDescent="0.35">
      <c r="B302" s="55" t="str">
        <f t="shared" si="20"/>
        <v/>
      </c>
      <c r="C302" s="40"/>
      <c r="D302" s="40"/>
      <c r="E302" s="41"/>
      <c r="F302" s="41"/>
      <c r="G302" s="41"/>
      <c r="H302" s="68" t="str">
        <f>IF('E2 — Triagem'!D307="","",'E2 — Triagem'!D307)</f>
        <v/>
      </c>
      <c r="I302" s="71"/>
      <c r="J302" s="41"/>
      <c r="K302" s="41"/>
      <c r="L302" s="71"/>
      <c r="M302" s="71"/>
      <c r="N302" s="71"/>
      <c r="O302" s="71"/>
      <c r="P302" s="41"/>
      <c r="Q302" s="41"/>
      <c r="R302" s="71"/>
      <c r="S302" s="71"/>
      <c r="T302" s="75"/>
      <c r="U302" s="75"/>
      <c r="V302" s="75"/>
      <c r="W302" s="58" t="str">
        <f t="shared" si="21"/>
        <v/>
      </c>
      <c r="X302" s="59" t="str">
        <f t="shared" si="22"/>
        <v/>
      </c>
      <c r="Y302" s="41"/>
      <c r="Z302" s="41"/>
      <c r="AA302" s="41"/>
      <c r="AB302" s="68" t="str">
        <f>IF($B302="","",'Workflow (Tracker)'!L325)</f>
        <v/>
      </c>
      <c r="AC302" s="69" t="str">
        <f>IF($B302="","",'E08 — Estabilização Hypercare'!K307)</f>
        <v/>
      </c>
      <c r="AD302" s="66" t="str">
        <f>IF($B302="","",'E08 — Estabilização Hypercare'!O307)</f>
        <v/>
      </c>
      <c r="AE302" s="66" t="str">
        <f>IF($B302="","",'E08 — Estabilização Hypercare'!Q307)</f>
        <v/>
      </c>
      <c r="AF302" s="66" t="str">
        <f>IF(OR($B302="",'E08 — Estabilização Hypercare'!R307=""),"",'E08 — Estabilização Hypercare'!R307)</f>
        <v/>
      </c>
      <c r="AG302" s="60" t="str">
        <f>IF($B302="","",'E08 — Estabilização Hypercare'!S307)</f>
        <v/>
      </c>
      <c r="AH302" s="61" t="str">
        <f>IF($B302="","",'E08 — Estabilização Hypercare'!T307)</f>
        <v/>
      </c>
      <c r="AI302" s="62" t="str">
        <f>IF($B302="","",'E08 — Estabilização Hypercare'!N307)</f>
        <v/>
      </c>
      <c r="AJ302" s="61" t="str">
        <f>IF(OR($B302="",'E08 — Estabilização Hypercare'!U307=""),"",'E08 — Estabilização Hypercare'!U307)</f>
        <v/>
      </c>
      <c r="AK302" s="60" t="str">
        <f t="shared" si="23"/>
        <v/>
      </c>
      <c r="AL302" s="65" t="str">
        <f t="shared" si="24"/>
        <v/>
      </c>
    </row>
    <row r="303" spans="2:38" s="42" customFormat="1" x14ac:dyDescent="0.35">
      <c r="B303" s="55" t="str">
        <f t="shared" si="20"/>
        <v/>
      </c>
      <c r="C303" s="40"/>
      <c r="D303" s="40"/>
      <c r="E303" s="41"/>
      <c r="F303" s="41"/>
      <c r="G303" s="41"/>
      <c r="H303" s="68" t="str">
        <f>IF('E2 — Triagem'!D308="","",'E2 — Triagem'!D308)</f>
        <v/>
      </c>
      <c r="I303" s="71"/>
      <c r="J303" s="41"/>
      <c r="K303" s="41"/>
      <c r="L303" s="71"/>
      <c r="M303" s="71"/>
      <c r="N303" s="71"/>
      <c r="O303" s="71"/>
      <c r="P303" s="41"/>
      <c r="Q303" s="41"/>
      <c r="R303" s="71"/>
      <c r="S303" s="71"/>
      <c r="T303" s="75"/>
      <c r="U303" s="75"/>
      <c r="V303" s="75"/>
      <c r="W303" s="58" t="str">
        <f t="shared" si="21"/>
        <v/>
      </c>
      <c r="X303" s="59" t="str">
        <f t="shared" si="22"/>
        <v/>
      </c>
      <c r="Y303" s="41"/>
      <c r="Z303" s="41"/>
      <c r="AA303" s="41"/>
      <c r="AB303" s="68" t="str">
        <f>IF($B303="","",'Workflow (Tracker)'!L326)</f>
        <v/>
      </c>
      <c r="AC303" s="69" t="str">
        <f>IF($B303="","",'E08 — Estabilização Hypercare'!K308)</f>
        <v/>
      </c>
      <c r="AD303" s="66" t="str">
        <f>IF($B303="","",'E08 — Estabilização Hypercare'!O308)</f>
        <v/>
      </c>
      <c r="AE303" s="66" t="str">
        <f>IF($B303="","",'E08 — Estabilização Hypercare'!Q308)</f>
        <v/>
      </c>
      <c r="AF303" s="66" t="str">
        <f>IF(OR($B303="",'E08 — Estabilização Hypercare'!R308=""),"",'E08 — Estabilização Hypercare'!R308)</f>
        <v/>
      </c>
      <c r="AG303" s="60" t="str">
        <f>IF($B303="","",'E08 — Estabilização Hypercare'!S308)</f>
        <v/>
      </c>
      <c r="AH303" s="61" t="str">
        <f>IF($B303="","",'E08 — Estabilização Hypercare'!T308)</f>
        <v/>
      </c>
      <c r="AI303" s="62" t="str">
        <f>IF($B303="","",'E08 — Estabilização Hypercare'!N308)</f>
        <v/>
      </c>
      <c r="AJ303" s="61" t="str">
        <f>IF(OR($B303="",'E08 — Estabilização Hypercare'!U308=""),"",'E08 — Estabilização Hypercare'!U308)</f>
        <v/>
      </c>
      <c r="AK303" s="60" t="str">
        <f t="shared" si="23"/>
        <v/>
      </c>
      <c r="AL303" s="65" t="str">
        <f t="shared" si="24"/>
        <v/>
      </c>
    </row>
    <row r="304" spans="2:38" s="42" customFormat="1" x14ac:dyDescent="0.35">
      <c r="B304" s="55" t="str">
        <f t="shared" si="20"/>
        <v/>
      </c>
      <c r="C304" s="40"/>
      <c r="D304" s="40"/>
      <c r="E304" s="41"/>
      <c r="F304" s="41"/>
      <c r="G304" s="41"/>
      <c r="H304" s="68" t="str">
        <f>IF('E2 — Triagem'!D309="","",'E2 — Triagem'!D309)</f>
        <v/>
      </c>
      <c r="I304" s="71"/>
      <c r="J304" s="41"/>
      <c r="K304" s="41"/>
      <c r="L304" s="71"/>
      <c r="M304" s="71"/>
      <c r="N304" s="71"/>
      <c r="O304" s="71"/>
      <c r="P304" s="41"/>
      <c r="Q304" s="41"/>
      <c r="R304" s="71"/>
      <c r="S304" s="71"/>
      <c r="T304" s="75"/>
      <c r="U304" s="75"/>
      <c r="V304" s="75"/>
      <c r="W304" s="58" t="str">
        <f t="shared" si="21"/>
        <v/>
      </c>
      <c r="X304" s="59" t="str">
        <f t="shared" si="22"/>
        <v/>
      </c>
      <c r="Y304" s="41"/>
      <c r="Z304" s="41"/>
      <c r="AA304" s="41"/>
      <c r="AB304" s="68" t="str">
        <f>IF($B304="","",'Workflow (Tracker)'!L327)</f>
        <v/>
      </c>
      <c r="AC304" s="69" t="str">
        <f>IF($B304="","",'E08 — Estabilização Hypercare'!K309)</f>
        <v/>
      </c>
      <c r="AD304" s="66" t="str">
        <f>IF($B304="","",'E08 — Estabilização Hypercare'!O309)</f>
        <v/>
      </c>
      <c r="AE304" s="66" t="str">
        <f>IF($B304="","",'E08 — Estabilização Hypercare'!Q309)</f>
        <v/>
      </c>
      <c r="AF304" s="66" t="str">
        <f>IF(OR($B304="",'E08 — Estabilização Hypercare'!R309=""),"",'E08 — Estabilização Hypercare'!R309)</f>
        <v/>
      </c>
      <c r="AG304" s="60" t="str">
        <f>IF($B304="","",'E08 — Estabilização Hypercare'!S309)</f>
        <v/>
      </c>
      <c r="AH304" s="61" t="str">
        <f>IF($B304="","",'E08 — Estabilização Hypercare'!T309)</f>
        <v/>
      </c>
      <c r="AI304" s="62" t="str">
        <f>IF($B304="","",'E08 — Estabilização Hypercare'!N309)</f>
        <v/>
      </c>
      <c r="AJ304" s="61" t="str">
        <f>IF(OR($B304="",'E08 — Estabilização Hypercare'!U309=""),"",'E08 — Estabilização Hypercare'!U309)</f>
        <v/>
      </c>
      <c r="AK304" s="60" t="str">
        <f t="shared" si="23"/>
        <v/>
      </c>
      <c r="AL304" s="65" t="str">
        <f t="shared" si="24"/>
        <v/>
      </c>
    </row>
    <row r="305" spans="2:38" s="42" customFormat="1" x14ac:dyDescent="0.35">
      <c r="B305" s="55" t="str">
        <f t="shared" si="20"/>
        <v/>
      </c>
      <c r="C305" s="40"/>
      <c r="D305" s="40"/>
      <c r="E305" s="41"/>
      <c r="F305" s="41"/>
      <c r="G305" s="41"/>
      <c r="H305" s="68" t="str">
        <f>IF('E2 — Triagem'!D310="","",'E2 — Triagem'!D310)</f>
        <v/>
      </c>
      <c r="I305" s="71"/>
      <c r="J305" s="41"/>
      <c r="K305" s="41"/>
      <c r="L305" s="71"/>
      <c r="M305" s="71"/>
      <c r="N305" s="71"/>
      <c r="O305" s="71"/>
      <c r="P305" s="41"/>
      <c r="Q305" s="41"/>
      <c r="R305" s="71"/>
      <c r="S305" s="71"/>
      <c r="T305" s="75"/>
      <c r="U305" s="75"/>
      <c r="V305" s="75"/>
      <c r="W305" s="58" t="str">
        <f t="shared" si="21"/>
        <v/>
      </c>
      <c r="X305" s="59" t="str">
        <f t="shared" si="22"/>
        <v/>
      </c>
      <c r="Y305" s="41"/>
      <c r="Z305" s="41"/>
      <c r="AA305" s="41"/>
      <c r="AB305" s="68" t="str">
        <f>IF($B305="","",'Workflow (Tracker)'!L328)</f>
        <v/>
      </c>
      <c r="AC305" s="69" t="str">
        <f>IF($B305="","",'E08 — Estabilização Hypercare'!K310)</f>
        <v/>
      </c>
      <c r="AD305" s="66" t="str">
        <f>IF($B305="","",'E08 — Estabilização Hypercare'!O310)</f>
        <v/>
      </c>
      <c r="AE305" s="66" t="str">
        <f>IF($B305="","",'E08 — Estabilização Hypercare'!Q310)</f>
        <v/>
      </c>
      <c r="AF305" s="66" t="str">
        <f>IF(OR($B305="",'E08 — Estabilização Hypercare'!R310=""),"",'E08 — Estabilização Hypercare'!R310)</f>
        <v/>
      </c>
      <c r="AG305" s="60" t="str">
        <f>IF($B305="","",'E08 — Estabilização Hypercare'!S310)</f>
        <v/>
      </c>
      <c r="AH305" s="61" t="str">
        <f>IF($B305="","",'E08 — Estabilização Hypercare'!T310)</f>
        <v/>
      </c>
      <c r="AI305" s="62" t="str">
        <f>IF($B305="","",'E08 — Estabilização Hypercare'!N310)</f>
        <v/>
      </c>
      <c r="AJ305" s="61" t="str">
        <f>IF(OR($B305="",'E08 — Estabilização Hypercare'!U310=""),"",'E08 — Estabilização Hypercare'!U310)</f>
        <v/>
      </c>
      <c r="AK305" s="60" t="str">
        <f t="shared" si="23"/>
        <v/>
      </c>
      <c r="AL305" s="65" t="str">
        <f t="shared" si="24"/>
        <v/>
      </c>
    </row>
    <row r="306" spans="2:38" s="42" customFormat="1" x14ac:dyDescent="0.35">
      <c r="B306" s="55" t="str">
        <f t="shared" si="20"/>
        <v/>
      </c>
      <c r="C306" s="40"/>
      <c r="D306" s="40"/>
      <c r="E306" s="41"/>
      <c r="F306" s="41"/>
      <c r="G306" s="41"/>
      <c r="H306" s="68" t="str">
        <f>IF('E2 — Triagem'!D311="","",'E2 — Triagem'!D311)</f>
        <v/>
      </c>
      <c r="I306" s="71"/>
      <c r="J306" s="41"/>
      <c r="K306" s="41"/>
      <c r="L306" s="71"/>
      <c r="M306" s="71"/>
      <c r="N306" s="71"/>
      <c r="O306" s="71"/>
      <c r="P306" s="41"/>
      <c r="Q306" s="41"/>
      <c r="R306" s="71"/>
      <c r="S306" s="71"/>
      <c r="T306" s="75"/>
      <c r="U306" s="75"/>
      <c r="V306" s="75"/>
      <c r="W306" s="58" t="str">
        <f t="shared" si="21"/>
        <v/>
      </c>
      <c r="X306" s="59" t="str">
        <f t="shared" si="22"/>
        <v/>
      </c>
      <c r="Y306" s="41"/>
      <c r="Z306" s="41"/>
      <c r="AA306" s="41"/>
      <c r="AB306" s="68" t="str">
        <f>IF($B306="","",'Workflow (Tracker)'!L329)</f>
        <v/>
      </c>
      <c r="AC306" s="69" t="str">
        <f>IF($B306="","",'E08 — Estabilização Hypercare'!K311)</f>
        <v/>
      </c>
      <c r="AD306" s="66" t="str">
        <f>IF($B306="","",'E08 — Estabilização Hypercare'!O311)</f>
        <v/>
      </c>
      <c r="AE306" s="66" t="str">
        <f>IF($B306="","",'E08 — Estabilização Hypercare'!Q311)</f>
        <v/>
      </c>
      <c r="AF306" s="66" t="str">
        <f>IF(OR($B306="",'E08 — Estabilização Hypercare'!R311=""),"",'E08 — Estabilização Hypercare'!R311)</f>
        <v/>
      </c>
      <c r="AG306" s="60" t="str">
        <f>IF($B306="","",'E08 — Estabilização Hypercare'!S311)</f>
        <v/>
      </c>
      <c r="AH306" s="61" t="str">
        <f>IF($B306="","",'E08 — Estabilização Hypercare'!T311)</f>
        <v/>
      </c>
      <c r="AI306" s="62" t="str">
        <f>IF($B306="","",'E08 — Estabilização Hypercare'!N311)</f>
        <v/>
      </c>
      <c r="AJ306" s="61" t="str">
        <f>IF(OR($B306="",'E08 — Estabilização Hypercare'!U311=""),"",'E08 — Estabilização Hypercare'!U311)</f>
        <v/>
      </c>
      <c r="AK306" s="60" t="str">
        <f t="shared" si="23"/>
        <v/>
      </c>
      <c r="AL306" s="65" t="str">
        <f t="shared" si="24"/>
        <v/>
      </c>
    </row>
    <row r="307" spans="2:38" s="42" customFormat="1" x14ac:dyDescent="0.35">
      <c r="B307" s="55" t="str">
        <f t="shared" si="20"/>
        <v/>
      </c>
      <c r="C307" s="40"/>
      <c r="D307" s="40"/>
      <c r="E307" s="41"/>
      <c r="F307" s="41"/>
      <c r="G307" s="41"/>
      <c r="H307" s="68" t="str">
        <f>IF('E2 — Triagem'!D312="","",'E2 — Triagem'!D312)</f>
        <v/>
      </c>
      <c r="I307" s="71"/>
      <c r="J307" s="41"/>
      <c r="K307" s="41"/>
      <c r="L307" s="71"/>
      <c r="M307" s="71"/>
      <c r="N307" s="71"/>
      <c r="O307" s="71"/>
      <c r="P307" s="41"/>
      <c r="Q307" s="41"/>
      <c r="R307" s="71"/>
      <c r="S307" s="71"/>
      <c r="T307" s="75"/>
      <c r="U307" s="75"/>
      <c r="V307" s="75"/>
      <c r="W307" s="58" t="str">
        <f t="shared" si="21"/>
        <v/>
      </c>
      <c r="X307" s="59" t="str">
        <f t="shared" si="22"/>
        <v/>
      </c>
      <c r="Y307" s="41"/>
      <c r="Z307" s="41"/>
      <c r="AA307" s="41"/>
      <c r="AB307" s="68" t="str">
        <f>IF($B307="","",'Workflow (Tracker)'!L330)</f>
        <v/>
      </c>
      <c r="AC307" s="69" t="str">
        <f>IF($B307="","",'E08 — Estabilização Hypercare'!K312)</f>
        <v/>
      </c>
      <c r="AD307" s="66" t="str">
        <f>IF($B307="","",'E08 — Estabilização Hypercare'!O312)</f>
        <v/>
      </c>
      <c r="AE307" s="66" t="str">
        <f>IF($B307="","",'E08 — Estabilização Hypercare'!Q312)</f>
        <v/>
      </c>
      <c r="AF307" s="66" t="str">
        <f>IF(OR($B307="",'E08 — Estabilização Hypercare'!R312=""),"",'E08 — Estabilização Hypercare'!R312)</f>
        <v/>
      </c>
      <c r="AG307" s="60" t="str">
        <f>IF($B307="","",'E08 — Estabilização Hypercare'!S312)</f>
        <v/>
      </c>
      <c r="AH307" s="61" t="str">
        <f>IF($B307="","",'E08 — Estabilização Hypercare'!T312)</f>
        <v/>
      </c>
      <c r="AI307" s="62" t="str">
        <f>IF($B307="","",'E08 — Estabilização Hypercare'!N312)</f>
        <v/>
      </c>
      <c r="AJ307" s="61" t="str">
        <f>IF(OR($B307="",'E08 — Estabilização Hypercare'!U312=""),"",'E08 — Estabilização Hypercare'!U312)</f>
        <v/>
      </c>
      <c r="AK307" s="60" t="str">
        <f t="shared" si="23"/>
        <v/>
      </c>
      <c r="AL307" s="65" t="str">
        <f t="shared" si="24"/>
        <v/>
      </c>
    </row>
    <row r="308" spans="2:38" s="42" customFormat="1" x14ac:dyDescent="0.35">
      <c r="B308" s="55" t="str">
        <f t="shared" si="20"/>
        <v/>
      </c>
      <c r="C308" s="40"/>
      <c r="D308" s="40"/>
      <c r="E308" s="41"/>
      <c r="F308" s="41"/>
      <c r="G308" s="41"/>
      <c r="H308" s="68" t="str">
        <f>IF('E2 — Triagem'!D313="","",'E2 — Triagem'!D313)</f>
        <v/>
      </c>
      <c r="I308" s="71"/>
      <c r="J308" s="41"/>
      <c r="K308" s="41"/>
      <c r="L308" s="71"/>
      <c r="M308" s="71"/>
      <c r="N308" s="71"/>
      <c r="O308" s="71"/>
      <c r="P308" s="41"/>
      <c r="Q308" s="41"/>
      <c r="R308" s="71"/>
      <c r="S308" s="71"/>
      <c r="T308" s="75"/>
      <c r="U308" s="75"/>
      <c r="V308" s="75"/>
      <c r="W308" s="58" t="str">
        <f t="shared" si="21"/>
        <v/>
      </c>
      <c r="X308" s="59" t="str">
        <f t="shared" si="22"/>
        <v/>
      </c>
      <c r="Y308" s="41"/>
      <c r="Z308" s="41"/>
      <c r="AA308" s="41"/>
      <c r="AB308" s="68" t="str">
        <f>IF($B308="","",'Workflow (Tracker)'!L331)</f>
        <v/>
      </c>
      <c r="AC308" s="69" t="str">
        <f>IF($B308="","",'E08 — Estabilização Hypercare'!K313)</f>
        <v/>
      </c>
      <c r="AD308" s="66" t="str">
        <f>IF($B308="","",'E08 — Estabilização Hypercare'!O313)</f>
        <v/>
      </c>
      <c r="AE308" s="66" t="str">
        <f>IF($B308="","",'E08 — Estabilização Hypercare'!Q313)</f>
        <v/>
      </c>
      <c r="AF308" s="66" t="str">
        <f>IF(OR($B308="",'E08 — Estabilização Hypercare'!R313=""),"",'E08 — Estabilização Hypercare'!R313)</f>
        <v/>
      </c>
      <c r="AG308" s="60" t="str">
        <f>IF($B308="","",'E08 — Estabilização Hypercare'!S313)</f>
        <v/>
      </c>
      <c r="AH308" s="61" t="str">
        <f>IF($B308="","",'E08 — Estabilização Hypercare'!T313)</f>
        <v/>
      </c>
      <c r="AI308" s="62" t="str">
        <f>IF($B308="","",'E08 — Estabilização Hypercare'!N313)</f>
        <v/>
      </c>
      <c r="AJ308" s="61" t="str">
        <f>IF(OR($B308="",'E08 — Estabilização Hypercare'!U313=""),"",'E08 — Estabilização Hypercare'!U313)</f>
        <v/>
      </c>
      <c r="AK308" s="60" t="str">
        <f t="shared" si="23"/>
        <v/>
      </c>
      <c r="AL308" s="65" t="str">
        <f t="shared" si="24"/>
        <v/>
      </c>
    </row>
    <row r="309" spans="2:38" s="42" customFormat="1" x14ac:dyDescent="0.35">
      <c r="B309" s="55" t="str">
        <f t="shared" si="20"/>
        <v/>
      </c>
      <c r="C309" s="40"/>
      <c r="D309" s="40"/>
      <c r="E309" s="41"/>
      <c r="F309" s="41"/>
      <c r="G309" s="41"/>
      <c r="H309" s="68" t="str">
        <f>IF('E2 — Triagem'!D314="","",'E2 — Triagem'!D314)</f>
        <v/>
      </c>
      <c r="I309" s="71"/>
      <c r="J309" s="41"/>
      <c r="K309" s="41"/>
      <c r="L309" s="71"/>
      <c r="M309" s="71"/>
      <c r="N309" s="71"/>
      <c r="O309" s="71"/>
      <c r="P309" s="41"/>
      <c r="Q309" s="41"/>
      <c r="R309" s="71"/>
      <c r="S309" s="71"/>
      <c r="T309" s="75"/>
      <c r="U309" s="75"/>
      <c r="V309" s="75"/>
      <c r="W309" s="58" t="str">
        <f t="shared" si="21"/>
        <v/>
      </c>
      <c r="X309" s="59" t="str">
        <f t="shared" si="22"/>
        <v/>
      </c>
      <c r="Y309" s="41"/>
      <c r="Z309" s="41"/>
      <c r="AA309" s="41"/>
      <c r="AB309" s="68" t="str">
        <f>IF($B309="","",'Workflow (Tracker)'!L332)</f>
        <v/>
      </c>
      <c r="AC309" s="69" t="str">
        <f>IF($B309="","",'E08 — Estabilização Hypercare'!K314)</f>
        <v/>
      </c>
      <c r="AD309" s="66" t="str">
        <f>IF($B309="","",'E08 — Estabilização Hypercare'!O314)</f>
        <v/>
      </c>
      <c r="AE309" s="66" t="str">
        <f>IF($B309="","",'E08 — Estabilização Hypercare'!Q314)</f>
        <v/>
      </c>
      <c r="AF309" s="66" t="str">
        <f>IF(OR($B309="",'E08 — Estabilização Hypercare'!R314=""),"",'E08 — Estabilização Hypercare'!R314)</f>
        <v/>
      </c>
      <c r="AG309" s="60" t="str">
        <f>IF($B309="","",'E08 — Estabilização Hypercare'!S314)</f>
        <v/>
      </c>
      <c r="AH309" s="61" t="str">
        <f>IF($B309="","",'E08 — Estabilização Hypercare'!T314)</f>
        <v/>
      </c>
      <c r="AI309" s="62" t="str">
        <f>IF($B309="","",'E08 — Estabilização Hypercare'!N314)</f>
        <v/>
      </c>
      <c r="AJ309" s="61" t="str">
        <f>IF(OR($B309="",'E08 — Estabilização Hypercare'!U314=""),"",'E08 — Estabilização Hypercare'!U314)</f>
        <v/>
      </c>
      <c r="AK309" s="60" t="str">
        <f t="shared" si="23"/>
        <v/>
      </c>
      <c r="AL309" s="65" t="str">
        <f t="shared" si="24"/>
        <v/>
      </c>
    </row>
    <row r="310" spans="2:38" s="42" customFormat="1" x14ac:dyDescent="0.35">
      <c r="B310" s="55" t="str">
        <f t="shared" si="20"/>
        <v/>
      </c>
      <c r="C310" s="40"/>
      <c r="D310" s="40"/>
      <c r="E310" s="41"/>
      <c r="F310" s="41"/>
      <c r="G310" s="41"/>
      <c r="H310" s="68" t="str">
        <f>IF('E2 — Triagem'!D315="","",'E2 — Triagem'!D315)</f>
        <v/>
      </c>
      <c r="I310" s="71"/>
      <c r="J310" s="41"/>
      <c r="K310" s="41"/>
      <c r="L310" s="71"/>
      <c r="M310" s="71"/>
      <c r="N310" s="71"/>
      <c r="O310" s="71"/>
      <c r="P310" s="41"/>
      <c r="Q310" s="41"/>
      <c r="R310" s="71"/>
      <c r="S310" s="71"/>
      <c r="T310" s="75"/>
      <c r="U310" s="75"/>
      <c r="V310" s="75"/>
      <c r="W310" s="58" t="str">
        <f t="shared" si="21"/>
        <v/>
      </c>
      <c r="X310" s="59" t="str">
        <f t="shared" si="22"/>
        <v/>
      </c>
      <c r="Y310" s="41"/>
      <c r="Z310" s="41"/>
      <c r="AA310" s="41"/>
      <c r="AB310" s="68" t="str">
        <f>IF($B310="","",'Workflow (Tracker)'!L333)</f>
        <v/>
      </c>
      <c r="AC310" s="69" t="str">
        <f>IF($B310="","",'E08 — Estabilização Hypercare'!K315)</f>
        <v/>
      </c>
      <c r="AD310" s="66" t="str">
        <f>IF($B310="","",'E08 — Estabilização Hypercare'!O315)</f>
        <v/>
      </c>
      <c r="AE310" s="66" t="str">
        <f>IF($B310="","",'E08 — Estabilização Hypercare'!Q315)</f>
        <v/>
      </c>
      <c r="AF310" s="66" t="str">
        <f>IF(OR($B310="",'E08 — Estabilização Hypercare'!R315=""),"",'E08 — Estabilização Hypercare'!R315)</f>
        <v/>
      </c>
      <c r="AG310" s="60" t="str">
        <f>IF($B310="","",'E08 — Estabilização Hypercare'!S315)</f>
        <v/>
      </c>
      <c r="AH310" s="61" t="str">
        <f>IF($B310="","",'E08 — Estabilização Hypercare'!T315)</f>
        <v/>
      </c>
      <c r="AI310" s="62" t="str">
        <f>IF($B310="","",'E08 — Estabilização Hypercare'!N315)</f>
        <v/>
      </c>
      <c r="AJ310" s="61" t="str">
        <f>IF(OR($B310="",'E08 — Estabilização Hypercare'!U315=""),"",'E08 — Estabilização Hypercare'!U315)</f>
        <v/>
      </c>
      <c r="AK310" s="60" t="str">
        <f t="shared" si="23"/>
        <v/>
      </c>
      <c r="AL310" s="65" t="str">
        <f t="shared" si="24"/>
        <v/>
      </c>
    </row>
    <row r="311" spans="2:38" s="42" customFormat="1" x14ac:dyDescent="0.35">
      <c r="B311" s="55" t="str">
        <f t="shared" si="20"/>
        <v/>
      </c>
      <c r="C311" s="40"/>
      <c r="D311" s="40"/>
      <c r="E311" s="41"/>
      <c r="F311" s="41"/>
      <c r="G311" s="41"/>
      <c r="H311" s="68" t="str">
        <f>IF('E2 — Triagem'!D316="","",'E2 — Triagem'!D316)</f>
        <v/>
      </c>
      <c r="I311" s="71"/>
      <c r="J311" s="41"/>
      <c r="K311" s="41"/>
      <c r="L311" s="71"/>
      <c r="M311" s="71"/>
      <c r="N311" s="71"/>
      <c r="O311" s="71"/>
      <c r="P311" s="41"/>
      <c r="Q311" s="41"/>
      <c r="R311" s="71"/>
      <c r="S311" s="71"/>
      <c r="T311" s="75"/>
      <c r="U311" s="75"/>
      <c r="V311" s="75"/>
      <c r="W311" s="58" t="str">
        <f t="shared" si="21"/>
        <v/>
      </c>
      <c r="X311" s="59" t="str">
        <f t="shared" si="22"/>
        <v/>
      </c>
      <c r="Y311" s="41"/>
      <c r="Z311" s="41"/>
      <c r="AA311" s="41"/>
      <c r="AB311" s="68" t="str">
        <f>IF($B311="","",'Workflow (Tracker)'!L334)</f>
        <v/>
      </c>
      <c r="AC311" s="69" t="str">
        <f>IF($B311="","",'E08 — Estabilização Hypercare'!K316)</f>
        <v/>
      </c>
      <c r="AD311" s="66" t="str">
        <f>IF($B311="","",'E08 — Estabilização Hypercare'!O316)</f>
        <v/>
      </c>
      <c r="AE311" s="66" t="str">
        <f>IF($B311="","",'E08 — Estabilização Hypercare'!Q316)</f>
        <v/>
      </c>
      <c r="AF311" s="66" t="str">
        <f>IF(OR($B311="",'E08 — Estabilização Hypercare'!R316=""),"",'E08 — Estabilização Hypercare'!R316)</f>
        <v/>
      </c>
      <c r="AG311" s="60" t="str">
        <f>IF($B311="","",'E08 — Estabilização Hypercare'!S316)</f>
        <v/>
      </c>
      <c r="AH311" s="61" t="str">
        <f>IF($B311="","",'E08 — Estabilização Hypercare'!T316)</f>
        <v/>
      </c>
      <c r="AI311" s="62" t="str">
        <f>IF($B311="","",'E08 — Estabilização Hypercare'!N316)</f>
        <v/>
      </c>
      <c r="AJ311" s="61" t="str">
        <f>IF(OR($B311="",'E08 — Estabilização Hypercare'!U316=""),"",'E08 — Estabilização Hypercare'!U316)</f>
        <v/>
      </c>
      <c r="AK311" s="60" t="str">
        <f t="shared" si="23"/>
        <v/>
      </c>
      <c r="AL311" s="65" t="str">
        <f t="shared" si="24"/>
        <v/>
      </c>
    </row>
    <row r="312" spans="2:38" s="42" customFormat="1" x14ac:dyDescent="0.35">
      <c r="B312" s="55" t="str">
        <f t="shared" si="20"/>
        <v/>
      </c>
      <c r="C312" s="40"/>
      <c r="D312" s="40"/>
      <c r="E312" s="41"/>
      <c r="F312" s="41"/>
      <c r="G312" s="41"/>
      <c r="H312" s="68" t="str">
        <f>IF('E2 — Triagem'!D317="","",'E2 — Triagem'!D317)</f>
        <v/>
      </c>
      <c r="I312" s="71"/>
      <c r="J312" s="41"/>
      <c r="K312" s="41"/>
      <c r="L312" s="71"/>
      <c r="M312" s="71"/>
      <c r="N312" s="71"/>
      <c r="O312" s="71"/>
      <c r="P312" s="41"/>
      <c r="Q312" s="41"/>
      <c r="R312" s="71"/>
      <c r="S312" s="71"/>
      <c r="T312" s="75"/>
      <c r="U312" s="75"/>
      <c r="V312" s="75"/>
      <c r="W312" s="58" t="str">
        <f t="shared" si="21"/>
        <v/>
      </c>
      <c r="X312" s="59" t="str">
        <f t="shared" si="22"/>
        <v/>
      </c>
      <c r="Y312" s="41"/>
      <c r="Z312" s="41"/>
      <c r="AA312" s="41"/>
      <c r="AB312" s="68" t="str">
        <f>IF($B312="","",'Workflow (Tracker)'!L335)</f>
        <v/>
      </c>
      <c r="AC312" s="69" t="str">
        <f>IF($B312="","",'E08 — Estabilização Hypercare'!K317)</f>
        <v/>
      </c>
      <c r="AD312" s="66" t="str">
        <f>IF($B312="","",'E08 — Estabilização Hypercare'!O317)</f>
        <v/>
      </c>
      <c r="AE312" s="66" t="str">
        <f>IF($B312="","",'E08 — Estabilização Hypercare'!Q317)</f>
        <v/>
      </c>
      <c r="AF312" s="66" t="str">
        <f>IF(OR($B312="",'E08 — Estabilização Hypercare'!R317=""),"",'E08 — Estabilização Hypercare'!R317)</f>
        <v/>
      </c>
      <c r="AG312" s="60" t="str">
        <f>IF($B312="","",'E08 — Estabilização Hypercare'!S317)</f>
        <v/>
      </c>
      <c r="AH312" s="61" t="str">
        <f>IF($B312="","",'E08 — Estabilização Hypercare'!T317)</f>
        <v/>
      </c>
      <c r="AI312" s="62" t="str">
        <f>IF($B312="","",'E08 — Estabilização Hypercare'!N317)</f>
        <v/>
      </c>
      <c r="AJ312" s="61" t="str">
        <f>IF(OR($B312="",'E08 — Estabilização Hypercare'!U317=""),"",'E08 — Estabilização Hypercare'!U317)</f>
        <v/>
      </c>
      <c r="AK312" s="60" t="str">
        <f t="shared" si="23"/>
        <v/>
      </c>
      <c r="AL312" s="65" t="str">
        <f t="shared" si="24"/>
        <v/>
      </c>
    </row>
    <row r="313" spans="2:38" s="42" customFormat="1" x14ac:dyDescent="0.35">
      <c r="B313" s="55" t="str">
        <f t="shared" si="20"/>
        <v/>
      </c>
      <c r="C313" s="40"/>
      <c r="D313" s="40"/>
      <c r="E313" s="41"/>
      <c r="F313" s="41"/>
      <c r="G313" s="41"/>
      <c r="H313" s="68" t="str">
        <f>IF('E2 — Triagem'!D318="","",'E2 — Triagem'!D318)</f>
        <v/>
      </c>
      <c r="I313" s="71"/>
      <c r="J313" s="41"/>
      <c r="K313" s="41"/>
      <c r="L313" s="71"/>
      <c r="M313" s="71"/>
      <c r="N313" s="71"/>
      <c r="O313" s="71"/>
      <c r="P313" s="41"/>
      <c r="Q313" s="41"/>
      <c r="R313" s="71"/>
      <c r="S313" s="71"/>
      <c r="T313" s="75"/>
      <c r="U313" s="75"/>
      <c r="V313" s="75"/>
      <c r="W313" s="58" t="str">
        <f t="shared" si="21"/>
        <v/>
      </c>
      <c r="X313" s="59" t="str">
        <f t="shared" si="22"/>
        <v/>
      </c>
      <c r="Y313" s="41"/>
      <c r="Z313" s="41"/>
      <c r="AA313" s="41"/>
      <c r="AB313" s="68" t="str">
        <f>IF($B313="","",'Workflow (Tracker)'!L336)</f>
        <v/>
      </c>
      <c r="AC313" s="69" t="str">
        <f>IF($B313="","",'E08 — Estabilização Hypercare'!K318)</f>
        <v/>
      </c>
      <c r="AD313" s="66" t="str">
        <f>IF($B313="","",'E08 — Estabilização Hypercare'!O318)</f>
        <v/>
      </c>
      <c r="AE313" s="66" t="str">
        <f>IF($B313="","",'E08 — Estabilização Hypercare'!Q318)</f>
        <v/>
      </c>
      <c r="AF313" s="66" t="str">
        <f>IF(OR($B313="",'E08 — Estabilização Hypercare'!R318=""),"",'E08 — Estabilização Hypercare'!R318)</f>
        <v/>
      </c>
      <c r="AG313" s="60" t="str">
        <f>IF($B313="","",'E08 — Estabilização Hypercare'!S318)</f>
        <v/>
      </c>
      <c r="AH313" s="61" t="str">
        <f>IF($B313="","",'E08 — Estabilização Hypercare'!T318)</f>
        <v/>
      </c>
      <c r="AI313" s="62" t="str">
        <f>IF($B313="","",'E08 — Estabilização Hypercare'!N318)</f>
        <v/>
      </c>
      <c r="AJ313" s="61" t="str">
        <f>IF(OR($B313="",'E08 — Estabilização Hypercare'!U318=""),"",'E08 — Estabilização Hypercare'!U318)</f>
        <v/>
      </c>
      <c r="AK313" s="60" t="str">
        <f t="shared" si="23"/>
        <v/>
      </c>
      <c r="AL313" s="65" t="str">
        <f t="shared" si="24"/>
        <v/>
      </c>
    </row>
    <row r="314" spans="2:38" s="42" customFormat="1" x14ac:dyDescent="0.35">
      <c r="B314" s="55" t="str">
        <f t="shared" si="20"/>
        <v/>
      </c>
      <c r="C314" s="40"/>
      <c r="D314" s="40"/>
      <c r="E314" s="41"/>
      <c r="F314" s="41"/>
      <c r="G314" s="41"/>
      <c r="H314" s="68" t="str">
        <f>IF('E2 — Triagem'!D319="","",'E2 — Triagem'!D319)</f>
        <v/>
      </c>
      <c r="I314" s="71"/>
      <c r="J314" s="41"/>
      <c r="K314" s="41"/>
      <c r="L314" s="71"/>
      <c r="M314" s="71"/>
      <c r="N314" s="71"/>
      <c r="O314" s="71"/>
      <c r="P314" s="41"/>
      <c r="Q314" s="41"/>
      <c r="R314" s="71"/>
      <c r="S314" s="71"/>
      <c r="T314" s="75"/>
      <c r="U314" s="75"/>
      <c r="V314" s="75"/>
      <c r="W314" s="58" t="str">
        <f t="shared" si="21"/>
        <v/>
      </c>
      <c r="X314" s="59" t="str">
        <f t="shared" si="22"/>
        <v/>
      </c>
      <c r="Y314" s="41"/>
      <c r="Z314" s="41"/>
      <c r="AA314" s="41"/>
      <c r="AB314" s="68" t="str">
        <f>IF($B314="","",'Workflow (Tracker)'!L337)</f>
        <v/>
      </c>
      <c r="AC314" s="69" t="str">
        <f>IF($B314="","",'E08 — Estabilização Hypercare'!K319)</f>
        <v/>
      </c>
      <c r="AD314" s="66" t="str">
        <f>IF($B314="","",'E08 — Estabilização Hypercare'!O319)</f>
        <v/>
      </c>
      <c r="AE314" s="66" t="str">
        <f>IF($B314="","",'E08 — Estabilização Hypercare'!Q319)</f>
        <v/>
      </c>
      <c r="AF314" s="66" t="str">
        <f>IF(OR($B314="",'E08 — Estabilização Hypercare'!R319=""),"",'E08 — Estabilização Hypercare'!R319)</f>
        <v/>
      </c>
      <c r="AG314" s="60" t="str">
        <f>IF($B314="","",'E08 — Estabilização Hypercare'!S319)</f>
        <v/>
      </c>
      <c r="AH314" s="61" t="str">
        <f>IF($B314="","",'E08 — Estabilização Hypercare'!T319)</f>
        <v/>
      </c>
      <c r="AI314" s="62" t="str">
        <f>IF($B314="","",'E08 — Estabilização Hypercare'!N319)</f>
        <v/>
      </c>
      <c r="AJ314" s="61" t="str">
        <f>IF(OR($B314="",'E08 — Estabilização Hypercare'!U319=""),"",'E08 — Estabilização Hypercare'!U319)</f>
        <v/>
      </c>
      <c r="AK314" s="60" t="str">
        <f t="shared" si="23"/>
        <v/>
      </c>
      <c r="AL314" s="65" t="str">
        <f t="shared" si="24"/>
        <v/>
      </c>
    </row>
    <row r="315" spans="2:38" s="42" customFormat="1" x14ac:dyDescent="0.35">
      <c r="B315" s="55" t="str">
        <f t="shared" si="20"/>
        <v/>
      </c>
      <c r="C315" s="40"/>
      <c r="D315" s="40"/>
      <c r="E315" s="41"/>
      <c r="F315" s="41"/>
      <c r="G315" s="41"/>
      <c r="H315" s="68" t="str">
        <f>IF('E2 — Triagem'!D320="","",'E2 — Triagem'!D320)</f>
        <v/>
      </c>
      <c r="I315" s="71"/>
      <c r="J315" s="41"/>
      <c r="K315" s="41"/>
      <c r="L315" s="71"/>
      <c r="M315" s="71"/>
      <c r="N315" s="71"/>
      <c r="O315" s="71"/>
      <c r="P315" s="41"/>
      <c r="Q315" s="41"/>
      <c r="R315" s="71"/>
      <c r="S315" s="71"/>
      <c r="T315" s="75"/>
      <c r="U315" s="75"/>
      <c r="V315" s="75"/>
      <c r="W315" s="58" t="str">
        <f t="shared" si="21"/>
        <v/>
      </c>
      <c r="X315" s="59" t="str">
        <f t="shared" si="22"/>
        <v/>
      </c>
      <c r="Y315" s="41"/>
      <c r="Z315" s="41"/>
      <c r="AA315" s="41"/>
      <c r="AB315" s="68" t="str">
        <f>IF($B315="","",'Workflow (Tracker)'!L338)</f>
        <v/>
      </c>
      <c r="AC315" s="69" t="str">
        <f>IF($B315="","",'E08 — Estabilização Hypercare'!K320)</f>
        <v/>
      </c>
      <c r="AD315" s="66" t="str">
        <f>IF($B315="","",'E08 — Estabilização Hypercare'!O320)</f>
        <v/>
      </c>
      <c r="AE315" s="66" t="str">
        <f>IF($B315="","",'E08 — Estabilização Hypercare'!Q320)</f>
        <v/>
      </c>
      <c r="AF315" s="66" t="str">
        <f>IF(OR($B315="",'E08 — Estabilização Hypercare'!R320=""),"",'E08 — Estabilização Hypercare'!R320)</f>
        <v/>
      </c>
      <c r="AG315" s="60" t="str">
        <f>IF($B315="","",'E08 — Estabilização Hypercare'!S320)</f>
        <v/>
      </c>
      <c r="AH315" s="61" t="str">
        <f>IF($B315="","",'E08 — Estabilização Hypercare'!T320)</f>
        <v/>
      </c>
      <c r="AI315" s="62" t="str">
        <f>IF($B315="","",'E08 — Estabilização Hypercare'!N320)</f>
        <v/>
      </c>
      <c r="AJ315" s="61" t="str">
        <f>IF(OR($B315="",'E08 — Estabilização Hypercare'!U320=""),"",'E08 — Estabilização Hypercare'!U320)</f>
        <v/>
      </c>
      <c r="AK315" s="60" t="str">
        <f t="shared" si="23"/>
        <v/>
      </c>
      <c r="AL315" s="65" t="str">
        <f t="shared" si="24"/>
        <v/>
      </c>
    </row>
    <row r="316" spans="2:38" s="42" customFormat="1" x14ac:dyDescent="0.35">
      <c r="B316" s="55" t="str">
        <f t="shared" si="20"/>
        <v/>
      </c>
      <c r="C316" s="40"/>
      <c r="D316" s="40"/>
      <c r="E316" s="41"/>
      <c r="F316" s="41"/>
      <c r="G316" s="41"/>
      <c r="H316" s="68" t="str">
        <f>IF('E2 — Triagem'!D321="","",'E2 — Triagem'!D321)</f>
        <v/>
      </c>
      <c r="I316" s="71"/>
      <c r="J316" s="41"/>
      <c r="K316" s="41"/>
      <c r="L316" s="71"/>
      <c r="M316" s="71"/>
      <c r="N316" s="71"/>
      <c r="O316" s="71"/>
      <c r="P316" s="41"/>
      <c r="Q316" s="41"/>
      <c r="R316" s="71"/>
      <c r="S316" s="71"/>
      <c r="T316" s="75"/>
      <c r="U316" s="75"/>
      <c r="V316" s="75"/>
      <c r="W316" s="58" t="str">
        <f t="shared" si="21"/>
        <v/>
      </c>
      <c r="X316" s="59" t="str">
        <f t="shared" si="22"/>
        <v/>
      </c>
      <c r="Y316" s="41"/>
      <c r="Z316" s="41"/>
      <c r="AA316" s="41"/>
      <c r="AB316" s="68" t="str">
        <f>IF($B316="","",'Workflow (Tracker)'!L339)</f>
        <v/>
      </c>
      <c r="AC316" s="69" t="str">
        <f>IF($B316="","",'E08 — Estabilização Hypercare'!K321)</f>
        <v/>
      </c>
      <c r="AD316" s="66" t="str">
        <f>IF($B316="","",'E08 — Estabilização Hypercare'!O321)</f>
        <v/>
      </c>
      <c r="AE316" s="66" t="str">
        <f>IF($B316="","",'E08 — Estabilização Hypercare'!Q321)</f>
        <v/>
      </c>
      <c r="AF316" s="66" t="str">
        <f>IF(OR($B316="",'E08 — Estabilização Hypercare'!R321=""),"",'E08 — Estabilização Hypercare'!R321)</f>
        <v/>
      </c>
      <c r="AG316" s="60" t="str">
        <f>IF($B316="","",'E08 — Estabilização Hypercare'!S321)</f>
        <v/>
      </c>
      <c r="AH316" s="61" t="str">
        <f>IF($B316="","",'E08 — Estabilização Hypercare'!T321)</f>
        <v/>
      </c>
      <c r="AI316" s="62" t="str">
        <f>IF($B316="","",'E08 — Estabilização Hypercare'!N321)</f>
        <v/>
      </c>
      <c r="AJ316" s="61" t="str">
        <f>IF(OR($B316="",'E08 — Estabilização Hypercare'!U321=""),"",'E08 — Estabilização Hypercare'!U321)</f>
        <v/>
      </c>
      <c r="AK316" s="60" t="str">
        <f t="shared" si="23"/>
        <v/>
      </c>
      <c r="AL316" s="65" t="str">
        <f t="shared" si="24"/>
        <v/>
      </c>
    </row>
    <row r="317" spans="2:38" s="42" customFormat="1" x14ac:dyDescent="0.35">
      <c r="B317" s="55" t="str">
        <f t="shared" si="20"/>
        <v/>
      </c>
      <c r="C317" s="40"/>
      <c r="D317" s="40"/>
      <c r="E317" s="41"/>
      <c r="F317" s="41"/>
      <c r="G317" s="41"/>
      <c r="H317" s="68" t="str">
        <f>IF('E2 — Triagem'!D322="","",'E2 — Triagem'!D322)</f>
        <v/>
      </c>
      <c r="I317" s="71"/>
      <c r="J317" s="41"/>
      <c r="K317" s="41"/>
      <c r="L317" s="71"/>
      <c r="M317" s="71"/>
      <c r="N317" s="71"/>
      <c r="O317" s="71"/>
      <c r="P317" s="41"/>
      <c r="Q317" s="41"/>
      <c r="R317" s="71"/>
      <c r="S317" s="71"/>
      <c r="T317" s="75"/>
      <c r="U317" s="75"/>
      <c r="V317" s="75"/>
      <c r="W317" s="58" t="str">
        <f t="shared" si="21"/>
        <v/>
      </c>
      <c r="X317" s="59" t="str">
        <f t="shared" si="22"/>
        <v/>
      </c>
      <c r="Y317" s="41"/>
      <c r="Z317" s="41"/>
      <c r="AA317" s="41"/>
      <c r="AB317" s="68" t="str">
        <f>IF($B317="","",'Workflow (Tracker)'!L340)</f>
        <v/>
      </c>
      <c r="AC317" s="69" t="str">
        <f>IF($B317="","",'E08 — Estabilização Hypercare'!K322)</f>
        <v/>
      </c>
      <c r="AD317" s="66" t="str">
        <f>IF($B317="","",'E08 — Estabilização Hypercare'!O322)</f>
        <v/>
      </c>
      <c r="AE317" s="66" t="str">
        <f>IF($B317="","",'E08 — Estabilização Hypercare'!Q322)</f>
        <v/>
      </c>
      <c r="AF317" s="66" t="str">
        <f>IF(OR($B317="",'E08 — Estabilização Hypercare'!R322=""),"",'E08 — Estabilização Hypercare'!R322)</f>
        <v/>
      </c>
      <c r="AG317" s="60" t="str">
        <f>IF($B317="","",'E08 — Estabilização Hypercare'!S322)</f>
        <v/>
      </c>
      <c r="AH317" s="61" t="str">
        <f>IF($B317="","",'E08 — Estabilização Hypercare'!T322)</f>
        <v/>
      </c>
      <c r="AI317" s="62" t="str">
        <f>IF($B317="","",'E08 — Estabilização Hypercare'!N322)</f>
        <v/>
      </c>
      <c r="AJ317" s="61" t="str">
        <f>IF(OR($B317="",'E08 — Estabilização Hypercare'!U322=""),"",'E08 — Estabilização Hypercare'!U322)</f>
        <v/>
      </c>
      <c r="AK317" s="60" t="str">
        <f t="shared" si="23"/>
        <v/>
      </c>
      <c r="AL317" s="65" t="str">
        <f t="shared" si="24"/>
        <v/>
      </c>
    </row>
    <row r="318" spans="2:38" s="42" customFormat="1" x14ac:dyDescent="0.35">
      <c r="B318" s="55" t="str">
        <f t="shared" si="20"/>
        <v/>
      </c>
      <c r="C318" s="40"/>
      <c r="D318" s="40"/>
      <c r="E318" s="41"/>
      <c r="F318" s="41"/>
      <c r="G318" s="41"/>
      <c r="H318" s="68" t="str">
        <f>IF('E2 — Triagem'!D323="","",'E2 — Triagem'!D323)</f>
        <v/>
      </c>
      <c r="I318" s="71"/>
      <c r="J318" s="41"/>
      <c r="K318" s="41"/>
      <c r="L318" s="71"/>
      <c r="M318" s="71"/>
      <c r="N318" s="71"/>
      <c r="O318" s="71"/>
      <c r="P318" s="41"/>
      <c r="Q318" s="41"/>
      <c r="R318" s="71"/>
      <c r="S318" s="71"/>
      <c r="T318" s="75"/>
      <c r="U318" s="75"/>
      <c r="V318" s="75"/>
      <c r="W318" s="58" t="str">
        <f t="shared" si="21"/>
        <v/>
      </c>
      <c r="X318" s="59" t="str">
        <f t="shared" si="22"/>
        <v/>
      </c>
      <c r="Y318" s="41"/>
      <c r="Z318" s="41"/>
      <c r="AA318" s="41"/>
      <c r="AB318" s="68" t="str">
        <f>IF($B318="","",'Workflow (Tracker)'!L341)</f>
        <v/>
      </c>
      <c r="AC318" s="69" t="str">
        <f>IF($B318="","",'E08 — Estabilização Hypercare'!K323)</f>
        <v/>
      </c>
      <c r="AD318" s="66" t="str">
        <f>IF($B318="","",'E08 — Estabilização Hypercare'!O323)</f>
        <v/>
      </c>
      <c r="AE318" s="66" t="str">
        <f>IF($B318="","",'E08 — Estabilização Hypercare'!Q323)</f>
        <v/>
      </c>
      <c r="AF318" s="66" t="str">
        <f>IF(OR($B318="",'E08 — Estabilização Hypercare'!R323=""),"",'E08 — Estabilização Hypercare'!R323)</f>
        <v/>
      </c>
      <c r="AG318" s="60" t="str">
        <f>IF($B318="","",'E08 — Estabilização Hypercare'!S323)</f>
        <v/>
      </c>
      <c r="AH318" s="61" t="str">
        <f>IF($B318="","",'E08 — Estabilização Hypercare'!T323)</f>
        <v/>
      </c>
      <c r="AI318" s="62" t="str">
        <f>IF($B318="","",'E08 — Estabilização Hypercare'!N323)</f>
        <v/>
      </c>
      <c r="AJ318" s="61" t="str">
        <f>IF(OR($B318="",'E08 — Estabilização Hypercare'!U323=""),"",'E08 — Estabilização Hypercare'!U323)</f>
        <v/>
      </c>
      <c r="AK318" s="60" t="str">
        <f t="shared" si="23"/>
        <v/>
      </c>
      <c r="AL318" s="65" t="str">
        <f t="shared" si="24"/>
        <v/>
      </c>
    </row>
    <row r="319" spans="2:38" s="42" customFormat="1" x14ac:dyDescent="0.35">
      <c r="B319" s="55" t="str">
        <f t="shared" si="20"/>
        <v/>
      </c>
      <c r="C319" s="40"/>
      <c r="D319" s="40"/>
      <c r="E319" s="41"/>
      <c r="F319" s="41"/>
      <c r="G319" s="41"/>
      <c r="H319" s="68" t="str">
        <f>IF('E2 — Triagem'!D324="","",'E2 — Triagem'!D324)</f>
        <v/>
      </c>
      <c r="I319" s="71"/>
      <c r="J319" s="41"/>
      <c r="K319" s="41"/>
      <c r="L319" s="71"/>
      <c r="M319" s="71"/>
      <c r="N319" s="71"/>
      <c r="O319" s="71"/>
      <c r="P319" s="41"/>
      <c r="Q319" s="41"/>
      <c r="R319" s="71"/>
      <c r="S319" s="71"/>
      <c r="T319" s="75"/>
      <c r="U319" s="75"/>
      <c r="V319" s="75"/>
      <c r="W319" s="58" t="str">
        <f t="shared" si="21"/>
        <v/>
      </c>
      <c r="X319" s="59" t="str">
        <f t="shared" si="22"/>
        <v/>
      </c>
      <c r="Y319" s="41"/>
      <c r="Z319" s="41"/>
      <c r="AA319" s="41"/>
      <c r="AB319" s="68" t="str">
        <f>IF($B319="","",'Workflow (Tracker)'!L342)</f>
        <v/>
      </c>
      <c r="AC319" s="69" t="str">
        <f>IF($B319="","",'E08 — Estabilização Hypercare'!K324)</f>
        <v/>
      </c>
      <c r="AD319" s="66" t="str">
        <f>IF($B319="","",'E08 — Estabilização Hypercare'!O324)</f>
        <v/>
      </c>
      <c r="AE319" s="66" t="str">
        <f>IF($B319="","",'E08 — Estabilização Hypercare'!Q324)</f>
        <v/>
      </c>
      <c r="AF319" s="66" t="str">
        <f>IF(OR($B319="",'E08 — Estabilização Hypercare'!R324=""),"",'E08 — Estabilização Hypercare'!R324)</f>
        <v/>
      </c>
      <c r="AG319" s="60" t="str">
        <f>IF($B319="","",'E08 — Estabilização Hypercare'!S324)</f>
        <v/>
      </c>
      <c r="AH319" s="61" t="str">
        <f>IF($B319="","",'E08 — Estabilização Hypercare'!T324)</f>
        <v/>
      </c>
      <c r="AI319" s="62" t="str">
        <f>IF($B319="","",'E08 — Estabilização Hypercare'!N324)</f>
        <v/>
      </c>
      <c r="AJ319" s="61" t="str">
        <f>IF(OR($B319="",'E08 — Estabilização Hypercare'!U324=""),"",'E08 — Estabilização Hypercare'!U324)</f>
        <v/>
      </c>
      <c r="AK319" s="60" t="str">
        <f t="shared" si="23"/>
        <v/>
      </c>
      <c r="AL319" s="65" t="str">
        <f t="shared" si="24"/>
        <v/>
      </c>
    </row>
    <row r="320" spans="2:38" s="42" customFormat="1" x14ac:dyDescent="0.35">
      <c r="B320" s="55" t="str">
        <f t="shared" si="20"/>
        <v/>
      </c>
      <c r="C320" s="40"/>
      <c r="D320" s="40"/>
      <c r="E320" s="41"/>
      <c r="F320" s="41"/>
      <c r="G320" s="41"/>
      <c r="H320" s="68" t="str">
        <f>IF('E2 — Triagem'!D325="","",'E2 — Triagem'!D325)</f>
        <v/>
      </c>
      <c r="I320" s="71"/>
      <c r="J320" s="41"/>
      <c r="K320" s="41"/>
      <c r="L320" s="71"/>
      <c r="M320" s="71"/>
      <c r="N320" s="71"/>
      <c r="O320" s="71"/>
      <c r="P320" s="41"/>
      <c r="Q320" s="41"/>
      <c r="R320" s="71"/>
      <c r="S320" s="71"/>
      <c r="T320" s="75"/>
      <c r="U320" s="75"/>
      <c r="V320" s="75"/>
      <c r="W320" s="58" t="str">
        <f t="shared" si="21"/>
        <v/>
      </c>
      <c r="X320" s="59" t="str">
        <f t="shared" si="22"/>
        <v/>
      </c>
      <c r="Y320" s="41"/>
      <c r="Z320" s="41"/>
      <c r="AA320" s="41"/>
      <c r="AB320" s="68" t="str">
        <f>IF($B320="","",'Workflow (Tracker)'!L343)</f>
        <v/>
      </c>
      <c r="AC320" s="69" t="str">
        <f>IF($B320="","",'E08 — Estabilização Hypercare'!K325)</f>
        <v/>
      </c>
      <c r="AD320" s="66" t="str">
        <f>IF($B320="","",'E08 — Estabilização Hypercare'!O325)</f>
        <v/>
      </c>
      <c r="AE320" s="66" t="str">
        <f>IF($B320="","",'E08 — Estabilização Hypercare'!Q325)</f>
        <v/>
      </c>
      <c r="AF320" s="66" t="str">
        <f>IF(OR($B320="",'E08 — Estabilização Hypercare'!R325=""),"",'E08 — Estabilização Hypercare'!R325)</f>
        <v/>
      </c>
      <c r="AG320" s="60" t="str">
        <f>IF($B320="","",'E08 — Estabilização Hypercare'!S325)</f>
        <v/>
      </c>
      <c r="AH320" s="61" t="str">
        <f>IF($B320="","",'E08 — Estabilização Hypercare'!T325)</f>
        <v/>
      </c>
      <c r="AI320" s="62" t="str">
        <f>IF($B320="","",'E08 — Estabilização Hypercare'!N325)</f>
        <v/>
      </c>
      <c r="AJ320" s="61" t="str">
        <f>IF(OR($B320="",'E08 — Estabilização Hypercare'!U325=""),"",'E08 — Estabilização Hypercare'!U325)</f>
        <v/>
      </c>
      <c r="AK320" s="60" t="str">
        <f t="shared" si="23"/>
        <v/>
      </c>
      <c r="AL320" s="65" t="str">
        <f t="shared" si="24"/>
        <v/>
      </c>
    </row>
    <row r="321" spans="2:38" s="42" customFormat="1" x14ac:dyDescent="0.35">
      <c r="B321" s="55" t="str">
        <f t="shared" si="20"/>
        <v/>
      </c>
      <c r="C321" s="40"/>
      <c r="D321" s="40"/>
      <c r="E321" s="41"/>
      <c r="F321" s="41"/>
      <c r="G321" s="41"/>
      <c r="H321" s="68" t="str">
        <f>IF('E2 — Triagem'!D326="","",'E2 — Triagem'!D326)</f>
        <v/>
      </c>
      <c r="I321" s="71"/>
      <c r="J321" s="41"/>
      <c r="K321" s="41"/>
      <c r="L321" s="71"/>
      <c r="M321" s="71"/>
      <c r="N321" s="71"/>
      <c r="O321" s="71"/>
      <c r="P321" s="41"/>
      <c r="Q321" s="41"/>
      <c r="R321" s="71"/>
      <c r="S321" s="71"/>
      <c r="T321" s="75"/>
      <c r="U321" s="75"/>
      <c r="V321" s="75"/>
      <c r="W321" s="58" t="str">
        <f t="shared" si="21"/>
        <v/>
      </c>
      <c r="X321" s="59" t="str">
        <f t="shared" si="22"/>
        <v/>
      </c>
      <c r="Y321" s="41"/>
      <c r="Z321" s="41"/>
      <c r="AA321" s="41"/>
      <c r="AB321" s="68" t="str">
        <f>IF($B321="","",'Workflow (Tracker)'!L344)</f>
        <v/>
      </c>
      <c r="AC321" s="69" t="str">
        <f>IF($B321="","",'E08 — Estabilização Hypercare'!K326)</f>
        <v/>
      </c>
      <c r="AD321" s="66" t="str">
        <f>IF($B321="","",'E08 — Estabilização Hypercare'!O326)</f>
        <v/>
      </c>
      <c r="AE321" s="66" t="str">
        <f>IF($B321="","",'E08 — Estabilização Hypercare'!Q326)</f>
        <v/>
      </c>
      <c r="AF321" s="66" t="str">
        <f>IF(OR($B321="",'E08 — Estabilização Hypercare'!R326=""),"",'E08 — Estabilização Hypercare'!R326)</f>
        <v/>
      </c>
      <c r="AG321" s="60" t="str">
        <f>IF($B321="","",'E08 — Estabilização Hypercare'!S326)</f>
        <v/>
      </c>
      <c r="AH321" s="61" t="str">
        <f>IF($B321="","",'E08 — Estabilização Hypercare'!T326)</f>
        <v/>
      </c>
      <c r="AI321" s="62" t="str">
        <f>IF($B321="","",'E08 — Estabilização Hypercare'!N326)</f>
        <v/>
      </c>
      <c r="AJ321" s="61" t="str">
        <f>IF(OR($B321="",'E08 — Estabilização Hypercare'!U326=""),"",'E08 — Estabilização Hypercare'!U326)</f>
        <v/>
      </c>
      <c r="AK321" s="60" t="str">
        <f t="shared" si="23"/>
        <v/>
      </c>
      <c r="AL321" s="65" t="str">
        <f t="shared" si="24"/>
        <v/>
      </c>
    </row>
    <row r="322" spans="2:38" s="42" customFormat="1" x14ac:dyDescent="0.35">
      <c r="B322" s="55" t="str">
        <f t="shared" si="20"/>
        <v/>
      </c>
      <c r="C322" s="40"/>
      <c r="D322" s="40"/>
      <c r="E322" s="41"/>
      <c r="F322" s="41"/>
      <c r="G322" s="41"/>
      <c r="H322" s="68" t="str">
        <f>IF('E2 — Triagem'!D327="","",'E2 — Triagem'!D327)</f>
        <v/>
      </c>
      <c r="I322" s="71"/>
      <c r="J322" s="41"/>
      <c r="K322" s="41"/>
      <c r="L322" s="71"/>
      <c r="M322" s="71"/>
      <c r="N322" s="71"/>
      <c r="O322" s="71"/>
      <c r="P322" s="41"/>
      <c r="Q322" s="41"/>
      <c r="R322" s="71"/>
      <c r="S322" s="71"/>
      <c r="T322" s="75"/>
      <c r="U322" s="75"/>
      <c r="V322" s="75"/>
      <c r="W322" s="58" t="str">
        <f t="shared" si="21"/>
        <v/>
      </c>
      <c r="X322" s="59" t="str">
        <f t="shared" si="22"/>
        <v/>
      </c>
      <c r="Y322" s="41"/>
      <c r="Z322" s="41"/>
      <c r="AA322" s="41"/>
      <c r="AB322" s="68" t="str">
        <f>IF($B322="","",'Workflow (Tracker)'!L345)</f>
        <v/>
      </c>
      <c r="AC322" s="69" t="str">
        <f>IF($B322="","",'E08 — Estabilização Hypercare'!K327)</f>
        <v/>
      </c>
      <c r="AD322" s="66" t="str">
        <f>IF($B322="","",'E08 — Estabilização Hypercare'!O327)</f>
        <v/>
      </c>
      <c r="AE322" s="66" t="str">
        <f>IF($B322="","",'E08 — Estabilização Hypercare'!Q327)</f>
        <v/>
      </c>
      <c r="AF322" s="66" t="str">
        <f>IF(OR($B322="",'E08 — Estabilização Hypercare'!R327=""),"",'E08 — Estabilização Hypercare'!R327)</f>
        <v/>
      </c>
      <c r="AG322" s="60" t="str">
        <f>IF($B322="","",'E08 — Estabilização Hypercare'!S327)</f>
        <v/>
      </c>
      <c r="AH322" s="61" t="str">
        <f>IF($B322="","",'E08 — Estabilização Hypercare'!T327)</f>
        <v/>
      </c>
      <c r="AI322" s="62" t="str">
        <f>IF($B322="","",'E08 — Estabilização Hypercare'!N327)</f>
        <v/>
      </c>
      <c r="AJ322" s="61" t="str">
        <f>IF(OR($B322="",'E08 — Estabilização Hypercare'!U327=""),"",'E08 — Estabilização Hypercare'!U327)</f>
        <v/>
      </c>
      <c r="AK322" s="60" t="str">
        <f t="shared" si="23"/>
        <v/>
      </c>
      <c r="AL322" s="65" t="str">
        <f t="shared" si="24"/>
        <v/>
      </c>
    </row>
    <row r="323" spans="2:38" s="42" customFormat="1" x14ac:dyDescent="0.35">
      <c r="B323" s="55" t="str">
        <f t="shared" ref="B323:B386" si="25">IF($C323="","",Prefixo&amp;"-"&amp;TEXT(ROW()-2,"0000"))</f>
        <v/>
      </c>
      <c r="C323" s="40"/>
      <c r="D323" s="40"/>
      <c r="E323" s="41"/>
      <c r="F323" s="41"/>
      <c r="G323" s="41"/>
      <c r="H323" s="68" t="str">
        <f>IF('E2 — Triagem'!D328="","",'E2 — Triagem'!D328)</f>
        <v/>
      </c>
      <c r="I323" s="71"/>
      <c r="J323" s="41"/>
      <c r="K323" s="41"/>
      <c r="L323" s="71"/>
      <c r="M323" s="71"/>
      <c r="N323" s="71"/>
      <c r="O323" s="71"/>
      <c r="P323" s="41"/>
      <c r="Q323" s="41"/>
      <c r="R323" s="71"/>
      <c r="S323" s="71"/>
      <c r="T323" s="75"/>
      <c r="U323" s="75"/>
      <c r="V323" s="75"/>
      <c r="W323" s="58" t="str">
        <f t="shared" si="21"/>
        <v/>
      </c>
      <c r="X323" s="59" t="str">
        <f t="shared" si="22"/>
        <v/>
      </c>
      <c r="Y323" s="41"/>
      <c r="Z323" s="41"/>
      <c r="AA323" s="41"/>
      <c r="AB323" s="68" t="str">
        <f>IF($B323="","",'Workflow (Tracker)'!L346)</f>
        <v/>
      </c>
      <c r="AC323" s="69" t="str">
        <f>IF($B323="","",'E08 — Estabilização Hypercare'!K328)</f>
        <v/>
      </c>
      <c r="AD323" s="66" t="str">
        <f>IF($B323="","",'E08 — Estabilização Hypercare'!O328)</f>
        <v/>
      </c>
      <c r="AE323" s="66" t="str">
        <f>IF($B323="","",'E08 — Estabilização Hypercare'!Q328)</f>
        <v/>
      </c>
      <c r="AF323" s="66" t="str">
        <f>IF(OR($B323="",'E08 — Estabilização Hypercare'!R328=""),"",'E08 — Estabilização Hypercare'!R328)</f>
        <v/>
      </c>
      <c r="AG323" s="60" t="str">
        <f>IF($B323="","",'E08 — Estabilização Hypercare'!S328)</f>
        <v/>
      </c>
      <c r="AH323" s="61" t="str">
        <f>IF($B323="","",'E08 — Estabilização Hypercare'!T328)</f>
        <v/>
      </c>
      <c r="AI323" s="62" t="str">
        <f>IF($B323="","",'E08 — Estabilização Hypercare'!N328)</f>
        <v/>
      </c>
      <c r="AJ323" s="61" t="str">
        <f>IF(OR($B323="",'E08 — Estabilização Hypercare'!U328=""),"",'E08 — Estabilização Hypercare'!U328)</f>
        <v/>
      </c>
      <c r="AK323" s="60" t="str">
        <f t="shared" si="23"/>
        <v/>
      </c>
      <c r="AL323" s="65" t="str">
        <f t="shared" si="24"/>
        <v/>
      </c>
    </row>
    <row r="324" spans="2:38" s="42" customFormat="1" x14ac:dyDescent="0.35">
      <c r="B324" s="55" t="str">
        <f t="shared" si="25"/>
        <v/>
      </c>
      <c r="C324" s="40"/>
      <c r="D324" s="40"/>
      <c r="E324" s="41"/>
      <c r="F324" s="41"/>
      <c r="G324" s="41"/>
      <c r="H324" s="68" t="str">
        <f>IF('E2 — Triagem'!D329="","",'E2 — Triagem'!D329)</f>
        <v/>
      </c>
      <c r="I324" s="71"/>
      <c r="J324" s="41"/>
      <c r="K324" s="41"/>
      <c r="L324" s="71"/>
      <c r="M324" s="71"/>
      <c r="N324" s="71"/>
      <c r="O324" s="71"/>
      <c r="P324" s="41"/>
      <c r="Q324" s="41"/>
      <c r="R324" s="71"/>
      <c r="S324" s="71"/>
      <c r="T324" s="75"/>
      <c r="U324" s="75"/>
      <c r="V324" s="75"/>
      <c r="W324" s="58" t="str">
        <f t="shared" ref="W324:W387" si="26">IF(OR($U324="",$V324="",$U324&lt;=0),"",$U324-$V324)</f>
        <v/>
      </c>
      <c r="X324" s="59" t="str">
        <f t="shared" ref="X324:X387" si="27">IF(OR($U324="",$V324="",$U324&lt;=0),"",($U324-$V324)/$U324)</f>
        <v/>
      </c>
      <c r="Y324" s="41"/>
      <c r="Z324" s="41"/>
      <c r="AA324" s="41"/>
      <c r="AB324" s="68" t="str">
        <f>IF($B324="","",'Workflow (Tracker)'!L347)</f>
        <v/>
      </c>
      <c r="AC324" s="69" t="str">
        <f>IF($B324="","",'E08 — Estabilização Hypercare'!K329)</f>
        <v/>
      </c>
      <c r="AD324" s="66" t="str">
        <f>IF($B324="","",'E08 — Estabilização Hypercare'!O329)</f>
        <v/>
      </c>
      <c r="AE324" s="66" t="str">
        <f>IF($B324="","",'E08 — Estabilização Hypercare'!Q329)</f>
        <v/>
      </c>
      <c r="AF324" s="66" t="str">
        <f>IF(OR($B324="",'E08 — Estabilização Hypercare'!R329=""),"",'E08 — Estabilização Hypercare'!R329)</f>
        <v/>
      </c>
      <c r="AG324" s="60" t="str">
        <f>IF($B324="","",'E08 — Estabilização Hypercare'!S329)</f>
        <v/>
      </c>
      <c r="AH324" s="61" t="str">
        <f>IF($B324="","",'E08 — Estabilização Hypercare'!T329)</f>
        <v/>
      </c>
      <c r="AI324" s="62" t="str">
        <f>IF($B324="","",'E08 — Estabilização Hypercare'!N329)</f>
        <v/>
      </c>
      <c r="AJ324" s="61" t="str">
        <f>IF(OR($B324="",'E08 — Estabilização Hypercare'!U329=""),"",'E08 — Estabilização Hypercare'!U329)</f>
        <v/>
      </c>
      <c r="AK324" s="60" t="str">
        <f t="shared" ref="AK324:AK387" si="28">IF(OR($B324="",$AF324="",$C324=""),"",$AF324-$C324)</f>
        <v/>
      </c>
      <c r="AL324" s="65" t="str">
        <f t="shared" ref="AL324:AL387" si="29">IF($B324="","",IF($AB324="Concluído","Encerrado",IF(AND($S324="Concluído",$AB324&lt;&gt;"Concluído"),"Em Hypercare",$S324)))</f>
        <v/>
      </c>
    </row>
    <row r="325" spans="2:38" s="42" customFormat="1" x14ac:dyDescent="0.35">
      <c r="B325" s="55" t="str">
        <f t="shared" si="25"/>
        <v/>
      </c>
      <c r="C325" s="40"/>
      <c r="D325" s="40"/>
      <c r="E325" s="41"/>
      <c r="F325" s="41"/>
      <c r="G325" s="41"/>
      <c r="H325" s="68" t="str">
        <f>IF('E2 — Triagem'!D330="","",'E2 — Triagem'!D330)</f>
        <v/>
      </c>
      <c r="I325" s="71"/>
      <c r="J325" s="41"/>
      <c r="K325" s="41"/>
      <c r="L325" s="71"/>
      <c r="M325" s="71"/>
      <c r="N325" s="71"/>
      <c r="O325" s="71"/>
      <c r="P325" s="41"/>
      <c r="Q325" s="41"/>
      <c r="R325" s="71"/>
      <c r="S325" s="71"/>
      <c r="T325" s="75"/>
      <c r="U325" s="75"/>
      <c r="V325" s="75"/>
      <c r="W325" s="58" t="str">
        <f t="shared" si="26"/>
        <v/>
      </c>
      <c r="X325" s="59" t="str">
        <f t="shared" si="27"/>
        <v/>
      </c>
      <c r="Y325" s="41"/>
      <c r="Z325" s="41"/>
      <c r="AA325" s="41"/>
      <c r="AB325" s="68" t="str">
        <f>IF($B325="","",'Workflow (Tracker)'!L348)</f>
        <v/>
      </c>
      <c r="AC325" s="69" t="str">
        <f>IF($B325="","",'E08 — Estabilização Hypercare'!K330)</f>
        <v/>
      </c>
      <c r="AD325" s="66" t="str">
        <f>IF($B325="","",'E08 — Estabilização Hypercare'!O330)</f>
        <v/>
      </c>
      <c r="AE325" s="66" t="str">
        <f>IF($B325="","",'E08 — Estabilização Hypercare'!Q330)</f>
        <v/>
      </c>
      <c r="AF325" s="66" t="str">
        <f>IF(OR($B325="",'E08 — Estabilização Hypercare'!R330=""),"",'E08 — Estabilização Hypercare'!R330)</f>
        <v/>
      </c>
      <c r="AG325" s="60" t="str">
        <f>IF($B325="","",'E08 — Estabilização Hypercare'!S330)</f>
        <v/>
      </c>
      <c r="AH325" s="61" t="str">
        <f>IF($B325="","",'E08 — Estabilização Hypercare'!T330)</f>
        <v/>
      </c>
      <c r="AI325" s="62" t="str">
        <f>IF($B325="","",'E08 — Estabilização Hypercare'!N330)</f>
        <v/>
      </c>
      <c r="AJ325" s="61" t="str">
        <f>IF(OR($B325="",'E08 — Estabilização Hypercare'!U330=""),"",'E08 — Estabilização Hypercare'!U330)</f>
        <v/>
      </c>
      <c r="AK325" s="60" t="str">
        <f t="shared" si="28"/>
        <v/>
      </c>
      <c r="AL325" s="65" t="str">
        <f t="shared" si="29"/>
        <v/>
      </c>
    </row>
    <row r="326" spans="2:38" s="42" customFormat="1" x14ac:dyDescent="0.35">
      <c r="B326" s="55" t="str">
        <f t="shared" si="25"/>
        <v/>
      </c>
      <c r="C326" s="40"/>
      <c r="D326" s="40"/>
      <c r="E326" s="41"/>
      <c r="F326" s="41"/>
      <c r="G326" s="41"/>
      <c r="H326" s="68" t="str">
        <f>IF('E2 — Triagem'!D331="","",'E2 — Triagem'!D331)</f>
        <v/>
      </c>
      <c r="I326" s="71"/>
      <c r="J326" s="41"/>
      <c r="K326" s="41"/>
      <c r="L326" s="71"/>
      <c r="M326" s="71"/>
      <c r="N326" s="71"/>
      <c r="O326" s="71"/>
      <c r="P326" s="41"/>
      <c r="Q326" s="41"/>
      <c r="R326" s="71"/>
      <c r="S326" s="71"/>
      <c r="T326" s="75"/>
      <c r="U326" s="75"/>
      <c r="V326" s="75"/>
      <c r="W326" s="58" t="str">
        <f t="shared" si="26"/>
        <v/>
      </c>
      <c r="X326" s="59" t="str">
        <f t="shared" si="27"/>
        <v/>
      </c>
      <c r="Y326" s="41"/>
      <c r="Z326" s="41"/>
      <c r="AA326" s="41"/>
      <c r="AB326" s="68" t="str">
        <f>IF($B326="","",'Workflow (Tracker)'!L349)</f>
        <v/>
      </c>
      <c r="AC326" s="69" t="str">
        <f>IF($B326="","",'E08 — Estabilização Hypercare'!K331)</f>
        <v/>
      </c>
      <c r="AD326" s="66" t="str">
        <f>IF($B326="","",'E08 — Estabilização Hypercare'!O331)</f>
        <v/>
      </c>
      <c r="AE326" s="66" t="str">
        <f>IF($B326="","",'E08 — Estabilização Hypercare'!Q331)</f>
        <v/>
      </c>
      <c r="AF326" s="66" t="str">
        <f>IF(OR($B326="",'E08 — Estabilização Hypercare'!R331=""),"",'E08 — Estabilização Hypercare'!R331)</f>
        <v/>
      </c>
      <c r="AG326" s="60" t="str">
        <f>IF($B326="","",'E08 — Estabilização Hypercare'!S331)</f>
        <v/>
      </c>
      <c r="AH326" s="61" t="str">
        <f>IF($B326="","",'E08 — Estabilização Hypercare'!T331)</f>
        <v/>
      </c>
      <c r="AI326" s="62" t="str">
        <f>IF($B326="","",'E08 — Estabilização Hypercare'!N331)</f>
        <v/>
      </c>
      <c r="AJ326" s="61" t="str">
        <f>IF(OR($B326="",'E08 — Estabilização Hypercare'!U331=""),"",'E08 — Estabilização Hypercare'!U331)</f>
        <v/>
      </c>
      <c r="AK326" s="60" t="str">
        <f t="shared" si="28"/>
        <v/>
      </c>
      <c r="AL326" s="65" t="str">
        <f t="shared" si="29"/>
        <v/>
      </c>
    </row>
    <row r="327" spans="2:38" s="42" customFormat="1" x14ac:dyDescent="0.35">
      <c r="B327" s="55" t="str">
        <f t="shared" si="25"/>
        <v/>
      </c>
      <c r="C327" s="40"/>
      <c r="D327" s="40"/>
      <c r="E327" s="41"/>
      <c r="F327" s="41"/>
      <c r="G327" s="41"/>
      <c r="H327" s="68" t="str">
        <f>IF('E2 — Triagem'!D332="","",'E2 — Triagem'!D332)</f>
        <v/>
      </c>
      <c r="I327" s="71"/>
      <c r="J327" s="41"/>
      <c r="K327" s="41"/>
      <c r="L327" s="71"/>
      <c r="M327" s="71"/>
      <c r="N327" s="71"/>
      <c r="O327" s="71"/>
      <c r="P327" s="41"/>
      <c r="Q327" s="41"/>
      <c r="R327" s="71"/>
      <c r="S327" s="71"/>
      <c r="T327" s="75"/>
      <c r="U327" s="75"/>
      <c r="V327" s="75"/>
      <c r="W327" s="58" t="str">
        <f t="shared" si="26"/>
        <v/>
      </c>
      <c r="X327" s="59" t="str">
        <f t="shared" si="27"/>
        <v/>
      </c>
      <c r="Y327" s="41"/>
      <c r="Z327" s="41"/>
      <c r="AA327" s="41"/>
      <c r="AB327" s="68" t="str">
        <f>IF($B327="","",'Workflow (Tracker)'!L350)</f>
        <v/>
      </c>
      <c r="AC327" s="69" t="str">
        <f>IF($B327="","",'E08 — Estabilização Hypercare'!K332)</f>
        <v/>
      </c>
      <c r="AD327" s="66" t="str">
        <f>IF($B327="","",'E08 — Estabilização Hypercare'!O332)</f>
        <v/>
      </c>
      <c r="AE327" s="66" t="str">
        <f>IF($B327="","",'E08 — Estabilização Hypercare'!Q332)</f>
        <v/>
      </c>
      <c r="AF327" s="66" t="str">
        <f>IF(OR($B327="",'E08 — Estabilização Hypercare'!R332=""),"",'E08 — Estabilização Hypercare'!R332)</f>
        <v/>
      </c>
      <c r="AG327" s="60" t="str">
        <f>IF($B327="","",'E08 — Estabilização Hypercare'!S332)</f>
        <v/>
      </c>
      <c r="AH327" s="61" t="str">
        <f>IF($B327="","",'E08 — Estabilização Hypercare'!T332)</f>
        <v/>
      </c>
      <c r="AI327" s="62" t="str">
        <f>IF($B327="","",'E08 — Estabilização Hypercare'!N332)</f>
        <v/>
      </c>
      <c r="AJ327" s="61" t="str">
        <f>IF(OR($B327="",'E08 — Estabilização Hypercare'!U332=""),"",'E08 — Estabilização Hypercare'!U332)</f>
        <v/>
      </c>
      <c r="AK327" s="60" t="str">
        <f t="shared" si="28"/>
        <v/>
      </c>
      <c r="AL327" s="65" t="str">
        <f t="shared" si="29"/>
        <v/>
      </c>
    </row>
    <row r="328" spans="2:38" s="42" customFormat="1" x14ac:dyDescent="0.35">
      <c r="B328" s="55" t="str">
        <f t="shared" si="25"/>
        <v/>
      </c>
      <c r="C328" s="40"/>
      <c r="D328" s="40"/>
      <c r="E328" s="41"/>
      <c r="F328" s="41"/>
      <c r="G328" s="41"/>
      <c r="H328" s="68" t="str">
        <f>IF('E2 — Triagem'!D333="","",'E2 — Triagem'!D333)</f>
        <v/>
      </c>
      <c r="I328" s="71"/>
      <c r="J328" s="41"/>
      <c r="K328" s="41"/>
      <c r="L328" s="71"/>
      <c r="M328" s="71"/>
      <c r="N328" s="71"/>
      <c r="O328" s="71"/>
      <c r="P328" s="41"/>
      <c r="Q328" s="41"/>
      <c r="R328" s="71"/>
      <c r="S328" s="71"/>
      <c r="T328" s="75"/>
      <c r="U328" s="75"/>
      <c r="V328" s="75"/>
      <c r="W328" s="58" t="str">
        <f t="shared" si="26"/>
        <v/>
      </c>
      <c r="X328" s="59" t="str">
        <f t="shared" si="27"/>
        <v/>
      </c>
      <c r="Y328" s="41"/>
      <c r="Z328" s="41"/>
      <c r="AA328" s="41"/>
      <c r="AB328" s="68" t="str">
        <f>IF($B328="","",'Workflow (Tracker)'!L351)</f>
        <v/>
      </c>
      <c r="AC328" s="69" t="str">
        <f>IF($B328="","",'E08 — Estabilização Hypercare'!K333)</f>
        <v/>
      </c>
      <c r="AD328" s="66" t="str">
        <f>IF($B328="","",'E08 — Estabilização Hypercare'!O333)</f>
        <v/>
      </c>
      <c r="AE328" s="66" t="str">
        <f>IF($B328="","",'E08 — Estabilização Hypercare'!Q333)</f>
        <v/>
      </c>
      <c r="AF328" s="66" t="str">
        <f>IF(OR($B328="",'E08 — Estabilização Hypercare'!R333=""),"",'E08 — Estabilização Hypercare'!R333)</f>
        <v/>
      </c>
      <c r="AG328" s="60" t="str">
        <f>IF($B328="","",'E08 — Estabilização Hypercare'!S333)</f>
        <v/>
      </c>
      <c r="AH328" s="61" t="str">
        <f>IF($B328="","",'E08 — Estabilização Hypercare'!T333)</f>
        <v/>
      </c>
      <c r="AI328" s="62" t="str">
        <f>IF($B328="","",'E08 — Estabilização Hypercare'!N333)</f>
        <v/>
      </c>
      <c r="AJ328" s="61" t="str">
        <f>IF(OR($B328="",'E08 — Estabilização Hypercare'!U333=""),"",'E08 — Estabilização Hypercare'!U333)</f>
        <v/>
      </c>
      <c r="AK328" s="60" t="str">
        <f t="shared" si="28"/>
        <v/>
      </c>
      <c r="AL328" s="65" t="str">
        <f t="shared" si="29"/>
        <v/>
      </c>
    </row>
    <row r="329" spans="2:38" s="42" customFormat="1" x14ac:dyDescent="0.35">
      <c r="B329" s="55" t="str">
        <f t="shared" si="25"/>
        <v/>
      </c>
      <c r="C329" s="40"/>
      <c r="D329" s="40"/>
      <c r="E329" s="41"/>
      <c r="F329" s="41"/>
      <c r="G329" s="41"/>
      <c r="H329" s="68" t="str">
        <f>IF('E2 — Triagem'!D334="","",'E2 — Triagem'!D334)</f>
        <v/>
      </c>
      <c r="I329" s="71"/>
      <c r="J329" s="41"/>
      <c r="K329" s="41"/>
      <c r="L329" s="71"/>
      <c r="M329" s="71"/>
      <c r="N329" s="71"/>
      <c r="O329" s="71"/>
      <c r="P329" s="41"/>
      <c r="Q329" s="41"/>
      <c r="R329" s="71"/>
      <c r="S329" s="71"/>
      <c r="T329" s="75"/>
      <c r="U329" s="75"/>
      <c r="V329" s="75"/>
      <c r="W329" s="58" t="str">
        <f t="shared" si="26"/>
        <v/>
      </c>
      <c r="X329" s="59" t="str">
        <f t="shared" si="27"/>
        <v/>
      </c>
      <c r="Y329" s="41"/>
      <c r="Z329" s="41"/>
      <c r="AA329" s="41"/>
      <c r="AB329" s="68" t="str">
        <f>IF($B329="","",'Workflow (Tracker)'!L352)</f>
        <v/>
      </c>
      <c r="AC329" s="69" t="str">
        <f>IF($B329="","",'E08 — Estabilização Hypercare'!K334)</f>
        <v/>
      </c>
      <c r="AD329" s="66" t="str">
        <f>IF($B329="","",'E08 — Estabilização Hypercare'!O334)</f>
        <v/>
      </c>
      <c r="AE329" s="66" t="str">
        <f>IF($B329="","",'E08 — Estabilização Hypercare'!Q334)</f>
        <v/>
      </c>
      <c r="AF329" s="66" t="str">
        <f>IF(OR($B329="",'E08 — Estabilização Hypercare'!R334=""),"",'E08 — Estabilização Hypercare'!R334)</f>
        <v/>
      </c>
      <c r="AG329" s="60" t="str">
        <f>IF($B329="","",'E08 — Estabilização Hypercare'!S334)</f>
        <v/>
      </c>
      <c r="AH329" s="61" t="str">
        <f>IF($B329="","",'E08 — Estabilização Hypercare'!T334)</f>
        <v/>
      </c>
      <c r="AI329" s="62" t="str">
        <f>IF($B329="","",'E08 — Estabilização Hypercare'!N334)</f>
        <v/>
      </c>
      <c r="AJ329" s="61" t="str">
        <f>IF(OR($B329="",'E08 — Estabilização Hypercare'!U334=""),"",'E08 — Estabilização Hypercare'!U334)</f>
        <v/>
      </c>
      <c r="AK329" s="60" t="str">
        <f t="shared" si="28"/>
        <v/>
      </c>
      <c r="AL329" s="65" t="str">
        <f t="shared" si="29"/>
        <v/>
      </c>
    </row>
    <row r="330" spans="2:38" s="42" customFormat="1" x14ac:dyDescent="0.35">
      <c r="B330" s="55" t="str">
        <f t="shared" si="25"/>
        <v/>
      </c>
      <c r="C330" s="40"/>
      <c r="D330" s="40"/>
      <c r="E330" s="41"/>
      <c r="F330" s="41"/>
      <c r="G330" s="41"/>
      <c r="H330" s="68" t="str">
        <f>IF('E2 — Triagem'!D335="","",'E2 — Triagem'!D335)</f>
        <v/>
      </c>
      <c r="I330" s="71"/>
      <c r="J330" s="41"/>
      <c r="K330" s="41"/>
      <c r="L330" s="71"/>
      <c r="M330" s="71"/>
      <c r="N330" s="71"/>
      <c r="O330" s="71"/>
      <c r="P330" s="41"/>
      <c r="Q330" s="41"/>
      <c r="R330" s="71"/>
      <c r="S330" s="71"/>
      <c r="T330" s="75"/>
      <c r="U330" s="75"/>
      <c r="V330" s="75"/>
      <c r="W330" s="58" t="str">
        <f t="shared" si="26"/>
        <v/>
      </c>
      <c r="X330" s="59" t="str">
        <f t="shared" si="27"/>
        <v/>
      </c>
      <c r="Y330" s="41"/>
      <c r="Z330" s="41"/>
      <c r="AA330" s="41"/>
      <c r="AB330" s="68" t="str">
        <f>IF($B330="","",'Workflow (Tracker)'!L353)</f>
        <v/>
      </c>
      <c r="AC330" s="69" t="str">
        <f>IF($B330="","",'E08 — Estabilização Hypercare'!K335)</f>
        <v/>
      </c>
      <c r="AD330" s="66" t="str">
        <f>IF($B330="","",'E08 — Estabilização Hypercare'!O335)</f>
        <v/>
      </c>
      <c r="AE330" s="66" t="str">
        <f>IF($B330="","",'E08 — Estabilização Hypercare'!Q335)</f>
        <v/>
      </c>
      <c r="AF330" s="66" t="str">
        <f>IF(OR($B330="",'E08 — Estabilização Hypercare'!R335=""),"",'E08 — Estabilização Hypercare'!R335)</f>
        <v/>
      </c>
      <c r="AG330" s="60" t="str">
        <f>IF($B330="","",'E08 — Estabilização Hypercare'!S335)</f>
        <v/>
      </c>
      <c r="AH330" s="61" t="str">
        <f>IF($B330="","",'E08 — Estabilização Hypercare'!T335)</f>
        <v/>
      </c>
      <c r="AI330" s="62" t="str">
        <f>IF($B330="","",'E08 — Estabilização Hypercare'!N335)</f>
        <v/>
      </c>
      <c r="AJ330" s="61" t="str">
        <f>IF(OR($B330="",'E08 — Estabilização Hypercare'!U335=""),"",'E08 — Estabilização Hypercare'!U335)</f>
        <v/>
      </c>
      <c r="AK330" s="60" t="str">
        <f t="shared" si="28"/>
        <v/>
      </c>
      <c r="AL330" s="65" t="str">
        <f t="shared" si="29"/>
        <v/>
      </c>
    </row>
    <row r="331" spans="2:38" s="42" customFormat="1" x14ac:dyDescent="0.35">
      <c r="B331" s="55" t="str">
        <f t="shared" si="25"/>
        <v/>
      </c>
      <c r="C331" s="40"/>
      <c r="D331" s="40"/>
      <c r="E331" s="41"/>
      <c r="F331" s="41"/>
      <c r="G331" s="41"/>
      <c r="H331" s="68" t="str">
        <f>IF('E2 — Triagem'!D336="","",'E2 — Triagem'!D336)</f>
        <v/>
      </c>
      <c r="I331" s="71"/>
      <c r="J331" s="41"/>
      <c r="K331" s="41"/>
      <c r="L331" s="71"/>
      <c r="M331" s="71"/>
      <c r="N331" s="71"/>
      <c r="O331" s="71"/>
      <c r="P331" s="41"/>
      <c r="Q331" s="41"/>
      <c r="R331" s="71"/>
      <c r="S331" s="71"/>
      <c r="T331" s="75"/>
      <c r="U331" s="75"/>
      <c r="V331" s="75"/>
      <c r="W331" s="58" t="str">
        <f t="shared" si="26"/>
        <v/>
      </c>
      <c r="X331" s="59" t="str">
        <f t="shared" si="27"/>
        <v/>
      </c>
      <c r="Y331" s="41"/>
      <c r="Z331" s="41"/>
      <c r="AA331" s="41"/>
      <c r="AB331" s="68" t="str">
        <f>IF($B331="","",'Workflow (Tracker)'!L354)</f>
        <v/>
      </c>
      <c r="AC331" s="69" t="str">
        <f>IF($B331="","",'E08 — Estabilização Hypercare'!K336)</f>
        <v/>
      </c>
      <c r="AD331" s="66" t="str">
        <f>IF($B331="","",'E08 — Estabilização Hypercare'!O336)</f>
        <v/>
      </c>
      <c r="AE331" s="66" t="str">
        <f>IF($B331="","",'E08 — Estabilização Hypercare'!Q336)</f>
        <v/>
      </c>
      <c r="AF331" s="66" t="str">
        <f>IF(OR($B331="",'E08 — Estabilização Hypercare'!R336=""),"",'E08 — Estabilização Hypercare'!R336)</f>
        <v/>
      </c>
      <c r="AG331" s="60" t="str">
        <f>IF($B331="","",'E08 — Estabilização Hypercare'!S336)</f>
        <v/>
      </c>
      <c r="AH331" s="61" t="str">
        <f>IF($B331="","",'E08 — Estabilização Hypercare'!T336)</f>
        <v/>
      </c>
      <c r="AI331" s="62" t="str">
        <f>IF($B331="","",'E08 — Estabilização Hypercare'!N336)</f>
        <v/>
      </c>
      <c r="AJ331" s="61" t="str">
        <f>IF(OR($B331="",'E08 — Estabilização Hypercare'!U336=""),"",'E08 — Estabilização Hypercare'!U336)</f>
        <v/>
      </c>
      <c r="AK331" s="60" t="str">
        <f t="shared" si="28"/>
        <v/>
      </c>
      <c r="AL331" s="65" t="str">
        <f t="shared" si="29"/>
        <v/>
      </c>
    </row>
    <row r="332" spans="2:38" s="42" customFormat="1" x14ac:dyDescent="0.35">
      <c r="B332" s="55" t="str">
        <f t="shared" si="25"/>
        <v/>
      </c>
      <c r="C332" s="40"/>
      <c r="D332" s="40"/>
      <c r="E332" s="41"/>
      <c r="F332" s="41"/>
      <c r="G332" s="41"/>
      <c r="H332" s="68" t="str">
        <f>IF('E2 — Triagem'!D337="","",'E2 — Triagem'!D337)</f>
        <v/>
      </c>
      <c r="I332" s="71"/>
      <c r="J332" s="41"/>
      <c r="K332" s="41"/>
      <c r="L332" s="71"/>
      <c r="M332" s="71"/>
      <c r="N332" s="71"/>
      <c r="O332" s="71"/>
      <c r="P332" s="41"/>
      <c r="Q332" s="41"/>
      <c r="R332" s="71"/>
      <c r="S332" s="71"/>
      <c r="T332" s="75"/>
      <c r="U332" s="75"/>
      <c r="V332" s="75"/>
      <c r="W332" s="58" t="str">
        <f t="shared" si="26"/>
        <v/>
      </c>
      <c r="X332" s="59" t="str">
        <f t="shared" si="27"/>
        <v/>
      </c>
      <c r="Y332" s="41"/>
      <c r="Z332" s="41"/>
      <c r="AA332" s="41"/>
      <c r="AB332" s="68" t="str">
        <f>IF($B332="","",'Workflow (Tracker)'!L355)</f>
        <v/>
      </c>
      <c r="AC332" s="69" t="str">
        <f>IF($B332="","",'E08 — Estabilização Hypercare'!K337)</f>
        <v/>
      </c>
      <c r="AD332" s="66" t="str">
        <f>IF($B332="","",'E08 — Estabilização Hypercare'!O337)</f>
        <v/>
      </c>
      <c r="AE332" s="66" t="str">
        <f>IF($B332="","",'E08 — Estabilização Hypercare'!Q337)</f>
        <v/>
      </c>
      <c r="AF332" s="66" t="str">
        <f>IF(OR($B332="",'E08 — Estabilização Hypercare'!R337=""),"",'E08 — Estabilização Hypercare'!R337)</f>
        <v/>
      </c>
      <c r="AG332" s="60" t="str">
        <f>IF($B332="","",'E08 — Estabilização Hypercare'!S337)</f>
        <v/>
      </c>
      <c r="AH332" s="61" t="str">
        <f>IF($B332="","",'E08 — Estabilização Hypercare'!T337)</f>
        <v/>
      </c>
      <c r="AI332" s="62" t="str">
        <f>IF($B332="","",'E08 — Estabilização Hypercare'!N337)</f>
        <v/>
      </c>
      <c r="AJ332" s="61" t="str">
        <f>IF(OR($B332="",'E08 — Estabilização Hypercare'!U337=""),"",'E08 — Estabilização Hypercare'!U337)</f>
        <v/>
      </c>
      <c r="AK332" s="60" t="str">
        <f t="shared" si="28"/>
        <v/>
      </c>
      <c r="AL332" s="65" t="str">
        <f t="shared" si="29"/>
        <v/>
      </c>
    </row>
    <row r="333" spans="2:38" s="42" customFormat="1" x14ac:dyDescent="0.35">
      <c r="B333" s="55" t="str">
        <f t="shared" si="25"/>
        <v/>
      </c>
      <c r="C333" s="40"/>
      <c r="D333" s="40"/>
      <c r="E333" s="41"/>
      <c r="F333" s="41"/>
      <c r="G333" s="41"/>
      <c r="H333" s="68" t="str">
        <f>IF('E2 — Triagem'!D338="","",'E2 — Triagem'!D338)</f>
        <v/>
      </c>
      <c r="I333" s="71"/>
      <c r="J333" s="41"/>
      <c r="K333" s="41"/>
      <c r="L333" s="71"/>
      <c r="M333" s="71"/>
      <c r="N333" s="71"/>
      <c r="O333" s="71"/>
      <c r="P333" s="41"/>
      <c r="Q333" s="41"/>
      <c r="R333" s="71"/>
      <c r="S333" s="71"/>
      <c r="T333" s="75"/>
      <c r="U333" s="75"/>
      <c r="V333" s="75"/>
      <c r="W333" s="58" t="str">
        <f t="shared" si="26"/>
        <v/>
      </c>
      <c r="X333" s="59" t="str">
        <f t="shared" si="27"/>
        <v/>
      </c>
      <c r="Y333" s="41"/>
      <c r="Z333" s="41"/>
      <c r="AA333" s="41"/>
      <c r="AB333" s="68" t="str">
        <f>IF($B333="","",'Workflow (Tracker)'!L356)</f>
        <v/>
      </c>
      <c r="AC333" s="69" t="str">
        <f>IF($B333="","",'E08 — Estabilização Hypercare'!K338)</f>
        <v/>
      </c>
      <c r="AD333" s="66" t="str">
        <f>IF($B333="","",'E08 — Estabilização Hypercare'!O338)</f>
        <v/>
      </c>
      <c r="AE333" s="66" t="str">
        <f>IF($B333="","",'E08 — Estabilização Hypercare'!Q338)</f>
        <v/>
      </c>
      <c r="AF333" s="66" t="str">
        <f>IF(OR($B333="",'E08 — Estabilização Hypercare'!R338=""),"",'E08 — Estabilização Hypercare'!R338)</f>
        <v/>
      </c>
      <c r="AG333" s="60" t="str">
        <f>IF($B333="","",'E08 — Estabilização Hypercare'!S338)</f>
        <v/>
      </c>
      <c r="AH333" s="61" t="str">
        <f>IF($B333="","",'E08 — Estabilização Hypercare'!T338)</f>
        <v/>
      </c>
      <c r="AI333" s="62" t="str">
        <f>IF($B333="","",'E08 — Estabilização Hypercare'!N338)</f>
        <v/>
      </c>
      <c r="AJ333" s="61" t="str">
        <f>IF(OR($B333="",'E08 — Estabilização Hypercare'!U338=""),"",'E08 — Estabilização Hypercare'!U338)</f>
        <v/>
      </c>
      <c r="AK333" s="60" t="str">
        <f t="shared" si="28"/>
        <v/>
      </c>
      <c r="AL333" s="65" t="str">
        <f t="shared" si="29"/>
        <v/>
      </c>
    </row>
    <row r="334" spans="2:38" s="42" customFormat="1" x14ac:dyDescent="0.35">
      <c r="B334" s="55" t="str">
        <f t="shared" si="25"/>
        <v/>
      </c>
      <c r="C334" s="40"/>
      <c r="D334" s="40"/>
      <c r="E334" s="41"/>
      <c r="F334" s="41"/>
      <c r="G334" s="41"/>
      <c r="H334" s="68" t="str">
        <f>IF('E2 — Triagem'!D339="","",'E2 — Triagem'!D339)</f>
        <v/>
      </c>
      <c r="I334" s="71"/>
      <c r="J334" s="41"/>
      <c r="K334" s="41"/>
      <c r="L334" s="71"/>
      <c r="M334" s="71"/>
      <c r="N334" s="71"/>
      <c r="O334" s="71"/>
      <c r="P334" s="41"/>
      <c r="Q334" s="41"/>
      <c r="R334" s="71"/>
      <c r="S334" s="71"/>
      <c r="T334" s="75"/>
      <c r="U334" s="75"/>
      <c r="V334" s="75"/>
      <c r="W334" s="58" t="str">
        <f t="shared" si="26"/>
        <v/>
      </c>
      <c r="X334" s="59" t="str">
        <f t="shared" si="27"/>
        <v/>
      </c>
      <c r="Y334" s="41"/>
      <c r="Z334" s="41"/>
      <c r="AA334" s="41"/>
      <c r="AB334" s="68" t="str">
        <f>IF($B334="","",'Workflow (Tracker)'!L357)</f>
        <v/>
      </c>
      <c r="AC334" s="69" t="str">
        <f>IF($B334="","",'E08 — Estabilização Hypercare'!K339)</f>
        <v/>
      </c>
      <c r="AD334" s="66" t="str">
        <f>IF($B334="","",'E08 — Estabilização Hypercare'!O339)</f>
        <v/>
      </c>
      <c r="AE334" s="66" t="str">
        <f>IF($B334="","",'E08 — Estabilização Hypercare'!Q339)</f>
        <v/>
      </c>
      <c r="AF334" s="66" t="str">
        <f>IF(OR($B334="",'E08 — Estabilização Hypercare'!R339=""),"",'E08 — Estabilização Hypercare'!R339)</f>
        <v/>
      </c>
      <c r="AG334" s="60" t="str">
        <f>IF($B334="","",'E08 — Estabilização Hypercare'!S339)</f>
        <v/>
      </c>
      <c r="AH334" s="61" t="str">
        <f>IF($B334="","",'E08 — Estabilização Hypercare'!T339)</f>
        <v/>
      </c>
      <c r="AI334" s="62" t="str">
        <f>IF($B334="","",'E08 — Estabilização Hypercare'!N339)</f>
        <v/>
      </c>
      <c r="AJ334" s="61" t="str">
        <f>IF(OR($B334="",'E08 — Estabilização Hypercare'!U339=""),"",'E08 — Estabilização Hypercare'!U339)</f>
        <v/>
      </c>
      <c r="AK334" s="60" t="str">
        <f t="shared" si="28"/>
        <v/>
      </c>
      <c r="AL334" s="65" t="str">
        <f t="shared" si="29"/>
        <v/>
      </c>
    </row>
    <row r="335" spans="2:38" s="42" customFormat="1" x14ac:dyDescent="0.35">
      <c r="B335" s="55" t="str">
        <f t="shared" si="25"/>
        <v/>
      </c>
      <c r="C335" s="40"/>
      <c r="D335" s="40"/>
      <c r="E335" s="41"/>
      <c r="F335" s="41"/>
      <c r="G335" s="41"/>
      <c r="H335" s="68" t="str">
        <f>IF('E2 — Triagem'!D340="","",'E2 — Triagem'!D340)</f>
        <v/>
      </c>
      <c r="I335" s="71"/>
      <c r="J335" s="41"/>
      <c r="K335" s="41"/>
      <c r="L335" s="71"/>
      <c r="M335" s="71"/>
      <c r="N335" s="71"/>
      <c r="O335" s="71"/>
      <c r="P335" s="41"/>
      <c r="Q335" s="41"/>
      <c r="R335" s="71"/>
      <c r="S335" s="71"/>
      <c r="T335" s="75"/>
      <c r="U335" s="75"/>
      <c r="V335" s="75"/>
      <c r="W335" s="58" t="str">
        <f t="shared" si="26"/>
        <v/>
      </c>
      <c r="X335" s="59" t="str">
        <f t="shared" si="27"/>
        <v/>
      </c>
      <c r="Y335" s="41"/>
      <c r="Z335" s="41"/>
      <c r="AA335" s="41"/>
      <c r="AB335" s="68" t="str">
        <f>IF($B335="","",'Workflow (Tracker)'!L358)</f>
        <v/>
      </c>
      <c r="AC335" s="69" t="str">
        <f>IF($B335="","",'E08 — Estabilização Hypercare'!K340)</f>
        <v/>
      </c>
      <c r="AD335" s="66" t="str">
        <f>IF($B335="","",'E08 — Estabilização Hypercare'!O340)</f>
        <v/>
      </c>
      <c r="AE335" s="66" t="str">
        <f>IF($B335="","",'E08 — Estabilização Hypercare'!Q340)</f>
        <v/>
      </c>
      <c r="AF335" s="66" t="str">
        <f>IF(OR($B335="",'E08 — Estabilização Hypercare'!R340=""),"",'E08 — Estabilização Hypercare'!R340)</f>
        <v/>
      </c>
      <c r="AG335" s="60" t="str">
        <f>IF($B335="","",'E08 — Estabilização Hypercare'!S340)</f>
        <v/>
      </c>
      <c r="AH335" s="61" t="str">
        <f>IF($B335="","",'E08 — Estabilização Hypercare'!T340)</f>
        <v/>
      </c>
      <c r="AI335" s="62" t="str">
        <f>IF($B335="","",'E08 — Estabilização Hypercare'!N340)</f>
        <v/>
      </c>
      <c r="AJ335" s="61" t="str">
        <f>IF(OR($B335="",'E08 — Estabilização Hypercare'!U340=""),"",'E08 — Estabilização Hypercare'!U340)</f>
        <v/>
      </c>
      <c r="AK335" s="60" t="str">
        <f t="shared" si="28"/>
        <v/>
      </c>
      <c r="AL335" s="65" t="str">
        <f t="shared" si="29"/>
        <v/>
      </c>
    </row>
    <row r="336" spans="2:38" s="42" customFormat="1" x14ac:dyDescent="0.35">
      <c r="B336" s="55" t="str">
        <f t="shared" si="25"/>
        <v/>
      </c>
      <c r="C336" s="40"/>
      <c r="D336" s="40"/>
      <c r="E336" s="41"/>
      <c r="F336" s="41"/>
      <c r="G336" s="41"/>
      <c r="H336" s="68" t="str">
        <f>IF('E2 — Triagem'!D341="","",'E2 — Triagem'!D341)</f>
        <v/>
      </c>
      <c r="I336" s="71"/>
      <c r="J336" s="41"/>
      <c r="K336" s="41"/>
      <c r="L336" s="71"/>
      <c r="M336" s="71"/>
      <c r="N336" s="71"/>
      <c r="O336" s="71"/>
      <c r="P336" s="41"/>
      <c r="Q336" s="41"/>
      <c r="R336" s="71"/>
      <c r="S336" s="71"/>
      <c r="T336" s="75"/>
      <c r="U336" s="75"/>
      <c r="V336" s="75"/>
      <c r="W336" s="58" t="str">
        <f t="shared" si="26"/>
        <v/>
      </c>
      <c r="X336" s="59" t="str">
        <f t="shared" si="27"/>
        <v/>
      </c>
      <c r="Y336" s="41"/>
      <c r="Z336" s="41"/>
      <c r="AA336" s="41"/>
      <c r="AB336" s="68" t="str">
        <f>IF($B336="","",'Workflow (Tracker)'!L359)</f>
        <v/>
      </c>
      <c r="AC336" s="69" t="str">
        <f>IF($B336="","",'E08 — Estabilização Hypercare'!K341)</f>
        <v/>
      </c>
      <c r="AD336" s="66" t="str">
        <f>IF($B336="","",'E08 — Estabilização Hypercare'!O341)</f>
        <v/>
      </c>
      <c r="AE336" s="66" t="str">
        <f>IF($B336="","",'E08 — Estabilização Hypercare'!Q341)</f>
        <v/>
      </c>
      <c r="AF336" s="66" t="str">
        <f>IF(OR($B336="",'E08 — Estabilização Hypercare'!R341=""),"",'E08 — Estabilização Hypercare'!R341)</f>
        <v/>
      </c>
      <c r="AG336" s="60" t="str">
        <f>IF($B336="","",'E08 — Estabilização Hypercare'!S341)</f>
        <v/>
      </c>
      <c r="AH336" s="61" t="str">
        <f>IF($B336="","",'E08 — Estabilização Hypercare'!T341)</f>
        <v/>
      </c>
      <c r="AI336" s="62" t="str">
        <f>IF($B336="","",'E08 — Estabilização Hypercare'!N341)</f>
        <v/>
      </c>
      <c r="AJ336" s="61" t="str">
        <f>IF(OR($B336="",'E08 — Estabilização Hypercare'!U341=""),"",'E08 — Estabilização Hypercare'!U341)</f>
        <v/>
      </c>
      <c r="AK336" s="60" t="str">
        <f t="shared" si="28"/>
        <v/>
      </c>
      <c r="AL336" s="65" t="str">
        <f t="shared" si="29"/>
        <v/>
      </c>
    </row>
    <row r="337" spans="2:38" s="42" customFormat="1" x14ac:dyDescent="0.35">
      <c r="B337" s="55" t="str">
        <f t="shared" si="25"/>
        <v/>
      </c>
      <c r="C337" s="40"/>
      <c r="D337" s="40"/>
      <c r="E337" s="41"/>
      <c r="F337" s="41"/>
      <c r="G337" s="41"/>
      <c r="H337" s="68" t="str">
        <f>IF('E2 — Triagem'!D342="","",'E2 — Triagem'!D342)</f>
        <v/>
      </c>
      <c r="I337" s="71"/>
      <c r="J337" s="41"/>
      <c r="K337" s="41"/>
      <c r="L337" s="71"/>
      <c r="M337" s="71"/>
      <c r="N337" s="71"/>
      <c r="O337" s="71"/>
      <c r="P337" s="41"/>
      <c r="Q337" s="41"/>
      <c r="R337" s="71"/>
      <c r="S337" s="71"/>
      <c r="T337" s="75"/>
      <c r="U337" s="75"/>
      <c r="V337" s="75"/>
      <c r="W337" s="58" t="str">
        <f t="shared" si="26"/>
        <v/>
      </c>
      <c r="X337" s="59" t="str">
        <f t="shared" si="27"/>
        <v/>
      </c>
      <c r="Y337" s="41"/>
      <c r="Z337" s="41"/>
      <c r="AA337" s="41"/>
      <c r="AB337" s="68" t="str">
        <f>IF($B337="","",'Workflow (Tracker)'!L360)</f>
        <v/>
      </c>
      <c r="AC337" s="69" t="str">
        <f>IF($B337="","",'E08 — Estabilização Hypercare'!K342)</f>
        <v/>
      </c>
      <c r="AD337" s="66" t="str">
        <f>IF($B337="","",'E08 — Estabilização Hypercare'!O342)</f>
        <v/>
      </c>
      <c r="AE337" s="66" t="str">
        <f>IF($B337="","",'E08 — Estabilização Hypercare'!Q342)</f>
        <v/>
      </c>
      <c r="AF337" s="66" t="str">
        <f>IF(OR($B337="",'E08 — Estabilização Hypercare'!R342=""),"",'E08 — Estabilização Hypercare'!R342)</f>
        <v/>
      </c>
      <c r="AG337" s="60" t="str">
        <f>IF($B337="","",'E08 — Estabilização Hypercare'!S342)</f>
        <v/>
      </c>
      <c r="AH337" s="61" t="str">
        <f>IF($B337="","",'E08 — Estabilização Hypercare'!T342)</f>
        <v/>
      </c>
      <c r="AI337" s="62" t="str">
        <f>IF($B337="","",'E08 — Estabilização Hypercare'!N342)</f>
        <v/>
      </c>
      <c r="AJ337" s="61" t="str">
        <f>IF(OR($B337="",'E08 — Estabilização Hypercare'!U342=""),"",'E08 — Estabilização Hypercare'!U342)</f>
        <v/>
      </c>
      <c r="AK337" s="60" t="str">
        <f t="shared" si="28"/>
        <v/>
      </c>
      <c r="AL337" s="65" t="str">
        <f t="shared" si="29"/>
        <v/>
      </c>
    </row>
    <row r="338" spans="2:38" s="42" customFormat="1" x14ac:dyDescent="0.35">
      <c r="B338" s="55" t="str">
        <f t="shared" si="25"/>
        <v/>
      </c>
      <c r="C338" s="40"/>
      <c r="D338" s="40"/>
      <c r="E338" s="41"/>
      <c r="F338" s="41"/>
      <c r="G338" s="41"/>
      <c r="H338" s="68" t="str">
        <f>IF('E2 — Triagem'!D343="","",'E2 — Triagem'!D343)</f>
        <v/>
      </c>
      <c r="I338" s="71"/>
      <c r="J338" s="41"/>
      <c r="K338" s="41"/>
      <c r="L338" s="71"/>
      <c r="M338" s="71"/>
      <c r="N338" s="71"/>
      <c r="O338" s="71"/>
      <c r="P338" s="41"/>
      <c r="Q338" s="41"/>
      <c r="R338" s="71"/>
      <c r="S338" s="71"/>
      <c r="T338" s="75"/>
      <c r="U338" s="75"/>
      <c r="V338" s="75"/>
      <c r="W338" s="58" t="str">
        <f t="shared" si="26"/>
        <v/>
      </c>
      <c r="X338" s="59" t="str">
        <f t="shared" si="27"/>
        <v/>
      </c>
      <c r="Y338" s="41"/>
      <c r="Z338" s="41"/>
      <c r="AA338" s="41"/>
      <c r="AB338" s="68" t="str">
        <f>IF($B338="","",'Workflow (Tracker)'!L361)</f>
        <v/>
      </c>
      <c r="AC338" s="69" t="str">
        <f>IF($B338="","",'E08 — Estabilização Hypercare'!K343)</f>
        <v/>
      </c>
      <c r="AD338" s="66" t="str">
        <f>IF($B338="","",'E08 — Estabilização Hypercare'!O343)</f>
        <v/>
      </c>
      <c r="AE338" s="66" t="str">
        <f>IF($B338="","",'E08 — Estabilização Hypercare'!Q343)</f>
        <v/>
      </c>
      <c r="AF338" s="66" t="str">
        <f>IF(OR($B338="",'E08 — Estabilização Hypercare'!R343=""),"",'E08 — Estabilização Hypercare'!R343)</f>
        <v/>
      </c>
      <c r="AG338" s="60" t="str">
        <f>IF($B338="","",'E08 — Estabilização Hypercare'!S343)</f>
        <v/>
      </c>
      <c r="AH338" s="61" t="str">
        <f>IF($B338="","",'E08 — Estabilização Hypercare'!T343)</f>
        <v/>
      </c>
      <c r="AI338" s="62" t="str">
        <f>IF($B338="","",'E08 — Estabilização Hypercare'!N343)</f>
        <v/>
      </c>
      <c r="AJ338" s="61" t="str">
        <f>IF(OR($B338="",'E08 — Estabilização Hypercare'!U343=""),"",'E08 — Estabilização Hypercare'!U343)</f>
        <v/>
      </c>
      <c r="AK338" s="60" t="str">
        <f t="shared" si="28"/>
        <v/>
      </c>
      <c r="AL338" s="65" t="str">
        <f t="shared" si="29"/>
        <v/>
      </c>
    </row>
    <row r="339" spans="2:38" s="42" customFormat="1" x14ac:dyDescent="0.35">
      <c r="B339" s="55" t="str">
        <f t="shared" si="25"/>
        <v/>
      </c>
      <c r="C339" s="40"/>
      <c r="D339" s="40"/>
      <c r="E339" s="41"/>
      <c r="F339" s="41"/>
      <c r="G339" s="41"/>
      <c r="H339" s="68" t="str">
        <f>IF('E2 — Triagem'!D344="","",'E2 — Triagem'!D344)</f>
        <v/>
      </c>
      <c r="I339" s="71"/>
      <c r="J339" s="41"/>
      <c r="K339" s="41"/>
      <c r="L339" s="71"/>
      <c r="M339" s="71"/>
      <c r="N339" s="71"/>
      <c r="O339" s="71"/>
      <c r="P339" s="41"/>
      <c r="Q339" s="41"/>
      <c r="R339" s="71"/>
      <c r="S339" s="71"/>
      <c r="T339" s="75"/>
      <c r="U339" s="75"/>
      <c r="V339" s="75"/>
      <c r="W339" s="58" t="str">
        <f t="shared" si="26"/>
        <v/>
      </c>
      <c r="X339" s="59" t="str">
        <f t="shared" si="27"/>
        <v/>
      </c>
      <c r="Y339" s="41"/>
      <c r="Z339" s="41"/>
      <c r="AA339" s="41"/>
      <c r="AB339" s="68" t="str">
        <f>IF($B339="","",'Workflow (Tracker)'!L362)</f>
        <v/>
      </c>
      <c r="AC339" s="69" t="str">
        <f>IF($B339="","",'E08 — Estabilização Hypercare'!K344)</f>
        <v/>
      </c>
      <c r="AD339" s="66" t="str">
        <f>IF($B339="","",'E08 — Estabilização Hypercare'!O344)</f>
        <v/>
      </c>
      <c r="AE339" s="66" t="str">
        <f>IF($B339="","",'E08 — Estabilização Hypercare'!Q344)</f>
        <v/>
      </c>
      <c r="AF339" s="66" t="str">
        <f>IF(OR($B339="",'E08 — Estabilização Hypercare'!R344=""),"",'E08 — Estabilização Hypercare'!R344)</f>
        <v/>
      </c>
      <c r="AG339" s="60" t="str">
        <f>IF($B339="","",'E08 — Estabilização Hypercare'!S344)</f>
        <v/>
      </c>
      <c r="AH339" s="61" t="str">
        <f>IF($B339="","",'E08 — Estabilização Hypercare'!T344)</f>
        <v/>
      </c>
      <c r="AI339" s="62" t="str">
        <f>IF($B339="","",'E08 — Estabilização Hypercare'!N344)</f>
        <v/>
      </c>
      <c r="AJ339" s="61" t="str">
        <f>IF(OR($B339="",'E08 — Estabilização Hypercare'!U344=""),"",'E08 — Estabilização Hypercare'!U344)</f>
        <v/>
      </c>
      <c r="AK339" s="60" t="str">
        <f t="shared" si="28"/>
        <v/>
      </c>
      <c r="AL339" s="65" t="str">
        <f t="shared" si="29"/>
        <v/>
      </c>
    </row>
    <row r="340" spans="2:38" s="42" customFormat="1" x14ac:dyDescent="0.35">
      <c r="B340" s="55" t="str">
        <f t="shared" si="25"/>
        <v/>
      </c>
      <c r="C340" s="40"/>
      <c r="D340" s="40"/>
      <c r="E340" s="41"/>
      <c r="F340" s="41"/>
      <c r="G340" s="41"/>
      <c r="H340" s="68" t="str">
        <f>IF('E2 — Triagem'!D345="","",'E2 — Triagem'!D345)</f>
        <v/>
      </c>
      <c r="I340" s="71"/>
      <c r="J340" s="41"/>
      <c r="K340" s="41"/>
      <c r="L340" s="71"/>
      <c r="M340" s="71"/>
      <c r="N340" s="71"/>
      <c r="O340" s="71"/>
      <c r="P340" s="41"/>
      <c r="Q340" s="41"/>
      <c r="R340" s="71"/>
      <c r="S340" s="71"/>
      <c r="T340" s="75"/>
      <c r="U340" s="75"/>
      <c r="V340" s="75"/>
      <c r="W340" s="58" t="str">
        <f t="shared" si="26"/>
        <v/>
      </c>
      <c r="X340" s="59" t="str">
        <f t="shared" si="27"/>
        <v/>
      </c>
      <c r="Y340" s="41"/>
      <c r="Z340" s="41"/>
      <c r="AA340" s="41"/>
      <c r="AB340" s="68" t="str">
        <f>IF($B340="","",'Workflow (Tracker)'!L363)</f>
        <v/>
      </c>
      <c r="AC340" s="69" t="str">
        <f>IF($B340="","",'E08 — Estabilização Hypercare'!K345)</f>
        <v/>
      </c>
      <c r="AD340" s="66" t="str">
        <f>IF($B340="","",'E08 — Estabilização Hypercare'!O345)</f>
        <v/>
      </c>
      <c r="AE340" s="66" t="str">
        <f>IF($B340="","",'E08 — Estabilização Hypercare'!Q345)</f>
        <v/>
      </c>
      <c r="AF340" s="66" t="str">
        <f>IF(OR($B340="",'E08 — Estabilização Hypercare'!R345=""),"",'E08 — Estabilização Hypercare'!R345)</f>
        <v/>
      </c>
      <c r="AG340" s="60" t="str">
        <f>IF($B340="","",'E08 — Estabilização Hypercare'!S345)</f>
        <v/>
      </c>
      <c r="AH340" s="61" t="str">
        <f>IF($B340="","",'E08 — Estabilização Hypercare'!T345)</f>
        <v/>
      </c>
      <c r="AI340" s="62" t="str">
        <f>IF($B340="","",'E08 — Estabilização Hypercare'!N345)</f>
        <v/>
      </c>
      <c r="AJ340" s="61" t="str">
        <f>IF(OR($B340="",'E08 — Estabilização Hypercare'!U345=""),"",'E08 — Estabilização Hypercare'!U345)</f>
        <v/>
      </c>
      <c r="AK340" s="60" t="str">
        <f t="shared" si="28"/>
        <v/>
      </c>
      <c r="AL340" s="65" t="str">
        <f t="shared" si="29"/>
        <v/>
      </c>
    </row>
    <row r="341" spans="2:38" s="42" customFormat="1" x14ac:dyDescent="0.35">
      <c r="B341" s="55" t="str">
        <f t="shared" si="25"/>
        <v/>
      </c>
      <c r="C341" s="40"/>
      <c r="D341" s="40"/>
      <c r="E341" s="41"/>
      <c r="F341" s="41"/>
      <c r="G341" s="41"/>
      <c r="H341" s="68" t="str">
        <f>IF('E2 — Triagem'!D346="","",'E2 — Triagem'!D346)</f>
        <v/>
      </c>
      <c r="I341" s="71"/>
      <c r="J341" s="41"/>
      <c r="K341" s="41"/>
      <c r="L341" s="71"/>
      <c r="M341" s="71"/>
      <c r="N341" s="71"/>
      <c r="O341" s="71"/>
      <c r="P341" s="41"/>
      <c r="Q341" s="41"/>
      <c r="R341" s="71"/>
      <c r="S341" s="71"/>
      <c r="T341" s="75"/>
      <c r="U341" s="75"/>
      <c r="V341" s="75"/>
      <c r="W341" s="58" t="str">
        <f t="shared" si="26"/>
        <v/>
      </c>
      <c r="X341" s="59" t="str">
        <f t="shared" si="27"/>
        <v/>
      </c>
      <c r="Y341" s="41"/>
      <c r="Z341" s="41"/>
      <c r="AA341" s="41"/>
      <c r="AB341" s="68" t="str">
        <f>IF($B341="","",'Workflow (Tracker)'!L364)</f>
        <v/>
      </c>
      <c r="AC341" s="69" t="str">
        <f>IF($B341="","",'E08 — Estabilização Hypercare'!K346)</f>
        <v/>
      </c>
      <c r="AD341" s="66" t="str">
        <f>IF($B341="","",'E08 — Estabilização Hypercare'!O346)</f>
        <v/>
      </c>
      <c r="AE341" s="66" t="str">
        <f>IF($B341="","",'E08 — Estabilização Hypercare'!Q346)</f>
        <v/>
      </c>
      <c r="AF341" s="66" t="str">
        <f>IF(OR($B341="",'E08 — Estabilização Hypercare'!R346=""),"",'E08 — Estabilização Hypercare'!R346)</f>
        <v/>
      </c>
      <c r="AG341" s="60" t="str">
        <f>IF($B341="","",'E08 — Estabilização Hypercare'!S346)</f>
        <v/>
      </c>
      <c r="AH341" s="61" t="str">
        <f>IF($B341="","",'E08 — Estabilização Hypercare'!T346)</f>
        <v/>
      </c>
      <c r="AI341" s="62" t="str">
        <f>IF($B341="","",'E08 — Estabilização Hypercare'!N346)</f>
        <v/>
      </c>
      <c r="AJ341" s="61" t="str">
        <f>IF(OR($B341="",'E08 — Estabilização Hypercare'!U346=""),"",'E08 — Estabilização Hypercare'!U346)</f>
        <v/>
      </c>
      <c r="AK341" s="60" t="str">
        <f t="shared" si="28"/>
        <v/>
      </c>
      <c r="AL341" s="65" t="str">
        <f t="shared" si="29"/>
        <v/>
      </c>
    </row>
    <row r="342" spans="2:38" s="42" customFormat="1" x14ac:dyDescent="0.35">
      <c r="B342" s="55" t="str">
        <f t="shared" si="25"/>
        <v/>
      </c>
      <c r="C342" s="40"/>
      <c r="D342" s="40"/>
      <c r="E342" s="41"/>
      <c r="F342" s="41"/>
      <c r="G342" s="41"/>
      <c r="H342" s="68" t="str">
        <f>IF('E2 — Triagem'!D347="","",'E2 — Triagem'!D347)</f>
        <v/>
      </c>
      <c r="I342" s="71"/>
      <c r="J342" s="41"/>
      <c r="K342" s="41"/>
      <c r="L342" s="71"/>
      <c r="M342" s="71"/>
      <c r="N342" s="71"/>
      <c r="O342" s="71"/>
      <c r="P342" s="41"/>
      <c r="Q342" s="41"/>
      <c r="R342" s="71"/>
      <c r="S342" s="71"/>
      <c r="T342" s="75"/>
      <c r="U342" s="75"/>
      <c r="V342" s="75"/>
      <c r="W342" s="58" t="str">
        <f t="shared" si="26"/>
        <v/>
      </c>
      <c r="X342" s="59" t="str">
        <f t="shared" si="27"/>
        <v/>
      </c>
      <c r="Y342" s="41"/>
      <c r="Z342" s="41"/>
      <c r="AA342" s="41"/>
      <c r="AB342" s="68" t="str">
        <f>IF($B342="","",'Workflow (Tracker)'!L365)</f>
        <v/>
      </c>
      <c r="AC342" s="69" t="str">
        <f>IF($B342="","",'E08 — Estabilização Hypercare'!K347)</f>
        <v/>
      </c>
      <c r="AD342" s="66" t="str">
        <f>IF($B342="","",'E08 — Estabilização Hypercare'!O347)</f>
        <v/>
      </c>
      <c r="AE342" s="66" t="str">
        <f>IF($B342="","",'E08 — Estabilização Hypercare'!Q347)</f>
        <v/>
      </c>
      <c r="AF342" s="66" t="str">
        <f>IF(OR($B342="",'E08 — Estabilização Hypercare'!R347=""),"",'E08 — Estabilização Hypercare'!R347)</f>
        <v/>
      </c>
      <c r="AG342" s="60" t="str">
        <f>IF($B342="","",'E08 — Estabilização Hypercare'!S347)</f>
        <v/>
      </c>
      <c r="AH342" s="61" t="str">
        <f>IF($B342="","",'E08 — Estabilização Hypercare'!T347)</f>
        <v/>
      </c>
      <c r="AI342" s="62" t="str">
        <f>IF($B342="","",'E08 — Estabilização Hypercare'!N347)</f>
        <v/>
      </c>
      <c r="AJ342" s="61" t="str">
        <f>IF(OR($B342="",'E08 — Estabilização Hypercare'!U347=""),"",'E08 — Estabilização Hypercare'!U347)</f>
        <v/>
      </c>
      <c r="AK342" s="60" t="str">
        <f t="shared" si="28"/>
        <v/>
      </c>
      <c r="AL342" s="65" t="str">
        <f t="shared" si="29"/>
        <v/>
      </c>
    </row>
    <row r="343" spans="2:38" s="42" customFormat="1" x14ac:dyDescent="0.35">
      <c r="B343" s="55" t="str">
        <f t="shared" si="25"/>
        <v/>
      </c>
      <c r="C343" s="40"/>
      <c r="D343" s="40"/>
      <c r="E343" s="41"/>
      <c r="F343" s="41"/>
      <c r="G343" s="41"/>
      <c r="H343" s="68" t="str">
        <f>IF('E2 — Triagem'!D348="","",'E2 — Triagem'!D348)</f>
        <v/>
      </c>
      <c r="I343" s="71"/>
      <c r="J343" s="41"/>
      <c r="K343" s="41"/>
      <c r="L343" s="71"/>
      <c r="M343" s="71"/>
      <c r="N343" s="71"/>
      <c r="O343" s="71"/>
      <c r="P343" s="41"/>
      <c r="Q343" s="41"/>
      <c r="R343" s="71"/>
      <c r="S343" s="71"/>
      <c r="T343" s="75"/>
      <c r="U343" s="75"/>
      <c r="V343" s="75"/>
      <c r="W343" s="58" t="str">
        <f t="shared" si="26"/>
        <v/>
      </c>
      <c r="X343" s="59" t="str">
        <f t="shared" si="27"/>
        <v/>
      </c>
      <c r="Y343" s="41"/>
      <c r="Z343" s="41"/>
      <c r="AA343" s="41"/>
      <c r="AB343" s="68" t="str">
        <f>IF($B343="","",'Workflow (Tracker)'!L366)</f>
        <v/>
      </c>
      <c r="AC343" s="69" t="str">
        <f>IF($B343="","",'E08 — Estabilização Hypercare'!K348)</f>
        <v/>
      </c>
      <c r="AD343" s="66" t="str">
        <f>IF($B343="","",'E08 — Estabilização Hypercare'!O348)</f>
        <v/>
      </c>
      <c r="AE343" s="66" t="str">
        <f>IF($B343="","",'E08 — Estabilização Hypercare'!Q348)</f>
        <v/>
      </c>
      <c r="AF343" s="66" t="str">
        <f>IF(OR($B343="",'E08 — Estabilização Hypercare'!R348=""),"",'E08 — Estabilização Hypercare'!R348)</f>
        <v/>
      </c>
      <c r="AG343" s="60" t="str">
        <f>IF($B343="","",'E08 — Estabilização Hypercare'!S348)</f>
        <v/>
      </c>
      <c r="AH343" s="61" t="str">
        <f>IF($B343="","",'E08 — Estabilização Hypercare'!T348)</f>
        <v/>
      </c>
      <c r="AI343" s="62" t="str">
        <f>IF($B343="","",'E08 — Estabilização Hypercare'!N348)</f>
        <v/>
      </c>
      <c r="AJ343" s="61" t="str">
        <f>IF(OR($B343="",'E08 — Estabilização Hypercare'!U348=""),"",'E08 — Estabilização Hypercare'!U348)</f>
        <v/>
      </c>
      <c r="AK343" s="60" t="str">
        <f t="shared" si="28"/>
        <v/>
      </c>
      <c r="AL343" s="65" t="str">
        <f t="shared" si="29"/>
        <v/>
      </c>
    </row>
    <row r="344" spans="2:38" s="42" customFormat="1" x14ac:dyDescent="0.35">
      <c r="B344" s="55" t="str">
        <f t="shared" si="25"/>
        <v/>
      </c>
      <c r="C344" s="40"/>
      <c r="D344" s="40"/>
      <c r="E344" s="41"/>
      <c r="F344" s="41"/>
      <c r="G344" s="41"/>
      <c r="H344" s="68" t="str">
        <f>IF('E2 — Triagem'!D349="","",'E2 — Triagem'!D349)</f>
        <v/>
      </c>
      <c r="I344" s="71"/>
      <c r="J344" s="41"/>
      <c r="K344" s="41"/>
      <c r="L344" s="71"/>
      <c r="M344" s="71"/>
      <c r="N344" s="71"/>
      <c r="O344" s="71"/>
      <c r="P344" s="41"/>
      <c r="Q344" s="41"/>
      <c r="R344" s="71"/>
      <c r="S344" s="71"/>
      <c r="T344" s="75"/>
      <c r="U344" s="75"/>
      <c r="V344" s="75"/>
      <c r="W344" s="58" t="str">
        <f t="shared" si="26"/>
        <v/>
      </c>
      <c r="X344" s="59" t="str">
        <f t="shared" si="27"/>
        <v/>
      </c>
      <c r="Y344" s="41"/>
      <c r="Z344" s="41"/>
      <c r="AA344" s="41"/>
      <c r="AB344" s="68" t="str">
        <f>IF($B344="","",'Workflow (Tracker)'!L367)</f>
        <v/>
      </c>
      <c r="AC344" s="69" t="str">
        <f>IF($B344="","",'E08 — Estabilização Hypercare'!K349)</f>
        <v/>
      </c>
      <c r="AD344" s="66" t="str">
        <f>IF($B344="","",'E08 — Estabilização Hypercare'!O349)</f>
        <v/>
      </c>
      <c r="AE344" s="66" t="str">
        <f>IF($B344="","",'E08 — Estabilização Hypercare'!Q349)</f>
        <v/>
      </c>
      <c r="AF344" s="66" t="str">
        <f>IF(OR($B344="",'E08 — Estabilização Hypercare'!R349=""),"",'E08 — Estabilização Hypercare'!R349)</f>
        <v/>
      </c>
      <c r="AG344" s="60" t="str">
        <f>IF($B344="","",'E08 — Estabilização Hypercare'!S349)</f>
        <v/>
      </c>
      <c r="AH344" s="61" t="str">
        <f>IF($B344="","",'E08 — Estabilização Hypercare'!T349)</f>
        <v/>
      </c>
      <c r="AI344" s="62" t="str">
        <f>IF($B344="","",'E08 — Estabilização Hypercare'!N349)</f>
        <v/>
      </c>
      <c r="AJ344" s="61" t="str">
        <f>IF(OR($B344="",'E08 — Estabilização Hypercare'!U349=""),"",'E08 — Estabilização Hypercare'!U349)</f>
        <v/>
      </c>
      <c r="AK344" s="60" t="str">
        <f t="shared" si="28"/>
        <v/>
      </c>
      <c r="AL344" s="65" t="str">
        <f t="shared" si="29"/>
        <v/>
      </c>
    </row>
    <row r="345" spans="2:38" s="42" customFormat="1" x14ac:dyDescent="0.35">
      <c r="B345" s="55" t="str">
        <f t="shared" si="25"/>
        <v/>
      </c>
      <c r="C345" s="40"/>
      <c r="D345" s="40"/>
      <c r="E345" s="41"/>
      <c r="F345" s="41"/>
      <c r="G345" s="41"/>
      <c r="H345" s="68" t="str">
        <f>IF('E2 — Triagem'!D350="","",'E2 — Triagem'!D350)</f>
        <v/>
      </c>
      <c r="I345" s="71"/>
      <c r="J345" s="41"/>
      <c r="K345" s="41"/>
      <c r="L345" s="71"/>
      <c r="M345" s="71"/>
      <c r="N345" s="71"/>
      <c r="O345" s="71"/>
      <c r="P345" s="41"/>
      <c r="Q345" s="41"/>
      <c r="R345" s="71"/>
      <c r="S345" s="71"/>
      <c r="T345" s="75"/>
      <c r="U345" s="75"/>
      <c r="V345" s="75"/>
      <c r="W345" s="58" t="str">
        <f t="shared" si="26"/>
        <v/>
      </c>
      <c r="X345" s="59" t="str">
        <f t="shared" si="27"/>
        <v/>
      </c>
      <c r="Y345" s="41"/>
      <c r="Z345" s="41"/>
      <c r="AA345" s="41"/>
      <c r="AB345" s="68" t="str">
        <f>IF($B345="","",'Workflow (Tracker)'!L368)</f>
        <v/>
      </c>
      <c r="AC345" s="69" t="str">
        <f>IF($B345="","",'E08 — Estabilização Hypercare'!K350)</f>
        <v/>
      </c>
      <c r="AD345" s="66" t="str">
        <f>IF($B345="","",'E08 — Estabilização Hypercare'!O350)</f>
        <v/>
      </c>
      <c r="AE345" s="66" t="str">
        <f>IF($B345="","",'E08 — Estabilização Hypercare'!Q350)</f>
        <v/>
      </c>
      <c r="AF345" s="66" t="str">
        <f>IF(OR($B345="",'E08 — Estabilização Hypercare'!R350=""),"",'E08 — Estabilização Hypercare'!R350)</f>
        <v/>
      </c>
      <c r="AG345" s="60" t="str">
        <f>IF($B345="","",'E08 — Estabilização Hypercare'!S350)</f>
        <v/>
      </c>
      <c r="AH345" s="61" t="str">
        <f>IF($B345="","",'E08 — Estabilização Hypercare'!T350)</f>
        <v/>
      </c>
      <c r="AI345" s="62" t="str">
        <f>IF($B345="","",'E08 — Estabilização Hypercare'!N350)</f>
        <v/>
      </c>
      <c r="AJ345" s="61" t="str">
        <f>IF(OR($B345="",'E08 — Estabilização Hypercare'!U350=""),"",'E08 — Estabilização Hypercare'!U350)</f>
        <v/>
      </c>
      <c r="AK345" s="60" t="str">
        <f t="shared" si="28"/>
        <v/>
      </c>
      <c r="AL345" s="65" t="str">
        <f t="shared" si="29"/>
        <v/>
      </c>
    </row>
    <row r="346" spans="2:38" s="42" customFormat="1" x14ac:dyDescent="0.35">
      <c r="B346" s="55" t="str">
        <f t="shared" si="25"/>
        <v/>
      </c>
      <c r="C346" s="40"/>
      <c r="D346" s="40"/>
      <c r="E346" s="41"/>
      <c r="F346" s="41"/>
      <c r="G346" s="41"/>
      <c r="H346" s="68" t="str">
        <f>IF('E2 — Triagem'!D351="","",'E2 — Triagem'!D351)</f>
        <v/>
      </c>
      <c r="I346" s="71"/>
      <c r="J346" s="41"/>
      <c r="K346" s="41"/>
      <c r="L346" s="71"/>
      <c r="M346" s="71"/>
      <c r="N346" s="71"/>
      <c r="O346" s="71"/>
      <c r="P346" s="41"/>
      <c r="Q346" s="41"/>
      <c r="R346" s="71"/>
      <c r="S346" s="71"/>
      <c r="T346" s="75"/>
      <c r="U346" s="75"/>
      <c r="V346" s="75"/>
      <c r="W346" s="58" t="str">
        <f t="shared" si="26"/>
        <v/>
      </c>
      <c r="X346" s="59" t="str">
        <f t="shared" si="27"/>
        <v/>
      </c>
      <c r="Y346" s="41"/>
      <c r="Z346" s="41"/>
      <c r="AA346" s="41"/>
      <c r="AB346" s="68" t="str">
        <f>IF($B346="","",'Workflow (Tracker)'!L369)</f>
        <v/>
      </c>
      <c r="AC346" s="69" t="str">
        <f>IF($B346="","",'E08 — Estabilização Hypercare'!K351)</f>
        <v/>
      </c>
      <c r="AD346" s="66" t="str">
        <f>IF($B346="","",'E08 — Estabilização Hypercare'!O351)</f>
        <v/>
      </c>
      <c r="AE346" s="66" t="str">
        <f>IF($B346="","",'E08 — Estabilização Hypercare'!Q351)</f>
        <v/>
      </c>
      <c r="AF346" s="66" t="str">
        <f>IF(OR($B346="",'E08 — Estabilização Hypercare'!R351=""),"",'E08 — Estabilização Hypercare'!R351)</f>
        <v/>
      </c>
      <c r="AG346" s="60" t="str">
        <f>IF($B346="","",'E08 — Estabilização Hypercare'!S351)</f>
        <v/>
      </c>
      <c r="AH346" s="61" t="str">
        <f>IF($B346="","",'E08 — Estabilização Hypercare'!T351)</f>
        <v/>
      </c>
      <c r="AI346" s="62" t="str">
        <f>IF($B346="","",'E08 — Estabilização Hypercare'!N351)</f>
        <v/>
      </c>
      <c r="AJ346" s="61" t="str">
        <f>IF(OR($B346="",'E08 — Estabilização Hypercare'!U351=""),"",'E08 — Estabilização Hypercare'!U351)</f>
        <v/>
      </c>
      <c r="AK346" s="60" t="str">
        <f t="shared" si="28"/>
        <v/>
      </c>
      <c r="AL346" s="65" t="str">
        <f t="shared" si="29"/>
        <v/>
      </c>
    </row>
    <row r="347" spans="2:38" s="42" customFormat="1" x14ac:dyDescent="0.35">
      <c r="B347" s="55" t="str">
        <f t="shared" si="25"/>
        <v/>
      </c>
      <c r="C347" s="40"/>
      <c r="D347" s="40"/>
      <c r="E347" s="41"/>
      <c r="F347" s="41"/>
      <c r="G347" s="41"/>
      <c r="H347" s="68" t="str">
        <f>IF('E2 — Triagem'!D352="","",'E2 — Triagem'!D352)</f>
        <v/>
      </c>
      <c r="I347" s="71"/>
      <c r="J347" s="41"/>
      <c r="K347" s="41"/>
      <c r="L347" s="71"/>
      <c r="M347" s="71"/>
      <c r="N347" s="71"/>
      <c r="O347" s="71"/>
      <c r="P347" s="41"/>
      <c r="Q347" s="41"/>
      <c r="R347" s="71"/>
      <c r="S347" s="71"/>
      <c r="T347" s="75"/>
      <c r="U347" s="75"/>
      <c r="V347" s="75"/>
      <c r="W347" s="58" t="str">
        <f t="shared" si="26"/>
        <v/>
      </c>
      <c r="X347" s="59" t="str">
        <f t="shared" si="27"/>
        <v/>
      </c>
      <c r="Y347" s="41"/>
      <c r="Z347" s="41"/>
      <c r="AA347" s="41"/>
      <c r="AB347" s="68" t="str">
        <f>IF($B347="","",'Workflow (Tracker)'!L370)</f>
        <v/>
      </c>
      <c r="AC347" s="69" t="str">
        <f>IF($B347="","",'E08 — Estabilização Hypercare'!K352)</f>
        <v/>
      </c>
      <c r="AD347" s="66" t="str">
        <f>IF($B347="","",'E08 — Estabilização Hypercare'!O352)</f>
        <v/>
      </c>
      <c r="AE347" s="66" t="str">
        <f>IF($B347="","",'E08 — Estabilização Hypercare'!Q352)</f>
        <v/>
      </c>
      <c r="AF347" s="66" t="str">
        <f>IF(OR($B347="",'E08 — Estabilização Hypercare'!R352=""),"",'E08 — Estabilização Hypercare'!R352)</f>
        <v/>
      </c>
      <c r="AG347" s="60" t="str">
        <f>IF($B347="","",'E08 — Estabilização Hypercare'!S352)</f>
        <v/>
      </c>
      <c r="AH347" s="61" t="str">
        <f>IF($B347="","",'E08 — Estabilização Hypercare'!T352)</f>
        <v/>
      </c>
      <c r="AI347" s="62" t="str">
        <f>IF($B347="","",'E08 — Estabilização Hypercare'!N352)</f>
        <v/>
      </c>
      <c r="AJ347" s="61" t="str">
        <f>IF(OR($B347="",'E08 — Estabilização Hypercare'!U352=""),"",'E08 — Estabilização Hypercare'!U352)</f>
        <v/>
      </c>
      <c r="AK347" s="60" t="str">
        <f t="shared" si="28"/>
        <v/>
      </c>
      <c r="AL347" s="65" t="str">
        <f t="shared" si="29"/>
        <v/>
      </c>
    </row>
    <row r="348" spans="2:38" s="42" customFormat="1" x14ac:dyDescent="0.35">
      <c r="B348" s="55" t="str">
        <f t="shared" si="25"/>
        <v/>
      </c>
      <c r="C348" s="40"/>
      <c r="D348" s="40"/>
      <c r="E348" s="41"/>
      <c r="F348" s="41"/>
      <c r="G348" s="41"/>
      <c r="H348" s="68" t="str">
        <f>IF('E2 — Triagem'!D353="","",'E2 — Triagem'!D353)</f>
        <v/>
      </c>
      <c r="I348" s="71"/>
      <c r="J348" s="41"/>
      <c r="K348" s="41"/>
      <c r="L348" s="71"/>
      <c r="M348" s="71"/>
      <c r="N348" s="71"/>
      <c r="O348" s="71"/>
      <c r="P348" s="41"/>
      <c r="Q348" s="41"/>
      <c r="R348" s="71"/>
      <c r="S348" s="71"/>
      <c r="T348" s="75"/>
      <c r="U348" s="75"/>
      <c r="V348" s="75"/>
      <c r="W348" s="58" t="str">
        <f t="shared" si="26"/>
        <v/>
      </c>
      <c r="X348" s="59" t="str">
        <f t="shared" si="27"/>
        <v/>
      </c>
      <c r="Y348" s="41"/>
      <c r="Z348" s="41"/>
      <c r="AA348" s="41"/>
      <c r="AB348" s="68" t="str">
        <f>IF($B348="","",'Workflow (Tracker)'!L371)</f>
        <v/>
      </c>
      <c r="AC348" s="69" t="str">
        <f>IF($B348="","",'E08 — Estabilização Hypercare'!K353)</f>
        <v/>
      </c>
      <c r="AD348" s="66" t="str">
        <f>IF($B348="","",'E08 — Estabilização Hypercare'!O353)</f>
        <v/>
      </c>
      <c r="AE348" s="66" t="str">
        <f>IF($B348="","",'E08 — Estabilização Hypercare'!Q353)</f>
        <v/>
      </c>
      <c r="AF348" s="66" t="str">
        <f>IF(OR($B348="",'E08 — Estabilização Hypercare'!R353=""),"",'E08 — Estabilização Hypercare'!R353)</f>
        <v/>
      </c>
      <c r="AG348" s="60" t="str">
        <f>IF($B348="","",'E08 — Estabilização Hypercare'!S353)</f>
        <v/>
      </c>
      <c r="AH348" s="61" t="str">
        <f>IF($B348="","",'E08 — Estabilização Hypercare'!T353)</f>
        <v/>
      </c>
      <c r="AI348" s="62" t="str">
        <f>IF($B348="","",'E08 — Estabilização Hypercare'!N353)</f>
        <v/>
      </c>
      <c r="AJ348" s="61" t="str">
        <f>IF(OR($B348="",'E08 — Estabilização Hypercare'!U353=""),"",'E08 — Estabilização Hypercare'!U353)</f>
        <v/>
      </c>
      <c r="AK348" s="60" t="str">
        <f t="shared" si="28"/>
        <v/>
      </c>
      <c r="AL348" s="65" t="str">
        <f t="shared" si="29"/>
        <v/>
      </c>
    </row>
    <row r="349" spans="2:38" s="42" customFormat="1" x14ac:dyDescent="0.35">
      <c r="B349" s="55" t="str">
        <f t="shared" si="25"/>
        <v/>
      </c>
      <c r="C349" s="40"/>
      <c r="D349" s="40"/>
      <c r="E349" s="41"/>
      <c r="F349" s="41"/>
      <c r="G349" s="41"/>
      <c r="H349" s="68" t="str">
        <f>IF('E2 — Triagem'!D354="","",'E2 — Triagem'!D354)</f>
        <v/>
      </c>
      <c r="I349" s="71"/>
      <c r="J349" s="41"/>
      <c r="K349" s="41"/>
      <c r="L349" s="71"/>
      <c r="M349" s="71"/>
      <c r="N349" s="71"/>
      <c r="O349" s="71"/>
      <c r="P349" s="41"/>
      <c r="Q349" s="41"/>
      <c r="R349" s="71"/>
      <c r="S349" s="71"/>
      <c r="T349" s="75"/>
      <c r="U349" s="75"/>
      <c r="V349" s="75"/>
      <c r="W349" s="58" t="str">
        <f t="shared" si="26"/>
        <v/>
      </c>
      <c r="X349" s="59" t="str">
        <f t="shared" si="27"/>
        <v/>
      </c>
      <c r="Y349" s="41"/>
      <c r="Z349" s="41"/>
      <c r="AA349" s="41"/>
      <c r="AB349" s="68" t="str">
        <f>IF($B349="","",'Workflow (Tracker)'!L372)</f>
        <v/>
      </c>
      <c r="AC349" s="69" t="str">
        <f>IF($B349="","",'E08 — Estabilização Hypercare'!K354)</f>
        <v/>
      </c>
      <c r="AD349" s="66" t="str">
        <f>IF($B349="","",'E08 — Estabilização Hypercare'!O354)</f>
        <v/>
      </c>
      <c r="AE349" s="66" t="str">
        <f>IF($B349="","",'E08 — Estabilização Hypercare'!Q354)</f>
        <v/>
      </c>
      <c r="AF349" s="66" t="str">
        <f>IF(OR($B349="",'E08 — Estabilização Hypercare'!R354=""),"",'E08 — Estabilização Hypercare'!R354)</f>
        <v/>
      </c>
      <c r="AG349" s="60" t="str">
        <f>IF($B349="","",'E08 — Estabilização Hypercare'!S354)</f>
        <v/>
      </c>
      <c r="AH349" s="61" t="str">
        <f>IF($B349="","",'E08 — Estabilização Hypercare'!T354)</f>
        <v/>
      </c>
      <c r="AI349" s="62" t="str">
        <f>IF($B349="","",'E08 — Estabilização Hypercare'!N354)</f>
        <v/>
      </c>
      <c r="AJ349" s="61" t="str">
        <f>IF(OR($B349="",'E08 — Estabilização Hypercare'!U354=""),"",'E08 — Estabilização Hypercare'!U354)</f>
        <v/>
      </c>
      <c r="AK349" s="60" t="str">
        <f t="shared" si="28"/>
        <v/>
      </c>
      <c r="AL349" s="65" t="str">
        <f t="shared" si="29"/>
        <v/>
      </c>
    </row>
    <row r="350" spans="2:38" s="42" customFormat="1" x14ac:dyDescent="0.35">
      <c r="B350" s="55" t="str">
        <f t="shared" si="25"/>
        <v/>
      </c>
      <c r="C350" s="40"/>
      <c r="D350" s="40"/>
      <c r="E350" s="41"/>
      <c r="F350" s="41"/>
      <c r="G350" s="41"/>
      <c r="H350" s="68" t="str">
        <f>IF('E2 — Triagem'!D355="","",'E2 — Triagem'!D355)</f>
        <v/>
      </c>
      <c r="I350" s="71"/>
      <c r="J350" s="41"/>
      <c r="K350" s="41"/>
      <c r="L350" s="71"/>
      <c r="M350" s="71"/>
      <c r="N350" s="71"/>
      <c r="O350" s="71"/>
      <c r="P350" s="41"/>
      <c r="Q350" s="41"/>
      <c r="R350" s="71"/>
      <c r="S350" s="71"/>
      <c r="T350" s="75"/>
      <c r="U350" s="75"/>
      <c r="V350" s="75"/>
      <c r="W350" s="58" t="str">
        <f t="shared" si="26"/>
        <v/>
      </c>
      <c r="X350" s="59" t="str">
        <f t="shared" si="27"/>
        <v/>
      </c>
      <c r="Y350" s="41"/>
      <c r="Z350" s="41"/>
      <c r="AA350" s="41"/>
      <c r="AB350" s="68" t="str">
        <f>IF($B350="","",'Workflow (Tracker)'!L373)</f>
        <v/>
      </c>
      <c r="AC350" s="69" t="str">
        <f>IF($B350="","",'E08 — Estabilização Hypercare'!K355)</f>
        <v/>
      </c>
      <c r="AD350" s="66" t="str">
        <f>IF($B350="","",'E08 — Estabilização Hypercare'!O355)</f>
        <v/>
      </c>
      <c r="AE350" s="66" t="str">
        <f>IF($B350="","",'E08 — Estabilização Hypercare'!Q355)</f>
        <v/>
      </c>
      <c r="AF350" s="66" t="str">
        <f>IF(OR($B350="",'E08 — Estabilização Hypercare'!R355=""),"",'E08 — Estabilização Hypercare'!R355)</f>
        <v/>
      </c>
      <c r="AG350" s="60" t="str">
        <f>IF($B350="","",'E08 — Estabilização Hypercare'!S355)</f>
        <v/>
      </c>
      <c r="AH350" s="61" t="str">
        <f>IF($B350="","",'E08 — Estabilização Hypercare'!T355)</f>
        <v/>
      </c>
      <c r="AI350" s="62" t="str">
        <f>IF($B350="","",'E08 — Estabilização Hypercare'!N355)</f>
        <v/>
      </c>
      <c r="AJ350" s="61" t="str">
        <f>IF(OR($B350="",'E08 — Estabilização Hypercare'!U355=""),"",'E08 — Estabilização Hypercare'!U355)</f>
        <v/>
      </c>
      <c r="AK350" s="60" t="str">
        <f t="shared" si="28"/>
        <v/>
      </c>
      <c r="AL350" s="65" t="str">
        <f t="shared" si="29"/>
        <v/>
      </c>
    </row>
    <row r="351" spans="2:38" s="42" customFormat="1" x14ac:dyDescent="0.35">
      <c r="B351" s="55" t="str">
        <f t="shared" si="25"/>
        <v/>
      </c>
      <c r="C351" s="40"/>
      <c r="D351" s="40"/>
      <c r="E351" s="41"/>
      <c r="F351" s="41"/>
      <c r="G351" s="41"/>
      <c r="H351" s="68" t="str">
        <f>IF('E2 — Triagem'!D356="","",'E2 — Triagem'!D356)</f>
        <v/>
      </c>
      <c r="I351" s="71"/>
      <c r="J351" s="41"/>
      <c r="K351" s="41"/>
      <c r="L351" s="71"/>
      <c r="M351" s="71"/>
      <c r="N351" s="71"/>
      <c r="O351" s="71"/>
      <c r="P351" s="41"/>
      <c r="Q351" s="41"/>
      <c r="R351" s="71"/>
      <c r="S351" s="71"/>
      <c r="T351" s="75"/>
      <c r="U351" s="75"/>
      <c r="V351" s="75"/>
      <c r="W351" s="58" t="str">
        <f t="shared" si="26"/>
        <v/>
      </c>
      <c r="X351" s="59" t="str">
        <f t="shared" si="27"/>
        <v/>
      </c>
      <c r="Y351" s="41"/>
      <c r="Z351" s="41"/>
      <c r="AA351" s="41"/>
      <c r="AB351" s="68" t="str">
        <f>IF($B351="","",'Workflow (Tracker)'!L374)</f>
        <v/>
      </c>
      <c r="AC351" s="69" t="str">
        <f>IF($B351="","",'E08 — Estabilização Hypercare'!K356)</f>
        <v/>
      </c>
      <c r="AD351" s="66" t="str">
        <f>IF($B351="","",'E08 — Estabilização Hypercare'!O356)</f>
        <v/>
      </c>
      <c r="AE351" s="66" t="str">
        <f>IF($B351="","",'E08 — Estabilização Hypercare'!Q356)</f>
        <v/>
      </c>
      <c r="AF351" s="66" t="str">
        <f>IF(OR($B351="",'E08 — Estabilização Hypercare'!R356=""),"",'E08 — Estabilização Hypercare'!R356)</f>
        <v/>
      </c>
      <c r="AG351" s="60" t="str">
        <f>IF($B351="","",'E08 — Estabilização Hypercare'!S356)</f>
        <v/>
      </c>
      <c r="AH351" s="61" t="str">
        <f>IF($B351="","",'E08 — Estabilização Hypercare'!T356)</f>
        <v/>
      </c>
      <c r="AI351" s="62" t="str">
        <f>IF($B351="","",'E08 — Estabilização Hypercare'!N356)</f>
        <v/>
      </c>
      <c r="AJ351" s="61" t="str">
        <f>IF(OR($B351="",'E08 — Estabilização Hypercare'!U356=""),"",'E08 — Estabilização Hypercare'!U356)</f>
        <v/>
      </c>
      <c r="AK351" s="60" t="str">
        <f t="shared" si="28"/>
        <v/>
      </c>
      <c r="AL351" s="65" t="str">
        <f t="shared" si="29"/>
        <v/>
      </c>
    </row>
    <row r="352" spans="2:38" s="42" customFormat="1" x14ac:dyDescent="0.35">
      <c r="B352" s="55" t="str">
        <f t="shared" si="25"/>
        <v/>
      </c>
      <c r="C352" s="40"/>
      <c r="D352" s="40"/>
      <c r="E352" s="41"/>
      <c r="F352" s="41"/>
      <c r="G352" s="41"/>
      <c r="H352" s="68" t="str">
        <f>IF('E2 — Triagem'!D357="","",'E2 — Triagem'!D357)</f>
        <v/>
      </c>
      <c r="I352" s="71"/>
      <c r="J352" s="41"/>
      <c r="K352" s="41"/>
      <c r="L352" s="71"/>
      <c r="M352" s="71"/>
      <c r="N352" s="71"/>
      <c r="O352" s="71"/>
      <c r="P352" s="41"/>
      <c r="Q352" s="41"/>
      <c r="R352" s="71"/>
      <c r="S352" s="71"/>
      <c r="T352" s="75"/>
      <c r="U352" s="75"/>
      <c r="V352" s="75"/>
      <c r="W352" s="58" t="str">
        <f t="shared" si="26"/>
        <v/>
      </c>
      <c r="X352" s="59" t="str">
        <f t="shared" si="27"/>
        <v/>
      </c>
      <c r="Y352" s="41"/>
      <c r="Z352" s="41"/>
      <c r="AA352" s="41"/>
      <c r="AB352" s="68" t="str">
        <f>IF($B352="","",'Workflow (Tracker)'!L375)</f>
        <v/>
      </c>
      <c r="AC352" s="69" t="str">
        <f>IF($B352="","",'E08 — Estabilização Hypercare'!K357)</f>
        <v/>
      </c>
      <c r="AD352" s="66" t="str">
        <f>IF($B352="","",'E08 — Estabilização Hypercare'!O357)</f>
        <v/>
      </c>
      <c r="AE352" s="66" t="str">
        <f>IF($B352="","",'E08 — Estabilização Hypercare'!Q357)</f>
        <v/>
      </c>
      <c r="AF352" s="66" t="str">
        <f>IF(OR($B352="",'E08 — Estabilização Hypercare'!R357=""),"",'E08 — Estabilização Hypercare'!R357)</f>
        <v/>
      </c>
      <c r="AG352" s="60" t="str">
        <f>IF($B352="","",'E08 — Estabilização Hypercare'!S357)</f>
        <v/>
      </c>
      <c r="AH352" s="61" t="str">
        <f>IF($B352="","",'E08 — Estabilização Hypercare'!T357)</f>
        <v/>
      </c>
      <c r="AI352" s="62" t="str">
        <f>IF($B352="","",'E08 — Estabilização Hypercare'!N357)</f>
        <v/>
      </c>
      <c r="AJ352" s="61" t="str">
        <f>IF(OR($B352="",'E08 — Estabilização Hypercare'!U357=""),"",'E08 — Estabilização Hypercare'!U357)</f>
        <v/>
      </c>
      <c r="AK352" s="60" t="str">
        <f t="shared" si="28"/>
        <v/>
      </c>
      <c r="AL352" s="65" t="str">
        <f t="shared" si="29"/>
        <v/>
      </c>
    </row>
    <row r="353" spans="2:38" s="42" customFormat="1" x14ac:dyDescent="0.35">
      <c r="B353" s="55" t="str">
        <f t="shared" si="25"/>
        <v/>
      </c>
      <c r="C353" s="40"/>
      <c r="D353" s="40"/>
      <c r="E353" s="41"/>
      <c r="F353" s="41"/>
      <c r="G353" s="41"/>
      <c r="H353" s="68" t="str">
        <f>IF('E2 — Triagem'!D358="","",'E2 — Triagem'!D358)</f>
        <v/>
      </c>
      <c r="I353" s="71"/>
      <c r="J353" s="41"/>
      <c r="K353" s="41"/>
      <c r="L353" s="71"/>
      <c r="M353" s="71"/>
      <c r="N353" s="71"/>
      <c r="O353" s="71"/>
      <c r="P353" s="41"/>
      <c r="Q353" s="41"/>
      <c r="R353" s="71"/>
      <c r="S353" s="71"/>
      <c r="T353" s="75"/>
      <c r="U353" s="75"/>
      <c r="V353" s="75"/>
      <c r="W353" s="58" t="str">
        <f t="shared" si="26"/>
        <v/>
      </c>
      <c r="X353" s="59" t="str">
        <f t="shared" si="27"/>
        <v/>
      </c>
      <c r="Y353" s="41"/>
      <c r="Z353" s="41"/>
      <c r="AA353" s="41"/>
      <c r="AB353" s="68" t="str">
        <f>IF($B353="","",'Workflow (Tracker)'!L376)</f>
        <v/>
      </c>
      <c r="AC353" s="69" t="str">
        <f>IF($B353="","",'E08 — Estabilização Hypercare'!K358)</f>
        <v/>
      </c>
      <c r="AD353" s="66" t="str">
        <f>IF($B353="","",'E08 — Estabilização Hypercare'!O358)</f>
        <v/>
      </c>
      <c r="AE353" s="66" t="str">
        <f>IF($B353="","",'E08 — Estabilização Hypercare'!Q358)</f>
        <v/>
      </c>
      <c r="AF353" s="66" t="str">
        <f>IF(OR($B353="",'E08 — Estabilização Hypercare'!R358=""),"",'E08 — Estabilização Hypercare'!R358)</f>
        <v/>
      </c>
      <c r="AG353" s="60" t="str">
        <f>IF($B353="","",'E08 — Estabilização Hypercare'!S358)</f>
        <v/>
      </c>
      <c r="AH353" s="61" t="str">
        <f>IF($B353="","",'E08 — Estabilização Hypercare'!T358)</f>
        <v/>
      </c>
      <c r="AI353" s="62" t="str">
        <f>IF($B353="","",'E08 — Estabilização Hypercare'!N358)</f>
        <v/>
      </c>
      <c r="AJ353" s="61" t="str">
        <f>IF(OR($B353="",'E08 — Estabilização Hypercare'!U358=""),"",'E08 — Estabilização Hypercare'!U358)</f>
        <v/>
      </c>
      <c r="AK353" s="60" t="str">
        <f t="shared" si="28"/>
        <v/>
      </c>
      <c r="AL353" s="65" t="str">
        <f t="shared" si="29"/>
        <v/>
      </c>
    </row>
    <row r="354" spans="2:38" s="42" customFormat="1" x14ac:dyDescent="0.35">
      <c r="B354" s="55" t="str">
        <f t="shared" si="25"/>
        <v/>
      </c>
      <c r="C354" s="40"/>
      <c r="D354" s="40"/>
      <c r="E354" s="41"/>
      <c r="F354" s="41"/>
      <c r="G354" s="41"/>
      <c r="H354" s="68" t="str">
        <f>IF('E2 — Triagem'!D359="","",'E2 — Triagem'!D359)</f>
        <v/>
      </c>
      <c r="I354" s="71"/>
      <c r="J354" s="41"/>
      <c r="K354" s="41"/>
      <c r="L354" s="71"/>
      <c r="M354" s="71"/>
      <c r="N354" s="71"/>
      <c r="O354" s="71"/>
      <c r="P354" s="41"/>
      <c r="Q354" s="41"/>
      <c r="R354" s="71"/>
      <c r="S354" s="71"/>
      <c r="T354" s="75"/>
      <c r="U354" s="75"/>
      <c r="V354" s="75"/>
      <c r="W354" s="58" t="str">
        <f t="shared" si="26"/>
        <v/>
      </c>
      <c r="X354" s="59" t="str">
        <f t="shared" si="27"/>
        <v/>
      </c>
      <c r="Y354" s="41"/>
      <c r="Z354" s="41"/>
      <c r="AA354" s="41"/>
      <c r="AB354" s="68" t="str">
        <f>IF($B354="","",'Workflow (Tracker)'!L377)</f>
        <v/>
      </c>
      <c r="AC354" s="69" t="str">
        <f>IF($B354="","",'E08 — Estabilização Hypercare'!K359)</f>
        <v/>
      </c>
      <c r="AD354" s="66" t="str">
        <f>IF($B354="","",'E08 — Estabilização Hypercare'!O359)</f>
        <v/>
      </c>
      <c r="AE354" s="66" t="str">
        <f>IF($B354="","",'E08 — Estabilização Hypercare'!Q359)</f>
        <v/>
      </c>
      <c r="AF354" s="66" t="str">
        <f>IF(OR($B354="",'E08 — Estabilização Hypercare'!R359=""),"",'E08 — Estabilização Hypercare'!R359)</f>
        <v/>
      </c>
      <c r="AG354" s="60" t="str">
        <f>IF($B354="","",'E08 — Estabilização Hypercare'!S359)</f>
        <v/>
      </c>
      <c r="AH354" s="61" t="str">
        <f>IF($B354="","",'E08 — Estabilização Hypercare'!T359)</f>
        <v/>
      </c>
      <c r="AI354" s="62" t="str">
        <f>IF($B354="","",'E08 — Estabilização Hypercare'!N359)</f>
        <v/>
      </c>
      <c r="AJ354" s="61" t="str">
        <f>IF(OR($B354="",'E08 — Estabilização Hypercare'!U359=""),"",'E08 — Estabilização Hypercare'!U359)</f>
        <v/>
      </c>
      <c r="AK354" s="60" t="str">
        <f t="shared" si="28"/>
        <v/>
      </c>
      <c r="AL354" s="65" t="str">
        <f t="shared" si="29"/>
        <v/>
      </c>
    </row>
    <row r="355" spans="2:38" s="42" customFormat="1" x14ac:dyDescent="0.35">
      <c r="B355" s="55" t="str">
        <f t="shared" si="25"/>
        <v/>
      </c>
      <c r="C355" s="40"/>
      <c r="D355" s="40"/>
      <c r="E355" s="41"/>
      <c r="F355" s="41"/>
      <c r="G355" s="41"/>
      <c r="H355" s="68" t="str">
        <f>IF('E2 — Triagem'!D360="","",'E2 — Triagem'!D360)</f>
        <v/>
      </c>
      <c r="I355" s="71"/>
      <c r="J355" s="41"/>
      <c r="K355" s="41"/>
      <c r="L355" s="71"/>
      <c r="M355" s="71"/>
      <c r="N355" s="71"/>
      <c r="O355" s="71"/>
      <c r="P355" s="41"/>
      <c r="Q355" s="41"/>
      <c r="R355" s="71"/>
      <c r="S355" s="71"/>
      <c r="T355" s="75"/>
      <c r="U355" s="75"/>
      <c r="V355" s="75"/>
      <c r="W355" s="58" t="str">
        <f t="shared" si="26"/>
        <v/>
      </c>
      <c r="X355" s="59" t="str">
        <f t="shared" si="27"/>
        <v/>
      </c>
      <c r="Y355" s="41"/>
      <c r="Z355" s="41"/>
      <c r="AA355" s="41"/>
      <c r="AB355" s="68" t="str">
        <f>IF($B355="","",'Workflow (Tracker)'!L378)</f>
        <v/>
      </c>
      <c r="AC355" s="69" t="str">
        <f>IF($B355="","",'E08 — Estabilização Hypercare'!K360)</f>
        <v/>
      </c>
      <c r="AD355" s="66" t="str">
        <f>IF($B355="","",'E08 — Estabilização Hypercare'!O360)</f>
        <v/>
      </c>
      <c r="AE355" s="66" t="str">
        <f>IF($B355="","",'E08 — Estabilização Hypercare'!Q360)</f>
        <v/>
      </c>
      <c r="AF355" s="66" t="str">
        <f>IF(OR($B355="",'E08 — Estabilização Hypercare'!R360=""),"",'E08 — Estabilização Hypercare'!R360)</f>
        <v/>
      </c>
      <c r="AG355" s="60" t="str">
        <f>IF($B355="","",'E08 — Estabilização Hypercare'!S360)</f>
        <v/>
      </c>
      <c r="AH355" s="61" t="str">
        <f>IF($B355="","",'E08 — Estabilização Hypercare'!T360)</f>
        <v/>
      </c>
      <c r="AI355" s="62" t="str">
        <f>IF($B355="","",'E08 — Estabilização Hypercare'!N360)</f>
        <v/>
      </c>
      <c r="AJ355" s="61" t="str">
        <f>IF(OR($B355="",'E08 — Estabilização Hypercare'!U360=""),"",'E08 — Estabilização Hypercare'!U360)</f>
        <v/>
      </c>
      <c r="AK355" s="60" t="str">
        <f t="shared" si="28"/>
        <v/>
      </c>
      <c r="AL355" s="65" t="str">
        <f t="shared" si="29"/>
        <v/>
      </c>
    </row>
    <row r="356" spans="2:38" s="42" customFormat="1" x14ac:dyDescent="0.35">
      <c r="B356" s="55" t="str">
        <f t="shared" si="25"/>
        <v/>
      </c>
      <c r="C356" s="40"/>
      <c r="D356" s="40"/>
      <c r="E356" s="41"/>
      <c r="F356" s="41"/>
      <c r="G356" s="41"/>
      <c r="H356" s="68" t="str">
        <f>IF('E2 — Triagem'!D361="","",'E2 — Triagem'!D361)</f>
        <v/>
      </c>
      <c r="I356" s="71"/>
      <c r="J356" s="41"/>
      <c r="K356" s="41"/>
      <c r="L356" s="71"/>
      <c r="M356" s="71"/>
      <c r="N356" s="71"/>
      <c r="O356" s="71"/>
      <c r="P356" s="41"/>
      <c r="Q356" s="41"/>
      <c r="R356" s="71"/>
      <c r="S356" s="71"/>
      <c r="T356" s="75"/>
      <c r="U356" s="75"/>
      <c r="V356" s="75"/>
      <c r="W356" s="58" t="str">
        <f t="shared" si="26"/>
        <v/>
      </c>
      <c r="X356" s="59" t="str">
        <f t="shared" si="27"/>
        <v/>
      </c>
      <c r="Y356" s="41"/>
      <c r="Z356" s="41"/>
      <c r="AA356" s="41"/>
      <c r="AB356" s="68" t="str">
        <f>IF($B356="","",'Workflow (Tracker)'!L379)</f>
        <v/>
      </c>
      <c r="AC356" s="69" t="str">
        <f>IF($B356="","",'E08 — Estabilização Hypercare'!K361)</f>
        <v/>
      </c>
      <c r="AD356" s="66" t="str">
        <f>IF($B356="","",'E08 — Estabilização Hypercare'!O361)</f>
        <v/>
      </c>
      <c r="AE356" s="66" t="str">
        <f>IF($B356="","",'E08 — Estabilização Hypercare'!Q361)</f>
        <v/>
      </c>
      <c r="AF356" s="66" t="str">
        <f>IF(OR($B356="",'E08 — Estabilização Hypercare'!R361=""),"",'E08 — Estabilização Hypercare'!R361)</f>
        <v/>
      </c>
      <c r="AG356" s="60" t="str">
        <f>IF($B356="","",'E08 — Estabilização Hypercare'!S361)</f>
        <v/>
      </c>
      <c r="AH356" s="61" t="str">
        <f>IF($B356="","",'E08 — Estabilização Hypercare'!T361)</f>
        <v/>
      </c>
      <c r="AI356" s="62" t="str">
        <f>IF($B356="","",'E08 — Estabilização Hypercare'!N361)</f>
        <v/>
      </c>
      <c r="AJ356" s="61" t="str">
        <f>IF(OR($B356="",'E08 — Estabilização Hypercare'!U361=""),"",'E08 — Estabilização Hypercare'!U361)</f>
        <v/>
      </c>
      <c r="AK356" s="60" t="str">
        <f t="shared" si="28"/>
        <v/>
      </c>
      <c r="AL356" s="65" t="str">
        <f t="shared" si="29"/>
        <v/>
      </c>
    </row>
    <row r="357" spans="2:38" s="42" customFormat="1" x14ac:dyDescent="0.35">
      <c r="B357" s="55" t="str">
        <f t="shared" si="25"/>
        <v/>
      </c>
      <c r="C357" s="40"/>
      <c r="D357" s="40"/>
      <c r="E357" s="41"/>
      <c r="F357" s="41"/>
      <c r="G357" s="41"/>
      <c r="H357" s="68" t="str">
        <f>IF('E2 — Triagem'!D362="","",'E2 — Triagem'!D362)</f>
        <v/>
      </c>
      <c r="I357" s="71"/>
      <c r="J357" s="41"/>
      <c r="K357" s="41"/>
      <c r="L357" s="71"/>
      <c r="M357" s="71"/>
      <c r="N357" s="71"/>
      <c r="O357" s="71"/>
      <c r="P357" s="41"/>
      <c r="Q357" s="41"/>
      <c r="R357" s="71"/>
      <c r="S357" s="71"/>
      <c r="T357" s="75"/>
      <c r="U357" s="75"/>
      <c r="V357" s="75"/>
      <c r="W357" s="58" t="str">
        <f t="shared" si="26"/>
        <v/>
      </c>
      <c r="X357" s="59" t="str">
        <f t="shared" si="27"/>
        <v/>
      </c>
      <c r="Y357" s="41"/>
      <c r="Z357" s="41"/>
      <c r="AA357" s="41"/>
      <c r="AB357" s="68" t="str">
        <f>IF($B357="","",'Workflow (Tracker)'!L380)</f>
        <v/>
      </c>
      <c r="AC357" s="69" t="str">
        <f>IF($B357="","",'E08 — Estabilização Hypercare'!K362)</f>
        <v/>
      </c>
      <c r="AD357" s="66" t="str">
        <f>IF($B357="","",'E08 — Estabilização Hypercare'!O362)</f>
        <v/>
      </c>
      <c r="AE357" s="66" t="str">
        <f>IF($B357="","",'E08 — Estabilização Hypercare'!Q362)</f>
        <v/>
      </c>
      <c r="AF357" s="66" t="str">
        <f>IF(OR($B357="",'E08 — Estabilização Hypercare'!R362=""),"",'E08 — Estabilização Hypercare'!R362)</f>
        <v/>
      </c>
      <c r="AG357" s="60" t="str">
        <f>IF($B357="","",'E08 — Estabilização Hypercare'!S362)</f>
        <v/>
      </c>
      <c r="AH357" s="61" t="str">
        <f>IF($B357="","",'E08 — Estabilização Hypercare'!T362)</f>
        <v/>
      </c>
      <c r="AI357" s="62" t="str">
        <f>IF($B357="","",'E08 — Estabilização Hypercare'!N362)</f>
        <v/>
      </c>
      <c r="AJ357" s="61" t="str">
        <f>IF(OR($B357="",'E08 — Estabilização Hypercare'!U362=""),"",'E08 — Estabilização Hypercare'!U362)</f>
        <v/>
      </c>
      <c r="AK357" s="60" t="str">
        <f t="shared" si="28"/>
        <v/>
      </c>
      <c r="AL357" s="65" t="str">
        <f t="shared" si="29"/>
        <v/>
      </c>
    </row>
    <row r="358" spans="2:38" s="42" customFormat="1" x14ac:dyDescent="0.35">
      <c r="B358" s="55" t="str">
        <f t="shared" si="25"/>
        <v/>
      </c>
      <c r="C358" s="40"/>
      <c r="D358" s="40"/>
      <c r="E358" s="41"/>
      <c r="F358" s="41"/>
      <c r="G358" s="41"/>
      <c r="H358" s="68" t="str">
        <f>IF('E2 — Triagem'!D363="","",'E2 — Triagem'!D363)</f>
        <v/>
      </c>
      <c r="I358" s="71"/>
      <c r="J358" s="41"/>
      <c r="K358" s="41"/>
      <c r="L358" s="71"/>
      <c r="M358" s="71"/>
      <c r="N358" s="71"/>
      <c r="O358" s="71"/>
      <c r="P358" s="41"/>
      <c r="Q358" s="41"/>
      <c r="R358" s="71"/>
      <c r="S358" s="71"/>
      <c r="T358" s="75"/>
      <c r="U358" s="75"/>
      <c r="V358" s="75"/>
      <c r="W358" s="58" t="str">
        <f t="shared" si="26"/>
        <v/>
      </c>
      <c r="X358" s="59" t="str">
        <f t="shared" si="27"/>
        <v/>
      </c>
      <c r="Y358" s="41"/>
      <c r="Z358" s="41"/>
      <c r="AA358" s="41"/>
      <c r="AB358" s="68" t="str">
        <f>IF($B358="","",'Workflow (Tracker)'!L381)</f>
        <v/>
      </c>
      <c r="AC358" s="69" t="str">
        <f>IF($B358="","",'E08 — Estabilização Hypercare'!K363)</f>
        <v/>
      </c>
      <c r="AD358" s="66" t="str">
        <f>IF($B358="","",'E08 — Estabilização Hypercare'!O363)</f>
        <v/>
      </c>
      <c r="AE358" s="66" t="str">
        <f>IF($B358="","",'E08 — Estabilização Hypercare'!Q363)</f>
        <v/>
      </c>
      <c r="AF358" s="66" t="str">
        <f>IF(OR($B358="",'E08 — Estabilização Hypercare'!R363=""),"",'E08 — Estabilização Hypercare'!R363)</f>
        <v/>
      </c>
      <c r="AG358" s="60" t="str">
        <f>IF($B358="","",'E08 — Estabilização Hypercare'!S363)</f>
        <v/>
      </c>
      <c r="AH358" s="61" t="str">
        <f>IF($B358="","",'E08 — Estabilização Hypercare'!T363)</f>
        <v/>
      </c>
      <c r="AI358" s="62" t="str">
        <f>IF($B358="","",'E08 — Estabilização Hypercare'!N363)</f>
        <v/>
      </c>
      <c r="AJ358" s="61" t="str">
        <f>IF(OR($B358="",'E08 — Estabilização Hypercare'!U363=""),"",'E08 — Estabilização Hypercare'!U363)</f>
        <v/>
      </c>
      <c r="AK358" s="60" t="str">
        <f t="shared" si="28"/>
        <v/>
      </c>
      <c r="AL358" s="65" t="str">
        <f t="shared" si="29"/>
        <v/>
      </c>
    </row>
    <row r="359" spans="2:38" s="42" customFormat="1" x14ac:dyDescent="0.35">
      <c r="B359" s="55" t="str">
        <f t="shared" si="25"/>
        <v/>
      </c>
      <c r="C359" s="40"/>
      <c r="D359" s="40"/>
      <c r="E359" s="41"/>
      <c r="F359" s="41"/>
      <c r="G359" s="41"/>
      <c r="H359" s="68" t="str">
        <f>IF('E2 — Triagem'!D364="","",'E2 — Triagem'!D364)</f>
        <v/>
      </c>
      <c r="I359" s="71"/>
      <c r="J359" s="41"/>
      <c r="K359" s="41"/>
      <c r="L359" s="71"/>
      <c r="M359" s="71"/>
      <c r="N359" s="71"/>
      <c r="O359" s="71"/>
      <c r="P359" s="41"/>
      <c r="Q359" s="41"/>
      <c r="R359" s="71"/>
      <c r="S359" s="71"/>
      <c r="T359" s="75"/>
      <c r="U359" s="75"/>
      <c r="V359" s="75"/>
      <c r="W359" s="58" t="str">
        <f t="shared" si="26"/>
        <v/>
      </c>
      <c r="X359" s="59" t="str">
        <f t="shared" si="27"/>
        <v/>
      </c>
      <c r="Y359" s="41"/>
      <c r="Z359" s="41"/>
      <c r="AA359" s="41"/>
      <c r="AB359" s="68" t="str">
        <f>IF($B359="","",'Workflow (Tracker)'!L382)</f>
        <v/>
      </c>
      <c r="AC359" s="69" t="str">
        <f>IF($B359="","",'E08 — Estabilização Hypercare'!K364)</f>
        <v/>
      </c>
      <c r="AD359" s="66" t="str">
        <f>IF($B359="","",'E08 — Estabilização Hypercare'!O364)</f>
        <v/>
      </c>
      <c r="AE359" s="66" t="str">
        <f>IF($B359="","",'E08 — Estabilização Hypercare'!Q364)</f>
        <v/>
      </c>
      <c r="AF359" s="66" t="str">
        <f>IF(OR($B359="",'E08 — Estabilização Hypercare'!R364=""),"",'E08 — Estabilização Hypercare'!R364)</f>
        <v/>
      </c>
      <c r="AG359" s="60" t="str">
        <f>IF($B359="","",'E08 — Estabilização Hypercare'!S364)</f>
        <v/>
      </c>
      <c r="AH359" s="61" t="str">
        <f>IF($B359="","",'E08 — Estabilização Hypercare'!T364)</f>
        <v/>
      </c>
      <c r="AI359" s="62" t="str">
        <f>IF($B359="","",'E08 — Estabilização Hypercare'!N364)</f>
        <v/>
      </c>
      <c r="AJ359" s="61" t="str">
        <f>IF(OR($B359="",'E08 — Estabilização Hypercare'!U364=""),"",'E08 — Estabilização Hypercare'!U364)</f>
        <v/>
      </c>
      <c r="AK359" s="60" t="str">
        <f t="shared" si="28"/>
        <v/>
      </c>
      <c r="AL359" s="65" t="str">
        <f t="shared" si="29"/>
        <v/>
      </c>
    </row>
    <row r="360" spans="2:38" s="42" customFormat="1" x14ac:dyDescent="0.35">
      <c r="B360" s="55" t="str">
        <f t="shared" si="25"/>
        <v/>
      </c>
      <c r="C360" s="40"/>
      <c r="D360" s="40"/>
      <c r="E360" s="41"/>
      <c r="F360" s="41"/>
      <c r="G360" s="41"/>
      <c r="H360" s="68" t="str">
        <f>IF('E2 — Triagem'!D365="","",'E2 — Triagem'!D365)</f>
        <v/>
      </c>
      <c r="I360" s="71"/>
      <c r="J360" s="41"/>
      <c r="K360" s="41"/>
      <c r="L360" s="71"/>
      <c r="M360" s="71"/>
      <c r="N360" s="71"/>
      <c r="O360" s="71"/>
      <c r="P360" s="41"/>
      <c r="Q360" s="41"/>
      <c r="R360" s="71"/>
      <c r="S360" s="71"/>
      <c r="T360" s="75"/>
      <c r="U360" s="75"/>
      <c r="V360" s="75"/>
      <c r="W360" s="58" t="str">
        <f t="shared" si="26"/>
        <v/>
      </c>
      <c r="X360" s="59" t="str">
        <f t="shared" si="27"/>
        <v/>
      </c>
      <c r="Y360" s="41"/>
      <c r="Z360" s="41"/>
      <c r="AA360" s="41"/>
      <c r="AB360" s="68" t="str">
        <f>IF($B360="","",'Workflow (Tracker)'!L383)</f>
        <v/>
      </c>
      <c r="AC360" s="69" t="str">
        <f>IF($B360="","",'E08 — Estabilização Hypercare'!K365)</f>
        <v/>
      </c>
      <c r="AD360" s="66" t="str">
        <f>IF($B360="","",'E08 — Estabilização Hypercare'!O365)</f>
        <v/>
      </c>
      <c r="AE360" s="66" t="str">
        <f>IF($B360="","",'E08 — Estabilização Hypercare'!Q365)</f>
        <v/>
      </c>
      <c r="AF360" s="66" t="str">
        <f>IF(OR($B360="",'E08 — Estabilização Hypercare'!R365=""),"",'E08 — Estabilização Hypercare'!R365)</f>
        <v/>
      </c>
      <c r="AG360" s="60" t="str">
        <f>IF($B360="","",'E08 — Estabilização Hypercare'!S365)</f>
        <v/>
      </c>
      <c r="AH360" s="61" t="str">
        <f>IF($B360="","",'E08 — Estabilização Hypercare'!T365)</f>
        <v/>
      </c>
      <c r="AI360" s="62" t="str">
        <f>IF($B360="","",'E08 — Estabilização Hypercare'!N365)</f>
        <v/>
      </c>
      <c r="AJ360" s="61" t="str">
        <f>IF(OR($B360="",'E08 — Estabilização Hypercare'!U365=""),"",'E08 — Estabilização Hypercare'!U365)</f>
        <v/>
      </c>
      <c r="AK360" s="60" t="str">
        <f t="shared" si="28"/>
        <v/>
      </c>
      <c r="AL360" s="65" t="str">
        <f t="shared" si="29"/>
        <v/>
      </c>
    </row>
    <row r="361" spans="2:38" s="42" customFormat="1" x14ac:dyDescent="0.35">
      <c r="B361" s="55" t="str">
        <f t="shared" si="25"/>
        <v/>
      </c>
      <c r="C361" s="40"/>
      <c r="D361" s="40"/>
      <c r="E361" s="41"/>
      <c r="F361" s="41"/>
      <c r="G361" s="41"/>
      <c r="H361" s="68" t="str">
        <f>IF('E2 — Triagem'!D366="","",'E2 — Triagem'!D366)</f>
        <v/>
      </c>
      <c r="I361" s="71"/>
      <c r="J361" s="41"/>
      <c r="K361" s="41"/>
      <c r="L361" s="71"/>
      <c r="M361" s="71"/>
      <c r="N361" s="71"/>
      <c r="O361" s="71"/>
      <c r="P361" s="41"/>
      <c r="Q361" s="41"/>
      <c r="R361" s="71"/>
      <c r="S361" s="71"/>
      <c r="T361" s="75"/>
      <c r="U361" s="75"/>
      <c r="V361" s="75"/>
      <c r="W361" s="58" t="str">
        <f t="shared" si="26"/>
        <v/>
      </c>
      <c r="X361" s="59" t="str">
        <f t="shared" si="27"/>
        <v/>
      </c>
      <c r="Y361" s="41"/>
      <c r="Z361" s="41"/>
      <c r="AA361" s="41"/>
      <c r="AB361" s="68" t="str">
        <f>IF($B361="","",'Workflow (Tracker)'!L384)</f>
        <v/>
      </c>
      <c r="AC361" s="69" t="str">
        <f>IF($B361="","",'E08 — Estabilização Hypercare'!K366)</f>
        <v/>
      </c>
      <c r="AD361" s="66" t="str">
        <f>IF($B361="","",'E08 — Estabilização Hypercare'!O366)</f>
        <v/>
      </c>
      <c r="AE361" s="66" t="str">
        <f>IF($B361="","",'E08 — Estabilização Hypercare'!Q366)</f>
        <v/>
      </c>
      <c r="AF361" s="66" t="str">
        <f>IF(OR($B361="",'E08 — Estabilização Hypercare'!R366=""),"",'E08 — Estabilização Hypercare'!R366)</f>
        <v/>
      </c>
      <c r="AG361" s="60" t="str">
        <f>IF($B361="","",'E08 — Estabilização Hypercare'!S366)</f>
        <v/>
      </c>
      <c r="AH361" s="61" t="str">
        <f>IF($B361="","",'E08 — Estabilização Hypercare'!T366)</f>
        <v/>
      </c>
      <c r="AI361" s="62" t="str">
        <f>IF($B361="","",'E08 — Estabilização Hypercare'!N366)</f>
        <v/>
      </c>
      <c r="AJ361" s="61" t="str">
        <f>IF(OR($B361="",'E08 — Estabilização Hypercare'!U366=""),"",'E08 — Estabilização Hypercare'!U366)</f>
        <v/>
      </c>
      <c r="AK361" s="60" t="str">
        <f t="shared" si="28"/>
        <v/>
      </c>
      <c r="AL361" s="65" t="str">
        <f t="shared" si="29"/>
        <v/>
      </c>
    </row>
    <row r="362" spans="2:38" s="42" customFormat="1" x14ac:dyDescent="0.35">
      <c r="B362" s="55" t="str">
        <f t="shared" si="25"/>
        <v/>
      </c>
      <c r="C362" s="40"/>
      <c r="D362" s="40"/>
      <c r="E362" s="41"/>
      <c r="F362" s="41"/>
      <c r="G362" s="41"/>
      <c r="H362" s="68" t="str">
        <f>IF('E2 — Triagem'!D367="","",'E2 — Triagem'!D367)</f>
        <v/>
      </c>
      <c r="I362" s="71"/>
      <c r="J362" s="41"/>
      <c r="K362" s="41"/>
      <c r="L362" s="71"/>
      <c r="M362" s="71"/>
      <c r="N362" s="71"/>
      <c r="O362" s="71"/>
      <c r="P362" s="41"/>
      <c r="Q362" s="41"/>
      <c r="R362" s="71"/>
      <c r="S362" s="71"/>
      <c r="T362" s="75"/>
      <c r="U362" s="75"/>
      <c r="V362" s="75"/>
      <c r="W362" s="58" t="str">
        <f t="shared" si="26"/>
        <v/>
      </c>
      <c r="X362" s="59" t="str">
        <f t="shared" si="27"/>
        <v/>
      </c>
      <c r="Y362" s="41"/>
      <c r="Z362" s="41"/>
      <c r="AA362" s="41"/>
      <c r="AB362" s="68" t="str">
        <f>IF($B362="","",'Workflow (Tracker)'!L385)</f>
        <v/>
      </c>
      <c r="AC362" s="69" t="str">
        <f>IF($B362="","",'E08 — Estabilização Hypercare'!K367)</f>
        <v/>
      </c>
      <c r="AD362" s="66" t="str">
        <f>IF($B362="","",'E08 — Estabilização Hypercare'!O367)</f>
        <v/>
      </c>
      <c r="AE362" s="66" t="str">
        <f>IF($B362="","",'E08 — Estabilização Hypercare'!Q367)</f>
        <v/>
      </c>
      <c r="AF362" s="66" t="str">
        <f>IF(OR($B362="",'E08 — Estabilização Hypercare'!R367=""),"",'E08 — Estabilização Hypercare'!R367)</f>
        <v/>
      </c>
      <c r="AG362" s="60" t="str">
        <f>IF($B362="","",'E08 — Estabilização Hypercare'!S367)</f>
        <v/>
      </c>
      <c r="AH362" s="61" t="str">
        <f>IF($B362="","",'E08 — Estabilização Hypercare'!T367)</f>
        <v/>
      </c>
      <c r="AI362" s="62" t="str">
        <f>IF($B362="","",'E08 — Estabilização Hypercare'!N367)</f>
        <v/>
      </c>
      <c r="AJ362" s="61" t="str">
        <f>IF(OR($B362="",'E08 — Estabilização Hypercare'!U367=""),"",'E08 — Estabilização Hypercare'!U367)</f>
        <v/>
      </c>
      <c r="AK362" s="60" t="str">
        <f t="shared" si="28"/>
        <v/>
      </c>
      <c r="AL362" s="65" t="str">
        <f t="shared" si="29"/>
        <v/>
      </c>
    </row>
    <row r="363" spans="2:38" s="42" customFormat="1" x14ac:dyDescent="0.35">
      <c r="B363" s="55" t="str">
        <f t="shared" si="25"/>
        <v/>
      </c>
      <c r="C363" s="40"/>
      <c r="D363" s="40"/>
      <c r="E363" s="41"/>
      <c r="F363" s="41"/>
      <c r="G363" s="41"/>
      <c r="H363" s="68" t="str">
        <f>IF('E2 — Triagem'!D368="","",'E2 — Triagem'!D368)</f>
        <v/>
      </c>
      <c r="I363" s="71"/>
      <c r="J363" s="41"/>
      <c r="K363" s="41"/>
      <c r="L363" s="71"/>
      <c r="M363" s="71"/>
      <c r="N363" s="71"/>
      <c r="O363" s="71"/>
      <c r="P363" s="41"/>
      <c r="Q363" s="41"/>
      <c r="R363" s="71"/>
      <c r="S363" s="71"/>
      <c r="T363" s="75"/>
      <c r="U363" s="75"/>
      <c r="V363" s="75"/>
      <c r="W363" s="58" t="str">
        <f t="shared" si="26"/>
        <v/>
      </c>
      <c r="X363" s="59" t="str">
        <f t="shared" si="27"/>
        <v/>
      </c>
      <c r="Y363" s="41"/>
      <c r="Z363" s="41"/>
      <c r="AA363" s="41"/>
      <c r="AB363" s="68" t="str">
        <f>IF($B363="","",'Workflow (Tracker)'!L386)</f>
        <v/>
      </c>
      <c r="AC363" s="69" t="str">
        <f>IF($B363="","",'E08 — Estabilização Hypercare'!K368)</f>
        <v/>
      </c>
      <c r="AD363" s="66" t="str">
        <f>IF($B363="","",'E08 — Estabilização Hypercare'!O368)</f>
        <v/>
      </c>
      <c r="AE363" s="66" t="str">
        <f>IF($B363="","",'E08 — Estabilização Hypercare'!Q368)</f>
        <v/>
      </c>
      <c r="AF363" s="66" t="str">
        <f>IF(OR($B363="",'E08 — Estabilização Hypercare'!R368=""),"",'E08 — Estabilização Hypercare'!R368)</f>
        <v/>
      </c>
      <c r="AG363" s="60" t="str">
        <f>IF($B363="","",'E08 — Estabilização Hypercare'!S368)</f>
        <v/>
      </c>
      <c r="AH363" s="61" t="str">
        <f>IF($B363="","",'E08 — Estabilização Hypercare'!T368)</f>
        <v/>
      </c>
      <c r="AI363" s="62" t="str">
        <f>IF($B363="","",'E08 — Estabilização Hypercare'!N368)</f>
        <v/>
      </c>
      <c r="AJ363" s="61" t="str">
        <f>IF(OR($B363="",'E08 — Estabilização Hypercare'!U368=""),"",'E08 — Estabilização Hypercare'!U368)</f>
        <v/>
      </c>
      <c r="AK363" s="60" t="str">
        <f t="shared" si="28"/>
        <v/>
      </c>
      <c r="AL363" s="65" t="str">
        <f t="shared" si="29"/>
        <v/>
      </c>
    </row>
    <row r="364" spans="2:38" s="42" customFormat="1" x14ac:dyDescent="0.35">
      <c r="B364" s="55" t="str">
        <f t="shared" si="25"/>
        <v/>
      </c>
      <c r="C364" s="40"/>
      <c r="D364" s="40"/>
      <c r="E364" s="41"/>
      <c r="F364" s="41"/>
      <c r="G364" s="41"/>
      <c r="H364" s="68" t="str">
        <f>IF('E2 — Triagem'!D369="","",'E2 — Triagem'!D369)</f>
        <v/>
      </c>
      <c r="I364" s="71"/>
      <c r="J364" s="41"/>
      <c r="K364" s="41"/>
      <c r="L364" s="71"/>
      <c r="M364" s="71"/>
      <c r="N364" s="71"/>
      <c r="O364" s="71"/>
      <c r="P364" s="41"/>
      <c r="Q364" s="41"/>
      <c r="R364" s="71"/>
      <c r="S364" s="71"/>
      <c r="T364" s="75"/>
      <c r="U364" s="75"/>
      <c r="V364" s="75"/>
      <c r="W364" s="58" t="str">
        <f t="shared" si="26"/>
        <v/>
      </c>
      <c r="X364" s="59" t="str">
        <f t="shared" si="27"/>
        <v/>
      </c>
      <c r="Y364" s="41"/>
      <c r="Z364" s="41"/>
      <c r="AA364" s="41"/>
      <c r="AB364" s="68" t="str">
        <f>IF($B364="","",'Workflow (Tracker)'!L387)</f>
        <v/>
      </c>
      <c r="AC364" s="69" t="str">
        <f>IF($B364="","",'E08 — Estabilização Hypercare'!K369)</f>
        <v/>
      </c>
      <c r="AD364" s="66" t="str">
        <f>IF($B364="","",'E08 — Estabilização Hypercare'!O369)</f>
        <v/>
      </c>
      <c r="AE364" s="66" t="str">
        <f>IF($B364="","",'E08 — Estabilização Hypercare'!Q369)</f>
        <v/>
      </c>
      <c r="AF364" s="66" t="str">
        <f>IF(OR($B364="",'E08 — Estabilização Hypercare'!R369=""),"",'E08 — Estabilização Hypercare'!R369)</f>
        <v/>
      </c>
      <c r="AG364" s="60" t="str">
        <f>IF($B364="","",'E08 — Estabilização Hypercare'!S369)</f>
        <v/>
      </c>
      <c r="AH364" s="61" t="str">
        <f>IF($B364="","",'E08 — Estabilização Hypercare'!T369)</f>
        <v/>
      </c>
      <c r="AI364" s="62" t="str">
        <f>IF($B364="","",'E08 — Estabilização Hypercare'!N369)</f>
        <v/>
      </c>
      <c r="AJ364" s="61" t="str">
        <f>IF(OR($B364="",'E08 — Estabilização Hypercare'!U369=""),"",'E08 — Estabilização Hypercare'!U369)</f>
        <v/>
      </c>
      <c r="AK364" s="60" t="str">
        <f t="shared" si="28"/>
        <v/>
      </c>
      <c r="AL364" s="65" t="str">
        <f t="shared" si="29"/>
        <v/>
      </c>
    </row>
    <row r="365" spans="2:38" s="42" customFormat="1" x14ac:dyDescent="0.35">
      <c r="B365" s="55" t="str">
        <f t="shared" si="25"/>
        <v/>
      </c>
      <c r="C365" s="40"/>
      <c r="D365" s="40"/>
      <c r="E365" s="41"/>
      <c r="F365" s="41"/>
      <c r="G365" s="41"/>
      <c r="H365" s="68" t="str">
        <f>IF('E2 — Triagem'!D370="","",'E2 — Triagem'!D370)</f>
        <v/>
      </c>
      <c r="I365" s="71"/>
      <c r="J365" s="41"/>
      <c r="K365" s="41"/>
      <c r="L365" s="71"/>
      <c r="M365" s="71"/>
      <c r="N365" s="71"/>
      <c r="O365" s="71"/>
      <c r="P365" s="41"/>
      <c r="Q365" s="41"/>
      <c r="R365" s="71"/>
      <c r="S365" s="71"/>
      <c r="T365" s="75"/>
      <c r="U365" s="75"/>
      <c r="V365" s="75"/>
      <c r="W365" s="58" t="str">
        <f t="shared" si="26"/>
        <v/>
      </c>
      <c r="X365" s="59" t="str">
        <f t="shared" si="27"/>
        <v/>
      </c>
      <c r="Y365" s="41"/>
      <c r="Z365" s="41"/>
      <c r="AA365" s="41"/>
      <c r="AB365" s="68" t="str">
        <f>IF($B365="","",'Workflow (Tracker)'!L388)</f>
        <v/>
      </c>
      <c r="AC365" s="69" t="str">
        <f>IF($B365="","",'E08 — Estabilização Hypercare'!K370)</f>
        <v/>
      </c>
      <c r="AD365" s="66" t="str">
        <f>IF($B365="","",'E08 — Estabilização Hypercare'!O370)</f>
        <v/>
      </c>
      <c r="AE365" s="66" t="str">
        <f>IF($B365="","",'E08 — Estabilização Hypercare'!Q370)</f>
        <v/>
      </c>
      <c r="AF365" s="66" t="str">
        <f>IF(OR($B365="",'E08 — Estabilização Hypercare'!R370=""),"",'E08 — Estabilização Hypercare'!R370)</f>
        <v/>
      </c>
      <c r="AG365" s="60" t="str">
        <f>IF($B365="","",'E08 — Estabilização Hypercare'!S370)</f>
        <v/>
      </c>
      <c r="AH365" s="61" t="str">
        <f>IF($B365="","",'E08 — Estabilização Hypercare'!T370)</f>
        <v/>
      </c>
      <c r="AI365" s="62" t="str">
        <f>IF($B365="","",'E08 — Estabilização Hypercare'!N370)</f>
        <v/>
      </c>
      <c r="AJ365" s="61" t="str">
        <f>IF(OR($B365="",'E08 — Estabilização Hypercare'!U370=""),"",'E08 — Estabilização Hypercare'!U370)</f>
        <v/>
      </c>
      <c r="AK365" s="60" t="str">
        <f t="shared" si="28"/>
        <v/>
      </c>
      <c r="AL365" s="65" t="str">
        <f t="shared" si="29"/>
        <v/>
      </c>
    </row>
    <row r="366" spans="2:38" s="42" customFormat="1" x14ac:dyDescent="0.35">
      <c r="B366" s="55" t="str">
        <f t="shared" si="25"/>
        <v/>
      </c>
      <c r="C366" s="40"/>
      <c r="D366" s="40"/>
      <c r="E366" s="41"/>
      <c r="F366" s="41"/>
      <c r="G366" s="41"/>
      <c r="H366" s="68" t="str">
        <f>IF('E2 — Triagem'!D371="","",'E2 — Triagem'!D371)</f>
        <v/>
      </c>
      <c r="I366" s="71"/>
      <c r="J366" s="41"/>
      <c r="K366" s="41"/>
      <c r="L366" s="71"/>
      <c r="M366" s="71"/>
      <c r="N366" s="71"/>
      <c r="O366" s="71"/>
      <c r="P366" s="41"/>
      <c r="Q366" s="41"/>
      <c r="R366" s="71"/>
      <c r="S366" s="71"/>
      <c r="T366" s="75"/>
      <c r="U366" s="75"/>
      <c r="V366" s="75"/>
      <c r="W366" s="58" t="str">
        <f t="shared" si="26"/>
        <v/>
      </c>
      <c r="X366" s="59" t="str">
        <f t="shared" si="27"/>
        <v/>
      </c>
      <c r="Y366" s="41"/>
      <c r="Z366" s="41"/>
      <c r="AA366" s="41"/>
      <c r="AB366" s="68" t="str">
        <f>IF($B366="","",'Workflow (Tracker)'!L389)</f>
        <v/>
      </c>
      <c r="AC366" s="69" t="str">
        <f>IF($B366="","",'E08 — Estabilização Hypercare'!K371)</f>
        <v/>
      </c>
      <c r="AD366" s="66" t="str">
        <f>IF($B366="","",'E08 — Estabilização Hypercare'!O371)</f>
        <v/>
      </c>
      <c r="AE366" s="66" t="str">
        <f>IF($B366="","",'E08 — Estabilização Hypercare'!Q371)</f>
        <v/>
      </c>
      <c r="AF366" s="66" t="str">
        <f>IF(OR($B366="",'E08 — Estabilização Hypercare'!R371=""),"",'E08 — Estabilização Hypercare'!R371)</f>
        <v/>
      </c>
      <c r="AG366" s="60" t="str">
        <f>IF($B366="","",'E08 — Estabilização Hypercare'!S371)</f>
        <v/>
      </c>
      <c r="AH366" s="61" t="str">
        <f>IF($B366="","",'E08 — Estabilização Hypercare'!T371)</f>
        <v/>
      </c>
      <c r="AI366" s="62" t="str">
        <f>IF($B366="","",'E08 — Estabilização Hypercare'!N371)</f>
        <v/>
      </c>
      <c r="AJ366" s="61" t="str">
        <f>IF(OR($B366="",'E08 — Estabilização Hypercare'!U371=""),"",'E08 — Estabilização Hypercare'!U371)</f>
        <v/>
      </c>
      <c r="AK366" s="60" t="str">
        <f t="shared" si="28"/>
        <v/>
      </c>
      <c r="AL366" s="65" t="str">
        <f t="shared" si="29"/>
        <v/>
      </c>
    </row>
    <row r="367" spans="2:38" s="42" customFormat="1" x14ac:dyDescent="0.35">
      <c r="B367" s="55" t="str">
        <f t="shared" si="25"/>
        <v/>
      </c>
      <c r="C367" s="40"/>
      <c r="D367" s="40"/>
      <c r="E367" s="41"/>
      <c r="F367" s="41"/>
      <c r="G367" s="41"/>
      <c r="H367" s="68" t="str">
        <f>IF('E2 — Triagem'!D372="","",'E2 — Triagem'!D372)</f>
        <v/>
      </c>
      <c r="I367" s="71"/>
      <c r="J367" s="41"/>
      <c r="K367" s="41"/>
      <c r="L367" s="71"/>
      <c r="M367" s="71"/>
      <c r="N367" s="71"/>
      <c r="O367" s="71"/>
      <c r="P367" s="41"/>
      <c r="Q367" s="41"/>
      <c r="R367" s="71"/>
      <c r="S367" s="71"/>
      <c r="T367" s="75"/>
      <c r="U367" s="75"/>
      <c r="V367" s="75"/>
      <c r="W367" s="58" t="str">
        <f t="shared" si="26"/>
        <v/>
      </c>
      <c r="X367" s="59" t="str">
        <f t="shared" si="27"/>
        <v/>
      </c>
      <c r="Y367" s="41"/>
      <c r="Z367" s="41"/>
      <c r="AA367" s="41"/>
      <c r="AB367" s="68" t="str">
        <f>IF($B367="","",'Workflow (Tracker)'!L390)</f>
        <v/>
      </c>
      <c r="AC367" s="69" t="str">
        <f>IF($B367="","",'E08 — Estabilização Hypercare'!K372)</f>
        <v/>
      </c>
      <c r="AD367" s="66" t="str">
        <f>IF($B367="","",'E08 — Estabilização Hypercare'!O372)</f>
        <v/>
      </c>
      <c r="AE367" s="66" t="str">
        <f>IF($B367="","",'E08 — Estabilização Hypercare'!Q372)</f>
        <v/>
      </c>
      <c r="AF367" s="66" t="str">
        <f>IF(OR($B367="",'E08 — Estabilização Hypercare'!R372=""),"",'E08 — Estabilização Hypercare'!R372)</f>
        <v/>
      </c>
      <c r="AG367" s="60" t="str">
        <f>IF($B367="","",'E08 — Estabilização Hypercare'!S372)</f>
        <v/>
      </c>
      <c r="AH367" s="61" t="str">
        <f>IF($B367="","",'E08 — Estabilização Hypercare'!T372)</f>
        <v/>
      </c>
      <c r="AI367" s="62" t="str">
        <f>IF($B367="","",'E08 — Estabilização Hypercare'!N372)</f>
        <v/>
      </c>
      <c r="AJ367" s="61" t="str">
        <f>IF(OR($B367="",'E08 — Estabilização Hypercare'!U372=""),"",'E08 — Estabilização Hypercare'!U372)</f>
        <v/>
      </c>
      <c r="AK367" s="60" t="str">
        <f t="shared" si="28"/>
        <v/>
      </c>
      <c r="AL367" s="65" t="str">
        <f t="shared" si="29"/>
        <v/>
      </c>
    </row>
    <row r="368" spans="2:38" s="42" customFormat="1" x14ac:dyDescent="0.35">
      <c r="B368" s="55" t="str">
        <f t="shared" si="25"/>
        <v/>
      </c>
      <c r="C368" s="40"/>
      <c r="D368" s="40"/>
      <c r="E368" s="41"/>
      <c r="F368" s="41"/>
      <c r="G368" s="41"/>
      <c r="H368" s="68" t="str">
        <f>IF('E2 — Triagem'!D373="","",'E2 — Triagem'!D373)</f>
        <v/>
      </c>
      <c r="I368" s="71"/>
      <c r="J368" s="41"/>
      <c r="K368" s="41"/>
      <c r="L368" s="71"/>
      <c r="M368" s="71"/>
      <c r="N368" s="71"/>
      <c r="O368" s="71"/>
      <c r="P368" s="41"/>
      <c r="Q368" s="41"/>
      <c r="R368" s="71"/>
      <c r="S368" s="71"/>
      <c r="T368" s="75"/>
      <c r="U368" s="75"/>
      <c r="V368" s="75"/>
      <c r="W368" s="58" t="str">
        <f t="shared" si="26"/>
        <v/>
      </c>
      <c r="X368" s="59" t="str">
        <f t="shared" si="27"/>
        <v/>
      </c>
      <c r="Y368" s="41"/>
      <c r="Z368" s="41"/>
      <c r="AA368" s="41"/>
      <c r="AB368" s="68" t="str">
        <f>IF($B368="","",'Workflow (Tracker)'!L391)</f>
        <v/>
      </c>
      <c r="AC368" s="69" t="str">
        <f>IF($B368="","",'E08 — Estabilização Hypercare'!K373)</f>
        <v/>
      </c>
      <c r="AD368" s="66" t="str">
        <f>IF($B368="","",'E08 — Estabilização Hypercare'!O373)</f>
        <v/>
      </c>
      <c r="AE368" s="66" t="str">
        <f>IF($B368="","",'E08 — Estabilização Hypercare'!Q373)</f>
        <v/>
      </c>
      <c r="AF368" s="66" t="str">
        <f>IF(OR($B368="",'E08 — Estabilização Hypercare'!R373=""),"",'E08 — Estabilização Hypercare'!R373)</f>
        <v/>
      </c>
      <c r="AG368" s="60" t="str">
        <f>IF($B368="","",'E08 — Estabilização Hypercare'!S373)</f>
        <v/>
      </c>
      <c r="AH368" s="61" t="str">
        <f>IF($B368="","",'E08 — Estabilização Hypercare'!T373)</f>
        <v/>
      </c>
      <c r="AI368" s="62" t="str">
        <f>IF($B368="","",'E08 — Estabilização Hypercare'!N373)</f>
        <v/>
      </c>
      <c r="AJ368" s="61" t="str">
        <f>IF(OR($B368="",'E08 — Estabilização Hypercare'!U373=""),"",'E08 — Estabilização Hypercare'!U373)</f>
        <v/>
      </c>
      <c r="AK368" s="60" t="str">
        <f t="shared" si="28"/>
        <v/>
      </c>
      <c r="AL368" s="65" t="str">
        <f t="shared" si="29"/>
        <v/>
      </c>
    </row>
    <row r="369" spans="2:38" s="42" customFormat="1" x14ac:dyDescent="0.35">
      <c r="B369" s="55" t="str">
        <f t="shared" si="25"/>
        <v/>
      </c>
      <c r="C369" s="40"/>
      <c r="D369" s="40"/>
      <c r="E369" s="41"/>
      <c r="F369" s="41"/>
      <c r="G369" s="41"/>
      <c r="H369" s="68" t="str">
        <f>IF('E2 — Triagem'!D374="","",'E2 — Triagem'!D374)</f>
        <v/>
      </c>
      <c r="I369" s="71"/>
      <c r="J369" s="41"/>
      <c r="K369" s="41"/>
      <c r="L369" s="71"/>
      <c r="M369" s="71"/>
      <c r="N369" s="71"/>
      <c r="O369" s="71"/>
      <c r="P369" s="41"/>
      <c r="Q369" s="41"/>
      <c r="R369" s="71"/>
      <c r="S369" s="71"/>
      <c r="T369" s="75"/>
      <c r="U369" s="75"/>
      <c r="V369" s="75"/>
      <c r="W369" s="58" t="str">
        <f t="shared" si="26"/>
        <v/>
      </c>
      <c r="X369" s="59" t="str">
        <f t="shared" si="27"/>
        <v/>
      </c>
      <c r="Y369" s="41"/>
      <c r="Z369" s="41"/>
      <c r="AA369" s="41"/>
      <c r="AB369" s="68" t="str">
        <f>IF($B369="","",'Workflow (Tracker)'!L392)</f>
        <v/>
      </c>
      <c r="AC369" s="69" t="str">
        <f>IF($B369="","",'E08 — Estabilização Hypercare'!K374)</f>
        <v/>
      </c>
      <c r="AD369" s="66" t="str">
        <f>IF($B369="","",'E08 — Estabilização Hypercare'!O374)</f>
        <v/>
      </c>
      <c r="AE369" s="66" t="str">
        <f>IF($B369="","",'E08 — Estabilização Hypercare'!Q374)</f>
        <v/>
      </c>
      <c r="AF369" s="66" t="str">
        <f>IF(OR($B369="",'E08 — Estabilização Hypercare'!R374=""),"",'E08 — Estabilização Hypercare'!R374)</f>
        <v/>
      </c>
      <c r="AG369" s="60" t="str">
        <f>IF($B369="","",'E08 — Estabilização Hypercare'!S374)</f>
        <v/>
      </c>
      <c r="AH369" s="61" t="str">
        <f>IF($B369="","",'E08 — Estabilização Hypercare'!T374)</f>
        <v/>
      </c>
      <c r="AI369" s="62" t="str">
        <f>IF($B369="","",'E08 — Estabilização Hypercare'!N374)</f>
        <v/>
      </c>
      <c r="AJ369" s="61" t="str">
        <f>IF(OR($B369="",'E08 — Estabilização Hypercare'!U374=""),"",'E08 — Estabilização Hypercare'!U374)</f>
        <v/>
      </c>
      <c r="AK369" s="60" t="str">
        <f t="shared" si="28"/>
        <v/>
      </c>
      <c r="AL369" s="65" t="str">
        <f t="shared" si="29"/>
        <v/>
      </c>
    </row>
    <row r="370" spans="2:38" s="42" customFormat="1" x14ac:dyDescent="0.35">
      <c r="B370" s="55" t="str">
        <f t="shared" si="25"/>
        <v/>
      </c>
      <c r="C370" s="40"/>
      <c r="D370" s="40"/>
      <c r="E370" s="41"/>
      <c r="F370" s="41"/>
      <c r="G370" s="41"/>
      <c r="H370" s="68" t="str">
        <f>IF('E2 — Triagem'!D375="","",'E2 — Triagem'!D375)</f>
        <v/>
      </c>
      <c r="I370" s="71"/>
      <c r="J370" s="41"/>
      <c r="K370" s="41"/>
      <c r="L370" s="71"/>
      <c r="M370" s="71"/>
      <c r="N370" s="71"/>
      <c r="O370" s="71"/>
      <c r="P370" s="41"/>
      <c r="Q370" s="41"/>
      <c r="R370" s="71"/>
      <c r="S370" s="71"/>
      <c r="T370" s="75"/>
      <c r="U370" s="75"/>
      <c r="V370" s="75"/>
      <c r="W370" s="58" t="str">
        <f t="shared" si="26"/>
        <v/>
      </c>
      <c r="X370" s="59" t="str">
        <f t="shared" si="27"/>
        <v/>
      </c>
      <c r="Y370" s="41"/>
      <c r="Z370" s="41"/>
      <c r="AA370" s="41"/>
      <c r="AB370" s="68" t="str">
        <f>IF($B370="","",'Workflow (Tracker)'!L393)</f>
        <v/>
      </c>
      <c r="AC370" s="69" t="str">
        <f>IF($B370="","",'E08 — Estabilização Hypercare'!K375)</f>
        <v/>
      </c>
      <c r="AD370" s="66" t="str">
        <f>IF($B370="","",'E08 — Estabilização Hypercare'!O375)</f>
        <v/>
      </c>
      <c r="AE370" s="66" t="str">
        <f>IF($B370="","",'E08 — Estabilização Hypercare'!Q375)</f>
        <v/>
      </c>
      <c r="AF370" s="66" t="str">
        <f>IF(OR($B370="",'E08 — Estabilização Hypercare'!R375=""),"",'E08 — Estabilização Hypercare'!R375)</f>
        <v/>
      </c>
      <c r="AG370" s="60" t="str">
        <f>IF($B370="","",'E08 — Estabilização Hypercare'!S375)</f>
        <v/>
      </c>
      <c r="AH370" s="61" t="str">
        <f>IF($B370="","",'E08 — Estabilização Hypercare'!T375)</f>
        <v/>
      </c>
      <c r="AI370" s="62" t="str">
        <f>IF($B370="","",'E08 — Estabilização Hypercare'!N375)</f>
        <v/>
      </c>
      <c r="AJ370" s="61" t="str">
        <f>IF(OR($B370="",'E08 — Estabilização Hypercare'!U375=""),"",'E08 — Estabilização Hypercare'!U375)</f>
        <v/>
      </c>
      <c r="AK370" s="60" t="str">
        <f t="shared" si="28"/>
        <v/>
      </c>
      <c r="AL370" s="65" t="str">
        <f t="shared" si="29"/>
        <v/>
      </c>
    </row>
    <row r="371" spans="2:38" s="42" customFormat="1" x14ac:dyDescent="0.35">
      <c r="B371" s="55" t="str">
        <f t="shared" si="25"/>
        <v/>
      </c>
      <c r="C371" s="40"/>
      <c r="D371" s="40"/>
      <c r="E371" s="41"/>
      <c r="F371" s="41"/>
      <c r="G371" s="41"/>
      <c r="H371" s="68" t="str">
        <f>IF('E2 — Triagem'!D376="","",'E2 — Triagem'!D376)</f>
        <v/>
      </c>
      <c r="I371" s="71"/>
      <c r="J371" s="41"/>
      <c r="K371" s="41"/>
      <c r="L371" s="71"/>
      <c r="M371" s="71"/>
      <c r="N371" s="71"/>
      <c r="O371" s="71"/>
      <c r="P371" s="41"/>
      <c r="Q371" s="41"/>
      <c r="R371" s="71"/>
      <c r="S371" s="71"/>
      <c r="T371" s="75"/>
      <c r="U371" s="75"/>
      <c r="V371" s="75"/>
      <c r="W371" s="58" t="str">
        <f t="shared" si="26"/>
        <v/>
      </c>
      <c r="X371" s="59" t="str">
        <f t="shared" si="27"/>
        <v/>
      </c>
      <c r="Y371" s="41"/>
      <c r="Z371" s="41"/>
      <c r="AA371" s="41"/>
      <c r="AB371" s="68" t="str">
        <f>IF($B371="","",'Workflow (Tracker)'!L394)</f>
        <v/>
      </c>
      <c r="AC371" s="69" t="str">
        <f>IF($B371="","",'E08 — Estabilização Hypercare'!K376)</f>
        <v/>
      </c>
      <c r="AD371" s="66" t="str">
        <f>IF($B371="","",'E08 — Estabilização Hypercare'!O376)</f>
        <v/>
      </c>
      <c r="AE371" s="66" t="str">
        <f>IF($B371="","",'E08 — Estabilização Hypercare'!Q376)</f>
        <v/>
      </c>
      <c r="AF371" s="66" t="str">
        <f>IF(OR($B371="",'E08 — Estabilização Hypercare'!R376=""),"",'E08 — Estabilização Hypercare'!R376)</f>
        <v/>
      </c>
      <c r="AG371" s="60" t="str">
        <f>IF($B371="","",'E08 — Estabilização Hypercare'!S376)</f>
        <v/>
      </c>
      <c r="AH371" s="61" t="str">
        <f>IF($B371="","",'E08 — Estabilização Hypercare'!T376)</f>
        <v/>
      </c>
      <c r="AI371" s="62" t="str">
        <f>IF($B371="","",'E08 — Estabilização Hypercare'!N376)</f>
        <v/>
      </c>
      <c r="AJ371" s="61" t="str">
        <f>IF(OR($B371="",'E08 — Estabilização Hypercare'!U376=""),"",'E08 — Estabilização Hypercare'!U376)</f>
        <v/>
      </c>
      <c r="AK371" s="60" t="str">
        <f t="shared" si="28"/>
        <v/>
      </c>
      <c r="AL371" s="65" t="str">
        <f t="shared" si="29"/>
        <v/>
      </c>
    </row>
    <row r="372" spans="2:38" s="42" customFormat="1" x14ac:dyDescent="0.35">
      <c r="B372" s="55" t="str">
        <f t="shared" si="25"/>
        <v/>
      </c>
      <c r="C372" s="40"/>
      <c r="D372" s="40"/>
      <c r="E372" s="41"/>
      <c r="F372" s="41"/>
      <c r="G372" s="41"/>
      <c r="H372" s="68" t="str">
        <f>IF('E2 — Triagem'!D377="","",'E2 — Triagem'!D377)</f>
        <v/>
      </c>
      <c r="I372" s="71"/>
      <c r="J372" s="41"/>
      <c r="K372" s="41"/>
      <c r="L372" s="71"/>
      <c r="M372" s="71"/>
      <c r="N372" s="71"/>
      <c r="O372" s="71"/>
      <c r="P372" s="41"/>
      <c r="Q372" s="41"/>
      <c r="R372" s="71"/>
      <c r="S372" s="71"/>
      <c r="T372" s="75"/>
      <c r="U372" s="75"/>
      <c r="V372" s="75"/>
      <c r="W372" s="58" t="str">
        <f t="shared" si="26"/>
        <v/>
      </c>
      <c r="X372" s="59" t="str">
        <f t="shared" si="27"/>
        <v/>
      </c>
      <c r="Y372" s="41"/>
      <c r="Z372" s="41"/>
      <c r="AA372" s="41"/>
      <c r="AB372" s="68" t="str">
        <f>IF($B372="","",'Workflow (Tracker)'!L395)</f>
        <v/>
      </c>
      <c r="AC372" s="69" t="str">
        <f>IF($B372="","",'E08 — Estabilização Hypercare'!K377)</f>
        <v/>
      </c>
      <c r="AD372" s="66" t="str">
        <f>IF($B372="","",'E08 — Estabilização Hypercare'!O377)</f>
        <v/>
      </c>
      <c r="AE372" s="66" t="str">
        <f>IF($B372="","",'E08 — Estabilização Hypercare'!Q377)</f>
        <v/>
      </c>
      <c r="AF372" s="66" t="str">
        <f>IF(OR($B372="",'E08 — Estabilização Hypercare'!R377=""),"",'E08 — Estabilização Hypercare'!R377)</f>
        <v/>
      </c>
      <c r="AG372" s="60" t="str">
        <f>IF($B372="","",'E08 — Estabilização Hypercare'!S377)</f>
        <v/>
      </c>
      <c r="AH372" s="61" t="str">
        <f>IF($B372="","",'E08 — Estabilização Hypercare'!T377)</f>
        <v/>
      </c>
      <c r="AI372" s="62" t="str">
        <f>IF($B372="","",'E08 — Estabilização Hypercare'!N377)</f>
        <v/>
      </c>
      <c r="AJ372" s="61" t="str">
        <f>IF(OR($B372="",'E08 — Estabilização Hypercare'!U377=""),"",'E08 — Estabilização Hypercare'!U377)</f>
        <v/>
      </c>
      <c r="AK372" s="60" t="str">
        <f t="shared" si="28"/>
        <v/>
      </c>
      <c r="AL372" s="65" t="str">
        <f t="shared" si="29"/>
        <v/>
      </c>
    </row>
    <row r="373" spans="2:38" s="42" customFormat="1" x14ac:dyDescent="0.35">
      <c r="B373" s="55" t="str">
        <f t="shared" si="25"/>
        <v/>
      </c>
      <c r="C373" s="40"/>
      <c r="D373" s="40"/>
      <c r="E373" s="41"/>
      <c r="F373" s="41"/>
      <c r="G373" s="41"/>
      <c r="H373" s="68" t="str">
        <f>IF('E2 — Triagem'!D378="","",'E2 — Triagem'!D378)</f>
        <v/>
      </c>
      <c r="I373" s="71"/>
      <c r="J373" s="41"/>
      <c r="K373" s="41"/>
      <c r="L373" s="71"/>
      <c r="M373" s="71"/>
      <c r="N373" s="71"/>
      <c r="O373" s="71"/>
      <c r="P373" s="41"/>
      <c r="Q373" s="41"/>
      <c r="R373" s="71"/>
      <c r="S373" s="71"/>
      <c r="T373" s="75"/>
      <c r="U373" s="75"/>
      <c r="V373" s="75"/>
      <c r="W373" s="58" t="str">
        <f t="shared" si="26"/>
        <v/>
      </c>
      <c r="X373" s="59" t="str">
        <f t="shared" si="27"/>
        <v/>
      </c>
      <c r="Y373" s="41"/>
      <c r="Z373" s="41"/>
      <c r="AA373" s="41"/>
      <c r="AB373" s="68" t="str">
        <f>IF($B373="","",'Workflow (Tracker)'!L396)</f>
        <v/>
      </c>
      <c r="AC373" s="69" t="str">
        <f>IF($B373="","",'E08 — Estabilização Hypercare'!K378)</f>
        <v/>
      </c>
      <c r="AD373" s="66" t="str">
        <f>IF($B373="","",'E08 — Estabilização Hypercare'!O378)</f>
        <v/>
      </c>
      <c r="AE373" s="66" t="str">
        <f>IF($B373="","",'E08 — Estabilização Hypercare'!Q378)</f>
        <v/>
      </c>
      <c r="AF373" s="66" t="str">
        <f>IF(OR($B373="",'E08 — Estabilização Hypercare'!R378=""),"",'E08 — Estabilização Hypercare'!R378)</f>
        <v/>
      </c>
      <c r="AG373" s="60" t="str">
        <f>IF($B373="","",'E08 — Estabilização Hypercare'!S378)</f>
        <v/>
      </c>
      <c r="AH373" s="61" t="str">
        <f>IF($B373="","",'E08 — Estabilização Hypercare'!T378)</f>
        <v/>
      </c>
      <c r="AI373" s="62" t="str">
        <f>IF($B373="","",'E08 — Estabilização Hypercare'!N378)</f>
        <v/>
      </c>
      <c r="AJ373" s="61" t="str">
        <f>IF(OR($B373="",'E08 — Estabilização Hypercare'!U378=""),"",'E08 — Estabilização Hypercare'!U378)</f>
        <v/>
      </c>
      <c r="AK373" s="60" t="str">
        <f t="shared" si="28"/>
        <v/>
      </c>
      <c r="AL373" s="65" t="str">
        <f t="shared" si="29"/>
        <v/>
      </c>
    </row>
    <row r="374" spans="2:38" s="42" customFormat="1" x14ac:dyDescent="0.35">
      <c r="B374" s="55" t="str">
        <f t="shared" si="25"/>
        <v/>
      </c>
      <c r="C374" s="40"/>
      <c r="D374" s="40"/>
      <c r="E374" s="41"/>
      <c r="F374" s="41"/>
      <c r="G374" s="41"/>
      <c r="H374" s="68" t="str">
        <f>IF('E2 — Triagem'!D379="","",'E2 — Triagem'!D379)</f>
        <v/>
      </c>
      <c r="I374" s="71"/>
      <c r="J374" s="41"/>
      <c r="K374" s="41"/>
      <c r="L374" s="71"/>
      <c r="M374" s="71"/>
      <c r="N374" s="71"/>
      <c r="O374" s="71"/>
      <c r="P374" s="41"/>
      <c r="Q374" s="41"/>
      <c r="R374" s="71"/>
      <c r="S374" s="71"/>
      <c r="T374" s="75"/>
      <c r="U374" s="75"/>
      <c r="V374" s="75"/>
      <c r="W374" s="58" t="str">
        <f t="shared" si="26"/>
        <v/>
      </c>
      <c r="X374" s="59" t="str">
        <f t="shared" si="27"/>
        <v/>
      </c>
      <c r="Y374" s="41"/>
      <c r="Z374" s="41"/>
      <c r="AA374" s="41"/>
      <c r="AB374" s="68" t="str">
        <f>IF($B374="","",'Workflow (Tracker)'!L397)</f>
        <v/>
      </c>
      <c r="AC374" s="69" t="str">
        <f>IF($B374="","",'E08 — Estabilização Hypercare'!K379)</f>
        <v/>
      </c>
      <c r="AD374" s="66" t="str">
        <f>IF($B374="","",'E08 — Estabilização Hypercare'!O379)</f>
        <v/>
      </c>
      <c r="AE374" s="66" t="str">
        <f>IF($B374="","",'E08 — Estabilização Hypercare'!Q379)</f>
        <v/>
      </c>
      <c r="AF374" s="66" t="str">
        <f>IF(OR($B374="",'E08 — Estabilização Hypercare'!R379=""),"",'E08 — Estabilização Hypercare'!R379)</f>
        <v/>
      </c>
      <c r="AG374" s="60" t="str">
        <f>IF($B374="","",'E08 — Estabilização Hypercare'!S379)</f>
        <v/>
      </c>
      <c r="AH374" s="61" t="str">
        <f>IF($B374="","",'E08 — Estabilização Hypercare'!T379)</f>
        <v/>
      </c>
      <c r="AI374" s="62" t="str">
        <f>IF($B374="","",'E08 — Estabilização Hypercare'!N379)</f>
        <v/>
      </c>
      <c r="AJ374" s="61" t="str">
        <f>IF(OR($B374="",'E08 — Estabilização Hypercare'!U379=""),"",'E08 — Estabilização Hypercare'!U379)</f>
        <v/>
      </c>
      <c r="AK374" s="60" t="str">
        <f t="shared" si="28"/>
        <v/>
      </c>
      <c r="AL374" s="65" t="str">
        <f t="shared" si="29"/>
        <v/>
      </c>
    </row>
    <row r="375" spans="2:38" s="42" customFormat="1" x14ac:dyDescent="0.35">
      <c r="B375" s="55" t="str">
        <f t="shared" si="25"/>
        <v/>
      </c>
      <c r="C375" s="40"/>
      <c r="D375" s="40"/>
      <c r="E375" s="41"/>
      <c r="F375" s="41"/>
      <c r="G375" s="41"/>
      <c r="H375" s="68" t="str">
        <f>IF('E2 — Triagem'!D380="","",'E2 — Triagem'!D380)</f>
        <v/>
      </c>
      <c r="I375" s="71"/>
      <c r="J375" s="41"/>
      <c r="K375" s="41"/>
      <c r="L375" s="71"/>
      <c r="M375" s="71"/>
      <c r="N375" s="71"/>
      <c r="O375" s="71"/>
      <c r="P375" s="41"/>
      <c r="Q375" s="41"/>
      <c r="R375" s="71"/>
      <c r="S375" s="71"/>
      <c r="T375" s="75"/>
      <c r="U375" s="75"/>
      <c r="V375" s="75"/>
      <c r="W375" s="58" t="str">
        <f t="shared" si="26"/>
        <v/>
      </c>
      <c r="X375" s="59" t="str">
        <f t="shared" si="27"/>
        <v/>
      </c>
      <c r="Y375" s="41"/>
      <c r="Z375" s="41"/>
      <c r="AA375" s="41"/>
      <c r="AB375" s="68" t="str">
        <f>IF($B375="","",'Workflow (Tracker)'!L398)</f>
        <v/>
      </c>
      <c r="AC375" s="69" t="str">
        <f>IF($B375="","",'E08 — Estabilização Hypercare'!K380)</f>
        <v/>
      </c>
      <c r="AD375" s="66" t="str">
        <f>IF($B375="","",'E08 — Estabilização Hypercare'!O380)</f>
        <v/>
      </c>
      <c r="AE375" s="66" t="str">
        <f>IF($B375="","",'E08 — Estabilização Hypercare'!Q380)</f>
        <v/>
      </c>
      <c r="AF375" s="66" t="str">
        <f>IF(OR($B375="",'E08 — Estabilização Hypercare'!R380=""),"",'E08 — Estabilização Hypercare'!R380)</f>
        <v/>
      </c>
      <c r="AG375" s="60" t="str">
        <f>IF($B375="","",'E08 — Estabilização Hypercare'!S380)</f>
        <v/>
      </c>
      <c r="AH375" s="61" t="str">
        <f>IF($B375="","",'E08 — Estabilização Hypercare'!T380)</f>
        <v/>
      </c>
      <c r="AI375" s="62" t="str">
        <f>IF($B375="","",'E08 — Estabilização Hypercare'!N380)</f>
        <v/>
      </c>
      <c r="AJ375" s="61" t="str">
        <f>IF(OR($B375="",'E08 — Estabilização Hypercare'!U380=""),"",'E08 — Estabilização Hypercare'!U380)</f>
        <v/>
      </c>
      <c r="AK375" s="60" t="str">
        <f t="shared" si="28"/>
        <v/>
      </c>
      <c r="AL375" s="65" t="str">
        <f t="shared" si="29"/>
        <v/>
      </c>
    </row>
    <row r="376" spans="2:38" s="42" customFormat="1" x14ac:dyDescent="0.35">
      <c r="B376" s="55" t="str">
        <f t="shared" si="25"/>
        <v/>
      </c>
      <c r="C376" s="40"/>
      <c r="D376" s="40"/>
      <c r="E376" s="41"/>
      <c r="F376" s="41"/>
      <c r="G376" s="41"/>
      <c r="H376" s="68" t="str">
        <f>IF('E2 — Triagem'!D381="","",'E2 — Triagem'!D381)</f>
        <v/>
      </c>
      <c r="I376" s="71"/>
      <c r="J376" s="41"/>
      <c r="K376" s="41"/>
      <c r="L376" s="71"/>
      <c r="M376" s="71"/>
      <c r="N376" s="71"/>
      <c r="O376" s="71"/>
      <c r="P376" s="41"/>
      <c r="Q376" s="41"/>
      <c r="R376" s="71"/>
      <c r="S376" s="71"/>
      <c r="T376" s="75"/>
      <c r="U376" s="75"/>
      <c r="V376" s="75"/>
      <c r="W376" s="58" t="str">
        <f t="shared" si="26"/>
        <v/>
      </c>
      <c r="X376" s="59" t="str">
        <f t="shared" si="27"/>
        <v/>
      </c>
      <c r="Y376" s="41"/>
      <c r="Z376" s="41"/>
      <c r="AA376" s="41"/>
      <c r="AB376" s="68" t="str">
        <f>IF($B376="","",'Workflow (Tracker)'!L399)</f>
        <v/>
      </c>
      <c r="AC376" s="69" t="str">
        <f>IF($B376="","",'E08 — Estabilização Hypercare'!K381)</f>
        <v/>
      </c>
      <c r="AD376" s="66" t="str">
        <f>IF($B376="","",'E08 — Estabilização Hypercare'!O381)</f>
        <v/>
      </c>
      <c r="AE376" s="66" t="str">
        <f>IF($B376="","",'E08 — Estabilização Hypercare'!Q381)</f>
        <v/>
      </c>
      <c r="AF376" s="66" t="str">
        <f>IF(OR($B376="",'E08 — Estabilização Hypercare'!R381=""),"",'E08 — Estabilização Hypercare'!R381)</f>
        <v/>
      </c>
      <c r="AG376" s="60" t="str">
        <f>IF($B376="","",'E08 — Estabilização Hypercare'!S381)</f>
        <v/>
      </c>
      <c r="AH376" s="61" t="str">
        <f>IF($B376="","",'E08 — Estabilização Hypercare'!T381)</f>
        <v/>
      </c>
      <c r="AI376" s="62" t="str">
        <f>IF($B376="","",'E08 — Estabilização Hypercare'!N381)</f>
        <v/>
      </c>
      <c r="AJ376" s="61" t="str">
        <f>IF(OR($B376="",'E08 — Estabilização Hypercare'!U381=""),"",'E08 — Estabilização Hypercare'!U381)</f>
        <v/>
      </c>
      <c r="AK376" s="60" t="str">
        <f t="shared" si="28"/>
        <v/>
      </c>
      <c r="AL376" s="65" t="str">
        <f t="shared" si="29"/>
        <v/>
      </c>
    </row>
    <row r="377" spans="2:38" s="42" customFormat="1" x14ac:dyDescent="0.35">
      <c r="B377" s="55" t="str">
        <f t="shared" si="25"/>
        <v/>
      </c>
      <c r="C377" s="40"/>
      <c r="D377" s="40"/>
      <c r="E377" s="41"/>
      <c r="F377" s="41"/>
      <c r="G377" s="41"/>
      <c r="H377" s="68" t="str">
        <f>IF('E2 — Triagem'!D382="","",'E2 — Triagem'!D382)</f>
        <v/>
      </c>
      <c r="I377" s="71"/>
      <c r="J377" s="41"/>
      <c r="K377" s="41"/>
      <c r="L377" s="71"/>
      <c r="M377" s="71"/>
      <c r="N377" s="71"/>
      <c r="O377" s="71"/>
      <c r="P377" s="41"/>
      <c r="Q377" s="41"/>
      <c r="R377" s="71"/>
      <c r="S377" s="71"/>
      <c r="T377" s="75"/>
      <c r="U377" s="75"/>
      <c r="V377" s="75"/>
      <c r="W377" s="58" t="str">
        <f t="shared" si="26"/>
        <v/>
      </c>
      <c r="X377" s="59" t="str">
        <f t="shared" si="27"/>
        <v/>
      </c>
      <c r="Y377" s="41"/>
      <c r="Z377" s="41"/>
      <c r="AA377" s="41"/>
      <c r="AB377" s="68" t="str">
        <f>IF($B377="","",'Workflow (Tracker)'!L400)</f>
        <v/>
      </c>
      <c r="AC377" s="69" t="str">
        <f>IF($B377="","",'E08 — Estabilização Hypercare'!K382)</f>
        <v/>
      </c>
      <c r="AD377" s="66" t="str">
        <f>IF($B377="","",'E08 — Estabilização Hypercare'!O382)</f>
        <v/>
      </c>
      <c r="AE377" s="66" t="str">
        <f>IF($B377="","",'E08 — Estabilização Hypercare'!Q382)</f>
        <v/>
      </c>
      <c r="AF377" s="66" t="str">
        <f>IF(OR($B377="",'E08 — Estabilização Hypercare'!R382=""),"",'E08 — Estabilização Hypercare'!R382)</f>
        <v/>
      </c>
      <c r="AG377" s="60" t="str">
        <f>IF($B377="","",'E08 — Estabilização Hypercare'!S382)</f>
        <v/>
      </c>
      <c r="AH377" s="61" t="str">
        <f>IF($B377="","",'E08 — Estabilização Hypercare'!T382)</f>
        <v/>
      </c>
      <c r="AI377" s="62" t="str">
        <f>IF($B377="","",'E08 — Estabilização Hypercare'!N382)</f>
        <v/>
      </c>
      <c r="AJ377" s="61" t="str">
        <f>IF(OR($B377="",'E08 — Estabilização Hypercare'!U382=""),"",'E08 — Estabilização Hypercare'!U382)</f>
        <v/>
      </c>
      <c r="AK377" s="60" t="str">
        <f t="shared" si="28"/>
        <v/>
      </c>
      <c r="AL377" s="65" t="str">
        <f t="shared" si="29"/>
        <v/>
      </c>
    </row>
    <row r="378" spans="2:38" s="42" customFormat="1" x14ac:dyDescent="0.35">
      <c r="B378" s="55" t="str">
        <f t="shared" si="25"/>
        <v/>
      </c>
      <c r="C378" s="40"/>
      <c r="D378" s="40"/>
      <c r="E378" s="41"/>
      <c r="F378" s="41"/>
      <c r="G378" s="41"/>
      <c r="H378" s="68" t="str">
        <f>IF('E2 — Triagem'!D383="","",'E2 — Triagem'!D383)</f>
        <v/>
      </c>
      <c r="I378" s="71"/>
      <c r="J378" s="41"/>
      <c r="K378" s="41"/>
      <c r="L378" s="71"/>
      <c r="M378" s="71"/>
      <c r="N378" s="71"/>
      <c r="O378" s="71"/>
      <c r="P378" s="41"/>
      <c r="Q378" s="41"/>
      <c r="R378" s="71"/>
      <c r="S378" s="71"/>
      <c r="T378" s="75"/>
      <c r="U378" s="75"/>
      <c r="V378" s="75"/>
      <c r="W378" s="58" t="str">
        <f t="shared" si="26"/>
        <v/>
      </c>
      <c r="X378" s="59" t="str">
        <f t="shared" si="27"/>
        <v/>
      </c>
      <c r="Y378" s="41"/>
      <c r="Z378" s="41"/>
      <c r="AA378" s="41"/>
      <c r="AB378" s="68" t="str">
        <f>IF($B378="","",'Workflow (Tracker)'!L401)</f>
        <v/>
      </c>
      <c r="AC378" s="69" t="str">
        <f>IF($B378="","",'E08 — Estabilização Hypercare'!K383)</f>
        <v/>
      </c>
      <c r="AD378" s="66" t="str">
        <f>IF($B378="","",'E08 — Estabilização Hypercare'!O383)</f>
        <v/>
      </c>
      <c r="AE378" s="66" t="str">
        <f>IF($B378="","",'E08 — Estabilização Hypercare'!Q383)</f>
        <v/>
      </c>
      <c r="AF378" s="66" t="str">
        <f>IF(OR($B378="",'E08 — Estabilização Hypercare'!R383=""),"",'E08 — Estabilização Hypercare'!R383)</f>
        <v/>
      </c>
      <c r="AG378" s="60" t="str">
        <f>IF($B378="","",'E08 — Estabilização Hypercare'!S383)</f>
        <v/>
      </c>
      <c r="AH378" s="61" t="str">
        <f>IF($B378="","",'E08 — Estabilização Hypercare'!T383)</f>
        <v/>
      </c>
      <c r="AI378" s="62" t="str">
        <f>IF($B378="","",'E08 — Estabilização Hypercare'!N383)</f>
        <v/>
      </c>
      <c r="AJ378" s="61" t="str">
        <f>IF(OR($B378="",'E08 — Estabilização Hypercare'!U383=""),"",'E08 — Estabilização Hypercare'!U383)</f>
        <v/>
      </c>
      <c r="AK378" s="60" t="str">
        <f t="shared" si="28"/>
        <v/>
      </c>
      <c r="AL378" s="65" t="str">
        <f t="shared" si="29"/>
        <v/>
      </c>
    </row>
    <row r="379" spans="2:38" s="42" customFormat="1" x14ac:dyDescent="0.35">
      <c r="B379" s="55" t="str">
        <f t="shared" si="25"/>
        <v/>
      </c>
      <c r="C379" s="40"/>
      <c r="D379" s="40"/>
      <c r="E379" s="41"/>
      <c r="F379" s="41"/>
      <c r="G379" s="41"/>
      <c r="H379" s="68" t="str">
        <f>IF('E2 — Triagem'!D384="","",'E2 — Triagem'!D384)</f>
        <v/>
      </c>
      <c r="I379" s="71"/>
      <c r="J379" s="41"/>
      <c r="K379" s="41"/>
      <c r="L379" s="71"/>
      <c r="M379" s="71"/>
      <c r="N379" s="71"/>
      <c r="O379" s="71"/>
      <c r="P379" s="41"/>
      <c r="Q379" s="41"/>
      <c r="R379" s="71"/>
      <c r="S379" s="71"/>
      <c r="T379" s="75"/>
      <c r="U379" s="75"/>
      <c r="V379" s="75"/>
      <c r="W379" s="58" t="str">
        <f t="shared" si="26"/>
        <v/>
      </c>
      <c r="X379" s="59" t="str">
        <f t="shared" si="27"/>
        <v/>
      </c>
      <c r="Y379" s="41"/>
      <c r="Z379" s="41"/>
      <c r="AA379" s="41"/>
      <c r="AB379" s="68" t="str">
        <f>IF($B379="","",'Workflow (Tracker)'!L402)</f>
        <v/>
      </c>
      <c r="AC379" s="69" t="str">
        <f>IF($B379="","",'E08 — Estabilização Hypercare'!K384)</f>
        <v/>
      </c>
      <c r="AD379" s="66" t="str">
        <f>IF($B379="","",'E08 — Estabilização Hypercare'!O384)</f>
        <v/>
      </c>
      <c r="AE379" s="66" t="str">
        <f>IF($B379="","",'E08 — Estabilização Hypercare'!Q384)</f>
        <v/>
      </c>
      <c r="AF379" s="66" t="str">
        <f>IF(OR($B379="",'E08 — Estabilização Hypercare'!R384=""),"",'E08 — Estabilização Hypercare'!R384)</f>
        <v/>
      </c>
      <c r="AG379" s="60" t="str">
        <f>IF($B379="","",'E08 — Estabilização Hypercare'!S384)</f>
        <v/>
      </c>
      <c r="AH379" s="61" t="str">
        <f>IF($B379="","",'E08 — Estabilização Hypercare'!T384)</f>
        <v/>
      </c>
      <c r="AI379" s="62" t="str">
        <f>IF($B379="","",'E08 — Estabilização Hypercare'!N384)</f>
        <v/>
      </c>
      <c r="AJ379" s="61" t="str">
        <f>IF(OR($B379="",'E08 — Estabilização Hypercare'!U384=""),"",'E08 — Estabilização Hypercare'!U384)</f>
        <v/>
      </c>
      <c r="AK379" s="60" t="str">
        <f t="shared" si="28"/>
        <v/>
      </c>
      <c r="AL379" s="65" t="str">
        <f t="shared" si="29"/>
        <v/>
      </c>
    </row>
    <row r="380" spans="2:38" s="42" customFormat="1" x14ac:dyDescent="0.35">
      <c r="B380" s="55" t="str">
        <f t="shared" si="25"/>
        <v/>
      </c>
      <c r="C380" s="40"/>
      <c r="D380" s="40"/>
      <c r="E380" s="41"/>
      <c r="F380" s="41"/>
      <c r="G380" s="41"/>
      <c r="H380" s="68" t="str">
        <f>IF('E2 — Triagem'!D385="","",'E2 — Triagem'!D385)</f>
        <v/>
      </c>
      <c r="I380" s="71"/>
      <c r="J380" s="41"/>
      <c r="K380" s="41"/>
      <c r="L380" s="71"/>
      <c r="M380" s="71"/>
      <c r="N380" s="71"/>
      <c r="O380" s="71"/>
      <c r="P380" s="41"/>
      <c r="Q380" s="41"/>
      <c r="R380" s="71"/>
      <c r="S380" s="71"/>
      <c r="T380" s="75"/>
      <c r="U380" s="75"/>
      <c r="V380" s="75"/>
      <c r="W380" s="58" t="str">
        <f t="shared" si="26"/>
        <v/>
      </c>
      <c r="X380" s="59" t="str">
        <f t="shared" si="27"/>
        <v/>
      </c>
      <c r="Y380" s="41"/>
      <c r="Z380" s="41"/>
      <c r="AA380" s="41"/>
      <c r="AB380" s="68" t="str">
        <f>IF($B380="","",'Workflow (Tracker)'!L403)</f>
        <v/>
      </c>
      <c r="AC380" s="69" t="str">
        <f>IF($B380="","",'E08 — Estabilização Hypercare'!K385)</f>
        <v/>
      </c>
      <c r="AD380" s="66" t="str">
        <f>IF($B380="","",'E08 — Estabilização Hypercare'!O385)</f>
        <v/>
      </c>
      <c r="AE380" s="66" t="str">
        <f>IF($B380="","",'E08 — Estabilização Hypercare'!Q385)</f>
        <v/>
      </c>
      <c r="AF380" s="66" t="str">
        <f>IF(OR($B380="",'E08 — Estabilização Hypercare'!R385=""),"",'E08 — Estabilização Hypercare'!R385)</f>
        <v/>
      </c>
      <c r="AG380" s="60" t="str">
        <f>IF($B380="","",'E08 — Estabilização Hypercare'!S385)</f>
        <v/>
      </c>
      <c r="AH380" s="61" t="str">
        <f>IF($B380="","",'E08 — Estabilização Hypercare'!T385)</f>
        <v/>
      </c>
      <c r="AI380" s="62" t="str">
        <f>IF($B380="","",'E08 — Estabilização Hypercare'!N385)</f>
        <v/>
      </c>
      <c r="AJ380" s="61" t="str">
        <f>IF(OR($B380="",'E08 — Estabilização Hypercare'!U385=""),"",'E08 — Estabilização Hypercare'!U385)</f>
        <v/>
      </c>
      <c r="AK380" s="60" t="str">
        <f t="shared" si="28"/>
        <v/>
      </c>
      <c r="AL380" s="65" t="str">
        <f t="shared" si="29"/>
        <v/>
      </c>
    </row>
    <row r="381" spans="2:38" s="42" customFormat="1" x14ac:dyDescent="0.35">
      <c r="B381" s="55" t="str">
        <f t="shared" si="25"/>
        <v/>
      </c>
      <c r="C381" s="40"/>
      <c r="D381" s="40"/>
      <c r="E381" s="41"/>
      <c r="F381" s="41"/>
      <c r="G381" s="41"/>
      <c r="H381" s="68" t="str">
        <f>IF('E2 — Triagem'!D386="","",'E2 — Triagem'!D386)</f>
        <v/>
      </c>
      <c r="I381" s="71"/>
      <c r="J381" s="41"/>
      <c r="K381" s="41"/>
      <c r="L381" s="71"/>
      <c r="M381" s="71"/>
      <c r="N381" s="71"/>
      <c r="O381" s="71"/>
      <c r="P381" s="41"/>
      <c r="Q381" s="41"/>
      <c r="R381" s="71"/>
      <c r="S381" s="71"/>
      <c r="T381" s="75"/>
      <c r="U381" s="75"/>
      <c r="V381" s="75"/>
      <c r="W381" s="58" t="str">
        <f t="shared" si="26"/>
        <v/>
      </c>
      <c r="X381" s="59" t="str">
        <f t="shared" si="27"/>
        <v/>
      </c>
      <c r="Y381" s="41"/>
      <c r="Z381" s="41"/>
      <c r="AA381" s="41"/>
      <c r="AB381" s="68" t="str">
        <f>IF($B381="","",'Workflow (Tracker)'!L404)</f>
        <v/>
      </c>
      <c r="AC381" s="69" t="str">
        <f>IF($B381="","",'E08 — Estabilização Hypercare'!K386)</f>
        <v/>
      </c>
      <c r="AD381" s="66" t="str">
        <f>IF($B381="","",'E08 — Estabilização Hypercare'!O386)</f>
        <v/>
      </c>
      <c r="AE381" s="66" t="str">
        <f>IF($B381="","",'E08 — Estabilização Hypercare'!Q386)</f>
        <v/>
      </c>
      <c r="AF381" s="66" t="str">
        <f>IF(OR($B381="",'E08 — Estabilização Hypercare'!R386=""),"",'E08 — Estabilização Hypercare'!R386)</f>
        <v/>
      </c>
      <c r="AG381" s="60" t="str">
        <f>IF($B381="","",'E08 — Estabilização Hypercare'!S386)</f>
        <v/>
      </c>
      <c r="AH381" s="61" t="str">
        <f>IF($B381="","",'E08 — Estabilização Hypercare'!T386)</f>
        <v/>
      </c>
      <c r="AI381" s="62" t="str">
        <f>IF($B381="","",'E08 — Estabilização Hypercare'!N386)</f>
        <v/>
      </c>
      <c r="AJ381" s="61" t="str">
        <f>IF(OR($B381="",'E08 — Estabilização Hypercare'!U386=""),"",'E08 — Estabilização Hypercare'!U386)</f>
        <v/>
      </c>
      <c r="AK381" s="60" t="str">
        <f t="shared" si="28"/>
        <v/>
      </c>
      <c r="AL381" s="65" t="str">
        <f t="shared" si="29"/>
        <v/>
      </c>
    </row>
    <row r="382" spans="2:38" s="42" customFormat="1" x14ac:dyDescent="0.35">
      <c r="B382" s="55" t="str">
        <f t="shared" si="25"/>
        <v/>
      </c>
      <c r="C382" s="40"/>
      <c r="D382" s="40"/>
      <c r="E382" s="41"/>
      <c r="F382" s="41"/>
      <c r="G382" s="41"/>
      <c r="H382" s="68" t="str">
        <f>IF('E2 — Triagem'!D387="","",'E2 — Triagem'!D387)</f>
        <v/>
      </c>
      <c r="I382" s="71"/>
      <c r="J382" s="41"/>
      <c r="K382" s="41"/>
      <c r="L382" s="71"/>
      <c r="M382" s="71"/>
      <c r="N382" s="71"/>
      <c r="O382" s="71"/>
      <c r="P382" s="41"/>
      <c r="Q382" s="41"/>
      <c r="R382" s="71"/>
      <c r="S382" s="71"/>
      <c r="T382" s="75"/>
      <c r="U382" s="75"/>
      <c r="V382" s="75"/>
      <c r="W382" s="58" t="str">
        <f t="shared" si="26"/>
        <v/>
      </c>
      <c r="X382" s="59" t="str">
        <f t="shared" si="27"/>
        <v/>
      </c>
      <c r="Y382" s="41"/>
      <c r="Z382" s="41"/>
      <c r="AA382" s="41"/>
      <c r="AB382" s="68" t="str">
        <f>IF($B382="","",'Workflow (Tracker)'!L405)</f>
        <v/>
      </c>
      <c r="AC382" s="69" t="str">
        <f>IF($B382="","",'E08 — Estabilização Hypercare'!K387)</f>
        <v/>
      </c>
      <c r="AD382" s="66" t="str">
        <f>IF($B382="","",'E08 — Estabilização Hypercare'!O387)</f>
        <v/>
      </c>
      <c r="AE382" s="66" t="str">
        <f>IF($B382="","",'E08 — Estabilização Hypercare'!Q387)</f>
        <v/>
      </c>
      <c r="AF382" s="66" t="str">
        <f>IF(OR($B382="",'E08 — Estabilização Hypercare'!R387=""),"",'E08 — Estabilização Hypercare'!R387)</f>
        <v/>
      </c>
      <c r="AG382" s="60" t="str">
        <f>IF($B382="","",'E08 — Estabilização Hypercare'!S387)</f>
        <v/>
      </c>
      <c r="AH382" s="61" t="str">
        <f>IF($B382="","",'E08 — Estabilização Hypercare'!T387)</f>
        <v/>
      </c>
      <c r="AI382" s="62" t="str">
        <f>IF($B382="","",'E08 — Estabilização Hypercare'!N387)</f>
        <v/>
      </c>
      <c r="AJ382" s="61" t="str">
        <f>IF(OR($B382="",'E08 — Estabilização Hypercare'!U387=""),"",'E08 — Estabilização Hypercare'!U387)</f>
        <v/>
      </c>
      <c r="AK382" s="60" t="str">
        <f t="shared" si="28"/>
        <v/>
      </c>
      <c r="AL382" s="65" t="str">
        <f t="shared" si="29"/>
        <v/>
      </c>
    </row>
    <row r="383" spans="2:38" s="42" customFormat="1" x14ac:dyDescent="0.35">
      <c r="B383" s="55" t="str">
        <f t="shared" si="25"/>
        <v/>
      </c>
      <c r="C383" s="40"/>
      <c r="D383" s="40"/>
      <c r="E383" s="41"/>
      <c r="F383" s="41"/>
      <c r="G383" s="41"/>
      <c r="H383" s="68" t="str">
        <f>IF('E2 — Triagem'!D388="","",'E2 — Triagem'!D388)</f>
        <v/>
      </c>
      <c r="I383" s="71"/>
      <c r="J383" s="41"/>
      <c r="K383" s="41"/>
      <c r="L383" s="71"/>
      <c r="M383" s="71"/>
      <c r="N383" s="71"/>
      <c r="O383" s="71"/>
      <c r="P383" s="41"/>
      <c r="Q383" s="41"/>
      <c r="R383" s="71"/>
      <c r="S383" s="71"/>
      <c r="T383" s="75"/>
      <c r="U383" s="75"/>
      <c r="V383" s="75"/>
      <c r="W383" s="58" t="str">
        <f t="shared" si="26"/>
        <v/>
      </c>
      <c r="X383" s="59" t="str">
        <f t="shared" si="27"/>
        <v/>
      </c>
      <c r="Y383" s="41"/>
      <c r="Z383" s="41"/>
      <c r="AA383" s="41"/>
      <c r="AB383" s="68" t="str">
        <f>IF($B383="","",'Workflow (Tracker)'!L406)</f>
        <v/>
      </c>
      <c r="AC383" s="69" t="str">
        <f>IF($B383="","",'E08 — Estabilização Hypercare'!K388)</f>
        <v/>
      </c>
      <c r="AD383" s="66" t="str">
        <f>IF($B383="","",'E08 — Estabilização Hypercare'!O388)</f>
        <v/>
      </c>
      <c r="AE383" s="66" t="str">
        <f>IF($B383="","",'E08 — Estabilização Hypercare'!Q388)</f>
        <v/>
      </c>
      <c r="AF383" s="66" t="str">
        <f>IF(OR($B383="",'E08 — Estabilização Hypercare'!R388=""),"",'E08 — Estabilização Hypercare'!R388)</f>
        <v/>
      </c>
      <c r="AG383" s="60" t="str">
        <f>IF($B383="","",'E08 — Estabilização Hypercare'!S388)</f>
        <v/>
      </c>
      <c r="AH383" s="61" t="str">
        <f>IF($B383="","",'E08 — Estabilização Hypercare'!T388)</f>
        <v/>
      </c>
      <c r="AI383" s="62" t="str">
        <f>IF($B383="","",'E08 — Estabilização Hypercare'!N388)</f>
        <v/>
      </c>
      <c r="AJ383" s="61" t="str">
        <f>IF(OR($B383="",'E08 — Estabilização Hypercare'!U388=""),"",'E08 — Estabilização Hypercare'!U388)</f>
        <v/>
      </c>
      <c r="AK383" s="60" t="str">
        <f t="shared" si="28"/>
        <v/>
      </c>
      <c r="AL383" s="65" t="str">
        <f t="shared" si="29"/>
        <v/>
      </c>
    </row>
    <row r="384" spans="2:38" s="42" customFormat="1" x14ac:dyDescent="0.35">
      <c r="B384" s="55" t="str">
        <f t="shared" si="25"/>
        <v/>
      </c>
      <c r="C384" s="40"/>
      <c r="D384" s="40"/>
      <c r="E384" s="41"/>
      <c r="F384" s="41"/>
      <c r="G384" s="41"/>
      <c r="H384" s="68" t="str">
        <f>IF('E2 — Triagem'!D389="","",'E2 — Triagem'!D389)</f>
        <v/>
      </c>
      <c r="I384" s="71"/>
      <c r="J384" s="41"/>
      <c r="K384" s="41"/>
      <c r="L384" s="71"/>
      <c r="M384" s="71"/>
      <c r="N384" s="71"/>
      <c r="O384" s="71"/>
      <c r="P384" s="41"/>
      <c r="Q384" s="41"/>
      <c r="R384" s="71"/>
      <c r="S384" s="71"/>
      <c r="T384" s="75"/>
      <c r="U384" s="75"/>
      <c r="V384" s="75"/>
      <c r="W384" s="58" t="str">
        <f t="shared" si="26"/>
        <v/>
      </c>
      <c r="X384" s="59" t="str">
        <f t="shared" si="27"/>
        <v/>
      </c>
      <c r="Y384" s="41"/>
      <c r="Z384" s="41"/>
      <c r="AA384" s="41"/>
      <c r="AB384" s="68" t="str">
        <f>IF($B384="","",'Workflow (Tracker)'!L407)</f>
        <v/>
      </c>
      <c r="AC384" s="69" t="str">
        <f>IF($B384="","",'E08 — Estabilização Hypercare'!K389)</f>
        <v/>
      </c>
      <c r="AD384" s="66" t="str">
        <f>IF($B384="","",'E08 — Estabilização Hypercare'!O389)</f>
        <v/>
      </c>
      <c r="AE384" s="66" t="str">
        <f>IF($B384="","",'E08 — Estabilização Hypercare'!Q389)</f>
        <v/>
      </c>
      <c r="AF384" s="66" t="str">
        <f>IF(OR($B384="",'E08 — Estabilização Hypercare'!R389=""),"",'E08 — Estabilização Hypercare'!R389)</f>
        <v/>
      </c>
      <c r="AG384" s="60" t="str">
        <f>IF($B384="","",'E08 — Estabilização Hypercare'!S389)</f>
        <v/>
      </c>
      <c r="AH384" s="61" t="str">
        <f>IF($B384="","",'E08 — Estabilização Hypercare'!T389)</f>
        <v/>
      </c>
      <c r="AI384" s="62" t="str">
        <f>IF($B384="","",'E08 — Estabilização Hypercare'!N389)</f>
        <v/>
      </c>
      <c r="AJ384" s="61" t="str">
        <f>IF(OR($B384="",'E08 — Estabilização Hypercare'!U389=""),"",'E08 — Estabilização Hypercare'!U389)</f>
        <v/>
      </c>
      <c r="AK384" s="60" t="str">
        <f t="shared" si="28"/>
        <v/>
      </c>
      <c r="AL384" s="65" t="str">
        <f t="shared" si="29"/>
        <v/>
      </c>
    </row>
    <row r="385" spans="2:38" s="42" customFormat="1" x14ac:dyDescent="0.35">
      <c r="B385" s="55" t="str">
        <f t="shared" si="25"/>
        <v/>
      </c>
      <c r="C385" s="40"/>
      <c r="D385" s="40"/>
      <c r="E385" s="41"/>
      <c r="F385" s="41"/>
      <c r="G385" s="41"/>
      <c r="H385" s="68" t="str">
        <f>IF('E2 — Triagem'!D390="","",'E2 — Triagem'!D390)</f>
        <v/>
      </c>
      <c r="I385" s="71"/>
      <c r="J385" s="41"/>
      <c r="K385" s="41"/>
      <c r="L385" s="71"/>
      <c r="M385" s="71"/>
      <c r="N385" s="71"/>
      <c r="O385" s="71"/>
      <c r="P385" s="41"/>
      <c r="Q385" s="41"/>
      <c r="R385" s="71"/>
      <c r="S385" s="71"/>
      <c r="T385" s="75"/>
      <c r="U385" s="75"/>
      <c r="V385" s="75"/>
      <c r="W385" s="58" t="str">
        <f t="shared" si="26"/>
        <v/>
      </c>
      <c r="X385" s="59" t="str">
        <f t="shared" si="27"/>
        <v/>
      </c>
      <c r="Y385" s="41"/>
      <c r="Z385" s="41"/>
      <c r="AA385" s="41"/>
      <c r="AB385" s="68" t="str">
        <f>IF($B385="","",'Workflow (Tracker)'!L408)</f>
        <v/>
      </c>
      <c r="AC385" s="69" t="str">
        <f>IF($B385="","",'E08 — Estabilização Hypercare'!K390)</f>
        <v/>
      </c>
      <c r="AD385" s="66" t="str">
        <f>IF($B385="","",'E08 — Estabilização Hypercare'!O390)</f>
        <v/>
      </c>
      <c r="AE385" s="66" t="str">
        <f>IF($B385="","",'E08 — Estabilização Hypercare'!Q390)</f>
        <v/>
      </c>
      <c r="AF385" s="66" t="str">
        <f>IF(OR($B385="",'E08 — Estabilização Hypercare'!R390=""),"",'E08 — Estabilização Hypercare'!R390)</f>
        <v/>
      </c>
      <c r="AG385" s="60" t="str">
        <f>IF($B385="","",'E08 — Estabilização Hypercare'!S390)</f>
        <v/>
      </c>
      <c r="AH385" s="61" t="str">
        <f>IF($B385="","",'E08 — Estabilização Hypercare'!T390)</f>
        <v/>
      </c>
      <c r="AI385" s="62" t="str">
        <f>IF($B385="","",'E08 — Estabilização Hypercare'!N390)</f>
        <v/>
      </c>
      <c r="AJ385" s="61" t="str">
        <f>IF(OR($B385="",'E08 — Estabilização Hypercare'!U390=""),"",'E08 — Estabilização Hypercare'!U390)</f>
        <v/>
      </c>
      <c r="AK385" s="60" t="str">
        <f t="shared" si="28"/>
        <v/>
      </c>
      <c r="AL385" s="65" t="str">
        <f t="shared" si="29"/>
        <v/>
      </c>
    </row>
    <row r="386" spans="2:38" s="42" customFormat="1" x14ac:dyDescent="0.35">
      <c r="B386" s="55" t="str">
        <f t="shared" si="25"/>
        <v/>
      </c>
      <c r="C386" s="40"/>
      <c r="D386" s="40"/>
      <c r="E386" s="41"/>
      <c r="F386" s="41"/>
      <c r="G386" s="41"/>
      <c r="H386" s="68" t="str">
        <f>IF('E2 — Triagem'!D391="","",'E2 — Triagem'!D391)</f>
        <v/>
      </c>
      <c r="I386" s="71"/>
      <c r="J386" s="41"/>
      <c r="K386" s="41"/>
      <c r="L386" s="71"/>
      <c r="M386" s="71"/>
      <c r="N386" s="71"/>
      <c r="O386" s="71"/>
      <c r="P386" s="41"/>
      <c r="Q386" s="41"/>
      <c r="R386" s="71"/>
      <c r="S386" s="71"/>
      <c r="T386" s="75"/>
      <c r="U386" s="75"/>
      <c r="V386" s="75"/>
      <c r="W386" s="58" t="str">
        <f t="shared" si="26"/>
        <v/>
      </c>
      <c r="X386" s="59" t="str">
        <f t="shared" si="27"/>
        <v/>
      </c>
      <c r="Y386" s="41"/>
      <c r="Z386" s="41"/>
      <c r="AA386" s="41"/>
      <c r="AB386" s="68" t="str">
        <f>IF($B386="","",'Workflow (Tracker)'!L409)</f>
        <v/>
      </c>
      <c r="AC386" s="69" t="str">
        <f>IF($B386="","",'E08 — Estabilização Hypercare'!K391)</f>
        <v/>
      </c>
      <c r="AD386" s="66" t="str">
        <f>IF($B386="","",'E08 — Estabilização Hypercare'!O391)</f>
        <v/>
      </c>
      <c r="AE386" s="66" t="str">
        <f>IF($B386="","",'E08 — Estabilização Hypercare'!Q391)</f>
        <v/>
      </c>
      <c r="AF386" s="66" t="str">
        <f>IF(OR($B386="",'E08 — Estabilização Hypercare'!R391=""),"",'E08 — Estabilização Hypercare'!R391)</f>
        <v/>
      </c>
      <c r="AG386" s="60" t="str">
        <f>IF($B386="","",'E08 — Estabilização Hypercare'!S391)</f>
        <v/>
      </c>
      <c r="AH386" s="61" t="str">
        <f>IF($B386="","",'E08 — Estabilização Hypercare'!T391)</f>
        <v/>
      </c>
      <c r="AI386" s="62" t="str">
        <f>IF($B386="","",'E08 — Estabilização Hypercare'!N391)</f>
        <v/>
      </c>
      <c r="AJ386" s="61" t="str">
        <f>IF(OR($B386="",'E08 — Estabilização Hypercare'!U391=""),"",'E08 — Estabilização Hypercare'!U391)</f>
        <v/>
      </c>
      <c r="AK386" s="60" t="str">
        <f t="shared" si="28"/>
        <v/>
      </c>
      <c r="AL386" s="65" t="str">
        <f t="shared" si="29"/>
        <v/>
      </c>
    </row>
    <row r="387" spans="2:38" s="42" customFormat="1" x14ac:dyDescent="0.35">
      <c r="B387" s="55" t="str">
        <f t="shared" ref="B387:B450" si="30">IF($C387="","",Prefixo&amp;"-"&amp;TEXT(ROW()-2,"0000"))</f>
        <v/>
      </c>
      <c r="C387" s="40"/>
      <c r="D387" s="40"/>
      <c r="E387" s="41"/>
      <c r="F387" s="41"/>
      <c r="G387" s="41"/>
      <c r="H387" s="68" t="str">
        <f>IF('E2 — Triagem'!D392="","",'E2 — Triagem'!D392)</f>
        <v/>
      </c>
      <c r="I387" s="71"/>
      <c r="J387" s="41"/>
      <c r="K387" s="41"/>
      <c r="L387" s="71"/>
      <c r="M387" s="71"/>
      <c r="N387" s="71"/>
      <c r="O387" s="71"/>
      <c r="P387" s="41"/>
      <c r="Q387" s="41"/>
      <c r="R387" s="71"/>
      <c r="S387" s="71"/>
      <c r="T387" s="75"/>
      <c r="U387" s="75"/>
      <c r="V387" s="75"/>
      <c r="W387" s="58" t="str">
        <f t="shared" si="26"/>
        <v/>
      </c>
      <c r="X387" s="59" t="str">
        <f t="shared" si="27"/>
        <v/>
      </c>
      <c r="Y387" s="41"/>
      <c r="Z387" s="41"/>
      <c r="AA387" s="41"/>
      <c r="AB387" s="68" t="str">
        <f>IF($B387="","",'Workflow (Tracker)'!L410)</f>
        <v/>
      </c>
      <c r="AC387" s="69" t="str">
        <f>IF($B387="","",'E08 — Estabilização Hypercare'!K392)</f>
        <v/>
      </c>
      <c r="AD387" s="66" t="str">
        <f>IF($B387="","",'E08 — Estabilização Hypercare'!O392)</f>
        <v/>
      </c>
      <c r="AE387" s="66" t="str">
        <f>IF($B387="","",'E08 — Estabilização Hypercare'!Q392)</f>
        <v/>
      </c>
      <c r="AF387" s="66" t="str">
        <f>IF(OR($B387="",'E08 — Estabilização Hypercare'!R392=""),"",'E08 — Estabilização Hypercare'!R392)</f>
        <v/>
      </c>
      <c r="AG387" s="60" t="str">
        <f>IF($B387="","",'E08 — Estabilização Hypercare'!S392)</f>
        <v/>
      </c>
      <c r="AH387" s="61" t="str">
        <f>IF($B387="","",'E08 — Estabilização Hypercare'!T392)</f>
        <v/>
      </c>
      <c r="AI387" s="62" t="str">
        <f>IF($B387="","",'E08 — Estabilização Hypercare'!N392)</f>
        <v/>
      </c>
      <c r="AJ387" s="61" t="str">
        <f>IF(OR($B387="",'E08 — Estabilização Hypercare'!U392=""),"",'E08 — Estabilização Hypercare'!U392)</f>
        <v/>
      </c>
      <c r="AK387" s="60" t="str">
        <f t="shared" si="28"/>
        <v/>
      </c>
      <c r="AL387" s="65" t="str">
        <f t="shared" si="29"/>
        <v/>
      </c>
    </row>
    <row r="388" spans="2:38" s="42" customFormat="1" x14ac:dyDescent="0.35">
      <c r="B388" s="55" t="str">
        <f t="shared" si="30"/>
        <v/>
      </c>
      <c r="C388" s="40"/>
      <c r="D388" s="40"/>
      <c r="E388" s="41"/>
      <c r="F388" s="41"/>
      <c r="G388" s="41"/>
      <c r="H388" s="68" t="str">
        <f>IF('E2 — Triagem'!D393="","",'E2 — Triagem'!D393)</f>
        <v/>
      </c>
      <c r="I388" s="71"/>
      <c r="J388" s="41"/>
      <c r="K388" s="41"/>
      <c r="L388" s="71"/>
      <c r="M388" s="71"/>
      <c r="N388" s="71"/>
      <c r="O388" s="71"/>
      <c r="P388" s="41"/>
      <c r="Q388" s="41"/>
      <c r="R388" s="71"/>
      <c r="S388" s="71"/>
      <c r="T388" s="75"/>
      <c r="U388" s="75"/>
      <c r="V388" s="75"/>
      <c r="W388" s="58" t="str">
        <f t="shared" ref="W388:W451" si="31">IF(OR($U388="",$V388="",$U388&lt;=0),"",$U388-$V388)</f>
        <v/>
      </c>
      <c r="X388" s="59" t="str">
        <f t="shared" ref="X388:X451" si="32">IF(OR($U388="",$V388="",$U388&lt;=0),"",($U388-$V388)/$U388)</f>
        <v/>
      </c>
      <c r="Y388" s="41"/>
      <c r="Z388" s="41"/>
      <c r="AA388" s="41"/>
      <c r="AB388" s="68" t="str">
        <f>IF($B388="","",'Workflow (Tracker)'!L411)</f>
        <v/>
      </c>
      <c r="AC388" s="69" t="str">
        <f>IF($B388="","",'E08 — Estabilização Hypercare'!K393)</f>
        <v/>
      </c>
      <c r="AD388" s="66" t="str">
        <f>IF($B388="","",'E08 — Estabilização Hypercare'!O393)</f>
        <v/>
      </c>
      <c r="AE388" s="66" t="str">
        <f>IF($B388="","",'E08 — Estabilização Hypercare'!Q393)</f>
        <v/>
      </c>
      <c r="AF388" s="66" t="str">
        <f>IF(OR($B388="",'E08 — Estabilização Hypercare'!R393=""),"",'E08 — Estabilização Hypercare'!R393)</f>
        <v/>
      </c>
      <c r="AG388" s="60" t="str">
        <f>IF($B388="","",'E08 — Estabilização Hypercare'!S393)</f>
        <v/>
      </c>
      <c r="AH388" s="61" t="str">
        <f>IF($B388="","",'E08 — Estabilização Hypercare'!T393)</f>
        <v/>
      </c>
      <c r="AI388" s="62" t="str">
        <f>IF($B388="","",'E08 — Estabilização Hypercare'!N393)</f>
        <v/>
      </c>
      <c r="AJ388" s="61" t="str">
        <f>IF(OR($B388="",'E08 — Estabilização Hypercare'!U393=""),"",'E08 — Estabilização Hypercare'!U393)</f>
        <v/>
      </c>
      <c r="AK388" s="60" t="str">
        <f t="shared" ref="AK388:AK451" si="33">IF(OR($B388="",$AF388="",$C388=""),"",$AF388-$C388)</f>
        <v/>
      </c>
      <c r="AL388" s="65" t="str">
        <f t="shared" ref="AL388:AL451" si="34">IF($B388="","",IF($AB388="Concluído","Encerrado",IF(AND($S388="Concluído",$AB388&lt;&gt;"Concluído"),"Em Hypercare",$S388)))</f>
        <v/>
      </c>
    </row>
    <row r="389" spans="2:38" s="42" customFormat="1" x14ac:dyDescent="0.35">
      <c r="B389" s="55" t="str">
        <f t="shared" si="30"/>
        <v/>
      </c>
      <c r="C389" s="40"/>
      <c r="D389" s="40"/>
      <c r="E389" s="41"/>
      <c r="F389" s="41"/>
      <c r="G389" s="41"/>
      <c r="H389" s="68" t="str">
        <f>IF('E2 — Triagem'!D394="","",'E2 — Triagem'!D394)</f>
        <v/>
      </c>
      <c r="I389" s="71"/>
      <c r="J389" s="41"/>
      <c r="K389" s="41"/>
      <c r="L389" s="71"/>
      <c r="M389" s="71"/>
      <c r="N389" s="71"/>
      <c r="O389" s="71"/>
      <c r="P389" s="41"/>
      <c r="Q389" s="41"/>
      <c r="R389" s="71"/>
      <c r="S389" s="71"/>
      <c r="T389" s="75"/>
      <c r="U389" s="75"/>
      <c r="V389" s="75"/>
      <c r="W389" s="58" t="str">
        <f t="shared" si="31"/>
        <v/>
      </c>
      <c r="X389" s="59" t="str">
        <f t="shared" si="32"/>
        <v/>
      </c>
      <c r="Y389" s="41"/>
      <c r="Z389" s="41"/>
      <c r="AA389" s="41"/>
      <c r="AB389" s="68" t="str">
        <f>IF($B389="","",'Workflow (Tracker)'!L412)</f>
        <v/>
      </c>
      <c r="AC389" s="69" t="str">
        <f>IF($B389="","",'E08 — Estabilização Hypercare'!K394)</f>
        <v/>
      </c>
      <c r="AD389" s="66" t="str">
        <f>IF($B389="","",'E08 — Estabilização Hypercare'!O394)</f>
        <v/>
      </c>
      <c r="AE389" s="66" t="str">
        <f>IF($B389="","",'E08 — Estabilização Hypercare'!Q394)</f>
        <v/>
      </c>
      <c r="AF389" s="66" t="str">
        <f>IF(OR($B389="",'E08 — Estabilização Hypercare'!R394=""),"",'E08 — Estabilização Hypercare'!R394)</f>
        <v/>
      </c>
      <c r="AG389" s="60" t="str">
        <f>IF($B389="","",'E08 — Estabilização Hypercare'!S394)</f>
        <v/>
      </c>
      <c r="AH389" s="61" t="str">
        <f>IF($B389="","",'E08 — Estabilização Hypercare'!T394)</f>
        <v/>
      </c>
      <c r="AI389" s="62" t="str">
        <f>IF($B389="","",'E08 — Estabilização Hypercare'!N394)</f>
        <v/>
      </c>
      <c r="AJ389" s="61" t="str">
        <f>IF(OR($B389="",'E08 — Estabilização Hypercare'!U394=""),"",'E08 — Estabilização Hypercare'!U394)</f>
        <v/>
      </c>
      <c r="AK389" s="60" t="str">
        <f t="shared" si="33"/>
        <v/>
      </c>
      <c r="AL389" s="65" t="str">
        <f t="shared" si="34"/>
        <v/>
      </c>
    </row>
    <row r="390" spans="2:38" s="42" customFormat="1" x14ac:dyDescent="0.35">
      <c r="B390" s="55" t="str">
        <f t="shared" si="30"/>
        <v/>
      </c>
      <c r="C390" s="40"/>
      <c r="D390" s="40"/>
      <c r="E390" s="41"/>
      <c r="F390" s="41"/>
      <c r="G390" s="41"/>
      <c r="H390" s="68" t="str">
        <f>IF('E2 — Triagem'!D395="","",'E2 — Triagem'!D395)</f>
        <v/>
      </c>
      <c r="I390" s="71"/>
      <c r="J390" s="41"/>
      <c r="K390" s="41"/>
      <c r="L390" s="71"/>
      <c r="M390" s="71"/>
      <c r="N390" s="71"/>
      <c r="O390" s="71"/>
      <c r="P390" s="41"/>
      <c r="Q390" s="41"/>
      <c r="R390" s="71"/>
      <c r="S390" s="71"/>
      <c r="T390" s="75"/>
      <c r="U390" s="75"/>
      <c r="V390" s="75"/>
      <c r="W390" s="58" t="str">
        <f t="shared" si="31"/>
        <v/>
      </c>
      <c r="X390" s="59" t="str">
        <f t="shared" si="32"/>
        <v/>
      </c>
      <c r="Y390" s="41"/>
      <c r="Z390" s="41"/>
      <c r="AA390" s="41"/>
      <c r="AB390" s="68" t="str">
        <f>IF($B390="","",'Workflow (Tracker)'!L413)</f>
        <v/>
      </c>
      <c r="AC390" s="69" t="str">
        <f>IF($B390="","",'E08 — Estabilização Hypercare'!K395)</f>
        <v/>
      </c>
      <c r="AD390" s="66" t="str">
        <f>IF($B390="","",'E08 — Estabilização Hypercare'!O395)</f>
        <v/>
      </c>
      <c r="AE390" s="66" t="str">
        <f>IF($B390="","",'E08 — Estabilização Hypercare'!Q395)</f>
        <v/>
      </c>
      <c r="AF390" s="66" t="str">
        <f>IF(OR($B390="",'E08 — Estabilização Hypercare'!R395=""),"",'E08 — Estabilização Hypercare'!R395)</f>
        <v/>
      </c>
      <c r="AG390" s="60" t="str">
        <f>IF($B390="","",'E08 — Estabilização Hypercare'!S395)</f>
        <v/>
      </c>
      <c r="AH390" s="61" t="str">
        <f>IF($B390="","",'E08 — Estabilização Hypercare'!T395)</f>
        <v/>
      </c>
      <c r="AI390" s="62" t="str">
        <f>IF($B390="","",'E08 — Estabilização Hypercare'!N395)</f>
        <v/>
      </c>
      <c r="AJ390" s="61" t="str">
        <f>IF(OR($B390="",'E08 — Estabilização Hypercare'!U395=""),"",'E08 — Estabilização Hypercare'!U395)</f>
        <v/>
      </c>
      <c r="AK390" s="60" t="str">
        <f t="shared" si="33"/>
        <v/>
      </c>
      <c r="AL390" s="65" t="str">
        <f t="shared" si="34"/>
        <v/>
      </c>
    </row>
    <row r="391" spans="2:38" s="42" customFormat="1" x14ac:dyDescent="0.35">
      <c r="B391" s="55" t="str">
        <f t="shared" si="30"/>
        <v/>
      </c>
      <c r="C391" s="40"/>
      <c r="D391" s="40"/>
      <c r="E391" s="41"/>
      <c r="F391" s="41"/>
      <c r="G391" s="41"/>
      <c r="H391" s="68" t="str">
        <f>IF('E2 — Triagem'!D396="","",'E2 — Triagem'!D396)</f>
        <v/>
      </c>
      <c r="I391" s="71"/>
      <c r="J391" s="41"/>
      <c r="K391" s="41"/>
      <c r="L391" s="71"/>
      <c r="M391" s="71"/>
      <c r="N391" s="71"/>
      <c r="O391" s="71"/>
      <c r="P391" s="41"/>
      <c r="Q391" s="41"/>
      <c r="R391" s="71"/>
      <c r="S391" s="71"/>
      <c r="T391" s="75"/>
      <c r="U391" s="75"/>
      <c r="V391" s="75"/>
      <c r="W391" s="58" t="str">
        <f t="shared" si="31"/>
        <v/>
      </c>
      <c r="X391" s="59" t="str">
        <f t="shared" si="32"/>
        <v/>
      </c>
      <c r="Y391" s="41"/>
      <c r="Z391" s="41"/>
      <c r="AA391" s="41"/>
      <c r="AB391" s="68" t="str">
        <f>IF($B391="","",'Workflow (Tracker)'!L414)</f>
        <v/>
      </c>
      <c r="AC391" s="69" t="str">
        <f>IF($B391="","",'E08 — Estabilização Hypercare'!K396)</f>
        <v/>
      </c>
      <c r="AD391" s="66" t="str">
        <f>IF($B391="","",'E08 — Estabilização Hypercare'!O396)</f>
        <v/>
      </c>
      <c r="AE391" s="66" t="str">
        <f>IF($B391="","",'E08 — Estabilização Hypercare'!Q396)</f>
        <v/>
      </c>
      <c r="AF391" s="66" t="str">
        <f>IF(OR($B391="",'E08 — Estabilização Hypercare'!R396=""),"",'E08 — Estabilização Hypercare'!R396)</f>
        <v/>
      </c>
      <c r="AG391" s="60" t="str">
        <f>IF($B391="","",'E08 — Estabilização Hypercare'!S396)</f>
        <v/>
      </c>
      <c r="AH391" s="61" t="str">
        <f>IF($B391="","",'E08 — Estabilização Hypercare'!T396)</f>
        <v/>
      </c>
      <c r="AI391" s="62" t="str">
        <f>IF($B391="","",'E08 — Estabilização Hypercare'!N396)</f>
        <v/>
      </c>
      <c r="AJ391" s="61" t="str">
        <f>IF(OR($B391="",'E08 — Estabilização Hypercare'!U396=""),"",'E08 — Estabilização Hypercare'!U396)</f>
        <v/>
      </c>
      <c r="AK391" s="60" t="str">
        <f t="shared" si="33"/>
        <v/>
      </c>
      <c r="AL391" s="65" t="str">
        <f t="shared" si="34"/>
        <v/>
      </c>
    </row>
    <row r="392" spans="2:38" s="42" customFormat="1" x14ac:dyDescent="0.35">
      <c r="B392" s="55" t="str">
        <f t="shared" si="30"/>
        <v/>
      </c>
      <c r="C392" s="40"/>
      <c r="D392" s="40"/>
      <c r="E392" s="41"/>
      <c r="F392" s="41"/>
      <c r="G392" s="41"/>
      <c r="H392" s="68" t="str">
        <f>IF('E2 — Triagem'!D397="","",'E2 — Triagem'!D397)</f>
        <v/>
      </c>
      <c r="I392" s="71"/>
      <c r="J392" s="41"/>
      <c r="K392" s="41"/>
      <c r="L392" s="71"/>
      <c r="M392" s="71"/>
      <c r="N392" s="71"/>
      <c r="O392" s="71"/>
      <c r="P392" s="41"/>
      <c r="Q392" s="41"/>
      <c r="R392" s="71"/>
      <c r="S392" s="71"/>
      <c r="T392" s="75"/>
      <c r="U392" s="75"/>
      <c r="V392" s="75"/>
      <c r="W392" s="58" t="str">
        <f t="shared" si="31"/>
        <v/>
      </c>
      <c r="X392" s="59" t="str">
        <f t="shared" si="32"/>
        <v/>
      </c>
      <c r="Y392" s="41"/>
      <c r="Z392" s="41"/>
      <c r="AA392" s="41"/>
      <c r="AB392" s="68" t="str">
        <f>IF($B392="","",'Workflow (Tracker)'!L415)</f>
        <v/>
      </c>
      <c r="AC392" s="69" t="str">
        <f>IF($B392="","",'E08 — Estabilização Hypercare'!K397)</f>
        <v/>
      </c>
      <c r="AD392" s="66" t="str">
        <f>IF($B392="","",'E08 — Estabilização Hypercare'!O397)</f>
        <v/>
      </c>
      <c r="AE392" s="66" t="str">
        <f>IF($B392="","",'E08 — Estabilização Hypercare'!Q397)</f>
        <v/>
      </c>
      <c r="AF392" s="66" t="str">
        <f>IF(OR($B392="",'E08 — Estabilização Hypercare'!R397=""),"",'E08 — Estabilização Hypercare'!R397)</f>
        <v/>
      </c>
      <c r="AG392" s="60" t="str">
        <f>IF($B392="","",'E08 — Estabilização Hypercare'!S397)</f>
        <v/>
      </c>
      <c r="AH392" s="61" t="str">
        <f>IF($B392="","",'E08 — Estabilização Hypercare'!T397)</f>
        <v/>
      </c>
      <c r="AI392" s="62" t="str">
        <f>IF($B392="","",'E08 — Estabilização Hypercare'!N397)</f>
        <v/>
      </c>
      <c r="AJ392" s="61" t="str">
        <f>IF(OR($B392="",'E08 — Estabilização Hypercare'!U397=""),"",'E08 — Estabilização Hypercare'!U397)</f>
        <v/>
      </c>
      <c r="AK392" s="60" t="str">
        <f t="shared" si="33"/>
        <v/>
      </c>
      <c r="AL392" s="65" t="str">
        <f t="shared" si="34"/>
        <v/>
      </c>
    </row>
    <row r="393" spans="2:38" s="42" customFormat="1" x14ac:dyDescent="0.35">
      <c r="B393" s="55" t="str">
        <f t="shared" si="30"/>
        <v/>
      </c>
      <c r="C393" s="40"/>
      <c r="D393" s="40"/>
      <c r="E393" s="41"/>
      <c r="F393" s="41"/>
      <c r="G393" s="41"/>
      <c r="H393" s="68" t="str">
        <f>IF('E2 — Triagem'!D398="","",'E2 — Triagem'!D398)</f>
        <v/>
      </c>
      <c r="I393" s="71"/>
      <c r="J393" s="41"/>
      <c r="K393" s="41"/>
      <c r="L393" s="71"/>
      <c r="M393" s="71"/>
      <c r="N393" s="71"/>
      <c r="O393" s="71"/>
      <c r="P393" s="41"/>
      <c r="Q393" s="41"/>
      <c r="R393" s="71"/>
      <c r="S393" s="71"/>
      <c r="T393" s="75"/>
      <c r="U393" s="75"/>
      <c r="V393" s="75"/>
      <c r="W393" s="58" t="str">
        <f t="shared" si="31"/>
        <v/>
      </c>
      <c r="X393" s="59" t="str">
        <f t="shared" si="32"/>
        <v/>
      </c>
      <c r="Y393" s="41"/>
      <c r="Z393" s="41"/>
      <c r="AA393" s="41"/>
      <c r="AB393" s="68" t="str">
        <f>IF($B393="","",'Workflow (Tracker)'!L416)</f>
        <v/>
      </c>
      <c r="AC393" s="69" t="str">
        <f>IF($B393="","",'E08 — Estabilização Hypercare'!K398)</f>
        <v/>
      </c>
      <c r="AD393" s="66" t="str">
        <f>IF($B393="","",'E08 — Estabilização Hypercare'!O398)</f>
        <v/>
      </c>
      <c r="AE393" s="66" t="str">
        <f>IF($B393="","",'E08 — Estabilização Hypercare'!Q398)</f>
        <v/>
      </c>
      <c r="AF393" s="66" t="str">
        <f>IF(OR($B393="",'E08 — Estabilização Hypercare'!R398=""),"",'E08 — Estabilização Hypercare'!R398)</f>
        <v/>
      </c>
      <c r="AG393" s="60" t="str">
        <f>IF($B393="","",'E08 — Estabilização Hypercare'!S398)</f>
        <v/>
      </c>
      <c r="AH393" s="61" t="str">
        <f>IF($B393="","",'E08 — Estabilização Hypercare'!T398)</f>
        <v/>
      </c>
      <c r="AI393" s="62" t="str">
        <f>IF($B393="","",'E08 — Estabilização Hypercare'!N398)</f>
        <v/>
      </c>
      <c r="AJ393" s="61" t="str">
        <f>IF(OR($B393="",'E08 — Estabilização Hypercare'!U398=""),"",'E08 — Estabilização Hypercare'!U398)</f>
        <v/>
      </c>
      <c r="AK393" s="60" t="str">
        <f t="shared" si="33"/>
        <v/>
      </c>
      <c r="AL393" s="65" t="str">
        <f t="shared" si="34"/>
        <v/>
      </c>
    </row>
    <row r="394" spans="2:38" s="42" customFormat="1" x14ac:dyDescent="0.35">
      <c r="B394" s="55" t="str">
        <f t="shared" si="30"/>
        <v/>
      </c>
      <c r="C394" s="40"/>
      <c r="D394" s="40"/>
      <c r="E394" s="41"/>
      <c r="F394" s="41"/>
      <c r="G394" s="41"/>
      <c r="H394" s="68" t="str">
        <f>IF('E2 — Triagem'!D399="","",'E2 — Triagem'!D399)</f>
        <v/>
      </c>
      <c r="I394" s="71"/>
      <c r="J394" s="41"/>
      <c r="K394" s="41"/>
      <c r="L394" s="71"/>
      <c r="M394" s="71"/>
      <c r="N394" s="71"/>
      <c r="O394" s="71"/>
      <c r="P394" s="41"/>
      <c r="Q394" s="41"/>
      <c r="R394" s="71"/>
      <c r="S394" s="71"/>
      <c r="T394" s="75"/>
      <c r="U394" s="75"/>
      <c r="V394" s="75"/>
      <c r="W394" s="58" t="str">
        <f t="shared" si="31"/>
        <v/>
      </c>
      <c r="X394" s="59" t="str">
        <f t="shared" si="32"/>
        <v/>
      </c>
      <c r="Y394" s="41"/>
      <c r="Z394" s="41"/>
      <c r="AA394" s="41"/>
      <c r="AB394" s="68" t="str">
        <f>IF($B394="","",'Workflow (Tracker)'!L417)</f>
        <v/>
      </c>
      <c r="AC394" s="69" t="str">
        <f>IF($B394="","",'E08 — Estabilização Hypercare'!K399)</f>
        <v/>
      </c>
      <c r="AD394" s="66" t="str">
        <f>IF($B394="","",'E08 — Estabilização Hypercare'!O399)</f>
        <v/>
      </c>
      <c r="AE394" s="66" t="str">
        <f>IF($B394="","",'E08 — Estabilização Hypercare'!Q399)</f>
        <v/>
      </c>
      <c r="AF394" s="66" t="str">
        <f>IF(OR($B394="",'E08 — Estabilização Hypercare'!R399=""),"",'E08 — Estabilização Hypercare'!R399)</f>
        <v/>
      </c>
      <c r="AG394" s="60" t="str">
        <f>IF($B394="","",'E08 — Estabilização Hypercare'!S399)</f>
        <v/>
      </c>
      <c r="AH394" s="61" t="str">
        <f>IF($B394="","",'E08 — Estabilização Hypercare'!T399)</f>
        <v/>
      </c>
      <c r="AI394" s="62" t="str">
        <f>IF($B394="","",'E08 — Estabilização Hypercare'!N399)</f>
        <v/>
      </c>
      <c r="AJ394" s="61" t="str">
        <f>IF(OR($B394="",'E08 — Estabilização Hypercare'!U399=""),"",'E08 — Estabilização Hypercare'!U399)</f>
        <v/>
      </c>
      <c r="AK394" s="60" t="str">
        <f t="shared" si="33"/>
        <v/>
      </c>
      <c r="AL394" s="65" t="str">
        <f t="shared" si="34"/>
        <v/>
      </c>
    </row>
    <row r="395" spans="2:38" s="42" customFormat="1" x14ac:dyDescent="0.35">
      <c r="B395" s="55" t="str">
        <f t="shared" si="30"/>
        <v/>
      </c>
      <c r="C395" s="40"/>
      <c r="D395" s="40"/>
      <c r="E395" s="41"/>
      <c r="F395" s="41"/>
      <c r="G395" s="41"/>
      <c r="H395" s="68" t="str">
        <f>IF('E2 — Triagem'!D400="","",'E2 — Triagem'!D400)</f>
        <v/>
      </c>
      <c r="I395" s="71"/>
      <c r="J395" s="41"/>
      <c r="K395" s="41"/>
      <c r="L395" s="71"/>
      <c r="M395" s="71"/>
      <c r="N395" s="71"/>
      <c r="O395" s="71"/>
      <c r="P395" s="41"/>
      <c r="Q395" s="41"/>
      <c r="R395" s="71"/>
      <c r="S395" s="71"/>
      <c r="T395" s="75"/>
      <c r="U395" s="75"/>
      <c r="V395" s="75"/>
      <c r="W395" s="58" t="str">
        <f t="shared" si="31"/>
        <v/>
      </c>
      <c r="X395" s="59" t="str">
        <f t="shared" si="32"/>
        <v/>
      </c>
      <c r="Y395" s="41"/>
      <c r="Z395" s="41"/>
      <c r="AA395" s="41"/>
      <c r="AB395" s="68" t="str">
        <f>IF($B395="","",'Workflow (Tracker)'!L418)</f>
        <v/>
      </c>
      <c r="AC395" s="69" t="str">
        <f>IF($B395="","",'E08 — Estabilização Hypercare'!K400)</f>
        <v/>
      </c>
      <c r="AD395" s="66" t="str">
        <f>IF($B395="","",'E08 — Estabilização Hypercare'!O400)</f>
        <v/>
      </c>
      <c r="AE395" s="66" t="str">
        <f>IF($B395="","",'E08 — Estabilização Hypercare'!Q400)</f>
        <v/>
      </c>
      <c r="AF395" s="66" t="str">
        <f>IF(OR($B395="",'E08 — Estabilização Hypercare'!R400=""),"",'E08 — Estabilização Hypercare'!R400)</f>
        <v/>
      </c>
      <c r="AG395" s="60" t="str">
        <f>IF($B395="","",'E08 — Estabilização Hypercare'!S400)</f>
        <v/>
      </c>
      <c r="AH395" s="61" t="str">
        <f>IF($B395="","",'E08 — Estabilização Hypercare'!T400)</f>
        <v/>
      </c>
      <c r="AI395" s="62" t="str">
        <f>IF($B395="","",'E08 — Estabilização Hypercare'!N400)</f>
        <v/>
      </c>
      <c r="AJ395" s="61" t="str">
        <f>IF(OR($B395="",'E08 — Estabilização Hypercare'!U400=""),"",'E08 — Estabilização Hypercare'!U400)</f>
        <v/>
      </c>
      <c r="AK395" s="60" t="str">
        <f t="shared" si="33"/>
        <v/>
      </c>
      <c r="AL395" s="65" t="str">
        <f t="shared" si="34"/>
        <v/>
      </c>
    </row>
    <row r="396" spans="2:38" s="42" customFormat="1" x14ac:dyDescent="0.35">
      <c r="B396" s="55" t="str">
        <f t="shared" si="30"/>
        <v/>
      </c>
      <c r="C396" s="40"/>
      <c r="D396" s="40"/>
      <c r="E396" s="41"/>
      <c r="F396" s="41"/>
      <c r="G396" s="41"/>
      <c r="H396" s="68" t="str">
        <f>IF('E2 — Triagem'!D401="","",'E2 — Triagem'!D401)</f>
        <v/>
      </c>
      <c r="I396" s="71"/>
      <c r="J396" s="41"/>
      <c r="K396" s="41"/>
      <c r="L396" s="71"/>
      <c r="M396" s="71"/>
      <c r="N396" s="71"/>
      <c r="O396" s="71"/>
      <c r="P396" s="41"/>
      <c r="Q396" s="41"/>
      <c r="R396" s="71"/>
      <c r="S396" s="71"/>
      <c r="T396" s="75"/>
      <c r="U396" s="75"/>
      <c r="V396" s="75"/>
      <c r="W396" s="58" t="str">
        <f t="shared" si="31"/>
        <v/>
      </c>
      <c r="X396" s="59" t="str">
        <f t="shared" si="32"/>
        <v/>
      </c>
      <c r="Y396" s="41"/>
      <c r="Z396" s="41"/>
      <c r="AA396" s="41"/>
      <c r="AB396" s="68" t="str">
        <f>IF($B396="","",'Workflow (Tracker)'!L419)</f>
        <v/>
      </c>
      <c r="AC396" s="69" t="str">
        <f>IF($B396="","",'E08 — Estabilização Hypercare'!K401)</f>
        <v/>
      </c>
      <c r="AD396" s="66" t="str">
        <f>IF($B396="","",'E08 — Estabilização Hypercare'!O401)</f>
        <v/>
      </c>
      <c r="AE396" s="66" t="str">
        <f>IF($B396="","",'E08 — Estabilização Hypercare'!Q401)</f>
        <v/>
      </c>
      <c r="AF396" s="66" t="str">
        <f>IF(OR($B396="",'E08 — Estabilização Hypercare'!R401=""),"",'E08 — Estabilização Hypercare'!R401)</f>
        <v/>
      </c>
      <c r="AG396" s="60" t="str">
        <f>IF($B396="","",'E08 — Estabilização Hypercare'!S401)</f>
        <v/>
      </c>
      <c r="AH396" s="61" t="str">
        <f>IF($B396="","",'E08 — Estabilização Hypercare'!T401)</f>
        <v/>
      </c>
      <c r="AI396" s="62" t="str">
        <f>IF($B396="","",'E08 — Estabilização Hypercare'!N401)</f>
        <v/>
      </c>
      <c r="AJ396" s="61" t="str">
        <f>IF(OR($B396="",'E08 — Estabilização Hypercare'!U401=""),"",'E08 — Estabilização Hypercare'!U401)</f>
        <v/>
      </c>
      <c r="AK396" s="60" t="str">
        <f t="shared" si="33"/>
        <v/>
      </c>
      <c r="AL396" s="65" t="str">
        <f t="shared" si="34"/>
        <v/>
      </c>
    </row>
    <row r="397" spans="2:38" s="42" customFormat="1" x14ac:dyDescent="0.35">
      <c r="B397" s="55" t="str">
        <f t="shared" si="30"/>
        <v/>
      </c>
      <c r="C397" s="40"/>
      <c r="D397" s="40"/>
      <c r="E397" s="41"/>
      <c r="F397" s="41"/>
      <c r="G397" s="41"/>
      <c r="H397" s="68" t="str">
        <f>IF('E2 — Triagem'!D402="","",'E2 — Triagem'!D402)</f>
        <v/>
      </c>
      <c r="I397" s="71"/>
      <c r="J397" s="41"/>
      <c r="K397" s="41"/>
      <c r="L397" s="71"/>
      <c r="M397" s="71"/>
      <c r="N397" s="71"/>
      <c r="O397" s="71"/>
      <c r="P397" s="41"/>
      <c r="Q397" s="41"/>
      <c r="R397" s="71"/>
      <c r="S397" s="71"/>
      <c r="T397" s="75"/>
      <c r="U397" s="75"/>
      <c r="V397" s="75"/>
      <c r="W397" s="58" t="str">
        <f t="shared" si="31"/>
        <v/>
      </c>
      <c r="X397" s="59" t="str">
        <f t="shared" si="32"/>
        <v/>
      </c>
      <c r="Y397" s="41"/>
      <c r="Z397" s="41"/>
      <c r="AA397" s="41"/>
      <c r="AB397" s="68" t="str">
        <f>IF($B397="","",'Workflow (Tracker)'!L420)</f>
        <v/>
      </c>
      <c r="AC397" s="69" t="str">
        <f>IF($B397="","",'E08 — Estabilização Hypercare'!K402)</f>
        <v/>
      </c>
      <c r="AD397" s="66" t="str">
        <f>IF($B397="","",'E08 — Estabilização Hypercare'!O402)</f>
        <v/>
      </c>
      <c r="AE397" s="66" t="str">
        <f>IF($B397="","",'E08 — Estabilização Hypercare'!Q402)</f>
        <v/>
      </c>
      <c r="AF397" s="66" t="str">
        <f>IF(OR($B397="",'E08 — Estabilização Hypercare'!R402=""),"",'E08 — Estabilização Hypercare'!R402)</f>
        <v/>
      </c>
      <c r="AG397" s="60" t="str">
        <f>IF($B397="","",'E08 — Estabilização Hypercare'!S402)</f>
        <v/>
      </c>
      <c r="AH397" s="61" t="str">
        <f>IF($B397="","",'E08 — Estabilização Hypercare'!T402)</f>
        <v/>
      </c>
      <c r="AI397" s="62" t="str">
        <f>IF($B397="","",'E08 — Estabilização Hypercare'!N402)</f>
        <v/>
      </c>
      <c r="AJ397" s="61" t="str">
        <f>IF(OR($B397="",'E08 — Estabilização Hypercare'!U402=""),"",'E08 — Estabilização Hypercare'!U402)</f>
        <v/>
      </c>
      <c r="AK397" s="60" t="str">
        <f t="shared" si="33"/>
        <v/>
      </c>
      <c r="AL397" s="65" t="str">
        <f t="shared" si="34"/>
        <v/>
      </c>
    </row>
    <row r="398" spans="2:38" s="42" customFormat="1" x14ac:dyDescent="0.35">
      <c r="B398" s="55" t="str">
        <f t="shared" si="30"/>
        <v/>
      </c>
      <c r="C398" s="40"/>
      <c r="D398" s="40"/>
      <c r="E398" s="41"/>
      <c r="F398" s="41"/>
      <c r="G398" s="41"/>
      <c r="H398" s="68" t="str">
        <f>IF('E2 — Triagem'!D403="","",'E2 — Triagem'!D403)</f>
        <v/>
      </c>
      <c r="I398" s="71"/>
      <c r="J398" s="41"/>
      <c r="K398" s="41"/>
      <c r="L398" s="71"/>
      <c r="M398" s="71"/>
      <c r="N398" s="71"/>
      <c r="O398" s="71"/>
      <c r="P398" s="41"/>
      <c r="Q398" s="41"/>
      <c r="R398" s="71"/>
      <c r="S398" s="71"/>
      <c r="T398" s="75"/>
      <c r="U398" s="75"/>
      <c r="V398" s="75"/>
      <c r="W398" s="58" t="str">
        <f t="shared" si="31"/>
        <v/>
      </c>
      <c r="X398" s="59" t="str">
        <f t="shared" si="32"/>
        <v/>
      </c>
      <c r="Y398" s="41"/>
      <c r="Z398" s="41"/>
      <c r="AA398" s="41"/>
      <c r="AB398" s="68" t="str">
        <f>IF($B398="","",'Workflow (Tracker)'!L421)</f>
        <v/>
      </c>
      <c r="AC398" s="69" t="str">
        <f>IF($B398="","",'E08 — Estabilização Hypercare'!K403)</f>
        <v/>
      </c>
      <c r="AD398" s="66" t="str">
        <f>IF($B398="","",'E08 — Estabilização Hypercare'!O403)</f>
        <v/>
      </c>
      <c r="AE398" s="66" t="str">
        <f>IF($B398="","",'E08 — Estabilização Hypercare'!Q403)</f>
        <v/>
      </c>
      <c r="AF398" s="66" t="str">
        <f>IF(OR($B398="",'E08 — Estabilização Hypercare'!R403=""),"",'E08 — Estabilização Hypercare'!R403)</f>
        <v/>
      </c>
      <c r="AG398" s="60" t="str">
        <f>IF($B398="","",'E08 — Estabilização Hypercare'!S403)</f>
        <v/>
      </c>
      <c r="AH398" s="61" t="str">
        <f>IF($B398="","",'E08 — Estabilização Hypercare'!T403)</f>
        <v/>
      </c>
      <c r="AI398" s="62" t="str">
        <f>IF($B398="","",'E08 — Estabilização Hypercare'!N403)</f>
        <v/>
      </c>
      <c r="AJ398" s="61" t="str">
        <f>IF(OR($B398="",'E08 — Estabilização Hypercare'!U403=""),"",'E08 — Estabilização Hypercare'!U403)</f>
        <v/>
      </c>
      <c r="AK398" s="60" t="str">
        <f t="shared" si="33"/>
        <v/>
      </c>
      <c r="AL398" s="65" t="str">
        <f t="shared" si="34"/>
        <v/>
      </c>
    </row>
    <row r="399" spans="2:38" s="42" customFormat="1" x14ac:dyDescent="0.35">
      <c r="B399" s="55" t="str">
        <f t="shared" si="30"/>
        <v/>
      </c>
      <c r="C399" s="40"/>
      <c r="D399" s="40"/>
      <c r="E399" s="41"/>
      <c r="F399" s="41"/>
      <c r="G399" s="41"/>
      <c r="H399" s="68" t="str">
        <f>IF('E2 — Triagem'!D404="","",'E2 — Triagem'!D404)</f>
        <v/>
      </c>
      <c r="I399" s="71"/>
      <c r="J399" s="41"/>
      <c r="K399" s="41"/>
      <c r="L399" s="71"/>
      <c r="M399" s="71"/>
      <c r="N399" s="71"/>
      <c r="O399" s="71"/>
      <c r="P399" s="41"/>
      <c r="Q399" s="41"/>
      <c r="R399" s="71"/>
      <c r="S399" s="71"/>
      <c r="T399" s="75"/>
      <c r="U399" s="75"/>
      <c r="V399" s="75"/>
      <c r="W399" s="58" t="str">
        <f t="shared" si="31"/>
        <v/>
      </c>
      <c r="X399" s="59" t="str">
        <f t="shared" si="32"/>
        <v/>
      </c>
      <c r="Y399" s="41"/>
      <c r="Z399" s="41"/>
      <c r="AA399" s="41"/>
      <c r="AB399" s="68" t="str">
        <f>IF($B399="","",'Workflow (Tracker)'!L422)</f>
        <v/>
      </c>
      <c r="AC399" s="69" t="str">
        <f>IF($B399="","",'E08 — Estabilização Hypercare'!K404)</f>
        <v/>
      </c>
      <c r="AD399" s="66" t="str">
        <f>IF($B399="","",'E08 — Estabilização Hypercare'!O404)</f>
        <v/>
      </c>
      <c r="AE399" s="66" t="str">
        <f>IF($B399="","",'E08 — Estabilização Hypercare'!Q404)</f>
        <v/>
      </c>
      <c r="AF399" s="66" t="str">
        <f>IF(OR($B399="",'E08 — Estabilização Hypercare'!R404=""),"",'E08 — Estabilização Hypercare'!R404)</f>
        <v/>
      </c>
      <c r="AG399" s="60" t="str">
        <f>IF($B399="","",'E08 — Estabilização Hypercare'!S404)</f>
        <v/>
      </c>
      <c r="AH399" s="61" t="str">
        <f>IF($B399="","",'E08 — Estabilização Hypercare'!T404)</f>
        <v/>
      </c>
      <c r="AI399" s="62" t="str">
        <f>IF($B399="","",'E08 — Estabilização Hypercare'!N404)</f>
        <v/>
      </c>
      <c r="AJ399" s="61" t="str">
        <f>IF(OR($B399="",'E08 — Estabilização Hypercare'!U404=""),"",'E08 — Estabilização Hypercare'!U404)</f>
        <v/>
      </c>
      <c r="AK399" s="60" t="str">
        <f t="shared" si="33"/>
        <v/>
      </c>
      <c r="AL399" s="65" t="str">
        <f t="shared" si="34"/>
        <v/>
      </c>
    </row>
    <row r="400" spans="2:38" s="42" customFormat="1" x14ac:dyDescent="0.35">
      <c r="B400" s="55" t="str">
        <f t="shared" si="30"/>
        <v/>
      </c>
      <c r="C400" s="40"/>
      <c r="D400" s="40"/>
      <c r="E400" s="41"/>
      <c r="F400" s="41"/>
      <c r="G400" s="41"/>
      <c r="H400" s="68" t="str">
        <f>IF('E2 — Triagem'!D405="","",'E2 — Triagem'!D405)</f>
        <v/>
      </c>
      <c r="I400" s="71"/>
      <c r="J400" s="41"/>
      <c r="K400" s="41"/>
      <c r="L400" s="71"/>
      <c r="M400" s="71"/>
      <c r="N400" s="71"/>
      <c r="O400" s="71"/>
      <c r="P400" s="41"/>
      <c r="Q400" s="41"/>
      <c r="R400" s="71"/>
      <c r="S400" s="71"/>
      <c r="T400" s="75"/>
      <c r="U400" s="75"/>
      <c r="V400" s="75"/>
      <c r="W400" s="58" t="str">
        <f t="shared" si="31"/>
        <v/>
      </c>
      <c r="X400" s="59" t="str">
        <f t="shared" si="32"/>
        <v/>
      </c>
      <c r="Y400" s="41"/>
      <c r="Z400" s="41"/>
      <c r="AA400" s="41"/>
      <c r="AB400" s="68" t="str">
        <f>IF($B400="","",'Workflow (Tracker)'!L423)</f>
        <v/>
      </c>
      <c r="AC400" s="69" t="str">
        <f>IF($B400="","",'E08 — Estabilização Hypercare'!K405)</f>
        <v/>
      </c>
      <c r="AD400" s="66" t="str">
        <f>IF($B400="","",'E08 — Estabilização Hypercare'!O405)</f>
        <v/>
      </c>
      <c r="AE400" s="66" t="str">
        <f>IF($B400="","",'E08 — Estabilização Hypercare'!Q405)</f>
        <v/>
      </c>
      <c r="AF400" s="66" t="str">
        <f>IF(OR($B400="",'E08 — Estabilização Hypercare'!R405=""),"",'E08 — Estabilização Hypercare'!R405)</f>
        <v/>
      </c>
      <c r="AG400" s="60" t="str">
        <f>IF($B400="","",'E08 — Estabilização Hypercare'!S405)</f>
        <v/>
      </c>
      <c r="AH400" s="61" t="str">
        <f>IF($B400="","",'E08 — Estabilização Hypercare'!T405)</f>
        <v/>
      </c>
      <c r="AI400" s="62" t="str">
        <f>IF($B400="","",'E08 — Estabilização Hypercare'!N405)</f>
        <v/>
      </c>
      <c r="AJ400" s="61" t="str">
        <f>IF(OR($B400="",'E08 — Estabilização Hypercare'!U405=""),"",'E08 — Estabilização Hypercare'!U405)</f>
        <v/>
      </c>
      <c r="AK400" s="60" t="str">
        <f t="shared" si="33"/>
        <v/>
      </c>
      <c r="AL400" s="65" t="str">
        <f t="shared" si="34"/>
        <v/>
      </c>
    </row>
    <row r="401" spans="2:38" s="42" customFormat="1" x14ac:dyDescent="0.35">
      <c r="B401" s="55" t="str">
        <f t="shared" si="30"/>
        <v/>
      </c>
      <c r="C401" s="40"/>
      <c r="D401" s="40"/>
      <c r="E401" s="41"/>
      <c r="F401" s="41"/>
      <c r="G401" s="41"/>
      <c r="H401" s="68" t="str">
        <f>IF('E2 — Triagem'!D406="","",'E2 — Triagem'!D406)</f>
        <v/>
      </c>
      <c r="I401" s="71"/>
      <c r="J401" s="41"/>
      <c r="K401" s="41"/>
      <c r="L401" s="71"/>
      <c r="M401" s="71"/>
      <c r="N401" s="71"/>
      <c r="O401" s="71"/>
      <c r="P401" s="41"/>
      <c r="Q401" s="41"/>
      <c r="R401" s="71"/>
      <c r="S401" s="71"/>
      <c r="T401" s="75"/>
      <c r="U401" s="75"/>
      <c r="V401" s="75"/>
      <c r="W401" s="58" t="str">
        <f t="shared" si="31"/>
        <v/>
      </c>
      <c r="X401" s="59" t="str">
        <f t="shared" si="32"/>
        <v/>
      </c>
      <c r="Y401" s="41"/>
      <c r="Z401" s="41"/>
      <c r="AA401" s="41"/>
      <c r="AB401" s="68" t="str">
        <f>IF($B401="","",'Workflow (Tracker)'!L424)</f>
        <v/>
      </c>
      <c r="AC401" s="69" t="str">
        <f>IF($B401="","",'E08 — Estabilização Hypercare'!K406)</f>
        <v/>
      </c>
      <c r="AD401" s="66" t="str">
        <f>IF($B401="","",'E08 — Estabilização Hypercare'!O406)</f>
        <v/>
      </c>
      <c r="AE401" s="66" t="str">
        <f>IF($B401="","",'E08 — Estabilização Hypercare'!Q406)</f>
        <v/>
      </c>
      <c r="AF401" s="66" t="str">
        <f>IF(OR($B401="",'E08 — Estabilização Hypercare'!R406=""),"",'E08 — Estabilização Hypercare'!R406)</f>
        <v/>
      </c>
      <c r="AG401" s="60" t="str">
        <f>IF($B401="","",'E08 — Estabilização Hypercare'!S406)</f>
        <v/>
      </c>
      <c r="AH401" s="61" t="str">
        <f>IF($B401="","",'E08 — Estabilização Hypercare'!T406)</f>
        <v/>
      </c>
      <c r="AI401" s="62" t="str">
        <f>IF($B401="","",'E08 — Estabilização Hypercare'!N406)</f>
        <v/>
      </c>
      <c r="AJ401" s="61" t="str">
        <f>IF(OR($B401="",'E08 — Estabilização Hypercare'!U406=""),"",'E08 — Estabilização Hypercare'!U406)</f>
        <v/>
      </c>
      <c r="AK401" s="60" t="str">
        <f t="shared" si="33"/>
        <v/>
      </c>
      <c r="AL401" s="65" t="str">
        <f t="shared" si="34"/>
        <v/>
      </c>
    </row>
    <row r="402" spans="2:38" s="42" customFormat="1" x14ac:dyDescent="0.35">
      <c r="B402" s="55" t="str">
        <f t="shared" si="30"/>
        <v/>
      </c>
      <c r="C402" s="40"/>
      <c r="D402" s="40"/>
      <c r="E402" s="41"/>
      <c r="F402" s="41"/>
      <c r="G402" s="41"/>
      <c r="H402" s="68" t="str">
        <f>IF('E2 — Triagem'!D407="","",'E2 — Triagem'!D407)</f>
        <v/>
      </c>
      <c r="I402" s="71"/>
      <c r="J402" s="41"/>
      <c r="K402" s="41"/>
      <c r="L402" s="71"/>
      <c r="M402" s="71"/>
      <c r="N402" s="71"/>
      <c r="O402" s="71"/>
      <c r="P402" s="41"/>
      <c r="Q402" s="41"/>
      <c r="R402" s="71"/>
      <c r="S402" s="71"/>
      <c r="T402" s="75"/>
      <c r="U402" s="75"/>
      <c r="V402" s="75"/>
      <c r="W402" s="58" t="str">
        <f t="shared" si="31"/>
        <v/>
      </c>
      <c r="X402" s="59" t="str">
        <f t="shared" si="32"/>
        <v/>
      </c>
      <c r="Y402" s="41"/>
      <c r="Z402" s="41"/>
      <c r="AA402" s="41"/>
      <c r="AB402" s="68" t="str">
        <f>IF($B402="","",'Workflow (Tracker)'!L425)</f>
        <v/>
      </c>
      <c r="AC402" s="69" t="str">
        <f>IF($B402="","",'E08 — Estabilização Hypercare'!K407)</f>
        <v/>
      </c>
      <c r="AD402" s="66" t="str">
        <f>IF($B402="","",'E08 — Estabilização Hypercare'!O407)</f>
        <v/>
      </c>
      <c r="AE402" s="66" t="str">
        <f>IF($B402="","",'E08 — Estabilização Hypercare'!Q407)</f>
        <v/>
      </c>
      <c r="AF402" s="66" t="str">
        <f>IF(OR($B402="",'E08 — Estabilização Hypercare'!R407=""),"",'E08 — Estabilização Hypercare'!R407)</f>
        <v/>
      </c>
      <c r="AG402" s="60" t="str">
        <f>IF($B402="","",'E08 — Estabilização Hypercare'!S407)</f>
        <v/>
      </c>
      <c r="AH402" s="61" t="str">
        <f>IF($B402="","",'E08 — Estabilização Hypercare'!T407)</f>
        <v/>
      </c>
      <c r="AI402" s="62" t="str">
        <f>IF($B402="","",'E08 — Estabilização Hypercare'!N407)</f>
        <v/>
      </c>
      <c r="AJ402" s="61" t="str">
        <f>IF(OR($B402="",'E08 — Estabilização Hypercare'!U407=""),"",'E08 — Estabilização Hypercare'!U407)</f>
        <v/>
      </c>
      <c r="AK402" s="60" t="str">
        <f t="shared" si="33"/>
        <v/>
      </c>
      <c r="AL402" s="65" t="str">
        <f t="shared" si="34"/>
        <v/>
      </c>
    </row>
    <row r="403" spans="2:38" s="42" customFormat="1" x14ac:dyDescent="0.35">
      <c r="B403" s="55" t="str">
        <f t="shared" si="30"/>
        <v/>
      </c>
      <c r="C403" s="40"/>
      <c r="D403" s="40"/>
      <c r="E403" s="41"/>
      <c r="F403" s="41"/>
      <c r="G403" s="41"/>
      <c r="H403" s="68" t="str">
        <f>IF('E2 — Triagem'!D408="","",'E2 — Triagem'!D408)</f>
        <v/>
      </c>
      <c r="I403" s="71"/>
      <c r="J403" s="41"/>
      <c r="K403" s="41"/>
      <c r="L403" s="71"/>
      <c r="M403" s="71"/>
      <c r="N403" s="71"/>
      <c r="O403" s="71"/>
      <c r="P403" s="41"/>
      <c r="Q403" s="41"/>
      <c r="R403" s="71"/>
      <c r="S403" s="71"/>
      <c r="T403" s="75"/>
      <c r="U403" s="75"/>
      <c r="V403" s="75"/>
      <c r="W403" s="58" t="str">
        <f t="shared" si="31"/>
        <v/>
      </c>
      <c r="X403" s="59" t="str">
        <f t="shared" si="32"/>
        <v/>
      </c>
      <c r="Y403" s="41"/>
      <c r="Z403" s="41"/>
      <c r="AA403" s="41"/>
      <c r="AB403" s="68" t="str">
        <f>IF($B403="","",'Workflow (Tracker)'!L426)</f>
        <v/>
      </c>
      <c r="AC403" s="69" t="str">
        <f>IF($B403="","",'E08 — Estabilização Hypercare'!K408)</f>
        <v/>
      </c>
      <c r="AD403" s="66" t="str">
        <f>IF($B403="","",'E08 — Estabilização Hypercare'!O408)</f>
        <v/>
      </c>
      <c r="AE403" s="66" t="str">
        <f>IF($B403="","",'E08 — Estabilização Hypercare'!Q408)</f>
        <v/>
      </c>
      <c r="AF403" s="66" t="str">
        <f>IF(OR($B403="",'E08 — Estabilização Hypercare'!R408=""),"",'E08 — Estabilização Hypercare'!R408)</f>
        <v/>
      </c>
      <c r="AG403" s="60" t="str">
        <f>IF($B403="","",'E08 — Estabilização Hypercare'!S408)</f>
        <v/>
      </c>
      <c r="AH403" s="61" t="str">
        <f>IF($B403="","",'E08 — Estabilização Hypercare'!T408)</f>
        <v/>
      </c>
      <c r="AI403" s="62" t="str">
        <f>IF($B403="","",'E08 — Estabilização Hypercare'!N408)</f>
        <v/>
      </c>
      <c r="AJ403" s="61" t="str">
        <f>IF(OR($B403="",'E08 — Estabilização Hypercare'!U408=""),"",'E08 — Estabilização Hypercare'!U408)</f>
        <v/>
      </c>
      <c r="AK403" s="60" t="str">
        <f t="shared" si="33"/>
        <v/>
      </c>
      <c r="AL403" s="65" t="str">
        <f t="shared" si="34"/>
        <v/>
      </c>
    </row>
    <row r="404" spans="2:38" s="42" customFormat="1" x14ac:dyDescent="0.35">
      <c r="B404" s="55" t="str">
        <f t="shared" si="30"/>
        <v/>
      </c>
      <c r="C404" s="40"/>
      <c r="D404" s="40"/>
      <c r="E404" s="41"/>
      <c r="F404" s="41"/>
      <c r="G404" s="41"/>
      <c r="H404" s="68" t="str">
        <f>IF('E2 — Triagem'!D409="","",'E2 — Triagem'!D409)</f>
        <v/>
      </c>
      <c r="I404" s="71"/>
      <c r="J404" s="41"/>
      <c r="K404" s="41"/>
      <c r="L404" s="71"/>
      <c r="M404" s="71"/>
      <c r="N404" s="71"/>
      <c r="O404" s="71"/>
      <c r="P404" s="41"/>
      <c r="Q404" s="41"/>
      <c r="R404" s="71"/>
      <c r="S404" s="71"/>
      <c r="T404" s="75"/>
      <c r="U404" s="75"/>
      <c r="V404" s="75"/>
      <c r="W404" s="58" t="str">
        <f t="shared" si="31"/>
        <v/>
      </c>
      <c r="X404" s="59" t="str">
        <f t="shared" si="32"/>
        <v/>
      </c>
      <c r="Y404" s="41"/>
      <c r="Z404" s="41"/>
      <c r="AA404" s="41"/>
      <c r="AB404" s="68" t="str">
        <f>IF($B404="","",'Workflow (Tracker)'!L427)</f>
        <v/>
      </c>
      <c r="AC404" s="69" t="str">
        <f>IF($B404="","",'E08 — Estabilização Hypercare'!K409)</f>
        <v/>
      </c>
      <c r="AD404" s="66" t="str">
        <f>IF($B404="","",'E08 — Estabilização Hypercare'!O409)</f>
        <v/>
      </c>
      <c r="AE404" s="66" t="str">
        <f>IF($B404="","",'E08 — Estabilização Hypercare'!Q409)</f>
        <v/>
      </c>
      <c r="AF404" s="66" t="str">
        <f>IF(OR($B404="",'E08 — Estabilização Hypercare'!R409=""),"",'E08 — Estabilização Hypercare'!R409)</f>
        <v/>
      </c>
      <c r="AG404" s="60" t="str">
        <f>IF($B404="","",'E08 — Estabilização Hypercare'!S409)</f>
        <v/>
      </c>
      <c r="AH404" s="61" t="str">
        <f>IF($B404="","",'E08 — Estabilização Hypercare'!T409)</f>
        <v/>
      </c>
      <c r="AI404" s="62" t="str">
        <f>IF($B404="","",'E08 — Estabilização Hypercare'!N409)</f>
        <v/>
      </c>
      <c r="AJ404" s="61" t="str">
        <f>IF(OR($B404="",'E08 — Estabilização Hypercare'!U409=""),"",'E08 — Estabilização Hypercare'!U409)</f>
        <v/>
      </c>
      <c r="AK404" s="60" t="str">
        <f t="shared" si="33"/>
        <v/>
      </c>
      <c r="AL404" s="65" t="str">
        <f t="shared" si="34"/>
        <v/>
      </c>
    </row>
    <row r="405" spans="2:38" s="42" customFormat="1" x14ac:dyDescent="0.35">
      <c r="B405" s="55" t="str">
        <f t="shared" si="30"/>
        <v/>
      </c>
      <c r="C405" s="40"/>
      <c r="D405" s="40"/>
      <c r="E405" s="41"/>
      <c r="F405" s="41"/>
      <c r="G405" s="41"/>
      <c r="H405" s="68" t="str">
        <f>IF('E2 — Triagem'!D410="","",'E2 — Triagem'!D410)</f>
        <v/>
      </c>
      <c r="I405" s="71"/>
      <c r="J405" s="41"/>
      <c r="K405" s="41"/>
      <c r="L405" s="71"/>
      <c r="M405" s="71"/>
      <c r="N405" s="71"/>
      <c r="O405" s="71"/>
      <c r="P405" s="41"/>
      <c r="Q405" s="41"/>
      <c r="R405" s="71"/>
      <c r="S405" s="71"/>
      <c r="T405" s="75"/>
      <c r="U405" s="75"/>
      <c r="V405" s="75"/>
      <c r="W405" s="58" t="str">
        <f t="shared" si="31"/>
        <v/>
      </c>
      <c r="X405" s="59" t="str">
        <f t="shared" si="32"/>
        <v/>
      </c>
      <c r="Y405" s="41"/>
      <c r="Z405" s="41"/>
      <c r="AA405" s="41"/>
      <c r="AB405" s="68" t="str">
        <f>IF($B405="","",'Workflow (Tracker)'!L428)</f>
        <v/>
      </c>
      <c r="AC405" s="69" t="str">
        <f>IF($B405="","",'E08 — Estabilização Hypercare'!K410)</f>
        <v/>
      </c>
      <c r="AD405" s="66" t="str">
        <f>IF($B405="","",'E08 — Estabilização Hypercare'!O410)</f>
        <v/>
      </c>
      <c r="AE405" s="66" t="str">
        <f>IF($B405="","",'E08 — Estabilização Hypercare'!Q410)</f>
        <v/>
      </c>
      <c r="AF405" s="66" t="str">
        <f>IF(OR($B405="",'E08 — Estabilização Hypercare'!R410=""),"",'E08 — Estabilização Hypercare'!R410)</f>
        <v/>
      </c>
      <c r="AG405" s="60" t="str">
        <f>IF($B405="","",'E08 — Estabilização Hypercare'!S410)</f>
        <v/>
      </c>
      <c r="AH405" s="61" t="str">
        <f>IF($B405="","",'E08 — Estabilização Hypercare'!T410)</f>
        <v/>
      </c>
      <c r="AI405" s="62" t="str">
        <f>IF($B405="","",'E08 — Estabilização Hypercare'!N410)</f>
        <v/>
      </c>
      <c r="AJ405" s="61" t="str">
        <f>IF(OR($B405="",'E08 — Estabilização Hypercare'!U410=""),"",'E08 — Estabilização Hypercare'!U410)</f>
        <v/>
      </c>
      <c r="AK405" s="60" t="str">
        <f t="shared" si="33"/>
        <v/>
      </c>
      <c r="AL405" s="65" t="str">
        <f t="shared" si="34"/>
        <v/>
      </c>
    </row>
    <row r="406" spans="2:38" s="42" customFormat="1" x14ac:dyDescent="0.35">
      <c r="B406" s="55" t="str">
        <f t="shared" si="30"/>
        <v/>
      </c>
      <c r="C406" s="40"/>
      <c r="D406" s="40"/>
      <c r="E406" s="41"/>
      <c r="F406" s="41"/>
      <c r="G406" s="41"/>
      <c r="H406" s="68" t="str">
        <f>IF('E2 — Triagem'!D411="","",'E2 — Triagem'!D411)</f>
        <v/>
      </c>
      <c r="I406" s="71"/>
      <c r="J406" s="41"/>
      <c r="K406" s="41"/>
      <c r="L406" s="71"/>
      <c r="M406" s="71"/>
      <c r="N406" s="71"/>
      <c r="O406" s="71"/>
      <c r="P406" s="41"/>
      <c r="Q406" s="41"/>
      <c r="R406" s="71"/>
      <c r="S406" s="71"/>
      <c r="T406" s="75"/>
      <c r="U406" s="75"/>
      <c r="V406" s="75"/>
      <c r="W406" s="58" t="str">
        <f t="shared" si="31"/>
        <v/>
      </c>
      <c r="X406" s="59" t="str">
        <f t="shared" si="32"/>
        <v/>
      </c>
      <c r="Y406" s="41"/>
      <c r="Z406" s="41"/>
      <c r="AA406" s="41"/>
      <c r="AB406" s="68" t="str">
        <f>IF($B406="","",'Workflow (Tracker)'!L429)</f>
        <v/>
      </c>
      <c r="AC406" s="69" t="str">
        <f>IF($B406="","",'E08 — Estabilização Hypercare'!K411)</f>
        <v/>
      </c>
      <c r="AD406" s="66" t="str">
        <f>IF($B406="","",'E08 — Estabilização Hypercare'!O411)</f>
        <v/>
      </c>
      <c r="AE406" s="66" t="str">
        <f>IF($B406="","",'E08 — Estabilização Hypercare'!Q411)</f>
        <v/>
      </c>
      <c r="AF406" s="66" t="str">
        <f>IF(OR($B406="",'E08 — Estabilização Hypercare'!R411=""),"",'E08 — Estabilização Hypercare'!R411)</f>
        <v/>
      </c>
      <c r="AG406" s="60" t="str">
        <f>IF($B406="","",'E08 — Estabilização Hypercare'!S411)</f>
        <v/>
      </c>
      <c r="AH406" s="61" t="str">
        <f>IF($B406="","",'E08 — Estabilização Hypercare'!T411)</f>
        <v/>
      </c>
      <c r="AI406" s="62" t="str">
        <f>IF($B406="","",'E08 — Estabilização Hypercare'!N411)</f>
        <v/>
      </c>
      <c r="AJ406" s="61" t="str">
        <f>IF(OR($B406="",'E08 — Estabilização Hypercare'!U411=""),"",'E08 — Estabilização Hypercare'!U411)</f>
        <v/>
      </c>
      <c r="AK406" s="60" t="str">
        <f t="shared" si="33"/>
        <v/>
      </c>
      <c r="AL406" s="65" t="str">
        <f t="shared" si="34"/>
        <v/>
      </c>
    </row>
    <row r="407" spans="2:38" s="42" customFormat="1" x14ac:dyDescent="0.35">
      <c r="B407" s="55" t="str">
        <f t="shared" si="30"/>
        <v/>
      </c>
      <c r="C407" s="40"/>
      <c r="D407" s="40"/>
      <c r="E407" s="41"/>
      <c r="F407" s="41"/>
      <c r="G407" s="41"/>
      <c r="H407" s="68" t="str">
        <f>IF('E2 — Triagem'!D412="","",'E2 — Triagem'!D412)</f>
        <v/>
      </c>
      <c r="I407" s="71"/>
      <c r="J407" s="41"/>
      <c r="K407" s="41"/>
      <c r="L407" s="71"/>
      <c r="M407" s="71"/>
      <c r="N407" s="71"/>
      <c r="O407" s="71"/>
      <c r="P407" s="41"/>
      <c r="Q407" s="41"/>
      <c r="R407" s="71"/>
      <c r="S407" s="71"/>
      <c r="T407" s="75"/>
      <c r="U407" s="75"/>
      <c r="V407" s="75"/>
      <c r="W407" s="58" t="str">
        <f t="shared" si="31"/>
        <v/>
      </c>
      <c r="X407" s="59" t="str">
        <f t="shared" si="32"/>
        <v/>
      </c>
      <c r="Y407" s="41"/>
      <c r="Z407" s="41"/>
      <c r="AA407" s="41"/>
      <c r="AB407" s="68" t="str">
        <f>IF($B407="","",'Workflow (Tracker)'!L430)</f>
        <v/>
      </c>
      <c r="AC407" s="69" t="str">
        <f>IF($B407="","",'E08 — Estabilização Hypercare'!K412)</f>
        <v/>
      </c>
      <c r="AD407" s="66" t="str">
        <f>IF($B407="","",'E08 — Estabilização Hypercare'!O412)</f>
        <v/>
      </c>
      <c r="AE407" s="66" t="str">
        <f>IF($B407="","",'E08 — Estabilização Hypercare'!Q412)</f>
        <v/>
      </c>
      <c r="AF407" s="66" t="str">
        <f>IF(OR($B407="",'E08 — Estabilização Hypercare'!R412=""),"",'E08 — Estabilização Hypercare'!R412)</f>
        <v/>
      </c>
      <c r="AG407" s="60" t="str">
        <f>IF($B407="","",'E08 — Estabilização Hypercare'!S412)</f>
        <v/>
      </c>
      <c r="AH407" s="61" t="str">
        <f>IF($B407="","",'E08 — Estabilização Hypercare'!T412)</f>
        <v/>
      </c>
      <c r="AI407" s="62" t="str">
        <f>IF($B407="","",'E08 — Estabilização Hypercare'!N412)</f>
        <v/>
      </c>
      <c r="AJ407" s="61" t="str">
        <f>IF(OR($B407="",'E08 — Estabilização Hypercare'!U412=""),"",'E08 — Estabilização Hypercare'!U412)</f>
        <v/>
      </c>
      <c r="AK407" s="60" t="str">
        <f t="shared" si="33"/>
        <v/>
      </c>
      <c r="AL407" s="65" t="str">
        <f t="shared" si="34"/>
        <v/>
      </c>
    </row>
    <row r="408" spans="2:38" s="42" customFormat="1" x14ac:dyDescent="0.35">
      <c r="B408" s="55" t="str">
        <f t="shared" si="30"/>
        <v/>
      </c>
      <c r="C408" s="40"/>
      <c r="D408" s="40"/>
      <c r="E408" s="41"/>
      <c r="F408" s="41"/>
      <c r="G408" s="41"/>
      <c r="H408" s="68" t="str">
        <f>IF('E2 — Triagem'!D413="","",'E2 — Triagem'!D413)</f>
        <v/>
      </c>
      <c r="I408" s="71"/>
      <c r="J408" s="41"/>
      <c r="K408" s="41"/>
      <c r="L408" s="71"/>
      <c r="M408" s="71"/>
      <c r="N408" s="71"/>
      <c r="O408" s="71"/>
      <c r="P408" s="41"/>
      <c r="Q408" s="41"/>
      <c r="R408" s="71"/>
      <c r="S408" s="71"/>
      <c r="T408" s="75"/>
      <c r="U408" s="75"/>
      <c r="V408" s="75"/>
      <c r="W408" s="58" t="str">
        <f t="shared" si="31"/>
        <v/>
      </c>
      <c r="X408" s="59" t="str">
        <f t="shared" si="32"/>
        <v/>
      </c>
      <c r="Y408" s="41"/>
      <c r="Z408" s="41"/>
      <c r="AA408" s="41"/>
      <c r="AB408" s="68" t="str">
        <f>IF($B408="","",'Workflow (Tracker)'!L431)</f>
        <v/>
      </c>
      <c r="AC408" s="69" t="str">
        <f>IF($B408="","",'E08 — Estabilização Hypercare'!K413)</f>
        <v/>
      </c>
      <c r="AD408" s="66" t="str">
        <f>IF($B408="","",'E08 — Estabilização Hypercare'!O413)</f>
        <v/>
      </c>
      <c r="AE408" s="66" t="str">
        <f>IF($B408="","",'E08 — Estabilização Hypercare'!Q413)</f>
        <v/>
      </c>
      <c r="AF408" s="66" t="str">
        <f>IF(OR($B408="",'E08 — Estabilização Hypercare'!R413=""),"",'E08 — Estabilização Hypercare'!R413)</f>
        <v/>
      </c>
      <c r="AG408" s="60" t="str">
        <f>IF($B408="","",'E08 — Estabilização Hypercare'!S413)</f>
        <v/>
      </c>
      <c r="AH408" s="61" t="str">
        <f>IF($B408="","",'E08 — Estabilização Hypercare'!T413)</f>
        <v/>
      </c>
      <c r="AI408" s="62" t="str">
        <f>IF($B408="","",'E08 — Estabilização Hypercare'!N413)</f>
        <v/>
      </c>
      <c r="AJ408" s="61" t="str">
        <f>IF(OR($B408="",'E08 — Estabilização Hypercare'!U413=""),"",'E08 — Estabilização Hypercare'!U413)</f>
        <v/>
      </c>
      <c r="AK408" s="60" t="str">
        <f t="shared" si="33"/>
        <v/>
      </c>
      <c r="AL408" s="65" t="str">
        <f t="shared" si="34"/>
        <v/>
      </c>
    </row>
    <row r="409" spans="2:38" s="42" customFormat="1" x14ac:dyDescent="0.35">
      <c r="B409" s="55" t="str">
        <f t="shared" si="30"/>
        <v/>
      </c>
      <c r="C409" s="40"/>
      <c r="D409" s="40"/>
      <c r="E409" s="41"/>
      <c r="F409" s="41"/>
      <c r="G409" s="41"/>
      <c r="H409" s="68" t="str">
        <f>IF('E2 — Triagem'!D414="","",'E2 — Triagem'!D414)</f>
        <v/>
      </c>
      <c r="I409" s="71"/>
      <c r="J409" s="41"/>
      <c r="K409" s="41"/>
      <c r="L409" s="71"/>
      <c r="M409" s="71"/>
      <c r="N409" s="71"/>
      <c r="O409" s="71"/>
      <c r="P409" s="41"/>
      <c r="Q409" s="41"/>
      <c r="R409" s="71"/>
      <c r="S409" s="71"/>
      <c r="T409" s="75"/>
      <c r="U409" s="75"/>
      <c r="V409" s="75"/>
      <c r="W409" s="58" t="str">
        <f t="shared" si="31"/>
        <v/>
      </c>
      <c r="X409" s="59" t="str">
        <f t="shared" si="32"/>
        <v/>
      </c>
      <c r="Y409" s="41"/>
      <c r="Z409" s="41"/>
      <c r="AA409" s="41"/>
      <c r="AB409" s="68" t="str">
        <f>IF($B409="","",'Workflow (Tracker)'!L432)</f>
        <v/>
      </c>
      <c r="AC409" s="69" t="str">
        <f>IF($B409="","",'E08 — Estabilização Hypercare'!K414)</f>
        <v/>
      </c>
      <c r="AD409" s="66" t="str">
        <f>IF($B409="","",'E08 — Estabilização Hypercare'!O414)</f>
        <v/>
      </c>
      <c r="AE409" s="66" t="str">
        <f>IF($B409="","",'E08 — Estabilização Hypercare'!Q414)</f>
        <v/>
      </c>
      <c r="AF409" s="66" t="str">
        <f>IF(OR($B409="",'E08 — Estabilização Hypercare'!R414=""),"",'E08 — Estabilização Hypercare'!R414)</f>
        <v/>
      </c>
      <c r="AG409" s="60" t="str">
        <f>IF($B409="","",'E08 — Estabilização Hypercare'!S414)</f>
        <v/>
      </c>
      <c r="AH409" s="61" t="str">
        <f>IF($B409="","",'E08 — Estabilização Hypercare'!T414)</f>
        <v/>
      </c>
      <c r="AI409" s="62" t="str">
        <f>IF($B409="","",'E08 — Estabilização Hypercare'!N414)</f>
        <v/>
      </c>
      <c r="AJ409" s="61" t="str">
        <f>IF(OR($B409="",'E08 — Estabilização Hypercare'!U414=""),"",'E08 — Estabilização Hypercare'!U414)</f>
        <v/>
      </c>
      <c r="AK409" s="60" t="str">
        <f t="shared" si="33"/>
        <v/>
      </c>
      <c r="AL409" s="65" t="str">
        <f t="shared" si="34"/>
        <v/>
      </c>
    </row>
    <row r="410" spans="2:38" s="42" customFormat="1" x14ac:dyDescent="0.35">
      <c r="B410" s="55" t="str">
        <f t="shared" si="30"/>
        <v/>
      </c>
      <c r="C410" s="40"/>
      <c r="D410" s="40"/>
      <c r="E410" s="41"/>
      <c r="F410" s="41"/>
      <c r="G410" s="41"/>
      <c r="H410" s="68" t="str">
        <f>IF('E2 — Triagem'!D415="","",'E2 — Triagem'!D415)</f>
        <v/>
      </c>
      <c r="I410" s="71"/>
      <c r="J410" s="41"/>
      <c r="K410" s="41"/>
      <c r="L410" s="71"/>
      <c r="M410" s="71"/>
      <c r="N410" s="71"/>
      <c r="O410" s="71"/>
      <c r="P410" s="41"/>
      <c r="Q410" s="41"/>
      <c r="R410" s="71"/>
      <c r="S410" s="71"/>
      <c r="T410" s="75"/>
      <c r="U410" s="75"/>
      <c r="V410" s="75"/>
      <c r="W410" s="58" t="str">
        <f t="shared" si="31"/>
        <v/>
      </c>
      <c r="X410" s="59" t="str">
        <f t="shared" si="32"/>
        <v/>
      </c>
      <c r="Y410" s="41"/>
      <c r="Z410" s="41"/>
      <c r="AA410" s="41"/>
      <c r="AB410" s="68" t="str">
        <f>IF($B410="","",'Workflow (Tracker)'!L433)</f>
        <v/>
      </c>
      <c r="AC410" s="69" t="str">
        <f>IF($B410="","",'E08 — Estabilização Hypercare'!K415)</f>
        <v/>
      </c>
      <c r="AD410" s="66" t="str">
        <f>IF($B410="","",'E08 — Estabilização Hypercare'!O415)</f>
        <v/>
      </c>
      <c r="AE410" s="66" t="str">
        <f>IF($B410="","",'E08 — Estabilização Hypercare'!Q415)</f>
        <v/>
      </c>
      <c r="AF410" s="66" t="str">
        <f>IF(OR($B410="",'E08 — Estabilização Hypercare'!R415=""),"",'E08 — Estabilização Hypercare'!R415)</f>
        <v/>
      </c>
      <c r="AG410" s="60" t="str">
        <f>IF($B410="","",'E08 — Estabilização Hypercare'!S415)</f>
        <v/>
      </c>
      <c r="AH410" s="61" t="str">
        <f>IF($B410="","",'E08 — Estabilização Hypercare'!T415)</f>
        <v/>
      </c>
      <c r="AI410" s="62" t="str">
        <f>IF($B410="","",'E08 — Estabilização Hypercare'!N415)</f>
        <v/>
      </c>
      <c r="AJ410" s="61" t="str">
        <f>IF(OR($B410="",'E08 — Estabilização Hypercare'!U415=""),"",'E08 — Estabilização Hypercare'!U415)</f>
        <v/>
      </c>
      <c r="AK410" s="60" t="str">
        <f t="shared" si="33"/>
        <v/>
      </c>
      <c r="AL410" s="65" t="str">
        <f t="shared" si="34"/>
        <v/>
      </c>
    </row>
    <row r="411" spans="2:38" s="42" customFormat="1" x14ac:dyDescent="0.35">
      <c r="B411" s="55" t="str">
        <f t="shared" si="30"/>
        <v/>
      </c>
      <c r="C411" s="40"/>
      <c r="D411" s="40"/>
      <c r="E411" s="41"/>
      <c r="F411" s="41"/>
      <c r="G411" s="41"/>
      <c r="H411" s="68" t="str">
        <f>IF('E2 — Triagem'!D416="","",'E2 — Triagem'!D416)</f>
        <v/>
      </c>
      <c r="I411" s="71"/>
      <c r="J411" s="41"/>
      <c r="K411" s="41"/>
      <c r="L411" s="71"/>
      <c r="M411" s="71"/>
      <c r="N411" s="71"/>
      <c r="O411" s="71"/>
      <c r="P411" s="41"/>
      <c r="Q411" s="41"/>
      <c r="R411" s="71"/>
      <c r="S411" s="71"/>
      <c r="T411" s="75"/>
      <c r="U411" s="75"/>
      <c r="V411" s="75"/>
      <c r="W411" s="58" t="str">
        <f t="shared" si="31"/>
        <v/>
      </c>
      <c r="X411" s="59" t="str">
        <f t="shared" si="32"/>
        <v/>
      </c>
      <c r="Y411" s="41"/>
      <c r="Z411" s="41"/>
      <c r="AA411" s="41"/>
      <c r="AB411" s="68" t="str">
        <f>IF($B411="","",'Workflow (Tracker)'!L434)</f>
        <v/>
      </c>
      <c r="AC411" s="69" t="str">
        <f>IF($B411="","",'E08 — Estabilização Hypercare'!K416)</f>
        <v/>
      </c>
      <c r="AD411" s="66" t="str">
        <f>IF($B411="","",'E08 — Estabilização Hypercare'!O416)</f>
        <v/>
      </c>
      <c r="AE411" s="66" t="str">
        <f>IF($B411="","",'E08 — Estabilização Hypercare'!Q416)</f>
        <v/>
      </c>
      <c r="AF411" s="66" t="str">
        <f>IF(OR($B411="",'E08 — Estabilização Hypercare'!R416=""),"",'E08 — Estabilização Hypercare'!R416)</f>
        <v/>
      </c>
      <c r="AG411" s="60" t="str">
        <f>IF($B411="","",'E08 — Estabilização Hypercare'!S416)</f>
        <v/>
      </c>
      <c r="AH411" s="61" t="str">
        <f>IF($B411="","",'E08 — Estabilização Hypercare'!T416)</f>
        <v/>
      </c>
      <c r="AI411" s="62" t="str">
        <f>IF($B411="","",'E08 — Estabilização Hypercare'!N416)</f>
        <v/>
      </c>
      <c r="AJ411" s="61" t="str">
        <f>IF(OR($B411="",'E08 — Estabilização Hypercare'!U416=""),"",'E08 — Estabilização Hypercare'!U416)</f>
        <v/>
      </c>
      <c r="AK411" s="60" t="str">
        <f t="shared" si="33"/>
        <v/>
      </c>
      <c r="AL411" s="65" t="str">
        <f t="shared" si="34"/>
        <v/>
      </c>
    </row>
    <row r="412" spans="2:38" s="42" customFormat="1" x14ac:dyDescent="0.35">
      <c r="B412" s="55" t="str">
        <f t="shared" si="30"/>
        <v/>
      </c>
      <c r="C412" s="40"/>
      <c r="D412" s="40"/>
      <c r="E412" s="41"/>
      <c r="F412" s="41"/>
      <c r="G412" s="41"/>
      <c r="H412" s="68" t="str">
        <f>IF('E2 — Triagem'!D417="","",'E2 — Triagem'!D417)</f>
        <v/>
      </c>
      <c r="I412" s="71"/>
      <c r="J412" s="41"/>
      <c r="K412" s="41"/>
      <c r="L412" s="71"/>
      <c r="M412" s="71"/>
      <c r="N412" s="71"/>
      <c r="O412" s="71"/>
      <c r="P412" s="41"/>
      <c r="Q412" s="41"/>
      <c r="R412" s="71"/>
      <c r="S412" s="71"/>
      <c r="T412" s="75"/>
      <c r="U412" s="75"/>
      <c r="V412" s="75"/>
      <c r="W412" s="58" t="str">
        <f t="shared" si="31"/>
        <v/>
      </c>
      <c r="X412" s="59" t="str">
        <f t="shared" si="32"/>
        <v/>
      </c>
      <c r="Y412" s="41"/>
      <c r="Z412" s="41"/>
      <c r="AA412" s="41"/>
      <c r="AB412" s="68" t="str">
        <f>IF($B412="","",'Workflow (Tracker)'!L435)</f>
        <v/>
      </c>
      <c r="AC412" s="69" t="str">
        <f>IF($B412="","",'E08 — Estabilização Hypercare'!K417)</f>
        <v/>
      </c>
      <c r="AD412" s="66" t="str">
        <f>IF($B412="","",'E08 — Estabilização Hypercare'!O417)</f>
        <v/>
      </c>
      <c r="AE412" s="66" t="str">
        <f>IF($B412="","",'E08 — Estabilização Hypercare'!Q417)</f>
        <v/>
      </c>
      <c r="AF412" s="66" t="str">
        <f>IF(OR($B412="",'E08 — Estabilização Hypercare'!R417=""),"",'E08 — Estabilização Hypercare'!R417)</f>
        <v/>
      </c>
      <c r="AG412" s="60" t="str">
        <f>IF($B412="","",'E08 — Estabilização Hypercare'!S417)</f>
        <v/>
      </c>
      <c r="AH412" s="61" t="str">
        <f>IF($B412="","",'E08 — Estabilização Hypercare'!T417)</f>
        <v/>
      </c>
      <c r="AI412" s="62" t="str">
        <f>IF($B412="","",'E08 — Estabilização Hypercare'!N417)</f>
        <v/>
      </c>
      <c r="AJ412" s="61" t="str">
        <f>IF(OR($B412="",'E08 — Estabilização Hypercare'!U417=""),"",'E08 — Estabilização Hypercare'!U417)</f>
        <v/>
      </c>
      <c r="AK412" s="60" t="str">
        <f t="shared" si="33"/>
        <v/>
      </c>
      <c r="AL412" s="65" t="str">
        <f t="shared" si="34"/>
        <v/>
      </c>
    </row>
    <row r="413" spans="2:38" s="42" customFormat="1" x14ac:dyDescent="0.35">
      <c r="B413" s="55" t="str">
        <f t="shared" si="30"/>
        <v/>
      </c>
      <c r="C413" s="40"/>
      <c r="D413" s="40"/>
      <c r="E413" s="41"/>
      <c r="F413" s="41"/>
      <c r="G413" s="41"/>
      <c r="H413" s="68" t="str">
        <f>IF('E2 — Triagem'!D418="","",'E2 — Triagem'!D418)</f>
        <v/>
      </c>
      <c r="I413" s="71"/>
      <c r="J413" s="41"/>
      <c r="K413" s="41"/>
      <c r="L413" s="71"/>
      <c r="M413" s="71"/>
      <c r="N413" s="71"/>
      <c r="O413" s="71"/>
      <c r="P413" s="41"/>
      <c r="Q413" s="41"/>
      <c r="R413" s="71"/>
      <c r="S413" s="71"/>
      <c r="T413" s="75"/>
      <c r="U413" s="75"/>
      <c r="V413" s="75"/>
      <c r="W413" s="58" t="str">
        <f t="shared" si="31"/>
        <v/>
      </c>
      <c r="X413" s="59" t="str">
        <f t="shared" si="32"/>
        <v/>
      </c>
      <c r="Y413" s="41"/>
      <c r="Z413" s="41"/>
      <c r="AA413" s="41"/>
      <c r="AB413" s="68" t="str">
        <f>IF($B413="","",'Workflow (Tracker)'!L436)</f>
        <v/>
      </c>
      <c r="AC413" s="69" t="str">
        <f>IF($B413="","",'E08 — Estabilização Hypercare'!K418)</f>
        <v/>
      </c>
      <c r="AD413" s="66" t="str">
        <f>IF($B413="","",'E08 — Estabilização Hypercare'!O418)</f>
        <v/>
      </c>
      <c r="AE413" s="66" t="str">
        <f>IF($B413="","",'E08 — Estabilização Hypercare'!Q418)</f>
        <v/>
      </c>
      <c r="AF413" s="66" t="str">
        <f>IF(OR($B413="",'E08 — Estabilização Hypercare'!R418=""),"",'E08 — Estabilização Hypercare'!R418)</f>
        <v/>
      </c>
      <c r="AG413" s="60" t="str">
        <f>IF($B413="","",'E08 — Estabilização Hypercare'!S418)</f>
        <v/>
      </c>
      <c r="AH413" s="61" t="str">
        <f>IF($B413="","",'E08 — Estabilização Hypercare'!T418)</f>
        <v/>
      </c>
      <c r="AI413" s="62" t="str">
        <f>IF($B413="","",'E08 — Estabilização Hypercare'!N418)</f>
        <v/>
      </c>
      <c r="AJ413" s="61" t="str">
        <f>IF(OR($B413="",'E08 — Estabilização Hypercare'!U418=""),"",'E08 — Estabilização Hypercare'!U418)</f>
        <v/>
      </c>
      <c r="AK413" s="60" t="str">
        <f t="shared" si="33"/>
        <v/>
      </c>
      <c r="AL413" s="65" t="str">
        <f t="shared" si="34"/>
        <v/>
      </c>
    </row>
    <row r="414" spans="2:38" s="42" customFormat="1" x14ac:dyDescent="0.35">
      <c r="B414" s="55" t="str">
        <f t="shared" si="30"/>
        <v/>
      </c>
      <c r="C414" s="40"/>
      <c r="D414" s="40"/>
      <c r="E414" s="41"/>
      <c r="F414" s="41"/>
      <c r="G414" s="41"/>
      <c r="H414" s="68" t="str">
        <f>IF('E2 — Triagem'!D419="","",'E2 — Triagem'!D419)</f>
        <v/>
      </c>
      <c r="I414" s="71"/>
      <c r="J414" s="41"/>
      <c r="K414" s="41"/>
      <c r="L414" s="71"/>
      <c r="M414" s="71"/>
      <c r="N414" s="71"/>
      <c r="O414" s="71"/>
      <c r="P414" s="41"/>
      <c r="Q414" s="41"/>
      <c r="R414" s="71"/>
      <c r="S414" s="71"/>
      <c r="T414" s="75"/>
      <c r="U414" s="75"/>
      <c r="V414" s="75"/>
      <c r="W414" s="58" t="str">
        <f t="shared" si="31"/>
        <v/>
      </c>
      <c r="X414" s="59" t="str">
        <f t="shared" si="32"/>
        <v/>
      </c>
      <c r="Y414" s="41"/>
      <c r="Z414" s="41"/>
      <c r="AA414" s="41"/>
      <c r="AB414" s="68" t="str">
        <f>IF($B414="","",'Workflow (Tracker)'!L437)</f>
        <v/>
      </c>
      <c r="AC414" s="69" t="str">
        <f>IF($B414="","",'E08 — Estabilização Hypercare'!K419)</f>
        <v/>
      </c>
      <c r="AD414" s="66" t="str">
        <f>IF($B414="","",'E08 — Estabilização Hypercare'!O419)</f>
        <v/>
      </c>
      <c r="AE414" s="66" t="str">
        <f>IF($B414="","",'E08 — Estabilização Hypercare'!Q419)</f>
        <v/>
      </c>
      <c r="AF414" s="66" t="str">
        <f>IF(OR($B414="",'E08 — Estabilização Hypercare'!R419=""),"",'E08 — Estabilização Hypercare'!R419)</f>
        <v/>
      </c>
      <c r="AG414" s="60" t="str">
        <f>IF($B414="","",'E08 — Estabilização Hypercare'!S419)</f>
        <v/>
      </c>
      <c r="AH414" s="61" t="str">
        <f>IF($B414="","",'E08 — Estabilização Hypercare'!T419)</f>
        <v/>
      </c>
      <c r="AI414" s="62" t="str">
        <f>IF($B414="","",'E08 — Estabilização Hypercare'!N419)</f>
        <v/>
      </c>
      <c r="AJ414" s="61" t="str">
        <f>IF(OR($B414="",'E08 — Estabilização Hypercare'!U419=""),"",'E08 — Estabilização Hypercare'!U419)</f>
        <v/>
      </c>
      <c r="AK414" s="60" t="str">
        <f t="shared" si="33"/>
        <v/>
      </c>
      <c r="AL414" s="65" t="str">
        <f t="shared" si="34"/>
        <v/>
      </c>
    </row>
    <row r="415" spans="2:38" s="42" customFormat="1" x14ac:dyDescent="0.35">
      <c r="B415" s="55" t="str">
        <f t="shared" si="30"/>
        <v/>
      </c>
      <c r="C415" s="40"/>
      <c r="D415" s="40"/>
      <c r="E415" s="41"/>
      <c r="F415" s="41"/>
      <c r="G415" s="41"/>
      <c r="H415" s="68" t="str">
        <f>IF('E2 — Triagem'!D420="","",'E2 — Triagem'!D420)</f>
        <v/>
      </c>
      <c r="I415" s="71"/>
      <c r="J415" s="41"/>
      <c r="K415" s="41"/>
      <c r="L415" s="71"/>
      <c r="M415" s="71"/>
      <c r="N415" s="71"/>
      <c r="O415" s="71"/>
      <c r="P415" s="41"/>
      <c r="Q415" s="41"/>
      <c r="R415" s="71"/>
      <c r="S415" s="71"/>
      <c r="T415" s="75"/>
      <c r="U415" s="75"/>
      <c r="V415" s="75"/>
      <c r="W415" s="58" t="str">
        <f t="shared" si="31"/>
        <v/>
      </c>
      <c r="X415" s="59" t="str">
        <f t="shared" si="32"/>
        <v/>
      </c>
      <c r="Y415" s="41"/>
      <c r="Z415" s="41"/>
      <c r="AA415" s="41"/>
      <c r="AB415" s="68" t="str">
        <f>IF($B415="","",'Workflow (Tracker)'!L438)</f>
        <v/>
      </c>
      <c r="AC415" s="69" t="str">
        <f>IF($B415="","",'E08 — Estabilização Hypercare'!K420)</f>
        <v/>
      </c>
      <c r="AD415" s="66" t="str">
        <f>IF($B415="","",'E08 — Estabilização Hypercare'!O420)</f>
        <v/>
      </c>
      <c r="AE415" s="66" t="str">
        <f>IF($B415="","",'E08 — Estabilização Hypercare'!Q420)</f>
        <v/>
      </c>
      <c r="AF415" s="66" t="str">
        <f>IF(OR($B415="",'E08 — Estabilização Hypercare'!R420=""),"",'E08 — Estabilização Hypercare'!R420)</f>
        <v/>
      </c>
      <c r="AG415" s="60" t="str">
        <f>IF($B415="","",'E08 — Estabilização Hypercare'!S420)</f>
        <v/>
      </c>
      <c r="AH415" s="61" t="str">
        <f>IF($B415="","",'E08 — Estabilização Hypercare'!T420)</f>
        <v/>
      </c>
      <c r="AI415" s="62" t="str">
        <f>IF($B415="","",'E08 — Estabilização Hypercare'!N420)</f>
        <v/>
      </c>
      <c r="AJ415" s="61" t="str">
        <f>IF(OR($B415="",'E08 — Estabilização Hypercare'!U420=""),"",'E08 — Estabilização Hypercare'!U420)</f>
        <v/>
      </c>
      <c r="AK415" s="60" t="str">
        <f t="shared" si="33"/>
        <v/>
      </c>
      <c r="AL415" s="65" t="str">
        <f t="shared" si="34"/>
        <v/>
      </c>
    </row>
    <row r="416" spans="2:38" s="42" customFormat="1" x14ac:dyDescent="0.35">
      <c r="B416" s="55" t="str">
        <f t="shared" si="30"/>
        <v/>
      </c>
      <c r="C416" s="40"/>
      <c r="D416" s="40"/>
      <c r="E416" s="41"/>
      <c r="F416" s="41"/>
      <c r="G416" s="41"/>
      <c r="H416" s="68" t="str">
        <f>IF('E2 — Triagem'!D421="","",'E2 — Triagem'!D421)</f>
        <v/>
      </c>
      <c r="I416" s="71"/>
      <c r="J416" s="41"/>
      <c r="K416" s="41"/>
      <c r="L416" s="71"/>
      <c r="M416" s="71"/>
      <c r="N416" s="71"/>
      <c r="O416" s="71"/>
      <c r="P416" s="41"/>
      <c r="Q416" s="41"/>
      <c r="R416" s="71"/>
      <c r="S416" s="71"/>
      <c r="T416" s="75"/>
      <c r="U416" s="75"/>
      <c r="V416" s="75"/>
      <c r="W416" s="58" t="str">
        <f t="shared" si="31"/>
        <v/>
      </c>
      <c r="X416" s="59" t="str">
        <f t="shared" si="32"/>
        <v/>
      </c>
      <c r="Y416" s="41"/>
      <c r="Z416" s="41"/>
      <c r="AA416" s="41"/>
      <c r="AB416" s="68" t="str">
        <f>IF($B416="","",'Workflow (Tracker)'!L439)</f>
        <v/>
      </c>
      <c r="AC416" s="69" t="str">
        <f>IF($B416="","",'E08 — Estabilização Hypercare'!K421)</f>
        <v/>
      </c>
      <c r="AD416" s="66" t="str">
        <f>IF($B416="","",'E08 — Estabilização Hypercare'!O421)</f>
        <v/>
      </c>
      <c r="AE416" s="66" t="str">
        <f>IF($B416="","",'E08 — Estabilização Hypercare'!Q421)</f>
        <v/>
      </c>
      <c r="AF416" s="66" t="str">
        <f>IF(OR($B416="",'E08 — Estabilização Hypercare'!R421=""),"",'E08 — Estabilização Hypercare'!R421)</f>
        <v/>
      </c>
      <c r="AG416" s="60" t="str">
        <f>IF($B416="","",'E08 — Estabilização Hypercare'!S421)</f>
        <v/>
      </c>
      <c r="AH416" s="61" t="str">
        <f>IF($B416="","",'E08 — Estabilização Hypercare'!T421)</f>
        <v/>
      </c>
      <c r="AI416" s="62" t="str">
        <f>IF($B416="","",'E08 — Estabilização Hypercare'!N421)</f>
        <v/>
      </c>
      <c r="AJ416" s="61" t="str">
        <f>IF(OR($B416="",'E08 — Estabilização Hypercare'!U421=""),"",'E08 — Estabilização Hypercare'!U421)</f>
        <v/>
      </c>
      <c r="AK416" s="60" t="str">
        <f t="shared" si="33"/>
        <v/>
      </c>
      <c r="AL416" s="65" t="str">
        <f t="shared" si="34"/>
        <v/>
      </c>
    </row>
    <row r="417" spans="2:38" s="42" customFormat="1" x14ac:dyDescent="0.35">
      <c r="B417" s="55" t="str">
        <f t="shared" si="30"/>
        <v/>
      </c>
      <c r="C417" s="40"/>
      <c r="D417" s="40"/>
      <c r="E417" s="41"/>
      <c r="F417" s="41"/>
      <c r="G417" s="41"/>
      <c r="H417" s="68" t="str">
        <f>IF('E2 — Triagem'!D422="","",'E2 — Triagem'!D422)</f>
        <v/>
      </c>
      <c r="I417" s="71"/>
      <c r="J417" s="41"/>
      <c r="K417" s="41"/>
      <c r="L417" s="71"/>
      <c r="M417" s="71"/>
      <c r="N417" s="71"/>
      <c r="O417" s="71"/>
      <c r="P417" s="41"/>
      <c r="Q417" s="41"/>
      <c r="R417" s="71"/>
      <c r="S417" s="71"/>
      <c r="T417" s="75"/>
      <c r="U417" s="75"/>
      <c r="V417" s="75"/>
      <c r="W417" s="58" t="str">
        <f t="shared" si="31"/>
        <v/>
      </c>
      <c r="X417" s="59" t="str">
        <f t="shared" si="32"/>
        <v/>
      </c>
      <c r="Y417" s="41"/>
      <c r="Z417" s="41"/>
      <c r="AA417" s="41"/>
      <c r="AB417" s="68" t="str">
        <f>IF($B417="","",'Workflow (Tracker)'!L440)</f>
        <v/>
      </c>
      <c r="AC417" s="69" t="str">
        <f>IF($B417="","",'E08 — Estabilização Hypercare'!K422)</f>
        <v/>
      </c>
      <c r="AD417" s="66" t="str">
        <f>IF($B417="","",'E08 — Estabilização Hypercare'!O422)</f>
        <v/>
      </c>
      <c r="AE417" s="66" t="str">
        <f>IF($B417="","",'E08 — Estabilização Hypercare'!Q422)</f>
        <v/>
      </c>
      <c r="AF417" s="66" t="str">
        <f>IF(OR($B417="",'E08 — Estabilização Hypercare'!R422=""),"",'E08 — Estabilização Hypercare'!R422)</f>
        <v/>
      </c>
      <c r="AG417" s="60" t="str">
        <f>IF($B417="","",'E08 — Estabilização Hypercare'!S422)</f>
        <v/>
      </c>
      <c r="AH417" s="61" t="str">
        <f>IF($B417="","",'E08 — Estabilização Hypercare'!T422)</f>
        <v/>
      </c>
      <c r="AI417" s="62" t="str">
        <f>IF($B417="","",'E08 — Estabilização Hypercare'!N422)</f>
        <v/>
      </c>
      <c r="AJ417" s="61" t="str">
        <f>IF(OR($B417="",'E08 — Estabilização Hypercare'!U422=""),"",'E08 — Estabilização Hypercare'!U422)</f>
        <v/>
      </c>
      <c r="AK417" s="60" t="str">
        <f t="shared" si="33"/>
        <v/>
      </c>
      <c r="AL417" s="65" t="str">
        <f t="shared" si="34"/>
        <v/>
      </c>
    </row>
    <row r="418" spans="2:38" s="42" customFormat="1" x14ac:dyDescent="0.35">
      <c r="B418" s="55" t="str">
        <f t="shared" si="30"/>
        <v/>
      </c>
      <c r="C418" s="40"/>
      <c r="D418" s="40"/>
      <c r="E418" s="41"/>
      <c r="F418" s="41"/>
      <c r="G418" s="41"/>
      <c r="H418" s="68" t="str">
        <f>IF('E2 — Triagem'!D423="","",'E2 — Triagem'!D423)</f>
        <v/>
      </c>
      <c r="I418" s="71"/>
      <c r="J418" s="41"/>
      <c r="K418" s="41"/>
      <c r="L418" s="71"/>
      <c r="M418" s="71"/>
      <c r="N418" s="71"/>
      <c r="O418" s="71"/>
      <c r="P418" s="41"/>
      <c r="Q418" s="41"/>
      <c r="R418" s="71"/>
      <c r="S418" s="71"/>
      <c r="T418" s="75"/>
      <c r="U418" s="75"/>
      <c r="V418" s="75"/>
      <c r="W418" s="58" t="str">
        <f t="shared" si="31"/>
        <v/>
      </c>
      <c r="X418" s="59" t="str">
        <f t="shared" si="32"/>
        <v/>
      </c>
      <c r="Y418" s="41"/>
      <c r="Z418" s="41"/>
      <c r="AA418" s="41"/>
      <c r="AB418" s="68" t="str">
        <f>IF($B418="","",'Workflow (Tracker)'!L441)</f>
        <v/>
      </c>
      <c r="AC418" s="69" t="str">
        <f>IF($B418="","",'E08 — Estabilização Hypercare'!K423)</f>
        <v/>
      </c>
      <c r="AD418" s="66" t="str">
        <f>IF($B418="","",'E08 — Estabilização Hypercare'!O423)</f>
        <v/>
      </c>
      <c r="AE418" s="66" t="str">
        <f>IF($B418="","",'E08 — Estabilização Hypercare'!Q423)</f>
        <v/>
      </c>
      <c r="AF418" s="66" t="str">
        <f>IF(OR($B418="",'E08 — Estabilização Hypercare'!R423=""),"",'E08 — Estabilização Hypercare'!R423)</f>
        <v/>
      </c>
      <c r="AG418" s="60" t="str">
        <f>IF($B418="","",'E08 — Estabilização Hypercare'!S423)</f>
        <v/>
      </c>
      <c r="AH418" s="61" t="str">
        <f>IF($B418="","",'E08 — Estabilização Hypercare'!T423)</f>
        <v/>
      </c>
      <c r="AI418" s="62" t="str">
        <f>IF($B418="","",'E08 — Estabilização Hypercare'!N423)</f>
        <v/>
      </c>
      <c r="AJ418" s="61" t="str">
        <f>IF(OR($B418="",'E08 — Estabilização Hypercare'!U423=""),"",'E08 — Estabilização Hypercare'!U423)</f>
        <v/>
      </c>
      <c r="AK418" s="60" t="str">
        <f t="shared" si="33"/>
        <v/>
      </c>
      <c r="AL418" s="65" t="str">
        <f t="shared" si="34"/>
        <v/>
      </c>
    </row>
    <row r="419" spans="2:38" s="42" customFormat="1" x14ac:dyDescent="0.35">
      <c r="B419" s="55" t="str">
        <f t="shared" si="30"/>
        <v/>
      </c>
      <c r="C419" s="40"/>
      <c r="D419" s="40"/>
      <c r="E419" s="41"/>
      <c r="F419" s="41"/>
      <c r="G419" s="41"/>
      <c r="H419" s="68" t="str">
        <f>IF('E2 — Triagem'!D424="","",'E2 — Triagem'!D424)</f>
        <v/>
      </c>
      <c r="I419" s="71"/>
      <c r="J419" s="41"/>
      <c r="K419" s="41"/>
      <c r="L419" s="71"/>
      <c r="M419" s="71"/>
      <c r="N419" s="71"/>
      <c r="O419" s="71"/>
      <c r="P419" s="41"/>
      <c r="Q419" s="41"/>
      <c r="R419" s="71"/>
      <c r="S419" s="71"/>
      <c r="T419" s="75"/>
      <c r="U419" s="75"/>
      <c r="V419" s="75"/>
      <c r="W419" s="58" t="str">
        <f t="shared" si="31"/>
        <v/>
      </c>
      <c r="X419" s="59" t="str">
        <f t="shared" si="32"/>
        <v/>
      </c>
      <c r="Y419" s="41"/>
      <c r="Z419" s="41"/>
      <c r="AA419" s="41"/>
      <c r="AB419" s="68" t="str">
        <f>IF($B419="","",'Workflow (Tracker)'!L442)</f>
        <v/>
      </c>
      <c r="AC419" s="69" t="str">
        <f>IF($B419="","",'E08 — Estabilização Hypercare'!K424)</f>
        <v/>
      </c>
      <c r="AD419" s="66" t="str">
        <f>IF($B419="","",'E08 — Estabilização Hypercare'!O424)</f>
        <v/>
      </c>
      <c r="AE419" s="66" t="str">
        <f>IF($B419="","",'E08 — Estabilização Hypercare'!Q424)</f>
        <v/>
      </c>
      <c r="AF419" s="66" t="str">
        <f>IF(OR($B419="",'E08 — Estabilização Hypercare'!R424=""),"",'E08 — Estabilização Hypercare'!R424)</f>
        <v/>
      </c>
      <c r="AG419" s="60" t="str">
        <f>IF($B419="","",'E08 — Estabilização Hypercare'!S424)</f>
        <v/>
      </c>
      <c r="AH419" s="61" t="str">
        <f>IF($B419="","",'E08 — Estabilização Hypercare'!T424)</f>
        <v/>
      </c>
      <c r="AI419" s="62" t="str">
        <f>IF($B419="","",'E08 — Estabilização Hypercare'!N424)</f>
        <v/>
      </c>
      <c r="AJ419" s="61" t="str">
        <f>IF(OR($B419="",'E08 — Estabilização Hypercare'!U424=""),"",'E08 — Estabilização Hypercare'!U424)</f>
        <v/>
      </c>
      <c r="AK419" s="60" t="str">
        <f t="shared" si="33"/>
        <v/>
      </c>
      <c r="AL419" s="65" t="str">
        <f t="shared" si="34"/>
        <v/>
      </c>
    </row>
    <row r="420" spans="2:38" s="42" customFormat="1" x14ac:dyDescent="0.35">
      <c r="B420" s="55" t="str">
        <f t="shared" si="30"/>
        <v/>
      </c>
      <c r="C420" s="40"/>
      <c r="D420" s="40"/>
      <c r="E420" s="41"/>
      <c r="F420" s="41"/>
      <c r="G420" s="41"/>
      <c r="H420" s="68" t="str">
        <f>IF('E2 — Triagem'!D425="","",'E2 — Triagem'!D425)</f>
        <v/>
      </c>
      <c r="I420" s="71"/>
      <c r="J420" s="41"/>
      <c r="K420" s="41"/>
      <c r="L420" s="71"/>
      <c r="M420" s="71"/>
      <c r="N420" s="71"/>
      <c r="O420" s="71"/>
      <c r="P420" s="41"/>
      <c r="Q420" s="41"/>
      <c r="R420" s="71"/>
      <c r="S420" s="71"/>
      <c r="T420" s="75"/>
      <c r="U420" s="75"/>
      <c r="V420" s="75"/>
      <c r="W420" s="58" t="str">
        <f t="shared" si="31"/>
        <v/>
      </c>
      <c r="X420" s="59" t="str">
        <f t="shared" si="32"/>
        <v/>
      </c>
      <c r="Y420" s="41"/>
      <c r="Z420" s="41"/>
      <c r="AA420" s="41"/>
      <c r="AB420" s="68" t="str">
        <f>IF($B420="","",'Workflow (Tracker)'!L443)</f>
        <v/>
      </c>
      <c r="AC420" s="69" t="str">
        <f>IF($B420="","",'E08 — Estabilização Hypercare'!K425)</f>
        <v/>
      </c>
      <c r="AD420" s="66" t="str">
        <f>IF($B420="","",'E08 — Estabilização Hypercare'!O425)</f>
        <v/>
      </c>
      <c r="AE420" s="66" t="str">
        <f>IF($B420="","",'E08 — Estabilização Hypercare'!Q425)</f>
        <v/>
      </c>
      <c r="AF420" s="66" t="str">
        <f>IF(OR($B420="",'E08 — Estabilização Hypercare'!R425=""),"",'E08 — Estabilização Hypercare'!R425)</f>
        <v/>
      </c>
      <c r="AG420" s="60" t="str">
        <f>IF($B420="","",'E08 — Estabilização Hypercare'!S425)</f>
        <v/>
      </c>
      <c r="AH420" s="61" t="str">
        <f>IF($B420="","",'E08 — Estabilização Hypercare'!T425)</f>
        <v/>
      </c>
      <c r="AI420" s="62" t="str">
        <f>IF($B420="","",'E08 — Estabilização Hypercare'!N425)</f>
        <v/>
      </c>
      <c r="AJ420" s="61" t="str">
        <f>IF(OR($B420="",'E08 — Estabilização Hypercare'!U425=""),"",'E08 — Estabilização Hypercare'!U425)</f>
        <v/>
      </c>
      <c r="AK420" s="60" t="str">
        <f t="shared" si="33"/>
        <v/>
      </c>
      <c r="AL420" s="65" t="str">
        <f t="shared" si="34"/>
        <v/>
      </c>
    </row>
    <row r="421" spans="2:38" s="42" customFormat="1" x14ac:dyDescent="0.35">
      <c r="B421" s="55" t="str">
        <f t="shared" si="30"/>
        <v/>
      </c>
      <c r="C421" s="40"/>
      <c r="D421" s="40"/>
      <c r="E421" s="41"/>
      <c r="F421" s="41"/>
      <c r="G421" s="41"/>
      <c r="H421" s="68" t="str">
        <f>IF('E2 — Triagem'!D426="","",'E2 — Triagem'!D426)</f>
        <v/>
      </c>
      <c r="I421" s="71"/>
      <c r="J421" s="41"/>
      <c r="K421" s="41"/>
      <c r="L421" s="71"/>
      <c r="M421" s="71"/>
      <c r="N421" s="71"/>
      <c r="O421" s="71"/>
      <c r="P421" s="41"/>
      <c r="Q421" s="41"/>
      <c r="R421" s="71"/>
      <c r="S421" s="71"/>
      <c r="T421" s="75"/>
      <c r="U421" s="75"/>
      <c r="V421" s="75"/>
      <c r="W421" s="58" t="str">
        <f t="shared" si="31"/>
        <v/>
      </c>
      <c r="X421" s="59" t="str">
        <f t="shared" si="32"/>
        <v/>
      </c>
      <c r="Y421" s="41"/>
      <c r="Z421" s="41"/>
      <c r="AA421" s="41"/>
      <c r="AB421" s="68" t="str">
        <f>IF($B421="","",'Workflow (Tracker)'!L444)</f>
        <v/>
      </c>
      <c r="AC421" s="69" t="str">
        <f>IF($B421="","",'E08 — Estabilização Hypercare'!K426)</f>
        <v/>
      </c>
      <c r="AD421" s="66" t="str">
        <f>IF($B421="","",'E08 — Estabilização Hypercare'!O426)</f>
        <v/>
      </c>
      <c r="AE421" s="66" t="str">
        <f>IF($B421="","",'E08 — Estabilização Hypercare'!Q426)</f>
        <v/>
      </c>
      <c r="AF421" s="66" t="str">
        <f>IF(OR($B421="",'E08 — Estabilização Hypercare'!R426=""),"",'E08 — Estabilização Hypercare'!R426)</f>
        <v/>
      </c>
      <c r="AG421" s="60" t="str">
        <f>IF($B421="","",'E08 — Estabilização Hypercare'!S426)</f>
        <v/>
      </c>
      <c r="AH421" s="61" t="str">
        <f>IF($B421="","",'E08 — Estabilização Hypercare'!T426)</f>
        <v/>
      </c>
      <c r="AI421" s="62" t="str">
        <f>IF($B421="","",'E08 — Estabilização Hypercare'!N426)</f>
        <v/>
      </c>
      <c r="AJ421" s="61" t="str">
        <f>IF(OR($B421="",'E08 — Estabilização Hypercare'!U426=""),"",'E08 — Estabilização Hypercare'!U426)</f>
        <v/>
      </c>
      <c r="AK421" s="60" t="str">
        <f t="shared" si="33"/>
        <v/>
      </c>
      <c r="AL421" s="65" t="str">
        <f t="shared" si="34"/>
        <v/>
      </c>
    </row>
    <row r="422" spans="2:38" s="42" customFormat="1" x14ac:dyDescent="0.35">
      <c r="B422" s="55" t="str">
        <f t="shared" si="30"/>
        <v/>
      </c>
      <c r="C422" s="40"/>
      <c r="D422" s="40"/>
      <c r="E422" s="41"/>
      <c r="F422" s="41"/>
      <c r="G422" s="41"/>
      <c r="H422" s="68" t="str">
        <f>IF('E2 — Triagem'!D427="","",'E2 — Triagem'!D427)</f>
        <v/>
      </c>
      <c r="I422" s="71"/>
      <c r="J422" s="41"/>
      <c r="K422" s="41"/>
      <c r="L422" s="71"/>
      <c r="M422" s="71"/>
      <c r="N422" s="71"/>
      <c r="O422" s="71"/>
      <c r="P422" s="41"/>
      <c r="Q422" s="41"/>
      <c r="R422" s="71"/>
      <c r="S422" s="71"/>
      <c r="T422" s="75"/>
      <c r="U422" s="75"/>
      <c r="V422" s="75"/>
      <c r="W422" s="58" t="str">
        <f t="shared" si="31"/>
        <v/>
      </c>
      <c r="X422" s="59" t="str">
        <f t="shared" si="32"/>
        <v/>
      </c>
      <c r="Y422" s="41"/>
      <c r="Z422" s="41"/>
      <c r="AA422" s="41"/>
      <c r="AB422" s="68" t="str">
        <f>IF($B422="","",'Workflow (Tracker)'!L445)</f>
        <v/>
      </c>
      <c r="AC422" s="69" t="str">
        <f>IF($B422="","",'E08 — Estabilização Hypercare'!K427)</f>
        <v/>
      </c>
      <c r="AD422" s="66" t="str">
        <f>IF($B422="","",'E08 — Estabilização Hypercare'!O427)</f>
        <v/>
      </c>
      <c r="AE422" s="66" t="str">
        <f>IF($B422="","",'E08 — Estabilização Hypercare'!Q427)</f>
        <v/>
      </c>
      <c r="AF422" s="66" t="str">
        <f>IF(OR($B422="",'E08 — Estabilização Hypercare'!R427=""),"",'E08 — Estabilização Hypercare'!R427)</f>
        <v/>
      </c>
      <c r="AG422" s="60" t="str">
        <f>IF($B422="","",'E08 — Estabilização Hypercare'!S427)</f>
        <v/>
      </c>
      <c r="AH422" s="61" t="str">
        <f>IF($B422="","",'E08 — Estabilização Hypercare'!T427)</f>
        <v/>
      </c>
      <c r="AI422" s="62" t="str">
        <f>IF($B422="","",'E08 — Estabilização Hypercare'!N427)</f>
        <v/>
      </c>
      <c r="AJ422" s="61" t="str">
        <f>IF(OR($B422="",'E08 — Estabilização Hypercare'!U427=""),"",'E08 — Estabilização Hypercare'!U427)</f>
        <v/>
      </c>
      <c r="AK422" s="60" t="str">
        <f t="shared" si="33"/>
        <v/>
      </c>
      <c r="AL422" s="65" t="str">
        <f t="shared" si="34"/>
        <v/>
      </c>
    </row>
    <row r="423" spans="2:38" s="42" customFormat="1" x14ac:dyDescent="0.35">
      <c r="B423" s="55" t="str">
        <f t="shared" si="30"/>
        <v/>
      </c>
      <c r="C423" s="40"/>
      <c r="D423" s="40"/>
      <c r="E423" s="41"/>
      <c r="F423" s="41"/>
      <c r="G423" s="41"/>
      <c r="H423" s="68" t="str">
        <f>IF('E2 — Triagem'!D428="","",'E2 — Triagem'!D428)</f>
        <v/>
      </c>
      <c r="I423" s="71"/>
      <c r="J423" s="41"/>
      <c r="K423" s="41"/>
      <c r="L423" s="71"/>
      <c r="M423" s="71"/>
      <c r="N423" s="71"/>
      <c r="O423" s="71"/>
      <c r="P423" s="41"/>
      <c r="Q423" s="41"/>
      <c r="R423" s="71"/>
      <c r="S423" s="71"/>
      <c r="T423" s="75"/>
      <c r="U423" s="75"/>
      <c r="V423" s="75"/>
      <c r="W423" s="58" t="str">
        <f t="shared" si="31"/>
        <v/>
      </c>
      <c r="X423" s="59" t="str">
        <f t="shared" si="32"/>
        <v/>
      </c>
      <c r="Y423" s="41"/>
      <c r="Z423" s="41"/>
      <c r="AA423" s="41"/>
      <c r="AB423" s="68" t="str">
        <f>IF($B423="","",'Workflow (Tracker)'!L446)</f>
        <v/>
      </c>
      <c r="AC423" s="69" t="str">
        <f>IF($B423="","",'E08 — Estabilização Hypercare'!K428)</f>
        <v/>
      </c>
      <c r="AD423" s="66" t="str">
        <f>IF($B423="","",'E08 — Estabilização Hypercare'!O428)</f>
        <v/>
      </c>
      <c r="AE423" s="66" t="str">
        <f>IF($B423="","",'E08 — Estabilização Hypercare'!Q428)</f>
        <v/>
      </c>
      <c r="AF423" s="66" t="str">
        <f>IF(OR($B423="",'E08 — Estabilização Hypercare'!R428=""),"",'E08 — Estabilização Hypercare'!R428)</f>
        <v/>
      </c>
      <c r="AG423" s="60" t="str">
        <f>IF($B423="","",'E08 — Estabilização Hypercare'!S428)</f>
        <v/>
      </c>
      <c r="AH423" s="61" t="str">
        <f>IF($B423="","",'E08 — Estabilização Hypercare'!T428)</f>
        <v/>
      </c>
      <c r="AI423" s="62" t="str">
        <f>IF($B423="","",'E08 — Estabilização Hypercare'!N428)</f>
        <v/>
      </c>
      <c r="AJ423" s="61" t="str">
        <f>IF(OR($B423="",'E08 — Estabilização Hypercare'!U428=""),"",'E08 — Estabilização Hypercare'!U428)</f>
        <v/>
      </c>
      <c r="AK423" s="60" t="str">
        <f t="shared" si="33"/>
        <v/>
      </c>
      <c r="AL423" s="65" t="str">
        <f t="shared" si="34"/>
        <v/>
      </c>
    </row>
    <row r="424" spans="2:38" s="42" customFormat="1" x14ac:dyDescent="0.35">
      <c r="B424" s="55" t="str">
        <f t="shared" si="30"/>
        <v/>
      </c>
      <c r="C424" s="40"/>
      <c r="D424" s="40"/>
      <c r="E424" s="41"/>
      <c r="F424" s="41"/>
      <c r="G424" s="41"/>
      <c r="H424" s="68" t="str">
        <f>IF('E2 — Triagem'!D429="","",'E2 — Triagem'!D429)</f>
        <v/>
      </c>
      <c r="I424" s="71"/>
      <c r="J424" s="41"/>
      <c r="K424" s="41"/>
      <c r="L424" s="71"/>
      <c r="M424" s="71"/>
      <c r="N424" s="71"/>
      <c r="O424" s="71"/>
      <c r="P424" s="41"/>
      <c r="Q424" s="41"/>
      <c r="R424" s="71"/>
      <c r="S424" s="71"/>
      <c r="T424" s="75"/>
      <c r="U424" s="75"/>
      <c r="V424" s="75"/>
      <c r="W424" s="58" t="str">
        <f t="shared" si="31"/>
        <v/>
      </c>
      <c r="X424" s="59" t="str">
        <f t="shared" si="32"/>
        <v/>
      </c>
      <c r="Y424" s="41"/>
      <c r="Z424" s="41"/>
      <c r="AA424" s="41"/>
      <c r="AB424" s="68" t="str">
        <f>IF($B424="","",'Workflow (Tracker)'!L447)</f>
        <v/>
      </c>
      <c r="AC424" s="69" t="str">
        <f>IF($B424="","",'E08 — Estabilização Hypercare'!K429)</f>
        <v/>
      </c>
      <c r="AD424" s="66" t="str">
        <f>IF($B424="","",'E08 — Estabilização Hypercare'!O429)</f>
        <v/>
      </c>
      <c r="AE424" s="66" t="str">
        <f>IF($B424="","",'E08 — Estabilização Hypercare'!Q429)</f>
        <v/>
      </c>
      <c r="AF424" s="66" t="str">
        <f>IF(OR($B424="",'E08 — Estabilização Hypercare'!R429=""),"",'E08 — Estabilização Hypercare'!R429)</f>
        <v/>
      </c>
      <c r="AG424" s="60" t="str">
        <f>IF($B424="","",'E08 — Estabilização Hypercare'!S429)</f>
        <v/>
      </c>
      <c r="AH424" s="61" t="str">
        <f>IF($B424="","",'E08 — Estabilização Hypercare'!T429)</f>
        <v/>
      </c>
      <c r="AI424" s="62" t="str">
        <f>IF($B424="","",'E08 — Estabilização Hypercare'!N429)</f>
        <v/>
      </c>
      <c r="AJ424" s="61" t="str">
        <f>IF(OR($B424="",'E08 — Estabilização Hypercare'!U429=""),"",'E08 — Estabilização Hypercare'!U429)</f>
        <v/>
      </c>
      <c r="AK424" s="60" t="str">
        <f t="shared" si="33"/>
        <v/>
      </c>
      <c r="AL424" s="65" t="str">
        <f t="shared" si="34"/>
        <v/>
      </c>
    </row>
    <row r="425" spans="2:38" s="42" customFormat="1" x14ac:dyDescent="0.35">
      <c r="B425" s="55" t="str">
        <f t="shared" si="30"/>
        <v/>
      </c>
      <c r="C425" s="40"/>
      <c r="D425" s="40"/>
      <c r="E425" s="41"/>
      <c r="F425" s="41"/>
      <c r="G425" s="41"/>
      <c r="H425" s="68" t="str">
        <f>IF('E2 — Triagem'!D430="","",'E2 — Triagem'!D430)</f>
        <v/>
      </c>
      <c r="I425" s="71"/>
      <c r="J425" s="41"/>
      <c r="K425" s="41"/>
      <c r="L425" s="71"/>
      <c r="M425" s="71"/>
      <c r="N425" s="71"/>
      <c r="O425" s="71"/>
      <c r="P425" s="41"/>
      <c r="Q425" s="41"/>
      <c r="R425" s="71"/>
      <c r="S425" s="71"/>
      <c r="T425" s="75"/>
      <c r="U425" s="75"/>
      <c r="V425" s="75"/>
      <c r="W425" s="58" t="str">
        <f t="shared" si="31"/>
        <v/>
      </c>
      <c r="X425" s="59" t="str">
        <f t="shared" si="32"/>
        <v/>
      </c>
      <c r="Y425" s="41"/>
      <c r="Z425" s="41"/>
      <c r="AA425" s="41"/>
      <c r="AB425" s="68" t="str">
        <f>IF($B425="","",'Workflow (Tracker)'!L448)</f>
        <v/>
      </c>
      <c r="AC425" s="69" t="str">
        <f>IF($B425="","",'E08 — Estabilização Hypercare'!K430)</f>
        <v/>
      </c>
      <c r="AD425" s="66" t="str">
        <f>IF($B425="","",'E08 — Estabilização Hypercare'!O430)</f>
        <v/>
      </c>
      <c r="AE425" s="66" t="str">
        <f>IF($B425="","",'E08 — Estabilização Hypercare'!Q430)</f>
        <v/>
      </c>
      <c r="AF425" s="66" t="str">
        <f>IF(OR($B425="",'E08 — Estabilização Hypercare'!R430=""),"",'E08 — Estabilização Hypercare'!R430)</f>
        <v/>
      </c>
      <c r="AG425" s="60" t="str">
        <f>IF($B425="","",'E08 — Estabilização Hypercare'!S430)</f>
        <v/>
      </c>
      <c r="AH425" s="61" t="str">
        <f>IF($B425="","",'E08 — Estabilização Hypercare'!T430)</f>
        <v/>
      </c>
      <c r="AI425" s="62" t="str">
        <f>IF($B425="","",'E08 — Estabilização Hypercare'!N430)</f>
        <v/>
      </c>
      <c r="AJ425" s="61" t="str">
        <f>IF(OR($B425="",'E08 — Estabilização Hypercare'!U430=""),"",'E08 — Estabilização Hypercare'!U430)</f>
        <v/>
      </c>
      <c r="AK425" s="60" t="str">
        <f t="shared" si="33"/>
        <v/>
      </c>
      <c r="AL425" s="65" t="str">
        <f t="shared" si="34"/>
        <v/>
      </c>
    </row>
    <row r="426" spans="2:38" s="42" customFormat="1" x14ac:dyDescent="0.35">
      <c r="B426" s="55" t="str">
        <f t="shared" si="30"/>
        <v/>
      </c>
      <c r="C426" s="40"/>
      <c r="D426" s="40"/>
      <c r="E426" s="41"/>
      <c r="F426" s="41"/>
      <c r="G426" s="41"/>
      <c r="H426" s="68" t="str">
        <f>IF('E2 — Triagem'!D431="","",'E2 — Triagem'!D431)</f>
        <v/>
      </c>
      <c r="I426" s="71"/>
      <c r="J426" s="41"/>
      <c r="K426" s="41"/>
      <c r="L426" s="71"/>
      <c r="M426" s="71"/>
      <c r="N426" s="71"/>
      <c r="O426" s="71"/>
      <c r="P426" s="41"/>
      <c r="Q426" s="41"/>
      <c r="R426" s="71"/>
      <c r="S426" s="71"/>
      <c r="T426" s="75"/>
      <c r="U426" s="75"/>
      <c r="V426" s="75"/>
      <c r="W426" s="58" t="str">
        <f t="shared" si="31"/>
        <v/>
      </c>
      <c r="X426" s="59" t="str">
        <f t="shared" si="32"/>
        <v/>
      </c>
      <c r="Y426" s="41"/>
      <c r="Z426" s="41"/>
      <c r="AA426" s="41"/>
      <c r="AB426" s="68" t="str">
        <f>IF($B426="","",'Workflow (Tracker)'!L449)</f>
        <v/>
      </c>
      <c r="AC426" s="69" t="str">
        <f>IF($B426="","",'E08 — Estabilização Hypercare'!K431)</f>
        <v/>
      </c>
      <c r="AD426" s="66" t="str">
        <f>IF($B426="","",'E08 — Estabilização Hypercare'!O431)</f>
        <v/>
      </c>
      <c r="AE426" s="66" t="str">
        <f>IF($B426="","",'E08 — Estabilização Hypercare'!Q431)</f>
        <v/>
      </c>
      <c r="AF426" s="66" t="str">
        <f>IF(OR($B426="",'E08 — Estabilização Hypercare'!R431=""),"",'E08 — Estabilização Hypercare'!R431)</f>
        <v/>
      </c>
      <c r="AG426" s="60" t="str">
        <f>IF($B426="","",'E08 — Estabilização Hypercare'!S431)</f>
        <v/>
      </c>
      <c r="AH426" s="61" t="str">
        <f>IF($B426="","",'E08 — Estabilização Hypercare'!T431)</f>
        <v/>
      </c>
      <c r="AI426" s="62" t="str">
        <f>IF($B426="","",'E08 — Estabilização Hypercare'!N431)</f>
        <v/>
      </c>
      <c r="AJ426" s="61" t="str">
        <f>IF(OR($B426="",'E08 — Estabilização Hypercare'!U431=""),"",'E08 — Estabilização Hypercare'!U431)</f>
        <v/>
      </c>
      <c r="AK426" s="60" t="str">
        <f t="shared" si="33"/>
        <v/>
      </c>
      <c r="AL426" s="65" t="str">
        <f t="shared" si="34"/>
        <v/>
      </c>
    </row>
    <row r="427" spans="2:38" s="42" customFormat="1" x14ac:dyDescent="0.35">
      <c r="B427" s="55" t="str">
        <f t="shared" si="30"/>
        <v/>
      </c>
      <c r="C427" s="40"/>
      <c r="D427" s="40"/>
      <c r="E427" s="41"/>
      <c r="F427" s="41"/>
      <c r="G427" s="41"/>
      <c r="H427" s="68" t="str">
        <f>IF('E2 — Triagem'!D432="","",'E2 — Triagem'!D432)</f>
        <v/>
      </c>
      <c r="I427" s="71"/>
      <c r="J427" s="41"/>
      <c r="K427" s="41"/>
      <c r="L427" s="71"/>
      <c r="M427" s="71"/>
      <c r="N427" s="71"/>
      <c r="O427" s="71"/>
      <c r="P427" s="41"/>
      <c r="Q427" s="41"/>
      <c r="R427" s="71"/>
      <c r="S427" s="71"/>
      <c r="T427" s="75"/>
      <c r="U427" s="75"/>
      <c r="V427" s="75"/>
      <c r="W427" s="58" t="str">
        <f t="shared" si="31"/>
        <v/>
      </c>
      <c r="X427" s="59" t="str">
        <f t="shared" si="32"/>
        <v/>
      </c>
      <c r="Y427" s="41"/>
      <c r="Z427" s="41"/>
      <c r="AA427" s="41"/>
      <c r="AB427" s="68" t="str">
        <f>IF($B427="","",'Workflow (Tracker)'!L450)</f>
        <v/>
      </c>
      <c r="AC427" s="69" t="str">
        <f>IF($B427="","",'E08 — Estabilização Hypercare'!K432)</f>
        <v/>
      </c>
      <c r="AD427" s="66" t="str">
        <f>IF($B427="","",'E08 — Estabilização Hypercare'!O432)</f>
        <v/>
      </c>
      <c r="AE427" s="66" t="str">
        <f>IF($B427="","",'E08 — Estabilização Hypercare'!Q432)</f>
        <v/>
      </c>
      <c r="AF427" s="66" t="str">
        <f>IF(OR($B427="",'E08 — Estabilização Hypercare'!R432=""),"",'E08 — Estabilização Hypercare'!R432)</f>
        <v/>
      </c>
      <c r="AG427" s="60" t="str">
        <f>IF($B427="","",'E08 — Estabilização Hypercare'!S432)</f>
        <v/>
      </c>
      <c r="AH427" s="61" t="str">
        <f>IF($B427="","",'E08 — Estabilização Hypercare'!T432)</f>
        <v/>
      </c>
      <c r="AI427" s="62" t="str">
        <f>IF($B427="","",'E08 — Estabilização Hypercare'!N432)</f>
        <v/>
      </c>
      <c r="AJ427" s="61" t="str">
        <f>IF(OR($B427="",'E08 — Estabilização Hypercare'!U432=""),"",'E08 — Estabilização Hypercare'!U432)</f>
        <v/>
      </c>
      <c r="AK427" s="60" t="str">
        <f t="shared" si="33"/>
        <v/>
      </c>
      <c r="AL427" s="65" t="str">
        <f t="shared" si="34"/>
        <v/>
      </c>
    </row>
    <row r="428" spans="2:38" s="42" customFormat="1" x14ac:dyDescent="0.35">
      <c r="B428" s="55" t="str">
        <f t="shared" si="30"/>
        <v/>
      </c>
      <c r="C428" s="40"/>
      <c r="D428" s="40"/>
      <c r="E428" s="41"/>
      <c r="F428" s="41"/>
      <c r="G428" s="41"/>
      <c r="H428" s="68" t="str">
        <f>IF('E2 — Triagem'!D433="","",'E2 — Triagem'!D433)</f>
        <v/>
      </c>
      <c r="I428" s="71"/>
      <c r="J428" s="41"/>
      <c r="K428" s="41"/>
      <c r="L428" s="71"/>
      <c r="M428" s="71"/>
      <c r="N428" s="71"/>
      <c r="O428" s="71"/>
      <c r="P428" s="41"/>
      <c r="Q428" s="41"/>
      <c r="R428" s="71"/>
      <c r="S428" s="71"/>
      <c r="T428" s="75"/>
      <c r="U428" s="75"/>
      <c r="V428" s="75"/>
      <c r="W428" s="58" t="str">
        <f t="shared" si="31"/>
        <v/>
      </c>
      <c r="X428" s="59" t="str">
        <f t="shared" si="32"/>
        <v/>
      </c>
      <c r="Y428" s="41"/>
      <c r="Z428" s="41"/>
      <c r="AA428" s="41"/>
      <c r="AB428" s="68" t="str">
        <f>IF($B428="","",'Workflow (Tracker)'!L451)</f>
        <v/>
      </c>
      <c r="AC428" s="69" t="str">
        <f>IF($B428="","",'E08 — Estabilização Hypercare'!K433)</f>
        <v/>
      </c>
      <c r="AD428" s="66" t="str">
        <f>IF($B428="","",'E08 — Estabilização Hypercare'!O433)</f>
        <v/>
      </c>
      <c r="AE428" s="66" t="str">
        <f>IF($B428="","",'E08 — Estabilização Hypercare'!Q433)</f>
        <v/>
      </c>
      <c r="AF428" s="66" t="str">
        <f>IF(OR($B428="",'E08 — Estabilização Hypercare'!R433=""),"",'E08 — Estabilização Hypercare'!R433)</f>
        <v/>
      </c>
      <c r="AG428" s="60" t="str">
        <f>IF($B428="","",'E08 — Estabilização Hypercare'!S433)</f>
        <v/>
      </c>
      <c r="AH428" s="61" t="str">
        <f>IF($B428="","",'E08 — Estabilização Hypercare'!T433)</f>
        <v/>
      </c>
      <c r="AI428" s="62" t="str">
        <f>IF($B428="","",'E08 — Estabilização Hypercare'!N433)</f>
        <v/>
      </c>
      <c r="AJ428" s="61" t="str">
        <f>IF(OR($B428="",'E08 — Estabilização Hypercare'!U433=""),"",'E08 — Estabilização Hypercare'!U433)</f>
        <v/>
      </c>
      <c r="AK428" s="60" t="str">
        <f t="shared" si="33"/>
        <v/>
      </c>
      <c r="AL428" s="65" t="str">
        <f t="shared" si="34"/>
        <v/>
      </c>
    </row>
    <row r="429" spans="2:38" s="42" customFormat="1" x14ac:dyDescent="0.35">
      <c r="B429" s="55" t="str">
        <f t="shared" si="30"/>
        <v/>
      </c>
      <c r="C429" s="40"/>
      <c r="D429" s="40"/>
      <c r="E429" s="41"/>
      <c r="F429" s="41"/>
      <c r="G429" s="41"/>
      <c r="H429" s="68" t="str">
        <f>IF('E2 — Triagem'!D434="","",'E2 — Triagem'!D434)</f>
        <v/>
      </c>
      <c r="I429" s="71"/>
      <c r="J429" s="41"/>
      <c r="K429" s="41"/>
      <c r="L429" s="71"/>
      <c r="M429" s="71"/>
      <c r="N429" s="71"/>
      <c r="O429" s="71"/>
      <c r="P429" s="41"/>
      <c r="Q429" s="41"/>
      <c r="R429" s="71"/>
      <c r="S429" s="71"/>
      <c r="T429" s="75"/>
      <c r="U429" s="75"/>
      <c r="V429" s="75"/>
      <c r="W429" s="58" t="str">
        <f t="shared" si="31"/>
        <v/>
      </c>
      <c r="X429" s="59" t="str">
        <f t="shared" si="32"/>
        <v/>
      </c>
      <c r="Y429" s="41"/>
      <c r="Z429" s="41"/>
      <c r="AA429" s="41"/>
      <c r="AB429" s="68" t="str">
        <f>IF($B429="","",'Workflow (Tracker)'!L452)</f>
        <v/>
      </c>
      <c r="AC429" s="69" t="str">
        <f>IF($B429="","",'E08 — Estabilização Hypercare'!K434)</f>
        <v/>
      </c>
      <c r="AD429" s="66" t="str">
        <f>IF($B429="","",'E08 — Estabilização Hypercare'!O434)</f>
        <v/>
      </c>
      <c r="AE429" s="66" t="str">
        <f>IF($B429="","",'E08 — Estabilização Hypercare'!Q434)</f>
        <v/>
      </c>
      <c r="AF429" s="66" t="str">
        <f>IF(OR($B429="",'E08 — Estabilização Hypercare'!R434=""),"",'E08 — Estabilização Hypercare'!R434)</f>
        <v/>
      </c>
      <c r="AG429" s="60" t="str">
        <f>IF($B429="","",'E08 — Estabilização Hypercare'!S434)</f>
        <v/>
      </c>
      <c r="AH429" s="61" t="str">
        <f>IF($B429="","",'E08 — Estabilização Hypercare'!T434)</f>
        <v/>
      </c>
      <c r="AI429" s="62" t="str">
        <f>IF($B429="","",'E08 — Estabilização Hypercare'!N434)</f>
        <v/>
      </c>
      <c r="AJ429" s="61" t="str">
        <f>IF(OR($B429="",'E08 — Estabilização Hypercare'!U434=""),"",'E08 — Estabilização Hypercare'!U434)</f>
        <v/>
      </c>
      <c r="AK429" s="60" t="str">
        <f t="shared" si="33"/>
        <v/>
      </c>
      <c r="AL429" s="65" t="str">
        <f t="shared" si="34"/>
        <v/>
      </c>
    </row>
    <row r="430" spans="2:38" s="42" customFormat="1" x14ac:dyDescent="0.35">
      <c r="B430" s="55" t="str">
        <f t="shared" si="30"/>
        <v/>
      </c>
      <c r="C430" s="40"/>
      <c r="D430" s="40"/>
      <c r="E430" s="41"/>
      <c r="F430" s="41"/>
      <c r="G430" s="41"/>
      <c r="H430" s="68" t="str">
        <f>IF('E2 — Triagem'!D435="","",'E2 — Triagem'!D435)</f>
        <v/>
      </c>
      <c r="I430" s="71"/>
      <c r="J430" s="41"/>
      <c r="K430" s="41"/>
      <c r="L430" s="71"/>
      <c r="M430" s="71"/>
      <c r="N430" s="71"/>
      <c r="O430" s="71"/>
      <c r="P430" s="41"/>
      <c r="Q430" s="41"/>
      <c r="R430" s="71"/>
      <c r="S430" s="71"/>
      <c r="T430" s="75"/>
      <c r="U430" s="75"/>
      <c r="V430" s="75"/>
      <c r="W430" s="58" t="str">
        <f t="shared" si="31"/>
        <v/>
      </c>
      <c r="X430" s="59" t="str">
        <f t="shared" si="32"/>
        <v/>
      </c>
      <c r="Y430" s="41"/>
      <c r="Z430" s="41"/>
      <c r="AA430" s="41"/>
      <c r="AB430" s="68" t="str">
        <f>IF($B430="","",'Workflow (Tracker)'!L453)</f>
        <v/>
      </c>
      <c r="AC430" s="69" t="str">
        <f>IF($B430="","",'E08 — Estabilização Hypercare'!K435)</f>
        <v/>
      </c>
      <c r="AD430" s="66" t="str">
        <f>IF($B430="","",'E08 — Estabilização Hypercare'!O435)</f>
        <v/>
      </c>
      <c r="AE430" s="66" t="str">
        <f>IF($B430="","",'E08 — Estabilização Hypercare'!Q435)</f>
        <v/>
      </c>
      <c r="AF430" s="66" t="str">
        <f>IF(OR($B430="",'E08 — Estabilização Hypercare'!R435=""),"",'E08 — Estabilização Hypercare'!R435)</f>
        <v/>
      </c>
      <c r="AG430" s="60" t="str">
        <f>IF($B430="","",'E08 — Estabilização Hypercare'!S435)</f>
        <v/>
      </c>
      <c r="AH430" s="61" t="str">
        <f>IF($B430="","",'E08 — Estabilização Hypercare'!T435)</f>
        <v/>
      </c>
      <c r="AI430" s="62" t="str">
        <f>IF($B430="","",'E08 — Estabilização Hypercare'!N435)</f>
        <v/>
      </c>
      <c r="AJ430" s="61" t="str">
        <f>IF(OR($B430="",'E08 — Estabilização Hypercare'!U435=""),"",'E08 — Estabilização Hypercare'!U435)</f>
        <v/>
      </c>
      <c r="AK430" s="60" t="str">
        <f t="shared" si="33"/>
        <v/>
      </c>
      <c r="AL430" s="65" t="str">
        <f t="shared" si="34"/>
        <v/>
      </c>
    </row>
    <row r="431" spans="2:38" s="42" customFormat="1" x14ac:dyDescent="0.35">
      <c r="B431" s="55" t="str">
        <f t="shared" si="30"/>
        <v/>
      </c>
      <c r="C431" s="40"/>
      <c r="D431" s="40"/>
      <c r="E431" s="41"/>
      <c r="F431" s="41"/>
      <c r="G431" s="41"/>
      <c r="H431" s="68" t="str">
        <f>IF('E2 — Triagem'!D436="","",'E2 — Triagem'!D436)</f>
        <v/>
      </c>
      <c r="I431" s="71"/>
      <c r="J431" s="41"/>
      <c r="K431" s="41"/>
      <c r="L431" s="71"/>
      <c r="M431" s="71"/>
      <c r="N431" s="71"/>
      <c r="O431" s="71"/>
      <c r="P431" s="41"/>
      <c r="Q431" s="41"/>
      <c r="R431" s="71"/>
      <c r="S431" s="71"/>
      <c r="T431" s="75"/>
      <c r="U431" s="75"/>
      <c r="V431" s="75"/>
      <c r="W431" s="58" t="str">
        <f t="shared" si="31"/>
        <v/>
      </c>
      <c r="X431" s="59" t="str">
        <f t="shared" si="32"/>
        <v/>
      </c>
      <c r="Y431" s="41"/>
      <c r="Z431" s="41"/>
      <c r="AA431" s="41"/>
      <c r="AB431" s="68" t="str">
        <f>IF($B431="","",'Workflow (Tracker)'!L454)</f>
        <v/>
      </c>
      <c r="AC431" s="69" t="str">
        <f>IF($B431="","",'E08 — Estabilização Hypercare'!K436)</f>
        <v/>
      </c>
      <c r="AD431" s="66" t="str">
        <f>IF($B431="","",'E08 — Estabilização Hypercare'!O436)</f>
        <v/>
      </c>
      <c r="AE431" s="66" t="str">
        <f>IF($B431="","",'E08 — Estabilização Hypercare'!Q436)</f>
        <v/>
      </c>
      <c r="AF431" s="66" t="str">
        <f>IF(OR($B431="",'E08 — Estabilização Hypercare'!R436=""),"",'E08 — Estabilização Hypercare'!R436)</f>
        <v/>
      </c>
      <c r="AG431" s="60" t="str">
        <f>IF($B431="","",'E08 — Estabilização Hypercare'!S436)</f>
        <v/>
      </c>
      <c r="AH431" s="61" t="str">
        <f>IF($B431="","",'E08 — Estabilização Hypercare'!T436)</f>
        <v/>
      </c>
      <c r="AI431" s="62" t="str">
        <f>IF($B431="","",'E08 — Estabilização Hypercare'!N436)</f>
        <v/>
      </c>
      <c r="AJ431" s="61" t="str">
        <f>IF(OR($B431="",'E08 — Estabilização Hypercare'!U436=""),"",'E08 — Estabilização Hypercare'!U436)</f>
        <v/>
      </c>
      <c r="AK431" s="60" t="str">
        <f t="shared" si="33"/>
        <v/>
      </c>
      <c r="AL431" s="65" t="str">
        <f t="shared" si="34"/>
        <v/>
      </c>
    </row>
    <row r="432" spans="2:38" s="42" customFormat="1" x14ac:dyDescent="0.35">
      <c r="B432" s="55" t="str">
        <f t="shared" si="30"/>
        <v/>
      </c>
      <c r="C432" s="40"/>
      <c r="D432" s="40"/>
      <c r="E432" s="41"/>
      <c r="F432" s="41"/>
      <c r="G432" s="41"/>
      <c r="H432" s="68" t="str">
        <f>IF('E2 — Triagem'!D437="","",'E2 — Triagem'!D437)</f>
        <v/>
      </c>
      <c r="I432" s="71"/>
      <c r="J432" s="41"/>
      <c r="K432" s="41"/>
      <c r="L432" s="71"/>
      <c r="M432" s="71"/>
      <c r="N432" s="71"/>
      <c r="O432" s="71"/>
      <c r="P432" s="41"/>
      <c r="Q432" s="41"/>
      <c r="R432" s="71"/>
      <c r="S432" s="71"/>
      <c r="T432" s="75"/>
      <c r="U432" s="75"/>
      <c r="V432" s="75"/>
      <c r="W432" s="58" t="str">
        <f t="shared" si="31"/>
        <v/>
      </c>
      <c r="X432" s="59" t="str">
        <f t="shared" si="32"/>
        <v/>
      </c>
      <c r="Y432" s="41"/>
      <c r="Z432" s="41"/>
      <c r="AA432" s="41"/>
      <c r="AB432" s="68" t="str">
        <f>IF($B432="","",'Workflow (Tracker)'!L455)</f>
        <v/>
      </c>
      <c r="AC432" s="69" t="str">
        <f>IF($B432="","",'E08 — Estabilização Hypercare'!K437)</f>
        <v/>
      </c>
      <c r="AD432" s="66" t="str">
        <f>IF($B432="","",'E08 — Estabilização Hypercare'!O437)</f>
        <v/>
      </c>
      <c r="AE432" s="66" t="str">
        <f>IF($B432="","",'E08 — Estabilização Hypercare'!Q437)</f>
        <v/>
      </c>
      <c r="AF432" s="66" t="str">
        <f>IF(OR($B432="",'E08 — Estabilização Hypercare'!R437=""),"",'E08 — Estabilização Hypercare'!R437)</f>
        <v/>
      </c>
      <c r="AG432" s="60" t="str">
        <f>IF($B432="","",'E08 — Estabilização Hypercare'!S437)</f>
        <v/>
      </c>
      <c r="AH432" s="61" t="str">
        <f>IF($B432="","",'E08 — Estabilização Hypercare'!T437)</f>
        <v/>
      </c>
      <c r="AI432" s="62" t="str">
        <f>IF($B432="","",'E08 — Estabilização Hypercare'!N437)</f>
        <v/>
      </c>
      <c r="AJ432" s="61" t="str">
        <f>IF(OR($B432="",'E08 — Estabilização Hypercare'!U437=""),"",'E08 — Estabilização Hypercare'!U437)</f>
        <v/>
      </c>
      <c r="AK432" s="60" t="str">
        <f t="shared" si="33"/>
        <v/>
      </c>
      <c r="AL432" s="65" t="str">
        <f t="shared" si="34"/>
        <v/>
      </c>
    </row>
    <row r="433" spans="2:38" s="42" customFormat="1" x14ac:dyDescent="0.35">
      <c r="B433" s="55" t="str">
        <f t="shared" si="30"/>
        <v/>
      </c>
      <c r="C433" s="40"/>
      <c r="D433" s="40"/>
      <c r="E433" s="41"/>
      <c r="F433" s="41"/>
      <c r="G433" s="41"/>
      <c r="H433" s="68" t="str">
        <f>IF('E2 — Triagem'!D438="","",'E2 — Triagem'!D438)</f>
        <v/>
      </c>
      <c r="I433" s="71"/>
      <c r="J433" s="41"/>
      <c r="K433" s="41"/>
      <c r="L433" s="71"/>
      <c r="M433" s="71"/>
      <c r="N433" s="71"/>
      <c r="O433" s="71"/>
      <c r="P433" s="41"/>
      <c r="Q433" s="41"/>
      <c r="R433" s="71"/>
      <c r="S433" s="71"/>
      <c r="T433" s="75"/>
      <c r="U433" s="75"/>
      <c r="V433" s="75"/>
      <c r="W433" s="58" t="str">
        <f t="shared" si="31"/>
        <v/>
      </c>
      <c r="X433" s="59" t="str">
        <f t="shared" si="32"/>
        <v/>
      </c>
      <c r="Y433" s="41"/>
      <c r="Z433" s="41"/>
      <c r="AA433" s="41"/>
      <c r="AB433" s="68" t="str">
        <f>IF($B433="","",'Workflow (Tracker)'!L456)</f>
        <v/>
      </c>
      <c r="AC433" s="69" t="str">
        <f>IF($B433="","",'E08 — Estabilização Hypercare'!K438)</f>
        <v/>
      </c>
      <c r="AD433" s="66" t="str">
        <f>IF($B433="","",'E08 — Estabilização Hypercare'!O438)</f>
        <v/>
      </c>
      <c r="AE433" s="66" t="str">
        <f>IF($B433="","",'E08 — Estabilização Hypercare'!Q438)</f>
        <v/>
      </c>
      <c r="AF433" s="66" t="str">
        <f>IF(OR($B433="",'E08 — Estabilização Hypercare'!R438=""),"",'E08 — Estabilização Hypercare'!R438)</f>
        <v/>
      </c>
      <c r="AG433" s="60" t="str">
        <f>IF($B433="","",'E08 — Estabilização Hypercare'!S438)</f>
        <v/>
      </c>
      <c r="AH433" s="61" t="str">
        <f>IF($B433="","",'E08 — Estabilização Hypercare'!T438)</f>
        <v/>
      </c>
      <c r="AI433" s="62" t="str">
        <f>IF($B433="","",'E08 — Estabilização Hypercare'!N438)</f>
        <v/>
      </c>
      <c r="AJ433" s="61" t="str">
        <f>IF(OR($B433="",'E08 — Estabilização Hypercare'!U438=""),"",'E08 — Estabilização Hypercare'!U438)</f>
        <v/>
      </c>
      <c r="AK433" s="60" t="str">
        <f t="shared" si="33"/>
        <v/>
      </c>
      <c r="AL433" s="65" t="str">
        <f t="shared" si="34"/>
        <v/>
      </c>
    </row>
    <row r="434" spans="2:38" s="42" customFormat="1" x14ac:dyDescent="0.35">
      <c r="B434" s="55" t="str">
        <f t="shared" si="30"/>
        <v/>
      </c>
      <c r="C434" s="40"/>
      <c r="D434" s="40"/>
      <c r="E434" s="41"/>
      <c r="F434" s="41"/>
      <c r="G434" s="41"/>
      <c r="H434" s="68" t="str">
        <f>IF('E2 — Triagem'!D439="","",'E2 — Triagem'!D439)</f>
        <v/>
      </c>
      <c r="I434" s="71"/>
      <c r="J434" s="41"/>
      <c r="K434" s="41"/>
      <c r="L434" s="71"/>
      <c r="M434" s="71"/>
      <c r="N434" s="71"/>
      <c r="O434" s="71"/>
      <c r="P434" s="41"/>
      <c r="Q434" s="41"/>
      <c r="R434" s="71"/>
      <c r="S434" s="71"/>
      <c r="T434" s="75"/>
      <c r="U434" s="75"/>
      <c r="V434" s="75"/>
      <c r="W434" s="58" t="str">
        <f t="shared" si="31"/>
        <v/>
      </c>
      <c r="X434" s="59" t="str">
        <f t="shared" si="32"/>
        <v/>
      </c>
      <c r="Y434" s="41"/>
      <c r="Z434" s="41"/>
      <c r="AA434" s="41"/>
      <c r="AB434" s="68" t="str">
        <f>IF($B434="","",'Workflow (Tracker)'!L457)</f>
        <v/>
      </c>
      <c r="AC434" s="69" t="str">
        <f>IF($B434="","",'E08 — Estabilização Hypercare'!K439)</f>
        <v/>
      </c>
      <c r="AD434" s="66" t="str">
        <f>IF($B434="","",'E08 — Estabilização Hypercare'!O439)</f>
        <v/>
      </c>
      <c r="AE434" s="66" t="str">
        <f>IF($B434="","",'E08 — Estabilização Hypercare'!Q439)</f>
        <v/>
      </c>
      <c r="AF434" s="66" t="str">
        <f>IF(OR($B434="",'E08 — Estabilização Hypercare'!R439=""),"",'E08 — Estabilização Hypercare'!R439)</f>
        <v/>
      </c>
      <c r="AG434" s="60" t="str">
        <f>IF($B434="","",'E08 — Estabilização Hypercare'!S439)</f>
        <v/>
      </c>
      <c r="AH434" s="61" t="str">
        <f>IF($B434="","",'E08 — Estabilização Hypercare'!T439)</f>
        <v/>
      </c>
      <c r="AI434" s="62" t="str">
        <f>IF($B434="","",'E08 — Estabilização Hypercare'!N439)</f>
        <v/>
      </c>
      <c r="AJ434" s="61" t="str">
        <f>IF(OR($B434="",'E08 — Estabilização Hypercare'!U439=""),"",'E08 — Estabilização Hypercare'!U439)</f>
        <v/>
      </c>
      <c r="AK434" s="60" t="str">
        <f t="shared" si="33"/>
        <v/>
      </c>
      <c r="AL434" s="65" t="str">
        <f t="shared" si="34"/>
        <v/>
      </c>
    </row>
    <row r="435" spans="2:38" s="42" customFormat="1" x14ac:dyDescent="0.35">
      <c r="B435" s="55" t="str">
        <f t="shared" si="30"/>
        <v/>
      </c>
      <c r="C435" s="40"/>
      <c r="D435" s="40"/>
      <c r="E435" s="41"/>
      <c r="F435" s="41"/>
      <c r="G435" s="41"/>
      <c r="H435" s="68" t="str">
        <f>IF('E2 — Triagem'!D440="","",'E2 — Triagem'!D440)</f>
        <v/>
      </c>
      <c r="I435" s="71"/>
      <c r="J435" s="41"/>
      <c r="K435" s="41"/>
      <c r="L435" s="71"/>
      <c r="M435" s="71"/>
      <c r="N435" s="71"/>
      <c r="O435" s="71"/>
      <c r="P435" s="41"/>
      <c r="Q435" s="41"/>
      <c r="R435" s="71"/>
      <c r="S435" s="71"/>
      <c r="T435" s="75"/>
      <c r="U435" s="75"/>
      <c r="V435" s="75"/>
      <c r="W435" s="58" t="str">
        <f t="shared" si="31"/>
        <v/>
      </c>
      <c r="X435" s="59" t="str">
        <f t="shared" si="32"/>
        <v/>
      </c>
      <c r="Y435" s="41"/>
      <c r="Z435" s="41"/>
      <c r="AA435" s="41"/>
      <c r="AB435" s="68" t="str">
        <f>IF($B435="","",'Workflow (Tracker)'!L458)</f>
        <v/>
      </c>
      <c r="AC435" s="69" t="str">
        <f>IF($B435="","",'E08 — Estabilização Hypercare'!K440)</f>
        <v/>
      </c>
      <c r="AD435" s="66" t="str">
        <f>IF($B435="","",'E08 — Estabilização Hypercare'!O440)</f>
        <v/>
      </c>
      <c r="AE435" s="66" t="str">
        <f>IF($B435="","",'E08 — Estabilização Hypercare'!Q440)</f>
        <v/>
      </c>
      <c r="AF435" s="66" t="str">
        <f>IF(OR($B435="",'E08 — Estabilização Hypercare'!R440=""),"",'E08 — Estabilização Hypercare'!R440)</f>
        <v/>
      </c>
      <c r="AG435" s="60" t="str">
        <f>IF($B435="","",'E08 — Estabilização Hypercare'!S440)</f>
        <v/>
      </c>
      <c r="AH435" s="61" t="str">
        <f>IF($B435="","",'E08 — Estabilização Hypercare'!T440)</f>
        <v/>
      </c>
      <c r="AI435" s="62" t="str">
        <f>IF($B435="","",'E08 — Estabilização Hypercare'!N440)</f>
        <v/>
      </c>
      <c r="AJ435" s="61" t="str">
        <f>IF(OR($B435="",'E08 — Estabilização Hypercare'!U440=""),"",'E08 — Estabilização Hypercare'!U440)</f>
        <v/>
      </c>
      <c r="AK435" s="60" t="str">
        <f t="shared" si="33"/>
        <v/>
      </c>
      <c r="AL435" s="65" t="str">
        <f t="shared" si="34"/>
        <v/>
      </c>
    </row>
    <row r="436" spans="2:38" s="42" customFormat="1" x14ac:dyDescent="0.35">
      <c r="B436" s="55" t="str">
        <f t="shared" si="30"/>
        <v/>
      </c>
      <c r="C436" s="40"/>
      <c r="D436" s="40"/>
      <c r="E436" s="41"/>
      <c r="F436" s="41"/>
      <c r="G436" s="41"/>
      <c r="H436" s="68" t="str">
        <f>IF('E2 — Triagem'!D441="","",'E2 — Triagem'!D441)</f>
        <v/>
      </c>
      <c r="I436" s="71"/>
      <c r="J436" s="41"/>
      <c r="K436" s="41"/>
      <c r="L436" s="71"/>
      <c r="M436" s="71"/>
      <c r="N436" s="71"/>
      <c r="O436" s="71"/>
      <c r="P436" s="41"/>
      <c r="Q436" s="41"/>
      <c r="R436" s="71"/>
      <c r="S436" s="71"/>
      <c r="T436" s="75"/>
      <c r="U436" s="75"/>
      <c r="V436" s="75"/>
      <c r="W436" s="58" t="str">
        <f t="shared" si="31"/>
        <v/>
      </c>
      <c r="X436" s="59" t="str">
        <f t="shared" si="32"/>
        <v/>
      </c>
      <c r="Y436" s="41"/>
      <c r="Z436" s="41"/>
      <c r="AA436" s="41"/>
      <c r="AB436" s="68" t="str">
        <f>IF($B436="","",'Workflow (Tracker)'!L459)</f>
        <v/>
      </c>
      <c r="AC436" s="69" t="str">
        <f>IF($B436="","",'E08 — Estabilização Hypercare'!K441)</f>
        <v/>
      </c>
      <c r="AD436" s="66" t="str">
        <f>IF($B436="","",'E08 — Estabilização Hypercare'!O441)</f>
        <v/>
      </c>
      <c r="AE436" s="66" t="str">
        <f>IF($B436="","",'E08 — Estabilização Hypercare'!Q441)</f>
        <v/>
      </c>
      <c r="AF436" s="66" t="str">
        <f>IF(OR($B436="",'E08 — Estabilização Hypercare'!R441=""),"",'E08 — Estabilização Hypercare'!R441)</f>
        <v/>
      </c>
      <c r="AG436" s="60" t="str">
        <f>IF($B436="","",'E08 — Estabilização Hypercare'!S441)</f>
        <v/>
      </c>
      <c r="AH436" s="61" t="str">
        <f>IF($B436="","",'E08 — Estabilização Hypercare'!T441)</f>
        <v/>
      </c>
      <c r="AI436" s="62" t="str">
        <f>IF($B436="","",'E08 — Estabilização Hypercare'!N441)</f>
        <v/>
      </c>
      <c r="AJ436" s="61" t="str">
        <f>IF(OR($B436="",'E08 — Estabilização Hypercare'!U441=""),"",'E08 — Estabilização Hypercare'!U441)</f>
        <v/>
      </c>
      <c r="AK436" s="60" t="str">
        <f t="shared" si="33"/>
        <v/>
      </c>
      <c r="AL436" s="65" t="str">
        <f t="shared" si="34"/>
        <v/>
      </c>
    </row>
    <row r="437" spans="2:38" s="42" customFormat="1" x14ac:dyDescent="0.35">
      <c r="B437" s="55" t="str">
        <f t="shared" si="30"/>
        <v/>
      </c>
      <c r="C437" s="40"/>
      <c r="D437" s="40"/>
      <c r="E437" s="41"/>
      <c r="F437" s="41"/>
      <c r="G437" s="41"/>
      <c r="H437" s="68" t="str">
        <f>IF('E2 — Triagem'!D442="","",'E2 — Triagem'!D442)</f>
        <v/>
      </c>
      <c r="I437" s="71"/>
      <c r="J437" s="41"/>
      <c r="K437" s="41"/>
      <c r="L437" s="71"/>
      <c r="M437" s="71"/>
      <c r="N437" s="71"/>
      <c r="O437" s="71"/>
      <c r="P437" s="41"/>
      <c r="Q437" s="41"/>
      <c r="R437" s="71"/>
      <c r="S437" s="71"/>
      <c r="T437" s="75"/>
      <c r="U437" s="75"/>
      <c r="V437" s="75"/>
      <c r="W437" s="58" t="str">
        <f t="shared" si="31"/>
        <v/>
      </c>
      <c r="X437" s="59" t="str">
        <f t="shared" si="32"/>
        <v/>
      </c>
      <c r="Y437" s="41"/>
      <c r="Z437" s="41"/>
      <c r="AA437" s="41"/>
      <c r="AB437" s="68" t="str">
        <f>IF($B437="","",'Workflow (Tracker)'!L460)</f>
        <v/>
      </c>
      <c r="AC437" s="69" t="str">
        <f>IF($B437="","",'E08 — Estabilização Hypercare'!K442)</f>
        <v/>
      </c>
      <c r="AD437" s="66" t="str">
        <f>IF($B437="","",'E08 — Estabilização Hypercare'!O442)</f>
        <v/>
      </c>
      <c r="AE437" s="66" t="str">
        <f>IF($B437="","",'E08 — Estabilização Hypercare'!Q442)</f>
        <v/>
      </c>
      <c r="AF437" s="66" t="str">
        <f>IF(OR($B437="",'E08 — Estabilização Hypercare'!R442=""),"",'E08 — Estabilização Hypercare'!R442)</f>
        <v/>
      </c>
      <c r="AG437" s="60" t="str">
        <f>IF($B437="","",'E08 — Estabilização Hypercare'!S442)</f>
        <v/>
      </c>
      <c r="AH437" s="61" t="str">
        <f>IF($B437="","",'E08 — Estabilização Hypercare'!T442)</f>
        <v/>
      </c>
      <c r="AI437" s="62" t="str">
        <f>IF($B437="","",'E08 — Estabilização Hypercare'!N442)</f>
        <v/>
      </c>
      <c r="AJ437" s="61" t="str">
        <f>IF(OR($B437="",'E08 — Estabilização Hypercare'!U442=""),"",'E08 — Estabilização Hypercare'!U442)</f>
        <v/>
      </c>
      <c r="AK437" s="60" t="str">
        <f t="shared" si="33"/>
        <v/>
      </c>
      <c r="AL437" s="65" t="str">
        <f t="shared" si="34"/>
        <v/>
      </c>
    </row>
    <row r="438" spans="2:38" s="42" customFormat="1" x14ac:dyDescent="0.35">
      <c r="B438" s="55" t="str">
        <f t="shared" si="30"/>
        <v/>
      </c>
      <c r="C438" s="40"/>
      <c r="D438" s="40"/>
      <c r="E438" s="41"/>
      <c r="F438" s="41"/>
      <c r="G438" s="41"/>
      <c r="H438" s="68" t="str">
        <f>IF('E2 — Triagem'!D443="","",'E2 — Triagem'!D443)</f>
        <v/>
      </c>
      <c r="I438" s="71"/>
      <c r="J438" s="41"/>
      <c r="K438" s="41"/>
      <c r="L438" s="71"/>
      <c r="M438" s="71"/>
      <c r="N438" s="71"/>
      <c r="O438" s="71"/>
      <c r="P438" s="41"/>
      <c r="Q438" s="41"/>
      <c r="R438" s="71"/>
      <c r="S438" s="71"/>
      <c r="T438" s="75"/>
      <c r="U438" s="75"/>
      <c r="V438" s="75"/>
      <c r="W438" s="58" t="str">
        <f t="shared" si="31"/>
        <v/>
      </c>
      <c r="X438" s="59" t="str">
        <f t="shared" si="32"/>
        <v/>
      </c>
      <c r="Y438" s="41"/>
      <c r="Z438" s="41"/>
      <c r="AA438" s="41"/>
      <c r="AB438" s="68" t="str">
        <f>IF($B438="","",'Workflow (Tracker)'!L461)</f>
        <v/>
      </c>
      <c r="AC438" s="69" t="str">
        <f>IF($B438="","",'E08 — Estabilização Hypercare'!K443)</f>
        <v/>
      </c>
      <c r="AD438" s="66" t="str">
        <f>IF($B438="","",'E08 — Estabilização Hypercare'!O443)</f>
        <v/>
      </c>
      <c r="AE438" s="66" t="str">
        <f>IF($B438="","",'E08 — Estabilização Hypercare'!Q443)</f>
        <v/>
      </c>
      <c r="AF438" s="66" t="str">
        <f>IF(OR($B438="",'E08 — Estabilização Hypercare'!R443=""),"",'E08 — Estabilização Hypercare'!R443)</f>
        <v/>
      </c>
      <c r="AG438" s="60" t="str">
        <f>IF($B438="","",'E08 — Estabilização Hypercare'!S443)</f>
        <v/>
      </c>
      <c r="AH438" s="61" t="str">
        <f>IF($B438="","",'E08 — Estabilização Hypercare'!T443)</f>
        <v/>
      </c>
      <c r="AI438" s="62" t="str">
        <f>IF($B438="","",'E08 — Estabilização Hypercare'!N443)</f>
        <v/>
      </c>
      <c r="AJ438" s="61" t="str">
        <f>IF(OR($B438="",'E08 — Estabilização Hypercare'!U443=""),"",'E08 — Estabilização Hypercare'!U443)</f>
        <v/>
      </c>
      <c r="AK438" s="60" t="str">
        <f t="shared" si="33"/>
        <v/>
      </c>
      <c r="AL438" s="65" t="str">
        <f t="shared" si="34"/>
        <v/>
      </c>
    </row>
    <row r="439" spans="2:38" s="42" customFormat="1" x14ac:dyDescent="0.35">
      <c r="B439" s="55" t="str">
        <f t="shared" si="30"/>
        <v/>
      </c>
      <c r="C439" s="40"/>
      <c r="D439" s="40"/>
      <c r="E439" s="41"/>
      <c r="F439" s="41"/>
      <c r="G439" s="41"/>
      <c r="H439" s="68" t="str">
        <f>IF('E2 — Triagem'!D444="","",'E2 — Triagem'!D444)</f>
        <v/>
      </c>
      <c r="I439" s="71"/>
      <c r="J439" s="41"/>
      <c r="K439" s="41"/>
      <c r="L439" s="71"/>
      <c r="M439" s="71"/>
      <c r="N439" s="71"/>
      <c r="O439" s="71"/>
      <c r="P439" s="41"/>
      <c r="Q439" s="41"/>
      <c r="R439" s="71"/>
      <c r="S439" s="71"/>
      <c r="T439" s="75"/>
      <c r="U439" s="75"/>
      <c r="V439" s="75"/>
      <c r="W439" s="58" t="str">
        <f t="shared" si="31"/>
        <v/>
      </c>
      <c r="X439" s="59" t="str">
        <f t="shared" si="32"/>
        <v/>
      </c>
      <c r="Y439" s="41"/>
      <c r="Z439" s="41"/>
      <c r="AA439" s="41"/>
      <c r="AB439" s="68" t="str">
        <f>IF($B439="","",'Workflow (Tracker)'!L462)</f>
        <v/>
      </c>
      <c r="AC439" s="69" t="str">
        <f>IF($B439="","",'E08 — Estabilização Hypercare'!K444)</f>
        <v/>
      </c>
      <c r="AD439" s="66" t="str">
        <f>IF($B439="","",'E08 — Estabilização Hypercare'!O444)</f>
        <v/>
      </c>
      <c r="AE439" s="66" t="str">
        <f>IF($B439="","",'E08 — Estabilização Hypercare'!Q444)</f>
        <v/>
      </c>
      <c r="AF439" s="66" t="str">
        <f>IF(OR($B439="",'E08 — Estabilização Hypercare'!R444=""),"",'E08 — Estabilização Hypercare'!R444)</f>
        <v/>
      </c>
      <c r="AG439" s="60" t="str">
        <f>IF($B439="","",'E08 — Estabilização Hypercare'!S444)</f>
        <v/>
      </c>
      <c r="AH439" s="61" t="str">
        <f>IF($B439="","",'E08 — Estabilização Hypercare'!T444)</f>
        <v/>
      </c>
      <c r="AI439" s="62" t="str">
        <f>IF($B439="","",'E08 — Estabilização Hypercare'!N444)</f>
        <v/>
      </c>
      <c r="AJ439" s="61" t="str">
        <f>IF(OR($B439="",'E08 — Estabilização Hypercare'!U444=""),"",'E08 — Estabilização Hypercare'!U444)</f>
        <v/>
      </c>
      <c r="AK439" s="60" t="str">
        <f t="shared" si="33"/>
        <v/>
      </c>
      <c r="AL439" s="65" t="str">
        <f t="shared" si="34"/>
        <v/>
      </c>
    </row>
    <row r="440" spans="2:38" s="42" customFormat="1" x14ac:dyDescent="0.35">
      <c r="B440" s="55" t="str">
        <f t="shared" si="30"/>
        <v/>
      </c>
      <c r="C440" s="40"/>
      <c r="D440" s="40"/>
      <c r="E440" s="41"/>
      <c r="F440" s="41"/>
      <c r="G440" s="41"/>
      <c r="H440" s="68" t="str">
        <f>IF('E2 — Triagem'!D445="","",'E2 — Triagem'!D445)</f>
        <v/>
      </c>
      <c r="I440" s="71"/>
      <c r="J440" s="41"/>
      <c r="K440" s="41"/>
      <c r="L440" s="71"/>
      <c r="M440" s="71"/>
      <c r="N440" s="71"/>
      <c r="O440" s="71"/>
      <c r="P440" s="41"/>
      <c r="Q440" s="41"/>
      <c r="R440" s="71"/>
      <c r="S440" s="71"/>
      <c r="T440" s="75"/>
      <c r="U440" s="75"/>
      <c r="V440" s="75"/>
      <c r="W440" s="58" t="str">
        <f t="shared" si="31"/>
        <v/>
      </c>
      <c r="X440" s="59" t="str">
        <f t="shared" si="32"/>
        <v/>
      </c>
      <c r="Y440" s="41"/>
      <c r="Z440" s="41"/>
      <c r="AA440" s="41"/>
      <c r="AB440" s="68" t="str">
        <f>IF($B440="","",'Workflow (Tracker)'!L463)</f>
        <v/>
      </c>
      <c r="AC440" s="69" t="str">
        <f>IF($B440="","",'E08 — Estabilização Hypercare'!K445)</f>
        <v/>
      </c>
      <c r="AD440" s="66" t="str">
        <f>IF($B440="","",'E08 — Estabilização Hypercare'!O445)</f>
        <v/>
      </c>
      <c r="AE440" s="66" t="str">
        <f>IF($B440="","",'E08 — Estabilização Hypercare'!Q445)</f>
        <v/>
      </c>
      <c r="AF440" s="66" t="str">
        <f>IF(OR($B440="",'E08 — Estabilização Hypercare'!R445=""),"",'E08 — Estabilização Hypercare'!R445)</f>
        <v/>
      </c>
      <c r="AG440" s="60" t="str">
        <f>IF($B440="","",'E08 — Estabilização Hypercare'!S445)</f>
        <v/>
      </c>
      <c r="AH440" s="61" t="str">
        <f>IF($B440="","",'E08 — Estabilização Hypercare'!T445)</f>
        <v/>
      </c>
      <c r="AI440" s="62" t="str">
        <f>IF($B440="","",'E08 — Estabilização Hypercare'!N445)</f>
        <v/>
      </c>
      <c r="AJ440" s="61" t="str">
        <f>IF(OR($B440="",'E08 — Estabilização Hypercare'!U445=""),"",'E08 — Estabilização Hypercare'!U445)</f>
        <v/>
      </c>
      <c r="AK440" s="60" t="str">
        <f t="shared" si="33"/>
        <v/>
      </c>
      <c r="AL440" s="65" t="str">
        <f t="shared" si="34"/>
        <v/>
      </c>
    </row>
    <row r="441" spans="2:38" s="42" customFormat="1" x14ac:dyDescent="0.35">
      <c r="B441" s="55" t="str">
        <f t="shared" si="30"/>
        <v/>
      </c>
      <c r="C441" s="40"/>
      <c r="D441" s="40"/>
      <c r="E441" s="41"/>
      <c r="F441" s="41"/>
      <c r="G441" s="41"/>
      <c r="H441" s="68" t="str">
        <f>IF('E2 — Triagem'!D446="","",'E2 — Triagem'!D446)</f>
        <v/>
      </c>
      <c r="I441" s="71"/>
      <c r="J441" s="41"/>
      <c r="K441" s="41"/>
      <c r="L441" s="71"/>
      <c r="M441" s="71"/>
      <c r="N441" s="71"/>
      <c r="O441" s="71"/>
      <c r="P441" s="41"/>
      <c r="Q441" s="41"/>
      <c r="R441" s="71"/>
      <c r="S441" s="71"/>
      <c r="T441" s="75"/>
      <c r="U441" s="75"/>
      <c r="V441" s="75"/>
      <c r="W441" s="58" t="str">
        <f t="shared" si="31"/>
        <v/>
      </c>
      <c r="X441" s="59" t="str">
        <f t="shared" si="32"/>
        <v/>
      </c>
      <c r="Y441" s="41"/>
      <c r="Z441" s="41"/>
      <c r="AA441" s="41"/>
      <c r="AB441" s="68" t="str">
        <f>IF($B441="","",'Workflow (Tracker)'!L464)</f>
        <v/>
      </c>
      <c r="AC441" s="69" t="str">
        <f>IF($B441="","",'E08 — Estabilização Hypercare'!K446)</f>
        <v/>
      </c>
      <c r="AD441" s="66" t="str">
        <f>IF($B441="","",'E08 — Estabilização Hypercare'!O446)</f>
        <v/>
      </c>
      <c r="AE441" s="66" t="str">
        <f>IF($B441="","",'E08 — Estabilização Hypercare'!Q446)</f>
        <v/>
      </c>
      <c r="AF441" s="66" t="str">
        <f>IF(OR($B441="",'E08 — Estabilização Hypercare'!R446=""),"",'E08 — Estabilização Hypercare'!R446)</f>
        <v/>
      </c>
      <c r="AG441" s="60" t="str">
        <f>IF($B441="","",'E08 — Estabilização Hypercare'!S446)</f>
        <v/>
      </c>
      <c r="AH441" s="61" t="str">
        <f>IF($B441="","",'E08 — Estabilização Hypercare'!T446)</f>
        <v/>
      </c>
      <c r="AI441" s="62" t="str">
        <f>IF($B441="","",'E08 — Estabilização Hypercare'!N446)</f>
        <v/>
      </c>
      <c r="AJ441" s="61" t="str">
        <f>IF(OR($B441="",'E08 — Estabilização Hypercare'!U446=""),"",'E08 — Estabilização Hypercare'!U446)</f>
        <v/>
      </c>
      <c r="AK441" s="60" t="str">
        <f t="shared" si="33"/>
        <v/>
      </c>
      <c r="AL441" s="65" t="str">
        <f t="shared" si="34"/>
        <v/>
      </c>
    </row>
    <row r="442" spans="2:38" s="42" customFormat="1" x14ac:dyDescent="0.35">
      <c r="B442" s="55" t="str">
        <f t="shared" si="30"/>
        <v/>
      </c>
      <c r="C442" s="40"/>
      <c r="D442" s="40"/>
      <c r="E442" s="41"/>
      <c r="F442" s="41"/>
      <c r="G442" s="41"/>
      <c r="H442" s="68" t="str">
        <f>IF('E2 — Triagem'!D447="","",'E2 — Triagem'!D447)</f>
        <v/>
      </c>
      <c r="I442" s="71"/>
      <c r="J442" s="41"/>
      <c r="K442" s="41"/>
      <c r="L442" s="71"/>
      <c r="M442" s="71"/>
      <c r="N442" s="71"/>
      <c r="O442" s="71"/>
      <c r="P442" s="41"/>
      <c r="Q442" s="41"/>
      <c r="R442" s="71"/>
      <c r="S442" s="71"/>
      <c r="T442" s="75"/>
      <c r="U442" s="75"/>
      <c r="V442" s="75"/>
      <c r="W442" s="58" t="str">
        <f t="shared" si="31"/>
        <v/>
      </c>
      <c r="X442" s="59" t="str">
        <f t="shared" si="32"/>
        <v/>
      </c>
      <c r="Y442" s="41"/>
      <c r="Z442" s="41"/>
      <c r="AA442" s="41"/>
      <c r="AB442" s="68" t="str">
        <f>IF($B442="","",'Workflow (Tracker)'!L465)</f>
        <v/>
      </c>
      <c r="AC442" s="69" t="str">
        <f>IF($B442="","",'E08 — Estabilização Hypercare'!K447)</f>
        <v/>
      </c>
      <c r="AD442" s="66" t="str">
        <f>IF($B442="","",'E08 — Estabilização Hypercare'!O447)</f>
        <v/>
      </c>
      <c r="AE442" s="66" t="str">
        <f>IF($B442="","",'E08 — Estabilização Hypercare'!Q447)</f>
        <v/>
      </c>
      <c r="AF442" s="66" t="str">
        <f>IF(OR($B442="",'E08 — Estabilização Hypercare'!R447=""),"",'E08 — Estabilização Hypercare'!R447)</f>
        <v/>
      </c>
      <c r="AG442" s="60" t="str">
        <f>IF($B442="","",'E08 — Estabilização Hypercare'!S447)</f>
        <v/>
      </c>
      <c r="AH442" s="61" t="str">
        <f>IF($B442="","",'E08 — Estabilização Hypercare'!T447)</f>
        <v/>
      </c>
      <c r="AI442" s="62" t="str">
        <f>IF($B442="","",'E08 — Estabilização Hypercare'!N447)</f>
        <v/>
      </c>
      <c r="AJ442" s="61" t="str">
        <f>IF(OR($B442="",'E08 — Estabilização Hypercare'!U447=""),"",'E08 — Estabilização Hypercare'!U447)</f>
        <v/>
      </c>
      <c r="AK442" s="60" t="str">
        <f t="shared" si="33"/>
        <v/>
      </c>
      <c r="AL442" s="65" t="str">
        <f t="shared" si="34"/>
        <v/>
      </c>
    </row>
    <row r="443" spans="2:38" s="42" customFormat="1" x14ac:dyDescent="0.35">
      <c r="B443" s="55" t="str">
        <f t="shared" si="30"/>
        <v/>
      </c>
      <c r="C443" s="40"/>
      <c r="D443" s="40"/>
      <c r="E443" s="41"/>
      <c r="F443" s="41"/>
      <c r="G443" s="41"/>
      <c r="H443" s="68" t="str">
        <f>IF('E2 — Triagem'!D448="","",'E2 — Triagem'!D448)</f>
        <v/>
      </c>
      <c r="I443" s="71"/>
      <c r="J443" s="41"/>
      <c r="K443" s="41"/>
      <c r="L443" s="71"/>
      <c r="M443" s="71"/>
      <c r="N443" s="71"/>
      <c r="O443" s="71"/>
      <c r="P443" s="41"/>
      <c r="Q443" s="41"/>
      <c r="R443" s="71"/>
      <c r="S443" s="71"/>
      <c r="T443" s="75"/>
      <c r="U443" s="75"/>
      <c r="V443" s="75"/>
      <c r="W443" s="58" t="str">
        <f t="shared" si="31"/>
        <v/>
      </c>
      <c r="X443" s="59" t="str">
        <f t="shared" si="32"/>
        <v/>
      </c>
      <c r="Y443" s="41"/>
      <c r="Z443" s="41"/>
      <c r="AA443" s="41"/>
      <c r="AB443" s="68" t="str">
        <f>IF($B443="","",'Workflow (Tracker)'!L466)</f>
        <v/>
      </c>
      <c r="AC443" s="69" t="str">
        <f>IF($B443="","",'E08 — Estabilização Hypercare'!K448)</f>
        <v/>
      </c>
      <c r="AD443" s="66" t="str">
        <f>IF($B443="","",'E08 — Estabilização Hypercare'!O448)</f>
        <v/>
      </c>
      <c r="AE443" s="66" t="str">
        <f>IF($B443="","",'E08 — Estabilização Hypercare'!Q448)</f>
        <v/>
      </c>
      <c r="AF443" s="66" t="str">
        <f>IF(OR($B443="",'E08 — Estabilização Hypercare'!R448=""),"",'E08 — Estabilização Hypercare'!R448)</f>
        <v/>
      </c>
      <c r="AG443" s="60" t="str">
        <f>IF($B443="","",'E08 — Estabilização Hypercare'!S448)</f>
        <v/>
      </c>
      <c r="AH443" s="61" t="str">
        <f>IF($B443="","",'E08 — Estabilização Hypercare'!T448)</f>
        <v/>
      </c>
      <c r="AI443" s="62" t="str">
        <f>IF($B443="","",'E08 — Estabilização Hypercare'!N448)</f>
        <v/>
      </c>
      <c r="AJ443" s="61" t="str">
        <f>IF(OR($B443="",'E08 — Estabilização Hypercare'!U448=""),"",'E08 — Estabilização Hypercare'!U448)</f>
        <v/>
      </c>
      <c r="AK443" s="60" t="str">
        <f t="shared" si="33"/>
        <v/>
      </c>
      <c r="AL443" s="65" t="str">
        <f t="shared" si="34"/>
        <v/>
      </c>
    </row>
    <row r="444" spans="2:38" s="42" customFormat="1" x14ac:dyDescent="0.35">
      <c r="B444" s="55" t="str">
        <f t="shared" si="30"/>
        <v/>
      </c>
      <c r="C444" s="40"/>
      <c r="D444" s="40"/>
      <c r="E444" s="41"/>
      <c r="F444" s="41"/>
      <c r="G444" s="41"/>
      <c r="H444" s="68" t="str">
        <f>IF('E2 — Triagem'!D449="","",'E2 — Triagem'!D449)</f>
        <v/>
      </c>
      <c r="I444" s="71"/>
      <c r="J444" s="41"/>
      <c r="K444" s="41"/>
      <c r="L444" s="71"/>
      <c r="M444" s="71"/>
      <c r="N444" s="71"/>
      <c r="O444" s="71"/>
      <c r="P444" s="41"/>
      <c r="Q444" s="41"/>
      <c r="R444" s="71"/>
      <c r="S444" s="71"/>
      <c r="T444" s="75"/>
      <c r="U444" s="75"/>
      <c r="V444" s="75"/>
      <c r="W444" s="58" t="str">
        <f t="shared" si="31"/>
        <v/>
      </c>
      <c r="X444" s="59" t="str">
        <f t="shared" si="32"/>
        <v/>
      </c>
      <c r="Y444" s="41"/>
      <c r="Z444" s="41"/>
      <c r="AA444" s="41"/>
      <c r="AB444" s="68" t="str">
        <f>IF($B444="","",'Workflow (Tracker)'!L467)</f>
        <v/>
      </c>
      <c r="AC444" s="69" t="str">
        <f>IF($B444="","",'E08 — Estabilização Hypercare'!K449)</f>
        <v/>
      </c>
      <c r="AD444" s="66" t="str">
        <f>IF($B444="","",'E08 — Estabilização Hypercare'!O449)</f>
        <v/>
      </c>
      <c r="AE444" s="66" t="str">
        <f>IF($B444="","",'E08 — Estabilização Hypercare'!Q449)</f>
        <v/>
      </c>
      <c r="AF444" s="66" t="str">
        <f>IF(OR($B444="",'E08 — Estabilização Hypercare'!R449=""),"",'E08 — Estabilização Hypercare'!R449)</f>
        <v/>
      </c>
      <c r="AG444" s="60" t="str">
        <f>IF($B444="","",'E08 — Estabilização Hypercare'!S449)</f>
        <v/>
      </c>
      <c r="AH444" s="61" t="str">
        <f>IF($B444="","",'E08 — Estabilização Hypercare'!T449)</f>
        <v/>
      </c>
      <c r="AI444" s="62" t="str">
        <f>IF($B444="","",'E08 — Estabilização Hypercare'!N449)</f>
        <v/>
      </c>
      <c r="AJ444" s="61" t="str">
        <f>IF(OR($B444="",'E08 — Estabilização Hypercare'!U449=""),"",'E08 — Estabilização Hypercare'!U449)</f>
        <v/>
      </c>
      <c r="AK444" s="60" t="str">
        <f t="shared" si="33"/>
        <v/>
      </c>
      <c r="AL444" s="65" t="str">
        <f t="shared" si="34"/>
        <v/>
      </c>
    </row>
    <row r="445" spans="2:38" s="42" customFormat="1" x14ac:dyDescent="0.35">
      <c r="B445" s="55" t="str">
        <f t="shared" si="30"/>
        <v/>
      </c>
      <c r="C445" s="40"/>
      <c r="D445" s="40"/>
      <c r="E445" s="41"/>
      <c r="F445" s="41"/>
      <c r="G445" s="41"/>
      <c r="H445" s="68" t="str">
        <f>IF('E2 — Triagem'!D450="","",'E2 — Triagem'!D450)</f>
        <v/>
      </c>
      <c r="I445" s="71"/>
      <c r="J445" s="41"/>
      <c r="K445" s="41"/>
      <c r="L445" s="71"/>
      <c r="M445" s="71"/>
      <c r="N445" s="71"/>
      <c r="O445" s="71"/>
      <c r="P445" s="41"/>
      <c r="Q445" s="41"/>
      <c r="R445" s="71"/>
      <c r="S445" s="71"/>
      <c r="T445" s="75"/>
      <c r="U445" s="75"/>
      <c r="V445" s="75"/>
      <c r="W445" s="58" t="str">
        <f t="shared" si="31"/>
        <v/>
      </c>
      <c r="X445" s="59" t="str">
        <f t="shared" si="32"/>
        <v/>
      </c>
      <c r="Y445" s="41"/>
      <c r="Z445" s="41"/>
      <c r="AA445" s="41"/>
      <c r="AB445" s="68" t="str">
        <f>IF($B445="","",'Workflow (Tracker)'!L468)</f>
        <v/>
      </c>
      <c r="AC445" s="69" t="str">
        <f>IF($B445="","",'E08 — Estabilização Hypercare'!K450)</f>
        <v/>
      </c>
      <c r="AD445" s="66" t="str">
        <f>IF($B445="","",'E08 — Estabilização Hypercare'!O450)</f>
        <v/>
      </c>
      <c r="AE445" s="66" t="str">
        <f>IF($B445="","",'E08 — Estabilização Hypercare'!Q450)</f>
        <v/>
      </c>
      <c r="AF445" s="66" t="str">
        <f>IF(OR($B445="",'E08 — Estabilização Hypercare'!R450=""),"",'E08 — Estabilização Hypercare'!R450)</f>
        <v/>
      </c>
      <c r="AG445" s="60" t="str">
        <f>IF($B445="","",'E08 — Estabilização Hypercare'!S450)</f>
        <v/>
      </c>
      <c r="AH445" s="61" t="str">
        <f>IF($B445="","",'E08 — Estabilização Hypercare'!T450)</f>
        <v/>
      </c>
      <c r="AI445" s="62" t="str">
        <f>IF($B445="","",'E08 — Estabilização Hypercare'!N450)</f>
        <v/>
      </c>
      <c r="AJ445" s="61" t="str">
        <f>IF(OR($B445="",'E08 — Estabilização Hypercare'!U450=""),"",'E08 — Estabilização Hypercare'!U450)</f>
        <v/>
      </c>
      <c r="AK445" s="60" t="str">
        <f t="shared" si="33"/>
        <v/>
      </c>
      <c r="AL445" s="65" t="str">
        <f t="shared" si="34"/>
        <v/>
      </c>
    </row>
    <row r="446" spans="2:38" s="42" customFormat="1" x14ac:dyDescent="0.35">
      <c r="B446" s="55" t="str">
        <f t="shared" si="30"/>
        <v/>
      </c>
      <c r="C446" s="40"/>
      <c r="D446" s="40"/>
      <c r="E446" s="41"/>
      <c r="F446" s="41"/>
      <c r="G446" s="41"/>
      <c r="H446" s="68" t="str">
        <f>IF('E2 — Triagem'!D451="","",'E2 — Triagem'!D451)</f>
        <v/>
      </c>
      <c r="I446" s="71"/>
      <c r="J446" s="41"/>
      <c r="K446" s="41"/>
      <c r="L446" s="71"/>
      <c r="M446" s="71"/>
      <c r="N446" s="71"/>
      <c r="O446" s="71"/>
      <c r="P446" s="41"/>
      <c r="Q446" s="41"/>
      <c r="R446" s="71"/>
      <c r="S446" s="71"/>
      <c r="T446" s="75"/>
      <c r="U446" s="75"/>
      <c r="V446" s="75"/>
      <c r="W446" s="58" t="str">
        <f t="shared" si="31"/>
        <v/>
      </c>
      <c r="X446" s="59" t="str">
        <f t="shared" si="32"/>
        <v/>
      </c>
      <c r="Y446" s="41"/>
      <c r="Z446" s="41"/>
      <c r="AA446" s="41"/>
      <c r="AB446" s="68" t="str">
        <f>IF($B446="","",'Workflow (Tracker)'!L469)</f>
        <v/>
      </c>
      <c r="AC446" s="69" t="str">
        <f>IF($B446="","",'E08 — Estabilização Hypercare'!K451)</f>
        <v/>
      </c>
      <c r="AD446" s="66" t="str">
        <f>IF($B446="","",'E08 — Estabilização Hypercare'!O451)</f>
        <v/>
      </c>
      <c r="AE446" s="66" t="str">
        <f>IF($B446="","",'E08 — Estabilização Hypercare'!Q451)</f>
        <v/>
      </c>
      <c r="AF446" s="66" t="str">
        <f>IF(OR($B446="",'E08 — Estabilização Hypercare'!R451=""),"",'E08 — Estabilização Hypercare'!R451)</f>
        <v/>
      </c>
      <c r="AG446" s="60" t="str">
        <f>IF($B446="","",'E08 — Estabilização Hypercare'!S451)</f>
        <v/>
      </c>
      <c r="AH446" s="61" t="str">
        <f>IF($B446="","",'E08 — Estabilização Hypercare'!T451)</f>
        <v/>
      </c>
      <c r="AI446" s="62" t="str">
        <f>IF($B446="","",'E08 — Estabilização Hypercare'!N451)</f>
        <v/>
      </c>
      <c r="AJ446" s="61" t="str">
        <f>IF(OR($B446="",'E08 — Estabilização Hypercare'!U451=""),"",'E08 — Estabilização Hypercare'!U451)</f>
        <v/>
      </c>
      <c r="AK446" s="60" t="str">
        <f t="shared" si="33"/>
        <v/>
      </c>
      <c r="AL446" s="65" t="str">
        <f t="shared" si="34"/>
        <v/>
      </c>
    </row>
    <row r="447" spans="2:38" s="42" customFormat="1" x14ac:dyDescent="0.35">
      <c r="B447" s="55" t="str">
        <f t="shared" si="30"/>
        <v/>
      </c>
      <c r="C447" s="40"/>
      <c r="D447" s="40"/>
      <c r="E447" s="41"/>
      <c r="F447" s="41"/>
      <c r="G447" s="41"/>
      <c r="H447" s="68" t="str">
        <f>IF('E2 — Triagem'!D452="","",'E2 — Triagem'!D452)</f>
        <v/>
      </c>
      <c r="I447" s="71"/>
      <c r="J447" s="41"/>
      <c r="K447" s="41"/>
      <c r="L447" s="71"/>
      <c r="M447" s="71"/>
      <c r="N447" s="71"/>
      <c r="O447" s="71"/>
      <c r="P447" s="41"/>
      <c r="Q447" s="41"/>
      <c r="R447" s="71"/>
      <c r="S447" s="71"/>
      <c r="T447" s="75"/>
      <c r="U447" s="75"/>
      <c r="V447" s="75"/>
      <c r="W447" s="58" t="str">
        <f t="shared" si="31"/>
        <v/>
      </c>
      <c r="X447" s="59" t="str">
        <f t="shared" si="32"/>
        <v/>
      </c>
      <c r="Y447" s="41"/>
      <c r="Z447" s="41"/>
      <c r="AA447" s="41"/>
      <c r="AB447" s="68" t="str">
        <f>IF($B447="","",'Workflow (Tracker)'!L470)</f>
        <v/>
      </c>
      <c r="AC447" s="69" t="str">
        <f>IF($B447="","",'E08 — Estabilização Hypercare'!K452)</f>
        <v/>
      </c>
      <c r="AD447" s="66" t="str">
        <f>IF($B447="","",'E08 — Estabilização Hypercare'!O452)</f>
        <v/>
      </c>
      <c r="AE447" s="66" t="str">
        <f>IF($B447="","",'E08 — Estabilização Hypercare'!Q452)</f>
        <v/>
      </c>
      <c r="AF447" s="66" t="str">
        <f>IF(OR($B447="",'E08 — Estabilização Hypercare'!R452=""),"",'E08 — Estabilização Hypercare'!R452)</f>
        <v/>
      </c>
      <c r="AG447" s="60" t="str">
        <f>IF($B447="","",'E08 — Estabilização Hypercare'!S452)</f>
        <v/>
      </c>
      <c r="AH447" s="61" t="str">
        <f>IF($B447="","",'E08 — Estabilização Hypercare'!T452)</f>
        <v/>
      </c>
      <c r="AI447" s="62" t="str">
        <f>IF($B447="","",'E08 — Estabilização Hypercare'!N452)</f>
        <v/>
      </c>
      <c r="AJ447" s="61" t="str">
        <f>IF(OR($B447="",'E08 — Estabilização Hypercare'!U452=""),"",'E08 — Estabilização Hypercare'!U452)</f>
        <v/>
      </c>
      <c r="AK447" s="60" t="str">
        <f t="shared" si="33"/>
        <v/>
      </c>
      <c r="AL447" s="65" t="str">
        <f t="shared" si="34"/>
        <v/>
      </c>
    </row>
    <row r="448" spans="2:38" s="42" customFormat="1" x14ac:dyDescent="0.35">
      <c r="B448" s="55" t="str">
        <f t="shared" si="30"/>
        <v/>
      </c>
      <c r="C448" s="40"/>
      <c r="D448" s="40"/>
      <c r="E448" s="41"/>
      <c r="F448" s="41"/>
      <c r="G448" s="41"/>
      <c r="H448" s="68" t="str">
        <f>IF('E2 — Triagem'!D453="","",'E2 — Triagem'!D453)</f>
        <v/>
      </c>
      <c r="I448" s="71"/>
      <c r="J448" s="41"/>
      <c r="K448" s="41"/>
      <c r="L448" s="71"/>
      <c r="M448" s="71"/>
      <c r="N448" s="71"/>
      <c r="O448" s="71"/>
      <c r="P448" s="41"/>
      <c r="Q448" s="41"/>
      <c r="R448" s="71"/>
      <c r="S448" s="71"/>
      <c r="T448" s="75"/>
      <c r="U448" s="75"/>
      <c r="V448" s="75"/>
      <c r="W448" s="58" t="str">
        <f t="shared" si="31"/>
        <v/>
      </c>
      <c r="X448" s="59" t="str">
        <f t="shared" si="32"/>
        <v/>
      </c>
      <c r="Y448" s="41"/>
      <c r="Z448" s="41"/>
      <c r="AA448" s="41"/>
      <c r="AB448" s="68" t="str">
        <f>IF($B448="","",'Workflow (Tracker)'!L471)</f>
        <v/>
      </c>
      <c r="AC448" s="69" t="str">
        <f>IF($B448="","",'E08 — Estabilização Hypercare'!K453)</f>
        <v/>
      </c>
      <c r="AD448" s="66" t="str">
        <f>IF($B448="","",'E08 — Estabilização Hypercare'!O453)</f>
        <v/>
      </c>
      <c r="AE448" s="66" t="str">
        <f>IF($B448="","",'E08 — Estabilização Hypercare'!Q453)</f>
        <v/>
      </c>
      <c r="AF448" s="66" t="str">
        <f>IF(OR($B448="",'E08 — Estabilização Hypercare'!R453=""),"",'E08 — Estabilização Hypercare'!R453)</f>
        <v/>
      </c>
      <c r="AG448" s="60" t="str">
        <f>IF($B448="","",'E08 — Estabilização Hypercare'!S453)</f>
        <v/>
      </c>
      <c r="AH448" s="61" t="str">
        <f>IF($B448="","",'E08 — Estabilização Hypercare'!T453)</f>
        <v/>
      </c>
      <c r="AI448" s="62" t="str">
        <f>IF($B448="","",'E08 — Estabilização Hypercare'!N453)</f>
        <v/>
      </c>
      <c r="AJ448" s="61" t="str">
        <f>IF(OR($B448="",'E08 — Estabilização Hypercare'!U453=""),"",'E08 — Estabilização Hypercare'!U453)</f>
        <v/>
      </c>
      <c r="AK448" s="60" t="str">
        <f t="shared" si="33"/>
        <v/>
      </c>
      <c r="AL448" s="65" t="str">
        <f t="shared" si="34"/>
        <v/>
      </c>
    </row>
    <row r="449" spans="2:38" s="42" customFormat="1" x14ac:dyDescent="0.35">
      <c r="B449" s="55" t="str">
        <f t="shared" si="30"/>
        <v/>
      </c>
      <c r="C449" s="40"/>
      <c r="D449" s="40"/>
      <c r="E449" s="41"/>
      <c r="F449" s="41"/>
      <c r="G449" s="41"/>
      <c r="H449" s="68" t="str">
        <f>IF('E2 — Triagem'!D454="","",'E2 — Triagem'!D454)</f>
        <v/>
      </c>
      <c r="I449" s="71"/>
      <c r="J449" s="41"/>
      <c r="K449" s="41"/>
      <c r="L449" s="71"/>
      <c r="M449" s="71"/>
      <c r="N449" s="71"/>
      <c r="O449" s="71"/>
      <c r="P449" s="41"/>
      <c r="Q449" s="41"/>
      <c r="R449" s="71"/>
      <c r="S449" s="71"/>
      <c r="T449" s="75"/>
      <c r="U449" s="75"/>
      <c r="V449" s="75"/>
      <c r="W449" s="58" t="str">
        <f t="shared" si="31"/>
        <v/>
      </c>
      <c r="X449" s="59" t="str">
        <f t="shared" si="32"/>
        <v/>
      </c>
      <c r="Y449" s="41"/>
      <c r="Z449" s="41"/>
      <c r="AA449" s="41"/>
      <c r="AB449" s="68" t="str">
        <f>IF($B449="","",'Workflow (Tracker)'!L472)</f>
        <v/>
      </c>
      <c r="AC449" s="69" t="str">
        <f>IF($B449="","",'E08 — Estabilização Hypercare'!K454)</f>
        <v/>
      </c>
      <c r="AD449" s="66" t="str">
        <f>IF($B449="","",'E08 — Estabilização Hypercare'!O454)</f>
        <v/>
      </c>
      <c r="AE449" s="66" t="str">
        <f>IF($B449="","",'E08 — Estabilização Hypercare'!Q454)</f>
        <v/>
      </c>
      <c r="AF449" s="66" t="str">
        <f>IF(OR($B449="",'E08 — Estabilização Hypercare'!R454=""),"",'E08 — Estabilização Hypercare'!R454)</f>
        <v/>
      </c>
      <c r="AG449" s="60" t="str">
        <f>IF($B449="","",'E08 — Estabilização Hypercare'!S454)</f>
        <v/>
      </c>
      <c r="AH449" s="61" t="str">
        <f>IF($B449="","",'E08 — Estabilização Hypercare'!T454)</f>
        <v/>
      </c>
      <c r="AI449" s="62" t="str">
        <f>IF($B449="","",'E08 — Estabilização Hypercare'!N454)</f>
        <v/>
      </c>
      <c r="AJ449" s="61" t="str">
        <f>IF(OR($B449="",'E08 — Estabilização Hypercare'!U454=""),"",'E08 — Estabilização Hypercare'!U454)</f>
        <v/>
      </c>
      <c r="AK449" s="60" t="str">
        <f t="shared" si="33"/>
        <v/>
      </c>
      <c r="AL449" s="65" t="str">
        <f t="shared" si="34"/>
        <v/>
      </c>
    </row>
    <row r="450" spans="2:38" s="42" customFormat="1" x14ac:dyDescent="0.35">
      <c r="B450" s="55" t="str">
        <f t="shared" si="30"/>
        <v/>
      </c>
      <c r="C450" s="40"/>
      <c r="D450" s="40"/>
      <c r="E450" s="41"/>
      <c r="F450" s="41"/>
      <c r="G450" s="41"/>
      <c r="H450" s="68" t="str">
        <f>IF('E2 — Triagem'!D455="","",'E2 — Triagem'!D455)</f>
        <v/>
      </c>
      <c r="I450" s="71"/>
      <c r="J450" s="41"/>
      <c r="K450" s="41"/>
      <c r="L450" s="71"/>
      <c r="M450" s="71"/>
      <c r="N450" s="71"/>
      <c r="O450" s="71"/>
      <c r="P450" s="41"/>
      <c r="Q450" s="41"/>
      <c r="R450" s="71"/>
      <c r="S450" s="71"/>
      <c r="T450" s="75"/>
      <c r="U450" s="75"/>
      <c r="V450" s="75"/>
      <c r="W450" s="58" t="str">
        <f t="shared" si="31"/>
        <v/>
      </c>
      <c r="X450" s="59" t="str">
        <f t="shared" si="32"/>
        <v/>
      </c>
      <c r="Y450" s="41"/>
      <c r="Z450" s="41"/>
      <c r="AA450" s="41"/>
      <c r="AB450" s="68" t="str">
        <f>IF($B450="","",'Workflow (Tracker)'!L473)</f>
        <v/>
      </c>
      <c r="AC450" s="69" t="str">
        <f>IF($B450="","",'E08 — Estabilização Hypercare'!K455)</f>
        <v/>
      </c>
      <c r="AD450" s="66" t="str">
        <f>IF($B450="","",'E08 — Estabilização Hypercare'!O455)</f>
        <v/>
      </c>
      <c r="AE450" s="66" t="str">
        <f>IF($B450="","",'E08 — Estabilização Hypercare'!Q455)</f>
        <v/>
      </c>
      <c r="AF450" s="66" t="str">
        <f>IF(OR($B450="",'E08 — Estabilização Hypercare'!R455=""),"",'E08 — Estabilização Hypercare'!R455)</f>
        <v/>
      </c>
      <c r="AG450" s="60" t="str">
        <f>IF($B450="","",'E08 — Estabilização Hypercare'!S455)</f>
        <v/>
      </c>
      <c r="AH450" s="61" t="str">
        <f>IF($B450="","",'E08 — Estabilização Hypercare'!T455)</f>
        <v/>
      </c>
      <c r="AI450" s="62" t="str">
        <f>IF($B450="","",'E08 — Estabilização Hypercare'!N455)</f>
        <v/>
      </c>
      <c r="AJ450" s="61" t="str">
        <f>IF(OR($B450="",'E08 — Estabilização Hypercare'!U455=""),"",'E08 — Estabilização Hypercare'!U455)</f>
        <v/>
      </c>
      <c r="AK450" s="60" t="str">
        <f t="shared" si="33"/>
        <v/>
      </c>
      <c r="AL450" s="65" t="str">
        <f t="shared" si="34"/>
        <v/>
      </c>
    </row>
    <row r="451" spans="2:38" s="42" customFormat="1" x14ac:dyDescent="0.35">
      <c r="B451" s="55" t="str">
        <f t="shared" ref="B451:B514" si="35">IF($C451="","",Prefixo&amp;"-"&amp;TEXT(ROW()-2,"0000"))</f>
        <v/>
      </c>
      <c r="C451" s="40"/>
      <c r="D451" s="40"/>
      <c r="E451" s="41"/>
      <c r="F451" s="41"/>
      <c r="G451" s="41"/>
      <c r="H451" s="68" t="str">
        <f>IF('E2 — Triagem'!D456="","",'E2 — Triagem'!D456)</f>
        <v/>
      </c>
      <c r="I451" s="71"/>
      <c r="J451" s="41"/>
      <c r="K451" s="41"/>
      <c r="L451" s="71"/>
      <c r="M451" s="71"/>
      <c r="N451" s="71"/>
      <c r="O451" s="71"/>
      <c r="P451" s="41"/>
      <c r="Q451" s="41"/>
      <c r="R451" s="71"/>
      <c r="S451" s="71"/>
      <c r="T451" s="75"/>
      <c r="U451" s="75"/>
      <c r="V451" s="75"/>
      <c r="W451" s="58" t="str">
        <f t="shared" si="31"/>
        <v/>
      </c>
      <c r="X451" s="59" t="str">
        <f t="shared" si="32"/>
        <v/>
      </c>
      <c r="Y451" s="41"/>
      <c r="Z451" s="41"/>
      <c r="AA451" s="41"/>
      <c r="AB451" s="68" t="str">
        <f>IF($B451="","",'Workflow (Tracker)'!L474)</f>
        <v/>
      </c>
      <c r="AC451" s="69" t="str">
        <f>IF($B451="","",'E08 — Estabilização Hypercare'!K456)</f>
        <v/>
      </c>
      <c r="AD451" s="66" t="str">
        <f>IF($B451="","",'E08 — Estabilização Hypercare'!O456)</f>
        <v/>
      </c>
      <c r="AE451" s="66" t="str">
        <f>IF($B451="","",'E08 — Estabilização Hypercare'!Q456)</f>
        <v/>
      </c>
      <c r="AF451" s="66" t="str">
        <f>IF(OR($B451="",'E08 — Estabilização Hypercare'!R456=""),"",'E08 — Estabilização Hypercare'!R456)</f>
        <v/>
      </c>
      <c r="AG451" s="60" t="str">
        <f>IF($B451="","",'E08 — Estabilização Hypercare'!S456)</f>
        <v/>
      </c>
      <c r="AH451" s="61" t="str">
        <f>IF($B451="","",'E08 — Estabilização Hypercare'!T456)</f>
        <v/>
      </c>
      <c r="AI451" s="62" t="str">
        <f>IF($B451="","",'E08 — Estabilização Hypercare'!N456)</f>
        <v/>
      </c>
      <c r="AJ451" s="61" t="str">
        <f>IF(OR($B451="",'E08 — Estabilização Hypercare'!U456=""),"",'E08 — Estabilização Hypercare'!U456)</f>
        <v/>
      </c>
      <c r="AK451" s="60" t="str">
        <f t="shared" si="33"/>
        <v/>
      </c>
      <c r="AL451" s="65" t="str">
        <f t="shared" si="34"/>
        <v/>
      </c>
    </row>
    <row r="452" spans="2:38" s="42" customFormat="1" x14ac:dyDescent="0.35">
      <c r="B452" s="55" t="str">
        <f t="shared" si="35"/>
        <v/>
      </c>
      <c r="C452" s="40"/>
      <c r="D452" s="40"/>
      <c r="E452" s="41"/>
      <c r="F452" s="41"/>
      <c r="G452" s="41"/>
      <c r="H452" s="68" t="str">
        <f>IF('E2 — Triagem'!D457="","",'E2 — Triagem'!D457)</f>
        <v/>
      </c>
      <c r="I452" s="71"/>
      <c r="J452" s="41"/>
      <c r="K452" s="41"/>
      <c r="L452" s="71"/>
      <c r="M452" s="71"/>
      <c r="N452" s="71"/>
      <c r="O452" s="71"/>
      <c r="P452" s="41"/>
      <c r="Q452" s="41"/>
      <c r="R452" s="71"/>
      <c r="S452" s="71"/>
      <c r="T452" s="75"/>
      <c r="U452" s="75"/>
      <c r="V452" s="75"/>
      <c r="W452" s="58" t="str">
        <f t="shared" ref="W452:W515" si="36">IF(OR($U452="",$V452="",$U452&lt;=0),"",$U452-$V452)</f>
        <v/>
      </c>
      <c r="X452" s="59" t="str">
        <f t="shared" ref="X452:X515" si="37">IF(OR($U452="",$V452="",$U452&lt;=0),"",($U452-$V452)/$U452)</f>
        <v/>
      </c>
      <c r="Y452" s="41"/>
      <c r="Z452" s="41"/>
      <c r="AA452" s="41"/>
      <c r="AB452" s="68" t="str">
        <f>IF($B452="","",'Workflow (Tracker)'!L475)</f>
        <v/>
      </c>
      <c r="AC452" s="69" t="str">
        <f>IF($B452="","",'E08 — Estabilização Hypercare'!K457)</f>
        <v/>
      </c>
      <c r="AD452" s="66" t="str">
        <f>IF($B452="","",'E08 — Estabilização Hypercare'!O457)</f>
        <v/>
      </c>
      <c r="AE452" s="66" t="str">
        <f>IF($B452="","",'E08 — Estabilização Hypercare'!Q457)</f>
        <v/>
      </c>
      <c r="AF452" s="66" t="str">
        <f>IF(OR($B452="",'E08 — Estabilização Hypercare'!R457=""),"",'E08 — Estabilização Hypercare'!R457)</f>
        <v/>
      </c>
      <c r="AG452" s="60" t="str">
        <f>IF($B452="","",'E08 — Estabilização Hypercare'!S457)</f>
        <v/>
      </c>
      <c r="AH452" s="61" t="str">
        <f>IF($B452="","",'E08 — Estabilização Hypercare'!T457)</f>
        <v/>
      </c>
      <c r="AI452" s="62" t="str">
        <f>IF($B452="","",'E08 — Estabilização Hypercare'!N457)</f>
        <v/>
      </c>
      <c r="AJ452" s="61" t="str">
        <f>IF(OR($B452="",'E08 — Estabilização Hypercare'!U457=""),"",'E08 — Estabilização Hypercare'!U457)</f>
        <v/>
      </c>
      <c r="AK452" s="60" t="str">
        <f t="shared" ref="AK452:AK515" si="38">IF(OR($B452="",$AF452="",$C452=""),"",$AF452-$C452)</f>
        <v/>
      </c>
      <c r="AL452" s="65" t="str">
        <f t="shared" ref="AL452:AL515" si="39">IF($B452="","",IF($AB452="Concluído","Encerrado",IF(AND($S452="Concluído",$AB452&lt;&gt;"Concluído"),"Em Hypercare",$S452)))</f>
        <v/>
      </c>
    </row>
    <row r="453" spans="2:38" s="42" customFormat="1" x14ac:dyDescent="0.35">
      <c r="B453" s="55" t="str">
        <f t="shared" si="35"/>
        <v/>
      </c>
      <c r="C453" s="40"/>
      <c r="D453" s="40"/>
      <c r="E453" s="41"/>
      <c r="F453" s="41"/>
      <c r="G453" s="41"/>
      <c r="H453" s="68" t="str">
        <f>IF('E2 — Triagem'!D458="","",'E2 — Triagem'!D458)</f>
        <v/>
      </c>
      <c r="I453" s="71"/>
      <c r="J453" s="41"/>
      <c r="K453" s="41"/>
      <c r="L453" s="71"/>
      <c r="M453" s="71"/>
      <c r="N453" s="71"/>
      <c r="O453" s="71"/>
      <c r="P453" s="41"/>
      <c r="Q453" s="41"/>
      <c r="R453" s="71"/>
      <c r="S453" s="71"/>
      <c r="T453" s="75"/>
      <c r="U453" s="75"/>
      <c r="V453" s="75"/>
      <c r="W453" s="58" t="str">
        <f t="shared" si="36"/>
        <v/>
      </c>
      <c r="X453" s="59" t="str">
        <f t="shared" si="37"/>
        <v/>
      </c>
      <c r="Y453" s="41"/>
      <c r="Z453" s="41"/>
      <c r="AA453" s="41"/>
      <c r="AB453" s="68" t="str">
        <f>IF($B453="","",'Workflow (Tracker)'!L476)</f>
        <v/>
      </c>
      <c r="AC453" s="69" t="str">
        <f>IF($B453="","",'E08 — Estabilização Hypercare'!K458)</f>
        <v/>
      </c>
      <c r="AD453" s="66" t="str">
        <f>IF($B453="","",'E08 — Estabilização Hypercare'!O458)</f>
        <v/>
      </c>
      <c r="AE453" s="66" t="str">
        <f>IF($B453="","",'E08 — Estabilização Hypercare'!Q458)</f>
        <v/>
      </c>
      <c r="AF453" s="66" t="str">
        <f>IF(OR($B453="",'E08 — Estabilização Hypercare'!R458=""),"",'E08 — Estabilização Hypercare'!R458)</f>
        <v/>
      </c>
      <c r="AG453" s="60" t="str">
        <f>IF($B453="","",'E08 — Estabilização Hypercare'!S458)</f>
        <v/>
      </c>
      <c r="AH453" s="61" t="str">
        <f>IF($B453="","",'E08 — Estabilização Hypercare'!T458)</f>
        <v/>
      </c>
      <c r="AI453" s="62" t="str">
        <f>IF($B453="","",'E08 — Estabilização Hypercare'!N458)</f>
        <v/>
      </c>
      <c r="AJ453" s="61" t="str">
        <f>IF(OR($B453="",'E08 — Estabilização Hypercare'!U458=""),"",'E08 — Estabilização Hypercare'!U458)</f>
        <v/>
      </c>
      <c r="AK453" s="60" t="str">
        <f t="shared" si="38"/>
        <v/>
      </c>
      <c r="AL453" s="65" t="str">
        <f t="shared" si="39"/>
        <v/>
      </c>
    </row>
    <row r="454" spans="2:38" s="42" customFormat="1" x14ac:dyDescent="0.35">
      <c r="B454" s="55" t="str">
        <f t="shared" si="35"/>
        <v/>
      </c>
      <c r="C454" s="40"/>
      <c r="D454" s="40"/>
      <c r="E454" s="41"/>
      <c r="F454" s="41"/>
      <c r="G454" s="41"/>
      <c r="H454" s="68" t="str">
        <f>IF('E2 — Triagem'!D459="","",'E2 — Triagem'!D459)</f>
        <v/>
      </c>
      <c r="I454" s="71"/>
      <c r="J454" s="41"/>
      <c r="K454" s="41"/>
      <c r="L454" s="71"/>
      <c r="M454" s="71"/>
      <c r="N454" s="71"/>
      <c r="O454" s="71"/>
      <c r="P454" s="41"/>
      <c r="Q454" s="41"/>
      <c r="R454" s="71"/>
      <c r="S454" s="71"/>
      <c r="T454" s="75"/>
      <c r="U454" s="75"/>
      <c r="V454" s="75"/>
      <c r="W454" s="58" t="str">
        <f t="shared" si="36"/>
        <v/>
      </c>
      <c r="X454" s="59" t="str">
        <f t="shared" si="37"/>
        <v/>
      </c>
      <c r="Y454" s="41"/>
      <c r="Z454" s="41"/>
      <c r="AA454" s="41"/>
      <c r="AB454" s="68" t="str">
        <f>IF($B454="","",'Workflow (Tracker)'!L477)</f>
        <v/>
      </c>
      <c r="AC454" s="69" t="str">
        <f>IF($B454="","",'E08 — Estabilização Hypercare'!K459)</f>
        <v/>
      </c>
      <c r="AD454" s="66" t="str">
        <f>IF($B454="","",'E08 — Estabilização Hypercare'!O459)</f>
        <v/>
      </c>
      <c r="AE454" s="66" t="str">
        <f>IF($B454="","",'E08 — Estabilização Hypercare'!Q459)</f>
        <v/>
      </c>
      <c r="AF454" s="66" t="str">
        <f>IF(OR($B454="",'E08 — Estabilização Hypercare'!R459=""),"",'E08 — Estabilização Hypercare'!R459)</f>
        <v/>
      </c>
      <c r="AG454" s="60" t="str">
        <f>IF($B454="","",'E08 — Estabilização Hypercare'!S459)</f>
        <v/>
      </c>
      <c r="AH454" s="61" t="str">
        <f>IF($B454="","",'E08 — Estabilização Hypercare'!T459)</f>
        <v/>
      </c>
      <c r="AI454" s="62" t="str">
        <f>IF($B454="","",'E08 — Estabilização Hypercare'!N459)</f>
        <v/>
      </c>
      <c r="AJ454" s="61" t="str">
        <f>IF(OR($B454="",'E08 — Estabilização Hypercare'!U459=""),"",'E08 — Estabilização Hypercare'!U459)</f>
        <v/>
      </c>
      <c r="AK454" s="60" t="str">
        <f t="shared" si="38"/>
        <v/>
      </c>
      <c r="AL454" s="65" t="str">
        <f t="shared" si="39"/>
        <v/>
      </c>
    </row>
    <row r="455" spans="2:38" s="42" customFormat="1" x14ac:dyDescent="0.35">
      <c r="B455" s="55" t="str">
        <f t="shared" si="35"/>
        <v/>
      </c>
      <c r="C455" s="40"/>
      <c r="D455" s="40"/>
      <c r="E455" s="41"/>
      <c r="F455" s="41"/>
      <c r="G455" s="41"/>
      <c r="H455" s="68" t="str">
        <f>IF('E2 — Triagem'!D460="","",'E2 — Triagem'!D460)</f>
        <v/>
      </c>
      <c r="I455" s="71"/>
      <c r="J455" s="41"/>
      <c r="K455" s="41"/>
      <c r="L455" s="71"/>
      <c r="M455" s="71"/>
      <c r="N455" s="71"/>
      <c r="O455" s="71"/>
      <c r="P455" s="41"/>
      <c r="Q455" s="41"/>
      <c r="R455" s="71"/>
      <c r="S455" s="71"/>
      <c r="T455" s="75"/>
      <c r="U455" s="75"/>
      <c r="V455" s="75"/>
      <c r="W455" s="58" t="str">
        <f t="shared" si="36"/>
        <v/>
      </c>
      <c r="X455" s="59" t="str">
        <f t="shared" si="37"/>
        <v/>
      </c>
      <c r="Y455" s="41"/>
      <c r="Z455" s="41"/>
      <c r="AA455" s="41"/>
      <c r="AB455" s="68" t="str">
        <f>IF($B455="","",'Workflow (Tracker)'!L478)</f>
        <v/>
      </c>
      <c r="AC455" s="69" t="str">
        <f>IF($B455="","",'E08 — Estabilização Hypercare'!K460)</f>
        <v/>
      </c>
      <c r="AD455" s="66" t="str">
        <f>IF($B455="","",'E08 — Estabilização Hypercare'!O460)</f>
        <v/>
      </c>
      <c r="AE455" s="66" t="str">
        <f>IF($B455="","",'E08 — Estabilização Hypercare'!Q460)</f>
        <v/>
      </c>
      <c r="AF455" s="66" t="str">
        <f>IF(OR($B455="",'E08 — Estabilização Hypercare'!R460=""),"",'E08 — Estabilização Hypercare'!R460)</f>
        <v/>
      </c>
      <c r="AG455" s="60" t="str">
        <f>IF($B455="","",'E08 — Estabilização Hypercare'!S460)</f>
        <v/>
      </c>
      <c r="AH455" s="61" t="str">
        <f>IF($B455="","",'E08 — Estabilização Hypercare'!T460)</f>
        <v/>
      </c>
      <c r="AI455" s="62" t="str">
        <f>IF($B455="","",'E08 — Estabilização Hypercare'!N460)</f>
        <v/>
      </c>
      <c r="AJ455" s="61" t="str">
        <f>IF(OR($B455="",'E08 — Estabilização Hypercare'!U460=""),"",'E08 — Estabilização Hypercare'!U460)</f>
        <v/>
      </c>
      <c r="AK455" s="60" t="str">
        <f t="shared" si="38"/>
        <v/>
      </c>
      <c r="AL455" s="65" t="str">
        <f t="shared" si="39"/>
        <v/>
      </c>
    </row>
    <row r="456" spans="2:38" s="42" customFormat="1" x14ac:dyDescent="0.35">
      <c r="B456" s="55" t="str">
        <f t="shared" si="35"/>
        <v/>
      </c>
      <c r="C456" s="40"/>
      <c r="D456" s="40"/>
      <c r="E456" s="41"/>
      <c r="F456" s="41"/>
      <c r="G456" s="41"/>
      <c r="H456" s="68" t="str">
        <f>IF('E2 — Triagem'!D461="","",'E2 — Triagem'!D461)</f>
        <v/>
      </c>
      <c r="I456" s="71"/>
      <c r="J456" s="41"/>
      <c r="K456" s="41"/>
      <c r="L456" s="71"/>
      <c r="M456" s="71"/>
      <c r="N456" s="71"/>
      <c r="O456" s="71"/>
      <c r="P456" s="41"/>
      <c r="Q456" s="41"/>
      <c r="R456" s="71"/>
      <c r="S456" s="71"/>
      <c r="T456" s="75"/>
      <c r="U456" s="75"/>
      <c r="V456" s="75"/>
      <c r="W456" s="58" t="str">
        <f t="shared" si="36"/>
        <v/>
      </c>
      <c r="X456" s="59" t="str">
        <f t="shared" si="37"/>
        <v/>
      </c>
      <c r="Y456" s="41"/>
      <c r="Z456" s="41"/>
      <c r="AA456" s="41"/>
      <c r="AB456" s="68" t="str">
        <f>IF($B456="","",'Workflow (Tracker)'!L479)</f>
        <v/>
      </c>
      <c r="AC456" s="69" t="str">
        <f>IF($B456="","",'E08 — Estabilização Hypercare'!K461)</f>
        <v/>
      </c>
      <c r="AD456" s="66" t="str">
        <f>IF($B456="","",'E08 — Estabilização Hypercare'!O461)</f>
        <v/>
      </c>
      <c r="AE456" s="66" t="str">
        <f>IF($B456="","",'E08 — Estabilização Hypercare'!Q461)</f>
        <v/>
      </c>
      <c r="AF456" s="66" t="str">
        <f>IF(OR($B456="",'E08 — Estabilização Hypercare'!R461=""),"",'E08 — Estabilização Hypercare'!R461)</f>
        <v/>
      </c>
      <c r="AG456" s="60" t="str">
        <f>IF($B456="","",'E08 — Estabilização Hypercare'!S461)</f>
        <v/>
      </c>
      <c r="AH456" s="61" t="str">
        <f>IF($B456="","",'E08 — Estabilização Hypercare'!T461)</f>
        <v/>
      </c>
      <c r="AI456" s="62" t="str">
        <f>IF($B456="","",'E08 — Estabilização Hypercare'!N461)</f>
        <v/>
      </c>
      <c r="AJ456" s="61" t="str">
        <f>IF(OR($B456="",'E08 — Estabilização Hypercare'!U461=""),"",'E08 — Estabilização Hypercare'!U461)</f>
        <v/>
      </c>
      <c r="AK456" s="60" t="str">
        <f t="shared" si="38"/>
        <v/>
      </c>
      <c r="AL456" s="65" t="str">
        <f t="shared" si="39"/>
        <v/>
      </c>
    </row>
    <row r="457" spans="2:38" s="42" customFormat="1" x14ac:dyDescent="0.35">
      <c r="B457" s="55" t="str">
        <f t="shared" si="35"/>
        <v/>
      </c>
      <c r="C457" s="40"/>
      <c r="D457" s="40"/>
      <c r="E457" s="41"/>
      <c r="F457" s="41"/>
      <c r="G457" s="41"/>
      <c r="H457" s="68" t="str">
        <f>IF('E2 — Triagem'!D462="","",'E2 — Triagem'!D462)</f>
        <v/>
      </c>
      <c r="I457" s="71"/>
      <c r="J457" s="41"/>
      <c r="K457" s="41"/>
      <c r="L457" s="71"/>
      <c r="M457" s="71"/>
      <c r="N457" s="71"/>
      <c r="O457" s="71"/>
      <c r="P457" s="41"/>
      <c r="Q457" s="41"/>
      <c r="R457" s="71"/>
      <c r="S457" s="71"/>
      <c r="T457" s="75"/>
      <c r="U457" s="75"/>
      <c r="V457" s="75"/>
      <c r="W457" s="58" t="str">
        <f t="shared" si="36"/>
        <v/>
      </c>
      <c r="X457" s="59" t="str">
        <f t="shared" si="37"/>
        <v/>
      </c>
      <c r="Y457" s="41"/>
      <c r="Z457" s="41"/>
      <c r="AA457" s="41"/>
      <c r="AB457" s="68" t="str">
        <f>IF($B457="","",'Workflow (Tracker)'!L480)</f>
        <v/>
      </c>
      <c r="AC457" s="69" t="str">
        <f>IF($B457="","",'E08 — Estabilização Hypercare'!K462)</f>
        <v/>
      </c>
      <c r="AD457" s="66" t="str">
        <f>IF($B457="","",'E08 — Estabilização Hypercare'!O462)</f>
        <v/>
      </c>
      <c r="AE457" s="66" t="str">
        <f>IF($B457="","",'E08 — Estabilização Hypercare'!Q462)</f>
        <v/>
      </c>
      <c r="AF457" s="66" t="str">
        <f>IF(OR($B457="",'E08 — Estabilização Hypercare'!R462=""),"",'E08 — Estabilização Hypercare'!R462)</f>
        <v/>
      </c>
      <c r="AG457" s="60" t="str">
        <f>IF($B457="","",'E08 — Estabilização Hypercare'!S462)</f>
        <v/>
      </c>
      <c r="AH457" s="61" t="str">
        <f>IF($B457="","",'E08 — Estabilização Hypercare'!T462)</f>
        <v/>
      </c>
      <c r="AI457" s="62" t="str">
        <f>IF($B457="","",'E08 — Estabilização Hypercare'!N462)</f>
        <v/>
      </c>
      <c r="AJ457" s="61" t="str">
        <f>IF(OR($B457="",'E08 — Estabilização Hypercare'!U462=""),"",'E08 — Estabilização Hypercare'!U462)</f>
        <v/>
      </c>
      <c r="AK457" s="60" t="str">
        <f t="shared" si="38"/>
        <v/>
      </c>
      <c r="AL457" s="65" t="str">
        <f t="shared" si="39"/>
        <v/>
      </c>
    </row>
    <row r="458" spans="2:38" s="42" customFormat="1" x14ac:dyDescent="0.35">
      <c r="B458" s="55" t="str">
        <f t="shared" si="35"/>
        <v/>
      </c>
      <c r="C458" s="40"/>
      <c r="D458" s="40"/>
      <c r="E458" s="41"/>
      <c r="F458" s="41"/>
      <c r="G458" s="41"/>
      <c r="H458" s="68" t="str">
        <f>IF('E2 — Triagem'!D463="","",'E2 — Triagem'!D463)</f>
        <v/>
      </c>
      <c r="I458" s="71"/>
      <c r="J458" s="41"/>
      <c r="K458" s="41"/>
      <c r="L458" s="71"/>
      <c r="M458" s="71"/>
      <c r="N458" s="71"/>
      <c r="O458" s="71"/>
      <c r="P458" s="41"/>
      <c r="Q458" s="41"/>
      <c r="R458" s="71"/>
      <c r="S458" s="71"/>
      <c r="T458" s="75"/>
      <c r="U458" s="75"/>
      <c r="V458" s="75"/>
      <c r="W458" s="58" t="str">
        <f t="shared" si="36"/>
        <v/>
      </c>
      <c r="X458" s="59" t="str">
        <f t="shared" si="37"/>
        <v/>
      </c>
      <c r="Y458" s="41"/>
      <c r="Z458" s="41"/>
      <c r="AA458" s="41"/>
      <c r="AB458" s="68" t="str">
        <f>IF($B458="","",'Workflow (Tracker)'!L481)</f>
        <v/>
      </c>
      <c r="AC458" s="69" t="str">
        <f>IF($B458="","",'E08 — Estabilização Hypercare'!K463)</f>
        <v/>
      </c>
      <c r="AD458" s="66" t="str">
        <f>IF($B458="","",'E08 — Estabilização Hypercare'!O463)</f>
        <v/>
      </c>
      <c r="AE458" s="66" t="str">
        <f>IF($B458="","",'E08 — Estabilização Hypercare'!Q463)</f>
        <v/>
      </c>
      <c r="AF458" s="66" t="str">
        <f>IF(OR($B458="",'E08 — Estabilização Hypercare'!R463=""),"",'E08 — Estabilização Hypercare'!R463)</f>
        <v/>
      </c>
      <c r="AG458" s="60" t="str">
        <f>IF($B458="","",'E08 — Estabilização Hypercare'!S463)</f>
        <v/>
      </c>
      <c r="AH458" s="61" t="str">
        <f>IF($B458="","",'E08 — Estabilização Hypercare'!T463)</f>
        <v/>
      </c>
      <c r="AI458" s="62" t="str">
        <f>IF($B458="","",'E08 — Estabilização Hypercare'!N463)</f>
        <v/>
      </c>
      <c r="AJ458" s="61" t="str">
        <f>IF(OR($B458="",'E08 — Estabilização Hypercare'!U463=""),"",'E08 — Estabilização Hypercare'!U463)</f>
        <v/>
      </c>
      <c r="AK458" s="60" t="str">
        <f t="shared" si="38"/>
        <v/>
      </c>
      <c r="AL458" s="65" t="str">
        <f t="shared" si="39"/>
        <v/>
      </c>
    </row>
    <row r="459" spans="2:38" s="42" customFormat="1" x14ac:dyDescent="0.35">
      <c r="B459" s="55" t="str">
        <f t="shared" si="35"/>
        <v/>
      </c>
      <c r="C459" s="40"/>
      <c r="D459" s="40"/>
      <c r="E459" s="41"/>
      <c r="F459" s="41"/>
      <c r="G459" s="41"/>
      <c r="H459" s="68" t="str">
        <f>IF('E2 — Triagem'!D464="","",'E2 — Triagem'!D464)</f>
        <v/>
      </c>
      <c r="I459" s="71"/>
      <c r="J459" s="41"/>
      <c r="K459" s="41"/>
      <c r="L459" s="71"/>
      <c r="M459" s="71"/>
      <c r="N459" s="71"/>
      <c r="O459" s="71"/>
      <c r="P459" s="41"/>
      <c r="Q459" s="41"/>
      <c r="R459" s="71"/>
      <c r="S459" s="71"/>
      <c r="T459" s="75"/>
      <c r="U459" s="75"/>
      <c r="V459" s="75"/>
      <c r="W459" s="58" t="str">
        <f t="shared" si="36"/>
        <v/>
      </c>
      <c r="X459" s="59" t="str">
        <f t="shared" si="37"/>
        <v/>
      </c>
      <c r="Y459" s="41"/>
      <c r="Z459" s="41"/>
      <c r="AA459" s="41"/>
      <c r="AB459" s="68" t="str">
        <f>IF($B459="","",'Workflow (Tracker)'!L482)</f>
        <v/>
      </c>
      <c r="AC459" s="69" t="str">
        <f>IF($B459="","",'E08 — Estabilização Hypercare'!K464)</f>
        <v/>
      </c>
      <c r="AD459" s="66" t="str">
        <f>IF($B459="","",'E08 — Estabilização Hypercare'!O464)</f>
        <v/>
      </c>
      <c r="AE459" s="66" t="str">
        <f>IF($B459="","",'E08 — Estabilização Hypercare'!Q464)</f>
        <v/>
      </c>
      <c r="AF459" s="66" t="str">
        <f>IF(OR($B459="",'E08 — Estabilização Hypercare'!R464=""),"",'E08 — Estabilização Hypercare'!R464)</f>
        <v/>
      </c>
      <c r="AG459" s="60" t="str">
        <f>IF($B459="","",'E08 — Estabilização Hypercare'!S464)</f>
        <v/>
      </c>
      <c r="AH459" s="61" t="str">
        <f>IF($B459="","",'E08 — Estabilização Hypercare'!T464)</f>
        <v/>
      </c>
      <c r="AI459" s="62" t="str">
        <f>IF($B459="","",'E08 — Estabilização Hypercare'!N464)</f>
        <v/>
      </c>
      <c r="AJ459" s="61" t="str">
        <f>IF(OR($B459="",'E08 — Estabilização Hypercare'!U464=""),"",'E08 — Estabilização Hypercare'!U464)</f>
        <v/>
      </c>
      <c r="AK459" s="60" t="str">
        <f t="shared" si="38"/>
        <v/>
      </c>
      <c r="AL459" s="65" t="str">
        <f t="shared" si="39"/>
        <v/>
      </c>
    </row>
    <row r="460" spans="2:38" s="42" customFormat="1" x14ac:dyDescent="0.35">
      <c r="B460" s="55" t="str">
        <f t="shared" si="35"/>
        <v/>
      </c>
      <c r="C460" s="40"/>
      <c r="D460" s="40"/>
      <c r="E460" s="41"/>
      <c r="F460" s="41"/>
      <c r="G460" s="41"/>
      <c r="H460" s="68" t="str">
        <f>IF('E2 — Triagem'!D465="","",'E2 — Triagem'!D465)</f>
        <v/>
      </c>
      <c r="I460" s="71"/>
      <c r="J460" s="41"/>
      <c r="K460" s="41"/>
      <c r="L460" s="71"/>
      <c r="M460" s="71"/>
      <c r="N460" s="71"/>
      <c r="O460" s="71"/>
      <c r="P460" s="41"/>
      <c r="Q460" s="41"/>
      <c r="R460" s="71"/>
      <c r="S460" s="71"/>
      <c r="T460" s="75"/>
      <c r="U460" s="75"/>
      <c r="V460" s="75"/>
      <c r="W460" s="58" t="str">
        <f t="shared" si="36"/>
        <v/>
      </c>
      <c r="X460" s="59" t="str">
        <f t="shared" si="37"/>
        <v/>
      </c>
      <c r="Y460" s="41"/>
      <c r="Z460" s="41"/>
      <c r="AA460" s="41"/>
      <c r="AB460" s="68" t="str">
        <f>IF($B460="","",'Workflow (Tracker)'!L483)</f>
        <v/>
      </c>
      <c r="AC460" s="69" t="str">
        <f>IF($B460="","",'E08 — Estabilização Hypercare'!K465)</f>
        <v/>
      </c>
      <c r="AD460" s="66" t="str">
        <f>IF($B460="","",'E08 — Estabilização Hypercare'!O465)</f>
        <v/>
      </c>
      <c r="AE460" s="66" t="str">
        <f>IF($B460="","",'E08 — Estabilização Hypercare'!Q465)</f>
        <v/>
      </c>
      <c r="AF460" s="66" t="str">
        <f>IF(OR($B460="",'E08 — Estabilização Hypercare'!R465=""),"",'E08 — Estabilização Hypercare'!R465)</f>
        <v/>
      </c>
      <c r="AG460" s="60" t="str">
        <f>IF($B460="","",'E08 — Estabilização Hypercare'!S465)</f>
        <v/>
      </c>
      <c r="AH460" s="61" t="str">
        <f>IF($B460="","",'E08 — Estabilização Hypercare'!T465)</f>
        <v/>
      </c>
      <c r="AI460" s="62" t="str">
        <f>IF($B460="","",'E08 — Estabilização Hypercare'!N465)</f>
        <v/>
      </c>
      <c r="AJ460" s="61" t="str">
        <f>IF(OR($B460="",'E08 — Estabilização Hypercare'!U465=""),"",'E08 — Estabilização Hypercare'!U465)</f>
        <v/>
      </c>
      <c r="AK460" s="60" t="str">
        <f t="shared" si="38"/>
        <v/>
      </c>
      <c r="AL460" s="65" t="str">
        <f t="shared" si="39"/>
        <v/>
      </c>
    </row>
    <row r="461" spans="2:38" s="42" customFormat="1" x14ac:dyDescent="0.35">
      <c r="B461" s="55" t="str">
        <f t="shared" si="35"/>
        <v/>
      </c>
      <c r="C461" s="40"/>
      <c r="D461" s="40"/>
      <c r="E461" s="41"/>
      <c r="F461" s="41"/>
      <c r="G461" s="41"/>
      <c r="H461" s="68" t="str">
        <f>IF('E2 — Triagem'!D466="","",'E2 — Triagem'!D466)</f>
        <v/>
      </c>
      <c r="I461" s="71"/>
      <c r="J461" s="41"/>
      <c r="K461" s="41"/>
      <c r="L461" s="71"/>
      <c r="M461" s="71"/>
      <c r="N461" s="71"/>
      <c r="O461" s="71"/>
      <c r="P461" s="41"/>
      <c r="Q461" s="41"/>
      <c r="R461" s="71"/>
      <c r="S461" s="71"/>
      <c r="T461" s="75"/>
      <c r="U461" s="75"/>
      <c r="V461" s="75"/>
      <c r="W461" s="58" t="str">
        <f t="shared" si="36"/>
        <v/>
      </c>
      <c r="X461" s="59" t="str">
        <f t="shared" si="37"/>
        <v/>
      </c>
      <c r="Y461" s="41"/>
      <c r="Z461" s="41"/>
      <c r="AA461" s="41"/>
      <c r="AB461" s="68" t="str">
        <f>IF($B461="","",'Workflow (Tracker)'!L484)</f>
        <v/>
      </c>
      <c r="AC461" s="69" t="str">
        <f>IF($B461="","",'E08 — Estabilização Hypercare'!K466)</f>
        <v/>
      </c>
      <c r="AD461" s="66" t="str">
        <f>IF($B461="","",'E08 — Estabilização Hypercare'!O466)</f>
        <v/>
      </c>
      <c r="AE461" s="66" t="str">
        <f>IF($B461="","",'E08 — Estabilização Hypercare'!Q466)</f>
        <v/>
      </c>
      <c r="AF461" s="66" t="str">
        <f>IF(OR($B461="",'E08 — Estabilização Hypercare'!R466=""),"",'E08 — Estabilização Hypercare'!R466)</f>
        <v/>
      </c>
      <c r="AG461" s="60" t="str">
        <f>IF($B461="","",'E08 — Estabilização Hypercare'!S466)</f>
        <v/>
      </c>
      <c r="AH461" s="61" t="str">
        <f>IF($B461="","",'E08 — Estabilização Hypercare'!T466)</f>
        <v/>
      </c>
      <c r="AI461" s="62" t="str">
        <f>IF($B461="","",'E08 — Estabilização Hypercare'!N466)</f>
        <v/>
      </c>
      <c r="AJ461" s="61" t="str">
        <f>IF(OR($B461="",'E08 — Estabilização Hypercare'!U466=""),"",'E08 — Estabilização Hypercare'!U466)</f>
        <v/>
      </c>
      <c r="AK461" s="60" t="str">
        <f t="shared" si="38"/>
        <v/>
      </c>
      <c r="AL461" s="65" t="str">
        <f t="shared" si="39"/>
        <v/>
      </c>
    </row>
    <row r="462" spans="2:38" s="42" customFormat="1" x14ac:dyDescent="0.35">
      <c r="B462" s="55" t="str">
        <f t="shared" si="35"/>
        <v/>
      </c>
      <c r="C462" s="40"/>
      <c r="D462" s="40"/>
      <c r="E462" s="41"/>
      <c r="F462" s="41"/>
      <c r="G462" s="41"/>
      <c r="H462" s="68" t="str">
        <f>IF('E2 — Triagem'!D467="","",'E2 — Triagem'!D467)</f>
        <v/>
      </c>
      <c r="I462" s="71"/>
      <c r="J462" s="41"/>
      <c r="K462" s="41"/>
      <c r="L462" s="71"/>
      <c r="M462" s="71"/>
      <c r="N462" s="71"/>
      <c r="O462" s="71"/>
      <c r="P462" s="41"/>
      <c r="Q462" s="41"/>
      <c r="R462" s="71"/>
      <c r="S462" s="71"/>
      <c r="T462" s="75"/>
      <c r="U462" s="75"/>
      <c r="V462" s="75"/>
      <c r="W462" s="58" t="str">
        <f t="shared" si="36"/>
        <v/>
      </c>
      <c r="X462" s="59" t="str">
        <f t="shared" si="37"/>
        <v/>
      </c>
      <c r="Y462" s="41"/>
      <c r="Z462" s="41"/>
      <c r="AA462" s="41"/>
      <c r="AB462" s="68" t="str">
        <f>IF($B462="","",'Workflow (Tracker)'!L485)</f>
        <v/>
      </c>
      <c r="AC462" s="69" t="str">
        <f>IF($B462="","",'E08 — Estabilização Hypercare'!K467)</f>
        <v/>
      </c>
      <c r="AD462" s="66" t="str">
        <f>IF($B462="","",'E08 — Estabilização Hypercare'!O467)</f>
        <v/>
      </c>
      <c r="AE462" s="66" t="str">
        <f>IF($B462="","",'E08 — Estabilização Hypercare'!Q467)</f>
        <v/>
      </c>
      <c r="AF462" s="66" t="str">
        <f>IF(OR($B462="",'E08 — Estabilização Hypercare'!R467=""),"",'E08 — Estabilização Hypercare'!R467)</f>
        <v/>
      </c>
      <c r="AG462" s="60" t="str">
        <f>IF($B462="","",'E08 — Estabilização Hypercare'!S467)</f>
        <v/>
      </c>
      <c r="AH462" s="61" t="str">
        <f>IF($B462="","",'E08 — Estabilização Hypercare'!T467)</f>
        <v/>
      </c>
      <c r="AI462" s="62" t="str">
        <f>IF($B462="","",'E08 — Estabilização Hypercare'!N467)</f>
        <v/>
      </c>
      <c r="AJ462" s="61" t="str">
        <f>IF(OR($B462="",'E08 — Estabilização Hypercare'!U467=""),"",'E08 — Estabilização Hypercare'!U467)</f>
        <v/>
      </c>
      <c r="AK462" s="60" t="str">
        <f t="shared" si="38"/>
        <v/>
      </c>
      <c r="AL462" s="65" t="str">
        <f t="shared" si="39"/>
        <v/>
      </c>
    </row>
    <row r="463" spans="2:38" s="42" customFormat="1" x14ac:dyDescent="0.35">
      <c r="B463" s="55" t="str">
        <f t="shared" si="35"/>
        <v/>
      </c>
      <c r="C463" s="40"/>
      <c r="D463" s="40"/>
      <c r="E463" s="41"/>
      <c r="F463" s="41"/>
      <c r="G463" s="41"/>
      <c r="H463" s="68" t="str">
        <f>IF('E2 — Triagem'!D468="","",'E2 — Triagem'!D468)</f>
        <v/>
      </c>
      <c r="I463" s="71"/>
      <c r="J463" s="41"/>
      <c r="K463" s="41"/>
      <c r="L463" s="71"/>
      <c r="M463" s="71"/>
      <c r="N463" s="71"/>
      <c r="O463" s="71"/>
      <c r="P463" s="41"/>
      <c r="Q463" s="41"/>
      <c r="R463" s="71"/>
      <c r="S463" s="71"/>
      <c r="T463" s="75"/>
      <c r="U463" s="75"/>
      <c r="V463" s="75"/>
      <c r="W463" s="58" t="str">
        <f t="shared" si="36"/>
        <v/>
      </c>
      <c r="X463" s="59" t="str">
        <f t="shared" si="37"/>
        <v/>
      </c>
      <c r="Y463" s="41"/>
      <c r="Z463" s="41"/>
      <c r="AA463" s="41"/>
      <c r="AB463" s="68" t="str">
        <f>IF($B463="","",'Workflow (Tracker)'!L486)</f>
        <v/>
      </c>
      <c r="AC463" s="69" t="str">
        <f>IF($B463="","",'E08 — Estabilização Hypercare'!K468)</f>
        <v/>
      </c>
      <c r="AD463" s="66" t="str">
        <f>IF($B463="","",'E08 — Estabilização Hypercare'!O468)</f>
        <v/>
      </c>
      <c r="AE463" s="66" t="str">
        <f>IF($B463="","",'E08 — Estabilização Hypercare'!Q468)</f>
        <v/>
      </c>
      <c r="AF463" s="66" t="str">
        <f>IF(OR($B463="",'E08 — Estabilização Hypercare'!R468=""),"",'E08 — Estabilização Hypercare'!R468)</f>
        <v/>
      </c>
      <c r="AG463" s="60" t="str">
        <f>IF($B463="","",'E08 — Estabilização Hypercare'!S468)</f>
        <v/>
      </c>
      <c r="AH463" s="61" t="str">
        <f>IF($B463="","",'E08 — Estabilização Hypercare'!T468)</f>
        <v/>
      </c>
      <c r="AI463" s="62" t="str">
        <f>IF($B463="","",'E08 — Estabilização Hypercare'!N468)</f>
        <v/>
      </c>
      <c r="AJ463" s="61" t="str">
        <f>IF(OR($B463="",'E08 — Estabilização Hypercare'!U468=""),"",'E08 — Estabilização Hypercare'!U468)</f>
        <v/>
      </c>
      <c r="AK463" s="60" t="str">
        <f t="shared" si="38"/>
        <v/>
      </c>
      <c r="AL463" s="65" t="str">
        <f t="shared" si="39"/>
        <v/>
      </c>
    </row>
    <row r="464" spans="2:38" s="42" customFormat="1" x14ac:dyDescent="0.35">
      <c r="B464" s="55" t="str">
        <f t="shared" si="35"/>
        <v/>
      </c>
      <c r="C464" s="40"/>
      <c r="D464" s="40"/>
      <c r="E464" s="41"/>
      <c r="F464" s="41"/>
      <c r="G464" s="41"/>
      <c r="H464" s="68" t="str">
        <f>IF('E2 — Triagem'!D469="","",'E2 — Triagem'!D469)</f>
        <v/>
      </c>
      <c r="I464" s="71"/>
      <c r="J464" s="41"/>
      <c r="K464" s="41"/>
      <c r="L464" s="71"/>
      <c r="M464" s="71"/>
      <c r="N464" s="71"/>
      <c r="O464" s="71"/>
      <c r="P464" s="41"/>
      <c r="Q464" s="41"/>
      <c r="R464" s="71"/>
      <c r="S464" s="71"/>
      <c r="T464" s="75"/>
      <c r="U464" s="75"/>
      <c r="V464" s="75"/>
      <c r="W464" s="58" t="str">
        <f t="shared" si="36"/>
        <v/>
      </c>
      <c r="X464" s="59" t="str">
        <f t="shared" si="37"/>
        <v/>
      </c>
      <c r="Y464" s="41"/>
      <c r="Z464" s="41"/>
      <c r="AA464" s="41"/>
      <c r="AB464" s="68" t="str">
        <f>IF($B464="","",'Workflow (Tracker)'!L487)</f>
        <v/>
      </c>
      <c r="AC464" s="69" t="str">
        <f>IF($B464="","",'E08 — Estabilização Hypercare'!K469)</f>
        <v/>
      </c>
      <c r="AD464" s="66" t="str">
        <f>IF($B464="","",'E08 — Estabilização Hypercare'!O469)</f>
        <v/>
      </c>
      <c r="AE464" s="66" t="str">
        <f>IF($B464="","",'E08 — Estabilização Hypercare'!Q469)</f>
        <v/>
      </c>
      <c r="AF464" s="66" t="str">
        <f>IF(OR($B464="",'E08 — Estabilização Hypercare'!R469=""),"",'E08 — Estabilização Hypercare'!R469)</f>
        <v/>
      </c>
      <c r="AG464" s="60" t="str">
        <f>IF($B464="","",'E08 — Estabilização Hypercare'!S469)</f>
        <v/>
      </c>
      <c r="AH464" s="61" t="str">
        <f>IF($B464="","",'E08 — Estabilização Hypercare'!T469)</f>
        <v/>
      </c>
      <c r="AI464" s="62" t="str">
        <f>IF($B464="","",'E08 — Estabilização Hypercare'!N469)</f>
        <v/>
      </c>
      <c r="AJ464" s="61" t="str">
        <f>IF(OR($B464="",'E08 — Estabilização Hypercare'!U469=""),"",'E08 — Estabilização Hypercare'!U469)</f>
        <v/>
      </c>
      <c r="AK464" s="60" t="str">
        <f t="shared" si="38"/>
        <v/>
      </c>
      <c r="AL464" s="65" t="str">
        <f t="shared" si="39"/>
        <v/>
      </c>
    </row>
    <row r="465" spans="2:38" s="42" customFormat="1" x14ac:dyDescent="0.35">
      <c r="B465" s="55" t="str">
        <f t="shared" si="35"/>
        <v/>
      </c>
      <c r="C465" s="40"/>
      <c r="D465" s="40"/>
      <c r="E465" s="41"/>
      <c r="F465" s="41"/>
      <c r="G465" s="41"/>
      <c r="H465" s="68" t="str">
        <f>IF('E2 — Triagem'!D470="","",'E2 — Triagem'!D470)</f>
        <v/>
      </c>
      <c r="I465" s="71"/>
      <c r="J465" s="41"/>
      <c r="K465" s="41"/>
      <c r="L465" s="71"/>
      <c r="M465" s="71"/>
      <c r="N465" s="71"/>
      <c r="O465" s="71"/>
      <c r="P465" s="41"/>
      <c r="Q465" s="41"/>
      <c r="R465" s="71"/>
      <c r="S465" s="71"/>
      <c r="T465" s="75"/>
      <c r="U465" s="75"/>
      <c r="V465" s="75"/>
      <c r="W465" s="58" t="str">
        <f t="shared" si="36"/>
        <v/>
      </c>
      <c r="X465" s="59" t="str">
        <f t="shared" si="37"/>
        <v/>
      </c>
      <c r="Y465" s="41"/>
      <c r="Z465" s="41"/>
      <c r="AA465" s="41"/>
      <c r="AB465" s="68" t="str">
        <f>IF($B465="","",'Workflow (Tracker)'!L488)</f>
        <v/>
      </c>
      <c r="AC465" s="69" t="str">
        <f>IF($B465="","",'E08 — Estabilização Hypercare'!K470)</f>
        <v/>
      </c>
      <c r="AD465" s="66" t="str">
        <f>IF($B465="","",'E08 — Estabilização Hypercare'!O470)</f>
        <v/>
      </c>
      <c r="AE465" s="66" t="str">
        <f>IF($B465="","",'E08 — Estabilização Hypercare'!Q470)</f>
        <v/>
      </c>
      <c r="AF465" s="66" t="str">
        <f>IF(OR($B465="",'E08 — Estabilização Hypercare'!R470=""),"",'E08 — Estabilização Hypercare'!R470)</f>
        <v/>
      </c>
      <c r="AG465" s="60" t="str">
        <f>IF($B465="","",'E08 — Estabilização Hypercare'!S470)</f>
        <v/>
      </c>
      <c r="AH465" s="61" t="str">
        <f>IF($B465="","",'E08 — Estabilização Hypercare'!T470)</f>
        <v/>
      </c>
      <c r="AI465" s="62" t="str">
        <f>IF($B465="","",'E08 — Estabilização Hypercare'!N470)</f>
        <v/>
      </c>
      <c r="AJ465" s="61" t="str">
        <f>IF(OR($B465="",'E08 — Estabilização Hypercare'!U470=""),"",'E08 — Estabilização Hypercare'!U470)</f>
        <v/>
      </c>
      <c r="AK465" s="60" t="str">
        <f t="shared" si="38"/>
        <v/>
      </c>
      <c r="AL465" s="65" t="str">
        <f t="shared" si="39"/>
        <v/>
      </c>
    </row>
    <row r="466" spans="2:38" s="42" customFormat="1" x14ac:dyDescent="0.35">
      <c r="B466" s="55" t="str">
        <f t="shared" si="35"/>
        <v/>
      </c>
      <c r="C466" s="40"/>
      <c r="D466" s="40"/>
      <c r="E466" s="41"/>
      <c r="F466" s="41"/>
      <c r="G466" s="41"/>
      <c r="H466" s="68" t="str">
        <f>IF('E2 — Triagem'!D471="","",'E2 — Triagem'!D471)</f>
        <v/>
      </c>
      <c r="I466" s="71"/>
      <c r="J466" s="41"/>
      <c r="K466" s="41"/>
      <c r="L466" s="71"/>
      <c r="M466" s="71"/>
      <c r="N466" s="71"/>
      <c r="O466" s="71"/>
      <c r="P466" s="41"/>
      <c r="Q466" s="41"/>
      <c r="R466" s="71"/>
      <c r="S466" s="71"/>
      <c r="T466" s="75"/>
      <c r="U466" s="75"/>
      <c r="V466" s="75"/>
      <c r="W466" s="58" t="str">
        <f t="shared" si="36"/>
        <v/>
      </c>
      <c r="X466" s="59" t="str">
        <f t="shared" si="37"/>
        <v/>
      </c>
      <c r="Y466" s="41"/>
      <c r="Z466" s="41"/>
      <c r="AA466" s="41"/>
      <c r="AB466" s="68" t="str">
        <f>IF($B466="","",'Workflow (Tracker)'!L489)</f>
        <v/>
      </c>
      <c r="AC466" s="69" t="str">
        <f>IF($B466="","",'E08 — Estabilização Hypercare'!K471)</f>
        <v/>
      </c>
      <c r="AD466" s="66" t="str">
        <f>IF($B466="","",'E08 — Estabilização Hypercare'!O471)</f>
        <v/>
      </c>
      <c r="AE466" s="66" t="str">
        <f>IF($B466="","",'E08 — Estabilização Hypercare'!Q471)</f>
        <v/>
      </c>
      <c r="AF466" s="66" t="str">
        <f>IF(OR($B466="",'E08 — Estabilização Hypercare'!R471=""),"",'E08 — Estabilização Hypercare'!R471)</f>
        <v/>
      </c>
      <c r="AG466" s="60" t="str">
        <f>IF($B466="","",'E08 — Estabilização Hypercare'!S471)</f>
        <v/>
      </c>
      <c r="AH466" s="61" t="str">
        <f>IF($B466="","",'E08 — Estabilização Hypercare'!T471)</f>
        <v/>
      </c>
      <c r="AI466" s="62" t="str">
        <f>IF($B466="","",'E08 — Estabilização Hypercare'!N471)</f>
        <v/>
      </c>
      <c r="AJ466" s="61" t="str">
        <f>IF(OR($B466="",'E08 — Estabilização Hypercare'!U471=""),"",'E08 — Estabilização Hypercare'!U471)</f>
        <v/>
      </c>
      <c r="AK466" s="60" t="str">
        <f t="shared" si="38"/>
        <v/>
      </c>
      <c r="AL466" s="65" t="str">
        <f t="shared" si="39"/>
        <v/>
      </c>
    </row>
    <row r="467" spans="2:38" s="42" customFormat="1" x14ac:dyDescent="0.35">
      <c r="B467" s="55" t="str">
        <f t="shared" si="35"/>
        <v/>
      </c>
      <c r="C467" s="40"/>
      <c r="D467" s="40"/>
      <c r="E467" s="41"/>
      <c r="F467" s="41"/>
      <c r="G467" s="41"/>
      <c r="H467" s="68" t="str">
        <f>IF('E2 — Triagem'!D472="","",'E2 — Triagem'!D472)</f>
        <v/>
      </c>
      <c r="I467" s="71"/>
      <c r="J467" s="41"/>
      <c r="K467" s="41"/>
      <c r="L467" s="71"/>
      <c r="M467" s="71"/>
      <c r="N467" s="71"/>
      <c r="O467" s="71"/>
      <c r="P467" s="41"/>
      <c r="Q467" s="41"/>
      <c r="R467" s="71"/>
      <c r="S467" s="71"/>
      <c r="T467" s="75"/>
      <c r="U467" s="75"/>
      <c r="V467" s="75"/>
      <c r="W467" s="58" t="str">
        <f t="shared" si="36"/>
        <v/>
      </c>
      <c r="X467" s="59" t="str">
        <f t="shared" si="37"/>
        <v/>
      </c>
      <c r="Y467" s="41"/>
      <c r="Z467" s="41"/>
      <c r="AA467" s="41"/>
      <c r="AB467" s="68" t="str">
        <f>IF($B467="","",'Workflow (Tracker)'!L490)</f>
        <v/>
      </c>
      <c r="AC467" s="69" t="str">
        <f>IF($B467="","",'E08 — Estabilização Hypercare'!K472)</f>
        <v/>
      </c>
      <c r="AD467" s="66" t="str">
        <f>IF($B467="","",'E08 — Estabilização Hypercare'!O472)</f>
        <v/>
      </c>
      <c r="AE467" s="66" t="str">
        <f>IF($B467="","",'E08 — Estabilização Hypercare'!Q472)</f>
        <v/>
      </c>
      <c r="AF467" s="66" t="str">
        <f>IF(OR($B467="",'E08 — Estabilização Hypercare'!R472=""),"",'E08 — Estabilização Hypercare'!R472)</f>
        <v/>
      </c>
      <c r="AG467" s="60" t="str">
        <f>IF($B467="","",'E08 — Estabilização Hypercare'!S472)</f>
        <v/>
      </c>
      <c r="AH467" s="61" t="str">
        <f>IF($B467="","",'E08 — Estabilização Hypercare'!T472)</f>
        <v/>
      </c>
      <c r="AI467" s="62" t="str">
        <f>IF($B467="","",'E08 — Estabilização Hypercare'!N472)</f>
        <v/>
      </c>
      <c r="AJ467" s="61" t="str">
        <f>IF(OR($B467="",'E08 — Estabilização Hypercare'!U472=""),"",'E08 — Estabilização Hypercare'!U472)</f>
        <v/>
      </c>
      <c r="AK467" s="60" t="str">
        <f t="shared" si="38"/>
        <v/>
      </c>
      <c r="AL467" s="65" t="str">
        <f t="shared" si="39"/>
        <v/>
      </c>
    </row>
    <row r="468" spans="2:38" s="42" customFormat="1" x14ac:dyDescent="0.35">
      <c r="B468" s="55" t="str">
        <f t="shared" si="35"/>
        <v/>
      </c>
      <c r="C468" s="40"/>
      <c r="D468" s="40"/>
      <c r="E468" s="41"/>
      <c r="F468" s="41"/>
      <c r="G468" s="41"/>
      <c r="H468" s="68" t="str">
        <f>IF('E2 — Triagem'!D473="","",'E2 — Triagem'!D473)</f>
        <v/>
      </c>
      <c r="I468" s="71"/>
      <c r="J468" s="41"/>
      <c r="K468" s="41"/>
      <c r="L468" s="71"/>
      <c r="M468" s="71"/>
      <c r="N468" s="71"/>
      <c r="O468" s="71"/>
      <c r="P468" s="41"/>
      <c r="Q468" s="41"/>
      <c r="R468" s="71"/>
      <c r="S468" s="71"/>
      <c r="T468" s="75"/>
      <c r="U468" s="75"/>
      <c r="V468" s="75"/>
      <c r="W468" s="58" t="str">
        <f t="shared" si="36"/>
        <v/>
      </c>
      <c r="X468" s="59" t="str">
        <f t="shared" si="37"/>
        <v/>
      </c>
      <c r="Y468" s="41"/>
      <c r="Z468" s="41"/>
      <c r="AA468" s="41"/>
      <c r="AB468" s="68" t="str">
        <f>IF($B468="","",'Workflow (Tracker)'!L491)</f>
        <v/>
      </c>
      <c r="AC468" s="69" t="str">
        <f>IF($B468="","",'E08 — Estabilização Hypercare'!K473)</f>
        <v/>
      </c>
      <c r="AD468" s="66" t="str">
        <f>IF($B468="","",'E08 — Estabilização Hypercare'!O473)</f>
        <v/>
      </c>
      <c r="AE468" s="66" t="str">
        <f>IF($B468="","",'E08 — Estabilização Hypercare'!Q473)</f>
        <v/>
      </c>
      <c r="AF468" s="66" t="str">
        <f>IF(OR($B468="",'E08 — Estabilização Hypercare'!R473=""),"",'E08 — Estabilização Hypercare'!R473)</f>
        <v/>
      </c>
      <c r="AG468" s="60" t="str">
        <f>IF($B468="","",'E08 — Estabilização Hypercare'!S473)</f>
        <v/>
      </c>
      <c r="AH468" s="61" t="str">
        <f>IF($B468="","",'E08 — Estabilização Hypercare'!T473)</f>
        <v/>
      </c>
      <c r="AI468" s="62" t="str">
        <f>IF($B468="","",'E08 — Estabilização Hypercare'!N473)</f>
        <v/>
      </c>
      <c r="AJ468" s="61" t="str">
        <f>IF(OR($B468="",'E08 — Estabilização Hypercare'!U473=""),"",'E08 — Estabilização Hypercare'!U473)</f>
        <v/>
      </c>
      <c r="AK468" s="60" t="str">
        <f t="shared" si="38"/>
        <v/>
      </c>
      <c r="AL468" s="65" t="str">
        <f t="shared" si="39"/>
        <v/>
      </c>
    </row>
    <row r="469" spans="2:38" s="42" customFormat="1" x14ac:dyDescent="0.35">
      <c r="B469" s="55" t="str">
        <f t="shared" si="35"/>
        <v/>
      </c>
      <c r="C469" s="40"/>
      <c r="D469" s="40"/>
      <c r="E469" s="41"/>
      <c r="F469" s="41"/>
      <c r="G469" s="41"/>
      <c r="H469" s="68" t="str">
        <f>IF('E2 — Triagem'!D474="","",'E2 — Triagem'!D474)</f>
        <v/>
      </c>
      <c r="I469" s="71"/>
      <c r="J469" s="41"/>
      <c r="K469" s="41"/>
      <c r="L469" s="71"/>
      <c r="M469" s="71"/>
      <c r="N469" s="71"/>
      <c r="O469" s="71"/>
      <c r="P469" s="41"/>
      <c r="Q469" s="41"/>
      <c r="R469" s="71"/>
      <c r="S469" s="71"/>
      <c r="T469" s="75"/>
      <c r="U469" s="75"/>
      <c r="V469" s="75"/>
      <c r="W469" s="58" t="str">
        <f t="shared" si="36"/>
        <v/>
      </c>
      <c r="X469" s="59" t="str">
        <f t="shared" si="37"/>
        <v/>
      </c>
      <c r="Y469" s="41"/>
      <c r="Z469" s="41"/>
      <c r="AA469" s="41"/>
      <c r="AB469" s="68" t="str">
        <f>IF($B469="","",'Workflow (Tracker)'!L492)</f>
        <v/>
      </c>
      <c r="AC469" s="69" t="str">
        <f>IF($B469="","",'E08 — Estabilização Hypercare'!K474)</f>
        <v/>
      </c>
      <c r="AD469" s="66" t="str">
        <f>IF($B469="","",'E08 — Estabilização Hypercare'!O474)</f>
        <v/>
      </c>
      <c r="AE469" s="66" t="str">
        <f>IF($B469="","",'E08 — Estabilização Hypercare'!Q474)</f>
        <v/>
      </c>
      <c r="AF469" s="66" t="str">
        <f>IF(OR($B469="",'E08 — Estabilização Hypercare'!R474=""),"",'E08 — Estabilização Hypercare'!R474)</f>
        <v/>
      </c>
      <c r="AG469" s="60" t="str">
        <f>IF($B469="","",'E08 — Estabilização Hypercare'!S474)</f>
        <v/>
      </c>
      <c r="AH469" s="61" t="str">
        <f>IF($B469="","",'E08 — Estabilização Hypercare'!T474)</f>
        <v/>
      </c>
      <c r="AI469" s="62" t="str">
        <f>IF($B469="","",'E08 — Estabilização Hypercare'!N474)</f>
        <v/>
      </c>
      <c r="AJ469" s="61" t="str">
        <f>IF(OR($B469="",'E08 — Estabilização Hypercare'!U474=""),"",'E08 — Estabilização Hypercare'!U474)</f>
        <v/>
      </c>
      <c r="AK469" s="60" t="str">
        <f t="shared" si="38"/>
        <v/>
      </c>
      <c r="AL469" s="65" t="str">
        <f t="shared" si="39"/>
        <v/>
      </c>
    </row>
    <row r="470" spans="2:38" s="42" customFormat="1" x14ac:dyDescent="0.35">
      <c r="B470" s="55" t="str">
        <f t="shared" si="35"/>
        <v/>
      </c>
      <c r="C470" s="40"/>
      <c r="D470" s="40"/>
      <c r="E470" s="41"/>
      <c r="F470" s="41"/>
      <c r="G470" s="41"/>
      <c r="H470" s="68" t="str">
        <f>IF('E2 — Triagem'!D475="","",'E2 — Triagem'!D475)</f>
        <v/>
      </c>
      <c r="I470" s="71"/>
      <c r="J470" s="41"/>
      <c r="K470" s="41"/>
      <c r="L470" s="71"/>
      <c r="M470" s="71"/>
      <c r="N470" s="71"/>
      <c r="O470" s="71"/>
      <c r="P470" s="41"/>
      <c r="Q470" s="41"/>
      <c r="R470" s="71"/>
      <c r="S470" s="71"/>
      <c r="T470" s="75"/>
      <c r="U470" s="75"/>
      <c r="V470" s="75"/>
      <c r="W470" s="58" t="str">
        <f t="shared" si="36"/>
        <v/>
      </c>
      <c r="X470" s="59" t="str">
        <f t="shared" si="37"/>
        <v/>
      </c>
      <c r="Y470" s="41"/>
      <c r="Z470" s="41"/>
      <c r="AA470" s="41"/>
      <c r="AB470" s="68" t="str">
        <f>IF($B470="","",'Workflow (Tracker)'!L493)</f>
        <v/>
      </c>
      <c r="AC470" s="69" t="str">
        <f>IF($B470="","",'E08 — Estabilização Hypercare'!K475)</f>
        <v/>
      </c>
      <c r="AD470" s="66" t="str">
        <f>IF($B470="","",'E08 — Estabilização Hypercare'!O475)</f>
        <v/>
      </c>
      <c r="AE470" s="66" t="str">
        <f>IF($B470="","",'E08 — Estabilização Hypercare'!Q475)</f>
        <v/>
      </c>
      <c r="AF470" s="66" t="str">
        <f>IF(OR($B470="",'E08 — Estabilização Hypercare'!R475=""),"",'E08 — Estabilização Hypercare'!R475)</f>
        <v/>
      </c>
      <c r="AG470" s="60" t="str">
        <f>IF($B470="","",'E08 — Estabilização Hypercare'!S475)</f>
        <v/>
      </c>
      <c r="AH470" s="61" t="str">
        <f>IF($B470="","",'E08 — Estabilização Hypercare'!T475)</f>
        <v/>
      </c>
      <c r="AI470" s="62" t="str">
        <f>IF($B470="","",'E08 — Estabilização Hypercare'!N475)</f>
        <v/>
      </c>
      <c r="AJ470" s="61" t="str">
        <f>IF(OR($B470="",'E08 — Estabilização Hypercare'!U475=""),"",'E08 — Estabilização Hypercare'!U475)</f>
        <v/>
      </c>
      <c r="AK470" s="60" t="str">
        <f t="shared" si="38"/>
        <v/>
      </c>
      <c r="AL470" s="65" t="str">
        <f t="shared" si="39"/>
        <v/>
      </c>
    </row>
    <row r="471" spans="2:38" s="42" customFormat="1" x14ac:dyDescent="0.35">
      <c r="B471" s="55" t="str">
        <f t="shared" si="35"/>
        <v/>
      </c>
      <c r="C471" s="40"/>
      <c r="D471" s="40"/>
      <c r="E471" s="41"/>
      <c r="F471" s="41"/>
      <c r="G471" s="41"/>
      <c r="H471" s="68" t="str">
        <f>IF('E2 — Triagem'!D476="","",'E2 — Triagem'!D476)</f>
        <v/>
      </c>
      <c r="I471" s="71"/>
      <c r="J471" s="41"/>
      <c r="K471" s="41"/>
      <c r="L471" s="71"/>
      <c r="M471" s="71"/>
      <c r="N471" s="71"/>
      <c r="O471" s="71"/>
      <c r="P471" s="41"/>
      <c r="Q471" s="41"/>
      <c r="R471" s="71"/>
      <c r="S471" s="71"/>
      <c r="T471" s="75"/>
      <c r="U471" s="75"/>
      <c r="V471" s="75"/>
      <c r="W471" s="58" t="str">
        <f t="shared" si="36"/>
        <v/>
      </c>
      <c r="X471" s="59" t="str">
        <f t="shared" si="37"/>
        <v/>
      </c>
      <c r="Y471" s="41"/>
      <c r="Z471" s="41"/>
      <c r="AA471" s="41"/>
      <c r="AB471" s="68" t="str">
        <f>IF($B471="","",'Workflow (Tracker)'!L494)</f>
        <v/>
      </c>
      <c r="AC471" s="69" t="str">
        <f>IF($B471="","",'E08 — Estabilização Hypercare'!K476)</f>
        <v/>
      </c>
      <c r="AD471" s="66" t="str">
        <f>IF($B471="","",'E08 — Estabilização Hypercare'!O476)</f>
        <v/>
      </c>
      <c r="AE471" s="66" t="str">
        <f>IF($B471="","",'E08 — Estabilização Hypercare'!Q476)</f>
        <v/>
      </c>
      <c r="AF471" s="66" t="str">
        <f>IF(OR($B471="",'E08 — Estabilização Hypercare'!R476=""),"",'E08 — Estabilização Hypercare'!R476)</f>
        <v/>
      </c>
      <c r="AG471" s="60" t="str">
        <f>IF($B471="","",'E08 — Estabilização Hypercare'!S476)</f>
        <v/>
      </c>
      <c r="AH471" s="61" t="str">
        <f>IF($B471="","",'E08 — Estabilização Hypercare'!T476)</f>
        <v/>
      </c>
      <c r="AI471" s="62" t="str">
        <f>IF($B471="","",'E08 — Estabilização Hypercare'!N476)</f>
        <v/>
      </c>
      <c r="AJ471" s="61" t="str">
        <f>IF(OR($B471="",'E08 — Estabilização Hypercare'!U476=""),"",'E08 — Estabilização Hypercare'!U476)</f>
        <v/>
      </c>
      <c r="AK471" s="60" t="str">
        <f t="shared" si="38"/>
        <v/>
      </c>
      <c r="AL471" s="65" t="str">
        <f t="shared" si="39"/>
        <v/>
      </c>
    </row>
    <row r="472" spans="2:38" s="42" customFormat="1" x14ac:dyDescent="0.35">
      <c r="B472" s="55" t="str">
        <f t="shared" si="35"/>
        <v/>
      </c>
      <c r="C472" s="40"/>
      <c r="D472" s="40"/>
      <c r="E472" s="41"/>
      <c r="F472" s="41"/>
      <c r="G472" s="41"/>
      <c r="H472" s="68" t="str">
        <f>IF('E2 — Triagem'!D477="","",'E2 — Triagem'!D477)</f>
        <v/>
      </c>
      <c r="I472" s="71"/>
      <c r="J472" s="41"/>
      <c r="K472" s="41"/>
      <c r="L472" s="71"/>
      <c r="M472" s="71"/>
      <c r="N472" s="71"/>
      <c r="O472" s="71"/>
      <c r="P472" s="41"/>
      <c r="Q472" s="41"/>
      <c r="R472" s="71"/>
      <c r="S472" s="71"/>
      <c r="T472" s="75"/>
      <c r="U472" s="75"/>
      <c r="V472" s="75"/>
      <c r="W472" s="58" t="str">
        <f t="shared" si="36"/>
        <v/>
      </c>
      <c r="X472" s="59" t="str">
        <f t="shared" si="37"/>
        <v/>
      </c>
      <c r="Y472" s="41"/>
      <c r="Z472" s="41"/>
      <c r="AA472" s="41"/>
      <c r="AB472" s="68" t="str">
        <f>IF($B472="","",'Workflow (Tracker)'!L495)</f>
        <v/>
      </c>
      <c r="AC472" s="69" t="str">
        <f>IF($B472="","",'E08 — Estabilização Hypercare'!K477)</f>
        <v/>
      </c>
      <c r="AD472" s="66" t="str">
        <f>IF($B472="","",'E08 — Estabilização Hypercare'!O477)</f>
        <v/>
      </c>
      <c r="AE472" s="66" t="str">
        <f>IF($B472="","",'E08 — Estabilização Hypercare'!Q477)</f>
        <v/>
      </c>
      <c r="AF472" s="66" t="str">
        <f>IF(OR($B472="",'E08 — Estabilização Hypercare'!R477=""),"",'E08 — Estabilização Hypercare'!R477)</f>
        <v/>
      </c>
      <c r="AG472" s="60" t="str">
        <f>IF($B472="","",'E08 — Estabilização Hypercare'!S477)</f>
        <v/>
      </c>
      <c r="AH472" s="61" t="str">
        <f>IF($B472="","",'E08 — Estabilização Hypercare'!T477)</f>
        <v/>
      </c>
      <c r="AI472" s="62" t="str">
        <f>IF($B472="","",'E08 — Estabilização Hypercare'!N477)</f>
        <v/>
      </c>
      <c r="AJ472" s="61" t="str">
        <f>IF(OR($B472="",'E08 — Estabilização Hypercare'!U477=""),"",'E08 — Estabilização Hypercare'!U477)</f>
        <v/>
      </c>
      <c r="AK472" s="60" t="str">
        <f t="shared" si="38"/>
        <v/>
      </c>
      <c r="AL472" s="65" t="str">
        <f t="shared" si="39"/>
        <v/>
      </c>
    </row>
    <row r="473" spans="2:38" s="42" customFormat="1" x14ac:dyDescent="0.35">
      <c r="B473" s="55" t="str">
        <f t="shared" si="35"/>
        <v/>
      </c>
      <c r="C473" s="40"/>
      <c r="D473" s="40"/>
      <c r="E473" s="41"/>
      <c r="F473" s="41"/>
      <c r="G473" s="41"/>
      <c r="H473" s="68" t="str">
        <f>IF('E2 — Triagem'!D478="","",'E2 — Triagem'!D478)</f>
        <v/>
      </c>
      <c r="I473" s="71"/>
      <c r="J473" s="41"/>
      <c r="K473" s="41"/>
      <c r="L473" s="71"/>
      <c r="M473" s="71"/>
      <c r="N473" s="71"/>
      <c r="O473" s="71"/>
      <c r="P473" s="41"/>
      <c r="Q473" s="41"/>
      <c r="R473" s="71"/>
      <c r="S473" s="71"/>
      <c r="T473" s="75"/>
      <c r="U473" s="75"/>
      <c r="V473" s="75"/>
      <c r="W473" s="58" t="str">
        <f t="shared" si="36"/>
        <v/>
      </c>
      <c r="X473" s="59" t="str">
        <f t="shared" si="37"/>
        <v/>
      </c>
      <c r="Y473" s="41"/>
      <c r="Z473" s="41"/>
      <c r="AA473" s="41"/>
      <c r="AB473" s="68" t="str">
        <f>IF($B473="","",'Workflow (Tracker)'!L496)</f>
        <v/>
      </c>
      <c r="AC473" s="69" t="str">
        <f>IF($B473="","",'E08 — Estabilização Hypercare'!K478)</f>
        <v/>
      </c>
      <c r="AD473" s="66" t="str">
        <f>IF($B473="","",'E08 — Estabilização Hypercare'!O478)</f>
        <v/>
      </c>
      <c r="AE473" s="66" t="str">
        <f>IF($B473="","",'E08 — Estabilização Hypercare'!Q478)</f>
        <v/>
      </c>
      <c r="AF473" s="66" t="str">
        <f>IF(OR($B473="",'E08 — Estabilização Hypercare'!R478=""),"",'E08 — Estabilização Hypercare'!R478)</f>
        <v/>
      </c>
      <c r="AG473" s="60" t="str">
        <f>IF($B473="","",'E08 — Estabilização Hypercare'!S478)</f>
        <v/>
      </c>
      <c r="AH473" s="61" t="str">
        <f>IF($B473="","",'E08 — Estabilização Hypercare'!T478)</f>
        <v/>
      </c>
      <c r="AI473" s="62" t="str">
        <f>IF($B473="","",'E08 — Estabilização Hypercare'!N478)</f>
        <v/>
      </c>
      <c r="AJ473" s="61" t="str">
        <f>IF(OR($B473="",'E08 — Estabilização Hypercare'!U478=""),"",'E08 — Estabilização Hypercare'!U478)</f>
        <v/>
      </c>
      <c r="AK473" s="60" t="str">
        <f t="shared" si="38"/>
        <v/>
      </c>
      <c r="AL473" s="65" t="str">
        <f t="shared" si="39"/>
        <v/>
      </c>
    </row>
    <row r="474" spans="2:38" s="42" customFormat="1" x14ac:dyDescent="0.35">
      <c r="B474" s="55" t="str">
        <f t="shared" si="35"/>
        <v/>
      </c>
      <c r="C474" s="40"/>
      <c r="D474" s="40"/>
      <c r="E474" s="41"/>
      <c r="F474" s="41"/>
      <c r="G474" s="41"/>
      <c r="H474" s="68" t="str">
        <f>IF('E2 — Triagem'!D479="","",'E2 — Triagem'!D479)</f>
        <v/>
      </c>
      <c r="I474" s="71"/>
      <c r="J474" s="41"/>
      <c r="K474" s="41"/>
      <c r="L474" s="71"/>
      <c r="M474" s="71"/>
      <c r="N474" s="71"/>
      <c r="O474" s="71"/>
      <c r="P474" s="41"/>
      <c r="Q474" s="41"/>
      <c r="R474" s="71"/>
      <c r="S474" s="71"/>
      <c r="T474" s="75"/>
      <c r="U474" s="75"/>
      <c r="V474" s="75"/>
      <c r="W474" s="58" t="str">
        <f t="shared" si="36"/>
        <v/>
      </c>
      <c r="X474" s="59" t="str">
        <f t="shared" si="37"/>
        <v/>
      </c>
      <c r="Y474" s="41"/>
      <c r="Z474" s="41"/>
      <c r="AA474" s="41"/>
      <c r="AB474" s="68" t="str">
        <f>IF($B474="","",'Workflow (Tracker)'!L497)</f>
        <v/>
      </c>
      <c r="AC474" s="69" t="str">
        <f>IF($B474="","",'E08 — Estabilização Hypercare'!K479)</f>
        <v/>
      </c>
      <c r="AD474" s="66" t="str">
        <f>IF($B474="","",'E08 — Estabilização Hypercare'!O479)</f>
        <v/>
      </c>
      <c r="AE474" s="66" t="str">
        <f>IF($B474="","",'E08 — Estabilização Hypercare'!Q479)</f>
        <v/>
      </c>
      <c r="AF474" s="66" t="str">
        <f>IF(OR($B474="",'E08 — Estabilização Hypercare'!R479=""),"",'E08 — Estabilização Hypercare'!R479)</f>
        <v/>
      </c>
      <c r="AG474" s="60" t="str">
        <f>IF($B474="","",'E08 — Estabilização Hypercare'!S479)</f>
        <v/>
      </c>
      <c r="AH474" s="61" t="str">
        <f>IF($B474="","",'E08 — Estabilização Hypercare'!T479)</f>
        <v/>
      </c>
      <c r="AI474" s="62" t="str">
        <f>IF($B474="","",'E08 — Estabilização Hypercare'!N479)</f>
        <v/>
      </c>
      <c r="AJ474" s="61" t="str">
        <f>IF(OR($B474="",'E08 — Estabilização Hypercare'!U479=""),"",'E08 — Estabilização Hypercare'!U479)</f>
        <v/>
      </c>
      <c r="AK474" s="60" t="str">
        <f t="shared" si="38"/>
        <v/>
      </c>
      <c r="AL474" s="65" t="str">
        <f t="shared" si="39"/>
        <v/>
      </c>
    </row>
    <row r="475" spans="2:38" s="42" customFormat="1" x14ac:dyDescent="0.35">
      <c r="B475" s="55" t="str">
        <f t="shared" si="35"/>
        <v/>
      </c>
      <c r="C475" s="40"/>
      <c r="D475" s="40"/>
      <c r="E475" s="41"/>
      <c r="F475" s="41"/>
      <c r="G475" s="41"/>
      <c r="H475" s="68" t="str">
        <f>IF('E2 — Triagem'!D480="","",'E2 — Triagem'!D480)</f>
        <v/>
      </c>
      <c r="I475" s="71"/>
      <c r="J475" s="41"/>
      <c r="K475" s="41"/>
      <c r="L475" s="71"/>
      <c r="M475" s="71"/>
      <c r="N475" s="71"/>
      <c r="O475" s="71"/>
      <c r="P475" s="41"/>
      <c r="Q475" s="41"/>
      <c r="R475" s="71"/>
      <c r="S475" s="71"/>
      <c r="T475" s="75"/>
      <c r="U475" s="75"/>
      <c r="V475" s="75"/>
      <c r="W475" s="58" t="str">
        <f t="shared" si="36"/>
        <v/>
      </c>
      <c r="X475" s="59" t="str">
        <f t="shared" si="37"/>
        <v/>
      </c>
      <c r="Y475" s="41"/>
      <c r="Z475" s="41"/>
      <c r="AA475" s="41"/>
      <c r="AB475" s="68" t="str">
        <f>IF($B475="","",'Workflow (Tracker)'!L498)</f>
        <v/>
      </c>
      <c r="AC475" s="69" t="str">
        <f>IF($B475="","",'E08 — Estabilização Hypercare'!K480)</f>
        <v/>
      </c>
      <c r="AD475" s="66" t="str">
        <f>IF($B475="","",'E08 — Estabilização Hypercare'!O480)</f>
        <v/>
      </c>
      <c r="AE475" s="66" t="str">
        <f>IF($B475="","",'E08 — Estabilização Hypercare'!Q480)</f>
        <v/>
      </c>
      <c r="AF475" s="66" t="str">
        <f>IF(OR($B475="",'E08 — Estabilização Hypercare'!R480=""),"",'E08 — Estabilização Hypercare'!R480)</f>
        <v/>
      </c>
      <c r="AG475" s="60" t="str">
        <f>IF($B475="","",'E08 — Estabilização Hypercare'!S480)</f>
        <v/>
      </c>
      <c r="AH475" s="61" t="str">
        <f>IF($B475="","",'E08 — Estabilização Hypercare'!T480)</f>
        <v/>
      </c>
      <c r="AI475" s="62" t="str">
        <f>IF($B475="","",'E08 — Estabilização Hypercare'!N480)</f>
        <v/>
      </c>
      <c r="AJ475" s="61" t="str">
        <f>IF(OR($B475="",'E08 — Estabilização Hypercare'!U480=""),"",'E08 — Estabilização Hypercare'!U480)</f>
        <v/>
      </c>
      <c r="AK475" s="60" t="str">
        <f t="shared" si="38"/>
        <v/>
      </c>
      <c r="AL475" s="65" t="str">
        <f t="shared" si="39"/>
        <v/>
      </c>
    </row>
    <row r="476" spans="2:38" s="42" customFormat="1" x14ac:dyDescent="0.35">
      <c r="B476" s="55" t="str">
        <f t="shared" si="35"/>
        <v/>
      </c>
      <c r="C476" s="40"/>
      <c r="D476" s="40"/>
      <c r="E476" s="41"/>
      <c r="F476" s="41"/>
      <c r="G476" s="41"/>
      <c r="H476" s="68" t="str">
        <f>IF('E2 — Triagem'!D481="","",'E2 — Triagem'!D481)</f>
        <v/>
      </c>
      <c r="I476" s="71"/>
      <c r="J476" s="41"/>
      <c r="K476" s="41"/>
      <c r="L476" s="71"/>
      <c r="M476" s="71"/>
      <c r="N476" s="71"/>
      <c r="O476" s="71"/>
      <c r="P476" s="41"/>
      <c r="Q476" s="41"/>
      <c r="R476" s="71"/>
      <c r="S476" s="71"/>
      <c r="T476" s="75"/>
      <c r="U476" s="75"/>
      <c r="V476" s="75"/>
      <c r="W476" s="58" t="str">
        <f t="shared" si="36"/>
        <v/>
      </c>
      <c r="X476" s="59" t="str">
        <f t="shared" si="37"/>
        <v/>
      </c>
      <c r="Y476" s="41"/>
      <c r="Z476" s="41"/>
      <c r="AA476" s="41"/>
      <c r="AB476" s="68" t="str">
        <f>IF($B476="","",'Workflow (Tracker)'!L499)</f>
        <v/>
      </c>
      <c r="AC476" s="69" t="str">
        <f>IF($B476="","",'E08 — Estabilização Hypercare'!K481)</f>
        <v/>
      </c>
      <c r="AD476" s="66" t="str">
        <f>IF($B476="","",'E08 — Estabilização Hypercare'!O481)</f>
        <v/>
      </c>
      <c r="AE476" s="66" t="str">
        <f>IF($B476="","",'E08 — Estabilização Hypercare'!Q481)</f>
        <v/>
      </c>
      <c r="AF476" s="66" t="str">
        <f>IF(OR($B476="",'E08 — Estabilização Hypercare'!R481=""),"",'E08 — Estabilização Hypercare'!R481)</f>
        <v/>
      </c>
      <c r="AG476" s="60" t="str">
        <f>IF($B476="","",'E08 — Estabilização Hypercare'!S481)</f>
        <v/>
      </c>
      <c r="AH476" s="61" t="str">
        <f>IF($B476="","",'E08 — Estabilização Hypercare'!T481)</f>
        <v/>
      </c>
      <c r="AI476" s="62" t="str">
        <f>IF($B476="","",'E08 — Estabilização Hypercare'!N481)</f>
        <v/>
      </c>
      <c r="AJ476" s="61" t="str">
        <f>IF(OR($B476="",'E08 — Estabilização Hypercare'!U481=""),"",'E08 — Estabilização Hypercare'!U481)</f>
        <v/>
      </c>
      <c r="AK476" s="60" t="str">
        <f t="shared" si="38"/>
        <v/>
      </c>
      <c r="AL476" s="65" t="str">
        <f t="shared" si="39"/>
        <v/>
      </c>
    </row>
    <row r="477" spans="2:38" s="42" customFormat="1" x14ac:dyDescent="0.35">
      <c r="B477" s="55" t="str">
        <f t="shared" si="35"/>
        <v/>
      </c>
      <c r="C477" s="40"/>
      <c r="D477" s="40"/>
      <c r="E477" s="41"/>
      <c r="F477" s="41"/>
      <c r="G477" s="41"/>
      <c r="H477" s="68" t="str">
        <f>IF('E2 — Triagem'!D482="","",'E2 — Triagem'!D482)</f>
        <v/>
      </c>
      <c r="I477" s="71"/>
      <c r="J477" s="41"/>
      <c r="K477" s="41"/>
      <c r="L477" s="71"/>
      <c r="M477" s="71"/>
      <c r="N477" s="71"/>
      <c r="O477" s="71"/>
      <c r="P477" s="41"/>
      <c r="Q477" s="41"/>
      <c r="R477" s="71"/>
      <c r="S477" s="71"/>
      <c r="T477" s="75"/>
      <c r="U477" s="75"/>
      <c r="V477" s="75"/>
      <c r="W477" s="58" t="str">
        <f t="shared" si="36"/>
        <v/>
      </c>
      <c r="X477" s="59" t="str">
        <f t="shared" si="37"/>
        <v/>
      </c>
      <c r="Y477" s="41"/>
      <c r="Z477" s="41"/>
      <c r="AA477" s="41"/>
      <c r="AB477" s="68" t="str">
        <f>IF($B477="","",'Workflow (Tracker)'!L500)</f>
        <v/>
      </c>
      <c r="AC477" s="69" t="str">
        <f>IF($B477="","",'E08 — Estabilização Hypercare'!K482)</f>
        <v/>
      </c>
      <c r="AD477" s="66" t="str">
        <f>IF($B477="","",'E08 — Estabilização Hypercare'!O482)</f>
        <v/>
      </c>
      <c r="AE477" s="66" t="str">
        <f>IF($B477="","",'E08 — Estabilização Hypercare'!Q482)</f>
        <v/>
      </c>
      <c r="AF477" s="66" t="str">
        <f>IF(OR($B477="",'E08 — Estabilização Hypercare'!R482=""),"",'E08 — Estabilização Hypercare'!R482)</f>
        <v/>
      </c>
      <c r="AG477" s="60" t="str">
        <f>IF($B477="","",'E08 — Estabilização Hypercare'!S482)</f>
        <v/>
      </c>
      <c r="AH477" s="61" t="str">
        <f>IF($B477="","",'E08 — Estabilização Hypercare'!T482)</f>
        <v/>
      </c>
      <c r="AI477" s="62" t="str">
        <f>IF($B477="","",'E08 — Estabilização Hypercare'!N482)</f>
        <v/>
      </c>
      <c r="AJ477" s="61" t="str">
        <f>IF(OR($B477="",'E08 — Estabilização Hypercare'!U482=""),"",'E08 — Estabilização Hypercare'!U482)</f>
        <v/>
      </c>
      <c r="AK477" s="60" t="str">
        <f t="shared" si="38"/>
        <v/>
      </c>
      <c r="AL477" s="65" t="str">
        <f t="shared" si="39"/>
        <v/>
      </c>
    </row>
    <row r="478" spans="2:38" s="42" customFormat="1" x14ac:dyDescent="0.35">
      <c r="B478" s="55" t="str">
        <f t="shared" si="35"/>
        <v/>
      </c>
      <c r="C478" s="40"/>
      <c r="D478" s="40"/>
      <c r="E478" s="41"/>
      <c r="F478" s="41"/>
      <c r="G478" s="41"/>
      <c r="H478" s="68" t="str">
        <f>IF('E2 — Triagem'!D483="","",'E2 — Triagem'!D483)</f>
        <v/>
      </c>
      <c r="I478" s="71"/>
      <c r="J478" s="41"/>
      <c r="K478" s="41"/>
      <c r="L478" s="71"/>
      <c r="M478" s="71"/>
      <c r="N478" s="71"/>
      <c r="O478" s="71"/>
      <c r="P478" s="41"/>
      <c r="Q478" s="41"/>
      <c r="R478" s="71"/>
      <c r="S478" s="71"/>
      <c r="T478" s="75"/>
      <c r="U478" s="75"/>
      <c r="V478" s="75"/>
      <c r="W478" s="58" t="str">
        <f t="shared" si="36"/>
        <v/>
      </c>
      <c r="X478" s="59" t="str">
        <f t="shared" si="37"/>
        <v/>
      </c>
      <c r="Y478" s="41"/>
      <c r="Z478" s="41"/>
      <c r="AA478" s="41"/>
      <c r="AB478" s="68" t="str">
        <f>IF($B478="","",'Workflow (Tracker)'!L501)</f>
        <v/>
      </c>
      <c r="AC478" s="69" t="str">
        <f>IF($B478="","",'E08 — Estabilização Hypercare'!K483)</f>
        <v/>
      </c>
      <c r="AD478" s="66" t="str">
        <f>IF($B478="","",'E08 — Estabilização Hypercare'!O483)</f>
        <v/>
      </c>
      <c r="AE478" s="66" t="str">
        <f>IF($B478="","",'E08 — Estabilização Hypercare'!Q483)</f>
        <v/>
      </c>
      <c r="AF478" s="66" t="str">
        <f>IF(OR($B478="",'E08 — Estabilização Hypercare'!R483=""),"",'E08 — Estabilização Hypercare'!R483)</f>
        <v/>
      </c>
      <c r="AG478" s="60" t="str">
        <f>IF($B478="","",'E08 — Estabilização Hypercare'!S483)</f>
        <v/>
      </c>
      <c r="AH478" s="61" t="str">
        <f>IF($B478="","",'E08 — Estabilização Hypercare'!T483)</f>
        <v/>
      </c>
      <c r="AI478" s="62" t="str">
        <f>IF($B478="","",'E08 — Estabilização Hypercare'!N483)</f>
        <v/>
      </c>
      <c r="AJ478" s="61" t="str">
        <f>IF(OR($B478="",'E08 — Estabilização Hypercare'!U483=""),"",'E08 — Estabilização Hypercare'!U483)</f>
        <v/>
      </c>
      <c r="AK478" s="60" t="str">
        <f t="shared" si="38"/>
        <v/>
      </c>
      <c r="AL478" s="65" t="str">
        <f t="shared" si="39"/>
        <v/>
      </c>
    </row>
    <row r="479" spans="2:38" s="42" customFormat="1" x14ac:dyDescent="0.35">
      <c r="B479" s="55" t="str">
        <f t="shared" si="35"/>
        <v/>
      </c>
      <c r="C479" s="40"/>
      <c r="D479" s="40"/>
      <c r="E479" s="41"/>
      <c r="F479" s="41"/>
      <c r="G479" s="41"/>
      <c r="H479" s="68" t="str">
        <f>IF('E2 — Triagem'!D484="","",'E2 — Triagem'!D484)</f>
        <v/>
      </c>
      <c r="I479" s="71"/>
      <c r="J479" s="41"/>
      <c r="K479" s="41"/>
      <c r="L479" s="71"/>
      <c r="M479" s="71"/>
      <c r="N479" s="71"/>
      <c r="O479" s="71"/>
      <c r="P479" s="41"/>
      <c r="Q479" s="41"/>
      <c r="R479" s="71"/>
      <c r="S479" s="71"/>
      <c r="T479" s="75"/>
      <c r="U479" s="75"/>
      <c r="V479" s="75"/>
      <c r="W479" s="58" t="str">
        <f t="shared" si="36"/>
        <v/>
      </c>
      <c r="X479" s="59" t="str">
        <f t="shared" si="37"/>
        <v/>
      </c>
      <c r="Y479" s="41"/>
      <c r="Z479" s="41"/>
      <c r="AA479" s="41"/>
      <c r="AB479" s="68" t="str">
        <f>IF($B479="","",'Workflow (Tracker)'!L502)</f>
        <v/>
      </c>
      <c r="AC479" s="69" t="str">
        <f>IF($B479="","",'E08 — Estabilização Hypercare'!K484)</f>
        <v/>
      </c>
      <c r="AD479" s="66" t="str">
        <f>IF($B479="","",'E08 — Estabilização Hypercare'!O484)</f>
        <v/>
      </c>
      <c r="AE479" s="66" t="str">
        <f>IF($B479="","",'E08 — Estabilização Hypercare'!Q484)</f>
        <v/>
      </c>
      <c r="AF479" s="66" t="str">
        <f>IF(OR($B479="",'E08 — Estabilização Hypercare'!R484=""),"",'E08 — Estabilização Hypercare'!R484)</f>
        <v/>
      </c>
      <c r="AG479" s="60" t="str">
        <f>IF($B479="","",'E08 — Estabilização Hypercare'!S484)</f>
        <v/>
      </c>
      <c r="AH479" s="61" t="str">
        <f>IF($B479="","",'E08 — Estabilização Hypercare'!T484)</f>
        <v/>
      </c>
      <c r="AI479" s="62" t="str">
        <f>IF($B479="","",'E08 — Estabilização Hypercare'!N484)</f>
        <v/>
      </c>
      <c r="AJ479" s="61" t="str">
        <f>IF(OR($B479="",'E08 — Estabilização Hypercare'!U484=""),"",'E08 — Estabilização Hypercare'!U484)</f>
        <v/>
      </c>
      <c r="AK479" s="60" t="str">
        <f t="shared" si="38"/>
        <v/>
      </c>
      <c r="AL479" s="65" t="str">
        <f t="shared" si="39"/>
        <v/>
      </c>
    </row>
    <row r="480" spans="2:38" s="42" customFormat="1" x14ac:dyDescent="0.35">
      <c r="B480" s="55" t="str">
        <f t="shared" si="35"/>
        <v/>
      </c>
      <c r="C480" s="40"/>
      <c r="D480" s="40"/>
      <c r="E480" s="41"/>
      <c r="F480" s="41"/>
      <c r="G480" s="41"/>
      <c r="H480" s="68" t="str">
        <f>IF('E2 — Triagem'!D485="","",'E2 — Triagem'!D485)</f>
        <v/>
      </c>
      <c r="I480" s="71"/>
      <c r="J480" s="41"/>
      <c r="K480" s="41"/>
      <c r="L480" s="71"/>
      <c r="M480" s="71"/>
      <c r="N480" s="71"/>
      <c r="O480" s="71"/>
      <c r="P480" s="41"/>
      <c r="Q480" s="41"/>
      <c r="R480" s="71"/>
      <c r="S480" s="71"/>
      <c r="T480" s="75"/>
      <c r="U480" s="75"/>
      <c r="V480" s="75"/>
      <c r="W480" s="58" t="str">
        <f t="shared" si="36"/>
        <v/>
      </c>
      <c r="X480" s="59" t="str">
        <f t="shared" si="37"/>
        <v/>
      </c>
      <c r="Y480" s="41"/>
      <c r="Z480" s="41"/>
      <c r="AA480" s="41"/>
      <c r="AB480" s="68" t="str">
        <f>IF($B480="","",'Workflow (Tracker)'!L503)</f>
        <v/>
      </c>
      <c r="AC480" s="69" t="str">
        <f>IF($B480="","",'E08 — Estabilização Hypercare'!K485)</f>
        <v/>
      </c>
      <c r="AD480" s="66" t="str">
        <f>IF($B480="","",'E08 — Estabilização Hypercare'!O485)</f>
        <v/>
      </c>
      <c r="AE480" s="66" t="str">
        <f>IF($B480="","",'E08 — Estabilização Hypercare'!Q485)</f>
        <v/>
      </c>
      <c r="AF480" s="66" t="str">
        <f>IF(OR($B480="",'E08 — Estabilização Hypercare'!R485=""),"",'E08 — Estabilização Hypercare'!R485)</f>
        <v/>
      </c>
      <c r="AG480" s="60" t="str">
        <f>IF($B480="","",'E08 — Estabilização Hypercare'!S485)</f>
        <v/>
      </c>
      <c r="AH480" s="61" t="str">
        <f>IF($B480="","",'E08 — Estabilização Hypercare'!T485)</f>
        <v/>
      </c>
      <c r="AI480" s="62" t="str">
        <f>IF($B480="","",'E08 — Estabilização Hypercare'!N485)</f>
        <v/>
      </c>
      <c r="AJ480" s="61" t="str">
        <f>IF(OR($B480="",'E08 — Estabilização Hypercare'!U485=""),"",'E08 — Estabilização Hypercare'!U485)</f>
        <v/>
      </c>
      <c r="AK480" s="60" t="str">
        <f t="shared" si="38"/>
        <v/>
      </c>
      <c r="AL480" s="65" t="str">
        <f t="shared" si="39"/>
        <v/>
      </c>
    </row>
    <row r="481" spans="2:38" s="42" customFormat="1" x14ac:dyDescent="0.35">
      <c r="B481" s="55" t="str">
        <f t="shared" si="35"/>
        <v/>
      </c>
      <c r="C481" s="40"/>
      <c r="D481" s="40"/>
      <c r="E481" s="41"/>
      <c r="F481" s="41"/>
      <c r="G481" s="41"/>
      <c r="H481" s="68" t="str">
        <f>IF('E2 — Triagem'!D486="","",'E2 — Triagem'!D486)</f>
        <v/>
      </c>
      <c r="I481" s="71"/>
      <c r="J481" s="41"/>
      <c r="K481" s="41"/>
      <c r="L481" s="71"/>
      <c r="M481" s="71"/>
      <c r="N481" s="71"/>
      <c r="O481" s="71"/>
      <c r="P481" s="41"/>
      <c r="Q481" s="41"/>
      <c r="R481" s="71"/>
      <c r="S481" s="71"/>
      <c r="T481" s="75"/>
      <c r="U481" s="75"/>
      <c r="V481" s="75"/>
      <c r="W481" s="58" t="str">
        <f t="shared" si="36"/>
        <v/>
      </c>
      <c r="X481" s="59" t="str">
        <f t="shared" si="37"/>
        <v/>
      </c>
      <c r="Y481" s="41"/>
      <c r="Z481" s="41"/>
      <c r="AA481" s="41"/>
      <c r="AB481" s="68" t="str">
        <f>IF($B481="","",'Workflow (Tracker)'!L504)</f>
        <v/>
      </c>
      <c r="AC481" s="69" t="str">
        <f>IF($B481="","",'E08 — Estabilização Hypercare'!K486)</f>
        <v/>
      </c>
      <c r="AD481" s="66" t="str">
        <f>IF($B481="","",'E08 — Estabilização Hypercare'!O486)</f>
        <v/>
      </c>
      <c r="AE481" s="66" t="str">
        <f>IF($B481="","",'E08 — Estabilização Hypercare'!Q486)</f>
        <v/>
      </c>
      <c r="AF481" s="66" t="str">
        <f>IF(OR($B481="",'E08 — Estabilização Hypercare'!R486=""),"",'E08 — Estabilização Hypercare'!R486)</f>
        <v/>
      </c>
      <c r="AG481" s="60" t="str">
        <f>IF($B481="","",'E08 — Estabilização Hypercare'!S486)</f>
        <v/>
      </c>
      <c r="AH481" s="61" t="str">
        <f>IF($B481="","",'E08 — Estabilização Hypercare'!T486)</f>
        <v/>
      </c>
      <c r="AI481" s="62" t="str">
        <f>IF($B481="","",'E08 — Estabilização Hypercare'!N486)</f>
        <v/>
      </c>
      <c r="AJ481" s="61" t="str">
        <f>IF(OR($B481="",'E08 — Estabilização Hypercare'!U486=""),"",'E08 — Estabilização Hypercare'!U486)</f>
        <v/>
      </c>
      <c r="AK481" s="60" t="str">
        <f t="shared" si="38"/>
        <v/>
      </c>
      <c r="AL481" s="65" t="str">
        <f t="shared" si="39"/>
        <v/>
      </c>
    </row>
    <row r="482" spans="2:38" s="42" customFormat="1" x14ac:dyDescent="0.35">
      <c r="B482" s="55" t="str">
        <f t="shared" si="35"/>
        <v/>
      </c>
      <c r="C482" s="40"/>
      <c r="D482" s="40"/>
      <c r="E482" s="41"/>
      <c r="F482" s="41"/>
      <c r="G482" s="41"/>
      <c r="H482" s="68" t="str">
        <f>IF('E2 — Triagem'!D487="","",'E2 — Triagem'!D487)</f>
        <v/>
      </c>
      <c r="I482" s="71"/>
      <c r="J482" s="41"/>
      <c r="K482" s="41"/>
      <c r="L482" s="71"/>
      <c r="M482" s="71"/>
      <c r="N482" s="71"/>
      <c r="O482" s="71"/>
      <c r="P482" s="41"/>
      <c r="Q482" s="41"/>
      <c r="R482" s="71"/>
      <c r="S482" s="71"/>
      <c r="T482" s="75"/>
      <c r="U482" s="75"/>
      <c r="V482" s="75"/>
      <c r="W482" s="58" t="str">
        <f t="shared" si="36"/>
        <v/>
      </c>
      <c r="X482" s="59" t="str">
        <f t="shared" si="37"/>
        <v/>
      </c>
      <c r="Y482" s="41"/>
      <c r="Z482" s="41"/>
      <c r="AA482" s="41"/>
      <c r="AB482" s="68" t="str">
        <f>IF($B482="","",'Workflow (Tracker)'!L505)</f>
        <v/>
      </c>
      <c r="AC482" s="69" t="str">
        <f>IF($B482="","",'E08 — Estabilização Hypercare'!K487)</f>
        <v/>
      </c>
      <c r="AD482" s="66" t="str">
        <f>IF($B482="","",'E08 — Estabilização Hypercare'!O487)</f>
        <v/>
      </c>
      <c r="AE482" s="66" t="str">
        <f>IF($B482="","",'E08 — Estabilização Hypercare'!Q487)</f>
        <v/>
      </c>
      <c r="AF482" s="66" t="str">
        <f>IF(OR($B482="",'E08 — Estabilização Hypercare'!R487=""),"",'E08 — Estabilização Hypercare'!R487)</f>
        <v/>
      </c>
      <c r="AG482" s="60" t="str">
        <f>IF($B482="","",'E08 — Estabilização Hypercare'!S487)</f>
        <v/>
      </c>
      <c r="AH482" s="61" t="str">
        <f>IF($B482="","",'E08 — Estabilização Hypercare'!T487)</f>
        <v/>
      </c>
      <c r="AI482" s="62" t="str">
        <f>IF($B482="","",'E08 — Estabilização Hypercare'!N487)</f>
        <v/>
      </c>
      <c r="AJ482" s="61" t="str">
        <f>IF(OR($B482="",'E08 — Estabilização Hypercare'!U487=""),"",'E08 — Estabilização Hypercare'!U487)</f>
        <v/>
      </c>
      <c r="AK482" s="60" t="str">
        <f t="shared" si="38"/>
        <v/>
      </c>
      <c r="AL482" s="65" t="str">
        <f t="shared" si="39"/>
        <v/>
      </c>
    </row>
    <row r="483" spans="2:38" s="42" customFormat="1" x14ac:dyDescent="0.35">
      <c r="B483" s="55" t="str">
        <f t="shared" si="35"/>
        <v/>
      </c>
      <c r="C483" s="40"/>
      <c r="D483" s="40"/>
      <c r="E483" s="41"/>
      <c r="F483" s="41"/>
      <c r="G483" s="41"/>
      <c r="H483" s="68" t="str">
        <f>IF('E2 — Triagem'!D488="","",'E2 — Triagem'!D488)</f>
        <v/>
      </c>
      <c r="I483" s="71"/>
      <c r="J483" s="41"/>
      <c r="K483" s="41"/>
      <c r="L483" s="71"/>
      <c r="M483" s="71"/>
      <c r="N483" s="71"/>
      <c r="O483" s="71"/>
      <c r="P483" s="41"/>
      <c r="Q483" s="41"/>
      <c r="R483" s="71"/>
      <c r="S483" s="71"/>
      <c r="T483" s="75"/>
      <c r="U483" s="75"/>
      <c r="V483" s="75"/>
      <c r="W483" s="58" t="str">
        <f t="shared" si="36"/>
        <v/>
      </c>
      <c r="X483" s="59" t="str">
        <f t="shared" si="37"/>
        <v/>
      </c>
      <c r="Y483" s="41"/>
      <c r="Z483" s="41"/>
      <c r="AA483" s="41"/>
      <c r="AB483" s="68" t="str">
        <f>IF($B483="","",'Workflow (Tracker)'!L506)</f>
        <v/>
      </c>
      <c r="AC483" s="69" t="str">
        <f>IF($B483="","",'E08 — Estabilização Hypercare'!K488)</f>
        <v/>
      </c>
      <c r="AD483" s="66" t="str">
        <f>IF($B483="","",'E08 — Estabilização Hypercare'!O488)</f>
        <v/>
      </c>
      <c r="AE483" s="66" t="str">
        <f>IF($B483="","",'E08 — Estabilização Hypercare'!Q488)</f>
        <v/>
      </c>
      <c r="AF483" s="66" t="str">
        <f>IF(OR($B483="",'E08 — Estabilização Hypercare'!R488=""),"",'E08 — Estabilização Hypercare'!R488)</f>
        <v/>
      </c>
      <c r="AG483" s="60" t="str">
        <f>IF($B483="","",'E08 — Estabilização Hypercare'!S488)</f>
        <v/>
      </c>
      <c r="AH483" s="61" t="str">
        <f>IF($B483="","",'E08 — Estabilização Hypercare'!T488)</f>
        <v/>
      </c>
      <c r="AI483" s="62" t="str">
        <f>IF($B483="","",'E08 — Estabilização Hypercare'!N488)</f>
        <v/>
      </c>
      <c r="AJ483" s="61" t="str">
        <f>IF(OR($B483="",'E08 — Estabilização Hypercare'!U488=""),"",'E08 — Estabilização Hypercare'!U488)</f>
        <v/>
      </c>
      <c r="AK483" s="60" t="str">
        <f t="shared" si="38"/>
        <v/>
      </c>
      <c r="AL483" s="65" t="str">
        <f t="shared" si="39"/>
        <v/>
      </c>
    </row>
    <row r="484" spans="2:38" s="42" customFormat="1" x14ac:dyDescent="0.35">
      <c r="B484" s="55" t="str">
        <f t="shared" si="35"/>
        <v/>
      </c>
      <c r="C484" s="40"/>
      <c r="D484" s="40"/>
      <c r="E484" s="41"/>
      <c r="F484" s="41"/>
      <c r="G484" s="41"/>
      <c r="H484" s="68" t="str">
        <f>IF('E2 — Triagem'!D489="","",'E2 — Triagem'!D489)</f>
        <v/>
      </c>
      <c r="I484" s="71"/>
      <c r="J484" s="41"/>
      <c r="K484" s="41"/>
      <c r="L484" s="71"/>
      <c r="M484" s="71"/>
      <c r="N484" s="71"/>
      <c r="O484" s="71"/>
      <c r="P484" s="41"/>
      <c r="Q484" s="41"/>
      <c r="R484" s="71"/>
      <c r="S484" s="71"/>
      <c r="T484" s="75"/>
      <c r="U484" s="75"/>
      <c r="V484" s="75"/>
      <c r="W484" s="58" t="str">
        <f t="shared" si="36"/>
        <v/>
      </c>
      <c r="X484" s="59" t="str">
        <f t="shared" si="37"/>
        <v/>
      </c>
      <c r="Y484" s="41"/>
      <c r="Z484" s="41"/>
      <c r="AA484" s="41"/>
      <c r="AB484" s="68" t="str">
        <f>IF($B484="","",'Workflow (Tracker)'!L507)</f>
        <v/>
      </c>
      <c r="AC484" s="69" t="str">
        <f>IF($B484="","",'E08 — Estabilização Hypercare'!K489)</f>
        <v/>
      </c>
      <c r="AD484" s="66" t="str">
        <f>IF($B484="","",'E08 — Estabilização Hypercare'!O489)</f>
        <v/>
      </c>
      <c r="AE484" s="66" t="str">
        <f>IF($B484="","",'E08 — Estabilização Hypercare'!Q489)</f>
        <v/>
      </c>
      <c r="AF484" s="66" t="str">
        <f>IF(OR($B484="",'E08 — Estabilização Hypercare'!R489=""),"",'E08 — Estabilização Hypercare'!R489)</f>
        <v/>
      </c>
      <c r="AG484" s="60" t="str">
        <f>IF($B484="","",'E08 — Estabilização Hypercare'!S489)</f>
        <v/>
      </c>
      <c r="AH484" s="61" t="str">
        <f>IF($B484="","",'E08 — Estabilização Hypercare'!T489)</f>
        <v/>
      </c>
      <c r="AI484" s="62" t="str">
        <f>IF($B484="","",'E08 — Estabilização Hypercare'!N489)</f>
        <v/>
      </c>
      <c r="AJ484" s="61" t="str">
        <f>IF(OR($B484="",'E08 — Estabilização Hypercare'!U489=""),"",'E08 — Estabilização Hypercare'!U489)</f>
        <v/>
      </c>
      <c r="AK484" s="60" t="str">
        <f t="shared" si="38"/>
        <v/>
      </c>
      <c r="AL484" s="65" t="str">
        <f t="shared" si="39"/>
        <v/>
      </c>
    </row>
    <row r="485" spans="2:38" s="42" customFormat="1" x14ac:dyDescent="0.35">
      <c r="B485" s="55" t="str">
        <f t="shared" si="35"/>
        <v/>
      </c>
      <c r="C485" s="40"/>
      <c r="D485" s="40"/>
      <c r="E485" s="41"/>
      <c r="F485" s="41"/>
      <c r="G485" s="41"/>
      <c r="H485" s="68" t="str">
        <f>IF('E2 — Triagem'!D490="","",'E2 — Triagem'!D490)</f>
        <v/>
      </c>
      <c r="I485" s="71"/>
      <c r="J485" s="41"/>
      <c r="K485" s="41"/>
      <c r="L485" s="71"/>
      <c r="M485" s="71"/>
      <c r="N485" s="71"/>
      <c r="O485" s="71"/>
      <c r="P485" s="41"/>
      <c r="Q485" s="41"/>
      <c r="R485" s="71"/>
      <c r="S485" s="71"/>
      <c r="T485" s="75"/>
      <c r="U485" s="75"/>
      <c r="V485" s="75"/>
      <c r="W485" s="58" t="str">
        <f t="shared" si="36"/>
        <v/>
      </c>
      <c r="X485" s="59" t="str">
        <f t="shared" si="37"/>
        <v/>
      </c>
      <c r="Y485" s="41"/>
      <c r="Z485" s="41"/>
      <c r="AA485" s="41"/>
      <c r="AB485" s="68" t="str">
        <f>IF($B485="","",'Workflow (Tracker)'!L508)</f>
        <v/>
      </c>
      <c r="AC485" s="69" t="str">
        <f>IF($B485="","",'E08 — Estabilização Hypercare'!K490)</f>
        <v/>
      </c>
      <c r="AD485" s="66" t="str">
        <f>IF($B485="","",'E08 — Estabilização Hypercare'!O490)</f>
        <v/>
      </c>
      <c r="AE485" s="66" t="str">
        <f>IF($B485="","",'E08 — Estabilização Hypercare'!Q490)</f>
        <v/>
      </c>
      <c r="AF485" s="66" t="str">
        <f>IF(OR($B485="",'E08 — Estabilização Hypercare'!R490=""),"",'E08 — Estabilização Hypercare'!R490)</f>
        <v/>
      </c>
      <c r="AG485" s="60" t="str">
        <f>IF($B485="","",'E08 — Estabilização Hypercare'!S490)</f>
        <v/>
      </c>
      <c r="AH485" s="61" t="str">
        <f>IF($B485="","",'E08 — Estabilização Hypercare'!T490)</f>
        <v/>
      </c>
      <c r="AI485" s="62" t="str">
        <f>IF($B485="","",'E08 — Estabilização Hypercare'!N490)</f>
        <v/>
      </c>
      <c r="AJ485" s="61" t="str">
        <f>IF(OR($B485="",'E08 — Estabilização Hypercare'!U490=""),"",'E08 — Estabilização Hypercare'!U490)</f>
        <v/>
      </c>
      <c r="AK485" s="60" t="str">
        <f t="shared" si="38"/>
        <v/>
      </c>
      <c r="AL485" s="65" t="str">
        <f t="shared" si="39"/>
        <v/>
      </c>
    </row>
    <row r="486" spans="2:38" s="42" customFormat="1" x14ac:dyDescent="0.35">
      <c r="B486" s="55" t="str">
        <f t="shared" si="35"/>
        <v/>
      </c>
      <c r="C486" s="40"/>
      <c r="D486" s="40"/>
      <c r="E486" s="41"/>
      <c r="F486" s="41"/>
      <c r="G486" s="41"/>
      <c r="H486" s="68" t="str">
        <f>IF('E2 — Triagem'!D491="","",'E2 — Triagem'!D491)</f>
        <v/>
      </c>
      <c r="I486" s="71"/>
      <c r="J486" s="41"/>
      <c r="K486" s="41"/>
      <c r="L486" s="71"/>
      <c r="M486" s="71"/>
      <c r="N486" s="71"/>
      <c r="O486" s="71"/>
      <c r="P486" s="41"/>
      <c r="Q486" s="41"/>
      <c r="R486" s="71"/>
      <c r="S486" s="71"/>
      <c r="T486" s="75"/>
      <c r="U486" s="75"/>
      <c r="V486" s="75"/>
      <c r="W486" s="58" t="str">
        <f t="shared" si="36"/>
        <v/>
      </c>
      <c r="X486" s="59" t="str">
        <f t="shared" si="37"/>
        <v/>
      </c>
      <c r="Y486" s="41"/>
      <c r="Z486" s="41"/>
      <c r="AA486" s="41"/>
      <c r="AB486" s="68" t="str">
        <f>IF($B486="","",'Workflow (Tracker)'!L509)</f>
        <v/>
      </c>
      <c r="AC486" s="69" t="str">
        <f>IF($B486="","",'E08 — Estabilização Hypercare'!K491)</f>
        <v/>
      </c>
      <c r="AD486" s="66" t="str">
        <f>IF($B486="","",'E08 — Estabilização Hypercare'!O491)</f>
        <v/>
      </c>
      <c r="AE486" s="66" t="str">
        <f>IF($B486="","",'E08 — Estabilização Hypercare'!Q491)</f>
        <v/>
      </c>
      <c r="AF486" s="66" t="str">
        <f>IF(OR($B486="",'E08 — Estabilização Hypercare'!R491=""),"",'E08 — Estabilização Hypercare'!R491)</f>
        <v/>
      </c>
      <c r="AG486" s="60" t="str">
        <f>IF($B486="","",'E08 — Estabilização Hypercare'!S491)</f>
        <v/>
      </c>
      <c r="AH486" s="61" t="str">
        <f>IF($B486="","",'E08 — Estabilização Hypercare'!T491)</f>
        <v/>
      </c>
      <c r="AI486" s="62" t="str">
        <f>IF($B486="","",'E08 — Estabilização Hypercare'!N491)</f>
        <v/>
      </c>
      <c r="AJ486" s="61" t="str">
        <f>IF(OR($B486="",'E08 — Estabilização Hypercare'!U491=""),"",'E08 — Estabilização Hypercare'!U491)</f>
        <v/>
      </c>
      <c r="AK486" s="60" t="str">
        <f t="shared" si="38"/>
        <v/>
      </c>
      <c r="AL486" s="65" t="str">
        <f t="shared" si="39"/>
        <v/>
      </c>
    </row>
    <row r="487" spans="2:38" s="42" customFormat="1" x14ac:dyDescent="0.35">
      <c r="B487" s="55" t="str">
        <f t="shared" si="35"/>
        <v/>
      </c>
      <c r="C487" s="40"/>
      <c r="D487" s="40"/>
      <c r="E487" s="41"/>
      <c r="F487" s="41"/>
      <c r="G487" s="41"/>
      <c r="H487" s="68" t="str">
        <f>IF('E2 — Triagem'!D492="","",'E2 — Triagem'!D492)</f>
        <v/>
      </c>
      <c r="I487" s="71"/>
      <c r="J487" s="41"/>
      <c r="K487" s="41"/>
      <c r="L487" s="71"/>
      <c r="M487" s="71"/>
      <c r="N487" s="71"/>
      <c r="O487" s="71"/>
      <c r="P487" s="41"/>
      <c r="Q487" s="41"/>
      <c r="R487" s="71"/>
      <c r="S487" s="71"/>
      <c r="T487" s="75"/>
      <c r="U487" s="75"/>
      <c r="V487" s="75"/>
      <c r="W487" s="58" t="str">
        <f t="shared" si="36"/>
        <v/>
      </c>
      <c r="X487" s="59" t="str">
        <f t="shared" si="37"/>
        <v/>
      </c>
      <c r="Y487" s="41"/>
      <c r="Z487" s="41"/>
      <c r="AA487" s="41"/>
      <c r="AB487" s="68" t="str">
        <f>IF($B487="","",'Workflow (Tracker)'!L510)</f>
        <v/>
      </c>
      <c r="AC487" s="69" t="str">
        <f>IF($B487="","",'E08 — Estabilização Hypercare'!K492)</f>
        <v/>
      </c>
      <c r="AD487" s="66" t="str">
        <f>IF($B487="","",'E08 — Estabilização Hypercare'!O492)</f>
        <v/>
      </c>
      <c r="AE487" s="66" t="str">
        <f>IF($B487="","",'E08 — Estabilização Hypercare'!Q492)</f>
        <v/>
      </c>
      <c r="AF487" s="66" t="str">
        <f>IF(OR($B487="",'E08 — Estabilização Hypercare'!R492=""),"",'E08 — Estabilização Hypercare'!R492)</f>
        <v/>
      </c>
      <c r="AG487" s="60" t="str">
        <f>IF($B487="","",'E08 — Estabilização Hypercare'!S492)</f>
        <v/>
      </c>
      <c r="AH487" s="61" t="str">
        <f>IF($B487="","",'E08 — Estabilização Hypercare'!T492)</f>
        <v/>
      </c>
      <c r="AI487" s="62" t="str">
        <f>IF($B487="","",'E08 — Estabilização Hypercare'!N492)</f>
        <v/>
      </c>
      <c r="AJ487" s="61" t="str">
        <f>IF(OR($B487="",'E08 — Estabilização Hypercare'!U492=""),"",'E08 — Estabilização Hypercare'!U492)</f>
        <v/>
      </c>
      <c r="AK487" s="60" t="str">
        <f t="shared" si="38"/>
        <v/>
      </c>
      <c r="AL487" s="65" t="str">
        <f t="shared" si="39"/>
        <v/>
      </c>
    </row>
    <row r="488" spans="2:38" s="42" customFormat="1" x14ac:dyDescent="0.35">
      <c r="B488" s="55" t="str">
        <f t="shared" si="35"/>
        <v/>
      </c>
      <c r="C488" s="40"/>
      <c r="D488" s="40"/>
      <c r="E488" s="41"/>
      <c r="F488" s="41"/>
      <c r="G488" s="41"/>
      <c r="H488" s="68" t="str">
        <f>IF('E2 — Triagem'!D493="","",'E2 — Triagem'!D493)</f>
        <v/>
      </c>
      <c r="I488" s="71"/>
      <c r="J488" s="41"/>
      <c r="K488" s="41"/>
      <c r="L488" s="71"/>
      <c r="M488" s="71"/>
      <c r="N488" s="71"/>
      <c r="O488" s="71"/>
      <c r="P488" s="41"/>
      <c r="Q488" s="41"/>
      <c r="R488" s="71"/>
      <c r="S488" s="71"/>
      <c r="T488" s="75"/>
      <c r="U488" s="75"/>
      <c r="V488" s="75"/>
      <c r="W488" s="58" t="str">
        <f t="shared" si="36"/>
        <v/>
      </c>
      <c r="X488" s="59" t="str">
        <f t="shared" si="37"/>
        <v/>
      </c>
      <c r="Y488" s="41"/>
      <c r="Z488" s="41"/>
      <c r="AA488" s="41"/>
      <c r="AB488" s="68" t="str">
        <f>IF($B488="","",'Workflow (Tracker)'!L511)</f>
        <v/>
      </c>
      <c r="AC488" s="69" t="str">
        <f>IF($B488="","",'E08 — Estabilização Hypercare'!K493)</f>
        <v/>
      </c>
      <c r="AD488" s="66" t="str">
        <f>IF($B488="","",'E08 — Estabilização Hypercare'!O493)</f>
        <v/>
      </c>
      <c r="AE488" s="66" t="str">
        <f>IF($B488="","",'E08 — Estabilização Hypercare'!Q493)</f>
        <v/>
      </c>
      <c r="AF488" s="66" t="str">
        <f>IF(OR($B488="",'E08 — Estabilização Hypercare'!R493=""),"",'E08 — Estabilização Hypercare'!R493)</f>
        <v/>
      </c>
      <c r="AG488" s="60" t="str">
        <f>IF($B488="","",'E08 — Estabilização Hypercare'!S493)</f>
        <v/>
      </c>
      <c r="AH488" s="61" t="str">
        <f>IF($B488="","",'E08 — Estabilização Hypercare'!T493)</f>
        <v/>
      </c>
      <c r="AI488" s="62" t="str">
        <f>IF($B488="","",'E08 — Estabilização Hypercare'!N493)</f>
        <v/>
      </c>
      <c r="AJ488" s="61" t="str">
        <f>IF(OR($B488="",'E08 — Estabilização Hypercare'!U493=""),"",'E08 — Estabilização Hypercare'!U493)</f>
        <v/>
      </c>
      <c r="AK488" s="60" t="str">
        <f t="shared" si="38"/>
        <v/>
      </c>
      <c r="AL488" s="65" t="str">
        <f t="shared" si="39"/>
        <v/>
      </c>
    </row>
    <row r="489" spans="2:38" s="42" customFormat="1" x14ac:dyDescent="0.35">
      <c r="B489" s="55" t="str">
        <f t="shared" si="35"/>
        <v/>
      </c>
      <c r="C489" s="40"/>
      <c r="D489" s="40"/>
      <c r="E489" s="41"/>
      <c r="F489" s="41"/>
      <c r="G489" s="41"/>
      <c r="H489" s="68" t="str">
        <f>IF('E2 — Triagem'!D494="","",'E2 — Triagem'!D494)</f>
        <v/>
      </c>
      <c r="I489" s="71"/>
      <c r="J489" s="41"/>
      <c r="K489" s="41"/>
      <c r="L489" s="71"/>
      <c r="M489" s="71"/>
      <c r="N489" s="71"/>
      <c r="O489" s="71"/>
      <c r="P489" s="41"/>
      <c r="Q489" s="41"/>
      <c r="R489" s="71"/>
      <c r="S489" s="71"/>
      <c r="T489" s="75"/>
      <c r="U489" s="75"/>
      <c r="V489" s="75"/>
      <c r="W489" s="58" t="str">
        <f t="shared" si="36"/>
        <v/>
      </c>
      <c r="X489" s="59" t="str">
        <f t="shared" si="37"/>
        <v/>
      </c>
      <c r="Y489" s="41"/>
      <c r="Z489" s="41"/>
      <c r="AA489" s="41"/>
      <c r="AB489" s="68" t="str">
        <f>IF($B489="","",'Workflow (Tracker)'!L512)</f>
        <v/>
      </c>
      <c r="AC489" s="69" t="str">
        <f>IF($B489="","",'E08 — Estabilização Hypercare'!K494)</f>
        <v/>
      </c>
      <c r="AD489" s="66" t="str">
        <f>IF($B489="","",'E08 — Estabilização Hypercare'!O494)</f>
        <v/>
      </c>
      <c r="AE489" s="66" t="str">
        <f>IF($B489="","",'E08 — Estabilização Hypercare'!Q494)</f>
        <v/>
      </c>
      <c r="AF489" s="66" t="str">
        <f>IF(OR($B489="",'E08 — Estabilização Hypercare'!R494=""),"",'E08 — Estabilização Hypercare'!R494)</f>
        <v/>
      </c>
      <c r="AG489" s="60" t="str">
        <f>IF($B489="","",'E08 — Estabilização Hypercare'!S494)</f>
        <v/>
      </c>
      <c r="AH489" s="61" t="str">
        <f>IF($B489="","",'E08 — Estabilização Hypercare'!T494)</f>
        <v/>
      </c>
      <c r="AI489" s="62" t="str">
        <f>IF($B489="","",'E08 — Estabilização Hypercare'!N494)</f>
        <v/>
      </c>
      <c r="AJ489" s="61" t="str">
        <f>IF(OR($B489="",'E08 — Estabilização Hypercare'!U494=""),"",'E08 — Estabilização Hypercare'!U494)</f>
        <v/>
      </c>
      <c r="AK489" s="60" t="str">
        <f t="shared" si="38"/>
        <v/>
      </c>
      <c r="AL489" s="65" t="str">
        <f t="shared" si="39"/>
        <v/>
      </c>
    </row>
    <row r="490" spans="2:38" s="42" customFormat="1" x14ac:dyDescent="0.35">
      <c r="B490" s="55" t="str">
        <f t="shared" si="35"/>
        <v/>
      </c>
      <c r="C490" s="40"/>
      <c r="D490" s="40"/>
      <c r="E490" s="41"/>
      <c r="F490" s="41"/>
      <c r="G490" s="41"/>
      <c r="H490" s="68" t="str">
        <f>IF('E2 — Triagem'!D495="","",'E2 — Triagem'!D495)</f>
        <v/>
      </c>
      <c r="I490" s="71"/>
      <c r="J490" s="41"/>
      <c r="K490" s="41"/>
      <c r="L490" s="71"/>
      <c r="M490" s="71"/>
      <c r="N490" s="71"/>
      <c r="O490" s="71"/>
      <c r="P490" s="41"/>
      <c r="Q490" s="41"/>
      <c r="R490" s="71"/>
      <c r="S490" s="71"/>
      <c r="T490" s="75"/>
      <c r="U490" s="75"/>
      <c r="V490" s="75"/>
      <c r="W490" s="58" t="str">
        <f t="shared" si="36"/>
        <v/>
      </c>
      <c r="X490" s="59" t="str">
        <f t="shared" si="37"/>
        <v/>
      </c>
      <c r="Y490" s="41"/>
      <c r="Z490" s="41"/>
      <c r="AA490" s="41"/>
      <c r="AB490" s="68" t="str">
        <f>IF($B490="","",'Workflow (Tracker)'!L513)</f>
        <v/>
      </c>
      <c r="AC490" s="69" t="str">
        <f>IF($B490="","",'E08 — Estabilização Hypercare'!K495)</f>
        <v/>
      </c>
      <c r="AD490" s="66" t="str">
        <f>IF($B490="","",'E08 — Estabilização Hypercare'!O495)</f>
        <v/>
      </c>
      <c r="AE490" s="66" t="str">
        <f>IF($B490="","",'E08 — Estabilização Hypercare'!Q495)</f>
        <v/>
      </c>
      <c r="AF490" s="66" t="str">
        <f>IF(OR($B490="",'E08 — Estabilização Hypercare'!R495=""),"",'E08 — Estabilização Hypercare'!R495)</f>
        <v/>
      </c>
      <c r="AG490" s="60" t="str">
        <f>IF($B490="","",'E08 — Estabilização Hypercare'!S495)</f>
        <v/>
      </c>
      <c r="AH490" s="61" t="str">
        <f>IF($B490="","",'E08 — Estabilização Hypercare'!T495)</f>
        <v/>
      </c>
      <c r="AI490" s="62" t="str">
        <f>IF($B490="","",'E08 — Estabilização Hypercare'!N495)</f>
        <v/>
      </c>
      <c r="AJ490" s="61" t="str">
        <f>IF(OR($B490="",'E08 — Estabilização Hypercare'!U495=""),"",'E08 — Estabilização Hypercare'!U495)</f>
        <v/>
      </c>
      <c r="AK490" s="60" t="str">
        <f t="shared" si="38"/>
        <v/>
      </c>
      <c r="AL490" s="65" t="str">
        <f t="shared" si="39"/>
        <v/>
      </c>
    </row>
    <row r="491" spans="2:38" s="42" customFormat="1" x14ac:dyDescent="0.35">
      <c r="B491" s="55" t="str">
        <f t="shared" si="35"/>
        <v/>
      </c>
      <c r="C491" s="40"/>
      <c r="D491" s="40"/>
      <c r="E491" s="41"/>
      <c r="F491" s="41"/>
      <c r="G491" s="41"/>
      <c r="H491" s="68" t="str">
        <f>IF('E2 — Triagem'!D496="","",'E2 — Triagem'!D496)</f>
        <v/>
      </c>
      <c r="I491" s="71"/>
      <c r="J491" s="41"/>
      <c r="K491" s="41"/>
      <c r="L491" s="71"/>
      <c r="M491" s="71"/>
      <c r="N491" s="71"/>
      <c r="O491" s="71"/>
      <c r="P491" s="41"/>
      <c r="Q491" s="41"/>
      <c r="R491" s="71"/>
      <c r="S491" s="71"/>
      <c r="T491" s="75"/>
      <c r="U491" s="75"/>
      <c r="V491" s="75"/>
      <c r="W491" s="58" t="str">
        <f t="shared" si="36"/>
        <v/>
      </c>
      <c r="X491" s="59" t="str">
        <f t="shared" si="37"/>
        <v/>
      </c>
      <c r="Y491" s="41"/>
      <c r="Z491" s="41"/>
      <c r="AA491" s="41"/>
      <c r="AB491" s="68" t="str">
        <f>IF($B491="","",'Workflow (Tracker)'!L514)</f>
        <v/>
      </c>
      <c r="AC491" s="69" t="str">
        <f>IF($B491="","",'E08 — Estabilização Hypercare'!K496)</f>
        <v/>
      </c>
      <c r="AD491" s="66" t="str">
        <f>IF($B491="","",'E08 — Estabilização Hypercare'!O496)</f>
        <v/>
      </c>
      <c r="AE491" s="66" t="str">
        <f>IF($B491="","",'E08 — Estabilização Hypercare'!Q496)</f>
        <v/>
      </c>
      <c r="AF491" s="66" t="str">
        <f>IF(OR($B491="",'E08 — Estabilização Hypercare'!R496=""),"",'E08 — Estabilização Hypercare'!R496)</f>
        <v/>
      </c>
      <c r="AG491" s="60" t="str">
        <f>IF($B491="","",'E08 — Estabilização Hypercare'!S496)</f>
        <v/>
      </c>
      <c r="AH491" s="61" t="str">
        <f>IF($B491="","",'E08 — Estabilização Hypercare'!T496)</f>
        <v/>
      </c>
      <c r="AI491" s="62" t="str">
        <f>IF($B491="","",'E08 — Estabilização Hypercare'!N496)</f>
        <v/>
      </c>
      <c r="AJ491" s="61" t="str">
        <f>IF(OR($B491="",'E08 — Estabilização Hypercare'!U496=""),"",'E08 — Estabilização Hypercare'!U496)</f>
        <v/>
      </c>
      <c r="AK491" s="60" t="str">
        <f t="shared" si="38"/>
        <v/>
      </c>
      <c r="AL491" s="65" t="str">
        <f t="shared" si="39"/>
        <v/>
      </c>
    </row>
    <row r="492" spans="2:38" s="42" customFormat="1" x14ac:dyDescent="0.35">
      <c r="B492" s="55" t="str">
        <f t="shared" si="35"/>
        <v/>
      </c>
      <c r="C492" s="40"/>
      <c r="D492" s="40"/>
      <c r="E492" s="41"/>
      <c r="F492" s="41"/>
      <c r="G492" s="41"/>
      <c r="H492" s="68" t="str">
        <f>IF('E2 — Triagem'!D497="","",'E2 — Triagem'!D497)</f>
        <v/>
      </c>
      <c r="I492" s="71"/>
      <c r="J492" s="41"/>
      <c r="K492" s="41"/>
      <c r="L492" s="71"/>
      <c r="M492" s="71"/>
      <c r="N492" s="71"/>
      <c r="O492" s="71"/>
      <c r="P492" s="41"/>
      <c r="Q492" s="41"/>
      <c r="R492" s="71"/>
      <c r="S492" s="71"/>
      <c r="T492" s="75"/>
      <c r="U492" s="75"/>
      <c r="V492" s="75"/>
      <c r="W492" s="58" t="str">
        <f t="shared" si="36"/>
        <v/>
      </c>
      <c r="X492" s="59" t="str">
        <f t="shared" si="37"/>
        <v/>
      </c>
      <c r="Y492" s="41"/>
      <c r="Z492" s="41"/>
      <c r="AA492" s="41"/>
      <c r="AB492" s="68" t="str">
        <f>IF($B492="","",'Workflow (Tracker)'!L515)</f>
        <v/>
      </c>
      <c r="AC492" s="69" t="str">
        <f>IF($B492="","",'E08 — Estabilização Hypercare'!K497)</f>
        <v/>
      </c>
      <c r="AD492" s="66" t="str">
        <f>IF($B492="","",'E08 — Estabilização Hypercare'!O497)</f>
        <v/>
      </c>
      <c r="AE492" s="66" t="str">
        <f>IF($B492="","",'E08 — Estabilização Hypercare'!Q497)</f>
        <v/>
      </c>
      <c r="AF492" s="66" t="str">
        <f>IF(OR($B492="",'E08 — Estabilização Hypercare'!R497=""),"",'E08 — Estabilização Hypercare'!R497)</f>
        <v/>
      </c>
      <c r="AG492" s="60" t="str">
        <f>IF($B492="","",'E08 — Estabilização Hypercare'!S497)</f>
        <v/>
      </c>
      <c r="AH492" s="61" t="str">
        <f>IF($B492="","",'E08 — Estabilização Hypercare'!T497)</f>
        <v/>
      </c>
      <c r="AI492" s="62" t="str">
        <f>IF($B492="","",'E08 — Estabilização Hypercare'!N497)</f>
        <v/>
      </c>
      <c r="AJ492" s="61" t="str">
        <f>IF(OR($B492="",'E08 — Estabilização Hypercare'!U497=""),"",'E08 — Estabilização Hypercare'!U497)</f>
        <v/>
      </c>
      <c r="AK492" s="60" t="str">
        <f t="shared" si="38"/>
        <v/>
      </c>
      <c r="AL492" s="65" t="str">
        <f t="shared" si="39"/>
        <v/>
      </c>
    </row>
    <row r="493" spans="2:38" s="42" customFormat="1" x14ac:dyDescent="0.35">
      <c r="B493" s="55" t="str">
        <f t="shared" si="35"/>
        <v/>
      </c>
      <c r="C493" s="40"/>
      <c r="D493" s="40"/>
      <c r="E493" s="41"/>
      <c r="F493" s="41"/>
      <c r="G493" s="41"/>
      <c r="H493" s="68" t="str">
        <f>IF('E2 — Triagem'!D498="","",'E2 — Triagem'!D498)</f>
        <v/>
      </c>
      <c r="I493" s="71"/>
      <c r="J493" s="41"/>
      <c r="K493" s="41"/>
      <c r="L493" s="71"/>
      <c r="M493" s="71"/>
      <c r="N493" s="71"/>
      <c r="O493" s="71"/>
      <c r="P493" s="41"/>
      <c r="Q493" s="41"/>
      <c r="R493" s="71"/>
      <c r="S493" s="71"/>
      <c r="T493" s="75"/>
      <c r="U493" s="75"/>
      <c r="V493" s="75"/>
      <c r="W493" s="58" t="str">
        <f t="shared" si="36"/>
        <v/>
      </c>
      <c r="X493" s="59" t="str">
        <f t="shared" si="37"/>
        <v/>
      </c>
      <c r="Y493" s="41"/>
      <c r="Z493" s="41"/>
      <c r="AA493" s="41"/>
      <c r="AB493" s="68" t="str">
        <f>IF($B493="","",'Workflow (Tracker)'!L516)</f>
        <v/>
      </c>
      <c r="AC493" s="69" t="str">
        <f>IF($B493="","",'E08 — Estabilização Hypercare'!K498)</f>
        <v/>
      </c>
      <c r="AD493" s="66" t="str">
        <f>IF($B493="","",'E08 — Estabilização Hypercare'!O498)</f>
        <v/>
      </c>
      <c r="AE493" s="66" t="str">
        <f>IF($B493="","",'E08 — Estabilização Hypercare'!Q498)</f>
        <v/>
      </c>
      <c r="AF493" s="66" t="str">
        <f>IF(OR($B493="",'E08 — Estabilização Hypercare'!R498=""),"",'E08 — Estabilização Hypercare'!R498)</f>
        <v/>
      </c>
      <c r="AG493" s="60" t="str">
        <f>IF($B493="","",'E08 — Estabilização Hypercare'!S498)</f>
        <v/>
      </c>
      <c r="AH493" s="61" t="str">
        <f>IF($B493="","",'E08 — Estabilização Hypercare'!T498)</f>
        <v/>
      </c>
      <c r="AI493" s="62" t="str">
        <f>IF($B493="","",'E08 — Estabilização Hypercare'!N498)</f>
        <v/>
      </c>
      <c r="AJ493" s="61" t="str">
        <f>IF(OR($B493="",'E08 — Estabilização Hypercare'!U498=""),"",'E08 — Estabilização Hypercare'!U498)</f>
        <v/>
      </c>
      <c r="AK493" s="60" t="str">
        <f t="shared" si="38"/>
        <v/>
      </c>
      <c r="AL493" s="65" t="str">
        <f t="shared" si="39"/>
        <v/>
      </c>
    </row>
    <row r="494" spans="2:38" s="42" customFormat="1" x14ac:dyDescent="0.35">
      <c r="B494" s="55" t="str">
        <f t="shared" si="35"/>
        <v/>
      </c>
      <c r="C494" s="40"/>
      <c r="D494" s="40"/>
      <c r="E494" s="41"/>
      <c r="F494" s="41"/>
      <c r="G494" s="41"/>
      <c r="H494" s="68" t="str">
        <f>IF('E2 — Triagem'!D499="","",'E2 — Triagem'!D499)</f>
        <v/>
      </c>
      <c r="I494" s="71"/>
      <c r="J494" s="41"/>
      <c r="K494" s="41"/>
      <c r="L494" s="71"/>
      <c r="M494" s="71"/>
      <c r="N494" s="71"/>
      <c r="O494" s="71"/>
      <c r="P494" s="41"/>
      <c r="Q494" s="41"/>
      <c r="R494" s="71"/>
      <c r="S494" s="71"/>
      <c r="T494" s="75"/>
      <c r="U494" s="75"/>
      <c r="V494" s="75"/>
      <c r="W494" s="58" t="str">
        <f t="shared" si="36"/>
        <v/>
      </c>
      <c r="X494" s="59" t="str">
        <f t="shared" si="37"/>
        <v/>
      </c>
      <c r="Y494" s="41"/>
      <c r="Z494" s="41"/>
      <c r="AA494" s="41"/>
      <c r="AB494" s="68" t="str">
        <f>IF($B494="","",'Workflow (Tracker)'!L517)</f>
        <v/>
      </c>
      <c r="AC494" s="69" t="str">
        <f>IF($B494="","",'E08 — Estabilização Hypercare'!K499)</f>
        <v/>
      </c>
      <c r="AD494" s="66" t="str">
        <f>IF($B494="","",'E08 — Estabilização Hypercare'!O499)</f>
        <v/>
      </c>
      <c r="AE494" s="66" t="str">
        <f>IF($B494="","",'E08 — Estabilização Hypercare'!Q499)</f>
        <v/>
      </c>
      <c r="AF494" s="66" t="str">
        <f>IF(OR($B494="",'E08 — Estabilização Hypercare'!R499=""),"",'E08 — Estabilização Hypercare'!R499)</f>
        <v/>
      </c>
      <c r="AG494" s="60" t="str">
        <f>IF($B494="","",'E08 — Estabilização Hypercare'!S499)</f>
        <v/>
      </c>
      <c r="AH494" s="61" t="str">
        <f>IF($B494="","",'E08 — Estabilização Hypercare'!T499)</f>
        <v/>
      </c>
      <c r="AI494" s="62" t="str">
        <f>IF($B494="","",'E08 — Estabilização Hypercare'!N499)</f>
        <v/>
      </c>
      <c r="AJ494" s="61" t="str">
        <f>IF(OR($B494="",'E08 — Estabilização Hypercare'!U499=""),"",'E08 — Estabilização Hypercare'!U499)</f>
        <v/>
      </c>
      <c r="AK494" s="60" t="str">
        <f t="shared" si="38"/>
        <v/>
      </c>
      <c r="AL494" s="65" t="str">
        <f t="shared" si="39"/>
        <v/>
      </c>
    </row>
    <row r="495" spans="2:38" s="42" customFormat="1" x14ac:dyDescent="0.35">
      <c r="B495" s="55" t="str">
        <f t="shared" si="35"/>
        <v/>
      </c>
      <c r="C495" s="40"/>
      <c r="D495" s="40"/>
      <c r="E495" s="41"/>
      <c r="F495" s="41"/>
      <c r="G495" s="41"/>
      <c r="H495" s="68" t="str">
        <f>IF('E2 — Triagem'!D500="","",'E2 — Triagem'!D500)</f>
        <v/>
      </c>
      <c r="I495" s="71"/>
      <c r="J495" s="41"/>
      <c r="K495" s="41"/>
      <c r="L495" s="71"/>
      <c r="M495" s="71"/>
      <c r="N495" s="71"/>
      <c r="O495" s="71"/>
      <c r="P495" s="41"/>
      <c r="Q495" s="41"/>
      <c r="R495" s="71"/>
      <c r="S495" s="71"/>
      <c r="T495" s="75"/>
      <c r="U495" s="75"/>
      <c r="V495" s="75"/>
      <c r="W495" s="58" t="str">
        <f t="shared" si="36"/>
        <v/>
      </c>
      <c r="X495" s="59" t="str">
        <f t="shared" si="37"/>
        <v/>
      </c>
      <c r="Y495" s="41"/>
      <c r="Z495" s="41"/>
      <c r="AA495" s="41"/>
      <c r="AB495" s="68" t="str">
        <f>IF($B495="","",'Workflow (Tracker)'!L518)</f>
        <v/>
      </c>
      <c r="AC495" s="69" t="str">
        <f>IF($B495="","",'E08 — Estabilização Hypercare'!K500)</f>
        <v/>
      </c>
      <c r="AD495" s="66" t="str">
        <f>IF($B495="","",'E08 — Estabilização Hypercare'!O500)</f>
        <v/>
      </c>
      <c r="AE495" s="66" t="str">
        <f>IF($B495="","",'E08 — Estabilização Hypercare'!Q500)</f>
        <v/>
      </c>
      <c r="AF495" s="66" t="str">
        <f>IF(OR($B495="",'E08 — Estabilização Hypercare'!R500=""),"",'E08 — Estabilização Hypercare'!R500)</f>
        <v/>
      </c>
      <c r="AG495" s="60" t="str">
        <f>IF($B495="","",'E08 — Estabilização Hypercare'!S500)</f>
        <v/>
      </c>
      <c r="AH495" s="61" t="str">
        <f>IF($B495="","",'E08 — Estabilização Hypercare'!T500)</f>
        <v/>
      </c>
      <c r="AI495" s="62" t="str">
        <f>IF($B495="","",'E08 — Estabilização Hypercare'!N500)</f>
        <v/>
      </c>
      <c r="AJ495" s="61" t="str">
        <f>IF(OR($B495="",'E08 — Estabilização Hypercare'!U500=""),"",'E08 — Estabilização Hypercare'!U500)</f>
        <v/>
      </c>
      <c r="AK495" s="60" t="str">
        <f t="shared" si="38"/>
        <v/>
      </c>
      <c r="AL495" s="65" t="str">
        <f t="shared" si="39"/>
        <v/>
      </c>
    </row>
    <row r="496" spans="2:38" s="42" customFormat="1" x14ac:dyDescent="0.35">
      <c r="B496" s="55" t="str">
        <f t="shared" si="35"/>
        <v/>
      </c>
      <c r="C496" s="40"/>
      <c r="D496" s="40"/>
      <c r="E496" s="41"/>
      <c r="F496" s="41"/>
      <c r="G496" s="41"/>
      <c r="H496" s="68" t="str">
        <f>IF('E2 — Triagem'!D501="","",'E2 — Triagem'!D501)</f>
        <v/>
      </c>
      <c r="I496" s="71"/>
      <c r="J496" s="41"/>
      <c r="K496" s="41"/>
      <c r="L496" s="71"/>
      <c r="M496" s="71"/>
      <c r="N496" s="71"/>
      <c r="O496" s="71"/>
      <c r="P496" s="41"/>
      <c r="Q496" s="41"/>
      <c r="R496" s="71"/>
      <c r="S496" s="71"/>
      <c r="T496" s="75"/>
      <c r="U496" s="75"/>
      <c r="V496" s="75"/>
      <c r="W496" s="58" t="str">
        <f t="shared" si="36"/>
        <v/>
      </c>
      <c r="X496" s="59" t="str">
        <f t="shared" si="37"/>
        <v/>
      </c>
      <c r="Y496" s="41"/>
      <c r="Z496" s="41"/>
      <c r="AA496" s="41"/>
      <c r="AB496" s="68" t="str">
        <f>IF($B496="","",'Workflow (Tracker)'!L519)</f>
        <v/>
      </c>
      <c r="AC496" s="69" t="str">
        <f>IF($B496="","",'E08 — Estabilização Hypercare'!K501)</f>
        <v/>
      </c>
      <c r="AD496" s="66" t="str">
        <f>IF($B496="","",'E08 — Estabilização Hypercare'!O501)</f>
        <v/>
      </c>
      <c r="AE496" s="66" t="str">
        <f>IF($B496="","",'E08 — Estabilização Hypercare'!Q501)</f>
        <v/>
      </c>
      <c r="AF496" s="66" t="str">
        <f>IF(OR($B496="",'E08 — Estabilização Hypercare'!R501=""),"",'E08 — Estabilização Hypercare'!R501)</f>
        <v/>
      </c>
      <c r="AG496" s="60" t="str">
        <f>IF($B496="","",'E08 — Estabilização Hypercare'!S501)</f>
        <v/>
      </c>
      <c r="AH496" s="61" t="str">
        <f>IF($B496="","",'E08 — Estabilização Hypercare'!T501)</f>
        <v/>
      </c>
      <c r="AI496" s="62" t="str">
        <f>IF($B496="","",'E08 — Estabilização Hypercare'!N501)</f>
        <v/>
      </c>
      <c r="AJ496" s="61" t="str">
        <f>IF(OR($B496="",'E08 — Estabilização Hypercare'!U501=""),"",'E08 — Estabilização Hypercare'!U501)</f>
        <v/>
      </c>
      <c r="AK496" s="60" t="str">
        <f t="shared" si="38"/>
        <v/>
      </c>
      <c r="AL496" s="65" t="str">
        <f t="shared" si="39"/>
        <v/>
      </c>
    </row>
    <row r="497" spans="2:38" s="42" customFormat="1" x14ac:dyDescent="0.35">
      <c r="B497" s="55" t="str">
        <f t="shared" si="35"/>
        <v/>
      </c>
      <c r="C497" s="40"/>
      <c r="D497" s="40"/>
      <c r="E497" s="41"/>
      <c r="F497" s="41"/>
      <c r="G497" s="41"/>
      <c r="H497" s="68" t="str">
        <f>IF('E2 — Triagem'!D502="","",'E2 — Triagem'!D502)</f>
        <v/>
      </c>
      <c r="I497" s="71"/>
      <c r="J497" s="41"/>
      <c r="K497" s="41"/>
      <c r="L497" s="71"/>
      <c r="M497" s="71"/>
      <c r="N497" s="71"/>
      <c r="O497" s="71"/>
      <c r="P497" s="41"/>
      <c r="Q497" s="41"/>
      <c r="R497" s="71"/>
      <c r="S497" s="71"/>
      <c r="T497" s="75"/>
      <c r="U497" s="75"/>
      <c r="V497" s="75"/>
      <c r="W497" s="58" t="str">
        <f t="shared" si="36"/>
        <v/>
      </c>
      <c r="X497" s="59" t="str">
        <f t="shared" si="37"/>
        <v/>
      </c>
      <c r="Y497" s="41"/>
      <c r="Z497" s="41"/>
      <c r="AA497" s="41"/>
      <c r="AB497" s="68" t="str">
        <f>IF($B497="","",'Workflow (Tracker)'!L520)</f>
        <v/>
      </c>
      <c r="AC497" s="69" t="str">
        <f>IF($B497="","",'E08 — Estabilização Hypercare'!K502)</f>
        <v/>
      </c>
      <c r="AD497" s="66" t="str">
        <f>IF($B497="","",'E08 — Estabilização Hypercare'!O502)</f>
        <v/>
      </c>
      <c r="AE497" s="66" t="str">
        <f>IF($B497="","",'E08 — Estabilização Hypercare'!Q502)</f>
        <v/>
      </c>
      <c r="AF497" s="66" t="str">
        <f>IF(OR($B497="",'E08 — Estabilização Hypercare'!R502=""),"",'E08 — Estabilização Hypercare'!R502)</f>
        <v/>
      </c>
      <c r="AG497" s="60" t="str">
        <f>IF($B497="","",'E08 — Estabilização Hypercare'!S502)</f>
        <v/>
      </c>
      <c r="AH497" s="61" t="str">
        <f>IF($B497="","",'E08 — Estabilização Hypercare'!T502)</f>
        <v/>
      </c>
      <c r="AI497" s="62" t="str">
        <f>IF($B497="","",'E08 — Estabilização Hypercare'!N502)</f>
        <v/>
      </c>
      <c r="AJ497" s="61" t="str">
        <f>IF(OR($B497="",'E08 — Estabilização Hypercare'!U502=""),"",'E08 — Estabilização Hypercare'!U502)</f>
        <v/>
      </c>
      <c r="AK497" s="60" t="str">
        <f t="shared" si="38"/>
        <v/>
      </c>
      <c r="AL497" s="65" t="str">
        <f t="shared" si="39"/>
        <v/>
      </c>
    </row>
    <row r="498" spans="2:38" s="42" customFormat="1" x14ac:dyDescent="0.35">
      <c r="B498" s="55" t="str">
        <f t="shared" si="35"/>
        <v/>
      </c>
      <c r="C498" s="40"/>
      <c r="D498" s="40"/>
      <c r="E498" s="41"/>
      <c r="F498" s="41"/>
      <c r="G498" s="41"/>
      <c r="H498" s="68" t="str">
        <f>IF('E2 — Triagem'!D503="","",'E2 — Triagem'!D503)</f>
        <v/>
      </c>
      <c r="I498" s="71"/>
      <c r="J498" s="41"/>
      <c r="K498" s="41"/>
      <c r="L498" s="71"/>
      <c r="M498" s="71"/>
      <c r="N498" s="71"/>
      <c r="O498" s="71"/>
      <c r="P498" s="41"/>
      <c r="Q498" s="41"/>
      <c r="R498" s="71"/>
      <c r="S498" s="71"/>
      <c r="T498" s="75"/>
      <c r="U498" s="75"/>
      <c r="V498" s="75"/>
      <c r="W498" s="58" t="str">
        <f t="shared" si="36"/>
        <v/>
      </c>
      <c r="X498" s="59" t="str">
        <f t="shared" si="37"/>
        <v/>
      </c>
      <c r="Y498" s="41"/>
      <c r="Z498" s="41"/>
      <c r="AA498" s="41"/>
      <c r="AB498" s="68" t="str">
        <f>IF($B498="","",'Workflow (Tracker)'!L521)</f>
        <v/>
      </c>
      <c r="AC498" s="69" t="str">
        <f>IF($B498="","",'E08 — Estabilização Hypercare'!K503)</f>
        <v/>
      </c>
      <c r="AD498" s="66" t="str">
        <f>IF($B498="","",'E08 — Estabilização Hypercare'!O503)</f>
        <v/>
      </c>
      <c r="AE498" s="66" t="str">
        <f>IF($B498="","",'E08 — Estabilização Hypercare'!Q503)</f>
        <v/>
      </c>
      <c r="AF498" s="66" t="str">
        <f>IF(OR($B498="",'E08 — Estabilização Hypercare'!R503=""),"",'E08 — Estabilização Hypercare'!R503)</f>
        <v/>
      </c>
      <c r="AG498" s="60" t="str">
        <f>IF($B498="","",'E08 — Estabilização Hypercare'!S503)</f>
        <v/>
      </c>
      <c r="AH498" s="61" t="str">
        <f>IF($B498="","",'E08 — Estabilização Hypercare'!T503)</f>
        <v/>
      </c>
      <c r="AI498" s="62" t="str">
        <f>IF($B498="","",'E08 — Estabilização Hypercare'!N503)</f>
        <v/>
      </c>
      <c r="AJ498" s="61" t="str">
        <f>IF(OR($B498="",'E08 — Estabilização Hypercare'!U503=""),"",'E08 — Estabilização Hypercare'!U503)</f>
        <v/>
      </c>
      <c r="AK498" s="60" t="str">
        <f t="shared" si="38"/>
        <v/>
      </c>
      <c r="AL498" s="65" t="str">
        <f t="shared" si="39"/>
        <v/>
      </c>
    </row>
    <row r="499" spans="2:38" s="42" customFormat="1" x14ac:dyDescent="0.35">
      <c r="B499" s="55" t="str">
        <f t="shared" si="35"/>
        <v/>
      </c>
      <c r="C499" s="40"/>
      <c r="D499" s="40"/>
      <c r="E499" s="41"/>
      <c r="F499" s="41"/>
      <c r="G499" s="41"/>
      <c r="H499" s="68" t="str">
        <f>IF('E2 — Triagem'!D504="","",'E2 — Triagem'!D504)</f>
        <v/>
      </c>
      <c r="I499" s="71"/>
      <c r="J499" s="41"/>
      <c r="K499" s="41"/>
      <c r="L499" s="71"/>
      <c r="M499" s="71"/>
      <c r="N499" s="71"/>
      <c r="O499" s="71"/>
      <c r="P499" s="41"/>
      <c r="Q499" s="41"/>
      <c r="R499" s="71"/>
      <c r="S499" s="71"/>
      <c r="T499" s="75"/>
      <c r="U499" s="75"/>
      <c r="V499" s="75"/>
      <c r="W499" s="58" t="str">
        <f t="shared" si="36"/>
        <v/>
      </c>
      <c r="X499" s="59" t="str">
        <f t="shared" si="37"/>
        <v/>
      </c>
      <c r="Y499" s="41"/>
      <c r="Z499" s="41"/>
      <c r="AA499" s="41"/>
      <c r="AB499" s="68" t="str">
        <f>IF($B499="","",'Workflow (Tracker)'!L522)</f>
        <v/>
      </c>
      <c r="AC499" s="69" t="str">
        <f>IF($B499="","",'E08 — Estabilização Hypercare'!K504)</f>
        <v/>
      </c>
      <c r="AD499" s="66" t="str">
        <f>IF($B499="","",'E08 — Estabilização Hypercare'!O504)</f>
        <v/>
      </c>
      <c r="AE499" s="66" t="str">
        <f>IF($B499="","",'E08 — Estabilização Hypercare'!Q504)</f>
        <v/>
      </c>
      <c r="AF499" s="66" t="str">
        <f>IF(OR($B499="",'E08 — Estabilização Hypercare'!R504=""),"",'E08 — Estabilização Hypercare'!R504)</f>
        <v/>
      </c>
      <c r="AG499" s="60" t="str">
        <f>IF($B499="","",'E08 — Estabilização Hypercare'!S504)</f>
        <v/>
      </c>
      <c r="AH499" s="61" t="str">
        <f>IF($B499="","",'E08 — Estabilização Hypercare'!T504)</f>
        <v/>
      </c>
      <c r="AI499" s="62" t="str">
        <f>IF($B499="","",'E08 — Estabilização Hypercare'!N504)</f>
        <v/>
      </c>
      <c r="AJ499" s="61" t="str">
        <f>IF(OR($B499="",'E08 — Estabilização Hypercare'!U504=""),"",'E08 — Estabilização Hypercare'!U504)</f>
        <v/>
      </c>
      <c r="AK499" s="60" t="str">
        <f t="shared" si="38"/>
        <v/>
      </c>
      <c r="AL499" s="65" t="str">
        <f t="shared" si="39"/>
        <v/>
      </c>
    </row>
    <row r="500" spans="2:38" s="42" customFormat="1" x14ac:dyDescent="0.35">
      <c r="B500" s="55" t="str">
        <f t="shared" si="35"/>
        <v/>
      </c>
      <c r="C500" s="40"/>
      <c r="D500" s="40"/>
      <c r="E500" s="41"/>
      <c r="F500" s="41"/>
      <c r="G500" s="41"/>
      <c r="H500" s="68" t="str">
        <f>IF('E2 — Triagem'!D505="","",'E2 — Triagem'!D505)</f>
        <v/>
      </c>
      <c r="I500" s="71"/>
      <c r="J500" s="41"/>
      <c r="K500" s="41"/>
      <c r="L500" s="71"/>
      <c r="M500" s="71"/>
      <c r="N500" s="71"/>
      <c r="O500" s="71"/>
      <c r="P500" s="41"/>
      <c r="Q500" s="41"/>
      <c r="R500" s="71"/>
      <c r="S500" s="71"/>
      <c r="T500" s="75"/>
      <c r="U500" s="75"/>
      <c r="V500" s="75"/>
      <c r="W500" s="58" t="str">
        <f t="shared" si="36"/>
        <v/>
      </c>
      <c r="X500" s="59" t="str">
        <f t="shared" si="37"/>
        <v/>
      </c>
      <c r="Y500" s="41"/>
      <c r="Z500" s="41"/>
      <c r="AA500" s="41"/>
      <c r="AB500" s="68" t="str">
        <f>IF($B500="","",'Workflow (Tracker)'!L523)</f>
        <v/>
      </c>
      <c r="AC500" s="69" t="str">
        <f>IF($B500="","",'E08 — Estabilização Hypercare'!K505)</f>
        <v/>
      </c>
      <c r="AD500" s="66" t="str">
        <f>IF($B500="","",'E08 — Estabilização Hypercare'!O505)</f>
        <v/>
      </c>
      <c r="AE500" s="66" t="str">
        <f>IF($B500="","",'E08 — Estabilização Hypercare'!Q505)</f>
        <v/>
      </c>
      <c r="AF500" s="66" t="str">
        <f>IF(OR($B500="",'E08 — Estabilização Hypercare'!R505=""),"",'E08 — Estabilização Hypercare'!R505)</f>
        <v/>
      </c>
      <c r="AG500" s="60" t="str">
        <f>IF($B500="","",'E08 — Estabilização Hypercare'!S505)</f>
        <v/>
      </c>
      <c r="AH500" s="61" t="str">
        <f>IF($B500="","",'E08 — Estabilização Hypercare'!T505)</f>
        <v/>
      </c>
      <c r="AI500" s="62" t="str">
        <f>IF($B500="","",'E08 — Estabilização Hypercare'!N505)</f>
        <v/>
      </c>
      <c r="AJ500" s="61" t="str">
        <f>IF(OR($B500="",'E08 — Estabilização Hypercare'!U505=""),"",'E08 — Estabilização Hypercare'!U505)</f>
        <v/>
      </c>
      <c r="AK500" s="60" t="str">
        <f t="shared" si="38"/>
        <v/>
      </c>
      <c r="AL500" s="65" t="str">
        <f t="shared" si="39"/>
        <v/>
      </c>
    </row>
    <row r="501" spans="2:38" s="42" customFormat="1" x14ac:dyDescent="0.35">
      <c r="B501" s="55" t="str">
        <f t="shared" si="35"/>
        <v/>
      </c>
      <c r="C501" s="40"/>
      <c r="D501" s="40"/>
      <c r="E501" s="41"/>
      <c r="F501" s="41"/>
      <c r="G501" s="41"/>
      <c r="H501" s="68" t="str">
        <f>IF('E2 — Triagem'!D506="","",'E2 — Triagem'!D506)</f>
        <v/>
      </c>
      <c r="I501" s="71"/>
      <c r="J501" s="41"/>
      <c r="K501" s="41"/>
      <c r="L501" s="71"/>
      <c r="M501" s="71"/>
      <c r="N501" s="71"/>
      <c r="O501" s="71"/>
      <c r="P501" s="41"/>
      <c r="Q501" s="41"/>
      <c r="R501" s="71"/>
      <c r="S501" s="71"/>
      <c r="T501" s="75"/>
      <c r="U501" s="75"/>
      <c r="V501" s="75"/>
      <c r="W501" s="58" t="str">
        <f t="shared" si="36"/>
        <v/>
      </c>
      <c r="X501" s="59" t="str">
        <f t="shared" si="37"/>
        <v/>
      </c>
      <c r="Y501" s="41"/>
      <c r="Z501" s="41"/>
      <c r="AA501" s="41"/>
      <c r="AB501" s="68" t="str">
        <f>IF($B501="","",'Workflow (Tracker)'!L524)</f>
        <v/>
      </c>
      <c r="AC501" s="69" t="str">
        <f>IF($B501="","",'E08 — Estabilização Hypercare'!K506)</f>
        <v/>
      </c>
      <c r="AD501" s="66" t="str">
        <f>IF($B501="","",'E08 — Estabilização Hypercare'!O506)</f>
        <v/>
      </c>
      <c r="AE501" s="66" t="str">
        <f>IF($B501="","",'E08 — Estabilização Hypercare'!Q506)</f>
        <v/>
      </c>
      <c r="AF501" s="66" t="str">
        <f>IF(OR($B501="",'E08 — Estabilização Hypercare'!R506=""),"",'E08 — Estabilização Hypercare'!R506)</f>
        <v/>
      </c>
      <c r="AG501" s="60" t="str">
        <f>IF($B501="","",'E08 — Estabilização Hypercare'!S506)</f>
        <v/>
      </c>
      <c r="AH501" s="61" t="str">
        <f>IF($B501="","",'E08 — Estabilização Hypercare'!T506)</f>
        <v/>
      </c>
      <c r="AI501" s="62" t="str">
        <f>IF($B501="","",'E08 — Estabilização Hypercare'!N506)</f>
        <v/>
      </c>
      <c r="AJ501" s="61" t="str">
        <f>IF(OR($B501="",'E08 — Estabilização Hypercare'!U506=""),"",'E08 — Estabilização Hypercare'!U506)</f>
        <v/>
      </c>
      <c r="AK501" s="60" t="str">
        <f t="shared" si="38"/>
        <v/>
      </c>
      <c r="AL501" s="65" t="str">
        <f t="shared" si="39"/>
        <v/>
      </c>
    </row>
    <row r="502" spans="2:38" s="42" customFormat="1" x14ac:dyDescent="0.35">
      <c r="B502" s="55" t="str">
        <f t="shared" si="35"/>
        <v/>
      </c>
      <c r="C502" s="40"/>
      <c r="D502" s="40"/>
      <c r="E502" s="41"/>
      <c r="F502" s="41"/>
      <c r="G502" s="41"/>
      <c r="H502" s="68" t="str">
        <f>IF('E2 — Triagem'!D507="","",'E2 — Triagem'!D507)</f>
        <v/>
      </c>
      <c r="I502" s="71"/>
      <c r="J502" s="41"/>
      <c r="K502" s="41"/>
      <c r="L502" s="71"/>
      <c r="M502" s="71"/>
      <c r="N502" s="71"/>
      <c r="O502" s="71"/>
      <c r="P502" s="41"/>
      <c r="Q502" s="41"/>
      <c r="R502" s="71"/>
      <c r="S502" s="71"/>
      <c r="T502" s="75"/>
      <c r="U502" s="75"/>
      <c r="V502" s="75"/>
      <c r="W502" s="58" t="str">
        <f t="shared" si="36"/>
        <v/>
      </c>
      <c r="X502" s="59" t="str">
        <f t="shared" si="37"/>
        <v/>
      </c>
      <c r="Y502" s="41"/>
      <c r="Z502" s="41"/>
      <c r="AA502" s="41"/>
      <c r="AB502" s="68" t="str">
        <f>IF($B502="","",'Workflow (Tracker)'!L525)</f>
        <v/>
      </c>
      <c r="AC502" s="69" t="str">
        <f>IF($B502="","",'E08 — Estabilização Hypercare'!K507)</f>
        <v/>
      </c>
      <c r="AD502" s="66" t="str">
        <f>IF($B502="","",'E08 — Estabilização Hypercare'!O507)</f>
        <v/>
      </c>
      <c r="AE502" s="66" t="str">
        <f>IF($B502="","",'E08 — Estabilização Hypercare'!Q507)</f>
        <v/>
      </c>
      <c r="AF502" s="66" t="str">
        <f>IF(OR($B502="",'E08 — Estabilização Hypercare'!R507=""),"",'E08 — Estabilização Hypercare'!R507)</f>
        <v/>
      </c>
      <c r="AG502" s="60" t="str">
        <f>IF($B502="","",'E08 — Estabilização Hypercare'!S507)</f>
        <v/>
      </c>
      <c r="AH502" s="61" t="str">
        <f>IF($B502="","",'E08 — Estabilização Hypercare'!T507)</f>
        <v/>
      </c>
      <c r="AI502" s="62" t="str">
        <f>IF($B502="","",'E08 — Estabilização Hypercare'!N507)</f>
        <v/>
      </c>
      <c r="AJ502" s="61" t="str">
        <f>IF(OR($B502="",'E08 — Estabilização Hypercare'!U507=""),"",'E08 — Estabilização Hypercare'!U507)</f>
        <v/>
      </c>
      <c r="AK502" s="60" t="str">
        <f t="shared" si="38"/>
        <v/>
      </c>
      <c r="AL502" s="65" t="str">
        <f t="shared" si="39"/>
        <v/>
      </c>
    </row>
    <row r="503" spans="2:38" s="42" customFormat="1" x14ac:dyDescent="0.35">
      <c r="B503" s="55" t="str">
        <f t="shared" si="35"/>
        <v/>
      </c>
      <c r="C503" s="40"/>
      <c r="D503" s="40"/>
      <c r="E503" s="41"/>
      <c r="F503" s="41"/>
      <c r="G503" s="41"/>
      <c r="H503" s="68"/>
      <c r="I503" s="71"/>
      <c r="J503" s="41"/>
      <c r="K503" s="41"/>
      <c r="L503" s="71"/>
      <c r="M503" s="71"/>
      <c r="N503" s="71"/>
      <c r="O503" s="71"/>
      <c r="P503" s="41"/>
      <c r="Q503" s="41"/>
      <c r="R503" s="71"/>
      <c r="S503" s="71"/>
      <c r="T503" s="75"/>
      <c r="U503" s="75"/>
      <c r="V503" s="75"/>
      <c r="W503" s="58" t="str">
        <f t="shared" si="36"/>
        <v/>
      </c>
      <c r="X503" s="59" t="str">
        <f t="shared" si="37"/>
        <v/>
      </c>
      <c r="Y503" s="41"/>
      <c r="Z503" s="41"/>
      <c r="AA503" s="41"/>
      <c r="AB503" s="68"/>
      <c r="AC503" s="69"/>
      <c r="AD503" s="66"/>
      <c r="AE503" s="66"/>
      <c r="AF503" s="66"/>
      <c r="AG503" s="60"/>
      <c r="AH503" s="61"/>
      <c r="AI503" s="62"/>
      <c r="AJ503" s="61"/>
      <c r="AK503" s="60"/>
      <c r="AL503" s="65"/>
    </row>
    <row r="504" spans="2:38" s="42" customFormat="1" x14ac:dyDescent="0.35">
      <c r="B504" s="55" t="str">
        <f t="shared" si="35"/>
        <v/>
      </c>
      <c r="C504" s="40"/>
      <c r="D504" s="40"/>
      <c r="E504" s="41"/>
      <c r="F504" s="41"/>
      <c r="G504" s="41"/>
      <c r="H504" s="68"/>
      <c r="I504" s="71"/>
      <c r="J504" s="41"/>
      <c r="K504" s="41"/>
      <c r="L504" s="71"/>
      <c r="M504" s="71"/>
      <c r="N504" s="71"/>
      <c r="O504" s="71"/>
      <c r="P504" s="41"/>
      <c r="Q504" s="41"/>
      <c r="R504" s="71"/>
      <c r="S504" s="71"/>
      <c r="T504" s="75"/>
      <c r="U504" s="75"/>
      <c r="V504" s="75"/>
      <c r="W504" s="58" t="str">
        <f t="shared" si="36"/>
        <v/>
      </c>
      <c r="X504" s="59" t="str">
        <f t="shared" si="37"/>
        <v/>
      </c>
      <c r="Y504" s="41"/>
      <c r="Z504" s="41"/>
      <c r="AA504" s="41"/>
      <c r="AB504" s="68"/>
      <c r="AC504" s="69"/>
      <c r="AD504" s="66"/>
      <c r="AE504" s="66"/>
      <c r="AF504" s="66"/>
      <c r="AG504" s="60"/>
      <c r="AH504" s="61"/>
      <c r="AI504" s="62"/>
      <c r="AJ504" s="61"/>
      <c r="AK504" s="60"/>
      <c r="AL504" s="65"/>
    </row>
    <row r="505" spans="2:38" s="42" customFormat="1" x14ac:dyDescent="0.35">
      <c r="B505" s="55" t="str">
        <f t="shared" si="35"/>
        <v/>
      </c>
      <c r="C505" s="40"/>
      <c r="D505" s="40"/>
      <c r="E505" s="41"/>
      <c r="F505" s="41"/>
      <c r="G505" s="41"/>
      <c r="H505" s="68"/>
      <c r="I505" s="71"/>
      <c r="J505" s="41"/>
      <c r="K505" s="41"/>
      <c r="L505" s="71"/>
      <c r="M505" s="71"/>
      <c r="N505" s="71"/>
      <c r="O505" s="71"/>
      <c r="P505" s="41"/>
      <c r="Q505" s="41"/>
      <c r="R505" s="71"/>
      <c r="S505" s="71"/>
      <c r="T505" s="75"/>
      <c r="U505" s="75"/>
      <c r="V505" s="75"/>
      <c r="W505" s="58" t="str">
        <f t="shared" si="36"/>
        <v/>
      </c>
      <c r="X505" s="59" t="str">
        <f t="shared" si="37"/>
        <v/>
      </c>
      <c r="Y505" s="41"/>
      <c r="Z505" s="41"/>
      <c r="AA505" s="41"/>
      <c r="AB505" s="68"/>
      <c r="AC505" s="69"/>
      <c r="AD505" s="66"/>
      <c r="AE505" s="66"/>
      <c r="AF505" s="66"/>
      <c r="AG505" s="60"/>
      <c r="AH505" s="61"/>
      <c r="AI505" s="62"/>
      <c r="AJ505" s="61"/>
      <c r="AK505" s="60"/>
      <c r="AL505" s="65"/>
    </row>
    <row r="506" spans="2:38" s="42" customFormat="1" x14ac:dyDescent="0.35">
      <c r="B506" s="55" t="str">
        <f t="shared" si="35"/>
        <v/>
      </c>
      <c r="C506" s="40"/>
      <c r="D506" s="40"/>
      <c r="E506" s="41"/>
      <c r="F506" s="41"/>
      <c r="G506" s="41"/>
      <c r="H506" s="68"/>
      <c r="I506" s="71"/>
      <c r="J506" s="41"/>
      <c r="K506" s="41"/>
      <c r="L506" s="71"/>
      <c r="M506" s="71"/>
      <c r="N506" s="71"/>
      <c r="O506" s="71"/>
      <c r="P506" s="41"/>
      <c r="Q506" s="41"/>
      <c r="R506" s="71"/>
      <c r="S506" s="71"/>
      <c r="T506" s="75"/>
      <c r="U506" s="75"/>
      <c r="V506" s="75"/>
      <c r="W506" s="58" t="str">
        <f t="shared" si="36"/>
        <v/>
      </c>
      <c r="X506" s="59" t="str">
        <f t="shared" si="37"/>
        <v/>
      </c>
      <c r="Y506" s="41"/>
      <c r="Z506" s="41"/>
      <c r="AA506" s="41"/>
      <c r="AB506" s="68"/>
      <c r="AC506" s="69"/>
      <c r="AD506" s="66"/>
      <c r="AE506" s="66"/>
      <c r="AF506" s="66"/>
      <c r="AG506" s="60"/>
      <c r="AH506" s="61"/>
      <c r="AI506" s="62"/>
      <c r="AJ506" s="61"/>
      <c r="AK506" s="60"/>
      <c r="AL506" s="65"/>
    </row>
    <row r="507" spans="2:38" s="42" customFormat="1" x14ac:dyDescent="0.35">
      <c r="B507" s="55" t="str">
        <f t="shared" si="35"/>
        <v/>
      </c>
      <c r="C507" s="40"/>
      <c r="D507" s="40"/>
      <c r="E507" s="41"/>
      <c r="F507" s="41"/>
      <c r="G507" s="41"/>
      <c r="H507" s="68"/>
      <c r="I507" s="71"/>
      <c r="J507" s="41"/>
      <c r="K507" s="41"/>
      <c r="L507" s="71"/>
      <c r="M507" s="71"/>
      <c r="N507" s="71"/>
      <c r="O507" s="71"/>
      <c r="P507" s="41"/>
      <c r="Q507" s="41"/>
      <c r="R507" s="71"/>
      <c r="S507" s="71"/>
      <c r="T507" s="75"/>
      <c r="U507" s="75"/>
      <c r="V507" s="75"/>
      <c r="W507" s="58" t="str">
        <f t="shared" si="36"/>
        <v/>
      </c>
      <c r="X507" s="59" t="str">
        <f t="shared" si="37"/>
        <v/>
      </c>
      <c r="Y507" s="41"/>
      <c r="Z507" s="41"/>
      <c r="AA507" s="41"/>
      <c r="AB507" s="68"/>
      <c r="AC507" s="69"/>
      <c r="AD507" s="66"/>
      <c r="AE507" s="66"/>
      <c r="AF507" s="66"/>
      <c r="AG507" s="60"/>
      <c r="AH507" s="61"/>
      <c r="AI507" s="62"/>
      <c r="AJ507" s="61"/>
      <c r="AK507" s="60"/>
      <c r="AL507" s="65"/>
    </row>
    <row r="508" spans="2:38" s="42" customFormat="1" x14ac:dyDescent="0.35">
      <c r="B508" s="55" t="str">
        <f t="shared" si="35"/>
        <v/>
      </c>
      <c r="C508" s="40"/>
      <c r="D508" s="40"/>
      <c r="E508" s="41"/>
      <c r="F508" s="41"/>
      <c r="G508" s="41"/>
      <c r="H508" s="68"/>
      <c r="I508" s="71"/>
      <c r="J508" s="41"/>
      <c r="K508" s="41"/>
      <c r="L508" s="71"/>
      <c r="M508" s="71"/>
      <c r="N508" s="71"/>
      <c r="O508" s="71"/>
      <c r="P508" s="41"/>
      <c r="Q508" s="41"/>
      <c r="R508" s="71"/>
      <c r="S508" s="71"/>
      <c r="T508" s="75"/>
      <c r="U508" s="75"/>
      <c r="V508" s="75"/>
      <c r="W508" s="58" t="str">
        <f t="shared" si="36"/>
        <v/>
      </c>
      <c r="X508" s="59" t="str">
        <f t="shared" si="37"/>
        <v/>
      </c>
      <c r="Y508" s="41"/>
      <c r="Z508" s="41"/>
      <c r="AA508" s="41"/>
      <c r="AB508" s="68"/>
      <c r="AC508" s="69"/>
      <c r="AD508" s="66"/>
      <c r="AE508" s="66"/>
      <c r="AF508" s="66"/>
      <c r="AG508" s="60"/>
      <c r="AH508" s="61"/>
      <c r="AI508" s="62"/>
      <c r="AJ508" s="61"/>
      <c r="AK508" s="60"/>
      <c r="AL508" s="65"/>
    </row>
    <row r="509" spans="2:38" s="42" customFormat="1" x14ac:dyDescent="0.35">
      <c r="B509" s="55" t="str">
        <f t="shared" si="35"/>
        <v/>
      </c>
      <c r="C509" s="40"/>
      <c r="D509" s="40"/>
      <c r="E509" s="41"/>
      <c r="F509" s="41"/>
      <c r="G509" s="41"/>
      <c r="H509" s="68"/>
      <c r="I509" s="71"/>
      <c r="J509" s="41"/>
      <c r="K509" s="41"/>
      <c r="L509" s="71"/>
      <c r="M509" s="71"/>
      <c r="N509" s="71"/>
      <c r="O509" s="71"/>
      <c r="P509" s="41"/>
      <c r="Q509" s="41"/>
      <c r="R509" s="71"/>
      <c r="S509" s="71"/>
      <c r="T509" s="75"/>
      <c r="U509" s="75"/>
      <c r="V509" s="75"/>
      <c r="W509" s="58" t="str">
        <f t="shared" si="36"/>
        <v/>
      </c>
      <c r="X509" s="59" t="str">
        <f t="shared" si="37"/>
        <v/>
      </c>
      <c r="Y509" s="41"/>
      <c r="Z509" s="41"/>
      <c r="AA509" s="41"/>
      <c r="AB509" s="68"/>
      <c r="AC509" s="69"/>
      <c r="AD509" s="66"/>
      <c r="AE509" s="66"/>
      <c r="AF509" s="66"/>
      <c r="AG509" s="60"/>
      <c r="AH509" s="61"/>
      <c r="AI509" s="62"/>
      <c r="AJ509" s="61"/>
      <c r="AK509" s="60"/>
      <c r="AL509" s="65"/>
    </row>
    <row r="510" spans="2:38" s="42" customFormat="1" x14ac:dyDescent="0.35">
      <c r="B510" s="55" t="str">
        <f t="shared" si="35"/>
        <v/>
      </c>
      <c r="C510" s="40"/>
      <c r="D510" s="40"/>
      <c r="E510" s="41"/>
      <c r="F510" s="41"/>
      <c r="G510" s="41"/>
      <c r="H510" s="68"/>
      <c r="I510" s="71"/>
      <c r="J510" s="41"/>
      <c r="K510" s="41"/>
      <c r="L510" s="71"/>
      <c r="M510" s="71"/>
      <c r="N510" s="71"/>
      <c r="O510" s="71"/>
      <c r="P510" s="41"/>
      <c r="Q510" s="41"/>
      <c r="R510" s="71"/>
      <c r="S510" s="71"/>
      <c r="T510" s="75"/>
      <c r="U510" s="75"/>
      <c r="V510" s="75"/>
      <c r="W510" s="58" t="str">
        <f t="shared" si="36"/>
        <v/>
      </c>
      <c r="X510" s="59" t="str">
        <f t="shared" si="37"/>
        <v/>
      </c>
      <c r="Y510" s="41"/>
      <c r="Z510" s="41"/>
      <c r="AA510" s="41"/>
      <c r="AB510" s="68"/>
      <c r="AC510" s="69"/>
      <c r="AD510" s="66"/>
      <c r="AE510" s="66"/>
      <c r="AF510" s="66"/>
      <c r="AG510" s="60"/>
      <c r="AH510" s="61"/>
      <c r="AI510" s="62"/>
      <c r="AJ510" s="61"/>
      <c r="AK510" s="60"/>
      <c r="AL510" s="65"/>
    </row>
    <row r="511" spans="2:38" s="42" customFormat="1" x14ac:dyDescent="0.35">
      <c r="B511" s="55" t="str">
        <f t="shared" si="35"/>
        <v/>
      </c>
      <c r="C511" s="40"/>
      <c r="D511" s="40"/>
      <c r="E511" s="41"/>
      <c r="F511" s="41"/>
      <c r="G511" s="41"/>
      <c r="H511" s="68"/>
      <c r="I511" s="71"/>
      <c r="J511" s="41"/>
      <c r="K511" s="41"/>
      <c r="L511" s="71"/>
      <c r="M511" s="71"/>
      <c r="N511" s="71"/>
      <c r="O511" s="71"/>
      <c r="P511" s="41"/>
      <c r="Q511" s="41"/>
      <c r="R511" s="71"/>
      <c r="S511" s="71"/>
      <c r="T511" s="75"/>
      <c r="U511" s="75"/>
      <c r="V511" s="75"/>
      <c r="W511" s="58" t="str">
        <f t="shared" si="36"/>
        <v/>
      </c>
      <c r="X511" s="59" t="str">
        <f t="shared" si="37"/>
        <v/>
      </c>
      <c r="Y511" s="41"/>
      <c r="Z511" s="41"/>
      <c r="AA511" s="41"/>
      <c r="AB511" s="68"/>
      <c r="AC511" s="69"/>
      <c r="AD511" s="66"/>
      <c r="AE511" s="66"/>
      <c r="AF511" s="66"/>
      <c r="AG511" s="60"/>
      <c r="AH511" s="61"/>
      <c r="AI511" s="62"/>
      <c r="AJ511" s="61"/>
      <c r="AK511" s="60"/>
      <c r="AL511" s="65"/>
    </row>
    <row r="512" spans="2:38" s="42" customFormat="1" x14ac:dyDescent="0.35">
      <c r="B512" s="55" t="str">
        <f t="shared" si="35"/>
        <v/>
      </c>
      <c r="C512" s="40"/>
      <c r="D512" s="40"/>
      <c r="E512" s="41"/>
      <c r="F512" s="41"/>
      <c r="G512" s="41"/>
      <c r="H512" s="68"/>
      <c r="I512" s="71"/>
      <c r="J512" s="41"/>
      <c r="K512" s="41"/>
      <c r="L512" s="71"/>
      <c r="M512" s="71"/>
      <c r="N512" s="71"/>
      <c r="O512" s="71"/>
      <c r="P512" s="41"/>
      <c r="Q512" s="41"/>
      <c r="R512" s="71"/>
      <c r="S512" s="71"/>
      <c r="T512" s="75"/>
      <c r="U512" s="75"/>
      <c r="V512" s="75"/>
      <c r="W512" s="58" t="str">
        <f t="shared" si="36"/>
        <v/>
      </c>
      <c r="X512" s="59" t="str">
        <f t="shared" si="37"/>
        <v/>
      </c>
      <c r="Y512" s="41"/>
      <c r="Z512" s="41"/>
      <c r="AA512" s="41"/>
      <c r="AB512" s="68"/>
      <c r="AC512" s="69"/>
      <c r="AD512" s="66"/>
      <c r="AE512" s="66"/>
      <c r="AF512" s="66"/>
      <c r="AG512" s="60"/>
      <c r="AH512" s="61"/>
      <c r="AI512" s="62"/>
      <c r="AJ512" s="61"/>
      <c r="AK512" s="60"/>
      <c r="AL512" s="65"/>
    </row>
    <row r="513" spans="2:38" s="42" customFormat="1" x14ac:dyDescent="0.35">
      <c r="B513" s="55" t="str">
        <f t="shared" si="35"/>
        <v/>
      </c>
      <c r="C513" s="40"/>
      <c r="D513" s="40"/>
      <c r="E513" s="41"/>
      <c r="F513" s="41"/>
      <c r="G513" s="41"/>
      <c r="H513" s="68"/>
      <c r="I513" s="71"/>
      <c r="J513" s="41"/>
      <c r="K513" s="41"/>
      <c r="L513" s="71"/>
      <c r="M513" s="71"/>
      <c r="N513" s="71"/>
      <c r="O513" s="71"/>
      <c r="P513" s="41"/>
      <c r="Q513" s="41"/>
      <c r="R513" s="71"/>
      <c r="S513" s="71"/>
      <c r="T513" s="75"/>
      <c r="U513" s="75"/>
      <c r="V513" s="75"/>
      <c r="W513" s="58" t="str">
        <f t="shared" si="36"/>
        <v/>
      </c>
      <c r="X513" s="59" t="str">
        <f t="shared" si="37"/>
        <v/>
      </c>
      <c r="Y513" s="41"/>
      <c r="Z513" s="41"/>
      <c r="AA513" s="41"/>
      <c r="AB513" s="68"/>
      <c r="AC513" s="69"/>
      <c r="AD513" s="66"/>
      <c r="AE513" s="66"/>
      <c r="AF513" s="66"/>
      <c r="AG513" s="60"/>
      <c r="AH513" s="61"/>
      <c r="AI513" s="62"/>
      <c r="AJ513" s="61"/>
      <c r="AK513" s="60"/>
      <c r="AL513" s="65"/>
    </row>
    <row r="514" spans="2:38" s="42" customFormat="1" x14ac:dyDescent="0.35">
      <c r="B514" s="55" t="str">
        <f t="shared" si="35"/>
        <v/>
      </c>
      <c r="C514" s="40"/>
      <c r="D514" s="40"/>
      <c r="E514" s="41"/>
      <c r="F514" s="41"/>
      <c r="G514" s="41"/>
      <c r="H514" s="68"/>
      <c r="I514" s="71"/>
      <c r="J514" s="41"/>
      <c r="K514" s="41"/>
      <c r="L514" s="71"/>
      <c r="M514" s="71"/>
      <c r="N514" s="71"/>
      <c r="O514" s="71"/>
      <c r="P514" s="41"/>
      <c r="Q514" s="41"/>
      <c r="R514" s="71"/>
      <c r="S514" s="71"/>
      <c r="T514" s="75"/>
      <c r="U514" s="75"/>
      <c r="V514" s="75"/>
      <c r="W514" s="58" t="str">
        <f t="shared" si="36"/>
        <v/>
      </c>
      <c r="X514" s="59" t="str">
        <f t="shared" si="37"/>
        <v/>
      </c>
      <c r="Y514" s="41"/>
      <c r="Z514" s="41"/>
      <c r="AA514" s="41"/>
      <c r="AB514" s="68"/>
      <c r="AC514" s="69"/>
      <c r="AD514" s="66"/>
      <c r="AE514" s="66"/>
      <c r="AF514" s="66"/>
      <c r="AG514" s="60"/>
      <c r="AH514" s="61"/>
      <c r="AI514" s="62"/>
      <c r="AJ514" s="61"/>
      <c r="AK514" s="60"/>
      <c r="AL514" s="65"/>
    </row>
    <row r="515" spans="2:38" s="42" customFormat="1" x14ac:dyDescent="0.35">
      <c r="B515" s="55" t="str">
        <f t="shared" ref="B515:B578" si="40">IF($C515="","",Prefixo&amp;"-"&amp;TEXT(ROW()-2,"0000"))</f>
        <v/>
      </c>
      <c r="C515" s="40"/>
      <c r="D515" s="40"/>
      <c r="E515" s="41"/>
      <c r="F515" s="41"/>
      <c r="G515" s="41"/>
      <c r="H515" s="68"/>
      <c r="I515" s="71"/>
      <c r="J515" s="41"/>
      <c r="K515" s="41"/>
      <c r="L515" s="71"/>
      <c r="M515" s="71"/>
      <c r="N515" s="71"/>
      <c r="O515" s="71"/>
      <c r="P515" s="41"/>
      <c r="Q515" s="41"/>
      <c r="R515" s="71"/>
      <c r="S515" s="71"/>
      <c r="T515" s="75"/>
      <c r="U515" s="75"/>
      <c r="V515" s="75"/>
      <c r="W515" s="58" t="str">
        <f t="shared" si="36"/>
        <v/>
      </c>
      <c r="X515" s="59" t="str">
        <f t="shared" si="37"/>
        <v/>
      </c>
      <c r="Y515" s="41"/>
      <c r="Z515" s="41"/>
      <c r="AA515" s="41"/>
      <c r="AB515" s="68"/>
      <c r="AC515" s="69"/>
      <c r="AD515" s="66"/>
      <c r="AE515" s="66"/>
      <c r="AF515" s="66"/>
      <c r="AG515" s="60"/>
      <c r="AH515" s="61"/>
      <c r="AI515" s="62"/>
      <c r="AJ515" s="61"/>
      <c r="AK515" s="60"/>
      <c r="AL515" s="65"/>
    </row>
    <row r="516" spans="2:38" s="42" customFormat="1" x14ac:dyDescent="0.35">
      <c r="B516" s="55" t="str">
        <f t="shared" si="40"/>
        <v/>
      </c>
      <c r="C516" s="40"/>
      <c r="D516" s="40"/>
      <c r="E516" s="41"/>
      <c r="F516" s="41"/>
      <c r="G516" s="41"/>
      <c r="H516" s="68"/>
      <c r="I516" s="71"/>
      <c r="J516" s="41"/>
      <c r="K516" s="41"/>
      <c r="L516" s="71"/>
      <c r="M516" s="71"/>
      <c r="N516" s="71"/>
      <c r="O516" s="71"/>
      <c r="P516" s="41"/>
      <c r="Q516" s="41"/>
      <c r="R516" s="71"/>
      <c r="S516" s="71"/>
      <c r="T516" s="75"/>
      <c r="U516" s="75"/>
      <c r="V516" s="75"/>
      <c r="W516" s="58" t="str">
        <f t="shared" ref="W516:W579" si="41">IF(OR($U516="",$V516="",$U516&lt;=0),"",$U516-$V516)</f>
        <v/>
      </c>
      <c r="X516" s="59" t="str">
        <f t="shared" ref="X516:X579" si="42">IF(OR($U516="",$V516="",$U516&lt;=0),"",($U516-$V516)/$U516)</f>
        <v/>
      </c>
      <c r="Y516" s="41"/>
      <c r="Z516" s="41"/>
      <c r="AA516" s="41"/>
      <c r="AB516" s="68"/>
      <c r="AC516" s="69"/>
      <c r="AD516" s="66"/>
      <c r="AE516" s="66"/>
      <c r="AF516" s="66"/>
      <c r="AG516" s="60"/>
      <c r="AH516" s="61"/>
      <c r="AI516" s="62"/>
      <c r="AJ516" s="61"/>
      <c r="AK516" s="60"/>
      <c r="AL516" s="65"/>
    </row>
    <row r="517" spans="2:38" s="42" customFormat="1" x14ac:dyDescent="0.35">
      <c r="B517" s="55" t="str">
        <f t="shared" si="40"/>
        <v/>
      </c>
      <c r="C517" s="40"/>
      <c r="D517" s="40"/>
      <c r="E517" s="41"/>
      <c r="F517" s="41"/>
      <c r="G517" s="41"/>
      <c r="H517" s="68"/>
      <c r="I517" s="71"/>
      <c r="J517" s="41"/>
      <c r="K517" s="41"/>
      <c r="L517" s="71"/>
      <c r="M517" s="71"/>
      <c r="N517" s="71"/>
      <c r="O517" s="71"/>
      <c r="P517" s="41"/>
      <c r="Q517" s="41"/>
      <c r="R517" s="71"/>
      <c r="S517" s="71"/>
      <c r="T517" s="75"/>
      <c r="U517" s="75"/>
      <c r="V517" s="75"/>
      <c r="W517" s="58" t="str">
        <f t="shared" si="41"/>
        <v/>
      </c>
      <c r="X517" s="59" t="str">
        <f t="shared" si="42"/>
        <v/>
      </c>
      <c r="Y517" s="41"/>
      <c r="Z517" s="41"/>
      <c r="AA517" s="41"/>
      <c r="AB517" s="68"/>
      <c r="AC517" s="69"/>
      <c r="AD517" s="66"/>
      <c r="AE517" s="66"/>
      <c r="AF517" s="66"/>
      <c r="AG517" s="60"/>
      <c r="AH517" s="61"/>
      <c r="AI517" s="62"/>
      <c r="AJ517" s="61"/>
      <c r="AK517" s="60"/>
      <c r="AL517" s="65"/>
    </row>
    <row r="518" spans="2:38" s="42" customFormat="1" x14ac:dyDescent="0.35">
      <c r="B518" s="55" t="str">
        <f t="shared" si="40"/>
        <v/>
      </c>
      <c r="C518" s="40"/>
      <c r="D518" s="40"/>
      <c r="E518" s="41"/>
      <c r="F518" s="41"/>
      <c r="G518" s="41"/>
      <c r="H518" s="68"/>
      <c r="I518" s="71"/>
      <c r="J518" s="41"/>
      <c r="K518" s="41"/>
      <c r="L518" s="71"/>
      <c r="M518" s="71"/>
      <c r="N518" s="71"/>
      <c r="O518" s="71"/>
      <c r="P518" s="41"/>
      <c r="Q518" s="41"/>
      <c r="R518" s="71"/>
      <c r="S518" s="71"/>
      <c r="T518" s="75"/>
      <c r="U518" s="75"/>
      <c r="V518" s="75"/>
      <c r="W518" s="58" t="str">
        <f t="shared" si="41"/>
        <v/>
      </c>
      <c r="X518" s="59" t="str">
        <f t="shared" si="42"/>
        <v/>
      </c>
      <c r="Y518" s="41"/>
      <c r="Z518" s="41"/>
      <c r="AA518" s="41"/>
      <c r="AB518" s="68"/>
      <c r="AC518" s="69"/>
      <c r="AD518" s="66"/>
      <c r="AE518" s="66"/>
      <c r="AF518" s="66"/>
      <c r="AG518" s="60"/>
      <c r="AH518" s="61"/>
      <c r="AI518" s="62"/>
      <c r="AJ518" s="61"/>
      <c r="AK518" s="60"/>
      <c r="AL518" s="65"/>
    </row>
    <row r="519" spans="2:38" s="42" customFormat="1" x14ac:dyDescent="0.35">
      <c r="B519" s="55" t="str">
        <f t="shared" si="40"/>
        <v/>
      </c>
      <c r="C519" s="40"/>
      <c r="D519" s="40"/>
      <c r="E519" s="41"/>
      <c r="F519" s="41"/>
      <c r="G519" s="41"/>
      <c r="H519" s="68"/>
      <c r="I519" s="71"/>
      <c r="J519" s="41"/>
      <c r="K519" s="41"/>
      <c r="L519" s="71"/>
      <c r="M519" s="71"/>
      <c r="N519" s="71"/>
      <c r="O519" s="71"/>
      <c r="P519" s="41"/>
      <c r="Q519" s="41"/>
      <c r="R519" s="71"/>
      <c r="S519" s="71"/>
      <c r="T519" s="75"/>
      <c r="U519" s="75"/>
      <c r="V519" s="75"/>
      <c r="W519" s="58" t="str">
        <f t="shared" si="41"/>
        <v/>
      </c>
      <c r="X519" s="59" t="str">
        <f t="shared" si="42"/>
        <v/>
      </c>
      <c r="Y519" s="41"/>
      <c r="Z519" s="41"/>
      <c r="AA519" s="41"/>
      <c r="AB519" s="68"/>
      <c r="AC519" s="69"/>
      <c r="AD519" s="66"/>
      <c r="AE519" s="66"/>
      <c r="AF519" s="66"/>
      <c r="AG519" s="60"/>
      <c r="AH519" s="61"/>
      <c r="AI519" s="62"/>
      <c r="AJ519" s="61"/>
      <c r="AK519" s="60"/>
      <c r="AL519" s="65"/>
    </row>
    <row r="520" spans="2:38" s="42" customFormat="1" x14ac:dyDescent="0.35">
      <c r="B520" s="55" t="str">
        <f t="shared" si="40"/>
        <v/>
      </c>
      <c r="C520" s="40"/>
      <c r="D520" s="40"/>
      <c r="E520" s="41"/>
      <c r="F520" s="41"/>
      <c r="G520" s="41"/>
      <c r="H520" s="68"/>
      <c r="I520" s="71"/>
      <c r="J520" s="41"/>
      <c r="K520" s="41"/>
      <c r="L520" s="71"/>
      <c r="M520" s="71"/>
      <c r="N520" s="71"/>
      <c r="O520" s="71"/>
      <c r="P520" s="41"/>
      <c r="Q520" s="41"/>
      <c r="R520" s="71"/>
      <c r="S520" s="71"/>
      <c r="T520" s="75"/>
      <c r="U520" s="75"/>
      <c r="V520" s="75"/>
      <c r="W520" s="58" t="str">
        <f t="shared" si="41"/>
        <v/>
      </c>
      <c r="X520" s="59" t="str">
        <f t="shared" si="42"/>
        <v/>
      </c>
      <c r="Y520" s="41"/>
      <c r="Z520" s="41"/>
      <c r="AA520" s="41"/>
      <c r="AB520" s="68"/>
      <c r="AC520" s="69"/>
      <c r="AD520" s="66"/>
      <c r="AE520" s="66"/>
      <c r="AF520" s="66"/>
      <c r="AG520" s="60"/>
      <c r="AH520" s="61"/>
      <c r="AI520" s="62"/>
      <c r="AJ520" s="61"/>
      <c r="AK520" s="60"/>
      <c r="AL520" s="65"/>
    </row>
    <row r="521" spans="2:38" s="42" customFormat="1" x14ac:dyDescent="0.35">
      <c r="B521" s="55" t="str">
        <f t="shared" si="40"/>
        <v/>
      </c>
      <c r="C521" s="40"/>
      <c r="D521" s="40"/>
      <c r="E521" s="41"/>
      <c r="F521" s="41"/>
      <c r="G521" s="41"/>
      <c r="H521" s="68"/>
      <c r="I521" s="71"/>
      <c r="J521" s="41"/>
      <c r="K521" s="41"/>
      <c r="L521" s="71"/>
      <c r="M521" s="71"/>
      <c r="N521" s="71"/>
      <c r="O521" s="71"/>
      <c r="P521" s="41"/>
      <c r="Q521" s="41"/>
      <c r="R521" s="71"/>
      <c r="S521" s="71"/>
      <c r="T521" s="75"/>
      <c r="U521" s="75"/>
      <c r="V521" s="75"/>
      <c r="W521" s="58" t="str">
        <f t="shared" si="41"/>
        <v/>
      </c>
      <c r="X521" s="59" t="str">
        <f t="shared" si="42"/>
        <v/>
      </c>
      <c r="Y521" s="41"/>
      <c r="Z521" s="41"/>
      <c r="AA521" s="41"/>
      <c r="AB521" s="68"/>
      <c r="AC521" s="69"/>
      <c r="AD521" s="66"/>
      <c r="AE521" s="66"/>
      <c r="AF521" s="66"/>
      <c r="AG521" s="60"/>
      <c r="AH521" s="61"/>
      <c r="AI521" s="62"/>
      <c r="AJ521" s="61"/>
      <c r="AK521" s="60"/>
      <c r="AL521" s="65"/>
    </row>
    <row r="522" spans="2:38" s="42" customFormat="1" x14ac:dyDescent="0.35">
      <c r="B522" s="55" t="str">
        <f t="shared" si="40"/>
        <v/>
      </c>
      <c r="C522" s="40"/>
      <c r="D522" s="40"/>
      <c r="E522" s="41"/>
      <c r="F522" s="41"/>
      <c r="G522" s="41"/>
      <c r="H522" s="68"/>
      <c r="I522" s="71"/>
      <c r="J522" s="41"/>
      <c r="K522" s="41"/>
      <c r="L522" s="71"/>
      <c r="M522" s="71"/>
      <c r="N522" s="71"/>
      <c r="O522" s="71"/>
      <c r="P522" s="41"/>
      <c r="Q522" s="41"/>
      <c r="R522" s="71"/>
      <c r="S522" s="71"/>
      <c r="T522" s="75"/>
      <c r="U522" s="75"/>
      <c r="V522" s="75"/>
      <c r="W522" s="58" t="str">
        <f t="shared" si="41"/>
        <v/>
      </c>
      <c r="X522" s="59" t="str">
        <f t="shared" si="42"/>
        <v/>
      </c>
      <c r="Y522" s="41"/>
      <c r="Z522" s="41"/>
      <c r="AA522" s="41"/>
      <c r="AB522" s="68"/>
      <c r="AC522" s="69"/>
      <c r="AD522" s="66"/>
      <c r="AE522" s="66"/>
      <c r="AF522" s="66"/>
      <c r="AG522" s="60"/>
      <c r="AH522" s="61"/>
      <c r="AI522" s="62"/>
      <c r="AJ522" s="61"/>
      <c r="AK522" s="60"/>
      <c r="AL522" s="65"/>
    </row>
    <row r="523" spans="2:38" s="42" customFormat="1" x14ac:dyDescent="0.35">
      <c r="B523" s="55" t="str">
        <f t="shared" si="40"/>
        <v/>
      </c>
      <c r="C523" s="40"/>
      <c r="D523" s="40"/>
      <c r="E523" s="41"/>
      <c r="F523" s="41"/>
      <c r="G523" s="41"/>
      <c r="H523" s="68"/>
      <c r="I523" s="71"/>
      <c r="J523" s="41"/>
      <c r="K523" s="41"/>
      <c r="L523" s="71"/>
      <c r="M523" s="71"/>
      <c r="N523" s="71"/>
      <c r="O523" s="71"/>
      <c r="P523" s="41"/>
      <c r="Q523" s="41"/>
      <c r="R523" s="71"/>
      <c r="S523" s="71"/>
      <c r="T523" s="75"/>
      <c r="U523" s="75"/>
      <c r="V523" s="75"/>
      <c r="W523" s="58" t="str">
        <f t="shared" si="41"/>
        <v/>
      </c>
      <c r="X523" s="59" t="str">
        <f t="shared" si="42"/>
        <v/>
      </c>
      <c r="Y523" s="41"/>
      <c r="Z523" s="41"/>
      <c r="AA523" s="41"/>
      <c r="AB523" s="68"/>
      <c r="AC523" s="69"/>
      <c r="AD523" s="66"/>
      <c r="AE523" s="66"/>
      <c r="AF523" s="66"/>
      <c r="AG523" s="60"/>
      <c r="AH523" s="61"/>
      <c r="AI523" s="62"/>
      <c r="AJ523" s="61"/>
      <c r="AK523" s="60"/>
      <c r="AL523" s="65"/>
    </row>
    <row r="524" spans="2:38" s="42" customFormat="1" x14ac:dyDescent="0.35">
      <c r="B524" s="55" t="str">
        <f t="shared" si="40"/>
        <v/>
      </c>
      <c r="C524" s="40"/>
      <c r="D524" s="40"/>
      <c r="E524" s="41"/>
      <c r="F524" s="41"/>
      <c r="G524" s="41"/>
      <c r="H524" s="68"/>
      <c r="I524" s="71"/>
      <c r="J524" s="41"/>
      <c r="K524" s="41"/>
      <c r="L524" s="71"/>
      <c r="M524" s="71"/>
      <c r="N524" s="71"/>
      <c r="O524" s="71"/>
      <c r="P524" s="41"/>
      <c r="Q524" s="41"/>
      <c r="R524" s="71"/>
      <c r="S524" s="71"/>
      <c r="T524" s="75"/>
      <c r="U524" s="75"/>
      <c r="V524" s="75"/>
      <c r="W524" s="58" t="str">
        <f t="shared" si="41"/>
        <v/>
      </c>
      <c r="X524" s="59" t="str">
        <f t="shared" si="42"/>
        <v/>
      </c>
      <c r="Y524" s="41"/>
      <c r="Z524" s="41"/>
      <c r="AA524" s="41"/>
      <c r="AB524" s="68"/>
      <c r="AC524" s="69"/>
      <c r="AD524" s="66"/>
      <c r="AE524" s="66"/>
      <c r="AF524" s="66"/>
      <c r="AG524" s="60"/>
      <c r="AH524" s="61"/>
      <c r="AI524" s="62"/>
      <c r="AJ524" s="61"/>
      <c r="AK524" s="60"/>
      <c r="AL524" s="65"/>
    </row>
    <row r="525" spans="2:38" s="42" customFormat="1" x14ac:dyDescent="0.35">
      <c r="B525" s="55" t="str">
        <f t="shared" si="40"/>
        <v/>
      </c>
      <c r="C525" s="40"/>
      <c r="D525" s="40"/>
      <c r="E525" s="41"/>
      <c r="F525" s="41"/>
      <c r="G525" s="41"/>
      <c r="H525" s="68"/>
      <c r="I525" s="71"/>
      <c r="J525" s="41"/>
      <c r="K525" s="41"/>
      <c r="L525" s="71"/>
      <c r="M525" s="71"/>
      <c r="N525" s="71"/>
      <c r="O525" s="71"/>
      <c r="P525" s="41"/>
      <c r="Q525" s="41"/>
      <c r="R525" s="71"/>
      <c r="S525" s="71"/>
      <c r="T525" s="75"/>
      <c r="U525" s="75"/>
      <c r="V525" s="75"/>
      <c r="W525" s="58" t="str">
        <f t="shared" si="41"/>
        <v/>
      </c>
      <c r="X525" s="59" t="str">
        <f t="shared" si="42"/>
        <v/>
      </c>
      <c r="Y525" s="41"/>
      <c r="Z525" s="41"/>
      <c r="AA525" s="41"/>
      <c r="AB525" s="68"/>
      <c r="AC525" s="69"/>
      <c r="AD525" s="66"/>
      <c r="AE525" s="66"/>
      <c r="AF525" s="66"/>
      <c r="AG525" s="60"/>
      <c r="AH525" s="61"/>
      <c r="AI525" s="62"/>
      <c r="AJ525" s="61"/>
      <c r="AK525" s="60"/>
      <c r="AL525" s="65"/>
    </row>
    <row r="526" spans="2:38" s="42" customFormat="1" x14ac:dyDescent="0.35">
      <c r="B526" s="55" t="str">
        <f t="shared" si="40"/>
        <v/>
      </c>
      <c r="C526" s="40"/>
      <c r="D526" s="40"/>
      <c r="E526" s="41"/>
      <c r="F526" s="41"/>
      <c r="G526" s="41"/>
      <c r="H526" s="68"/>
      <c r="I526" s="71"/>
      <c r="J526" s="41"/>
      <c r="K526" s="41"/>
      <c r="L526" s="71"/>
      <c r="M526" s="71"/>
      <c r="N526" s="71"/>
      <c r="O526" s="71"/>
      <c r="P526" s="41"/>
      <c r="Q526" s="41"/>
      <c r="R526" s="71"/>
      <c r="S526" s="71"/>
      <c r="T526" s="75"/>
      <c r="U526" s="75"/>
      <c r="V526" s="75"/>
      <c r="W526" s="58" t="str">
        <f t="shared" si="41"/>
        <v/>
      </c>
      <c r="X526" s="59" t="str">
        <f t="shared" si="42"/>
        <v/>
      </c>
      <c r="Y526" s="41"/>
      <c r="Z526" s="41"/>
      <c r="AA526" s="41"/>
      <c r="AB526" s="68"/>
      <c r="AC526" s="69"/>
      <c r="AD526" s="66"/>
      <c r="AE526" s="66"/>
      <c r="AF526" s="66"/>
      <c r="AG526" s="60"/>
      <c r="AH526" s="61"/>
      <c r="AI526" s="62"/>
      <c r="AJ526" s="61"/>
      <c r="AK526" s="60"/>
      <c r="AL526" s="65"/>
    </row>
    <row r="527" spans="2:38" s="42" customFormat="1" x14ac:dyDescent="0.35">
      <c r="B527" s="55" t="str">
        <f t="shared" si="40"/>
        <v/>
      </c>
      <c r="C527" s="40"/>
      <c r="D527" s="40"/>
      <c r="E527" s="41"/>
      <c r="F527" s="41"/>
      <c r="G527" s="41"/>
      <c r="H527" s="68"/>
      <c r="I527" s="71"/>
      <c r="J527" s="41"/>
      <c r="K527" s="41"/>
      <c r="L527" s="71"/>
      <c r="M527" s="71"/>
      <c r="N527" s="71"/>
      <c r="O527" s="71"/>
      <c r="P527" s="41"/>
      <c r="Q527" s="41"/>
      <c r="R527" s="71"/>
      <c r="S527" s="71"/>
      <c r="T527" s="75"/>
      <c r="U527" s="75"/>
      <c r="V527" s="75"/>
      <c r="W527" s="58" t="str">
        <f t="shared" si="41"/>
        <v/>
      </c>
      <c r="X527" s="59" t="str">
        <f t="shared" si="42"/>
        <v/>
      </c>
      <c r="Y527" s="41"/>
      <c r="Z527" s="41"/>
      <c r="AA527" s="41"/>
      <c r="AB527" s="68"/>
      <c r="AC527" s="69"/>
      <c r="AD527" s="66"/>
      <c r="AE527" s="66"/>
      <c r="AF527" s="66"/>
      <c r="AG527" s="60"/>
      <c r="AH527" s="61"/>
      <c r="AI527" s="62"/>
      <c r="AJ527" s="61"/>
      <c r="AK527" s="60"/>
      <c r="AL527" s="65"/>
    </row>
    <row r="528" spans="2:38" s="42" customFormat="1" x14ac:dyDescent="0.35">
      <c r="B528" s="55" t="str">
        <f t="shared" si="40"/>
        <v/>
      </c>
      <c r="C528" s="40"/>
      <c r="D528" s="40"/>
      <c r="E528" s="41"/>
      <c r="F528" s="41"/>
      <c r="G528" s="41"/>
      <c r="H528" s="68"/>
      <c r="I528" s="71"/>
      <c r="J528" s="41"/>
      <c r="K528" s="41"/>
      <c r="L528" s="71"/>
      <c r="M528" s="71"/>
      <c r="N528" s="71"/>
      <c r="O528" s="71"/>
      <c r="P528" s="41"/>
      <c r="Q528" s="41"/>
      <c r="R528" s="71"/>
      <c r="S528" s="71"/>
      <c r="T528" s="75"/>
      <c r="U528" s="75"/>
      <c r="V528" s="75"/>
      <c r="W528" s="58" t="str">
        <f t="shared" si="41"/>
        <v/>
      </c>
      <c r="X528" s="59" t="str">
        <f t="shared" si="42"/>
        <v/>
      </c>
      <c r="Y528" s="41"/>
      <c r="Z528" s="41"/>
      <c r="AA528" s="41"/>
      <c r="AB528" s="68"/>
      <c r="AC528" s="69"/>
      <c r="AD528" s="66"/>
      <c r="AE528" s="66"/>
      <c r="AF528" s="66"/>
      <c r="AG528" s="60"/>
      <c r="AH528" s="61"/>
      <c r="AI528" s="62"/>
      <c r="AJ528" s="61"/>
      <c r="AK528" s="60"/>
      <c r="AL528" s="65"/>
    </row>
    <row r="529" spans="2:38" s="42" customFormat="1" x14ac:dyDescent="0.35">
      <c r="B529" s="55" t="str">
        <f t="shared" si="40"/>
        <v/>
      </c>
      <c r="C529" s="40"/>
      <c r="D529" s="40"/>
      <c r="E529" s="41"/>
      <c r="F529" s="41"/>
      <c r="G529" s="41"/>
      <c r="H529" s="68"/>
      <c r="I529" s="71"/>
      <c r="J529" s="41"/>
      <c r="K529" s="41"/>
      <c r="L529" s="71"/>
      <c r="M529" s="71"/>
      <c r="N529" s="71"/>
      <c r="O529" s="71"/>
      <c r="P529" s="41"/>
      <c r="Q529" s="41"/>
      <c r="R529" s="71"/>
      <c r="S529" s="71"/>
      <c r="T529" s="75"/>
      <c r="U529" s="75"/>
      <c r="V529" s="75"/>
      <c r="W529" s="58" t="str">
        <f t="shared" si="41"/>
        <v/>
      </c>
      <c r="X529" s="59" t="str">
        <f t="shared" si="42"/>
        <v/>
      </c>
      <c r="Y529" s="41"/>
      <c r="Z529" s="41"/>
      <c r="AA529" s="41"/>
      <c r="AB529" s="68"/>
      <c r="AC529" s="69"/>
      <c r="AD529" s="66"/>
      <c r="AE529" s="66"/>
      <c r="AF529" s="66"/>
      <c r="AG529" s="60"/>
      <c r="AH529" s="61"/>
      <c r="AI529" s="62"/>
      <c r="AJ529" s="61"/>
      <c r="AK529" s="60"/>
      <c r="AL529" s="65"/>
    </row>
    <row r="530" spans="2:38" s="42" customFormat="1" x14ac:dyDescent="0.35">
      <c r="B530" s="55" t="str">
        <f t="shared" si="40"/>
        <v/>
      </c>
      <c r="C530" s="40"/>
      <c r="D530" s="40"/>
      <c r="E530" s="41"/>
      <c r="F530" s="41"/>
      <c r="G530" s="41"/>
      <c r="H530" s="68"/>
      <c r="I530" s="71"/>
      <c r="J530" s="41"/>
      <c r="K530" s="41"/>
      <c r="L530" s="71"/>
      <c r="M530" s="71"/>
      <c r="N530" s="71"/>
      <c r="O530" s="71"/>
      <c r="P530" s="41"/>
      <c r="Q530" s="41"/>
      <c r="R530" s="71"/>
      <c r="S530" s="71"/>
      <c r="T530" s="75"/>
      <c r="U530" s="75"/>
      <c r="V530" s="75"/>
      <c r="W530" s="58" t="str">
        <f t="shared" si="41"/>
        <v/>
      </c>
      <c r="X530" s="59" t="str">
        <f t="shared" si="42"/>
        <v/>
      </c>
      <c r="Y530" s="41"/>
      <c r="Z530" s="41"/>
      <c r="AA530" s="41"/>
      <c r="AB530" s="68"/>
      <c r="AC530" s="69"/>
      <c r="AD530" s="66"/>
      <c r="AE530" s="66"/>
      <c r="AF530" s="66"/>
      <c r="AG530" s="60"/>
      <c r="AH530" s="61"/>
      <c r="AI530" s="62"/>
      <c r="AJ530" s="61"/>
      <c r="AK530" s="60"/>
      <c r="AL530" s="65"/>
    </row>
    <row r="531" spans="2:38" s="42" customFormat="1" x14ac:dyDescent="0.35">
      <c r="B531" s="55" t="str">
        <f t="shared" si="40"/>
        <v/>
      </c>
      <c r="C531" s="40"/>
      <c r="D531" s="40"/>
      <c r="E531" s="41"/>
      <c r="F531" s="41"/>
      <c r="G531" s="41"/>
      <c r="H531" s="68"/>
      <c r="I531" s="71"/>
      <c r="J531" s="41"/>
      <c r="K531" s="41"/>
      <c r="L531" s="71"/>
      <c r="M531" s="71"/>
      <c r="N531" s="71"/>
      <c r="O531" s="71"/>
      <c r="P531" s="41"/>
      <c r="Q531" s="41"/>
      <c r="R531" s="71"/>
      <c r="S531" s="71"/>
      <c r="T531" s="75"/>
      <c r="U531" s="75"/>
      <c r="V531" s="75"/>
      <c r="W531" s="58" t="str">
        <f t="shared" si="41"/>
        <v/>
      </c>
      <c r="X531" s="59" t="str">
        <f t="shared" si="42"/>
        <v/>
      </c>
      <c r="Y531" s="41"/>
      <c r="Z531" s="41"/>
      <c r="AA531" s="41"/>
      <c r="AB531" s="68"/>
      <c r="AC531" s="69"/>
      <c r="AD531" s="66"/>
      <c r="AE531" s="66"/>
      <c r="AF531" s="66"/>
      <c r="AG531" s="60"/>
      <c r="AH531" s="61"/>
      <c r="AI531" s="62"/>
      <c r="AJ531" s="61"/>
      <c r="AK531" s="60"/>
      <c r="AL531" s="65"/>
    </row>
    <row r="532" spans="2:38" s="42" customFormat="1" x14ac:dyDescent="0.35">
      <c r="B532" s="55" t="str">
        <f t="shared" si="40"/>
        <v/>
      </c>
      <c r="C532" s="40"/>
      <c r="D532" s="40"/>
      <c r="E532" s="41"/>
      <c r="F532" s="41"/>
      <c r="G532" s="41"/>
      <c r="H532" s="68"/>
      <c r="I532" s="71"/>
      <c r="J532" s="41"/>
      <c r="K532" s="41"/>
      <c r="L532" s="71"/>
      <c r="M532" s="71"/>
      <c r="N532" s="71"/>
      <c r="O532" s="71"/>
      <c r="P532" s="41"/>
      <c r="Q532" s="41"/>
      <c r="R532" s="71"/>
      <c r="S532" s="71"/>
      <c r="T532" s="75"/>
      <c r="U532" s="75"/>
      <c r="V532" s="75"/>
      <c r="W532" s="58" t="str">
        <f t="shared" si="41"/>
        <v/>
      </c>
      <c r="X532" s="59" t="str">
        <f t="shared" si="42"/>
        <v/>
      </c>
      <c r="Y532" s="41"/>
      <c r="Z532" s="41"/>
      <c r="AA532" s="41"/>
      <c r="AB532" s="68"/>
      <c r="AC532" s="69"/>
      <c r="AD532" s="66"/>
      <c r="AE532" s="66"/>
      <c r="AF532" s="66"/>
      <c r="AG532" s="60"/>
      <c r="AH532" s="61"/>
      <c r="AI532" s="62"/>
      <c r="AJ532" s="61"/>
      <c r="AK532" s="60"/>
      <c r="AL532" s="65"/>
    </row>
    <row r="533" spans="2:38" s="42" customFormat="1" x14ac:dyDescent="0.35">
      <c r="B533" s="55" t="str">
        <f t="shared" si="40"/>
        <v/>
      </c>
      <c r="C533" s="40"/>
      <c r="D533" s="40"/>
      <c r="E533" s="41"/>
      <c r="F533" s="41"/>
      <c r="G533" s="41"/>
      <c r="H533" s="68"/>
      <c r="I533" s="71"/>
      <c r="J533" s="41"/>
      <c r="K533" s="41"/>
      <c r="L533" s="71"/>
      <c r="M533" s="71"/>
      <c r="N533" s="71"/>
      <c r="O533" s="71"/>
      <c r="P533" s="41"/>
      <c r="Q533" s="41"/>
      <c r="R533" s="71"/>
      <c r="S533" s="71"/>
      <c r="T533" s="75"/>
      <c r="U533" s="75"/>
      <c r="V533" s="75"/>
      <c r="W533" s="58" t="str">
        <f t="shared" si="41"/>
        <v/>
      </c>
      <c r="X533" s="59" t="str">
        <f t="shared" si="42"/>
        <v/>
      </c>
      <c r="Y533" s="41"/>
      <c r="Z533" s="41"/>
      <c r="AA533" s="41"/>
      <c r="AB533" s="68"/>
      <c r="AC533" s="69"/>
      <c r="AD533" s="66"/>
      <c r="AE533" s="66"/>
      <c r="AF533" s="66"/>
      <c r="AG533" s="60"/>
      <c r="AH533" s="61"/>
      <c r="AI533" s="62"/>
      <c r="AJ533" s="61"/>
      <c r="AK533" s="60"/>
      <c r="AL533" s="65"/>
    </row>
    <row r="534" spans="2:38" s="42" customFormat="1" x14ac:dyDescent="0.35">
      <c r="B534" s="55" t="str">
        <f t="shared" si="40"/>
        <v/>
      </c>
      <c r="C534" s="40"/>
      <c r="D534" s="40"/>
      <c r="E534" s="41"/>
      <c r="F534" s="41"/>
      <c r="G534" s="41"/>
      <c r="H534" s="68"/>
      <c r="I534" s="71"/>
      <c r="J534" s="41"/>
      <c r="K534" s="41"/>
      <c r="L534" s="71"/>
      <c r="M534" s="71"/>
      <c r="N534" s="71"/>
      <c r="O534" s="71"/>
      <c r="P534" s="41"/>
      <c r="Q534" s="41"/>
      <c r="R534" s="71"/>
      <c r="S534" s="71"/>
      <c r="T534" s="75"/>
      <c r="U534" s="75"/>
      <c r="V534" s="75"/>
      <c r="W534" s="58" t="str">
        <f t="shared" si="41"/>
        <v/>
      </c>
      <c r="X534" s="59" t="str">
        <f t="shared" si="42"/>
        <v/>
      </c>
      <c r="Y534" s="41"/>
      <c r="Z534" s="41"/>
      <c r="AA534" s="41"/>
      <c r="AB534" s="68"/>
      <c r="AC534" s="69"/>
      <c r="AD534" s="66"/>
      <c r="AE534" s="66"/>
      <c r="AF534" s="66"/>
      <c r="AG534" s="60"/>
      <c r="AH534" s="61"/>
      <c r="AI534" s="62"/>
      <c r="AJ534" s="61"/>
      <c r="AK534" s="60"/>
      <c r="AL534" s="65"/>
    </row>
    <row r="535" spans="2:38" s="42" customFormat="1" x14ac:dyDescent="0.35">
      <c r="B535" s="55" t="str">
        <f t="shared" si="40"/>
        <v/>
      </c>
      <c r="C535" s="40"/>
      <c r="D535" s="40"/>
      <c r="E535" s="41"/>
      <c r="F535" s="41"/>
      <c r="G535" s="41"/>
      <c r="H535" s="68"/>
      <c r="I535" s="71"/>
      <c r="J535" s="41"/>
      <c r="K535" s="41"/>
      <c r="L535" s="71"/>
      <c r="M535" s="71"/>
      <c r="N535" s="71"/>
      <c r="O535" s="71"/>
      <c r="P535" s="41"/>
      <c r="Q535" s="41"/>
      <c r="R535" s="71"/>
      <c r="S535" s="71"/>
      <c r="T535" s="75"/>
      <c r="U535" s="75"/>
      <c r="V535" s="75"/>
      <c r="W535" s="58" t="str">
        <f t="shared" si="41"/>
        <v/>
      </c>
      <c r="X535" s="59" t="str">
        <f t="shared" si="42"/>
        <v/>
      </c>
      <c r="Y535" s="41"/>
      <c r="Z535" s="41"/>
      <c r="AA535" s="41"/>
      <c r="AB535" s="68"/>
      <c r="AC535" s="69"/>
      <c r="AD535" s="66"/>
      <c r="AE535" s="66"/>
      <c r="AF535" s="66"/>
      <c r="AG535" s="60"/>
      <c r="AH535" s="61"/>
      <c r="AI535" s="62"/>
      <c r="AJ535" s="61"/>
      <c r="AK535" s="60"/>
      <c r="AL535" s="65"/>
    </row>
    <row r="536" spans="2:38" s="42" customFormat="1" x14ac:dyDescent="0.35">
      <c r="B536" s="55" t="str">
        <f t="shared" si="40"/>
        <v/>
      </c>
      <c r="C536" s="40"/>
      <c r="D536" s="40"/>
      <c r="E536" s="41"/>
      <c r="F536" s="41"/>
      <c r="G536" s="41"/>
      <c r="H536" s="68"/>
      <c r="I536" s="71"/>
      <c r="J536" s="41"/>
      <c r="K536" s="41"/>
      <c r="L536" s="71"/>
      <c r="M536" s="71"/>
      <c r="N536" s="71"/>
      <c r="O536" s="71"/>
      <c r="P536" s="41"/>
      <c r="Q536" s="41"/>
      <c r="R536" s="71"/>
      <c r="S536" s="71"/>
      <c r="T536" s="75"/>
      <c r="U536" s="75"/>
      <c r="V536" s="75"/>
      <c r="W536" s="58" t="str">
        <f t="shared" si="41"/>
        <v/>
      </c>
      <c r="X536" s="59" t="str">
        <f t="shared" si="42"/>
        <v/>
      </c>
      <c r="Y536" s="41"/>
      <c r="Z536" s="41"/>
      <c r="AA536" s="41"/>
      <c r="AB536" s="68"/>
      <c r="AC536" s="69"/>
      <c r="AD536" s="66"/>
      <c r="AE536" s="66"/>
      <c r="AF536" s="66"/>
      <c r="AG536" s="60"/>
      <c r="AH536" s="61"/>
      <c r="AI536" s="62"/>
      <c r="AJ536" s="61"/>
      <c r="AK536" s="60"/>
      <c r="AL536" s="65"/>
    </row>
    <row r="537" spans="2:38" s="42" customFormat="1" x14ac:dyDescent="0.35">
      <c r="B537" s="55" t="str">
        <f t="shared" si="40"/>
        <v/>
      </c>
      <c r="C537" s="40"/>
      <c r="D537" s="40"/>
      <c r="E537" s="41"/>
      <c r="F537" s="41"/>
      <c r="G537" s="41"/>
      <c r="H537" s="68"/>
      <c r="I537" s="71"/>
      <c r="J537" s="41"/>
      <c r="K537" s="41"/>
      <c r="L537" s="71"/>
      <c r="M537" s="71"/>
      <c r="N537" s="71"/>
      <c r="O537" s="71"/>
      <c r="P537" s="41"/>
      <c r="Q537" s="41"/>
      <c r="R537" s="71"/>
      <c r="S537" s="71"/>
      <c r="T537" s="75"/>
      <c r="U537" s="75"/>
      <c r="V537" s="75"/>
      <c r="W537" s="58" t="str">
        <f t="shared" si="41"/>
        <v/>
      </c>
      <c r="X537" s="59" t="str">
        <f t="shared" si="42"/>
        <v/>
      </c>
      <c r="Y537" s="41"/>
      <c r="Z537" s="41"/>
      <c r="AA537" s="41"/>
      <c r="AB537" s="68"/>
      <c r="AC537" s="69"/>
      <c r="AD537" s="66"/>
      <c r="AE537" s="66"/>
      <c r="AF537" s="66"/>
      <c r="AG537" s="60"/>
      <c r="AH537" s="61"/>
      <c r="AI537" s="62"/>
      <c r="AJ537" s="61"/>
      <c r="AK537" s="60"/>
      <c r="AL537" s="65"/>
    </row>
    <row r="538" spans="2:38" s="42" customFormat="1" x14ac:dyDescent="0.35">
      <c r="B538" s="55" t="str">
        <f t="shared" si="40"/>
        <v/>
      </c>
      <c r="C538" s="40"/>
      <c r="D538" s="40"/>
      <c r="E538" s="41"/>
      <c r="F538" s="41"/>
      <c r="G538" s="41"/>
      <c r="H538" s="68"/>
      <c r="I538" s="71"/>
      <c r="J538" s="41"/>
      <c r="K538" s="41"/>
      <c r="L538" s="71"/>
      <c r="M538" s="71"/>
      <c r="N538" s="71"/>
      <c r="O538" s="71"/>
      <c r="P538" s="41"/>
      <c r="Q538" s="41"/>
      <c r="R538" s="71"/>
      <c r="S538" s="71"/>
      <c r="T538" s="75"/>
      <c r="U538" s="75"/>
      <c r="V538" s="75"/>
      <c r="W538" s="58" t="str">
        <f t="shared" si="41"/>
        <v/>
      </c>
      <c r="X538" s="59" t="str">
        <f t="shared" si="42"/>
        <v/>
      </c>
      <c r="Y538" s="41"/>
      <c r="Z538" s="41"/>
      <c r="AA538" s="41"/>
      <c r="AB538" s="68"/>
      <c r="AC538" s="69"/>
      <c r="AD538" s="66"/>
      <c r="AE538" s="66"/>
      <c r="AF538" s="66"/>
      <c r="AG538" s="60"/>
      <c r="AH538" s="61"/>
      <c r="AI538" s="62"/>
      <c r="AJ538" s="61"/>
      <c r="AK538" s="60"/>
      <c r="AL538" s="65"/>
    </row>
    <row r="539" spans="2:38" s="42" customFormat="1" x14ac:dyDescent="0.35">
      <c r="B539" s="55" t="str">
        <f t="shared" si="40"/>
        <v/>
      </c>
      <c r="C539" s="40"/>
      <c r="D539" s="40"/>
      <c r="E539" s="41"/>
      <c r="F539" s="41"/>
      <c r="G539" s="41"/>
      <c r="H539" s="68"/>
      <c r="I539" s="71"/>
      <c r="J539" s="41"/>
      <c r="K539" s="41"/>
      <c r="L539" s="71"/>
      <c r="M539" s="71"/>
      <c r="N539" s="71"/>
      <c r="O539" s="71"/>
      <c r="P539" s="41"/>
      <c r="Q539" s="41"/>
      <c r="R539" s="71"/>
      <c r="S539" s="71"/>
      <c r="T539" s="75"/>
      <c r="U539" s="75"/>
      <c r="V539" s="75"/>
      <c r="W539" s="58" t="str">
        <f t="shared" si="41"/>
        <v/>
      </c>
      <c r="X539" s="59" t="str">
        <f t="shared" si="42"/>
        <v/>
      </c>
      <c r="Y539" s="41"/>
      <c r="Z539" s="41"/>
      <c r="AA539" s="41"/>
      <c r="AB539" s="68"/>
      <c r="AC539" s="69"/>
      <c r="AD539" s="66"/>
      <c r="AE539" s="66"/>
      <c r="AF539" s="66"/>
      <c r="AG539" s="60"/>
      <c r="AH539" s="61"/>
      <c r="AI539" s="62"/>
      <c r="AJ539" s="61"/>
      <c r="AK539" s="60"/>
      <c r="AL539" s="65"/>
    </row>
    <row r="540" spans="2:38" s="42" customFormat="1" x14ac:dyDescent="0.35">
      <c r="B540" s="55" t="str">
        <f t="shared" si="40"/>
        <v/>
      </c>
      <c r="C540" s="40"/>
      <c r="D540" s="40"/>
      <c r="E540" s="41"/>
      <c r="F540" s="41"/>
      <c r="G540" s="41"/>
      <c r="H540" s="68"/>
      <c r="I540" s="71"/>
      <c r="J540" s="41"/>
      <c r="K540" s="41"/>
      <c r="L540" s="71"/>
      <c r="M540" s="71"/>
      <c r="N540" s="71"/>
      <c r="O540" s="71"/>
      <c r="P540" s="41"/>
      <c r="Q540" s="41"/>
      <c r="R540" s="71"/>
      <c r="S540" s="71"/>
      <c r="T540" s="75"/>
      <c r="U540" s="75"/>
      <c r="V540" s="75"/>
      <c r="W540" s="58" t="str">
        <f t="shared" si="41"/>
        <v/>
      </c>
      <c r="X540" s="59" t="str">
        <f t="shared" si="42"/>
        <v/>
      </c>
      <c r="Y540" s="41"/>
      <c r="Z540" s="41"/>
      <c r="AA540" s="41"/>
      <c r="AB540" s="68"/>
      <c r="AC540" s="69"/>
      <c r="AD540" s="66"/>
      <c r="AE540" s="66"/>
      <c r="AF540" s="66"/>
      <c r="AG540" s="60"/>
      <c r="AH540" s="61"/>
      <c r="AI540" s="62"/>
      <c r="AJ540" s="61"/>
      <c r="AK540" s="60"/>
      <c r="AL540" s="65"/>
    </row>
    <row r="541" spans="2:38" s="42" customFormat="1" x14ac:dyDescent="0.35">
      <c r="B541" s="55" t="str">
        <f t="shared" si="40"/>
        <v/>
      </c>
      <c r="C541" s="40"/>
      <c r="D541" s="40"/>
      <c r="E541" s="41"/>
      <c r="F541" s="41"/>
      <c r="G541" s="41"/>
      <c r="H541" s="68"/>
      <c r="I541" s="71"/>
      <c r="J541" s="41"/>
      <c r="K541" s="41"/>
      <c r="L541" s="71"/>
      <c r="M541" s="71"/>
      <c r="N541" s="71"/>
      <c r="O541" s="71"/>
      <c r="P541" s="41"/>
      <c r="Q541" s="41"/>
      <c r="R541" s="71"/>
      <c r="S541" s="71"/>
      <c r="T541" s="75"/>
      <c r="U541" s="75"/>
      <c r="V541" s="75"/>
      <c r="W541" s="58" t="str">
        <f t="shared" si="41"/>
        <v/>
      </c>
      <c r="X541" s="59" t="str">
        <f t="shared" si="42"/>
        <v/>
      </c>
      <c r="Y541" s="41"/>
      <c r="Z541" s="41"/>
      <c r="AA541" s="41"/>
      <c r="AB541" s="68"/>
      <c r="AC541" s="69"/>
      <c r="AD541" s="66"/>
      <c r="AE541" s="66"/>
      <c r="AF541" s="66"/>
      <c r="AG541" s="60"/>
      <c r="AH541" s="61"/>
      <c r="AI541" s="62"/>
      <c r="AJ541" s="61"/>
      <c r="AK541" s="60"/>
      <c r="AL541" s="65"/>
    </row>
    <row r="542" spans="2:38" s="42" customFormat="1" x14ac:dyDescent="0.35">
      <c r="B542" s="55" t="str">
        <f t="shared" si="40"/>
        <v/>
      </c>
      <c r="C542" s="40"/>
      <c r="D542" s="40"/>
      <c r="E542" s="41"/>
      <c r="F542" s="41"/>
      <c r="G542" s="41"/>
      <c r="H542" s="68"/>
      <c r="I542" s="71"/>
      <c r="J542" s="41"/>
      <c r="K542" s="41"/>
      <c r="L542" s="71"/>
      <c r="M542" s="71"/>
      <c r="N542" s="71"/>
      <c r="O542" s="71"/>
      <c r="P542" s="41"/>
      <c r="Q542" s="41"/>
      <c r="R542" s="71"/>
      <c r="S542" s="71"/>
      <c r="T542" s="75"/>
      <c r="U542" s="75"/>
      <c r="V542" s="75"/>
      <c r="W542" s="58" t="str">
        <f t="shared" si="41"/>
        <v/>
      </c>
      <c r="X542" s="59" t="str">
        <f t="shared" si="42"/>
        <v/>
      </c>
      <c r="Y542" s="41"/>
      <c r="Z542" s="41"/>
      <c r="AA542" s="41"/>
      <c r="AB542" s="68"/>
      <c r="AC542" s="69"/>
      <c r="AD542" s="66"/>
      <c r="AE542" s="66"/>
      <c r="AF542" s="66"/>
      <c r="AG542" s="60"/>
      <c r="AH542" s="61"/>
      <c r="AI542" s="62"/>
      <c r="AJ542" s="61"/>
      <c r="AK542" s="60"/>
      <c r="AL542" s="65"/>
    </row>
    <row r="543" spans="2:38" s="42" customFormat="1" x14ac:dyDescent="0.35">
      <c r="B543" s="55" t="str">
        <f t="shared" si="40"/>
        <v/>
      </c>
      <c r="C543" s="40"/>
      <c r="D543" s="40"/>
      <c r="E543" s="41"/>
      <c r="F543" s="41"/>
      <c r="G543" s="41"/>
      <c r="H543" s="68"/>
      <c r="I543" s="71"/>
      <c r="J543" s="41"/>
      <c r="K543" s="41"/>
      <c r="L543" s="71"/>
      <c r="M543" s="71"/>
      <c r="N543" s="71"/>
      <c r="O543" s="71"/>
      <c r="P543" s="41"/>
      <c r="Q543" s="41"/>
      <c r="R543" s="71"/>
      <c r="S543" s="71"/>
      <c r="T543" s="75"/>
      <c r="U543" s="75"/>
      <c r="V543" s="75"/>
      <c r="W543" s="58" t="str">
        <f t="shared" si="41"/>
        <v/>
      </c>
      <c r="X543" s="59" t="str">
        <f t="shared" si="42"/>
        <v/>
      </c>
      <c r="Y543" s="41"/>
      <c r="Z543" s="41"/>
      <c r="AA543" s="41"/>
      <c r="AB543" s="68"/>
      <c r="AC543" s="69"/>
      <c r="AD543" s="66"/>
      <c r="AE543" s="66"/>
      <c r="AF543" s="66"/>
      <c r="AG543" s="60"/>
      <c r="AH543" s="61"/>
      <c r="AI543" s="62"/>
      <c r="AJ543" s="61"/>
      <c r="AK543" s="60"/>
      <c r="AL543" s="65"/>
    </row>
    <row r="544" spans="2:38" s="42" customFormat="1" x14ac:dyDescent="0.35">
      <c r="B544" s="55" t="str">
        <f t="shared" si="40"/>
        <v/>
      </c>
      <c r="C544" s="40"/>
      <c r="D544" s="40"/>
      <c r="E544" s="41"/>
      <c r="F544" s="41"/>
      <c r="G544" s="41"/>
      <c r="H544" s="68"/>
      <c r="I544" s="71"/>
      <c r="J544" s="41"/>
      <c r="K544" s="41"/>
      <c r="L544" s="71"/>
      <c r="M544" s="71"/>
      <c r="N544" s="71"/>
      <c r="O544" s="71"/>
      <c r="P544" s="41"/>
      <c r="Q544" s="41"/>
      <c r="R544" s="71"/>
      <c r="S544" s="71"/>
      <c r="T544" s="75"/>
      <c r="U544" s="75"/>
      <c r="V544" s="75"/>
      <c r="W544" s="58" t="str">
        <f t="shared" si="41"/>
        <v/>
      </c>
      <c r="X544" s="59" t="str">
        <f t="shared" si="42"/>
        <v/>
      </c>
      <c r="Y544" s="41"/>
      <c r="Z544" s="41"/>
      <c r="AA544" s="41"/>
      <c r="AB544" s="68"/>
      <c r="AC544" s="69"/>
      <c r="AD544" s="66"/>
      <c r="AE544" s="66"/>
      <c r="AF544" s="66"/>
      <c r="AG544" s="60"/>
      <c r="AH544" s="61"/>
      <c r="AI544" s="62"/>
      <c r="AJ544" s="61"/>
      <c r="AK544" s="60"/>
      <c r="AL544" s="65"/>
    </row>
    <row r="545" spans="2:38" s="42" customFormat="1" x14ac:dyDescent="0.35">
      <c r="B545" s="55" t="str">
        <f t="shared" si="40"/>
        <v/>
      </c>
      <c r="C545" s="40"/>
      <c r="D545" s="40"/>
      <c r="E545" s="41"/>
      <c r="F545" s="41"/>
      <c r="G545" s="41"/>
      <c r="H545" s="68"/>
      <c r="I545" s="71"/>
      <c r="J545" s="41"/>
      <c r="K545" s="41"/>
      <c r="L545" s="71"/>
      <c r="M545" s="71"/>
      <c r="N545" s="71"/>
      <c r="O545" s="71"/>
      <c r="P545" s="41"/>
      <c r="Q545" s="41"/>
      <c r="R545" s="71"/>
      <c r="S545" s="71"/>
      <c r="T545" s="75"/>
      <c r="U545" s="75"/>
      <c r="V545" s="75"/>
      <c r="W545" s="58" t="str">
        <f t="shared" si="41"/>
        <v/>
      </c>
      <c r="X545" s="59" t="str">
        <f t="shared" si="42"/>
        <v/>
      </c>
      <c r="Y545" s="41"/>
      <c r="Z545" s="41"/>
      <c r="AA545" s="41"/>
      <c r="AB545" s="68"/>
      <c r="AC545" s="69"/>
      <c r="AD545" s="66"/>
      <c r="AE545" s="66"/>
      <c r="AF545" s="66"/>
      <c r="AG545" s="60"/>
      <c r="AH545" s="61"/>
      <c r="AI545" s="62"/>
      <c r="AJ545" s="61"/>
      <c r="AK545" s="60"/>
      <c r="AL545" s="65"/>
    </row>
    <row r="546" spans="2:38" s="42" customFormat="1" x14ac:dyDescent="0.35">
      <c r="B546" s="55" t="str">
        <f t="shared" si="40"/>
        <v/>
      </c>
      <c r="C546" s="40"/>
      <c r="D546" s="40"/>
      <c r="E546" s="41"/>
      <c r="F546" s="41"/>
      <c r="G546" s="41"/>
      <c r="H546" s="68"/>
      <c r="I546" s="71"/>
      <c r="J546" s="41"/>
      <c r="K546" s="41"/>
      <c r="L546" s="71"/>
      <c r="M546" s="71"/>
      <c r="N546" s="71"/>
      <c r="O546" s="71"/>
      <c r="P546" s="41"/>
      <c r="Q546" s="41"/>
      <c r="R546" s="71"/>
      <c r="S546" s="71"/>
      <c r="T546" s="75"/>
      <c r="U546" s="75"/>
      <c r="V546" s="75"/>
      <c r="W546" s="58" t="str">
        <f t="shared" si="41"/>
        <v/>
      </c>
      <c r="X546" s="59" t="str">
        <f t="shared" si="42"/>
        <v/>
      </c>
      <c r="Y546" s="41"/>
      <c r="Z546" s="41"/>
      <c r="AA546" s="41"/>
      <c r="AB546" s="68"/>
      <c r="AC546" s="69"/>
      <c r="AD546" s="66"/>
      <c r="AE546" s="66"/>
      <c r="AF546" s="66"/>
      <c r="AG546" s="60"/>
      <c r="AH546" s="61"/>
      <c r="AI546" s="62"/>
      <c r="AJ546" s="61"/>
      <c r="AK546" s="60"/>
      <c r="AL546" s="65"/>
    </row>
    <row r="547" spans="2:38" s="42" customFormat="1" x14ac:dyDescent="0.35">
      <c r="B547" s="55" t="str">
        <f t="shared" si="40"/>
        <v/>
      </c>
      <c r="C547" s="40"/>
      <c r="D547" s="40"/>
      <c r="E547" s="41"/>
      <c r="F547" s="41"/>
      <c r="G547" s="41"/>
      <c r="H547" s="68"/>
      <c r="I547" s="71"/>
      <c r="J547" s="41"/>
      <c r="K547" s="41"/>
      <c r="L547" s="71"/>
      <c r="M547" s="71"/>
      <c r="N547" s="71"/>
      <c r="O547" s="71"/>
      <c r="P547" s="41"/>
      <c r="Q547" s="41"/>
      <c r="R547" s="71"/>
      <c r="S547" s="71"/>
      <c r="T547" s="75"/>
      <c r="U547" s="75"/>
      <c r="V547" s="75"/>
      <c r="W547" s="58" t="str">
        <f t="shared" si="41"/>
        <v/>
      </c>
      <c r="X547" s="59" t="str">
        <f t="shared" si="42"/>
        <v/>
      </c>
      <c r="Y547" s="41"/>
      <c r="Z547" s="41"/>
      <c r="AA547" s="41"/>
      <c r="AB547" s="68"/>
      <c r="AC547" s="69"/>
      <c r="AD547" s="66"/>
      <c r="AE547" s="66"/>
      <c r="AF547" s="66"/>
      <c r="AG547" s="60"/>
      <c r="AH547" s="61"/>
      <c r="AI547" s="62"/>
      <c r="AJ547" s="61"/>
      <c r="AK547" s="60"/>
      <c r="AL547" s="65"/>
    </row>
    <row r="548" spans="2:38" s="42" customFormat="1" x14ac:dyDescent="0.35">
      <c r="B548" s="55" t="str">
        <f t="shared" si="40"/>
        <v/>
      </c>
      <c r="C548" s="40"/>
      <c r="D548" s="40"/>
      <c r="E548" s="41"/>
      <c r="F548" s="41"/>
      <c r="G548" s="41"/>
      <c r="H548" s="68"/>
      <c r="I548" s="71"/>
      <c r="J548" s="41"/>
      <c r="K548" s="41"/>
      <c r="L548" s="71"/>
      <c r="M548" s="71"/>
      <c r="N548" s="71"/>
      <c r="O548" s="71"/>
      <c r="P548" s="41"/>
      <c r="Q548" s="41"/>
      <c r="R548" s="71"/>
      <c r="S548" s="71"/>
      <c r="T548" s="75"/>
      <c r="U548" s="75"/>
      <c r="V548" s="75"/>
      <c r="W548" s="58" t="str">
        <f t="shared" si="41"/>
        <v/>
      </c>
      <c r="X548" s="59" t="str">
        <f t="shared" si="42"/>
        <v/>
      </c>
      <c r="Y548" s="41"/>
      <c r="Z548" s="41"/>
      <c r="AA548" s="41"/>
      <c r="AB548" s="68"/>
      <c r="AC548" s="69"/>
      <c r="AD548" s="66"/>
      <c r="AE548" s="66"/>
      <c r="AF548" s="66"/>
      <c r="AG548" s="60"/>
      <c r="AH548" s="61"/>
      <c r="AI548" s="62"/>
      <c r="AJ548" s="61"/>
      <c r="AK548" s="60"/>
      <c r="AL548" s="65"/>
    </row>
    <row r="549" spans="2:38" s="42" customFormat="1" x14ac:dyDescent="0.35">
      <c r="B549" s="55" t="str">
        <f t="shared" si="40"/>
        <v/>
      </c>
      <c r="C549" s="40"/>
      <c r="D549" s="40"/>
      <c r="E549" s="41"/>
      <c r="F549" s="41"/>
      <c r="G549" s="41"/>
      <c r="H549" s="68"/>
      <c r="I549" s="71"/>
      <c r="J549" s="41"/>
      <c r="K549" s="41"/>
      <c r="L549" s="71"/>
      <c r="M549" s="71"/>
      <c r="N549" s="71"/>
      <c r="O549" s="71"/>
      <c r="P549" s="41"/>
      <c r="Q549" s="41"/>
      <c r="R549" s="71"/>
      <c r="S549" s="71"/>
      <c r="T549" s="75"/>
      <c r="U549" s="75"/>
      <c r="V549" s="75"/>
      <c r="W549" s="58" t="str">
        <f t="shared" si="41"/>
        <v/>
      </c>
      <c r="X549" s="59" t="str">
        <f t="shared" si="42"/>
        <v/>
      </c>
      <c r="Y549" s="41"/>
      <c r="Z549" s="41"/>
      <c r="AA549" s="41"/>
      <c r="AB549" s="68"/>
      <c r="AC549" s="69"/>
      <c r="AD549" s="66"/>
      <c r="AE549" s="66"/>
      <c r="AF549" s="66"/>
      <c r="AG549" s="60"/>
      <c r="AH549" s="61"/>
      <c r="AI549" s="62"/>
      <c r="AJ549" s="61"/>
      <c r="AK549" s="60"/>
      <c r="AL549" s="65"/>
    </row>
    <row r="550" spans="2:38" s="42" customFormat="1" x14ac:dyDescent="0.35">
      <c r="B550" s="55" t="str">
        <f t="shared" si="40"/>
        <v/>
      </c>
      <c r="C550" s="40"/>
      <c r="D550" s="40"/>
      <c r="E550" s="41"/>
      <c r="F550" s="41"/>
      <c r="G550" s="41"/>
      <c r="H550" s="68"/>
      <c r="I550" s="71"/>
      <c r="J550" s="41"/>
      <c r="K550" s="41"/>
      <c r="L550" s="71"/>
      <c r="M550" s="71"/>
      <c r="N550" s="71"/>
      <c r="O550" s="71"/>
      <c r="P550" s="41"/>
      <c r="Q550" s="41"/>
      <c r="R550" s="71"/>
      <c r="S550" s="71"/>
      <c r="T550" s="75"/>
      <c r="U550" s="75"/>
      <c r="V550" s="75"/>
      <c r="W550" s="58" t="str">
        <f t="shared" si="41"/>
        <v/>
      </c>
      <c r="X550" s="59" t="str">
        <f t="shared" si="42"/>
        <v/>
      </c>
      <c r="Y550" s="41"/>
      <c r="Z550" s="41"/>
      <c r="AA550" s="41"/>
      <c r="AB550" s="68"/>
      <c r="AC550" s="69"/>
      <c r="AD550" s="66"/>
      <c r="AE550" s="66"/>
      <c r="AF550" s="66"/>
      <c r="AG550" s="60"/>
      <c r="AH550" s="61"/>
      <c r="AI550" s="62"/>
      <c r="AJ550" s="61"/>
      <c r="AK550" s="60"/>
      <c r="AL550" s="65"/>
    </row>
    <row r="551" spans="2:38" s="42" customFormat="1" x14ac:dyDescent="0.35">
      <c r="B551" s="55" t="str">
        <f t="shared" si="40"/>
        <v/>
      </c>
      <c r="C551" s="40"/>
      <c r="D551" s="40"/>
      <c r="E551" s="41"/>
      <c r="F551" s="41"/>
      <c r="G551" s="41"/>
      <c r="H551" s="68"/>
      <c r="I551" s="71"/>
      <c r="J551" s="41"/>
      <c r="K551" s="41"/>
      <c r="L551" s="71"/>
      <c r="M551" s="71"/>
      <c r="N551" s="71"/>
      <c r="O551" s="71"/>
      <c r="P551" s="41"/>
      <c r="Q551" s="41"/>
      <c r="R551" s="71"/>
      <c r="S551" s="71"/>
      <c r="T551" s="75"/>
      <c r="U551" s="75"/>
      <c r="V551" s="75"/>
      <c r="W551" s="58" t="str">
        <f t="shared" si="41"/>
        <v/>
      </c>
      <c r="X551" s="59" t="str">
        <f t="shared" si="42"/>
        <v/>
      </c>
      <c r="Y551" s="41"/>
      <c r="Z551" s="41"/>
      <c r="AA551" s="41"/>
      <c r="AB551" s="68"/>
      <c r="AC551" s="69"/>
      <c r="AD551" s="66"/>
      <c r="AE551" s="66"/>
      <c r="AF551" s="66"/>
      <c r="AG551" s="60"/>
      <c r="AH551" s="61"/>
      <c r="AI551" s="62"/>
      <c r="AJ551" s="61"/>
      <c r="AK551" s="60"/>
      <c r="AL551" s="65"/>
    </row>
    <row r="552" spans="2:38" s="42" customFormat="1" x14ac:dyDescent="0.35">
      <c r="B552" s="55" t="str">
        <f t="shared" si="40"/>
        <v/>
      </c>
      <c r="C552" s="40"/>
      <c r="D552" s="40"/>
      <c r="E552" s="41"/>
      <c r="F552" s="41"/>
      <c r="G552" s="41"/>
      <c r="H552" s="68"/>
      <c r="I552" s="71"/>
      <c r="J552" s="41"/>
      <c r="K552" s="41"/>
      <c r="L552" s="71"/>
      <c r="M552" s="71"/>
      <c r="N552" s="71"/>
      <c r="O552" s="71"/>
      <c r="P552" s="41"/>
      <c r="Q552" s="41"/>
      <c r="R552" s="71"/>
      <c r="S552" s="71"/>
      <c r="T552" s="75"/>
      <c r="U552" s="75"/>
      <c r="V552" s="75"/>
      <c r="W552" s="58" t="str">
        <f t="shared" si="41"/>
        <v/>
      </c>
      <c r="X552" s="59" t="str">
        <f t="shared" si="42"/>
        <v/>
      </c>
      <c r="Y552" s="41"/>
      <c r="Z552" s="41"/>
      <c r="AA552" s="41"/>
      <c r="AB552" s="68"/>
      <c r="AC552" s="69"/>
      <c r="AD552" s="66"/>
      <c r="AE552" s="66"/>
      <c r="AF552" s="66"/>
      <c r="AG552" s="60"/>
      <c r="AH552" s="61"/>
      <c r="AI552" s="62"/>
      <c r="AJ552" s="61"/>
      <c r="AK552" s="60"/>
      <c r="AL552" s="65"/>
    </row>
    <row r="553" spans="2:38" s="42" customFormat="1" x14ac:dyDescent="0.35">
      <c r="B553" s="55" t="str">
        <f t="shared" si="40"/>
        <v/>
      </c>
      <c r="C553" s="40"/>
      <c r="D553" s="40"/>
      <c r="E553" s="41"/>
      <c r="F553" s="41"/>
      <c r="G553" s="41"/>
      <c r="H553" s="68"/>
      <c r="I553" s="71"/>
      <c r="J553" s="41"/>
      <c r="K553" s="41"/>
      <c r="L553" s="71"/>
      <c r="M553" s="71"/>
      <c r="N553" s="71"/>
      <c r="O553" s="71"/>
      <c r="P553" s="41"/>
      <c r="Q553" s="41"/>
      <c r="R553" s="71"/>
      <c r="S553" s="71"/>
      <c r="T553" s="75"/>
      <c r="U553" s="75"/>
      <c r="V553" s="75"/>
      <c r="W553" s="58" t="str">
        <f t="shared" si="41"/>
        <v/>
      </c>
      <c r="X553" s="59" t="str">
        <f t="shared" si="42"/>
        <v/>
      </c>
      <c r="Y553" s="41"/>
      <c r="Z553" s="41"/>
      <c r="AA553" s="41"/>
      <c r="AB553" s="68"/>
      <c r="AC553" s="69"/>
      <c r="AD553" s="66"/>
      <c r="AE553" s="66"/>
      <c r="AF553" s="66"/>
      <c r="AG553" s="60"/>
      <c r="AH553" s="61"/>
      <c r="AI553" s="62"/>
      <c r="AJ553" s="61"/>
      <c r="AK553" s="60"/>
      <c r="AL553" s="65"/>
    </row>
    <row r="554" spans="2:38" s="42" customFormat="1" x14ac:dyDescent="0.35">
      <c r="B554" s="55" t="str">
        <f t="shared" si="40"/>
        <v/>
      </c>
      <c r="C554" s="40"/>
      <c r="D554" s="40"/>
      <c r="E554" s="41"/>
      <c r="F554" s="41"/>
      <c r="G554" s="41"/>
      <c r="H554" s="68"/>
      <c r="I554" s="71"/>
      <c r="J554" s="41"/>
      <c r="K554" s="41"/>
      <c r="L554" s="71"/>
      <c r="M554" s="71"/>
      <c r="N554" s="71"/>
      <c r="O554" s="71"/>
      <c r="P554" s="41"/>
      <c r="Q554" s="41"/>
      <c r="R554" s="71"/>
      <c r="S554" s="71"/>
      <c r="T554" s="75"/>
      <c r="U554" s="75"/>
      <c r="V554" s="75"/>
      <c r="W554" s="58" t="str">
        <f t="shared" si="41"/>
        <v/>
      </c>
      <c r="X554" s="59" t="str">
        <f t="shared" si="42"/>
        <v/>
      </c>
      <c r="Y554" s="41"/>
      <c r="Z554" s="41"/>
      <c r="AA554" s="41"/>
      <c r="AB554" s="68"/>
      <c r="AC554" s="69"/>
      <c r="AD554" s="66"/>
      <c r="AE554" s="66"/>
      <c r="AF554" s="66"/>
      <c r="AG554" s="60"/>
      <c r="AH554" s="61"/>
      <c r="AI554" s="62"/>
      <c r="AJ554" s="61"/>
      <c r="AK554" s="60"/>
      <c r="AL554" s="65"/>
    </row>
    <row r="555" spans="2:38" s="42" customFormat="1" x14ac:dyDescent="0.35">
      <c r="B555" s="55" t="str">
        <f t="shared" si="40"/>
        <v/>
      </c>
      <c r="C555" s="40"/>
      <c r="D555" s="40"/>
      <c r="E555" s="41"/>
      <c r="F555" s="41"/>
      <c r="G555" s="41"/>
      <c r="H555" s="68"/>
      <c r="I555" s="71"/>
      <c r="J555" s="41"/>
      <c r="K555" s="41"/>
      <c r="L555" s="71"/>
      <c r="M555" s="71"/>
      <c r="N555" s="71"/>
      <c r="O555" s="71"/>
      <c r="P555" s="41"/>
      <c r="Q555" s="41"/>
      <c r="R555" s="71"/>
      <c r="S555" s="71"/>
      <c r="T555" s="75"/>
      <c r="U555" s="75"/>
      <c r="V555" s="75"/>
      <c r="W555" s="58" t="str">
        <f t="shared" si="41"/>
        <v/>
      </c>
      <c r="X555" s="59" t="str">
        <f t="shared" si="42"/>
        <v/>
      </c>
      <c r="Y555" s="41"/>
      <c r="Z555" s="41"/>
      <c r="AA555" s="41"/>
      <c r="AB555" s="68"/>
      <c r="AC555" s="69"/>
      <c r="AD555" s="66"/>
      <c r="AE555" s="66"/>
      <c r="AF555" s="66"/>
      <c r="AG555" s="60"/>
      <c r="AH555" s="61"/>
      <c r="AI555" s="62"/>
      <c r="AJ555" s="61"/>
      <c r="AK555" s="60"/>
      <c r="AL555" s="65"/>
    </row>
    <row r="556" spans="2:38" s="42" customFormat="1" x14ac:dyDescent="0.35">
      <c r="B556" s="55" t="str">
        <f t="shared" si="40"/>
        <v/>
      </c>
      <c r="C556" s="40"/>
      <c r="D556" s="40"/>
      <c r="E556" s="41"/>
      <c r="F556" s="41"/>
      <c r="G556" s="41"/>
      <c r="H556" s="68"/>
      <c r="I556" s="71"/>
      <c r="J556" s="41"/>
      <c r="K556" s="41"/>
      <c r="L556" s="71"/>
      <c r="M556" s="71"/>
      <c r="N556" s="71"/>
      <c r="O556" s="71"/>
      <c r="P556" s="41"/>
      <c r="Q556" s="41"/>
      <c r="R556" s="71"/>
      <c r="S556" s="71"/>
      <c r="T556" s="75"/>
      <c r="U556" s="75"/>
      <c r="V556" s="75"/>
      <c r="W556" s="58" t="str">
        <f t="shared" si="41"/>
        <v/>
      </c>
      <c r="X556" s="59" t="str">
        <f t="shared" si="42"/>
        <v/>
      </c>
      <c r="Y556" s="41"/>
      <c r="Z556" s="41"/>
      <c r="AA556" s="41"/>
      <c r="AB556" s="68"/>
      <c r="AC556" s="69"/>
      <c r="AD556" s="66"/>
      <c r="AE556" s="66"/>
      <c r="AF556" s="66"/>
      <c r="AG556" s="60"/>
      <c r="AH556" s="61"/>
      <c r="AI556" s="62"/>
      <c r="AJ556" s="61"/>
      <c r="AK556" s="60"/>
      <c r="AL556" s="65"/>
    </row>
    <row r="557" spans="2:38" s="42" customFormat="1" x14ac:dyDescent="0.35">
      <c r="B557" s="55" t="str">
        <f t="shared" si="40"/>
        <v/>
      </c>
      <c r="C557" s="40"/>
      <c r="D557" s="40"/>
      <c r="E557" s="41"/>
      <c r="F557" s="41"/>
      <c r="G557" s="41"/>
      <c r="H557" s="68"/>
      <c r="I557" s="71"/>
      <c r="J557" s="41"/>
      <c r="K557" s="41"/>
      <c r="L557" s="71"/>
      <c r="M557" s="71"/>
      <c r="N557" s="71"/>
      <c r="O557" s="71"/>
      <c r="P557" s="41"/>
      <c r="Q557" s="41"/>
      <c r="R557" s="71"/>
      <c r="S557" s="71"/>
      <c r="T557" s="75"/>
      <c r="U557" s="75"/>
      <c r="V557" s="75"/>
      <c r="W557" s="58" t="str">
        <f t="shared" si="41"/>
        <v/>
      </c>
      <c r="X557" s="59" t="str">
        <f t="shared" si="42"/>
        <v/>
      </c>
      <c r="Y557" s="41"/>
      <c r="Z557" s="41"/>
      <c r="AA557" s="41"/>
      <c r="AB557" s="68"/>
      <c r="AC557" s="69"/>
      <c r="AD557" s="66"/>
      <c r="AE557" s="66"/>
      <c r="AF557" s="66"/>
      <c r="AG557" s="60"/>
      <c r="AH557" s="61"/>
      <c r="AI557" s="62"/>
      <c r="AJ557" s="61"/>
      <c r="AK557" s="60"/>
      <c r="AL557" s="65"/>
    </row>
    <row r="558" spans="2:38" s="42" customFormat="1" x14ac:dyDescent="0.35">
      <c r="B558" s="55" t="str">
        <f t="shared" si="40"/>
        <v/>
      </c>
      <c r="C558" s="40"/>
      <c r="D558" s="40"/>
      <c r="E558" s="41"/>
      <c r="F558" s="41"/>
      <c r="G558" s="41"/>
      <c r="H558" s="68"/>
      <c r="I558" s="71"/>
      <c r="J558" s="41"/>
      <c r="K558" s="41"/>
      <c r="L558" s="71"/>
      <c r="M558" s="71"/>
      <c r="N558" s="71"/>
      <c r="O558" s="71"/>
      <c r="P558" s="41"/>
      <c r="Q558" s="41"/>
      <c r="R558" s="71"/>
      <c r="S558" s="71"/>
      <c r="T558" s="75"/>
      <c r="U558" s="75"/>
      <c r="V558" s="75"/>
      <c r="W558" s="58" t="str">
        <f t="shared" si="41"/>
        <v/>
      </c>
      <c r="X558" s="59" t="str">
        <f t="shared" si="42"/>
        <v/>
      </c>
      <c r="Y558" s="41"/>
      <c r="Z558" s="41"/>
      <c r="AA558" s="41"/>
      <c r="AB558" s="68"/>
      <c r="AC558" s="69"/>
      <c r="AD558" s="66"/>
      <c r="AE558" s="66"/>
      <c r="AF558" s="66"/>
      <c r="AG558" s="60"/>
      <c r="AH558" s="61"/>
      <c r="AI558" s="62"/>
      <c r="AJ558" s="61"/>
      <c r="AK558" s="60"/>
      <c r="AL558" s="65"/>
    </row>
    <row r="559" spans="2:38" s="42" customFormat="1" x14ac:dyDescent="0.35">
      <c r="B559" s="55" t="str">
        <f t="shared" si="40"/>
        <v/>
      </c>
      <c r="C559" s="40"/>
      <c r="D559" s="40"/>
      <c r="E559" s="41"/>
      <c r="F559" s="41"/>
      <c r="G559" s="41"/>
      <c r="H559" s="68"/>
      <c r="I559" s="71"/>
      <c r="J559" s="41"/>
      <c r="K559" s="41"/>
      <c r="L559" s="71"/>
      <c r="M559" s="71"/>
      <c r="N559" s="71"/>
      <c r="O559" s="71"/>
      <c r="P559" s="41"/>
      <c r="Q559" s="41"/>
      <c r="R559" s="71"/>
      <c r="S559" s="71"/>
      <c r="T559" s="75"/>
      <c r="U559" s="75"/>
      <c r="V559" s="75"/>
      <c r="W559" s="58" t="str">
        <f t="shared" si="41"/>
        <v/>
      </c>
      <c r="X559" s="59" t="str">
        <f t="shared" si="42"/>
        <v/>
      </c>
      <c r="Y559" s="41"/>
      <c r="Z559" s="41"/>
      <c r="AA559" s="41"/>
      <c r="AB559" s="68"/>
      <c r="AC559" s="69"/>
      <c r="AD559" s="66"/>
      <c r="AE559" s="66"/>
      <c r="AF559" s="66"/>
      <c r="AG559" s="60"/>
      <c r="AH559" s="61"/>
      <c r="AI559" s="62"/>
      <c r="AJ559" s="61"/>
      <c r="AK559" s="60"/>
      <c r="AL559" s="65"/>
    </row>
    <row r="560" spans="2:38" s="42" customFormat="1" x14ac:dyDescent="0.35">
      <c r="B560" s="55" t="str">
        <f t="shared" si="40"/>
        <v/>
      </c>
      <c r="C560" s="40"/>
      <c r="D560" s="40"/>
      <c r="E560" s="41"/>
      <c r="F560" s="41"/>
      <c r="G560" s="41"/>
      <c r="H560" s="68"/>
      <c r="I560" s="71"/>
      <c r="J560" s="41"/>
      <c r="K560" s="41"/>
      <c r="L560" s="71"/>
      <c r="M560" s="71"/>
      <c r="N560" s="71"/>
      <c r="O560" s="71"/>
      <c r="P560" s="41"/>
      <c r="Q560" s="41"/>
      <c r="R560" s="71"/>
      <c r="S560" s="71"/>
      <c r="T560" s="75"/>
      <c r="U560" s="75"/>
      <c r="V560" s="75"/>
      <c r="W560" s="58" t="str">
        <f t="shared" si="41"/>
        <v/>
      </c>
      <c r="X560" s="59" t="str">
        <f t="shared" si="42"/>
        <v/>
      </c>
      <c r="Y560" s="41"/>
      <c r="Z560" s="41"/>
      <c r="AA560" s="41"/>
      <c r="AB560" s="68"/>
      <c r="AC560" s="69"/>
      <c r="AD560" s="66"/>
      <c r="AE560" s="66"/>
      <c r="AF560" s="66"/>
      <c r="AG560" s="60"/>
      <c r="AH560" s="61"/>
      <c r="AI560" s="62"/>
      <c r="AJ560" s="61"/>
      <c r="AK560" s="60"/>
      <c r="AL560" s="65"/>
    </row>
    <row r="561" spans="2:38" s="42" customFormat="1" x14ac:dyDescent="0.35">
      <c r="B561" s="55" t="str">
        <f t="shared" si="40"/>
        <v/>
      </c>
      <c r="C561" s="40"/>
      <c r="D561" s="40"/>
      <c r="E561" s="41"/>
      <c r="F561" s="41"/>
      <c r="G561" s="41"/>
      <c r="H561" s="68"/>
      <c r="I561" s="71"/>
      <c r="J561" s="41"/>
      <c r="K561" s="41"/>
      <c r="L561" s="71"/>
      <c r="M561" s="71"/>
      <c r="N561" s="71"/>
      <c r="O561" s="71"/>
      <c r="P561" s="41"/>
      <c r="Q561" s="41"/>
      <c r="R561" s="71"/>
      <c r="S561" s="71"/>
      <c r="T561" s="75"/>
      <c r="U561" s="75"/>
      <c r="V561" s="75"/>
      <c r="W561" s="58" t="str">
        <f t="shared" si="41"/>
        <v/>
      </c>
      <c r="X561" s="59" t="str">
        <f t="shared" si="42"/>
        <v/>
      </c>
      <c r="Y561" s="41"/>
      <c r="Z561" s="41"/>
      <c r="AA561" s="41"/>
      <c r="AB561" s="68"/>
      <c r="AC561" s="69"/>
      <c r="AD561" s="66"/>
      <c r="AE561" s="66"/>
      <c r="AF561" s="66"/>
      <c r="AG561" s="60"/>
      <c r="AH561" s="61"/>
      <c r="AI561" s="62"/>
      <c r="AJ561" s="61"/>
      <c r="AK561" s="60"/>
      <c r="AL561" s="65"/>
    </row>
    <row r="562" spans="2:38" s="42" customFormat="1" x14ac:dyDescent="0.35">
      <c r="B562" s="55" t="str">
        <f t="shared" si="40"/>
        <v/>
      </c>
      <c r="C562" s="40"/>
      <c r="D562" s="40"/>
      <c r="E562" s="41"/>
      <c r="F562" s="41"/>
      <c r="G562" s="41"/>
      <c r="H562" s="68"/>
      <c r="I562" s="71"/>
      <c r="J562" s="41"/>
      <c r="K562" s="41"/>
      <c r="L562" s="71"/>
      <c r="M562" s="71"/>
      <c r="N562" s="71"/>
      <c r="O562" s="71"/>
      <c r="P562" s="41"/>
      <c r="Q562" s="41"/>
      <c r="R562" s="71"/>
      <c r="S562" s="71"/>
      <c r="T562" s="75"/>
      <c r="U562" s="75"/>
      <c r="V562" s="75"/>
      <c r="W562" s="58" t="str">
        <f t="shared" si="41"/>
        <v/>
      </c>
      <c r="X562" s="59" t="str">
        <f t="shared" si="42"/>
        <v/>
      </c>
      <c r="Y562" s="41"/>
      <c r="Z562" s="41"/>
      <c r="AA562" s="41"/>
      <c r="AB562" s="68"/>
      <c r="AC562" s="69"/>
      <c r="AD562" s="66"/>
      <c r="AE562" s="66"/>
      <c r="AF562" s="66"/>
      <c r="AG562" s="60"/>
      <c r="AH562" s="61"/>
      <c r="AI562" s="62"/>
      <c r="AJ562" s="61"/>
      <c r="AK562" s="60"/>
      <c r="AL562" s="65"/>
    </row>
    <row r="563" spans="2:38" s="42" customFormat="1" x14ac:dyDescent="0.35">
      <c r="B563" s="55" t="str">
        <f t="shared" si="40"/>
        <v/>
      </c>
      <c r="C563" s="40"/>
      <c r="D563" s="40"/>
      <c r="E563" s="41"/>
      <c r="F563" s="41"/>
      <c r="G563" s="41"/>
      <c r="H563" s="68"/>
      <c r="I563" s="71"/>
      <c r="J563" s="41"/>
      <c r="K563" s="41"/>
      <c r="L563" s="71"/>
      <c r="M563" s="71"/>
      <c r="N563" s="71"/>
      <c r="O563" s="71"/>
      <c r="P563" s="41"/>
      <c r="Q563" s="41"/>
      <c r="R563" s="71"/>
      <c r="S563" s="71"/>
      <c r="T563" s="75"/>
      <c r="U563" s="75"/>
      <c r="V563" s="75"/>
      <c r="W563" s="58" t="str">
        <f t="shared" si="41"/>
        <v/>
      </c>
      <c r="X563" s="59" t="str">
        <f t="shared" si="42"/>
        <v/>
      </c>
      <c r="Y563" s="41"/>
      <c r="Z563" s="41"/>
      <c r="AA563" s="41"/>
      <c r="AB563" s="68"/>
      <c r="AC563" s="69"/>
      <c r="AD563" s="66"/>
      <c r="AE563" s="66"/>
      <c r="AF563" s="66"/>
      <c r="AG563" s="60"/>
      <c r="AH563" s="61"/>
      <c r="AI563" s="62"/>
      <c r="AJ563" s="61"/>
      <c r="AK563" s="60"/>
      <c r="AL563" s="65"/>
    </row>
    <row r="564" spans="2:38" s="42" customFormat="1" x14ac:dyDescent="0.35">
      <c r="B564" s="55" t="str">
        <f t="shared" si="40"/>
        <v/>
      </c>
      <c r="C564" s="40"/>
      <c r="D564" s="40"/>
      <c r="E564" s="41"/>
      <c r="F564" s="41"/>
      <c r="G564" s="41"/>
      <c r="H564" s="68"/>
      <c r="I564" s="71"/>
      <c r="J564" s="41"/>
      <c r="K564" s="41"/>
      <c r="L564" s="71"/>
      <c r="M564" s="71"/>
      <c r="N564" s="71"/>
      <c r="O564" s="71"/>
      <c r="P564" s="41"/>
      <c r="Q564" s="41"/>
      <c r="R564" s="71"/>
      <c r="S564" s="71"/>
      <c r="T564" s="75"/>
      <c r="U564" s="75"/>
      <c r="V564" s="75"/>
      <c r="W564" s="58" t="str">
        <f t="shared" si="41"/>
        <v/>
      </c>
      <c r="X564" s="59" t="str">
        <f t="shared" si="42"/>
        <v/>
      </c>
      <c r="Y564" s="41"/>
      <c r="Z564" s="41"/>
      <c r="AA564" s="41"/>
      <c r="AB564" s="68"/>
      <c r="AC564" s="69"/>
      <c r="AD564" s="66"/>
      <c r="AE564" s="66"/>
      <c r="AF564" s="66"/>
      <c r="AG564" s="60"/>
      <c r="AH564" s="61"/>
      <c r="AI564" s="62"/>
      <c r="AJ564" s="61"/>
      <c r="AK564" s="60"/>
      <c r="AL564" s="65"/>
    </row>
    <row r="565" spans="2:38" s="42" customFormat="1" x14ac:dyDescent="0.35">
      <c r="B565" s="55" t="str">
        <f t="shared" si="40"/>
        <v/>
      </c>
      <c r="C565" s="40"/>
      <c r="D565" s="40"/>
      <c r="E565" s="41"/>
      <c r="F565" s="41"/>
      <c r="G565" s="41"/>
      <c r="H565" s="68"/>
      <c r="I565" s="71"/>
      <c r="J565" s="41"/>
      <c r="K565" s="41"/>
      <c r="L565" s="71"/>
      <c r="M565" s="71"/>
      <c r="N565" s="71"/>
      <c r="O565" s="71"/>
      <c r="P565" s="41"/>
      <c r="Q565" s="41"/>
      <c r="R565" s="71"/>
      <c r="S565" s="71"/>
      <c r="T565" s="75"/>
      <c r="U565" s="75"/>
      <c r="V565" s="75"/>
      <c r="W565" s="58" t="str">
        <f t="shared" si="41"/>
        <v/>
      </c>
      <c r="X565" s="59" t="str">
        <f t="shared" si="42"/>
        <v/>
      </c>
      <c r="Y565" s="41"/>
      <c r="Z565" s="41"/>
      <c r="AA565" s="41"/>
      <c r="AB565" s="68"/>
      <c r="AC565" s="69"/>
      <c r="AD565" s="66"/>
      <c r="AE565" s="66"/>
      <c r="AF565" s="66"/>
      <c r="AG565" s="60"/>
      <c r="AH565" s="61"/>
      <c r="AI565" s="62"/>
      <c r="AJ565" s="61"/>
      <c r="AK565" s="60"/>
      <c r="AL565" s="65"/>
    </row>
    <row r="566" spans="2:38" s="42" customFormat="1" x14ac:dyDescent="0.35">
      <c r="B566" s="55" t="str">
        <f t="shared" si="40"/>
        <v/>
      </c>
      <c r="C566" s="40"/>
      <c r="D566" s="40"/>
      <c r="E566" s="41"/>
      <c r="F566" s="41"/>
      <c r="G566" s="41"/>
      <c r="H566" s="68"/>
      <c r="I566" s="71"/>
      <c r="J566" s="41"/>
      <c r="K566" s="41"/>
      <c r="L566" s="71"/>
      <c r="M566" s="71"/>
      <c r="N566" s="71"/>
      <c r="O566" s="71"/>
      <c r="P566" s="41"/>
      <c r="Q566" s="41"/>
      <c r="R566" s="71"/>
      <c r="S566" s="71"/>
      <c r="T566" s="75"/>
      <c r="U566" s="75"/>
      <c r="V566" s="75"/>
      <c r="W566" s="58" t="str">
        <f t="shared" si="41"/>
        <v/>
      </c>
      <c r="X566" s="59" t="str">
        <f t="shared" si="42"/>
        <v/>
      </c>
      <c r="Y566" s="41"/>
      <c r="Z566" s="41"/>
      <c r="AA566" s="41"/>
      <c r="AB566" s="68"/>
      <c r="AC566" s="69"/>
      <c r="AD566" s="66"/>
      <c r="AE566" s="66"/>
      <c r="AF566" s="66"/>
      <c r="AG566" s="60"/>
      <c r="AH566" s="61"/>
      <c r="AI566" s="62"/>
      <c r="AJ566" s="61"/>
      <c r="AK566" s="60"/>
      <c r="AL566" s="65"/>
    </row>
    <row r="567" spans="2:38" s="42" customFormat="1" x14ac:dyDescent="0.35">
      <c r="B567" s="55" t="str">
        <f t="shared" si="40"/>
        <v/>
      </c>
      <c r="C567" s="40"/>
      <c r="D567" s="40"/>
      <c r="E567" s="41"/>
      <c r="F567" s="41"/>
      <c r="G567" s="41"/>
      <c r="H567" s="68"/>
      <c r="I567" s="71"/>
      <c r="J567" s="41"/>
      <c r="K567" s="41"/>
      <c r="L567" s="71"/>
      <c r="M567" s="71"/>
      <c r="N567" s="71"/>
      <c r="O567" s="71"/>
      <c r="P567" s="41"/>
      <c r="Q567" s="41"/>
      <c r="R567" s="71"/>
      <c r="S567" s="71"/>
      <c r="T567" s="75"/>
      <c r="U567" s="75"/>
      <c r="V567" s="75"/>
      <c r="W567" s="58" t="str">
        <f t="shared" si="41"/>
        <v/>
      </c>
      <c r="X567" s="59" t="str">
        <f t="shared" si="42"/>
        <v/>
      </c>
      <c r="Y567" s="41"/>
      <c r="Z567" s="41"/>
      <c r="AA567" s="41"/>
      <c r="AB567" s="68"/>
      <c r="AC567" s="69"/>
      <c r="AD567" s="66"/>
      <c r="AE567" s="66"/>
      <c r="AF567" s="66"/>
      <c r="AG567" s="60"/>
      <c r="AH567" s="61"/>
      <c r="AI567" s="62"/>
      <c r="AJ567" s="61"/>
      <c r="AK567" s="60"/>
      <c r="AL567" s="65"/>
    </row>
    <row r="568" spans="2:38" s="42" customFormat="1" x14ac:dyDescent="0.35">
      <c r="B568" s="55" t="str">
        <f t="shared" si="40"/>
        <v/>
      </c>
      <c r="C568" s="40"/>
      <c r="D568" s="40"/>
      <c r="E568" s="41"/>
      <c r="F568" s="41"/>
      <c r="G568" s="41"/>
      <c r="H568" s="68"/>
      <c r="I568" s="71"/>
      <c r="J568" s="41"/>
      <c r="K568" s="41"/>
      <c r="L568" s="71"/>
      <c r="M568" s="71"/>
      <c r="N568" s="71"/>
      <c r="O568" s="71"/>
      <c r="P568" s="41"/>
      <c r="Q568" s="41"/>
      <c r="R568" s="71"/>
      <c r="S568" s="71"/>
      <c r="T568" s="75"/>
      <c r="U568" s="75"/>
      <c r="V568" s="75"/>
      <c r="W568" s="58" t="str">
        <f t="shared" si="41"/>
        <v/>
      </c>
      <c r="X568" s="59" t="str">
        <f t="shared" si="42"/>
        <v/>
      </c>
      <c r="Y568" s="41"/>
      <c r="Z568" s="41"/>
      <c r="AA568" s="41"/>
      <c r="AB568" s="68"/>
      <c r="AC568" s="69"/>
      <c r="AD568" s="66"/>
      <c r="AE568" s="66"/>
      <c r="AF568" s="66"/>
      <c r="AG568" s="60"/>
      <c r="AH568" s="61"/>
      <c r="AI568" s="62"/>
      <c r="AJ568" s="61"/>
      <c r="AK568" s="60"/>
      <c r="AL568" s="65"/>
    </row>
    <row r="569" spans="2:38" s="42" customFormat="1" x14ac:dyDescent="0.35">
      <c r="B569" s="55" t="str">
        <f t="shared" si="40"/>
        <v/>
      </c>
      <c r="C569" s="40"/>
      <c r="D569" s="40"/>
      <c r="E569" s="41"/>
      <c r="F569" s="41"/>
      <c r="G569" s="41"/>
      <c r="H569" s="68"/>
      <c r="I569" s="71"/>
      <c r="J569" s="41"/>
      <c r="K569" s="41"/>
      <c r="L569" s="71"/>
      <c r="M569" s="71"/>
      <c r="N569" s="71"/>
      <c r="O569" s="71"/>
      <c r="P569" s="41"/>
      <c r="Q569" s="41"/>
      <c r="R569" s="71"/>
      <c r="S569" s="71"/>
      <c r="T569" s="75"/>
      <c r="U569" s="75"/>
      <c r="V569" s="75"/>
      <c r="W569" s="58" t="str">
        <f t="shared" si="41"/>
        <v/>
      </c>
      <c r="X569" s="59" t="str">
        <f t="shared" si="42"/>
        <v/>
      </c>
      <c r="Y569" s="41"/>
      <c r="Z569" s="41"/>
      <c r="AA569" s="41"/>
      <c r="AB569" s="68"/>
      <c r="AC569" s="69"/>
      <c r="AD569" s="66"/>
      <c r="AE569" s="66"/>
      <c r="AF569" s="66"/>
      <c r="AG569" s="60"/>
      <c r="AH569" s="61"/>
      <c r="AI569" s="62"/>
      <c r="AJ569" s="61"/>
      <c r="AK569" s="60"/>
      <c r="AL569" s="65"/>
    </row>
    <row r="570" spans="2:38" s="42" customFormat="1" x14ac:dyDescent="0.35">
      <c r="B570" s="55" t="str">
        <f t="shared" si="40"/>
        <v/>
      </c>
      <c r="C570" s="40"/>
      <c r="D570" s="40"/>
      <c r="E570" s="41"/>
      <c r="F570" s="41"/>
      <c r="G570" s="41"/>
      <c r="H570" s="68"/>
      <c r="I570" s="71"/>
      <c r="J570" s="41"/>
      <c r="K570" s="41"/>
      <c r="L570" s="71"/>
      <c r="M570" s="71"/>
      <c r="N570" s="71"/>
      <c r="O570" s="71"/>
      <c r="P570" s="41"/>
      <c r="Q570" s="41"/>
      <c r="R570" s="71"/>
      <c r="S570" s="71"/>
      <c r="T570" s="75"/>
      <c r="U570" s="75"/>
      <c r="V570" s="75"/>
      <c r="W570" s="58" t="str">
        <f t="shared" si="41"/>
        <v/>
      </c>
      <c r="X570" s="59" t="str">
        <f t="shared" si="42"/>
        <v/>
      </c>
      <c r="Y570" s="41"/>
      <c r="Z570" s="41"/>
      <c r="AA570" s="41"/>
      <c r="AB570" s="68"/>
      <c r="AC570" s="69"/>
      <c r="AD570" s="66"/>
      <c r="AE570" s="66"/>
      <c r="AF570" s="66"/>
      <c r="AG570" s="60"/>
      <c r="AH570" s="61"/>
      <c r="AI570" s="62"/>
      <c r="AJ570" s="61"/>
      <c r="AK570" s="60"/>
      <c r="AL570" s="65"/>
    </row>
    <row r="571" spans="2:38" s="42" customFormat="1" x14ac:dyDescent="0.35">
      <c r="B571" s="55" t="str">
        <f t="shared" si="40"/>
        <v/>
      </c>
      <c r="C571" s="40"/>
      <c r="D571" s="40"/>
      <c r="E571" s="41"/>
      <c r="F571" s="41"/>
      <c r="G571" s="41"/>
      <c r="H571" s="68"/>
      <c r="I571" s="71"/>
      <c r="J571" s="41"/>
      <c r="K571" s="41"/>
      <c r="L571" s="71"/>
      <c r="M571" s="71"/>
      <c r="N571" s="71"/>
      <c r="O571" s="71"/>
      <c r="P571" s="41"/>
      <c r="Q571" s="41"/>
      <c r="R571" s="71"/>
      <c r="S571" s="71"/>
      <c r="T571" s="75"/>
      <c r="U571" s="75"/>
      <c r="V571" s="75"/>
      <c r="W571" s="58" t="str">
        <f t="shared" si="41"/>
        <v/>
      </c>
      <c r="X571" s="59" t="str">
        <f t="shared" si="42"/>
        <v/>
      </c>
      <c r="Y571" s="41"/>
      <c r="Z571" s="41"/>
      <c r="AA571" s="41"/>
      <c r="AB571" s="68"/>
      <c r="AC571" s="69"/>
      <c r="AD571" s="66"/>
      <c r="AE571" s="66"/>
      <c r="AF571" s="66"/>
      <c r="AG571" s="60"/>
      <c r="AH571" s="61"/>
      <c r="AI571" s="62"/>
      <c r="AJ571" s="61"/>
      <c r="AK571" s="60"/>
      <c r="AL571" s="65"/>
    </row>
    <row r="572" spans="2:38" s="42" customFormat="1" x14ac:dyDescent="0.35">
      <c r="B572" s="55" t="str">
        <f t="shared" si="40"/>
        <v/>
      </c>
      <c r="C572" s="40"/>
      <c r="D572" s="40"/>
      <c r="E572" s="41"/>
      <c r="F572" s="41"/>
      <c r="G572" s="41"/>
      <c r="H572" s="68"/>
      <c r="I572" s="71"/>
      <c r="J572" s="41"/>
      <c r="K572" s="41"/>
      <c r="L572" s="71"/>
      <c r="M572" s="71"/>
      <c r="N572" s="71"/>
      <c r="O572" s="71"/>
      <c r="P572" s="41"/>
      <c r="Q572" s="41"/>
      <c r="R572" s="71"/>
      <c r="S572" s="71"/>
      <c r="T572" s="75"/>
      <c r="U572" s="75"/>
      <c r="V572" s="75"/>
      <c r="W572" s="58" t="str">
        <f t="shared" si="41"/>
        <v/>
      </c>
      <c r="X572" s="59" t="str">
        <f t="shared" si="42"/>
        <v/>
      </c>
      <c r="Y572" s="41"/>
      <c r="Z572" s="41"/>
      <c r="AA572" s="41"/>
      <c r="AB572" s="68"/>
      <c r="AC572" s="69"/>
      <c r="AD572" s="66"/>
      <c r="AE572" s="66"/>
      <c r="AF572" s="66"/>
      <c r="AG572" s="60"/>
      <c r="AH572" s="61"/>
      <c r="AI572" s="62"/>
      <c r="AJ572" s="61"/>
      <c r="AK572" s="60"/>
      <c r="AL572" s="65"/>
    </row>
    <row r="573" spans="2:38" s="42" customFormat="1" x14ac:dyDescent="0.35">
      <c r="B573" s="55" t="str">
        <f t="shared" si="40"/>
        <v/>
      </c>
      <c r="C573" s="40"/>
      <c r="D573" s="40"/>
      <c r="E573" s="41"/>
      <c r="F573" s="41"/>
      <c r="G573" s="41"/>
      <c r="H573" s="68"/>
      <c r="I573" s="71"/>
      <c r="J573" s="41"/>
      <c r="K573" s="41"/>
      <c r="L573" s="71"/>
      <c r="M573" s="71"/>
      <c r="N573" s="71"/>
      <c r="O573" s="71"/>
      <c r="P573" s="41"/>
      <c r="Q573" s="41"/>
      <c r="R573" s="71"/>
      <c r="S573" s="71"/>
      <c r="T573" s="75"/>
      <c r="U573" s="75"/>
      <c r="V573" s="75"/>
      <c r="W573" s="58" t="str">
        <f t="shared" si="41"/>
        <v/>
      </c>
      <c r="X573" s="59" t="str">
        <f t="shared" si="42"/>
        <v/>
      </c>
      <c r="Y573" s="41"/>
      <c r="Z573" s="41"/>
      <c r="AA573" s="41"/>
      <c r="AB573" s="68"/>
      <c r="AC573" s="69"/>
      <c r="AD573" s="66"/>
      <c r="AE573" s="66"/>
      <c r="AF573" s="66"/>
      <c r="AG573" s="60"/>
      <c r="AH573" s="61"/>
      <c r="AI573" s="62"/>
      <c r="AJ573" s="61"/>
      <c r="AK573" s="60"/>
      <c r="AL573" s="65"/>
    </row>
    <row r="574" spans="2:38" s="42" customFormat="1" x14ac:dyDescent="0.35">
      <c r="B574" s="55" t="str">
        <f t="shared" si="40"/>
        <v/>
      </c>
      <c r="C574" s="40"/>
      <c r="D574" s="40"/>
      <c r="E574" s="41"/>
      <c r="F574" s="41"/>
      <c r="G574" s="41"/>
      <c r="H574" s="68"/>
      <c r="I574" s="71"/>
      <c r="J574" s="41"/>
      <c r="K574" s="41"/>
      <c r="L574" s="71"/>
      <c r="M574" s="71"/>
      <c r="N574" s="71"/>
      <c r="O574" s="71"/>
      <c r="P574" s="41"/>
      <c r="Q574" s="41"/>
      <c r="R574" s="71"/>
      <c r="S574" s="71"/>
      <c r="T574" s="75"/>
      <c r="U574" s="75"/>
      <c r="V574" s="75"/>
      <c r="W574" s="58" t="str">
        <f t="shared" si="41"/>
        <v/>
      </c>
      <c r="X574" s="59" t="str">
        <f t="shared" si="42"/>
        <v/>
      </c>
      <c r="Y574" s="41"/>
      <c r="Z574" s="41"/>
      <c r="AA574" s="41"/>
      <c r="AB574" s="68"/>
      <c r="AC574" s="69"/>
      <c r="AD574" s="66"/>
      <c r="AE574" s="66"/>
      <c r="AF574" s="66"/>
      <c r="AG574" s="60"/>
      <c r="AH574" s="61"/>
      <c r="AI574" s="62"/>
      <c r="AJ574" s="61"/>
      <c r="AK574" s="60"/>
      <c r="AL574" s="65"/>
    </row>
    <row r="575" spans="2:38" s="42" customFormat="1" x14ac:dyDescent="0.35">
      <c r="B575" s="55" t="str">
        <f t="shared" si="40"/>
        <v/>
      </c>
      <c r="C575" s="40"/>
      <c r="D575" s="40"/>
      <c r="E575" s="41"/>
      <c r="F575" s="41"/>
      <c r="G575" s="41"/>
      <c r="H575" s="68"/>
      <c r="I575" s="71"/>
      <c r="J575" s="41"/>
      <c r="K575" s="41"/>
      <c r="L575" s="71"/>
      <c r="M575" s="71"/>
      <c r="N575" s="71"/>
      <c r="O575" s="71"/>
      <c r="P575" s="41"/>
      <c r="Q575" s="41"/>
      <c r="R575" s="71"/>
      <c r="S575" s="71"/>
      <c r="T575" s="75"/>
      <c r="U575" s="75"/>
      <c r="V575" s="75"/>
      <c r="W575" s="58" t="str">
        <f t="shared" si="41"/>
        <v/>
      </c>
      <c r="X575" s="59" t="str">
        <f t="shared" si="42"/>
        <v/>
      </c>
      <c r="Y575" s="41"/>
      <c r="Z575" s="41"/>
      <c r="AA575" s="41"/>
      <c r="AB575" s="68"/>
      <c r="AC575" s="69"/>
      <c r="AD575" s="66"/>
      <c r="AE575" s="66"/>
      <c r="AF575" s="66"/>
      <c r="AG575" s="60"/>
      <c r="AH575" s="61"/>
      <c r="AI575" s="62"/>
      <c r="AJ575" s="61"/>
      <c r="AK575" s="60"/>
      <c r="AL575" s="65"/>
    </row>
    <row r="576" spans="2:38" s="42" customFormat="1" x14ac:dyDescent="0.35">
      <c r="B576" s="55" t="str">
        <f t="shared" si="40"/>
        <v/>
      </c>
      <c r="C576" s="40"/>
      <c r="D576" s="40"/>
      <c r="E576" s="41"/>
      <c r="F576" s="41"/>
      <c r="G576" s="41"/>
      <c r="H576" s="68"/>
      <c r="I576" s="71"/>
      <c r="J576" s="41"/>
      <c r="K576" s="41"/>
      <c r="L576" s="71"/>
      <c r="M576" s="71"/>
      <c r="N576" s="71"/>
      <c r="O576" s="71"/>
      <c r="P576" s="41"/>
      <c r="Q576" s="41"/>
      <c r="R576" s="71"/>
      <c r="S576" s="71"/>
      <c r="T576" s="75"/>
      <c r="U576" s="75"/>
      <c r="V576" s="75"/>
      <c r="W576" s="58" t="str">
        <f t="shared" si="41"/>
        <v/>
      </c>
      <c r="X576" s="59" t="str">
        <f t="shared" si="42"/>
        <v/>
      </c>
      <c r="Y576" s="41"/>
      <c r="Z576" s="41"/>
      <c r="AA576" s="41"/>
      <c r="AB576" s="68"/>
      <c r="AC576" s="69"/>
      <c r="AD576" s="66"/>
      <c r="AE576" s="66"/>
      <c r="AF576" s="66"/>
      <c r="AG576" s="60"/>
      <c r="AH576" s="61"/>
      <c r="AI576" s="62"/>
      <c r="AJ576" s="61"/>
      <c r="AK576" s="60"/>
      <c r="AL576" s="65"/>
    </row>
    <row r="577" spans="2:38" s="42" customFormat="1" x14ac:dyDescent="0.35">
      <c r="B577" s="55" t="str">
        <f t="shared" si="40"/>
        <v/>
      </c>
      <c r="C577" s="40"/>
      <c r="D577" s="40"/>
      <c r="E577" s="41"/>
      <c r="F577" s="41"/>
      <c r="G577" s="41"/>
      <c r="H577" s="68"/>
      <c r="I577" s="71"/>
      <c r="J577" s="41"/>
      <c r="K577" s="41"/>
      <c r="L577" s="71"/>
      <c r="M577" s="71"/>
      <c r="N577" s="71"/>
      <c r="O577" s="71"/>
      <c r="P577" s="41"/>
      <c r="Q577" s="41"/>
      <c r="R577" s="71"/>
      <c r="S577" s="71"/>
      <c r="T577" s="75"/>
      <c r="U577" s="75"/>
      <c r="V577" s="75"/>
      <c r="W577" s="58" t="str">
        <f t="shared" si="41"/>
        <v/>
      </c>
      <c r="X577" s="59" t="str">
        <f t="shared" si="42"/>
        <v/>
      </c>
      <c r="Y577" s="41"/>
      <c r="Z577" s="41"/>
      <c r="AA577" s="41"/>
      <c r="AB577" s="68"/>
      <c r="AC577" s="69"/>
      <c r="AD577" s="66"/>
      <c r="AE577" s="66"/>
      <c r="AF577" s="66"/>
      <c r="AG577" s="60"/>
      <c r="AH577" s="61"/>
      <c r="AI577" s="62"/>
      <c r="AJ577" s="61"/>
      <c r="AK577" s="60"/>
      <c r="AL577" s="65"/>
    </row>
    <row r="578" spans="2:38" s="42" customFormat="1" x14ac:dyDescent="0.35">
      <c r="B578" s="55" t="str">
        <f t="shared" si="40"/>
        <v/>
      </c>
      <c r="C578" s="40"/>
      <c r="D578" s="40"/>
      <c r="E578" s="41"/>
      <c r="F578" s="41"/>
      <c r="G578" s="41"/>
      <c r="H578" s="68"/>
      <c r="I578" s="71"/>
      <c r="J578" s="41"/>
      <c r="K578" s="41"/>
      <c r="L578" s="71"/>
      <c r="M578" s="71"/>
      <c r="N578" s="71"/>
      <c r="O578" s="71"/>
      <c r="P578" s="41"/>
      <c r="Q578" s="41"/>
      <c r="R578" s="71"/>
      <c r="S578" s="71"/>
      <c r="T578" s="75"/>
      <c r="U578" s="75"/>
      <c r="V578" s="75"/>
      <c r="W578" s="58" t="str">
        <f t="shared" si="41"/>
        <v/>
      </c>
      <c r="X578" s="59" t="str">
        <f t="shared" si="42"/>
        <v/>
      </c>
      <c r="Y578" s="41"/>
      <c r="Z578" s="41"/>
      <c r="AA578" s="41"/>
      <c r="AB578" s="68"/>
      <c r="AC578" s="69"/>
      <c r="AD578" s="66"/>
      <c r="AE578" s="66"/>
      <c r="AF578" s="66"/>
      <c r="AG578" s="60"/>
      <c r="AH578" s="61"/>
      <c r="AI578" s="62"/>
      <c r="AJ578" s="61"/>
      <c r="AK578" s="60"/>
      <c r="AL578" s="65"/>
    </row>
    <row r="579" spans="2:38" s="42" customFormat="1" x14ac:dyDescent="0.35">
      <c r="B579" s="55" t="str">
        <f t="shared" ref="B579:B642" si="43">IF($C579="","",Prefixo&amp;"-"&amp;TEXT(ROW()-2,"0000"))</f>
        <v/>
      </c>
      <c r="C579" s="40"/>
      <c r="D579" s="40"/>
      <c r="E579" s="41"/>
      <c r="F579" s="41"/>
      <c r="G579" s="41"/>
      <c r="H579" s="68"/>
      <c r="I579" s="71"/>
      <c r="J579" s="41"/>
      <c r="K579" s="41"/>
      <c r="L579" s="71"/>
      <c r="M579" s="71"/>
      <c r="N579" s="71"/>
      <c r="O579" s="71"/>
      <c r="P579" s="41"/>
      <c r="Q579" s="41"/>
      <c r="R579" s="71"/>
      <c r="S579" s="71"/>
      <c r="T579" s="75"/>
      <c r="U579" s="75"/>
      <c r="V579" s="75"/>
      <c r="W579" s="58" t="str">
        <f t="shared" si="41"/>
        <v/>
      </c>
      <c r="X579" s="59" t="str">
        <f t="shared" si="42"/>
        <v/>
      </c>
      <c r="Y579" s="41"/>
      <c r="Z579" s="41"/>
      <c r="AA579" s="41"/>
      <c r="AB579" s="68"/>
      <c r="AC579" s="69"/>
      <c r="AD579" s="66"/>
      <c r="AE579" s="66"/>
      <c r="AF579" s="66"/>
      <c r="AG579" s="60"/>
      <c r="AH579" s="61"/>
      <c r="AI579" s="62"/>
      <c r="AJ579" s="61"/>
      <c r="AK579" s="60"/>
      <c r="AL579" s="65"/>
    </row>
    <row r="580" spans="2:38" s="42" customFormat="1" x14ac:dyDescent="0.35">
      <c r="B580" s="55" t="str">
        <f t="shared" si="43"/>
        <v/>
      </c>
      <c r="C580" s="40"/>
      <c r="D580" s="40"/>
      <c r="E580" s="41"/>
      <c r="F580" s="41"/>
      <c r="G580" s="41"/>
      <c r="H580" s="68"/>
      <c r="I580" s="71"/>
      <c r="J580" s="41"/>
      <c r="K580" s="41"/>
      <c r="L580" s="71"/>
      <c r="M580" s="71"/>
      <c r="N580" s="71"/>
      <c r="O580" s="71"/>
      <c r="P580" s="41"/>
      <c r="Q580" s="41"/>
      <c r="R580" s="71"/>
      <c r="S580" s="71"/>
      <c r="T580" s="75"/>
      <c r="U580" s="75"/>
      <c r="V580" s="75"/>
      <c r="W580" s="58" t="str">
        <f t="shared" ref="W580:W643" si="44">IF(OR($U580="",$V580="",$U580&lt;=0),"",$U580-$V580)</f>
        <v/>
      </c>
      <c r="X580" s="59" t="str">
        <f t="shared" ref="X580:X643" si="45">IF(OR($U580="",$V580="",$U580&lt;=0),"",($U580-$V580)/$U580)</f>
        <v/>
      </c>
      <c r="Y580" s="41"/>
      <c r="Z580" s="41"/>
      <c r="AA580" s="41"/>
      <c r="AB580" s="68"/>
      <c r="AC580" s="69"/>
      <c r="AD580" s="66"/>
      <c r="AE580" s="66"/>
      <c r="AF580" s="66"/>
      <c r="AG580" s="60"/>
      <c r="AH580" s="61"/>
      <c r="AI580" s="62"/>
      <c r="AJ580" s="61"/>
      <c r="AK580" s="60"/>
      <c r="AL580" s="65"/>
    </row>
    <row r="581" spans="2:38" s="42" customFormat="1" x14ac:dyDescent="0.35">
      <c r="B581" s="55" t="str">
        <f t="shared" si="43"/>
        <v/>
      </c>
      <c r="C581" s="40"/>
      <c r="D581" s="40"/>
      <c r="E581" s="41"/>
      <c r="F581" s="41"/>
      <c r="G581" s="41"/>
      <c r="H581" s="68"/>
      <c r="I581" s="71"/>
      <c r="J581" s="41"/>
      <c r="K581" s="41"/>
      <c r="L581" s="71"/>
      <c r="M581" s="71"/>
      <c r="N581" s="71"/>
      <c r="O581" s="71"/>
      <c r="P581" s="41"/>
      <c r="Q581" s="41"/>
      <c r="R581" s="71"/>
      <c r="S581" s="71"/>
      <c r="T581" s="75"/>
      <c r="U581" s="75"/>
      <c r="V581" s="75"/>
      <c r="W581" s="58" t="str">
        <f t="shared" si="44"/>
        <v/>
      </c>
      <c r="X581" s="59" t="str">
        <f t="shared" si="45"/>
        <v/>
      </c>
      <c r="Y581" s="41"/>
      <c r="Z581" s="41"/>
      <c r="AA581" s="41"/>
      <c r="AB581" s="68"/>
      <c r="AC581" s="69"/>
      <c r="AD581" s="66"/>
      <c r="AE581" s="66"/>
      <c r="AF581" s="66"/>
      <c r="AG581" s="60"/>
      <c r="AH581" s="61"/>
      <c r="AI581" s="62"/>
      <c r="AJ581" s="61"/>
      <c r="AK581" s="60"/>
      <c r="AL581" s="65"/>
    </row>
    <row r="582" spans="2:38" s="42" customFormat="1" x14ac:dyDescent="0.35">
      <c r="B582" s="55" t="str">
        <f t="shared" si="43"/>
        <v/>
      </c>
      <c r="C582" s="40"/>
      <c r="D582" s="40"/>
      <c r="E582" s="41"/>
      <c r="F582" s="41"/>
      <c r="G582" s="41"/>
      <c r="H582" s="68"/>
      <c r="I582" s="71"/>
      <c r="J582" s="41"/>
      <c r="K582" s="41"/>
      <c r="L582" s="71"/>
      <c r="M582" s="71"/>
      <c r="N582" s="71"/>
      <c r="O582" s="71"/>
      <c r="P582" s="41"/>
      <c r="Q582" s="41"/>
      <c r="R582" s="71"/>
      <c r="S582" s="71"/>
      <c r="T582" s="75"/>
      <c r="U582" s="75"/>
      <c r="V582" s="75"/>
      <c r="W582" s="58" t="str">
        <f t="shared" si="44"/>
        <v/>
      </c>
      <c r="X582" s="59" t="str">
        <f t="shared" si="45"/>
        <v/>
      </c>
      <c r="Y582" s="41"/>
      <c r="Z582" s="41"/>
      <c r="AA582" s="41"/>
      <c r="AB582" s="68"/>
      <c r="AC582" s="69"/>
      <c r="AD582" s="66"/>
      <c r="AE582" s="66"/>
      <c r="AF582" s="66"/>
      <c r="AG582" s="60"/>
      <c r="AH582" s="61"/>
      <c r="AI582" s="62"/>
      <c r="AJ582" s="61"/>
      <c r="AK582" s="60"/>
      <c r="AL582" s="65"/>
    </row>
    <row r="583" spans="2:38" s="42" customFormat="1" x14ac:dyDescent="0.35">
      <c r="B583" s="55" t="str">
        <f t="shared" si="43"/>
        <v/>
      </c>
      <c r="C583" s="40"/>
      <c r="D583" s="40"/>
      <c r="E583" s="41"/>
      <c r="F583" s="41"/>
      <c r="G583" s="41"/>
      <c r="H583" s="68"/>
      <c r="I583" s="71"/>
      <c r="J583" s="41"/>
      <c r="K583" s="41"/>
      <c r="L583" s="71"/>
      <c r="M583" s="71"/>
      <c r="N583" s="71"/>
      <c r="O583" s="71"/>
      <c r="P583" s="41"/>
      <c r="Q583" s="41"/>
      <c r="R583" s="71"/>
      <c r="S583" s="71"/>
      <c r="T583" s="75"/>
      <c r="U583" s="75"/>
      <c r="V583" s="75"/>
      <c r="W583" s="58" t="str">
        <f t="shared" si="44"/>
        <v/>
      </c>
      <c r="X583" s="59" t="str">
        <f t="shared" si="45"/>
        <v/>
      </c>
      <c r="Y583" s="41"/>
      <c r="Z583" s="41"/>
      <c r="AA583" s="41"/>
      <c r="AB583" s="68"/>
      <c r="AC583" s="69"/>
      <c r="AD583" s="66"/>
      <c r="AE583" s="66"/>
      <c r="AF583" s="66"/>
      <c r="AG583" s="60"/>
      <c r="AH583" s="61"/>
      <c r="AI583" s="62"/>
      <c r="AJ583" s="61"/>
      <c r="AK583" s="60"/>
      <c r="AL583" s="65"/>
    </row>
    <row r="584" spans="2:38" s="42" customFormat="1" x14ac:dyDescent="0.35">
      <c r="B584" s="55" t="str">
        <f t="shared" si="43"/>
        <v/>
      </c>
      <c r="C584" s="40"/>
      <c r="D584" s="40"/>
      <c r="E584" s="41"/>
      <c r="F584" s="41"/>
      <c r="G584" s="41"/>
      <c r="H584" s="68"/>
      <c r="I584" s="71"/>
      <c r="J584" s="41"/>
      <c r="K584" s="41"/>
      <c r="L584" s="71"/>
      <c r="M584" s="71"/>
      <c r="N584" s="71"/>
      <c r="O584" s="71"/>
      <c r="P584" s="41"/>
      <c r="Q584" s="41"/>
      <c r="R584" s="71"/>
      <c r="S584" s="71"/>
      <c r="T584" s="75"/>
      <c r="U584" s="75"/>
      <c r="V584" s="75"/>
      <c r="W584" s="58" t="str">
        <f t="shared" si="44"/>
        <v/>
      </c>
      <c r="X584" s="59" t="str">
        <f t="shared" si="45"/>
        <v/>
      </c>
      <c r="Y584" s="41"/>
      <c r="Z584" s="41"/>
      <c r="AA584" s="41"/>
      <c r="AB584" s="68"/>
      <c r="AC584" s="69"/>
      <c r="AD584" s="66"/>
      <c r="AE584" s="66"/>
      <c r="AF584" s="66"/>
      <c r="AG584" s="60"/>
      <c r="AH584" s="61"/>
      <c r="AI584" s="62"/>
      <c r="AJ584" s="61"/>
      <c r="AK584" s="60"/>
      <c r="AL584" s="65"/>
    </row>
    <row r="585" spans="2:38" s="42" customFormat="1" x14ac:dyDescent="0.35">
      <c r="B585" s="55" t="str">
        <f t="shared" si="43"/>
        <v/>
      </c>
      <c r="C585" s="40"/>
      <c r="D585" s="40"/>
      <c r="E585" s="41"/>
      <c r="F585" s="41"/>
      <c r="G585" s="41"/>
      <c r="H585" s="68"/>
      <c r="I585" s="71"/>
      <c r="J585" s="41"/>
      <c r="K585" s="41"/>
      <c r="L585" s="71"/>
      <c r="M585" s="71"/>
      <c r="N585" s="71"/>
      <c r="O585" s="71"/>
      <c r="P585" s="41"/>
      <c r="Q585" s="41"/>
      <c r="R585" s="71"/>
      <c r="S585" s="71"/>
      <c r="T585" s="75"/>
      <c r="U585" s="75"/>
      <c r="V585" s="75"/>
      <c r="W585" s="58" t="str">
        <f t="shared" si="44"/>
        <v/>
      </c>
      <c r="X585" s="59" t="str">
        <f t="shared" si="45"/>
        <v/>
      </c>
      <c r="Y585" s="41"/>
      <c r="Z585" s="41"/>
      <c r="AA585" s="41"/>
      <c r="AB585" s="68"/>
      <c r="AC585" s="69"/>
      <c r="AD585" s="66"/>
      <c r="AE585" s="66"/>
      <c r="AF585" s="66"/>
      <c r="AG585" s="60"/>
      <c r="AH585" s="61"/>
      <c r="AI585" s="62"/>
      <c r="AJ585" s="61"/>
      <c r="AK585" s="60"/>
      <c r="AL585" s="65"/>
    </row>
    <row r="586" spans="2:38" s="42" customFormat="1" x14ac:dyDescent="0.35">
      <c r="B586" s="55" t="str">
        <f t="shared" si="43"/>
        <v/>
      </c>
      <c r="C586" s="40"/>
      <c r="D586" s="40"/>
      <c r="E586" s="41"/>
      <c r="F586" s="41"/>
      <c r="G586" s="41"/>
      <c r="H586" s="68"/>
      <c r="I586" s="71"/>
      <c r="J586" s="41"/>
      <c r="K586" s="41"/>
      <c r="L586" s="71"/>
      <c r="M586" s="71"/>
      <c r="N586" s="71"/>
      <c r="O586" s="71"/>
      <c r="P586" s="41"/>
      <c r="Q586" s="41"/>
      <c r="R586" s="71"/>
      <c r="S586" s="71"/>
      <c r="T586" s="75"/>
      <c r="U586" s="75"/>
      <c r="V586" s="75"/>
      <c r="W586" s="58" t="str">
        <f t="shared" si="44"/>
        <v/>
      </c>
      <c r="X586" s="59" t="str">
        <f t="shared" si="45"/>
        <v/>
      </c>
      <c r="Y586" s="41"/>
      <c r="Z586" s="41"/>
      <c r="AA586" s="41"/>
      <c r="AB586" s="68"/>
      <c r="AC586" s="69"/>
      <c r="AD586" s="66"/>
      <c r="AE586" s="66"/>
      <c r="AF586" s="66"/>
      <c r="AG586" s="60"/>
      <c r="AH586" s="61"/>
      <c r="AI586" s="62"/>
      <c r="AJ586" s="61"/>
      <c r="AK586" s="60"/>
      <c r="AL586" s="65"/>
    </row>
    <row r="587" spans="2:38" s="42" customFormat="1" x14ac:dyDescent="0.35">
      <c r="B587" s="55" t="str">
        <f t="shared" si="43"/>
        <v/>
      </c>
      <c r="C587" s="40"/>
      <c r="D587" s="40"/>
      <c r="E587" s="41"/>
      <c r="F587" s="41"/>
      <c r="G587" s="41"/>
      <c r="H587" s="68"/>
      <c r="I587" s="71"/>
      <c r="J587" s="41"/>
      <c r="K587" s="41"/>
      <c r="L587" s="71"/>
      <c r="M587" s="71"/>
      <c r="N587" s="71"/>
      <c r="O587" s="71"/>
      <c r="P587" s="41"/>
      <c r="Q587" s="41"/>
      <c r="R587" s="71"/>
      <c r="S587" s="71"/>
      <c r="T587" s="75"/>
      <c r="U587" s="75"/>
      <c r="V587" s="75"/>
      <c r="W587" s="58" t="str">
        <f t="shared" si="44"/>
        <v/>
      </c>
      <c r="X587" s="59" t="str">
        <f t="shared" si="45"/>
        <v/>
      </c>
      <c r="Y587" s="41"/>
      <c r="Z587" s="41"/>
      <c r="AA587" s="41"/>
      <c r="AB587" s="68"/>
      <c r="AC587" s="69"/>
      <c r="AD587" s="66"/>
      <c r="AE587" s="66"/>
      <c r="AF587" s="66"/>
      <c r="AG587" s="60"/>
      <c r="AH587" s="61"/>
      <c r="AI587" s="62"/>
      <c r="AJ587" s="61"/>
      <c r="AK587" s="60"/>
      <c r="AL587" s="65"/>
    </row>
    <row r="588" spans="2:38" s="42" customFormat="1" x14ac:dyDescent="0.35">
      <c r="B588" s="55" t="str">
        <f t="shared" si="43"/>
        <v/>
      </c>
      <c r="C588" s="40"/>
      <c r="D588" s="40"/>
      <c r="E588" s="41"/>
      <c r="F588" s="41"/>
      <c r="G588" s="41"/>
      <c r="H588" s="68"/>
      <c r="I588" s="71"/>
      <c r="J588" s="41"/>
      <c r="K588" s="41"/>
      <c r="L588" s="71"/>
      <c r="M588" s="71"/>
      <c r="N588" s="71"/>
      <c r="O588" s="71"/>
      <c r="P588" s="41"/>
      <c r="Q588" s="41"/>
      <c r="R588" s="71"/>
      <c r="S588" s="71"/>
      <c r="T588" s="75"/>
      <c r="U588" s="75"/>
      <c r="V588" s="75"/>
      <c r="W588" s="58" t="str">
        <f t="shared" si="44"/>
        <v/>
      </c>
      <c r="X588" s="59" t="str">
        <f t="shared" si="45"/>
        <v/>
      </c>
      <c r="Y588" s="41"/>
      <c r="Z588" s="41"/>
      <c r="AA588" s="41"/>
      <c r="AB588" s="68"/>
      <c r="AC588" s="69"/>
      <c r="AD588" s="66"/>
      <c r="AE588" s="66"/>
      <c r="AF588" s="66"/>
      <c r="AG588" s="60"/>
      <c r="AH588" s="61"/>
      <c r="AI588" s="62"/>
      <c r="AJ588" s="61"/>
      <c r="AK588" s="60"/>
      <c r="AL588" s="65"/>
    </row>
    <row r="589" spans="2:38" s="42" customFormat="1" x14ac:dyDescent="0.35">
      <c r="B589" s="55" t="str">
        <f t="shared" si="43"/>
        <v/>
      </c>
      <c r="C589" s="40"/>
      <c r="D589" s="40"/>
      <c r="E589" s="41"/>
      <c r="F589" s="41"/>
      <c r="G589" s="41"/>
      <c r="H589" s="68"/>
      <c r="I589" s="71"/>
      <c r="J589" s="41"/>
      <c r="K589" s="41"/>
      <c r="L589" s="71"/>
      <c r="M589" s="71"/>
      <c r="N589" s="71"/>
      <c r="O589" s="71"/>
      <c r="P589" s="41"/>
      <c r="Q589" s="41"/>
      <c r="R589" s="71"/>
      <c r="S589" s="71"/>
      <c r="T589" s="75"/>
      <c r="U589" s="75"/>
      <c r="V589" s="75"/>
      <c r="W589" s="58" t="str">
        <f t="shared" si="44"/>
        <v/>
      </c>
      <c r="X589" s="59" t="str">
        <f t="shared" si="45"/>
        <v/>
      </c>
      <c r="Y589" s="41"/>
      <c r="Z589" s="41"/>
      <c r="AA589" s="41"/>
      <c r="AB589" s="68"/>
      <c r="AC589" s="69"/>
      <c r="AD589" s="66"/>
      <c r="AE589" s="66"/>
      <c r="AF589" s="66"/>
      <c r="AG589" s="60"/>
      <c r="AH589" s="61"/>
      <c r="AI589" s="62"/>
      <c r="AJ589" s="61"/>
      <c r="AK589" s="60"/>
      <c r="AL589" s="65"/>
    </row>
    <row r="590" spans="2:38" s="42" customFormat="1" x14ac:dyDescent="0.35">
      <c r="B590" s="55" t="str">
        <f t="shared" si="43"/>
        <v/>
      </c>
      <c r="C590" s="40"/>
      <c r="D590" s="40"/>
      <c r="E590" s="41"/>
      <c r="F590" s="41"/>
      <c r="G590" s="41"/>
      <c r="H590" s="68"/>
      <c r="I590" s="71"/>
      <c r="J590" s="41"/>
      <c r="K590" s="41"/>
      <c r="L590" s="71"/>
      <c r="M590" s="71"/>
      <c r="N590" s="71"/>
      <c r="O590" s="71"/>
      <c r="P590" s="41"/>
      <c r="Q590" s="41"/>
      <c r="R590" s="71"/>
      <c r="S590" s="71"/>
      <c r="T590" s="75"/>
      <c r="U590" s="75"/>
      <c r="V590" s="75"/>
      <c r="W590" s="58" t="str">
        <f t="shared" si="44"/>
        <v/>
      </c>
      <c r="X590" s="59" t="str">
        <f t="shared" si="45"/>
        <v/>
      </c>
      <c r="Y590" s="41"/>
      <c r="Z590" s="41"/>
      <c r="AA590" s="41"/>
      <c r="AB590" s="68"/>
      <c r="AC590" s="69"/>
      <c r="AD590" s="66"/>
      <c r="AE590" s="66"/>
      <c r="AF590" s="66"/>
      <c r="AG590" s="60"/>
      <c r="AH590" s="61"/>
      <c r="AI590" s="62"/>
      <c r="AJ590" s="61"/>
      <c r="AK590" s="60"/>
      <c r="AL590" s="65"/>
    </row>
    <row r="591" spans="2:38" s="42" customFormat="1" x14ac:dyDescent="0.35">
      <c r="B591" s="55" t="str">
        <f t="shared" si="43"/>
        <v/>
      </c>
      <c r="C591" s="40"/>
      <c r="D591" s="40"/>
      <c r="E591" s="41"/>
      <c r="F591" s="41"/>
      <c r="G591" s="41"/>
      <c r="H591" s="68"/>
      <c r="I591" s="71"/>
      <c r="J591" s="41"/>
      <c r="K591" s="41"/>
      <c r="L591" s="71"/>
      <c r="M591" s="71"/>
      <c r="N591" s="71"/>
      <c r="O591" s="71"/>
      <c r="P591" s="41"/>
      <c r="Q591" s="41"/>
      <c r="R591" s="71"/>
      <c r="S591" s="71"/>
      <c r="T591" s="75"/>
      <c r="U591" s="75"/>
      <c r="V591" s="75"/>
      <c r="W591" s="58" t="str">
        <f t="shared" si="44"/>
        <v/>
      </c>
      <c r="X591" s="59" t="str">
        <f t="shared" si="45"/>
        <v/>
      </c>
      <c r="Y591" s="41"/>
      <c r="Z591" s="41"/>
      <c r="AA591" s="41"/>
      <c r="AB591" s="68"/>
      <c r="AC591" s="69"/>
      <c r="AD591" s="66"/>
      <c r="AE591" s="66"/>
      <c r="AF591" s="66"/>
      <c r="AG591" s="60"/>
      <c r="AH591" s="61"/>
      <c r="AI591" s="62"/>
      <c r="AJ591" s="61"/>
      <c r="AK591" s="60"/>
      <c r="AL591" s="65"/>
    </row>
    <row r="592" spans="2:38" s="42" customFormat="1" x14ac:dyDescent="0.35">
      <c r="B592" s="55" t="str">
        <f t="shared" si="43"/>
        <v/>
      </c>
      <c r="C592" s="40"/>
      <c r="D592" s="40"/>
      <c r="E592" s="41"/>
      <c r="F592" s="41"/>
      <c r="G592" s="41"/>
      <c r="H592" s="68"/>
      <c r="I592" s="71"/>
      <c r="J592" s="41"/>
      <c r="K592" s="41"/>
      <c r="L592" s="71"/>
      <c r="M592" s="71"/>
      <c r="N592" s="71"/>
      <c r="O592" s="71"/>
      <c r="P592" s="41"/>
      <c r="Q592" s="41"/>
      <c r="R592" s="71"/>
      <c r="S592" s="71"/>
      <c r="T592" s="75"/>
      <c r="U592" s="75"/>
      <c r="V592" s="75"/>
      <c r="W592" s="58" t="str">
        <f t="shared" si="44"/>
        <v/>
      </c>
      <c r="X592" s="59" t="str">
        <f t="shared" si="45"/>
        <v/>
      </c>
      <c r="Y592" s="41"/>
      <c r="Z592" s="41"/>
      <c r="AA592" s="41"/>
      <c r="AB592" s="68"/>
      <c r="AC592" s="69"/>
      <c r="AD592" s="66"/>
      <c r="AE592" s="66"/>
      <c r="AF592" s="66"/>
      <c r="AG592" s="60"/>
      <c r="AH592" s="61"/>
      <c r="AI592" s="62"/>
      <c r="AJ592" s="61"/>
      <c r="AK592" s="60"/>
      <c r="AL592" s="65"/>
    </row>
    <row r="593" spans="2:38" s="42" customFormat="1" x14ac:dyDescent="0.35">
      <c r="B593" s="55" t="str">
        <f t="shared" si="43"/>
        <v/>
      </c>
      <c r="C593" s="40"/>
      <c r="D593" s="40"/>
      <c r="E593" s="41"/>
      <c r="F593" s="41"/>
      <c r="G593" s="41"/>
      <c r="H593" s="68"/>
      <c r="I593" s="71"/>
      <c r="J593" s="41"/>
      <c r="K593" s="41"/>
      <c r="L593" s="71"/>
      <c r="M593" s="71"/>
      <c r="N593" s="71"/>
      <c r="O593" s="71"/>
      <c r="P593" s="41"/>
      <c r="Q593" s="41"/>
      <c r="R593" s="71"/>
      <c r="S593" s="71"/>
      <c r="T593" s="75"/>
      <c r="U593" s="75"/>
      <c r="V593" s="75"/>
      <c r="W593" s="58" t="str">
        <f t="shared" si="44"/>
        <v/>
      </c>
      <c r="X593" s="59" t="str">
        <f t="shared" si="45"/>
        <v/>
      </c>
      <c r="Y593" s="41"/>
      <c r="Z593" s="41"/>
      <c r="AA593" s="41"/>
      <c r="AB593" s="68"/>
      <c r="AC593" s="69"/>
      <c r="AD593" s="66"/>
      <c r="AE593" s="66"/>
      <c r="AF593" s="66"/>
      <c r="AG593" s="60"/>
      <c r="AH593" s="61"/>
      <c r="AI593" s="62"/>
      <c r="AJ593" s="61"/>
      <c r="AK593" s="60"/>
      <c r="AL593" s="65"/>
    </row>
    <row r="594" spans="2:38" s="42" customFormat="1" x14ac:dyDescent="0.35">
      <c r="B594" s="55" t="str">
        <f t="shared" si="43"/>
        <v/>
      </c>
      <c r="C594" s="40"/>
      <c r="D594" s="40"/>
      <c r="E594" s="41"/>
      <c r="F594" s="41"/>
      <c r="G594" s="41"/>
      <c r="H594" s="68"/>
      <c r="I594" s="71"/>
      <c r="J594" s="41"/>
      <c r="K594" s="41"/>
      <c r="L594" s="71"/>
      <c r="M594" s="71"/>
      <c r="N594" s="71"/>
      <c r="O594" s="71"/>
      <c r="P594" s="41"/>
      <c r="Q594" s="41"/>
      <c r="R594" s="71"/>
      <c r="S594" s="71"/>
      <c r="T594" s="75"/>
      <c r="U594" s="75"/>
      <c r="V594" s="75"/>
      <c r="W594" s="58" t="str">
        <f t="shared" si="44"/>
        <v/>
      </c>
      <c r="X594" s="59" t="str">
        <f t="shared" si="45"/>
        <v/>
      </c>
      <c r="Y594" s="41"/>
      <c r="Z594" s="41"/>
      <c r="AA594" s="41"/>
      <c r="AB594" s="68"/>
      <c r="AC594" s="69"/>
      <c r="AD594" s="66"/>
      <c r="AE594" s="66"/>
      <c r="AF594" s="66"/>
      <c r="AG594" s="60"/>
      <c r="AH594" s="61"/>
      <c r="AI594" s="62"/>
      <c r="AJ594" s="61"/>
      <c r="AK594" s="60"/>
      <c r="AL594" s="65"/>
    </row>
    <row r="595" spans="2:38" s="42" customFormat="1" x14ac:dyDescent="0.35">
      <c r="B595" s="55" t="str">
        <f t="shared" si="43"/>
        <v/>
      </c>
      <c r="C595" s="40"/>
      <c r="D595" s="40"/>
      <c r="E595" s="41"/>
      <c r="F595" s="41"/>
      <c r="G595" s="41"/>
      <c r="H595" s="68"/>
      <c r="I595" s="71"/>
      <c r="J595" s="41"/>
      <c r="K595" s="41"/>
      <c r="L595" s="71"/>
      <c r="M595" s="71"/>
      <c r="N595" s="71"/>
      <c r="O595" s="71"/>
      <c r="P595" s="41"/>
      <c r="Q595" s="41"/>
      <c r="R595" s="71"/>
      <c r="S595" s="71"/>
      <c r="T595" s="75"/>
      <c r="U595" s="75"/>
      <c r="V595" s="75"/>
      <c r="W595" s="58" t="str">
        <f t="shared" si="44"/>
        <v/>
      </c>
      <c r="X595" s="59" t="str">
        <f t="shared" si="45"/>
        <v/>
      </c>
      <c r="Y595" s="41"/>
      <c r="Z595" s="41"/>
      <c r="AA595" s="41"/>
      <c r="AB595" s="68"/>
      <c r="AC595" s="69"/>
      <c r="AD595" s="66"/>
      <c r="AE595" s="66"/>
      <c r="AF595" s="66"/>
      <c r="AG595" s="60"/>
      <c r="AH595" s="61"/>
      <c r="AI595" s="62"/>
      <c r="AJ595" s="61"/>
      <c r="AK595" s="60"/>
      <c r="AL595" s="65"/>
    </row>
    <row r="596" spans="2:38" s="42" customFormat="1" x14ac:dyDescent="0.35">
      <c r="B596" s="55" t="str">
        <f t="shared" si="43"/>
        <v/>
      </c>
      <c r="C596" s="40"/>
      <c r="D596" s="40"/>
      <c r="E596" s="41"/>
      <c r="F596" s="41"/>
      <c r="G596" s="41"/>
      <c r="H596" s="68"/>
      <c r="I596" s="71"/>
      <c r="J596" s="41"/>
      <c r="K596" s="41"/>
      <c r="L596" s="71"/>
      <c r="M596" s="71"/>
      <c r="N596" s="71"/>
      <c r="O596" s="71"/>
      <c r="P596" s="41"/>
      <c r="Q596" s="41"/>
      <c r="R596" s="71"/>
      <c r="S596" s="71"/>
      <c r="T596" s="75"/>
      <c r="U596" s="75"/>
      <c r="V596" s="75"/>
      <c r="W596" s="58" t="str">
        <f t="shared" si="44"/>
        <v/>
      </c>
      <c r="X596" s="59" t="str">
        <f t="shared" si="45"/>
        <v/>
      </c>
      <c r="Y596" s="41"/>
      <c r="Z596" s="41"/>
      <c r="AA596" s="41"/>
      <c r="AB596" s="68"/>
      <c r="AC596" s="69"/>
      <c r="AD596" s="66"/>
      <c r="AE596" s="66"/>
      <c r="AF596" s="66"/>
      <c r="AG596" s="60"/>
      <c r="AH596" s="61"/>
      <c r="AI596" s="62"/>
      <c r="AJ596" s="61"/>
      <c r="AK596" s="60"/>
      <c r="AL596" s="65"/>
    </row>
    <row r="597" spans="2:38" s="42" customFormat="1" x14ac:dyDescent="0.35">
      <c r="B597" s="55" t="str">
        <f t="shared" si="43"/>
        <v/>
      </c>
      <c r="C597" s="40"/>
      <c r="D597" s="40"/>
      <c r="E597" s="41"/>
      <c r="F597" s="41"/>
      <c r="G597" s="41"/>
      <c r="H597" s="68"/>
      <c r="I597" s="71"/>
      <c r="J597" s="41"/>
      <c r="K597" s="41"/>
      <c r="L597" s="71"/>
      <c r="M597" s="71"/>
      <c r="N597" s="71"/>
      <c r="O597" s="71"/>
      <c r="P597" s="41"/>
      <c r="Q597" s="41"/>
      <c r="R597" s="71"/>
      <c r="S597" s="71"/>
      <c r="T597" s="75"/>
      <c r="U597" s="75"/>
      <c r="V597" s="75"/>
      <c r="W597" s="58" t="str">
        <f t="shared" si="44"/>
        <v/>
      </c>
      <c r="X597" s="59" t="str">
        <f t="shared" si="45"/>
        <v/>
      </c>
      <c r="Y597" s="41"/>
      <c r="Z597" s="41"/>
      <c r="AA597" s="41"/>
      <c r="AB597" s="68"/>
      <c r="AC597" s="69"/>
      <c r="AD597" s="66"/>
      <c r="AE597" s="66"/>
      <c r="AF597" s="66"/>
      <c r="AG597" s="60"/>
      <c r="AH597" s="61"/>
      <c r="AI597" s="62"/>
      <c r="AJ597" s="61"/>
      <c r="AK597" s="60"/>
      <c r="AL597" s="65"/>
    </row>
    <row r="598" spans="2:38" s="42" customFormat="1" x14ac:dyDescent="0.35">
      <c r="B598" s="55" t="str">
        <f t="shared" si="43"/>
        <v/>
      </c>
      <c r="C598" s="40"/>
      <c r="D598" s="40"/>
      <c r="E598" s="41"/>
      <c r="F598" s="41"/>
      <c r="G598" s="41"/>
      <c r="H598" s="68"/>
      <c r="I598" s="71"/>
      <c r="J598" s="41"/>
      <c r="K598" s="41"/>
      <c r="L598" s="71"/>
      <c r="M598" s="71"/>
      <c r="N598" s="71"/>
      <c r="O598" s="71"/>
      <c r="P598" s="41"/>
      <c r="Q598" s="41"/>
      <c r="R598" s="71"/>
      <c r="S598" s="71"/>
      <c r="T598" s="75"/>
      <c r="U598" s="75"/>
      <c r="V598" s="75"/>
      <c r="W598" s="58" t="str">
        <f t="shared" si="44"/>
        <v/>
      </c>
      <c r="X598" s="59" t="str">
        <f t="shared" si="45"/>
        <v/>
      </c>
      <c r="Y598" s="41"/>
      <c r="Z598" s="41"/>
      <c r="AA598" s="41"/>
      <c r="AB598" s="68"/>
      <c r="AC598" s="69"/>
      <c r="AD598" s="66"/>
      <c r="AE598" s="66"/>
      <c r="AF598" s="66"/>
      <c r="AG598" s="60"/>
      <c r="AH598" s="61"/>
      <c r="AI598" s="62"/>
      <c r="AJ598" s="61"/>
      <c r="AK598" s="60"/>
      <c r="AL598" s="65"/>
    </row>
    <row r="599" spans="2:38" s="42" customFormat="1" x14ac:dyDescent="0.35">
      <c r="B599" s="55" t="str">
        <f t="shared" si="43"/>
        <v/>
      </c>
      <c r="C599" s="40"/>
      <c r="D599" s="40"/>
      <c r="E599" s="41"/>
      <c r="F599" s="41"/>
      <c r="G599" s="41"/>
      <c r="H599" s="68"/>
      <c r="I599" s="71"/>
      <c r="J599" s="41"/>
      <c r="K599" s="41"/>
      <c r="L599" s="71"/>
      <c r="M599" s="71"/>
      <c r="N599" s="71"/>
      <c r="O599" s="71"/>
      <c r="P599" s="41"/>
      <c r="Q599" s="41"/>
      <c r="R599" s="71"/>
      <c r="S599" s="71"/>
      <c r="T599" s="75"/>
      <c r="U599" s="75"/>
      <c r="V599" s="75"/>
      <c r="W599" s="58" t="str">
        <f t="shared" si="44"/>
        <v/>
      </c>
      <c r="X599" s="59" t="str">
        <f t="shared" si="45"/>
        <v/>
      </c>
      <c r="Y599" s="41"/>
      <c r="Z599" s="41"/>
      <c r="AA599" s="41"/>
      <c r="AB599" s="68"/>
      <c r="AC599" s="69"/>
      <c r="AD599" s="66"/>
      <c r="AE599" s="66"/>
      <c r="AF599" s="66"/>
      <c r="AG599" s="60"/>
      <c r="AH599" s="61"/>
      <c r="AI599" s="62"/>
      <c r="AJ599" s="61"/>
      <c r="AK599" s="60"/>
      <c r="AL599" s="65"/>
    </row>
    <row r="600" spans="2:38" s="42" customFormat="1" x14ac:dyDescent="0.35">
      <c r="B600" s="55" t="str">
        <f t="shared" si="43"/>
        <v/>
      </c>
      <c r="C600" s="40"/>
      <c r="D600" s="40"/>
      <c r="E600" s="41"/>
      <c r="F600" s="41"/>
      <c r="G600" s="41"/>
      <c r="H600" s="68"/>
      <c r="I600" s="71"/>
      <c r="J600" s="41"/>
      <c r="K600" s="41"/>
      <c r="L600" s="71"/>
      <c r="M600" s="71"/>
      <c r="N600" s="71"/>
      <c r="O600" s="71"/>
      <c r="P600" s="41"/>
      <c r="Q600" s="41"/>
      <c r="R600" s="71"/>
      <c r="S600" s="71"/>
      <c r="T600" s="75"/>
      <c r="U600" s="75"/>
      <c r="V600" s="75"/>
      <c r="W600" s="58" t="str">
        <f t="shared" si="44"/>
        <v/>
      </c>
      <c r="X600" s="59" t="str">
        <f t="shared" si="45"/>
        <v/>
      </c>
      <c r="Y600" s="41"/>
      <c r="Z600" s="41"/>
      <c r="AA600" s="41"/>
      <c r="AB600" s="68"/>
      <c r="AC600" s="69"/>
      <c r="AD600" s="66"/>
      <c r="AE600" s="66"/>
      <c r="AF600" s="66"/>
      <c r="AG600" s="60"/>
      <c r="AH600" s="61"/>
      <c r="AI600" s="62"/>
      <c r="AJ600" s="61"/>
      <c r="AK600" s="60"/>
      <c r="AL600" s="65"/>
    </row>
    <row r="601" spans="2:38" s="42" customFormat="1" x14ac:dyDescent="0.35">
      <c r="B601" s="55" t="str">
        <f t="shared" si="43"/>
        <v/>
      </c>
      <c r="C601" s="40"/>
      <c r="D601" s="40"/>
      <c r="E601" s="41"/>
      <c r="F601" s="41"/>
      <c r="G601" s="41"/>
      <c r="H601" s="68"/>
      <c r="I601" s="71"/>
      <c r="J601" s="41"/>
      <c r="K601" s="41"/>
      <c r="L601" s="71"/>
      <c r="M601" s="71"/>
      <c r="N601" s="71"/>
      <c r="O601" s="71"/>
      <c r="P601" s="41"/>
      <c r="Q601" s="41"/>
      <c r="R601" s="71"/>
      <c r="S601" s="71"/>
      <c r="T601" s="75"/>
      <c r="U601" s="75"/>
      <c r="V601" s="75"/>
      <c r="W601" s="58" t="str">
        <f t="shared" si="44"/>
        <v/>
      </c>
      <c r="X601" s="59" t="str">
        <f t="shared" si="45"/>
        <v/>
      </c>
      <c r="Y601" s="41"/>
      <c r="Z601" s="41"/>
      <c r="AA601" s="41"/>
      <c r="AB601" s="68"/>
      <c r="AC601" s="69"/>
      <c r="AD601" s="66"/>
      <c r="AE601" s="66"/>
      <c r="AF601" s="66"/>
      <c r="AG601" s="60"/>
      <c r="AH601" s="61"/>
      <c r="AI601" s="62"/>
      <c r="AJ601" s="61"/>
      <c r="AK601" s="60"/>
      <c r="AL601" s="65"/>
    </row>
    <row r="602" spans="2:38" s="42" customFormat="1" x14ac:dyDescent="0.35">
      <c r="B602" s="55" t="str">
        <f t="shared" si="43"/>
        <v/>
      </c>
      <c r="C602" s="40"/>
      <c r="D602" s="40"/>
      <c r="E602" s="41"/>
      <c r="F602" s="41"/>
      <c r="G602" s="41"/>
      <c r="H602" s="68"/>
      <c r="I602" s="71"/>
      <c r="J602" s="41"/>
      <c r="K602" s="41"/>
      <c r="L602" s="71"/>
      <c r="M602" s="71"/>
      <c r="N602" s="71"/>
      <c r="O602" s="71"/>
      <c r="P602" s="41"/>
      <c r="Q602" s="41"/>
      <c r="R602" s="71"/>
      <c r="S602" s="71"/>
      <c r="T602" s="75"/>
      <c r="U602" s="75"/>
      <c r="V602" s="75"/>
      <c r="W602" s="58" t="str">
        <f t="shared" si="44"/>
        <v/>
      </c>
      <c r="X602" s="59" t="str">
        <f t="shared" si="45"/>
        <v/>
      </c>
      <c r="Y602" s="41"/>
      <c r="Z602" s="41"/>
      <c r="AA602" s="41"/>
      <c r="AB602" s="68"/>
      <c r="AC602" s="69"/>
      <c r="AD602" s="66"/>
      <c r="AE602" s="66"/>
      <c r="AF602" s="66"/>
      <c r="AG602" s="60"/>
      <c r="AH602" s="61"/>
      <c r="AI602" s="62"/>
      <c r="AJ602" s="61"/>
      <c r="AK602" s="60"/>
      <c r="AL602" s="65"/>
    </row>
    <row r="603" spans="2:38" s="42" customFormat="1" x14ac:dyDescent="0.35">
      <c r="B603" s="55" t="str">
        <f t="shared" si="43"/>
        <v/>
      </c>
      <c r="C603" s="40"/>
      <c r="D603" s="40"/>
      <c r="E603" s="41"/>
      <c r="F603" s="41"/>
      <c r="G603" s="41"/>
      <c r="H603" s="68"/>
      <c r="I603" s="71"/>
      <c r="J603" s="41"/>
      <c r="K603" s="41"/>
      <c r="L603" s="71"/>
      <c r="M603" s="71"/>
      <c r="N603" s="71"/>
      <c r="O603" s="71"/>
      <c r="P603" s="41"/>
      <c r="Q603" s="41"/>
      <c r="R603" s="71"/>
      <c r="S603" s="71"/>
      <c r="T603" s="75"/>
      <c r="U603" s="75"/>
      <c r="V603" s="75"/>
      <c r="W603" s="58" t="str">
        <f t="shared" si="44"/>
        <v/>
      </c>
      <c r="X603" s="59" t="str">
        <f t="shared" si="45"/>
        <v/>
      </c>
      <c r="Y603" s="41"/>
      <c r="Z603" s="41"/>
      <c r="AA603" s="41"/>
      <c r="AB603" s="68"/>
      <c r="AC603" s="69"/>
      <c r="AD603" s="66"/>
      <c r="AE603" s="66"/>
      <c r="AF603" s="66"/>
      <c r="AG603" s="60"/>
      <c r="AH603" s="61"/>
      <c r="AI603" s="62"/>
      <c r="AJ603" s="61"/>
      <c r="AK603" s="60"/>
      <c r="AL603" s="65"/>
    </row>
    <row r="604" spans="2:38" s="42" customFormat="1" x14ac:dyDescent="0.35">
      <c r="B604" s="55" t="str">
        <f t="shared" si="43"/>
        <v/>
      </c>
      <c r="C604" s="40"/>
      <c r="D604" s="40"/>
      <c r="E604" s="41"/>
      <c r="F604" s="41"/>
      <c r="G604" s="41"/>
      <c r="H604" s="68"/>
      <c r="I604" s="71"/>
      <c r="J604" s="41"/>
      <c r="K604" s="41"/>
      <c r="L604" s="71"/>
      <c r="M604" s="71"/>
      <c r="N604" s="71"/>
      <c r="O604" s="71"/>
      <c r="P604" s="41"/>
      <c r="Q604" s="41"/>
      <c r="R604" s="71"/>
      <c r="S604" s="71"/>
      <c r="T604" s="75"/>
      <c r="U604" s="75"/>
      <c r="V604" s="75"/>
      <c r="W604" s="58" t="str">
        <f t="shared" si="44"/>
        <v/>
      </c>
      <c r="X604" s="59" t="str">
        <f t="shared" si="45"/>
        <v/>
      </c>
      <c r="Y604" s="41"/>
      <c r="Z604" s="41"/>
      <c r="AA604" s="41"/>
      <c r="AB604" s="68"/>
      <c r="AC604" s="69"/>
      <c r="AD604" s="66"/>
      <c r="AE604" s="66"/>
      <c r="AF604" s="66"/>
      <c r="AG604" s="60"/>
      <c r="AH604" s="61"/>
      <c r="AI604" s="62"/>
      <c r="AJ604" s="61"/>
      <c r="AK604" s="60"/>
      <c r="AL604" s="65"/>
    </row>
    <row r="605" spans="2:38" s="42" customFormat="1" x14ac:dyDescent="0.35">
      <c r="B605" s="55" t="str">
        <f t="shared" si="43"/>
        <v/>
      </c>
      <c r="C605" s="40"/>
      <c r="D605" s="40"/>
      <c r="E605" s="41"/>
      <c r="F605" s="41"/>
      <c r="G605" s="41"/>
      <c r="H605" s="68"/>
      <c r="I605" s="71"/>
      <c r="J605" s="41"/>
      <c r="K605" s="41"/>
      <c r="L605" s="71"/>
      <c r="M605" s="71"/>
      <c r="N605" s="71"/>
      <c r="O605" s="71"/>
      <c r="P605" s="41"/>
      <c r="Q605" s="41"/>
      <c r="R605" s="71"/>
      <c r="S605" s="71"/>
      <c r="T605" s="75"/>
      <c r="U605" s="75"/>
      <c r="V605" s="75"/>
      <c r="W605" s="58" t="str">
        <f t="shared" si="44"/>
        <v/>
      </c>
      <c r="X605" s="59" t="str">
        <f t="shared" si="45"/>
        <v/>
      </c>
      <c r="Y605" s="41"/>
      <c r="Z605" s="41"/>
      <c r="AA605" s="41"/>
      <c r="AB605" s="68"/>
      <c r="AC605" s="69"/>
      <c r="AD605" s="66"/>
      <c r="AE605" s="66"/>
      <c r="AF605" s="66"/>
      <c r="AG605" s="60"/>
      <c r="AH605" s="61"/>
      <c r="AI605" s="62"/>
      <c r="AJ605" s="61"/>
      <c r="AK605" s="60"/>
      <c r="AL605" s="65"/>
    </row>
    <row r="606" spans="2:38" s="42" customFormat="1" x14ac:dyDescent="0.35">
      <c r="B606" s="55" t="str">
        <f t="shared" si="43"/>
        <v/>
      </c>
      <c r="C606" s="40"/>
      <c r="D606" s="40"/>
      <c r="E606" s="41"/>
      <c r="F606" s="41"/>
      <c r="G606" s="41"/>
      <c r="H606" s="68"/>
      <c r="I606" s="71"/>
      <c r="J606" s="41"/>
      <c r="K606" s="41"/>
      <c r="L606" s="71"/>
      <c r="M606" s="71"/>
      <c r="N606" s="71"/>
      <c r="O606" s="71"/>
      <c r="P606" s="41"/>
      <c r="Q606" s="41"/>
      <c r="R606" s="71"/>
      <c r="S606" s="71"/>
      <c r="T606" s="75"/>
      <c r="U606" s="75"/>
      <c r="V606" s="75"/>
      <c r="W606" s="58" t="str">
        <f t="shared" si="44"/>
        <v/>
      </c>
      <c r="X606" s="59" t="str">
        <f t="shared" si="45"/>
        <v/>
      </c>
      <c r="Y606" s="41"/>
      <c r="Z606" s="41"/>
      <c r="AA606" s="41"/>
      <c r="AB606" s="68"/>
      <c r="AC606" s="69"/>
      <c r="AD606" s="66"/>
      <c r="AE606" s="66"/>
      <c r="AF606" s="66"/>
      <c r="AG606" s="60"/>
      <c r="AH606" s="61"/>
      <c r="AI606" s="62"/>
      <c r="AJ606" s="61"/>
      <c r="AK606" s="60"/>
      <c r="AL606" s="65"/>
    </row>
    <row r="607" spans="2:38" s="42" customFormat="1" x14ac:dyDescent="0.35">
      <c r="B607" s="55" t="str">
        <f t="shared" si="43"/>
        <v/>
      </c>
      <c r="C607" s="40"/>
      <c r="D607" s="40"/>
      <c r="E607" s="41"/>
      <c r="F607" s="41"/>
      <c r="G607" s="41"/>
      <c r="H607" s="68"/>
      <c r="I607" s="71"/>
      <c r="J607" s="41"/>
      <c r="K607" s="41"/>
      <c r="L607" s="71"/>
      <c r="M607" s="71"/>
      <c r="N607" s="71"/>
      <c r="O607" s="71"/>
      <c r="P607" s="41"/>
      <c r="Q607" s="41"/>
      <c r="R607" s="71"/>
      <c r="S607" s="71"/>
      <c r="T607" s="75"/>
      <c r="U607" s="75"/>
      <c r="V607" s="75"/>
      <c r="W607" s="58" t="str">
        <f t="shared" si="44"/>
        <v/>
      </c>
      <c r="X607" s="59" t="str">
        <f t="shared" si="45"/>
        <v/>
      </c>
      <c r="Y607" s="41"/>
      <c r="Z607" s="41"/>
      <c r="AA607" s="41"/>
      <c r="AB607" s="68"/>
      <c r="AC607" s="69"/>
      <c r="AD607" s="66"/>
      <c r="AE607" s="66"/>
      <c r="AF607" s="66"/>
      <c r="AG607" s="60"/>
      <c r="AH607" s="61"/>
      <c r="AI607" s="62"/>
      <c r="AJ607" s="61"/>
      <c r="AK607" s="60"/>
      <c r="AL607" s="65"/>
    </row>
    <row r="608" spans="2:38" s="42" customFormat="1" x14ac:dyDescent="0.35">
      <c r="B608" s="55" t="str">
        <f t="shared" si="43"/>
        <v/>
      </c>
      <c r="C608" s="40"/>
      <c r="D608" s="40"/>
      <c r="E608" s="41"/>
      <c r="F608" s="41"/>
      <c r="G608" s="41"/>
      <c r="H608" s="68"/>
      <c r="I608" s="71"/>
      <c r="J608" s="41"/>
      <c r="K608" s="41"/>
      <c r="L608" s="71"/>
      <c r="M608" s="71"/>
      <c r="N608" s="71"/>
      <c r="O608" s="71"/>
      <c r="P608" s="41"/>
      <c r="Q608" s="41"/>
      <c r="R608" s="71"/>
      <c r="S608" s="71"/>
      <c r="T608" s="75"/>
      <c r="U608" s="75"/>
      <c r="V608" s="75"/>
      <c r="W608" s="58" t="str">
        <f t="shared" si="44"/>
        <v/>
      </c>
      <c r="X608" s="59" t="str">
        <f t="shared" si="45"/>
        <v/>
      </c>
      <c r="Y608" s="41"/>
      <c r="Z608" s="41"/>
      <c r="AA608" s="41"/>
      <c r="AB608" s="68"/>
      <c r="AC608" s="69"/>
      <c r="AD608" s="66"/>
      <c r="AE608" s="66"/>
      <c r="AF608" s="66"/>
      <c r="AG608" s="60"/>
      <c r="AH608" s="61"/>
      <c r="AI608" s="62"/>
      <c r="AJ608" s="61"/>
      <c r="AK608" s="60"/>
      <c r="AL608" s="65"/>
    </row>
    <row r="609" spans="2:38" s="42" customFormat="1" x14ac:dyDescent="0.35">
      <c r="B609" s="55" t="str">
        <f t="shared" si="43"/>
        <v/>
      </c>
      <c r="C609" s="40"/>
      <c r="D609" s="40"/>
      <c r="E609" s="41"/>
      <c r="F609" s="41"/>
      <c r="G609" s="41"/>
      <c r="H609" s="68"/>
      <c r="I609" s="71"/>
      <c r="J609" s="41"/>
      <c r="K609" s="41"/>
      <c r="L609" s="71"/>
      <c r="M609" s="71"/>
      <c r="N609" s="71"/>
      <c r="O609" s="71"/>
      <c r="P609" s="41"/>
      <c r="Q609" s="41"/>
      <c r="R609" s="71"/>
      <c r="S609" s="71"/>
      <c r="T609" s="75"/>
      <c r="U609" s="75"/>
      <c r="V609" s="75"/>
      <c r="W609" s="58" t="str">
        <f t="shared" si="44"/>
        <v/>
      </c>
      <c r="X609" s="59" t="str">
        <f t="shared" si="45"/>
        <v/>
      </c>
      <c r="Y609" s="41"/>
      <c r="Z609" s="41"/>
      <c r="AA609" s="41"/>
      <c r="AB609" s="68"/>
      <c r="AC609" s="69"/>
      <c r="AD609" s="66"/>
      <c r="AE609" s="66"/>
      <c r="AF609" s="66"/>
      <c r="AG609" s="60"/>
      <c r="AH609" s="61"/>
      <c r="AI609" s="62"/>
      <c r="AJ609" s="61"/>
      <c r="AK609" s="60"/>
      <c r="AL609" s="65"/>
    </row>
    <row r="610" spans="2:38" s="42" customFormat="1" x14ac:dyDescent="0.35">
      <c r="B610" s="55" t="str">
        <f t="shared" si="43"/>
        <v/>
      </c>
      <c r="C610" s="40"/>
      <c r="D610" s="40"/>
      <c r="E610" s="41"/>
      <c r="F610" s="41"/>
      <c r="G610" s="41"/>
      <c r="H610" s="68"/>
      <c r="I610" s="71"/>
      <c r="J610" s="41"/>
      <c r="K610" s="41"/>
      <c r="L610" s="71"/>
      <c r="M610" s="71"/>
      <c r="N610" s="71"/>
      <c r="O610" s="71"/>
      <c r="P610" s="41"/>
      <c r="Q610" s="41"/>
      <c r="R610" s="71"/>
      <c r="S610" s="71"/>
      <c r="T610" s="75"/>
      <c r="U610" s="75"/>
      <c r="V610" s="75"/>
      <c r="W610" s="58" t="str">
        <f t="shared" si="44"/>
        <v/>
      </c>
      <c r="X610" s="59" t="str">
        <f t="shared" si="45"/>
        <v/>
      </c>
      <c r="Y610" s="41"/>
      <c r="Z610" s="41"/>
      <c r="AA610" s="41"/>
      <c r="AB610" s="68"/>
      <c r="AC610" s="69"/>
      <c r="AD610" s="66"/>
      <c r="AE610" s="66"/>
      <c r="AF610" s="66"/>
      <c r="AG610" s="60"/>
      <c r="AH610" s="61"/>
      <c r="AI610" s="62"/>
      <c r="AJ610" s="61"/>
      <c r="AK610" s="60"/>
      <c r="AL610" s="65"/>
    </row>
    <row r="611" spans="2:38" s="42" customFormat="1" x14ac:dyDescent="0.35">
      <c r="B611" s="55" t="str">
        <f t="shared" si="43"/>
        <v/>
      </c>
      <c r="C611" s="40"/>
      <c r="D611" s="40"/>
      <c r="E611" s="41"/>
      <c r="F611" s="41"/>
      <c r="G611" s="41"/>
      <c r="H611" s="68"/>
      <c r="I611" s="71"/>
      <c r="J611" s="41"/>
      <c r="K611" s="41"/>
      <c r="L611" s="71"/>
      <c r="M611" s="71"/>
      <c r="N611" s="71"/>
      <c r="O611" s="71"/>
      <c r="P611" s="41"/>
      <c r="Q611" s="41"/>
      <c r="R611" s="71"/>
      <c r="S611" s="71"/>
      <c r="T611" s="75"/>
      <c r="U611" s="75"/>
      <c r="V611" s="75"/>
      <c r="W611" s="58" t="str">
        <f t="shared" si="44"/>
        <v/>
      </c>
      <c r="X611" s="59" t="str">
        <f t="shared" si="45"/>
        <v/>
      </c>
      <c r="Y611" s="41"/>
      <c r="Z611" s="41"/>
      <c r="AA611" s="41"/>
      <c r="AB611" s="68"/>
      <c r="AC611" s="69"/>
      <c r="AD611" s="66"/>
      <c r="AE611" s="66"/>
      <c r="AF611" s="66"/>
      <c r="AG611" s="60"/>
      <c r="AH611" s="61"/>
      <c r="AI611" s="62"/>
      <c r="AJ611" s="61"/>
      <c r="AK611" s="60"/>
      <c r="AL611" s="65"/>
    </row>
    <row r="612" spans="2:38" s="42" customFormat="1" x14ac:dyDescent="0.35">
      <c r="B612" s="55" t="str">
        <f t="shared" si="43"/>
        <v/>
      </c>
      <c r="C612" s="40"/>
      <c r="D612" s="40"/>
      <c r="E612" s="41"/>
      <c r="F612" s="41"/>
      <c r="G612" s="41"/>
      <c r="H612" s="68"/>
      <c r="I612" s="71"/>
      <c r="J612" s="41"/>
      <c r="K612" s="41"/>
      <c r="L612" s="71"/>
      <c r="M612" s="71"/>
      <c r="N612" s="71"/>
      <c r="O612" s="71"/>
      <c r="P612" s="41"/>
      <c r="Q612" s="41"/>
      <c r="R612" s="71"/>
      <c r="S612" s="71"/>
      <c r="T612" s="75"/>
      <c r="U612" s="75"/>
      <c r="V612" s="75"/>
      <c r="W612" s="58" t="str">
        <f t="shared" si="44"/>
        <v/>
      </c>
      <c r="X612" s="59" t="str">
        <f t="shared" si="45"/>
        <v/>
      </c>
      <c r="Y612" s="41"/>
      <c r="Z612" s="41"/>
      <c r="AA612" s="41"/>
      <c r="AB612" s="68"/>
      <c r="AC612" s="69"/>
      <c r="AD612" s="66"/>
      <c r="AE612" s="66"/>
      <c r="AF612" s="66"/>
      <c r="AG612" s="60"/>
      <c r="AH612" s="61"/>
      <c r="AI612" s="62"/>
      <c r="AJ612" s="61"/>
      <c r="AK612" s="60"/>
      <c r="AL612" s="65"/>
    </row>
    <row r="613" spans="2:38" s="42" customFormat="1" x14ac:dyDescent="0.35">
      <c r="B613" s="55" t="str">
        <f t="shared" si="43"/>
        <v/>
      </c>
      <c r="C613" s="40"/>
      <c r="D613" s="40"/>
      <c r="E613" s="41"/>
      <c r="F613" s="41"/>
      <c r="G613" s="41"/>
      <c r="H613" s="68"/>
      <c r="I613" s="71"/>
      <c r="J613" s="41"/>
      <c r="K613" s="41"/>
      <c r="L613" s="71"/>
      <c r="M613" s="71"/>
      <c r="N613" s="71"/>
      <c r="O613" s="71"/>
      <c r="P613" s="41"/>
      <c r="Q613" s="41"/>
      <c r="R613" s="71"/>
      <c r="S613" s="71"/>
      <c r="T613" s="75"/>
      <c r="U613" s="75"/>
      <c r="V613" s="75"/>
      <c r="W613" s="58" t="str">
        <f t="shared" si="44"/>
        <v/>
      </c>
      <c r="X613" s="59" t="str">
        <f t="shared" si="45"/>
        <v/>
      </c>
      <c r="Y613" s="41"/>
      <c r="Z613" s="41"/>
      <c r="AA613" s="41"/>
      <c r="AB613" s="68"/>
      <c r="AC613" s="69"/>
      <c r="AD613" s="66"/>
      <c r="AE613" s="66"/>
      <c r="AF613" s="66"/>
      <c r="AG613" s="60"/>
      <c r="AH613" s="61"/>
      <c r="AI613" s="62"/>
      <c r="AJ613" s="61"/>
      <c r="AK613" s="60"/>
      <c r="AL613" s="65"/>
    </row>
    <row r="614" spans="2:38" s="42" customFormat="1" x14ac:dyDescent="0.35">
      <c r="B614" s="55" t="str">
        <f t="shared" si="43"/>
        <v/>
      </c>
      <c r="C614" s="40"/>
      <c r="D614" s="40"/>
      <c r="E614" s="41"/>
      <c r="F614" s="41"/>
      <c r="G614" s="41"/>
      <c r="H614" s="68"/>
      <c r="I614" s="71"/>
      <c r="J614" s="41"/>
      <c r="K614" s="41"/>
      <c r="L614" s="71"/>
      <c r="M614" s="71"/>
      <c r="N614" s="71"/>
      <c r="O614" s="71"/>
      <c r="P614" s="41"/>
      <c r="Q614" s="41"/>
      <c r="R614" s="71"/>
      <c r="S614" s="71"/>
      <c r="T614" s="75"/>
      <c r="U614" s="75"/>
      <c r="V614" s="75"/>
      <c r="W614" s="58" t="str">
        <f t="shared" si="44"/>
        <v/>
      </c>
      <c r="X614" s="59" t="str">
        <f t="shared" si="45"/>
        <v/>
      </c>
      <c r="Y614" s="41"/>
      <c r="Z614" s="41"/>
      <c r="AA614" s="41"/>
      <c r="AB614" s="68"/>
      <c r="AC614" s="69"/>
      <c r="AD614" s="66"/>
      <c r="AE614" s="66"/>
      <c r="AF614" s="66"/>
      <c r="AG614" s="60"/>
      <c r="AH614" s="61"/>
      <c r="AI614" s="62"/>
      <c r="AJ614" s="61"/>
      <c r="AK614" s="60"/>
      <c r="AL614" s="65"/>
    </row>
    <row r="615" spans="2:38" s="42" customFormat="1" x14ac:dyDescent="0.35">
      <c r="B615" s="55" t="str">
        <f t="shared" si="43"/>
        <v/>
      </c>
      <c r="C615" s="40"/>
      <c r="D615" s="40"/>
      <c r="E615" s="41"/>
      <c r="F615" s="41"/>
      <c r="G615" s="41"/>
      <c r="H615" s="68"/>
      <c r="I615" s="71"/>
      <c r="J615" s="41"/>
      <c r="K615" s="41"/>
      <c r="L615" s="71"/>
      <c r="M615" s="71"/>
      <c r="N615" s="71"/>
      <c r="O615" s="71"/>
      <c r="P615" s="41"/>
      <c r="Q615" s="41"/>
      <c r="R615" s="71"/>
      <c r="S615" s="71"/>
      <c r="T615" s="75"/>
      <c r="U615" s="75"/>
      <c r="V615" s="75"/>
      <c r="W615" s="58" t="str">
        <f t="shared" si="44"/>
        <v/>
      </c>
      <c r="X615" s="59" t="str">
        <f t="shared" si="45"/>
        <v/>
      </c>
      <c r="Y615" s="41"/>
      <c r="Z615" s="41"/>
      <c r="AA615" s="41"/>
      <c r="AB615" s="68"/>
      <c r="AC615" s="69"/>
      <c r="AD615" s="66"/>
      <c r="AE615" s="66"/>
      <c r="AF615" s="66"/>
      <c r="AG615" s="60"/>
      <c r="AH615" s="61"/>
      <c r="AI615" s="62"/>
      <c r="AJ615" s="61"/>
      <c r="AK615" s="60"/>
      <c r="AL615" s="65"/>
    </row>
    <row r="616" spans="2:38" s="42" customFormat="1" x14ac:dyDescent="0.35">
      <c r="B616" s="55" t="str">
        <f t="shared" si="43"/>
        <v/>
      </c>
      <c r="C616" s="40"/>
      <c r="D616" s="40"/>
      <c r="E616" s="41"/>
      <c r="F616" s="41"/>
      <c r="G616" s="41"/>
      <c r="H616" s="68"/>
      <c r="I616" s="71"/>
      <c r="J616" s="41"/>
      <c r="K616" s="41"/>
      <c r="L616" s="71"/>
      <c r="M616" s="71"/>
      <c r="N616" s="71"/>
      <c r="O616" s="71"/>
      <c r="P616" s="41"/>
      <c r="Q616" s="41"/>
      <c r="R616" s="71"/>
      <c r="S616" s="71"/>
      <c r="T616" s="75"/>
      <c r="U616" s="75"/>
      <c r="V616" s="75"/>
      <c r="W616" s="58" t="str">
        <f t="shared" si="44"/>
        <v/>
      </c>
      <c r="X616" s="59" t="str">
        <f t="shared" si="45"/>
        <v/>
      </c>
      <c r="Y616" s="41"/>
      <c r="Z616" s="41"/>
      <c r="AA616" s="41"/>
      <c r="AB616" s="68"/>
      <c r="AC616" s="69"/>
      <c r="AD616" s="66"/>
      <c r="AE616" s="66"/>
      <c r="AF616" s="66"/>
      <c r="AG616" s="60"/>
      <c r="AH616" s="61"/>
      <c r="AI616" s="62"/>
      <c r="AJ616" s="61"/>
      <c r="AK616" s="60"/>
      <c r="AL616" s="65"/>
    </row>
    <row r="617" spans="2:38" s="42" customFormat="1" x14ac:dyDescent="0.35">
      <c r="B617" s="55" t="str">
        <f t="shared" si="43"/>
        <v/>
      </c>
      <c r="C617" s="40"/>
      <c r="D617" s="40"/>
      <c r="E617" s="41"/>
      <c r="F617" s="41"/>
      <c r="G617" s="41"/>
      <c r="H617" s="68"/>
      <c r="I617" s="71"/>
      <c r="J617" s="41"/>
      <c r="K617" s="41"/>
      <c r="L617" s="71"/>
      <c r="M617" s="71"/>
      <c r="N617" s="71"/>
      <c r="O617" s="71"/>
      <c r="P617" s="41"/>
      <c r="Q617" s="41"/>
      <c r="R617" s="71"/>
      <c r="S617" s="71"/>
      <c r="T617" s="75"/>
      <c r="U617" s="75"/>
      <c r="V617" s="75"/>
      <c r="W617" s="58" t="str">
        <f t="shared" si="44"/>
        <v/>
      </c>
      <c r="X617" s="59" t="str">
        <f t="shared" si="45"/>
        <v/>
      </c>
      <c r="Y617" s="41"/>
      <c r="Z617" s="41"/>
      <c r="AA617" s="41"/>
      <c r="AB617" s="68"/>
      <c r="AC617" s="69"/>
      <c r="AD617" s="66"/>
      <c r="AE617" s="66"/>
      <c r="AF617" s="66"/>
      <c r="AG617" s="60"/>
      <c r="AH617" s="61"/>
      <c r="AI617" s="62"/>
      <c r="AJ617" s="61"/>
      <c r="AK617" s="60"/>
      <c r="AL617" s="65"/>
    </row>
    <row r="618" spans="2:38" s="42" customFormat="1" x14ac:dyDescent="0.35">
      <c r="B618" s="55" t="str">
        <f t="shared" si="43"/>
        <v/>
      </c>
      <c r="C618" s="40"/>
      <c r="D618" s="40"/>
      <c r="E618" s="41"/>
      <c r="F618" s="41"/>
      <c r="G618" s="41"/>
      <c r="H618" s="68"/>
      <c r="I618" s="71"/>
      <c r="J618" s="41"/>
      <c r="K618" s="41"/>
      <c r="L618" s="71"/>
      <c r="M618" s="71"/>
      <c r="N618" s="71"/>
      <c r="O618" s="71"/>
      <c r="P618" s="41"/>
      <c r="Q618" s="41"/>
      <c r="R618" s="71"/>
      <c r="S618" s="71"/>
      <c r="T618" s="75"/>
      <c r="U618" s="75"/>
      <c r="V618" s="75"/>
      <c r="W618" s="58" t="str">
        <f t="shared" si="44"/>
        <v/>
      </c>
      <c r="X618" s="59" t="str">
        <f t="shared" si="45"/>
        <v/>
      </c>
      <c r="Y618" s="41"/>
      <c r="Z618" s="41"/>
      <c r="AA618" s="41"/>
      <c r="AB618" s="68"/>
      <c r="AC618" s="69"/>
      <c r="AD618" s="66"/>
      <c r="AE618" s="66"/>
      <c r="AF618" s="66"/>
      <c r="AG618" s="60"/>
      <c r="AH618" s="61"/>
      <c r="AI618" s="62"/>
      <c r="AJ618" s="61"/>
      <c r="AK618" s="60"/>
      <c r="AL618" s="65"/>
    </row>
    <row r="619" spans="2:38" s="42" customFormat="1" x14ac:dyDescent="0.35">
      <c r="B619" s="55" t="str">
        <f t="shared" si="43"/>
        <v/>
      </c>
      <c r="C619" s="40"/>
      <c r="D619" s="40"/>
      <c r="E619" s="41"/>
      <c r="F619" s="41"/>
      <c r="G619" s="41"/>
      <c r="H619" s="68"/>
      <c r="I619" s="71"/>
      <c r="J619" s="41"/>
      <c r="K619" s="41"/>
      <c r="L619" s="71"/>
      <c r="M619" s="71"/>
      <c r="N619" s="71"/>
      <c r="O619" s="71"/>
      <c r="P619" s="41"/>
      <c r="Q619" s="41"/>
      <c r="R619" s="71"/>
      <c r="S619" s="71"/>
      <c r="T619" s="75"/>
      <c r="U619" s="75"/>
      <c r="V619" s="75"/>
      <c r="W619" s="58" t="str">
        <f t="shared" si="44"/>
        <v/>
      </c>
      <c r="X619" s="59" t="str">
        <f t="shared" si="45"/>
        <v/>
      </c>
      <c r="Y619" s="41"/>
      <c r="Z619" s="41"/>
      <c r="AA619" s="41"/>
      <c r="AB619" s="68"/>
      <c r="AC619" s="69"/>
      <c r="AD619" s="66"/>
      <c r="AE619" s="66"/>
      <c r="AF619" s="66"/>
      <c r="AG619" s="60"/>
      <c r="AH619" s="61"/>
      <c r="AI619" s="62"/>
      <c r="AJ619" s="61"/>
      <c r="AK619" s="60"/>
      <c r="AL619" s="65"/>
    </row>
    <row r="620" spans="2:38" s="42" customFormat="1" x14ac:dyDescent="0.35">
      <c r="B620" s="55" t="str">
        <f t="shared" si="43"/>
        <v/>
      </c>
      <c r="C620" s="40"/>
      <c r="D620" s="40"/>
      <c r="E620" s="41"/>
      <c r="F620" s="41"/>
      <c r="G620" s="41"/>
      <c r="H620" s="68"/>
      <c r="I620" s="71"/>
      <c r="J620" s="41"/>
      <c r="K620" s="41"/>
      <c r="L620" s="71"/>
      <c r="M620" s="71"/>
      <c r="N620" s="71"/>
      <c r="O620" s="71"/>
      <c r="P620" s="41"/>
      <c r="Q620" s="41"/>
      <c r="R620" s="71"/>
      <c r="S620" s="71"/>
      <c r="T620" s="75"/>
      <c r="U620" s="75"/>
      <c r="V620" s="75"/>
      <c r="W620" s="58" t="str">
        <f t="shared" si="44"/>
        <v/>
      </c>
      <c r="X620" s="59" t="str">
        <f t="shared" si="45"/>
        <v/>
      </c>
      <c r="Y620" s="41"/>
      <c r="Z620" s="41"/>
      <c r="AA620" s="41"/>
      <c r="AB620" s="68"/>
      <c r="AC620" s="69"/>
      <c r="AD620" s="66"/>
      <c r="AE620" s="66"/>
      <c r="AF620" s="66"/>
      <c r="AG620" s="60"/>
      <c r="AH620" s="61"/>
      <c r="AI620" s="62"/>
      <c r="AJ620" s="61"/>
      <c r="AK620" s="60"/>
      <c r="AL620" s="65"/>
    </row>
    <row r="621" spans="2:38" s="42" customFormat="1" x14ac:dyDescent="0.35">
      <c r="B621" s="55" t="str">
        <f t="shared" si="43"/>
        <v/>
      </c>
      <c r="C621" s="40"/>
      <c r="D621" s="40"/>
      <c r="E621" s="41"/>
      <c r="F621" s="41"/>
      <c r="G621" s="41"/>
      <c r="H621" s="68"/>
      <c r="I621" s="71"/>
      <c r="J621" s="41"/>
      <c r="K621" s="41"/>
      <c r="L621" s="71"/>
      <c r="M621" s="71"/>
      <c r="N621" s="71"/>
      <c r="O621" s="71"/>
      <c r="P621" s="41"/>
      <c r="Q621" s="41"/>
      <c r="R621" s="71"/>
      <c r="S621" s="71"/>
      <c r="T621" s="75"/>
      <c r="U621" s="75"/>
      <c r="V621" s="75"/>
      <c r="W621" s="58" t="str">
        <f t="shared" si="44"/>
        <v/>
      </c>
      <c r="X621" s="59" t="str">
        <f t="shared" si="45"/>
        <v/>
      </c>
      <c r="Y621" s="41"/>
      <c r="Z621" s="41"/>
      <c r="AA621" s="41"/>
      <c r="AB621" s="68"/>
      <c r="AC621" s="69"/>
      <c r="AD621" s="66"/>
      <c r="AE621" s="66"/>
      <c r="AF621" s="66"/>
      <c r="AG621" s="60"/>
      <c r="AH621" s="61"/>
      <c r="AI621" s="62"/>
      <c r="AJ621" s="61"/>
      <c r="AK621" s="60"/>
      <c r="AL621" s="65"/>
    </row>
    <row r="622" spans="2:38" s="42" customFormat="1" x14ac:dyDescent="0.35">
      <c r="B622" s="55" t="str">
        <f t="shared" si="43"/>
        <v/>
      </c>
      <c r="C622" s="40"/>
      <c r="D622" s="40"/>
      <c r="E622" s="41"/>
      <c r="F622" s="41"/>
      <c r="G622" s="41"/>
      <c r="H622" s="68"/>
      <c r="I622" s="71"/>
      <c r="J622" s="41"/>
      <c r="K622" s="41"/>
      <c r="L622" s="71"/>
      <c r="M622" s="71"/>
      <c r="N622" s="71"/>
      <c r="O622" s="71"/>
      <c r="P622" s="41"/>
      <c r="Q622" s="41"/>
      <c r="R622" s="71"/>
      <c r="S622" s="71"/>
      <c r="T622" s="75"/>
      <c r="U622" s="75"/>
      <c r="V622" s="75"/>
      <c r="W622" s="58" t="str">
        <f t="shared" si="44"/>
        <v/>
      </c>
      <c r="X622" s="59" t="str">
        <f t="shared" si="45"/>
        <v/>
      </c>
      <c r="Y622" s="41"/>
      <c r="Z622" s="41"/>
      <c r="AA622" s="41"/>
      <c r="AB622" s="68"/>
      <c r="AC622" s="69"/>
      <c r="AD622" s="66"/>
      <c r="AE622" s="66"/>
      <c r="AF622" s="66"/>
      <c r="AG622" s="60"/>
      <c r="AH622" s="61"/>
      <c r="AI622" s="62"/>
      <c r="AJ622" s="61"/>
      <c r="AK622" s="60"/>
      <c r="AL622" s="65"/>
    </row>
    <row r="623" spans="2:38" s="42" customFormat="1" x14ac:dyDescent="0.35">
      <c r="B623" s="55" t="str">
        <f t="shared" si="43"/>
        <v/>
      </c>
      <c r="C623" s="40"/>
      <c r="D623" s="40"/>
      <c r="E623" s="41"/>
      <c r="F623" s="41"/>
      <c r="G623" s="41"/>
      <c r="H623" s="68"/>
      <c r="I623" s="71"/>
      <c r="J623" s="41"/>
      <c r="K623" s="41"/>
      <c r="L623" s="71"/>
      <c r="M623" s="71"/>
      <c r="N623" s="71"/>
      <c r="O623" s="71"/>
      <c r="P623" s="41"/>
      <c r="Q623" s="41"/>
      <c r="R623" s="71"/>
      <c r="S623" s="71"/>
      <c r="T623" s="75"/>
      <c r="U623" s="75"/>
      <c r="V623" s="75"/>
      <c r="W623" s="58" t="str">
        <f t="shared" si="44"/>
        <v/>
      </c>
      <c r="X623" s="59" t="str">
        <f t="shared" si="45"/>
        <v/>
      </c>
      <c r="Y623" s="41"/>
      <c r="Z623" s="41"/>
      <c r="AA623" s="41"/>
      <c r="AB623" s="68"/>
      <c r="AC623" s="69"/>
      <c r="AD623" s="66"/>
      <c r="AE623" s="66"/>
      <c r="AF623" s="66"/>
      <c r="AG623" s="60"/>
      <c r="AH623" s="61"/>
      <c r="AI623" s="62"/>
      <c r="AJ623" s="61"/>
      <c r="AK623" s="60"/>
      <c r="AL623" s="65"/>
    </row>
    <row r="624" spans="2:38" s="42" customFormat="1" x14ac:dyDescent="0.35">
      <c r="B624" s="55" t="str">
        <f t="shared" si="43"/>
        <v/>
      </c>
      <c r="C624" s="40"/>
      <c r="D624" s="40"/>
      <c r="E624" s="41"/>
      <c r="F624" s="41"/>
      <c r="G624" s="41"/>
      <c r="H624" s="68"/>
      <c r="I624" s="71"/>
      <c r="J624" s="41"/>
      <c r="K624" s="41"/>
      <c r="L624" s="71"/>
      <c r="M624" s="71"/>
      <c r="N624" s="71"/>
      <c r="O624" s="71"/>
      <c r="P624" s="41"/>
      <c r="Q624" s="41"/>
      <c r="R624" s="71"/>
      <c r="S624" s="71"/>
      <c r="T624" s="75"/>
      <c r="U624" s="75"/>
      <c r="V624" s="75"/>
      <c r="W624" s="58" t="str">
        <f t="shared" si="44"/>
        <v/>
      </c>
      <c r="X624" s="59" t="str">
        <f t="shared" si="45"/>
        <v/>
      </c>
      <c r="Y624" s="41"/>
      <c r="Z624" s="41"/>
      <c r="AA624" s="41"/>
      <c r="AB624" s="68"/>
      <c r="AC624" s="69"/>
      <c r="AD624" s="66"/>
      <c r="AE624" s="66"/>
      <c r="AF624" s="66"/>
      <c r="AG624" s="60"/>
      <c r="AH624" s="61"/>
      <c r="AI624" s="62"/>
      <c r="AJ624" s="61"/>
      <c r="AK624" s="60"/>
      <c r="AL624" s="65"/>
    </row>
    <row r="625" spans="2:38" s="42" customFormat="1" x14ac:dyDescent="0.35">
      <c r="B625" s="55" t="str">
        <f t="shared" si="43"/>
        <v/>
      </c>
      <c r="C625" s="40"/>
      <c r="D625" s="40"/>
      <c r="E625" s="41"/>
      <c r="F625" s="41"/>
      <c r="G625" s="41"/>
      <c r="H625" s="68"/>
      <c r="I625" s="71"/>
      <c r="J625" s="41"/>
      <c r="K625" s="41"/>
      <c r="L625" s="71"/>
      <c r="M625" s="71"/>
      <c r="N625" s="71"/>
      <c r="O625" s="71"/>
      <c r="P625" s="41"/>
      <c r="Q625" s="41"/>
      <c r="R625" s="71"/>
      <c r="S625" s="71"/>
      <c r="T625" s="75"/>
      <c r="U625" s="75"/>
      <c r="V625" s="75"/>
      <c r="W625" s="58" t="str">
        <f t="shared" si="44"/>
        <v/>
      </c>
      <c r="X625" s="59" t="str">
        <f t="shared" si="45"/>
        <v/>
      </c>
      <c r="Y625" s="41"/>
      <c r="Z625" s="41"/>
      <c r="AA625" s="41"/>
      <c r="AB625" s="68"/>
      <c r="AC625" s="69"/>
      <c r="AD625" s="66"/>
      <c r="AE625" s="66"/>
      <c r="AF625" s="66"/>
      <c r="AG625" s="60"/>
      <c r="AH625" s="61"/>
      <c r="AI625" s="62"/>
      <c r="AJ625" s="61"/>
      <c r="AK625" s="60"/>
      <c r="AL625" s="65"/>
    </row>
    <row r="626" spans="2:38" s="42" customFormat="1" x14ac:dyDescent="0.35">
      <c r="B626" s="55" t="str">
        <f t="shared" si="43"/>
        <v/>
      </c>
      <c r="C626" s="40"/>
      <c r="D626" s="40"/>
      <c r="E626" s="41"/>
      <c r="F626" s="41"/>
      <c r="G626" s="41"/>
      <c r="H626" s="68"/>
      <c r="I626" s="71"/>
      <c r="J626" s="41"/>
      <c r="K626" s="41"/>
      <c r="L626" s="71"/>
      <c r="M626" s="71"/>
      <c r="N626" s="71"/>
      <c r="O626" s="71"/>
      <c r="P626" s="41"/>
      <c r="Q626" s="41"/>
      <c r="R626" s="71"/>
      <c r="S626" s="71"/>
      <c r="T626" s="75"/>
      <c r="U626" s="75"/>
      <c r="V626" s="75"/>
      <c r="W626" s="58" t="str">
        <f t="shared" si="44"/>
        <v/>
      </c>
      <c r="X626" s="59" t="str">
        <f t="shared" si="45"/>
        <v/>
      </c>
      <c r="Y626" s="41"/>
      <c r="Z626" s="41"/>
      <c r="AA626" s="41"/>
      <c r="AB626" s="68"/>
      <c r="AC626" s="69"/>
      <c r="AD626" s="66"/>
      <c r="AE626" s="66"/>
      <c r="AF626" s="66"/>
      <c r="AG626" s="60"/>
      <c r="AH626" s="61"/>
      <c r="AI626" s="62"/>
      <c r="AJ626" s="61"/>
      <c r="AK626" s="60"/>
      <c r="AL626" s="65"/>
    </row>
    <row r="627" spans="2:38" s="42" customFormat="1" x14ac:dyDescent="0.35">
      <c r="B627" s="55" t="str">
        <f t="shared" si="43"/>
        <v/>
      </c>
      <c r="C627" s="40"/>
      <c r="D627" s="40"/>
      <c r="E627" s="41"/>
      <c r="F627" s="41"/>
      <c r="G627" s="41"/>
      <c r="H627" s="68"/>
      <c r="I627" s="71"/>
      <c r="J627" s="41"/>
      <c r="K627" s="41"/>
      <c r="L627" s="71"/>
      <c r="M627" s="71"/>
      <c r="N627" s="71"/>
      <c r="O627" s="71"/>
      <c r="P627" s="41"/>
      <c r="Q627" s="41"/>
      <c r="R627" s="71"/>
      <c r="S627" s="71"/>
      <c r="T627" s="75"/>
      <c r="U627" s="75"/>
      <c r="V627" s="75"/>
      <c r="W627" s="58" t="str">
        <f t="shared" si="44"/>
        <v/>
      </c>
      <c r="X627" s="59" t="str">
        <f t="shared" si="45"/>
        <v/>
      </c>
      <c r="Y627" s="41"/>
      <c r="Z627" s="41"/>
      <c r="AA627" s="41"/>
      <c r="AB627" s="68"/>
      <c r="AC627" s="69"/>
      <c r="AD627" s="66"/>
      <c r="AE627" s="66"/>
      <c r="AF627" s="66"/>
      <c r="AG627" s="60"/>
      <c r="AH627" s="61"/>
      <c r="AI627" s="62"/>
      <c r="AJ627" s="61"/>
      <c r="AK627" s="60"/>
      <c r="AL627" s="65"/>
    </row>
    <row r="628" spans="2:38" s="42" customFormat="1" x14ac:dyDescent="0.35">
      <c r="B628" s="55" t="str">
        <f t="shared" si="43"/>
        <v/>
      </c>
      <c r="C628" s="40"/>
      <c r="D628" s="40"/>
      <c r="E628" s="41"/>
      <c r="F628" s="41"/>
      <c r="G628" s="41"/>
      <c r="H628" s="68"/>
      <c r="I628" s="71"/>
      <c r="J628" s="41"/>
      <c r="K628" s="41"/>
      <c r="L628" s="71"/>
      <c r="M628" s="71"/>
      <c r="N628" s="71"/>
      <c r="O628" s="71"/>
      <c r="P628" s="41"/>
      <c r="Q628" s="41"/>
      <c r="R628" s="71"/>
      <c r="S628" s="71"/>
      <c r="T628" s="75"/>
      <c r="U628" s="75"/>
      <c r="V628" s="75"/>
      <c r="W628" s="58" t="str">
        <f t="shared" si="44"/>
        <v/>
      </c>
      <c r="X628" s="59" t="str">
        <f t="shared" si="45"/>
        <v/>
      </c>
      <c r="Y628" s="41"/>
      <c r="Z628" s="41"/>
      <c r="AA628" s="41"/>
      <c r="AB628" s="68"/>
      <c r="AC628" s="69"/>
      <c r="AD628" s="66"/>
      <c r="AE628" s="66"/>
      <c r="AF628" s="66"/>
      <c r="AG628" s="60"/>
      <c r="AH628" s="61"/>
      <c r="AI628" s="62"/>
      <c r="AJ628" s="61"/>
      <c r="AK628" s="60"/>
      <c r="AL628" s="65"/>
    </row>
    <row r="629" spans="2:38" s="42" customFormat="1" x14ac:dyDescent="0.35">
      <c r="B629" s="55" t="str">
        <f t="shared" si="43"/>
        <v/>
      </c>
      <c r="C629" s="40"/>
      <c r="D629" s="40"/>
      <c r="E629" s="41"/>
      <c r="F629" s="41"/>
      <c r="G629" s="41"/>
      <c r="H629" s="68"/>
      <c r="I629" s="71"/>
      <c r="J629" s="41"/>
      <c r="K629" s="41"/>
      <c r="L629" s="71"/>
      <c r="M629" s="71"/>
      <c r="N629" s="71"/>
      <c r="O629" s="71"/>
      <c r="P629" s="41"/>
      <c r="Q629" s="41"/>
      <c r="R629" s="71"/>
      <c r="S629" s="71"/>
      <c r="T629" s="75"/>
      <c r="U629" s="75"/>
      <c r="V629" s="75"/>
      <c r="W629" s="58" t="str">
        <f t="shared" si="44"/>
        <v/>
      </c>
      <c r="X629" s="59" t="str">
        <f t="shared" si="45"/>
        <v/>
      </c>
      <c r="Y629" s="41"/>
      <c r="Z629" s="41"/>
      <c r="AA629" s="41"/>
      <c r="AB629" s="68"/>
      <c r="AC629" s="69"/>
      <c r="AD629" s="66"/>
      <c r="AE629" s="66"/>
      <c r="AF629" s="66"/>
      <c r="AG629" s="60"/>
      <c r="AH629" s="61"/>
      <c r="AI629" s="62"/>
      <c r="AJ629" s="61"/>
      <c r="AK629" s="60"/>
      <c r="AL629" s="65"/>
    </row>
    <row r="630" spans="2:38" s="42" customFormat="1" x14ac:dyDescent="0.35">
      <c r="B630" s="55" t="str">
        <f t="shared" si="43"/>
        <v/>
      </c>
      <c r="C630" s="40"/>
      <c r="D630" s="40"/>
      <c r="E630" s="41"/>
      <c r="F630" s="41"/>
      <c r="G630" s="41"/>
      <c r="H630" s="68"/>
      <c r="I630" s="71"/>
      <c r="J630" s="41"/>
      <c r="K630" s="41"/>
      <c r="L630" s="71"/>
      <c r="M630" s="71"/>
      <c r="N630" s="71"/>
      <c r="O630" s="71"/>
      <c r="P630" s="41"/>
      <c r="Q630" s="41"/>
      <c r="R630" s="71"/>
      <c r="S630" s="71"/>
      <c r="T630" s="75"/>
      <c r="U630" s="75"/>
      <c r="V630" s="75"/>
      <c r="W630" s="58" t="str">
        <f t="shared" si="44"/>
        <v/>
      </c>
      <c r="X630" s="59" t="str">
        <f t="shared" si="45"/>
        <v/>
      </c>
      <c r="Y630" s="41"/>
      <c r="Z630" s="41"/>
      <c r="AA630" s="41"/>
      <c r="AB630" s="68"/>
      <c r="AC630" s="69"/>
      <c r="AD630" s="66"/>
      <c r="AE630" s="66"/>
      <c r="AF630" s="66"/>
      <c r="AG630" s="60"/>
      <c r="AH630" s="61"/>
      <c r="AI630" s="62"/>
      <c r="AJ630" s="61"/>
      <c r="AK630" s="60"/>
      <c r="AL630" s="65"/>
    </row>
    <row r="631" spans="2:38" s="42" customFormat="1" x14ac:dyDescent="0.35">
      <c r="B631" s="55" t="str">
        <f t="shared" si="43"/>
        <v/>
      </c>
      <c r="C631" s="40"/>
      <c r="D631" s="40"/>
      <c r="E631" s="41"/>
      <c r="F631" s="41"/>
      <c r="G631" s="41"/>
      <c r="H631" s="68"/>
      <c r="I631" s="71"/>
      <c r="J631" s="41"/>
      <c r="K631" s="41"/>
      <c r="L631" s="71"/>
      <c r="M631" s="71"/>
      <c r="N631" s="71"/>
      <c r="O631" s="71"/>
      <c r="P631" s="41"/>
      <c r="Q631" s="41"/>
      <c r="R631" s="71"/>
      <c r="S631" s="71"/>
      <c r="T631" s="75"/>
      <c r="U631" s="75"/>
      <c r="V631" s="75"/>
      <c r="W631" s="58" t="str">
        <f t="shared" si="44"/>
        <v/>
      </c>
      <c r="X631" s="59" t="str">
        <f t="shared" si="45"/>
        <v/>
      </c>
      <c r="Y631" s="41"/>
      <c r="Z631" s="41"/>
      <c r="AA631" s="41"/>
      <c r="AB631" s="68"/>
      <c r="AC631" s="69"/>
      <c r="AD631" s="66"/>
      <c r="AE631" s="66"/>
      <c r="AF631" s="66"/>
      <c r="AG631" s="60"/>
      <c r="AH631" s="61"/>
      <c r="AI631" s="62"/>
      <c r="AJ631" s="61"/>
      <c r="AK631" s="60"/>
      <c r="AL631" s="65"/>
    </row>
    <row r="632" spans="2:38" s="42" customFormat="1" x14ac:dyDescent="0.35">
      <c r="B632" s="55" t="str">
        <f t="shared" si="43"/>
        <v/>
      </c>
      <c r="C632" s="40"/>
      <c r="D632" s="40"/>
      <c r="E632" s="41"/>
      <c r="F632" s="41"/>
      <c r="G632" s="41"/>
      <c r="H632" s="68"/>
      <c r="I632" s="71"/>
      <c r="J632" s="41"/>
      <c r="K632" s="41"/>
      <c r="L632" s="71"/>
      <c r="M632" s="71"/>
      <c r="N632" s="71"/>
      <c r="O632" s="71"/>
      <c r="P632" s="41"/>
      <c r="Q632" s="41"/>
      <c r="R632" s="71"/>
      <c r="S632" s="71"/>
      <c r="T632" s="75"/>
      <c r="U632" s="75"/>
      <c r="V632" s="75"/>
      <c r="W632" s="58" t="str">
        <f t="shared" si="44"/>
        <v/>
      </c>
      <c r="X632" s="59" t="str">
        <f t="shared" si="45"/>
        <v/>
      </c>
      <c r="Y632" s="41"/>
      <c r="Z632" s="41"/>
      <c r="AA632" s="41"/>
      <c r="AB632" s="68"/>
      <c r="AC632" s="69"/>
      <c r="AD632" s="66"/>
      <c r="AE632" s="66"/>
      <c r="AF632" s="66"/>
      <c r="AG632" s="60"/>
      <c r="AH632" s="61"/>
      <c r="AI632" s="62"/>
      <c r="AJ632" s="61"/>
      <c r="AK632" s="60"/>
      <c r="AL632" s="65"/>
    </row>
    <row r="633" spans="2:38" s="42" customFormat="1" x14ac:dyDescent="0.35">
      <c r="B633" s="55" t="str">
        <f t="shared" si="43"/>
        <v/>
      </c>
      <c r="C633" s="40"/>
      <c r="D633" s="40"/>
      <c r="E633" s="41"/>
      <c r="F633" s="41"/>
      <c r="G633" s="41"/>
      <c r="H633" s="68"/>
      <c r="I633" s="71"/>
      <c r="J633" s="41"/>
      <c r="K633" s="41"/>
      <c r="L633" s="71"/>
      <c r="M633" s="71"/>
      <c r="N633" s="71"/>
      <c r="O633" s="71"/>
      <c r="P633" s="41"/>
      <c r="Q633" s="41"/>
      <c r="R633" s="71"/>
      <c r="S633" s="71"/>
      <c r="T633" s="75"/>
      <c r="U633" s="75"/>
      <c r="V633" s="75"/>
      <c r="W633" s="58" t="str">
        <f t="shared" si="44"/>
        <v/>
      </c>
      <c r="X633" s="59" t="str">
        <f t="shared" si="45"/>
        <v/>
      </c>
      <c r="Y633" s="41"/>
      <c r="Z633" s="41"/>
      <c r="AA633" s="41"/>
      <c r="AB633" s="68"/>
      <c r="AC633" s="69"/>
      <c r="AD633" s="66"/>
      <c r="AE633" s="66"/>
      <c r="AF633" s="66"/>
      <c r="AG633" s="60"/>
      <c r="AH633" s="61"/>
      <c r="AI633" s="62"/>
      <c r="AJ633" s="61"/>
      <c r="AK633" s="60"/>
      <c r="AL633" s="65"/>
    </row>
    <row r="634" spans="2:38" s="42" customFormat="1" x14ac:dyDescent="0.35">
      <c r="B634" s="55" t="str">
        <f t="shared" si="43"/>
        <v/>
      </c>
      <c r="C634" s="40"/>
      <c r="D634" s="40"/>
      <c r="E634" s="41"/>
      <c r="F634" s="41"/>
      <c r="G634" s="41"/>
      <c r="H634" s="68"/>
      <c r="I634" s="71"/>
      <c r="J634" s="41"/>
      <c r="K634" s="41"/>
      <c r="L634" s="71"/>
      <c r="M634" s="71"/>
      <c r="N634" s="71"/>
      <c r="O634" s="71"/>
      <c r="P634" s="41"/>
      <c r="Q634" s="41"/>
      <c r="R634" s="71"/>
      <c r="S634" s="71"/>
      <c r="T634" s="75"/>
      <c r="U634" s="75"/>
      <c r="V634" s="75"/>
      <c r="W634" s="58" t="str">
        <f t="shared" si="44"/>
        <v/>
      </c>
      <c r="X634" s="59" t="str">
        <f t="shared" si="45"/>
        <v/>
      </c>
      <c r="Y634" s="41"/>
      <c r="Z634" s="41"/>
      <c r="AA634" s="41"/>
      <c r="AB634" s="68"/>
      <c r="AC634" s="69"/>
      <c r="AD634" s="66"/>
      <c r="AE634" s="66"/>
      <c r="AF634" s="66"/>
      <c r="AG634" s="60"/>
      <c r="AH634" s="61"/>
      <c r="AI634" s="62"/>
      <c r="AJ634" s="61"/>
      <c r="AK634" s="60"/>
      <c r="AL634" s="65"/>
    </row>
    <row r="635" spans="2:38" s="42" customFormat="1" x14ac:dyDescent="0.35">
      <c r="B635" s="55" t="str">
        <f t="shared" si="43"/>
        <v/>
      </c>
      <c r="C635" s="40"/>
      <c r="D635" s="40"/>
      <c r="E635" s="41"/>
      <c r="F635" s="41"/>
      <c r="G635" s="41"/>
      <c r="H635" s="68"/>
      <c r="I635" s="71"/>
      <c r="J635" s="41"/>
      <c r="K635" s="41"/>
      <c r="L635" s="71"/>
      <c r="M635" s="71"/>
      <c r="N635" s="71"/>
      <c r="O635" s="71"/>
      <c r="P635" s="41"/>
      <c r="Q635" s="41"/>
      <c r="R635" s="71"/>
      <c r="S635" s="71"/>
      <c r="T635" s="75"/>
      <c r="U635" s="75"/>
      <c r="V635" s="75"/>
      <c r="W635" s="58" t="str">
        <f t="shared" si="44"/>
        <v/>
      </c>
      <c r="X635" s="59" t="str">
        <f t="shared" si="45"/>
        <v/>
      </c>
      <c r="Y635" s="41"/>
      <c r="Z635" s="41"/>
      <c r="AA635" s="41"/>
      <c r="AB635" s="68"/>
      <c r="AC635" s="69"/>
      <c r="AD635" s="66"/>
      <c r="AE635" s="66"/>
      <c r="AF635" s="66"/>
      <c r="AG635" s="60"/>
      <c r="AH635" s="61"/>
      <c r="AI635" s="62"/>
      <c r="AJ635" s="61"/>
      <c r="AK635" s="60"/>
      <c r="AL635" s="65"/>
    </row>
    <row r="636" spans="2:38" s="42" customFormat="1" x14ac:dyDescent="0.35">
      <c r="B636" s="55" t="str">
        <f t="shared" si="43"/>
        <v/>
      </c>
      <c r="C636" s="40"/>
      <c r="D636" s="40"/>
      <c r="E636" s="41"/>
      <c r="F636" s="41"/>
      <c r="G636" s="41"/>
      <c r="H636" s="68"/>
      <c r="I636" s="71"/>
      <c r="J636" s="41"/>
      <c r="K636" s="41"/>
      <c r="L636" s="71"/>
      <c r="M636" s="71"/>
      <c r="N636" s="71"/>
      <c r="O636" s="71"/>
      <c r="P636" s="41"/>
      <c r="Q636" s="41"/>
      <c r="R636" s="71"/>
      <c r="S636" s="71"/>
      <c r="T636" s="75"/>
      <c r="U636" s="75"/>
      <c r="V636" s="75"/>
      <c r="W636" s="58" t="str">
        <f t="shared" si="44"/>
        <v/>
      </c>
      <c r="X636" s="59" t="str">
        <f t="shared" si="45"/>
        <v/>
      </c>
      <c r="Y636" s="41"/>
      <c r="Z636" s="41"/>
      <c r="AA636" s="41"/>
      <c r="AB636" s="68"/>
      <c r="AC636" s="69"/>
      <c r="AD636" s="66"/>
      <c r="AE636" s="66"/>
      <c r="AF636" s="66"/>
      <c r="AG636" s="60"/>
      <c r="AH636" s="61"/>
      <c r="AI636" s="62"/>
      <c r="AJ636" s="61"/>
      <c r="AK636" s="60"/>
      <c r="AL636" s="65"/>
    </row>
    <row r="637" spans="2:38" s="42" customFormat="1" x14ac:dyDescent="0.35">
      <c r="B637" s="55" t="str">
        <f t="shared" si="43"/>
        <v/>
      </c>
      <c r="C637" s="40"/>
      <c r="D637" s="40"/>
      <c r="E637" s="41"/>
      <c r="F637" s="41"/>
      <c r="G637" s="41"/>
      <c r="H637" s="68"/>
      <c r="I637" s="71"/>
      <c r="J637" s="41"/>
      <c r="K637" s="41"/>
      <c r="L637" s="71"/>
      <c r="M637" s="71"/>
      <c r="N637" s="71"/>
      <c r="O637" s="71"/>
      <c r="P637" s="41"/>
      <c r="Q637" s="41"/>
      <c r="R637" s="71"/>
      <c r="S637" s="71"/>
      <c r="T637" s="75"/>
      <c r="U637" s="75"/>
      <c r="V637" s="75"/>
      <c r="W637" s="58" t="str">
        <f t="shared" si="44"/>
        <v/>
      </c>
      <c r="X637" s="59" t="str">
        <f t="shared" si="45"/>
        <v/>
      </c>
      <c r="Y637" s="41"/>
      <c r="Z637" s="41"/>
      <c r="AA637" s="41"/>
      <c r="AB637" s="68"/>
      <c r="AC637" s="69"/>
      <c r="AD637" s="66"/>
      <c r="AE637" s="66"/>
      <c r="AF637" s="66"/>
      <c r="AG637" s="60"/>
      <c r="AH637" s="61"/>
      <c r="AI637" s="62"/>
      <c r="AJ637" s="61"/>
      <c r="AK637" s="60"/>
      <c r="AL637" s="65"/>
    </row>
    <row r="638" spans="2:38" s="42" customFormat="1" x14ac:dyDescent="0.35">
      <c r="B638" s="55" t="str">
        <f t="shared" si="43"/>
        <v/>
      </c>
      <c r="C638" s="40"/>
      <c r="D638" s="40"/>
      <c r="E638" s="41"/>
      <c r="F638" s="41"/>
      <c r="G638" s="41"/>
      <c r="H638" s="68"/>
      <c r="I638" s="71"/>
      <c r="J638" s="41"/>
      <c r="K638" s="41"/>
      <c r="L638" s="71"/>
      <c r="M638" s="71"/>
      <c r="N638" s="71"/>
      <c r="O638" s="71"/>
      <c r="P638" s="41"/>
      <c r="Q638" s="41"/>
      <c r="R638" s="71"/>
      <c r="S638" s="71"/>
      <c r="T638" s="75"/>
      <c r="U638" s="75"/>
      <c r="V638" s="75"/>
      <c r="W638" s="58" t="str">
        <f t="shared" si="44"/>
        <v/>
      </c>
      <c r="X638" s="59" t="str">
        <f t="shared" si="45"/>
        <v/>
      </c>
      <c r="Y638" s="41"/>
      <c r="Z638" s="41"/>
      <c r="AA638" s="41"/>
      <c r="AB638" s="68"/>
      <c r="AC638" s="69"/>
      <c r="AD638" s="66"/>
      <c r="AE638" s="66"/>
      <c r="AF638" s="66"/>
      <c r="AG638" s="60"/>
      <c r="AH638" s="61"/>
      <c r="AI638" s="62"/>
      <c r="AJ638" s="61"/>
      <c r="AK638" s="60"/>
      <c r="AL638" s="65"/>
    </row>
    <row r="639" spans="2:38" s="42" customFormat="1" x14ac:dyDescent="0.35">
      <c r="B639" s="55" t="str">
        <f t="shared" si="43"/>
        <v/>
      </c>
      <c r="C639" s="40"/>
      <c r="D639" s="40"/>
      <c r="E639" s="41"/>
      <c r="F639" s="41"/>
      <c r="G639" s="41"/>
      <c r="H639" s="68"/>
      <c r="I639" s="71"/>
      <c r="J639" s="41"/>
      <c r="K639" s="41"/>
      <c r="L639" s="71"/>
      <c r="M639" s="71"/>
      <c r="N639" s="71"/>
      <c r="O639" s="71"/>
      <c r="P639" s="41"/>
      <c r="Q639" s="41"/>
      <c r="R639" s="71"/>
      <c r="S639" s="71"/>
      <c r="T639" s="75"/>
      <c r="U639" s="75"/>
      <c r="V639" s="75"/>
      <c r="W639" s="58" t="str">
        <f t="shared" si="44"/>
        <v/>
      </c>
      <c r="X639" s="59" t="str">
        <f t="shared" si="45"/>
        <v/>
      </c>
      <c r="Y639" s="41"/>
      <c r="Z639" s="41"/>
      <c r="AA639" s="41"/>
      <c r="AB639" s="68"/>
      <c r="AC639" s="69"/>
      <c r="AD639" s="66"/>
      <c r="AE639" s="66"/>
      <c r="AF639" s="66"/>
      <c r="AG639" s="60"/>
      <c r="AH639" s="61"/>
      <c r="AI639" s="62"/>
      <c r="AJ639" s="61"/>
      <c r="AK639" s="60"/>
      <c r="AL639" s="65"/>
    </row>
    <row r="640" spans="2:38" s="42" customFormat="1" x14ac:dyDescent="0.35">
      <c r="B640" s="55" t="str">
        <f t="shared" si="43"/>
        <v/>
      </c>
      <c r="C640" s="40"/>
      <c r="D640" s="40"/>
      <c r="E640" s="41"/>
      <c r="F640" s="41"/>
      <c r="G640" s="41"/>
      <c r="H640" s="68"/>
      <c r="I640" s="71"/>
      <c r="J640" s="41"/>
      <c r="K640" s="41"/>
      <c r="L640" s="71"/>
      <c r="M640" s="71"/>
      <c r="N640" s="71"/>
      <c r="O640" s="71"/>
      <c r="P640" s="41"/>
      <c r="Q640" s="41"/>
      <c r="R640" s="71"/>
      <c r="S640" s="71"/>
      <c r="T640" s="75"/>
      <c r="U640" s="75"/>
      <c r="V640" s="75"/>
      <c r="W640" s="58" t="str">
        <f t="shared" si="44"/>
        <v/>
      </c>
      <c r="X640" s="59" t="str">
        <f t="shared" si="45"/>
        <v/>
      </c>
      <c r="Y640" s="41"/>
      <c r="Z640" s="41"/>
      <c r="AA640" s="41"/>
      <c r="AB640" s="68"/>
      <c r="AC640" s="69"/>
      <c r="AD640" s="66"/>
      <c r="AE640" s="66"/>
      <c r="AF640" s="66"/>
      <c r="AG640" s="60"/>
      <c r="AH640" s="61"/>
      <c r="AI640" s="62"/>
      <c r="AJ640" s="61"/>
      <c r="AK640" s="60"/>
      <c r="AL640" s="65"/>
    </row>
    <row r="641" spans="2:38" s="42" customFormat="1" x14ac:dyDescent="0.35">
      <c r="B641" s="55" t="str">
        <f t="shared" si="43"/>
        <v/>
      </c>
      <c r="C641" s="40"/>
      <c r="D641" s="40"/>
      <c r="E641" s="41"/>
      <c r="F641" s="41"/>
      <c r="G641" s="41"/>
      <c r="H641" s="68"/>
      <c r="I641" s="71"/>
      <c r="J641" s="41"/>
      <c r="K641" s="41"/>
      <c r="L641" s="71"/>
      <c r="M641" s="71"/>
      <c r="N641" s="71"/>
      <c r="O641" s="71"/>
      <c r="P641" s="41"/>
      <c r="Q641" s="41"/>
      <c r="R641" s="71"/>
      <c r="S641" s="71"/>
      <c r="T641" s="75"/>
      <c r="U641" s="75"/>
      <c r="V641" s="75"/>
      <c r="W641" s="58" t="str">
        <f t="shared" si="44"/>
        <v/>
      </c>
      <c r="X641" s="59" t="str">
        <f t="shared" si="45"/>
        <v/>
      </c>
      <c r="Y641" s="41"/>
      <c r="Z641" s="41"/>
      <c r="AA641" s="41"/>
      <c r="AB641" s="68"/>
      <c r="AC641" s="69"/>
      <c r="AD641" s="66"/>
      <c r="AE641" s="66"/>
      <c r="AF641" s="66"/>
      <c r="AG641" s="60"/>
      <c r="AH641" s="61"/>
      <c r="AI641" s="62"/>
      <c r="AJ641" s="61"/>
      <c r="AK641" s="60"/>
      <c r="AL641" s="65"/>
    </row>
    <row r="642" spans="2:38" s="42" customFormat="1" x14ac:dyDescent="0.35">
      <c r="B642" s="55" t="str">
        <f t="shared" si="43"/>
        <v/>
      </c>
      <c r="C642" s="40"/>
      <c r="D642" s="40"/>
      <c r="E642" s="41"/>
      <c r="F642" s="41"/>
      <c r="G642" s="41"/>
      <c r="H642" s="68"/>
      <c r="I642" s="71"/>
      <c r="J642" s="41"/>
      <c r="K642" s="41"/>
      <c r="L642" s="71"/>
      <c r="M642" s="71"/>
      <c r="N642" s="71"/>
      <c r="O642" s="71"/>
      <c r="P642" s="41"/>
      <c r="Q642" s="41"/>
      <c r="R642" s="71"/>
      <c r="S642" s="71"/>
      <c r="T642" s="75"/>
      <c r="U642" s="75"/>
      <c r="V642" s="75"/>
      <c r="W642" s="58" t="str">
        <f t="shared" si="44"/>
        <v/>
      </c>
      <c r="X642" s="59" t="str">
        <f t="shared" si="45"/>
        <v/>
      </c>
      <c r="Y642" s="41"/>
      <c r="Z642" s="41"/>
      <c r="AA642" s="41"/>
      <c r="AB642" s="68"/>
      <c r="AC642" s="69"/>
      <c r="AD642" s="66"/>
      <c r="AE642" s="66"/>
      <c r="AF642" s="66"/>
      <c r="AG642" s="60"/>
      <c r="AH642" s="61"/>
      <c r="AI642" s="62"/>
      <c r="AJ642" s="61"/>
      <c r="AK642" s="60"/>
      <c r="AL642" s="65"/>
    </row>
    <row r="643" spans="2:38" s="42" customFormat="1" x14ac:dyDescent="0.35">
      <c r="B643" s="55" t="str">
        <f t="shared" ref="B643:B706" si="46">IF($C643="","",Prefixo&amp;"-"&amp;TEXT(ROW()-2,"0000"))</f>
        <v/>
      </c>
      <c r="C643" s="40"/>
      <c r="D643" s="40"/>
      <c r="E643" s="41"/>
      <c r="F643" s="41"/>
      <c r="G643" s="41"/>
      <c r="H643" s="68"/>
      <c r="I643" s="71"/>
      <c r="J643" s="41"/>
      <c r="K643" s="41"/>
      <c r="L643" s="71"/>
      <c r="M643" s="71"/>
      <c r="N643" s="71"/>
      <c r="O643" s="71"/>
      <c r="P643" s="41"/>
      <c r="Q643" s="41"/>
      <c r="R643" s="71"/>
      <c r="S643" s="71"/>
      <c r="T643" s="75"/>
      <c r="U643" s="75"/>
      <c r="V643" s="75"/>
      <c r="W643" s="58" t="str">
        <f t="shared" si="44"/>
        <v/>
      </c>
      <c r="X643" s="59" t="str">
        <f t="shared" si="45"/>
        <v/>
      </c>
      <c r="Y643" s="41"/>
      <c r="Z643" s="41"/>
      <c r="AA643" s="41"/>
      <c r="AB643" s="68"/>
      <c r="AC643" s="69"/>
      <c r="AD643" s="66"/>
      <c r="AE643" s="66"/>
      <c r="AF643" s="66"/>
      <c r="AG643" s="60"/>
      <c r="AH643" s="61"/>
      <c r="AI643" s="62"/>
      <c r="AJ643" s="61"/>
      <c r="AK643" s="60"/>
      <c r="AL643" s="65"/>
    </row>
    <row r="644" spans="2:38" s="42" customFormat="1" x14ac:dyDescent="0.35">
      <c r="B644" s="55" t="str">
        <f t="shared" si="46"/>
        <v/>
      </c>
      <c r="C644" s="40"/>
      <c r="D644" s="40"/>
      <c r="E644" s="41"/>
      <c r="F644" s="41"/>
      <c r="G644" s="41"/>
      <c r="H644" s="68"/>
      <c r="I644" s="71"/>
      <c r="J644" s="41"/>
      <c r="K644" s="41"/>
      <c r="L644" s="71"/>
      <c r="M644" s="71"/>
      <c r="N644" s="71"/>
      <c r="O644" s="71"/>
      <c r="P644" s="41"/>
      <c r="Q644" s="41"/>
      <c r="R644" s="71"/>
      <c r="S644" s="71"/>
      <c r="T644" s="75"/>
      <c r="U644" s="75"/>
      <c r="V644" s="75"/>
      <c r="W644" s="58" t="str">
        <f t="shared" ref="W644:W707" si="47">IF(OR($U644="",$V644="",$U644&lt;=0),"",$U644-$V644)</f>
        <v/>
      </c>
      <c r="X644" s="59" t="str">
        <f t="shared" ref="X644:X707" si="48">IF(OR($U644="",$V644="",$U644&lt;=0),"",($U644-$V644)/$U644)</f>
        <v/>
      </c>
      <c r="Y644" s="41"/>
      <c r="Z644" s="41"/>
      <c r="AA644" s="41"/>
      <c r="AB644" s="68"/>
      <c r="AC644" s="69"/>
      <c r="AD644" s="66"/>
      <c r="AE644" s="66"/>
      <c r="AF644" s="66"/>
      <c r="AG644" s="60"/>
      <c r="AH644" s="61"/>
      <c r="AI644" s="62"/>
      <c r="AJ644" s="61"/>
      <c r="AK644" s="60"/>
      <c r="AL644" s="65"/>
    </row>
    <row r="645" spans="2:38" s="42" customFormat="1" x14ac:dyDescent="0.35">
      <c r="B645" s="55" t="str">
        <f t="shared" si="46"/>
        <v/>
      </c>
      <c r="C645" s="40"/>
      <c r="D645" s="40"/>
      <c r="E645" s="41"/>
      <c r="F645" s="41"/>
      <c r="G645" s="41"/>
      <c r="H645" s="68"/>
      <c r="I645" s="71"/>
      <c r="J645" s="41"/>
      <c r="K645" s="41"/>
      <c r="L645" s="71"/>
      <c r="M645" s="71"/>
      <c r="N645" s="71"/>
      <c r="O645" s="71"/>
      <c r="P645" s="41"/>
      <c r="Q645" s="41"/>
      <c r="R645" s="71"/>
      <c r="S645" s="71"/>
      <c r="T645" s="75"/>
      <c r="U645" s="75"/>
      <c r="V645" s="75"/>
      <c r="W645" s="58" t="str">
        <f t="shared" si="47"/>
        <v/>
      </c>
      <c r="X645" s="59" t="str">
        <f t="shared" si="48"/>
        <v/>
      </c>
      <c r="Y645" s="41"/>
      <c r="Z645" s="41"/>
      <c r="AA645" s="41"/>
      <c r="AB645" s="68"/>
      <c r="AC645" s="69"/>
      <c r="AD645" s="66"/>
      <c r="AE645" s="66"/>
      <c r="AF645" s="66"/>
      <c r="AG645" s="60"/>
      <c r="AH645" s="61"/>
      <c r="AI645" s="62"/>
      <c r="AJ645" s="61"/>
      <c r="AK645" s="60"/>
      <c r="AL645" s="65"/>
    </row>
    <row r="646" spans="2:38" s="42" customFormat="1" x14ac:dyDescent="0.35">
      <c r="B646" s="55" t="str">
        <f t="shared" si="46"/>
        <v/>
      </c>
      <c r="C646" s="40"/>
      <c r="D646" s="40"/>
      <c r="E646" s="41"/>
      <c r="F646" s="41"/>
      <c r="G646" s="41"/>
      <c r="H646" s="68"/>
      <c r="I646" s="71"/>
      <c r="J646" s="41"/>
      <c r="K646" s="41"/>
      <c r="L646" s="71"/>
      <c r="M646" s="71"/>
      <c r="N646" s="71"/>
      <c r="O646" s="71"/>
      <c r="P646" s="41"/>
      <c r="Q646" s="41"/>
      <c r="R646" s="71"/>
      <c r="S646" s="71"/>
      <c r="T646" s="75"/>
      <c r="U646" s="75"/>
      <c r="V646" s="75"/>
      <c r="W646" s="58" t="str">
        <f t="shared" si="47"/>
        <v/>
      </c>
      <c r="X646" s="59" t="str">
        <f t="shared" si="48"/>
        <v/>
      </c>
      <c r="Y646" s="41"/>
      <c r="Z646" s="41"/>
      <c r="AA646" s="41"/>
      <c r="AB646" s="68"/>
      <c r="AC646" s="69"/>
      <c r="AD646" s="66"/>
      <c r="AE646" s="66"/>
      <c r="AF646" s="66"/>
      <c r="AG646" s="60"/>
      <c r="AH646" s="61"/>
      <c r="AI646" s="62"/>
      <c r="AJ646" s="61"/>
      <c r="AK646" s="60"/>
      <c r="AL646" s="65"/>
    </row>
    <row r="647" spans="2:38" s="42" customFormat="1" x14ac:dyDescent="0.35">
      <c r="B647" s="55" t="str">
        <f t="shared" si="46"/>
        <v/>
      </c>
      <c r="C647" s="40"/>
      <c r="D647" s="40"/>
      <c r="E647" s="41"/>
      <c r="F647" s="41"/>
      <c r="G647" s="41"/>
      <c r="H647" s="68"/>
      <c r="I647" s="71"/>
      <c r="J647" s="41"/>
      <c r="K647" s="41"/>
      <c r="L647" s="71"/>
      <c r="M647" s="71"/>
      <c r="N647" s="71"/>
      <c r="O647" s="71"/>
      <c r="P647" s="41"/>
      <c r="Q647" s="41"/>
      <c r="R647" s="71"/>
      <c r="S647" s="71"/>
      <c r="T647" s="75"/>
      <c r="U647" s="75"/>
      <c r="V647" s="75"/>
      <c r="W647" s="58" t="str">
        <f t="shared" si="47"/>
        <v/>
      </c>
      <c r="X647" s="59" t="str">
        <f t="shared" si="48"/>
        <v/>
      </c>
      <c r="Y647" s="41"/>
      <c r="Z647" s="41"/>
      <c r="AA647" s="41"/>
      <c r="AB647" s="68"/>
      <c r="AC647" s="69"/>
      <c r="AD647" s="66"/>
      <c r="AE647" s="66"/>
      <c r="AF647" s="66"/>
      <c r="AG647" s="60"/>
      <c r="AH647" s="61"/>
      <c r="AI647" s="62"/>
      <c r="AJ647" s="61"/>
      <c r="AK647" s="60"/>
      <c r="AL647" s="65"/>
    </row>
    <row r="648" spans="2:38" s="42" customFormat="1" x14ac:dyDescent="0.35">
      <c r="B648" s="55" t="str">
        <f t="shared" si="46"/>
        <v/>
      </c>
      <c r="C648" s="40"/>
      <c r="D648" s="40"/>
      <c r="E648" s="41"/>
      <c r="F648" s="41"/>
      <c r="G648" s="41"/>
      <c r="H648" s="68"/>
      <c r="I648" s="71"/>
      <c r="J648" s="41"/>
      <c r="K648" s="41"/>
      <c r="L648" s="71"/>
      <c r="M648" s="71"/>
      <c r="N648" s="71"/>
      <c r="O648" s="71"/>
      <c r="P648" s="41"/>
      <c r="Q648" s="41"/>
      <c r="R648" s="71"/>
      <c r="S648" s="71"/>
      <c r="T648" s="75"/>
      <c r="U648" s="75"/>
      <c r="V648" s="75"/>
      <c r="W648" s="58" t="str">
        <f t="shared" si="47"/>
        <v/>
      </c>
      <c r="X648" s="59" t="str">
        <f t="shared" si="48"/>
        <v/>
      </c>
      <c r="Y648" s="41"/>
      <c r="Z648" s="41"/>
      <c r="AA648" s="41"/>
      <c r="AB648" s="68"/>
      <c r="AC648" s="69"/>
      <c r="AD648" s="66"/>
      <c r="AE648" s="66"/>
      <c r="AF648" s="66"/>
      <c r="AG648" s="60"/>
      <c r="AH648" s="61"/>
      <c r="AI648" s="62"/>
      <c r="AJ648" s="61"/>
      <c r="AK648" s="60"/>
      <c r="AL648" s="65"/>
    </row>
    <row r="649" spans="2:38" s="42" customFormat="1" x14ac:dyDescent="0.35">
      <c r="B649" s="55" t="str">
        <f t="shared" si="46"/>
        <v/>
      </c>
      <c r="C649" s="40"/>
      <c r="D649" s="40"/>
      <c r="E649" s="41"/>
      <c r="F649" s="41"/>
      <c r="G649" s="41"/>
      <c r="H649" s="68"/>
      <c r="I649" s="71"/>
      <c r="J649" s="41"/>
      <c r="K649" s="41"/>
      <c r="L649" s="71"/>
      <c r="M649" s="71"/>
      <c r="N649" s="71"/>
      <c r="O649" s="71"/>
      <c r="P649" s="41"/>
      <c r="Q649" s="41"/>
      <c r="R649" s="71"/>
      <c r="S649" s="71"/>
      <c r="T649" s="75"/>
      <c r="U649" s="75"/>
      <c r="V649" s="75"/>
      <c r="W649" s="58" t="str">
        <f t="shared" si="47"/>
        <v/>
      </c>
      <c r="X649" s="59" t="str">
        <f t="shared" si="48"/>
        <v/>
      </c>
      <c r="Y649" s="41"/>
      <c r="Z649" s="41"/>
      <c r="AA649" s="41"/>
      <c r="AB649" s="68"/>
      <c r="AC649" s="69"/>
      <c r="AD649" s="66"/>
      <c r="AE649" s="66"/>
      <c r="AF649" s="66"/>
      <c r="AG649" s="60"/>
      <c r="AH649" s="61"/>
      <c r="AI649" s="62"/>
      <c r="AJ649" s="61"/>
      <c r="AK649" s="60"/>
      <c r="AL649" s="65"/>
    </row>
    <row r="650" spans="2:38" s="42" customFormat="1" x14ac:dyDescent="0.35">
      <c r="B650" s="55" t="str">
        <f t="shared" si="46"/>
        <v/>
      </c>
      <c r="C650" s="40"/>
      <c r="D650" s="40"/>
      <c r="E650" s="41"/>
      <c r="F650" s="41"/>
      <c r="G650" s="41"/>
      <c r="H650" s="68"/>
      <c r="I650" s="71"/>
      <c r="J650" s="41"/>
      <c r="K650" s="41"/>
      <c r="L650" s="71"/>
      <c r="M650" s="71"/>
      <c r="N650" s="71"/>
      <c r="O650" s="71"/>
      <c r="P650" s="41"/>
      <c r="Q650" s="41"/>
      <c r="R650" s="71"/>
      <c r="S650" s="71"/>
      <c r="T650" s="75"/>
      <c r="U650" s="75"/>
      <c r="V650" s="75"/>
      <c r="W650" s="58" t="str">
        <f t="shared" si="47"/>
        <v/>
      </c>
      <c r="X650" s="59" t="str">
        <f t="shared" si="48"/>
        <v/>
      </c>
      <c r="Y650" s="41"/>
      <c r="Z650" s="41"/>
      <c r="AA650" s="41"/>
      <c r="AB650" s="68"/>
      <c r="AC650" s="69"/>
      <c r="AD650" s="66"/>
      <c r="AE650" s="66"/>
      <c r="AF650" s="66"/>
      <c r="AG650" s="60"/>
      <c r="AH650" s="61"/>
      <c r="AI650" s="62"/>
      <c r="AJ650" s="61"/>
      <c r="AK650" s="60"/>
      <c r="AL650" s="65"/>
    </row>
    <row r="651" spans="2:38" s="42" customFormat="1" x14ac:dyDescent="0.35">
      <c r="B651" s="55" t="str">
        <f t="shared" si="46"/>
        <v/>
      </c>
      <c r="C651" s="40"/>
      <c r="D651" s="40"/>
      <c r="E651" s="41"/>
      <c r="F651" s="41"/>
      <c r="G651" s="41"/>
      <c r="H651" s="68"/>
      <c r="I651" s="71"/>
      <c r="J651" s="41"/>
      <c r="K651" s="41"/>
      <c r="L651" s="71"/>
      <c r="M651" s="71"/>
      <c r="N651" s="71"/>
      <c r="O651" s="71"/>
      <c r="P651" s="41"/>
      <c r="Q651" s="41"/>
      <c r="R651" s="71"/>
      <c r="S651" s="71"/>
      <c r="T651" s="75"/>
      <c r="U651" s="75"/>
      <c r="V651" s="75"/>
      <c r="W651" s="58" t="str">
        <f t="shared" si="47"/>
        <v/>
      </c>
      <c r="X651" s="59" t="str">
        <f t="shared" si="48"/>
        <v/>
      </c>
      <c r="Y651" s="41"/>
      <c r="Z651" s="41"/>
      <c r="AA651" s="41"/>
      <c r="AB651" s="68"/>
      <c r="AC651" s="69"/>
      <c r="AD651" s="66"/>
      <c r="AE651" s="66"/>
      <c r="AF651" s="66"/>
      <c r="AG651" s="60"/>
      <c r="AH651" s="61"/>
      <c r="AI651" s="62"/>
      <c r="AJ651" s="61"/>
      <c r="AK651" s="60"/>
      <c r="AL651" s="65"/>
    </row>
    <row r="652" spans="2:38" s="42" customFormat="1" x14ac:dyDescent="0.35">
      <c r="B652" s="55" t="str">
        <f t="shared" si="46"/>
        <v/>
      </c>
      <c r="C652" s="40"/>
      <c r="D652" s="40"/>
      <c r="E652" s="41"/>
      <c r="F652" s="41"/>
      <c r="G652" s="41"/>
      <c r="H652" s="68"/>
      <c r="I652" s="71"/>
      <c r="J652" s="41"/>
      <c r="K652" s="41"/>
      <c r="L652" s="71"/>
      <c r="M652" s="71"/>
      <c r="N652" s="71"/>
      <c r="O652" s="71"/>
      <c r="P652" s="41"/>
      <c r="Q652" s="41"/>
      <c r="R652" s="71"/>
      <c r="S652" s="71"/>
      <c r="T652" s="75"/>
      <c r="U652" s="75"/>
      <c r="V652" s="75"/>
      <c r="W652" s="58" t="str">
        <f t="shared" si="47"/>
        <v/>
      </c>
      <c r="X652" s="59" t="str">
        <f t="shared" si="48"/>
        <v/>
      </c>
      <c r="Y652" s="41"/>
      <c r="Z652" s="41"/>
      <c r="AA652" s="41"/>
      <c r="AB652" s="68"/>
      <c r="AC652" s="69"/>
      <c r="AD652" s="66"/>
      <c r="AE652" s="66"/>
      <c r="AF652" s="66"/>
      <c r="AG652" s="60"/>
      <c r="AH652" s="61"/>
      <c r="AI652" s="62"/>
      <c r="AJ652" s="61"/>
      <c r="AK652" s="60"/>
      <c r="AL652" s="65"/>
    </row>
    <row r="653" spans="2:38" s="42" customFormat="1" x14ac:dyDescent="0.35">
      <c r="B653" s="55" t="str">
        <f t="shared" si="46"/>
        <v/>
      </c>
      <c r="C653" s="40"/>
      <c r="D653" s="40"/>
      <c r="E653" s="41"/>
      <c r="F653" s="41"/>
      <c r="G653" s="41"/>
      <c r="H653" s="68"/>
      <c r="I653" s="71"/>
      <c r="J653" s="41"/>
      <c r="K653" s="41"/>
      <c r="L653" s="71"/>
      <c r="M653" s="71"/>
      <c r="N653" s="71"/>
      <c r="O653" s="71"/>
      <c r="P653" s="41"/>
      <c r="Q653" s="41"/>
      <c r="R653" s="71"/>
      <c r="S653" s="71"/>
      <c r="T653" s="75"/>
      <c r="U653" s="75"/>
      <c r="V653" s="75"/>
      <c r="W653" s="58" t="str">
        <f t="shared" si="47"/>
        <v/>
      </c>
      <c r="X653" s="59" t="str">
        <f t="shared" si="48"/>
        <v/>
      </c>
      <c r="Y653" s="41"/>
      <c r="Z653" s="41"/>
      <c r="AA653" s="41"/>
      <c r="AB653" s="68"/>
      <c r="AC653" s="69"/>
      <c r="AD653" s="66"/>
      <c r="AE653" s="66"/>
      <c r="AF653" s="66"/>
      <c r="AG653" s="60"/>
      <c r="AH653" s="61"/>
      <c r="AI653" s="62"/>
      <c r="AJ653" s="61"/>
      <c r="AK653" s="60"/>
      <c r="AL653" s="65"/>
    </row>
    <row r="654" spans="2:38" s="42" customFormat="1" x14ac:dyDescent="0.35">
      <c r="B654" s="55" t="str">
        <f t="shared" si="46"/>
        <v/>
      </c>
      <c r="C654" s="40"/>
      <c r="D654" s="40"/>
      <c r="E654" s="41"/>
      <c r="F654" s="41"/>
      <c r="G654" s="41"/>
      <c r="H654" s="68"/>
      <c r="I654" s="71"/>
      <c r="J654" s="41"/>
      <c r="K654" s="41"/>
      <c r="L654" s="71"/>
      <c r="M654" s="71"/>
      <c r="N654" s="71"/>
      <c r="O654" s="71"/>
      <c r="P654" s="41"/>
      <c r="Q654" s="41"/>
      <c r="R654" s="71"/>
      <c r="S654" s="71"/>
      <c r="T654" s="75"/>
      <c r="U654" s="75"/>
      <c r="V654" s="75"/>
      <c r="W654" s="58" t="str">
        <f t="shared" si="47"/>
        <v/>
      </c>
      <c r="X654" s="59" t="str">
        <f t="shared" si="48"/>
        <v/>
      </c>
      <c r="Y654" s="41"/>
      <c r="Z654" s="41"/>
      <c r="AA654" s="41"/>
      <c r="AB654" s="68"/>
      <c r="AC654" s="69"/>
      <c r="AD654" s="66"/>
      <c r="AE654" s="66"/>
      <c r="AF654" s="66"/>
      <c r="AG654" s="60"/>
      <c r="AH654" s="61"/>
      <c r="AI654" s="62"/>
      <c r="AJ654" s="61"/>
      <c r="AK654" s="60"/>
      <c r="AL654" s="65"/>
    </row>
    <row r="655" spans="2:38" s="42" customFormat="1" x14ac:dyDescent="0.35">
      <c r="B655" s="55" t="str">
        <f t="shared" si="46"/>
        <v/>
      </c>
      <c r="C655" s="40"/>
      <c r="D655" s="40"/>
      <c r="E655" s="41"/>
      <c r="F655" s="41"/>
      <c r="G655" s="41"/>
      <c r="H655" s="68"/>
      <c r="I655" s="71"/>
      <c r="J655" s="41"/>
      <c r="K655" s="41"/>
      <c r="L655" s="71"/>
      <c r="M655" s="71"/>
      <c r="N655" s="71"/>
      <c r="O655" s="71"/>
      <c r="P655" s="41"/>
      <c r="Q655" s="41"/>
      <c r="R655" s="71"/>
      <c r="S655" s="71"/>
      <c r="T655" s="75"/>
      <c r="U655" s="75"/>
      <c r="V655" s="75"/>
      <c r="W655" s="58" t="str">
        <f t="shared" si="47"/>
        <v/>
      </c>
      <c r="X655" s="59" t="str">
        <f t="shared" si="48"/>
        <v/>
      </c>
      <c r="Y655" s="41"/>
      <c r="Z655" s="41"/>
      <c r="AA655" s="41"/>
      <c r="AB655" s="68"/>
      <c r="AC655" s="69"/>
      <c r="AD655" s="66"/>
      <c r="AE655" s="66"/>
      <c r="AF655" s="66"/>
      <c r="AG655" s="60"/>
      <c r="AH655" s="61"/>
      <c r="AI655" s="62"/>
      <c r="AJ655" s="61"/>
      <c r="AK655" s="60"/>
      <c r="AL655" s="65"/>
    </row>
    <row r="656" spans="2:38" s="42" customFormat="1" x14ac:dyDescent="0.35">
      <c r="B656" s="55" t="str">
        <f t="shared" si="46"/>
        <v/>
      </c>
      <c r="C656" s="40"/>
      <c r="D656" s="40"/>
      <c r="E656" s="41"/>
      <c r="F656" s="41"/>
      <c r="G656" s="41"/>
      <c r="H656" s="68"/>
      <c r="I656" s="71"/>
      <c r="J656" s="41"/>
      <c r="K656" s="41"/>
      <c r="L656" s="71"/>
      <c r="M656" s="71"/>
      <c r="N656" s="71"/>
      <c r="O656" s="71"/>
      <c r="P656" s="41"/>
      <c r="Q656" s="41"/>
      <c r="R656" s="71"/>
      <c r="S656" s="71"/>
      <c r="T656" s="75"/>
      <c r="U656" s="75"/>
      <c r="V656" s="75"/>
      <c r="W656" s="58" t="str">
        <f t="shared" si="47"/>
        <v/>
      </c>
      <c r="X656" s="59" t="str">
        <f t="shared" si="48"/>
        <v/>
      </c>
      <c r="Y656" s="41"/>
      <c r="Z656" s="41"/>
      <c r="AA656" s="41"/>
      <c r="AB656" s="68"/>
      <c r="AC656" s="69"/>
      <c r="AD656" s="66"/>
      <c r="AE656" s="66"/>
      <c r="AF656" s="66"/>
      <c r="AG656" s="60"/>
      <c r="AH656" s="61"/>
      <c r="AI656" s="62"/>
      <c r="AJ656" s="61"/>
      <c r="AK656" s="60"/>
      <c r="AL656" s="65"/>
    </row>
    <row r="657" spans="2:38" s="42" customFormat="1" x14ac:dyDescent="0.35">
      <c r="B657" s="55" t="str">
        <f t="shared" si="46"/>
        <v/>
      </c>
      <c r="C657" s="40"/>
      <c r="D657" s="40"/>
      <c r="E657" s="41"/>
      <c r="F657" s="41"/>
      <c r="G657" s="41"/>
      <c r="H657" s="68"/>
      <c r="I657" s="71"/>
      <c r="J657" s="41"/>
      <c r="K657" s="41"/>
      <c r="L657" s="71"/>
      <c r="M657" s="71"/>
      <c r="N657" s="71"/>
      <c r="O657" s="71"/>
      <c r="P657" s="41"/>
      <c r="Q657" s="41"/>
      <c r="R657" s="71"/>
      <c r="S657" s="71"/>
      <c r="T657" s="75"/>
      <c r="U657" s="75"/>
      <c r="V657" s="75"/>
      <c r="W657" s="58" t="str">
        <f t="shared" si="47"/>
        <v/>
      </c>
      <c r="X657" s="59" t="str">
        <f t="shared" si="48"/>
        <v/>
      </c>
      <c r="Y657" s="41"/>
      <c r="Z657" s="41"/>
      <c r="AA657" s="41"/>
      <c r="AB657" s="68"/>
      <c r="AC657" s="69"/>
      <c r="AD657" s="66"/>
      <c r="AE657" s="66"/>
      <c r="AF657" s="66"/>
      <c r="AG657" s="60"/>
      <c r="AH657" s="61"/>
      <c r="AI657" s="62"/>
      <c r="AJ657" s="61"/>
      <c r="AK657" s="60"/>
      <c r="AL657" s="65"/>
    </row>
    <row r="658" spans="2:38" s="42" customFormat="1" x14ac:dyDescent="0.35">
      <c r="B658" s="55" t="str">
        <f t="shared" si="46"/>
        <v/>
      </c>
      <c r="C658" s="40"/>
      <c r="D658" s="40"/>
      <c r="E658" s="41"/>
      <c r="F658" s="41"/>
      <c r="G658" s="41"/>
      <c r="H658" s="68"/>
      <c r="I658" s="71"/>
      <c r="J658" s="41"/>
      <c r="K658" s="41"/>
      <c r="L658" s="71"/>
      <c r="M658" s="71"/>
      <c r="N658" s="71"/>
      <c r="O658" s="71"/>
      <c r="P658" s="41"/>
      <c r="Q658" s="41"/>
      <c r="R658" s="71"/>
      <c r="S658" s="71"/>
      <c r="T658" s="75"/>
      <c r="U658" s="75"/>
      <c r="V658" s="75"/>
      <c r="W658" s="58" t="str">
        <f t="shared" si="47"/>
        <v/>
      </c>
      <c r="X658" s="59" t="str">
        <f t="shared" si="48"/>
        <v/>
      </c>
      <c r="Y658" s="41"/>
      <c r="Z658" s="41"/>
      <c r="AA658" s="41"/>
      <c r="AB658" s="68"/>
      <c r="AC658" s="69"/>
      <c r="AD658" s="66"/>
      <c r="AE658" s="66"/>
      <c r="AF658" s="66"/>
      <c r="AG658" s="60"/>
      <c r="AH658" s="61"/>
      <c r="AI658" s="62"/>
      <c r="AJ658" s="61"/>
      <c r="AK658" s="60"/>
      <c r="AL658" s="65"/>
    </row>
    <row r="659" spans="2:38" s="42" customFormat="1" x14ac:dyDescent="0.35">
      <c r="B659" s="55" t="str">
        <f t="shared" si="46"/>
        <v/>
      </c>
      <c r="C659" s="40"/>
      <c r="D659" s="40"/>
      <c r="E659" s="41"/>
      <c r="F659" s="41"/>
      <c r="G659" s="41"/>
      <c r="H659" s="68"/>
      <c r="I659" s="71"/>
      <c r="J659" s="41"/>
      <c r="K659" s="41"/>
      <c r="L659" s="71"/>
      <c r="M659" s="71"/>
      <c r="N659" s="71"/>
      <c r="O659" s="71"/>
      <c r="P659" s="41"/>
      <c r="Q659" s="41"/>
      <c r="R659" s="71"/>
      <c r="S659" s="71"/>
      <c r="T659" s="75"/>
      <c r="U659" s="75"/>
      <c r="V659" s="75"/>
      <c r="W659" s="58" t="str">
        <f t="shared" si="47"/>
        <v/>
      </c>
      <c r="X659" s="59" t="str">
        <f t="shared" si="48"/>
        <v/>
      </c>
      <c r="Y659" s="41"/>
      <c r="Z659" s="41"/>
      <c r="AA659" s="41"/>
      <c r="AB659" s="68"/>
      <c r="AC659" s="69"/>
      <c r="AD659" s="66"/>
      <c r="AE659" s="66"/>
      <c r="AF659" s="66"/>
      <c r="AG659" s="60"/>
      <c r="AH659" s="61"/>
      <c r="AI659" s="62"/>
      <c r="AJ659" s="61"/>
      <c r="AK659" s="60"/>
      <c r="AL659" s="65"/>
    </row>
    <row r="660" spans="2:38" s="42" customFormat="1" x14ac:dyDescent="0.35">
      <c r="B660" s="55" t="str">
        <f t="shared" si="46"/>
        <v/>
      </c>
      <c r="C660" s="40"/>
      <c r="D660" s="40"/>
      <c r="E660" s="41"/>
      <c r="F660" s="41"/>
      <c r="G660" s="41"/>
      <c r="H660" s="68"/>
      <c r="I660" s="71"/>
      <c r="J660" s="41"/>
      <c r="K660" s="41"/>
      <c r="L660" s="71"/>
      <c r="M660" s="71"/>
      <c r="N660" s="71"/>
      <c r="O660" s="71"/>
      <c r="P660" s="41"/>
      <c r="Q660" s="41"/>
      <c r="R660" s="71"/>
      <c r="S660" s="71"/>
      <c r="T660" s="75"/>
      <c r="U660" s="75"/>
      <c r="V660" s="75"/>
      <c r="W660" s="58" t="str">
        <f t="shared" si="47"/>
        <v/>
      </c>
      <c r="X660" s="59" t="str">
        <f t="shared" si="48"/>
        <v/>
      </c>
      <c r="Y660" s="41"/>
      <c r="Z660" s="41"/>
      <c r="AA660" s="41"/>
      <c r="AB660" s="68"/>
      <c r="AC660" s="69"/>
      <c r="AD660" s="66"/>
      <c r="AE660" s="66"/>
      <c r="AF660" s="66"/>
      <c r="AG660" s="60"/>
      <c r="AH660" s="61"/>
      <c r="AI660" s="62"/>
      <c r="AJ660" s="61"/>
      <c r="AK660" s="60"/>
      <c r="AL660" s="65"/>
    </row>
    <row r="661" spans="2:38" s="42" customFormat="1" x14ac:dyDescent="0.35">
      <c r="B661" s="55" t="str">
        <f t="shared" si="46"/>
        <v/>
      </c>
      <c r="C661" s="40"/>
      <c r="D661" s="40"/>
      <c r="E661" s="41"/>
      <c r="F661" s="41"/>
      <c r="G661" s="41"/>
      <c r="H661" s="68"/>
      <c r="I661" s="71"/>
      <c r="J661" s="41"/>
      <c r="K661" s="41"/>
      <c r="L661" s="71"/>
      <c r="M661" s="71"/>
      <c r="N661" s="71"/>
      <c r="O661" s="71"/>
      <c r="P661" s="41"/>
      <c r="Q661" s="41"/>
      <c r="R661" s="71"/>
      <c r="S661" s="71"/>
      <c r="T661" s="75"/>
      <c r="U661" s="75"/>
      <c r="V661" s="75"/>
      <c r="W661" s="58" t="str">
        <f t="shared" si="47"/>
        <v/>
      </c>
      <c r="X661" s="59" t="str">
        <f t="shared" si="48"/>
        <v/>
      </c>
      <c r="Y661" s="41"/>
      <c r="Z661" s="41"/>
      <c r="AA661" s="41"/>
      <c r="AB661" s="68"/>
      <c r="AC661" s="69"/>
      <c r="AD661" s="66"/>
      <c r="AE661" s="66"/>
      <c r="AF661" s="66"/>
      <c r="AG661" s="60"/>
      <c r="AH661" s="61"/>
      <c r="AI661" s="62"/>
      <c r="AJ661" s="61"/>
      <c r="AK661" s="60"/>
      <c r="AL661" s="65"/>
    </row>
    <row r="662" spans="2:38" s="42" customFormat="1" x14ac:dyDescent="0.35">
      <c r="B662" s="55" t="str">
        <f t="shared" si="46"/>
        <v/>
      </c>
      <c r="C662" s="40"/>
      <c r="D662" s="40"/>
      <c r="E662" s="41"/>
      <c r="F662" s="41"/>
      <c r="G662" s="41"/>
      <c r="H662" s="68"/>
      <c r="I662" s="71"/>
      <c r="J662" s="41"/>
      <c r="K662" s="41"/>
      <c r="L662" s="71"/>
      <c r="M662" s="71"/>
      <c r="N662" s="71"/>
      <c r="O662" s="71"/>
      <c r="P662" s="41"/>
      <c r="Q662" s="41"/>
      <c r="R662" s="71"/>
      <c r="S662" s="71"/>
      <c r="T662" s="75"/>
      <c r="U662" s="75"/>
      <c r="V662" s="75"/>
      <c r="W662" s="58" t="str">
        <f t="shared" si="47"/>
        <v/>
      </c>
      <c r="X662" s="59" t="str">
        <f t="shared" si="48"/>
        <v/>
      </c>
      <c r="Y662" s="41"/>
      <c r="Z662" s="41"/>
      <c r="AA662" s="41"/>
      <c r="AB662" s="68"/>
      <c r="AC662" s="69"/>
      <c r="AD662" s="66"/>
      <c r="AE662" s="66"/>
      <c r="AF662" s="66"/>
      <c r="AG662" s="60"/>
      <c r="AH662" s="61"/>
      <c r="AI662" s="62"/>
      <c r="AJ662" s="61"/>
      <c r="AK662" s="60"/>
      <c r="AL662" s="65"/>
    </row>
    <row r="663" spans="2:38" s="42" customFormat="1" x14ac:dyDescent="0.35">
      <c r="B663" s="55" t="str">
        <f t="shared" si="46"/>
        <v/>
      </c>
      <c r="C663" s="40"/>
      <c r="D663" s="40"/>
      <c r="E663" s="41"/>
      <c r="F663" s="41"/>
      <c r="G663" s="41"/>
      <c r="H663" s="68"/>
      <c r="I663" s="71"/>
      <c r="J663" s="41"/>
      <c r="K663" s="41"/>
      <c r="L663" s="71"/>
      <c r="M663" s="71"/>
      <c r="N663" s="71"/>
      <c r="O663" s="71"/>
      <c r="P663" s="41"/>
      <c r="Q663" s="41"/>
      <c r="R663" s="71"/>
      <c r="S663" s="71"/>
      <c r="T663" s="75"/>
      <c r="U663" s="75"/>
      <c r="V663" s="75"/>
      <c r="W663" s="58" t="str">
        <f t="shared" si="47"/>
        <v/>
      </c>
      <c r="X663" s="59" t="str">
        <f t="shared" si="48"/>
        <v/>
      </c>
      <c r="Y663" s="41"/>
      <c r="Z663" s="41"/>
      <c r="AA663" s="41"/>
      <c r="AB663" s="68"/>
      <c r="AC663" s="69"/>
      <c r="AD663" s="66"/>
      <c r="AE663" s="66"/>
      <c r="AF663" s="66"/>
      <c r="AG663" s="60"/>
      <c r="AH663" s="61"/>
      <c r="AI663" s="62"/>
      <c r="AJ663" s="61"/>
      <c r="AK663" s="60"/>
      <c r="AL663" s="65"/>
    </row>
    <row r="664" spans="2:38" s="42" customFormat="1" x14ac:dyDescent="0.35">
      <c r="B664" s="55" t="str">
        <f t="shared" si="46"/>
        <v/>
      </c>
      <c r="C664" s="40"/>
      <c r="D664" s="40"/>
      <c r="E664" s="41"/>
      <c r="F664" s="41"/>
      <c r="G664" s="41"/>
      <c r="H664" s="68"/>
      <c r="I664" s="71"/>
      <c r="J664" s="41"/>
      <c r="K664" s="41"/>
      <c r="L664" s="71"/>
      <c r="M664" s="71"/>
      <c r="N664" s="71"/>
      <c r="O664" s="71"/>
      <c r="P664" s="41"/>
      <c r="Q664" s="41"/>
      <c r="R664" s="71"/>
      <c r="S664" s="71"/>
      <c r="T664" s="75"/>
      <c r="U664" s="75"/>
      <c r="V664" s="75"/>
      <c r="W664" s="58" t="str">
        <f t="shared" si="47"/>
        <v/>
      </c>
      <c r="X664" s="59" t="str">
        <f t="shared" si="48"/>
        <v/>
      </c>
      <c r="Y664" s="41"/>
      <c r="Z664" s="41"/>
      <c r="AA664" s="41"/>
      <c r="AB664" s="68"/>
      <c r="AC664" s="69"/>
      <c r="AD664" s="66"/>
      <c r="AE664" s="66"/>
      <c r="AF664" s="66"/>
      <c r="AG664" s="60"/>
      <c r="AH664" s="61"/>
      <c r="AI664" s="62"/>
      <c r="AJ664" s="61"/>
      <c r="AK664" s="60"/>
      <c r="AL664" s="65"/>
    </row>
    <row r="665" spans="2:38" s="42" customFormat="1" x14ac:dyDescent="0.35">
      <c r="B665" s="55" t="str">
        <f t="shared" si="46"/>
        <v/>
      </c>
      <c r="C665" s="40"/>
      <c r="D665" s="40"/>
      <c r="E665" s="41"/>
      <c r="F665" s="41"/>
      <c r="G665" s="41"/>
      <c r="H665" s="68"/>
      <c r="I665" s="71"/>
      <c r="J665" s="41"/>
      <c r="K665" s="41"/>
      <c r="L665" s="71"/>
      <c r="M665" s="71"/>
      <c r="N665" s="71"/>
      <c r="O665" s="71"/>
      <c r="P665" s="41"/>
      <c r="Q665" s="41"/>
      <c r="R665" s="71"/>
      <c r="S665" s="71"/>
      <c r="T665" s="75"/>
      <c r="U665" s="75"/>
      <c r="V665" s="75"/>
      <c r="W665" s="58" t="str">
        <f t="shared" si="47"/>
        <v/>
      </c>
      <c r="X665" s="59" t="str">
        <f t="shared" si="48"/>
        <v/>
      </c>
      <c r="Y665" s="41"/>
      <c r="Z665" s="41"/>
      <c r="AA665" s="41"/>
      <c r="AB665" s="68"/>
      <c r="AC665" s="69"/>
      <c r="AD665" s="66"/>
      <c r="AE665" s="66"/>
      <c r="AF665" s="66"/>
      <c r="AG665" s="60"/>
      <c r="AH665" s="61"/>
      <c r="AI665" s="62"/>
      <c r="AJ665" s="61"/>
      <c r="AK665" s="60"/>
      <c r="AL665" s="65"/>
    </row>
    <row r="666" spans="2:38" s="42" customFormat="1" x14ac:dyDescent="0.35">
      <c r="B666" s="55" t="str">
        <f t="shared" si="46"/>
        <v/>
      </c>
      <c r="C666" s="40"/>
      <c r="D666" s="40"/>
      <c r="E666" s="41"/>
      <c r="F666" s="41"/>
      <c r="G666" s="41"/>
      <c r="H666" s="68"/>
      <c r="I666" s="71"/>
      <c r="J666" s="41"/>
      <c r="K666" s="41"/>
      <c r="L666" s="71"/>
      <c r="M666" s="71"/>
      <c r="N666" s="71"/>
      <c r="O666" s="71"/>
      <c r="P666" s="41"/>
      <c r="Q666" s="41"/>
      <c r="R666" s="71"/>
      <c r="S666" s="71"/>
      <c r="T666" s="75"/>
      <c r="U666" s="75"/>
      <c r="V666" s="75"/>
      <c r="W666" s="58" t="str">
        <f t="shared" si="47"/>
        <v/>
      </c>
      <c r="X666" s="59" t="str">
        <f t="shared" si="48"/>
        <v/>
      </c>
      <c r="Y666" s="41"/>
      <c r="Z666" s="41"/>
      <c r="AA666" s="41"/>
      <c r="AB666" s="68"/>
      <c r="AC666" s="69"/>
      <c r="AD666" s="66"/>
      <c r="AE666" s="66"/>
      <c r="AF666" s="66"/>
      <c r="AG666" s="60"/>
      <c r="AH666" s="61"/>
      <c r="AI666" s="62"/>
      <c r="AJ666" s="61"/>
      <c r="AK666" s="60"/>
      <c r="AL666" s="65"/>
    </row>
    <row r="667" spans="2:38" s="42" customFormat="1" x14ac:dyDescent="0.35">
      <c r="B667" s="55" t="str">
        <f t="shared" si="46"/>
        <v/>
      </c>
      <c r="C667" s="40"/>
      <c r="D667" s="40"/>
      <c r="E667" s="41"/>
      <c r="F667" s="41"/>
      <c r="G667" s="41"/>
      <c r="H667" s="68"/>
      <c r="I667" s="71"/>
      <c r="J667" s="41"/>
      <c r="K667" s="41"/>
      <c r="L667" s="71"/>
      <c r="M667" s="71"/>
      <c r="N667" s="71"/>
      <c r="O667" s="71"/>
      <c r="P667" s="41"/>
      <c r="Q667" s="41"/>
      <c r="R667" s="71"/>
      <c r="S667" s="71"/>
      <c r="T667" s="75"/>
      <c r="U667" s="75"/>
      <c r="V667" s="75"/>
      <c r="W667" s="58" t="str">
        <f t="shared" si="47"/>
        <v/>
      </c>
      <c r="X667" s="59" t="str">
        <f t="shared" si="48"/>
        <v/>
      </c>
      <c r="Y667" s="41"/>
      <c r="Z667" s="41"/>
      <c r="AA667" s="41"/>
      <c r="AB667" s="68"/>
      <c r="AC667" s="69"/>
      <c r="AD667" s="66"/>
      <c r="AE667" s="66"/>
      <c r="AF667" s="66"/>
      <c r="AG667" s="60"/>
      <c r="AH667" s="61"/>
      <c r="AI667" s="62"/>
      <c r="AJ667" s="61"/>
      <c r="AK667" s="60"/>
      <c r="AL667" s="65"/>
    </row>
    <row r="668" spans="2:38" s="42" customFormat="1" x14ac:dyDescent="0.35">
      <c r="B668" s="55" t="str">
        <f t="shared" si="46"/>
        <v/>
      </c>
      <c r="C668" s="40"/>
      <c r="D668" s="40"/>
      <c r="E668" s="41"/>
      <c r="F668" s="41"/>
      <c r="G668" s="41"/>
      <c r="H668" s="68"/>
      <c r="I668" s="71"/>
      <c r="J668" s="41"/>
      <c r="K668" s="41"/>
      <c r="L668" s="71"/>
      <c r="M668" s="71"/>
      <c r="N668" s="71"/>
      <c r="O668" s="71"/>
      <c r="P668" s="41"/>
      <c r="Q668" s="41"/>
      <c r="R668" s="71"/>
      <c r="S668" s="71"/>
      <c r="T668" s="75"/>
      <c r="U668" s="75"/>
      <c r="V668" s="75"/>
      <c r="W668" s="58" t="str">
        <f t="shared" si="47"/>
        <v/>
      </c>
      <c r="X668" s="59" t="str">
        <f t="shared" si="48"/>
        <v/>
      </c>
      <c r="Y668" s="41"/>
      <c r="Z668" s="41"/>
      <c r="AA668" s="41"/>
      <c r="AB668" s="68"/>
      <c r="AC668" s="69"/>
      <c r="AD668" s="66"/>
      <c r="AE668" s="66"/>
      <c r="AF668" s="66"/>
      <c r="AG668" s="60"/>
      <c r="AH668" s="61"/>
      <c r="AI668" s="62"/>
      <c r="AJ668" s="61"/>
      <c r="AK668" s="60"/>
      <c r="AL668" s="65"/>
    </row>
    <row r="669" spans="2:38" s="42" customFormat="1" x14ac:dyDescent="0.35">
      <c r="B669" s="55" t="str">
        <f t="shared" si="46"/>
        <v/>
      </c>
      <c r="C669" s="40"/>
      <c r="D669" s="40"/>
      <c r="E669" s="41"/>
      <c r="F669" s="41"/>
      <c r="G669" s="41"/>
      <c r="H669" s="68"/>
      <c r="I669" s="71"/>
      <c r="J669" s="41"/>
      <c r="K669" s="41"/>
      <c r="L669" s="71"/>
      <c r="M669" s="71"/>
      <c r="N669" s="71"/>
      <c r="O669" s="71"/>
      <c r="P669" s="41"/>
      <c r="Q669" s="41"/>
      <c r="R669" s="71"/>
      <c r="S669" s="71"/>
      <c r="T669" s="75"/>
      <c r="U669" s="75"/>
      <c r="V669" s="75"/>
      <c r="W669" s="58" t="str">
        <f t="shared" si="47"/>
        <v/>
      </c>
      <c r="X669" s="59" t="str">
        <f t="shared" si="48"/>
        <v/>
      </c>
      <c r="Y669" s="41"/>
      <c r="Z669" s="41"/>
      <c r="AA669" s="41"/>
      <c r="AB669" s="68"/>
      <c r="AC669" s="69"/>
      <c r="AD669" s="66"/>
      <c r="AE669" s="66"/>
      <c r="AF669" s="66"/>
      <c r="AG669" s="60"/>
      <c r="AH669" s="61"/>
      <c r="AI669" s="62"/>
      <c r="AJ669" s="61"/>
      <c r="AK669" s="60"/>
      <c r="AL669" s="65"/>
    </row>
    <row r="670" spans="2:38" s="42" customFormat="1" x14ac:dyDescent="0.35">
      <c r="B670" s="55" t="str">
        <f t="shared" si="46"/>
        <v/>
      </c>
      <c r="C670" s="40"/>
      <c r="D670" s="40"/>
      <c r="E670" s="41"/>
      <c r="F670" s="41"/>
      <c r="G670" s="41"/>
      <c r="H670" s="68"/>
      <c r="I670" s="71"/>
      <c r="J670" s="41"/>
      <c r="K670" s="41"/>
      <c r="L670" s="71"/>
      <c r="M670" s="71"/>
      <c r="N670" s="71"/>
      <c r="O670" s="71"/>
      <c r="P670" s="41"/>
      <c r="Q670" s="41"/>
      <c r="R670" s="71"/>
      <c r="S670" s="71"/>
      <c r="T670" s="75"/>
      <c r="U670" s="75"/>
      <c r="V670" s="75"/>
      <c r="W670" s="58" t="str">
        <f t="shared" si="47"/>
        <v/>
      </c>
      <c r="X670" s="59" t="str">
        <f t="shared" si="48"/>
        <v/>
      </c>
      <c r="Y670" s="41"/>
      <c r="Z670" s="41"/>
      <c r="AA670" s="41"/>
      <c r="AB670" s="68"/>
      <c r="AC670" s="69"/>
      <c r="AD670" s="66"/>
      <c r="AE670" s="66"/>
      <c r="AF670" s="66"/>
      <c r="AG670" s="60"/>
      <c r="AH670" s="61"/>
      <c r="AI670" s="62"/>
      <c r="AJ670" s="61"/>
      <c r="AK670" s="60"/>
      <c r="AL670" s="65"/>
    </row>
    <row r="671" spans="2:38" s="42" customFormat="1" x14ac:dyDescent="0.35">
      <c r="B671" s="55" t="str">
        <f t="shared" si="46"/>
        <v/>
      </c>
      <c r="C671" s="40"/>
      <c r="D671" s="40"/>
      <c r="E671" s="41"/>
      <c r="F671" s="41"/>
      <c r="G671" s="41"/>
      <c r="H671" s="68"/>
      <c r="I671" s="71"/>
      <c r="J671" s="41"/>
      <c r="K671" s="41"/>
      <c r="L671" s="71"/>
      <c r="M671" s="71"/>
      <c r="N671" s="71"/>
      <c r="O671" s="71"/>
      <c r="P671" s="41"/>
      <c r="Q671" s="41"/>
      <c r="R671" s="71"/>
      <c r="S671" s="71"/>
      <c r="T671" s="75"/>
      <c r="U671" s="75"/>
      <c r="V671" s="75"/>
      <c r="W671" s="58" t="str">
        <f t="shared" si="47"/>
        <v/>
      </c>
      <c r="X671" s="59" t="str">
        <f t="shared" si="48"/>
        <v/>
      </c>
      <c r="Y671" s="41"/>
      <c r="Z671" s="41"/>
      <c r="AA671" s="41"/>
      <c r="AB671" s="68"/>
      <c r="AC671" s="69"/>
      <c r="AD671" s="66"/>
      <c r="AE671" s="66"/>
      <c r="AF671" s="66"/>
      <c r="AG671" s="60"/>
      <c r="AH671" s="61"/>
      <c r="AI671" s="62"/>
      <c r="AJ671" s="61"/>
      <c r="AK671" s="60"/>
      <c r="AL671" s="65"/>
    </row>
    <row r="672" spans="2:38" s="42" customFormat="1" x14ac:dyDescent="0.35">
      <c r="B672" s="55" t="str">
        <f t="shared" si="46"/>
        <v/>
      </c>
      <c r="C672" s="40"/>
      <c r="D672" s="40"/>
      <c r="E672" s="41"/>
      <c r="F672" s="41"/>
      <c r="G672" s="41"/>
      <c r="H672" s="68"/>
      <c r="I672" s="71"/>
      <c r="J672" s="41"/>
      <c r="K672" s="41"/>
      <c r="L672" s="71"/>
      <c r="M672" s="71"/>
      <c r="N672" s="71"/>
      <c r="O672" s="71"/>
      <c r="P672" s="41"/>
      <c r="Q672" s="41"/>
      <c r="R672" s="71"/>
      <c r="S672" s="71"/>
      <c r="T672" s="75"/>
      <c r="U672" s="75"/>
      <c r="V672" s="75"/>
      <c r="W672" s="58" t="str">
        <f t="shared" si="47"/>
        <v/>
      </c>
      <c r="X672" s="59" t="str">
        <f t="shared" si="48"/>
        <v/>
      </c>
      <c r="Y672" s="41"/>
      <c r="Z672" s="41"/>
      <c r="AA672" s="41"/>
      <c r="AB672" s="68"/>
      <c r="AC672" s="69"/>
      <c r="AD672" s="66"/>
      <c r="AE672" s="66"/>
      <c r="AF672" s="66"/>
      <c r="AG672" s="60"/>
      <c r="AH672" s="61"/>
      <c r="AI672" s="62"/>
      <c r="AJ672" s="61"/>
      <c r="AK672" s="60"/>
      <c r="AL672" s="65"/>
    </row>
    <row r="673" spans="2:38" s="42" customFormat="1" x14ac:dyDescent="0.35">
      <c r="B673" s="55" t="str">
        <f t="shared" si="46"/>
        <v/>
      </c>
      <c r="C673" s="40"/>
      <c r="D673" s="40"/>
      <c r="E673" s="41"/>
      <c r="F673" s="41"/>
      <c r="G673" s="41"/>
      <c r="H673" s="68"/>
      <c r="I673" s="71"/>
      <c r="J673" s="41"/>
      <c r="K673" s="41"/>
      <c r="L673" s="71"/>
      <c r="M673" s="71"/>
      <c r="N673" s="71"/>
      <c r="O673" s="71"/>
      <c r="P673" s="41"/>
      <c r="Q673" s="41"/>
      <c r="R673" s="71"/>
      <c r="S673" s="71"/>
      <c r="T673" s="75"/>
      <c r="U673" s="75"/>
      <c r="V673" s="75"/>
      <c r="W673" s="58" t="str">
        <f t="shared" si="47"/>
        <v/>
      </c>
      <c r="X673" s="59" t="str">
        <f t="shared" si="48"/>
        <v/>
      </c>
      <c r="Y673" s="41"/>
      <c r="Z673" s="41"/>
      <c r="AA673" s="41"/>
      <c r="AB673" s="68"/>
      <c r="AC673" s="69"/>
      <c r="AD673" s="66"/>
      <c r="AE673" s="66"/>
      <c r="AF673" s="66"/>
      <c r="AG673" s="60"/>
      <c r="AH673" s="61"/>
      <c r="AI673" s="62"/>
      <c r="AJ673" s="61"/>
      <c r="AK673" s="60"/>
      <c r="AL673" s="65"/>
    </row>
    <row r="674" spans="2:38" s="42" customFormat="1" x14ac:dyDescent="0.35">
      <c r="B674" s="55" t="str">
        <f t="shared" si="46"/>
        <v/>
      </c>
      <c r="C674" s="40"/>
      <c r="D674" s="40"/>
      <c r="E674" s="41"/>
      <c r="F674" s="41"/>
      <c r="G674" s="41"/>
      <c r="H674" s="68"/>
      <c r="I674" s="71"/>
      <c r="J674" s="41"/>
      <c r="K674" s="41"/>
      <c r="L674" s="71"/>
      <c r="M674" s="71"/>
      <c r="N674" s="71"/>
      <c r="O674" s="71"/>
      <c r="P674" s="41"/>
      <c r="Q674" s="41"/>
      <c r="R674" s="71"/>
      <c r="S674" s="71"/>
      <c r="T674" s="75"/>
      <c r="U674" s="75"/>
      <c r="V674" s="75"/>
      <c r="W674" s="58" t="str">
        <f t="shared" si="47"/>
        <v/>
      </c>
      <c r="X674" s="59" t="str">
        <f t="shared" si="48"/>
        <v/>
      </c>
      <c r="Y674" s="41"/>
      <c r="Z674" s="41"/>
      <c r="AA674" s="41"/>
      <c r="AB674" s="68"/>
      <c r="AC674" s="69"/>
      <c r="AD674" s="66"/>
      <c r="AE674" s="66"/>
      <c r="AF674" s="66"/>
      <c r="AG674" s="60"/>
      <c r="AH674" s="61"/>
      <c r="AI674" s="62"/>
      <c r="AJ674" s="61"/>
      <c r="AK674" s="60"/>
      <c r="AL674" s="65"/>
    </row>
    <row r="675" spans="2:38" s="42" customFormat="1" x14ac:dyDescent="0.35">
      <c r="B675" s="55" t="str">
        <f t="shared" si="46"/>
        <v/>
      </c>
      <c r="C675" s="40"/>
      <c r="D675" s="40"/>
      <c r="E675" s="41"/>
      <c r="F675" s="41"/>
      <c r="G675" s="41"/>
      <c r="H675" s="68"/>
      <c r="I675" s="71"/>
      <c r="J675" s="41"/>
      <c r="K675" s="41"/>
      <c r="L675" s="71"/>
      <c r="M675" s="71"/>
      <c r="N675" s="71"/>
      <c r="O675" s="71"/>
      <c r="P675" s="41"/>
      <c r="Q675" s="41"/>
      <c r="R675" s="71"/>
      <c r="S675" s="71"/>
      <c r="T675" s="75"/>
      <c r="U675" s="75"/>
      <c r="V675" s="75"/>
      <c r="W675" s="58" t="str">
        <f t="shared" si="47"/>
        <v/>
      </c>
      <c r="X675" s="59" t="str">
        <f t="shared" si="48"/>
        <v/>
      </c>
      <c r="Y675" s="41"/>
      <c r="Z675" s="41"/>
      <c r="AA675" s="41"/>
      <c r="AB675" s="68"/>
      <c r="AC675" s="69"/>
      <c r="AD675" s="66"/>
      <c r="AE675" s="66"/>
      <c r="AF675" s="66"/>
      <c r="AG675" s="60"/>
      <c r="AH675" s="61"/>
      <c r="AI675" s="62"/>
      <c r="AJ675" s="61"/>
      <c r="AK675" s="60"/>
      <c r="AL675" s="65"/>
    </row>
    <row r="676" spans="2:38" s="42" customFormat="1" x14ac:dyDescent="0.35">
      <c r="B676" s="55" t="str">
        <f t="shared" si="46"/>
        <v/>
      </c>
      <c r="C676" s="40"/>
      <c r="D676" s="40"/>
      <c r="E676" s="41"/>
      <c r="F676" s="41"/>
      <c r="G676" s="41"/>
      <c r="H676" s="68"/>
      <c r="I676" s="71"/>
      <c r="J676" s="41"/>
      <c r="K676" s="41"/>
      <c r="L676" s="71"/>
      <c r="M676" s="71"/>
      <c r="N676" s="71"/>
      <c r="O676" s="71"/>
      <c r="P676" s="41"/>
      <c r="Q676" s="41"/>
      <c r="R676" s="71"/>
      <c r="S676" s="71"/>
      <c r="T676" s="75"/>
      <c r="U676" s="75"/>
      <c r="V676" s="75"/>
      <c r="W676" s="58" t="str">
        <f t="shared" si="47"/>
        <v/>
      </c>
      <c r="X676" s="59" t="str">
        <f t="shared" si="48"/>
        <v/>
      </c>
      <c r="Y676" s="41"/>
      <c r="Z676" s="41"/>
      <c r="AA676" s="41"/>
      <c r="AB676" s="68"/>
      <c r="AC676" s="69"/>
      <c r="AD676" s="66"/>
      <c r="AE676" s="66"/>
      <c r="AF676" s="66"/>
      <c r="AG676" s="60"/>
      <c r="AH676" s="61"/>
      <c r="AI676" s="62"/>
      <c r="AJ676" s="61"/>
      <c r="AK676" s="60"/>
      <c r="AL676" s="65"/>
    </row>
    <row r="677" spans="2:38" s="42" customFormat="1" x14ac:dyDescent="0.35">
      <c r="B677" s="55" t="str">
        <f t="shared" si="46"/>
        <v/>
      </c>
      <c r="C677" s="40"/>
      <c r="D677" s="40"/>
      <c r="E677" s="41"/>
      <c r="F677" s="41"/>
      <c r="G677" s="41"/>
      <c r="H677" s="68"/>
      <c r="I677" s="71"/>
      <c r="J677" s="41"/>
      <c r="K677" s="41"/>
      <c r="L677" s="71"/>
      <c r="M677" s="71"/>
      <c r="N677" s="71"/>
      <c r="O677" s="71"/>
      <c r="P677" s="41"/>
      <c r="Q677" s="41"/>
      <c r="R677" s="71"/>
      <c r="S677" s="71"/>
      <c r="T677" s="75"/>
      <c r="U677" s="75"/>
      <c r="V677" s="75"/>
      <c r="W677" s="58" t="str">
        <f t="shared" si="47"/>
        <v/>
      </c>
      <c r="X677" s="59" t="str">
        <f t="shared" si="48"/>
        <v/>
      </c>
      <c r="Y677" s="41"/>
      <c r="Z677" s="41"/>
      <c r="AA677" s="41"/>
      <c r="AB677" s="68"/>
      <c r="AC677" s="69"/>
      <c r="AD677" s="66"/>
      <c r="AE677" s="66"/>
      <c r="AF677" s="66"/>
      <c r="AG677" s="60"/>
      <c r="AH677" s="61"/>
      <c r="AI677" s="62"/>
      <c r="AJ677" s="61"/>
      <c r="AK677" s="60"/>
      <c r="AL677" s="65"/>
    </row>
    <row r="678" spans="2:38" s="42" customFormat="1" x14ac:dyDescent="0.35">
      <c r="B678" s="55" t="str">
        <f t="shared" si="46"/>
        <v/>
      </c>
      <c r="C678" s="40"/>
      <c r="D678" s="40"/>
      <c r="E678" s="41"/>
      <c r="F678" s="41"/>
      <c r="G678" s="41"/>
      <c r="H678" s="68"/>
      <c r="I678" s="71"/>
      <c r="J678" s="41"/>
      <c r="K678" s="41"/>
      <c r="L678" s="71"/>
      <c r="M678" s="71"/>
      <c r="N678" s="71"/>
      <c r="O678" s="71"/>
      <c r="P678" s="41"/>
      <c r="Q678" s="41"/>
      <c r="R678" s="71"/>
      <c r="S678" s="71"/>
      <c r="T678" s="75"/>
      <c r="U678" s="75"/>
      <c r="V678" s="75"/>
      <c r="W678" s="58" t="str">
        <f t="shared" si="47"/>
        <v/>
      </c>
      <c r="X678" s="59" t="str">
        <f t="shared" si="48"/>
        <v/>
      </c>
      <c r="Y678" s="41"/>
      <c r="Z678" s="41"/>
      <c r="AA678" s="41"/>
      <c r="AB678" s="68"/>
      <c r="AC678" s="69"/>
      <c r="AD678" s="66"/>
      <c r="AE678" s="66"/>
      <c r="AF678" s="66"/>
      <c r="AG678" s="60"/>
      <c r="AH678" s="61"/>
      <c r="AI678" s="62"/>
      <c r="AJ678" s="61"/>
      <c r="AK678" s="60"/>
      <c r="AL678" s="65"/>
    </row>
    <row r="679" spans="2:38" s="42" customFormat="1" x14ac:dyDescent="0.35">
      <c r="B679" s="55" t="str">
        <f t="shared" si="46"/>
        <v/>
      </c>
      <c r="C679" s="40"/>
      <c r="D679" s="40"/>
      <c r="E679" s="41"/>
      <c r="F679" s="41"/>
      <c r="G679" s="41"/>
      <c r="H679" s="68"/>
      <c r="I679" s="71"/>
      <c r="J679" s="41"/>
      <c r="K679" s="41"/>
      <c r="L679" s="71"/>
      <c r="M679" s="71"/>
      <c r="N679" s="71"/>
      <c r="O679" s="71"/>
      <c r="P679" s="41"/>
      <c r="Q679" s="41"/>
      <c r="R679" s="71"/>
      <c r="S679" s="71"/>
      <c r="T679" s="75"/>
      <c r="U679" s="75"/>
      <c r="V679" s="75"/>
      <c r="W679" s="58" t="str">
        <f t="shared" si="47"/>
        <v/>
      </c>
      <c r="X679" s="59" t="str">
        <f t="shared" si="48"/>
        <v/>
      </c>
      <c r="Y679" s="41"/>
      <c r="Z679" s="41"/>
      <c r="AA679" s="41"/>
      <c r="AB679" s="68"/>
      <c r="AC679" s="69"/>
      <c r="AD679" s="66"/>
      <c r="AE679" s="66"/>
      <c r="AF679" s="66"/>
      <c r="AG679" s="60"/>
      <c r="AH679" s="61"/>
      <c r="AI679" s="62"/>
      <c r="AJ679" s="61"/>
      <c r="AK679" s="60"/>
      <c r="AL679" s="65"/>
    </row>
    <row r="680" spans="2:38" s="42" customFormat="1" x14ac:dyDescent="0.35">
      <c r="B680" s="55" t="str">
        <f t="shared" si="46"/>
        <v/>
      </c>
      <c r="C680" s="40"/>
      <c r="D680" s="40"/>
      <c r="E680" s="41"/>
      <c r="F680" s="41"/>
      <c r="G680" s="41"/>
      <c r="H680" s="68"/>
      <c r="I680" s="71"/>
      <c r="J680" s="41"/>
      <c r="K680" s="41"/>
      <c r="L680" s="71"/>
      <c r="M680" s="71"/>
      <c r="N680" s="71"/>
      <c r="O680" s="71"/>
      <c r="P680" s="41"/>
      <c r="Q680" s="41"/>
      <c r="R680" s="71"/>
      <c r="S680" s="71"/>
      <c r="T680" s="75"/>
      <c r="U680" s="75"/>
      <c r="V680" s="75"/>
      <c r="W680" s="58" t="str">
        <f t="shared" si="47"/>
        <v/>
      </c>
      <c r="X680" s="59" t="str">
        <f t="shared" si="48"/>
        <v/>
      </c>
      <c r="Y680" s="41"/>
      <c r="Z680" s="41"/>
      <c r="AA680" s="41"/>
      <c r="AB680" s="68"/>
      <c r="AC680" s="69"/>
      <c r="AD680" s="66"/>
      <c r="AE680" s="66"/>
      <c r="AF680" s="66"/>
      <c r="AG680" s="60"/>
      <c r="AH680" s="61"/>
      <c r="AI680" s="62"/>
      <c r="AJ680" s="61"/>
      <c r="AK680" s="60"/>
      <c r="AL680" s="65"/>
    </row>
    <row r="681" spans="2:38" s="42" customFormat="1" x14ac:dyDescent="0.35">
      <c r="B681" s="55" t="str">
        <f t="shared" si="46"/>
        <v/>
      </c>
      <c r="C681" s="40"/>
      <c r="D681" s="40"/>
      <c r="E681" s="41"/>
      <c r="F681" s="41"/>
      <c r="G681" s="41"/>
      <c r="H681" s="68"/>
      <c r="I681" s="71"/>
      <c r="J681" s="41"/>
      <c r="K681" s="41"/>
      <c r="L681" s="71"/>
      <c r="M681" s="71"/>
      <c r="N681" s="71"/>
      <c r="O681" s="71"/>
      <c r="P681" s="41"/>
      <c r="Q681" s="41"/>
      <c r="R681" s="71"/>
      <c r="S681" s="71"/>
      <c r="T681" s="75"/>
      <c r="U681" s="75"/>
      <c r="V681" s="75"/>
      <c r="W681" s="58" t="str">
        <f t="shared" si="47"/>
        <v/>
      </c>
      <c r="X681" s="59" t="str">
        <f t="shared" si="48"/>
        <v/>
      </c>
      <c r="Y681" s="41"/>
      <c r="Z681" s="41"/>
      <c r="AA681" s="41"/>
      <c r="AB681" s="68"/>
      <c r="AC681" s="69"/>
      <c r="AD681" s="66"/>
      <c r="AE681" s="66"/>
      <c r="AF681" s="66"/>
      <c r="AG681" s="60"/>
      <c r="AH681" s="61"/>
      <c r="AI681" s="62"/>
      <c r="AJ681" s="61"/>
      <c r="AK681" s="60"/>
      <c r="AL681" s="65"/>
    </row>
    <row r="682" spans="2:38" s="42" customFormat="1" x14ac:dyDescent="0.35">
      <c r="B682" s="55" t="str">
        <f t="shared" si="46"/>
        <v/>
      </c>
      <c r="C682" s="40"/>
      <c r="D682" s="40"/>
      <c r="E682" s="41"/>
      <c r="F682" s="41"/>
      <c r="G682" s="41"/>
      <c r="H682" s="68"/>
      <c r="I682" s="71"/>
      <c r="J682" s="41"/>
      <c r="K682" s="41"/>
      <c r="L682" s="71"/>
      <c r="M682" s="71"/>
      <c r="N682" s="71"/>
      <c r="O682" s="71"/>
      <c r="P682" s="41"/>
      <c r="Q682" s="41"/>
      <c r="R682" s="71"/>
      <c r="S682" s="71"/>
      <c r="T682" s="75"/>
      <c r="U682" s="75"/>
      <c r="V682" s="75"/>
      <c r="W682" s="58" t="str">
        <f t="shared" si="47"/>
        <v/>
      </c>
      <c r="X682" s="59" t="str">
        <f t="shared" si="48"/>
        <v/>
      </c>
      <c r="Y682" s="41"/>
      <c r="Z682" s="41"/>
      <c r="AA682" s="41"/>
      <c r="AB682" s="68"/>
      <c r="AC682" s="69"/>
      <c r="AD682" s="66"/>
      <c r="AE682" s="66"/>
      <c r="AF682" s="66"/>
      <c r="AG682" s="60"/>
      <c r="AH682" s="61"/>
      <c r="AI682" s="62"/>
      <c r="AJ682" s="61"/>
      <c r="AK682" s="60"/>
      <c r="AL682" s="65"/>
    </row>
    <row r="683" spans="2:38" s="42" customFormat="1" x14ac:dyDescent="0.35">
      <c r="B683" s="55" t="str">
        <f t="shared" si="46"/>
        <v/>
      </c>
      <c r="C683" s="40"/>
      <c r="D683" s="40"/>
      <c r="E683" s="41"/>
      <c r="F683" s="41"/>
      <c r="G683" s="41"/>
      <c r="H683" s="68"/>
      <c r="I683" s="71"/>
      <c r="J683" s="41"/>
      <c r="K683" s="41"/>
      <c r="L683" s="71"/>
      <c r="M683" s="71"/>
      <c r="N683" s="71"/>
      <c r="O683" s="71"/>
      <c r="P683" s="41"/>
      <c r="Q683" s="41"/>
      <c r="R683" s="71"/>
      <c r="S683" s="71"/>
      <c r="T683" s="75"/>
      <c r="U683" s="75"/>
      <c r="V683" s="75"/>
      <c r="W683" s="58" t="str">
        <f t="shared" si="47"/>
        <v/>
      </c>
      <c r="X683" s="59" t="str">
        <f t="shared" si="48"/>
        <v/>
      </c>
      <c r="Y683" s="41"/>
      <c r="Z683" s="41"/>
      <c r="AA683" s="41"/>
      <c r="AB683" s="68"/>
      <c r="AC683" s="69"/>
      <c r="AD683" s="66"/>
      <c r="AE683" s="66"/>
      <c r="AF683" s="66"/>
      <c r="AG683" s="60"/>
      <c r="AH683" s="61"/>
      <c r="AI683" s="62"/>
      <c r="AJ683" s="61"/>
      <c r="AK683" s="60"/>
      <c r="AL683" s="65"/>
    </row>
    <row r="684" spans="2:38" s="42" customFormat="1" x14ac:dyDescent="0.35">
      <c r="B684" s="55" t="str">
        <f t="shared" si="46"/>
        <v/>
      </c>
      <c r="C684" s="40"/>
      <c r="D684" s="40"/>
      <c r="E684" s="41"/>
      <c r="F684" s="41"/>
      <c r="G684" s="41"/>
      <c r="H684" s="68"/>
      <c r="I684" s="71"/>
      <c r="J684" s="41"/>
      <c r="K684" s="41"/>
      <c r="L684" s="71"/>
      <c r="M684" s="71"/>
      <c r="N684" s="71"/>
      <c r="O684" s="71"/>
      <c r="P684" s="41"/>
      <c r="Q684" s="41"/>
      <c r="R684" s="71"/>
      <c r="S684" s="71"/>
      <c r="T684" s="75"/>
      <c r="U684" s="75"/>
      <c r="V684" s="75"/>
      <c r="W684" s="58" t="str">
        <f t="shared" si="47"/>
        <v/>
      </c>
      <c r="X684" s="59" t="str">
        <f t="shared" si="48"/>
        <v/>
      </c>
      <c r="Y684" s="41"/>
      <c r="Z684" s="41"/>
      <c r="AA684" s="41"/>
      <c r="AB684" s="68"/>
      <c r="AC684" s="69"/>
      <c r="AD684" s="66"/>
      <c r="AE684" s="66"/>
      <c r="AF684" s="66"/>
      <c r="AG684" s="60"/>
      <c r="AH684" s="61"/>
      <c r="AI684" s="62"/>
      <c r="AJ684" s="61"/>
      <c r="AK684" s="60"/>
      <c r="AL684" s="65"/>
    </row>
    <row r="685" spans="2:38" s="42" customFormat="1" x14ac:dyDescent="0.35">
      <c r="B685" s="55" t="str">
        <f t="shared" si="46"/>
        <v/>
      </c>
      <c r="C685" s="40"/>
      <c r="D685" s="40"/>
      <c r="E685" s="41"/>
      <c r="F685" s="41"/>
      <c r="G685" s="41"/>
      <c r="H685" s="68"/>
      <c r="I685" s="71"/>
      <c r="J685" s="41"/>
      <c r="K685" s="41"/>
      <c r="L685" s="71"/>
      <c r="M685" s="71"/>
      <c r="N685" s="71"/>
      <c r="O685" s="71"/>
      <c r="P685" s="41"/>
      <c r="Q685" s="41"/>
      <c r="R685" s="71"/>
      <c r="S685" s="71"/>
      <c r="T685" s="75"/>
      <c r="U685" s="75"/>
      <c r="V685" s="75"/>
      <c r="W685" s="58" t="str">
        <f t="shared" si="47"/>
        <v/>
      </c>
      <c r="X685" s="59" t="str">
        <f t="shared" si="48"/>
        <v/>
      </c>
      <c r="Y685" s="41"/>
      <c r="Z685" s="41"/>
      <c r="AA685" s="41"/>
      <c r="AB685" s="68"/>
      <c r="AC685" s="69"/>
      <c r="AD685" s="66"/>
      <c r="AE685" s="66"/>
      <c r="AF685" s="66"/>
      <c r="AG685" s="60"/>
      <c r="AH685" s="61"/>
      <c r="AI685" s="62"/>
      <c r="AJ685" s="61"/>
      <c r="AK685" s="60"/>
      <c r="AL685" s="65"/>
    </row>
    <row r="686" spans="2:38" s="42" customFormat="1" x14ac:dyDescent="0.35">
      <c r="B686" s="55" t="str">
        <f t="shared" si="46"/>
        <v/>
      </c>
      <c r="C686" s="40"/>
      <c r="D686" s="40"/>
      <c r="E686" s="41"/>
      <c r="F686" s="41"/>
      <c r="G686" s="41"/>
      <c r="H686" s="68"/>
      <c r="I686" s="71"/>
      <c r="J686" s="41"/>
      <c r="K686" s="41"/>
      <c r="L686" s="71"/>
      <c r="M686" s="71"/>
      <c r="N686" s="71"/>
      <c r="O686" s="71"/>
      <c r="P686" s="41"/>
      <c r="Q686" s="41"/>
      <c r="R686" s="71"/>
      <c r="S686" s="71"/>
      <c r="T686" s="75"/>
      <c r="U686" s="75"/>
      <c r="V686" s="75"/>
      <c r="W686" s="58" t="str">
        <f t="shared" si="47"/>
        <v/>
      </c>
      <c r="X686" s="59" t="str">
        <f t="shared" si="48"/>
        <v/>
      </c>
      <c r="Y686" s="41"/>
      <c r="Z686" s="41"/>
      <c r="AA686" s="41"/>
      <c r="AB686" s="68"/>
      <c r="AC686" s="69"/>
      <c r="AD686" s="66"/>
      <c r="AE686" s="66"/>
      <c r="AF686" s="66"/>
      <c r="AG686" s="60"/>
      <c r="AH686" s="61"/>
      <c r="AI686" s="62"/>
      <c r="AJ686" s="61"/>
      <c r="AK686" s="60"/>
      <c r="AL686" s="65"/>
    </row>
    <row r="687" spans="2:38" s="42" customFormat="1" x14ac:dyDescent="0.35">
      <c r="B687" s="55" t="str">
        <f t="shared" si="46"/>
        <v/>
      </c>
      <c r="C687" s="40"/>
      <c r="D687" s="40"/>
      <c r="E687" s="41"/>
      <c r="F687" s="41"/>
      <c r="G687" s="41"/>
      <c r="H687" s="68"/>
      <c r="I687" s="71"/>
      <c r="J687" s="41"/>
      <c r="K687" s="41"/>
      <c r="L687" s="71"/>
      <c r="M687" s="71"/>
      <c r="N687" s="71"/>
      <c r="O687" s="71"/>
      <c r="P687" s="41"/>
      <c r="Q687" s="41"/>
      <c r="R687" s="71"/>
      <c r="S687" s="71"/>
      <c r="T687" s="75"/>
      <c r="U687" s="75"/>
      <c r="V687" s="75"/>
      <c r="W687" s="58" t="str">
        <f t="shared" si="47"/>
        <v/>
      </c>
      <c r="X687" s="59" t="str">
        <f t="shared" si="48"/>
        <v/>
      </c>
      <c r="Y687" s="41"/>
      <c r="Z687" s="41"/>
      <c r="AA687" s="41"/>
      <c r="AB687" s="68"/>
      <c r="AC687" s="69"/>
      <c r="AD687" s="66"/>
      <c r="AE687" s="66"/>
      <c r="AF687" s="66"/>
      <c r="AG687" s="60"/>
      <c r="AH687" s="61"/>
      <c r="AI687" s="62"/>
      <c r="AJ687" s="61"/>
      <c r="AK687" s="60"/>
      <c r="AL687" s="65"/>
    </row>
    <row r="688" spans="2:38" s="42" customFormat="1" x14ac:dyDescent="0.35">
      <c r="B688" s="55" t="str">
        <f t="shared" si="46"/>
        <v/>
      </c>
      <c r="C688" s="40"/>
      <c r="D688" s="40"/>
      <c r="E688" s="41"/>
      <c r="F688" s="41"/>
      <c r="G688" s="41"/>
      <c r="H688" s="68"/>
      <c r="I688" s="71"/>
      <c r="J688" s="41"/>
      <c r="K688" s="41"/>
      <c r="L688" s="71"/>
      <c r="M688" s="71"/>
      <c r="N688" s="71"/>
      <c r="O688" s="71"/>
      <c r="P688" s="41"/>
      <c r="Q688" s="41"/>
      <c r="R688" s="71"/>
      <c r="S688" s="71"/>
      <c r="T688" s="75"/>
      <c r="U688" s="75"/>
      <c r="V688" s="75"/>
      <c r="W688" s="58" t="str">
        <f t="shared" si="47"/>
        <v/>
      </c>
      <c r="X688" s="59" t="str">
        <f t="shared" si="48"/>
        <v/>
      </c>
      <c r="Y688" s="41"/>
      <c r="Z688" s="41"/>
      <c r="AA688" s="41"/>
      <c r="AB688" s="68"/>
      <c r="AC688" s="69"/>
      <c r="AD688" s="66"/>
      <c r="AE688" s="66"/>
      <c r="AF688" s="66"/>
      <c r="AG688" s="60"/>
      <c r="AH688" s="61"/>
      <c r="AI688" s="62"/>
      <c r="AJ688" s="61"/>
      <c r="AK688" s="60"/>
      <c r="AL688" s="65"/>
    </row>
    <row r="689" spans="2:38" s="42" customFormat="1" x14ac:dyDescent="0.35">
      <c r="B689" s="55" t="str">
        <f t="shared" si="46"/>
        <v/>
      </c>
      <c r="C689" s="40"/>
      <c r="D689" s="40"/>
      <c r="E689" s="41"/>
      <c r="F689" s="41"/>
      <c r="G689" s="41"/>
      <c r="H689" s="68"/>
      <c r="I689" s="71"/>
      <c r="J689" s="41"/>
      <c r="K689" s="41"/>
      <c r="L689" s="71"/>
      <c r="M689" s="71"/>
      <c r="N689" s="71"/>
      <c r="O689" s="71"/>
      <c r="P689" s="41"/>
      <c r="Q689" s="41"/>
      <c r="R689" s="71"/>
      <c r="S689" s="71"/>
      <c r="T689" s="75"/>
      <c r="U689" s="75"/>
      <c r="V689" s="75"/>
      <c r="W689" s="58" t="str">
        <f t="shared" si="47"/>
        <v/>
      </c>
      <c r="X689" s="59" t="str">
        <f t="shared" si="48"/>
        <v/>
      </c>
      <c r="Y689" s="41"/>
      <c r="Z689" s="41"/>
      <c r="AA689" s="41"/>
      <c r="AB689" s="68"/>
      <c r="AC689" s="69"/>
      <c r="AD689" s="66"/>
      <c r="AE689" s="66"/>
      <c r="AF689" s="66"/>
      <c r="AG689" s="60"/>
      <c r="AH689" s="61"/>
      <c r="AI689" s="62"/>
      <c r="AJ689" s="61"/>
      <c r="AK689" s="60"/>
      <c r="AL689" s="65"/>
    </row>
    <row r="690" spans="2:38" s="42" customFormat="1" x14ac:dyDescent="0.35">
      <c r="B690" s="55" t="str">
        <f t="shared" si="46"/>
        <v/>
      </c>
      <c r="C690" s="40"/>
      <c r="D690" s="40"/>
      <c r="E690" s="41"/>
      <c r="F690" s="41"/>
      <c r="G690" s="41"/>
      <c r="H690" s="68"/>
      <c r="I690" s="71"/>
      <c r="J690" s="41"/>
      <c r="K690" s="41"/>
      <c r="L690" s="71"/>
      <c r="M690" s="71"/>
      <c r="N690" s="71"/>
      <c r="O690" s="71"/>
      <c r="P690" s="41"/>
      <c r="Q690" s="41"/>
      <c r="R690" s="71"/>
      <c r="S690" s="71"/>
      <c r="T690" s="75"/>
      <c r="U690" s="75"/>
      <c r="V690" s="75"/>
      <c r="W690" s="58" t="str">
        <f t="shared" si="47"/>
        <v/>
      </c>
      <c r="X690" s="59" t="str">
        <f t="shared" si="48"/>
        <v/>
      </c>
      <c r="Y690" s="41"/>
      <c r="Z690" s="41"/>
      <c r="AA690" s="41"/>
      <c r="AB690" s="68"/>
      <c r="AC690" s="69"/>
      <c r="AD690" s="66"/>
      <c r="AE690" s="66"/>
      <c r="AF690" s="66"/>
      <c r="AG690" s="60"/>
      <c r="AH690" s="61"/>
      <c r="AI690" s="62"/>
      <c r="AJ690" s="61"/>
      <c r="AK690" s="60"/>
      <c r="AL690" s="65"/>
    </row>
    <row r="691" spans="2:38" s="42" customFormat="1" x14ac:dyDescent="0.35">
      <c r="B691" s="55" t="str">
        <f t="shared" si="46"/>
        <v/>
      </c>
      <c r="C691" s="40"/>
      <c r="D691" s="40"/>
      <c r="E691" s="41"/>
      <c r="F691" s="41"/>
      <c r="G691" s="41"/>
      <c r="H691" s="68"/>
      <c r="I691" s="71"/>
      <c r="J691" s="41"/>
      <c r="K691" s="41"/>
      <c r="L691" s="71"/>
      <c r="M691" s="71"/>
      <c r="N691" s="71"/>
      <c r="O691" s="71"/>
      <c r="P691" s="41"/>
      <c r="Q691" s="41"/>
      <c r="R691" s="71"/>
      <c r="S691" s="71"/>
      <c r="T691" s="75"/>
      <c r="U691" s="75"/>
      <c r="V691" s="75"/>
      <c r="W691" s="58" t="str">
        <f t="shared" si="47"/>
        <v/>
      </c>
      <c r="X691" s="59" t="str">
        <f t="shared" si="48"/>
        <v/>
      </c>
      <c r="Y691" s="41"/>
      <c r="Z691" s="41"/>
      <c r="AA691" s="41"/>
      <c r="AB691" s="68"/>
      <c r="AC691" s="69"/>
      <c r="AD691" s="66"/>
      <c r="AE691" s="66"/>
      <c r="AF691" s="66"/>
      <c r="AG691" s="60"/>
      <c r="AH691" s="61"/>
      <c r="AI691" s="62"/>
      <c r="AJ691" s="61"/>
      <c r="AK691" s="60"/>
      <c r="AL691" s="65"/>
    </row>
    <row r="692" spans="2:38" s="42" customFormat="1" x14ac:dyDescent="0.35">
      <c r="B692" s="55" t="str">
        <f t="shared" si="46"/>
        <v/>
      </c>
      <c r="C692" s="40"/>
      <c r="D692" s="40"/>
      <c r="E692" s="41"/>
      <c r="F692" s="41"/>
      <c r="G692" s="41"/>
      <c r="H692" s="68"/>
      <c r="I692" s="71"/>
      <c r="J692" s="41"/>
      <c r="K692" s="41"/>
      <c r="L692" s="71"/>
      <c r="M692" s="71"/>
      <c r="N692" s="71"/>
      <c r="O692" s="71"/>
      <c r="P692" s="41"/>
      <c r="Q692" s="41"/>
      <c r="R692" s="71"/>
      <c r="S692" s="71"/>
      <c r="T692" s="75"/>
      <c r="U692" s="75"/>
      <c r="V692" s="75"/>
      <c r="W692" s="58" t="str">
        <f t="shared" si="47"/>
        <v/>
      </c>
      <c r="X692" s="59" t="str">
        <f t="shared" si="48"/>
        <v/>
      </c>
      <c r="Y692" s="41"/>
      <c r="Z692" s="41"/>
      <c r="AA692" s="41"/>
      <c r="AB692" s="68"/>
      <c r="AC692" s="69"/>
      <c r="AD692" s="66"/>
      <c r="AE692" s="66"/>
      <c r="AF692" s="66"/>
      <c r="AG692" s="60"/>
      <c r="AH692" s="61"/>
      <c r="AI692" s="62"/>
      <c r="AJ692" s="61"/>
      <c r="AK692" s="60"/>
      <c r="AL692" s="65"/>
    </row>
    <row r="693" spans="2:38" s="42" customFormat="1" x14ac:dyDescent="0.35">
      <c r="B693" s="55" t="str">
        <f t="shared" si="46"/>
        <v/>
      </c>
      <c r="C693" s="40"/>
      <c r="D693" s="40"/>
      <c r="E693" s="41"/>
      <c r="F693" s="41"/>
      <c r="G693" s="41"/>
      <c r="H693" s="68"/>
      <c r="I693" s="71"/>
      <c r="J693" s="41"/>
      <c r="K693" s="41"/>
      <c r="L693" s="71"/>
      <c r="M693" s="71"/>
      <c r="N693" s="71"/>
      <c r="O693" s="71"/>
      <c r="P693" s="41"/>
      <c r="Q693" s="41"/>
      <c r="R693" s="71"/>
      <c r="S693" s="71"/>
      <c r="T693" s="75"/>
      <c r="U693" s="75"/>
      <c r="V693" s="75"/>
      <c r="W693" s="58" t="str">
        <f t="shared" si="47"/>
        <v/>
      </c>
      <c r="X693" s="59" t="str">
        <f t="shared" si="48"/>
        <v/>
      </c>
      <c r="Y693" s="41"/>
      <c r="Z693" s="41"/>
      <c r="AA693" s="41"/>
      <c r="AB693" s="68"/>
      <c r="AC693" s="69"/>
      <c r="AD693" s="66"/>
      <c r="AE693" s="66"/>
      <c r="AF693" s="66"/>
      <c r="AG693" s="60"/>
      <c r="AH693" s="61"/>
      <c r="AI693" s="62"/>
      <c r="AJ693" s="61"/>
      <c r="AK693" s="60"/>
      <c r="AL693" s="65"/>
    </row>
    <row r="694" spans="2:38" s="42" customFormat="1" x14ac:dyDescent="0.35">
      <c r="B694" s="55" t="str">
        <f t="shared" si="46"/>
        <v/>
      </c>
      <c r="C694" s="40"/>
      <c r="D694" s="40"/>
      <c r="E694" s="41"/>
      <c r="F694" s="41"/>
      <c r="G694" s="41"/>
      <c r="H694" s="68"/>
      <c r="I694" s="71"/>
      <c r="J694" s="41"/>
      <c r="K694" s="41"/>
      <c r="L694" s="71"/>
      <c r="M694" s="71"/>
      <c r="N694" s="71"/>
      <c r="O694" s="71"/>
      <c r="P694" s="41"/>
      <c r="Q694" s="41"/>
      <c r="R694" s="71"/>
      <c r="S694" s="71"/>
      <c r="T694" s="75"/>
      <c r="U694" s="75"/>
      <c r="V694" s="75"/>
      <c r="W694" s="58" t="str">
        <f t="shared" si="47"/>
        <v/>
      </c>
      <c r="X694" s="59" t="str">
        <f t="shared" si="48"/>
        <v/>
      </c>
      <c r="Y694" s="41"/>
      <c r="Z694" s="41"/>
      <c r="AA694" s="41"/>
      <c r="AB694" s="68"/>
      <c r="AC694" s="69"/>
      <c r="AD694" s="66"/>
      <c r="AE694" s="66"/>
      <c r="AF694" s="66"/>
      <c r="AG694" s="60"/>
      <c r="AH694" s="61"/>
      <c r="AI694" s="62"/>
      <c r="AJ694" s="61"/>
      <c r="AK694" s="60"/>
      <c r="AL694" s="65"/>
    </row>
    <row r="695" spans="2:38" s="42" customFormat="1" x14ac:dyDescent="0.35">
      <c r="B695" s="55" t="str">
        <f t="shared" si="46"/>
        <v/>
      </c>
      <c r="C695" s="40"/>
      <c r="D695" s="40"/>
      <c r="E695" s="41"/>
      <c r="F695" s="41"/>
      <c r="G695" s="41"/>
      <c r="H695" s="68"/>
      <c r="I695" s="71"/>
      <c r="J695" s="41"/>
      <c r="K695" s="41"/>
      <c r="L695" s="71"/>
      <c r="M695" s="71"/>
      <c r="N695" s="71"/>
      <c r="O695" s="71"/>
      <c r="P695" s="41"/>
      <c r="Q695" s="41"/>
      <c r="R695" s="71"/>
      <c r="S695" s="71"/>
      <c r="T695" s="75"/>
      <c r="U695" s="75"/>
      <c r="V695" s="75"/>
      <c r="W695" s="58" t="str">
        <f t="shared" si="47"/>
        <v/>
      </c>
      <c r="X695" s="59" t="str">
        <f t="shared" si="48"/>
        <v/>
      </c>
      <c r="Y695" s="41"/>
      <c r="Z695" s="41"/>
      <c r="AA695" s="41"/>
      <c r="AB695" s="68"/>
      <c r="AC695" s="69"/>
      <c r="AD695" s="66"/>
      <c r="AE695" s="66"/>
      <c r="AF695" s="66"/>
      <c r="AG695" s="60"/>
      <c r="AH695" s="61"/>
      <c r="AI695" s="62"/>
      <c r="AJ695" s="61"/>
      <c r="AK695" s="60"/>
      <c r="AL695" s="65"/>
    </row>
    <row r="696" spans="2:38" s="42" customFormat="1" x14ac:dyDescent="0.35">
      <c r="B696" s="55" t="str">
        <f t="shared" si="46"/>
        <v/>
      </c>
      <c r="C696" s="40"/>
      <c r="D696" s="40"/>
      <c r="E696" s="41"/>
      <c r="F696" s="41"/>
      <c r="G696" s="41"/>
      <c r="H696" s="68"/>
      <c r="I696" s="71"/>
      <c r="J696" s="41"/>
      <c r="K696" s="41"/>
      <c r="L696" s="71"/>
      <c r="M696" s="71"/>
      <c r="N696" s="71"/>
      <c r="O696" s="71"/>
      <c r="P696" s="41"/>
      <c r="Q696" s="41"/>
      <c r="R696" s="71"/>
      <c r="S696" s="71"/>
      <c r="T696" s="75"/>
      <c r="U696" s="75"/>
      <c r="V696" s="75"/>
      <c r="W696" s="58" t="str">
        <f t="shared" si="47"/>
        <v/>
      </c>
      <c r="X696" s="59" t="str">
        <f t="shared" si="48"/>
        <v/>
      </c>
      <c r="Y696" s="41"/>
      <c r="Z696" s="41"/>
      <c r="AA696" s="41"/>
      <c r="AB696" s="68"/>
      <c r="AC696" s="69"/>
      <c r="AD696" s="66"/>
      <c r="AE696" s="66"/>
      <c r="AF696" s="66"/>
      <c r="AG696" s="60"/>
      <c r="AH696" s="61"/>
      <c r="AI696" s="62"/>
      <c r="AJ696" s="61"/>
      <c r="AK696" s="60"/>
      <c r="AL696" s="65"/>
    </row>
    <row r="697" spans="2:38" s="42" customFormat="1" x14ac:dyDescent="0.35">
      <c r="B697" s="55" t="str">
        <f t="shared" si="46"/>
        <v/>
      </c>
      <c r="C697" s="40"/>
      <c r="D697" s="40"/>
      <c r="E697" s="41"/>
      <c r="F697" s="41"/>
      <c r="G697" s="41"/>
      <c r="H697" s="68"/>
      <c r="I697" s="71"/>
      <c r="J697" s="41"/>
      <c r="K697" s="41"/>
      <c r="L697" s="71"/>
      <c r="M697" s="71"/>
      <c r="N697" s="71"/>
      <c r="O697" s="71"/>
      <c r="P697" s="41"/>
      <c r="Q697" s="41"/>
      <c r="R697" s="71"/>
      <c r="S697" s="71"/>
      <c r="T697" s="75"/>
      <c r="U697" s="75"/>
      <c r="V697" s="75"/>
      <c r="W697" s="58" t="str">
        <f t="shared" si="47"/>
        <v/>
      </c>
      <c r="X697" s="59" t="str">
        <f t="shared" si="48"/>
        <v/>
      </c>
      <c r="Y697" s="41"/>
      <c r="Z697" s="41"/>
      <c r="AA697" s="41"/>
      <c r="AB697" s="68"/>
      <c r="AC697" s="69"/>
      <c r="AD697" s="66"/>
      <c r="AE697" s="66"/>
      <c r="AF697" s="66"/>
      <c r="AG697" s="60"/>
      <c r="AH697" s="61"/>
      <c r="AI697" s="62"/>
      <c r="AJ697" s="61"/>
      <c r="AK697" s="60"/>
      <c r="AL697" s="65"/>
    </row>
    <row r="698" spans="2:38" s="42" customFormat="1" x14ac:dyDescent="0.35">
      <c r="B698" s="55" t="str">
        <f t="shared" si="46"/>
        <v/>
      </c>
      <c r="C698" s="40"/>
      <c r="D698" s="40"/>
      <c r="E698" s="41"/>
      <c r="F698" s="41"/>
      <c r="G698" s="41"/>
      <c r="H698" s="68"/>
      <c r="I698" s="71"/>
      <c r="J698" s="41"/>
      <c r="K698" s="41"/>
      <c r="L698" s="71"/>
      <c r="M698" s="71"/>
      <c r="N698" s="71"/>
      <c r="O698" s="71"/>
      <c r="P698" s="41"/>
      <c r="Q698" s="41"/>
      <c r="R698" s="71"/>
      <c r="S698" s="71"/>
      <c r="T698" s="75"/>
      <c r="U698" s="75"/>
      <c r="V698" s="75"/>
      <c r="W698" s="58" t="str">
        <f t="shared" si="47"/>
        <v/>
      </c>
      <c r="X698" s="59" t="str">
        <f t="shared" si="48"/>
        <v/>
      </c>
      <c r="Y698" s="41"/>
      <c r="Z698" s="41"/>
      <c r="AA698" s="41"/>
      <c r="AB698" s="68"/>
      <c r="AC698" s="69"/>
      <c r="AD698" s="66"/>
      <c r="AE698" s="66"/>
      <c r="AF698" s="66"/>
      <c r="AG698" s="60"/>
      <c r="AH698" s="61"/>
      <c r="AI698" s="62"/>
      <c r="AJ698" s="61"/>
      <c r="AK698" s="60"/>
      <c r="AL698" s="65"/>
    </row>
    <row r="699" spans="2:38" s="42" customFormat="1" x14ac:dyDescent="0.35">
      <c r="B699" s="55" t="str">
        <f t="shared" si="46"/>
        <v/>
      </c>
      <c r="C699" s="40"/>
      <c r="D699" s="40"/>
      <c r="E699" s="41"/>
      <c r="F699" s="41"/>
      <c r="G699" s="41"/>
      <c r="H699" s="68"/>
      <c r="I699" s="71"/>
      <c r="J699" s="41"/>
      <c r="K699" s="41"/>
      <c r="L699" s="71"/>
      <c r="M699" s="71"/>
      <c r="N699" s="71"/>
      <c r="O699" s="71"/>
      <c r="P699" s="41"/>
      <c r="Q699" s="41"/>
      <c r="R699" s="71"/>
      <c r="S699" s="71"/>
      <c r="T699" s="75"/>
      <c r="U699" s="75"/>
      <c r="V699" s="75"/>
      <c r="W699" s="58" t="str">
        <f t="shared" si="47"/>
        <v/>
      </c>
      <c r="X699" s="59" t="str">
        <f t="shared" si="48"/>
        <v/>
      </c>
      <c r="Y699" s="41"/>
      <c r="Z699" s="41"/>
      <c r="AA699" s="41"/>
      <c r="AB699" s="68"/>
      <c r="AC699" s="69"/>
      <c r="AD699" s="66"/>
      <c r="AE699" s="66"/>
      <c r="AF699" s="66"/>
      <c r="AG699" s="60"/>
      <c r="AH699" s="61"/>
      <c r="AI699" s="62"/>
      <c r="AJ699" s="61"/>
      <c r="AK699" s="60"/>
      <c r="AL699" s="65"/>
    </row>
    <row r="700" spans="2:38" s="42" customFormat="1" x14ac:dyDescent="0.35">
      <c r="B700" s="55" t="str">
        <f t="shared" si="46"/>
        <v/>
      </c>
      <c r="C700" s="40"/>
      <c r="D700" s="40"/>
      <c r="E700" s="41"/>
      <c r="F700" s="41"/>
      <c r="G700" s="41"/>
      <c r="H700" s="68"/>
      <c r="I700" s="71"/>
      <c r="J700" s="41"/>
      <c r="K700" s="41"/>
      <c r="L700" s="71"/>
      <c r="M700" s="71"/>
      <c r="N700" s="71"/>
      <c r="O700" s="71"/>
      <c r="P700" s="41"/>
      <c r="Q700" s="41"/>
      <c r="R700" s="71"/>
      <c r="S700" s="71"/>
      <c r="T700" s="75"/>
      <c r="U700" s="75"/>
      <c r="V700" s="75"/>
      <c r="W700" s="58" t="str">
        <f t="shared" si="47"/>
        <v/>
      </c>
      <c r="X700" s="59" t="str">
        <f t="shared" si="48"/>
        <v/>
      </c>
      <c r="Y700" s="41"/>
      <c r="Z700" s="41"/>
      <c r="AA700" s="41"/>
      <c r="AB700" s="68"/>
      <c r="AC700" s="69"/>
      <c r="AD700" s="66"/>
      <c r="AE700" s="66"/>
      <c r="AF700" s="66"/>
      <c r="AG700" s="60"/>
      <c r="AH700" s="61"/>
      <c r="AI700" s="62"/>
      <c r="AJ700" s="61"/>
      <c r="AK700" s="60"/>
      <c r="AL700" s="65"/>
    </row>
    <row r="701" spans="2:38" s="42" customFormat="1" x14ac:dyDescent="0.35">
      <c r="B701" s="55" t="str">
        <f t="shared" si="46"/>
        <v/>
      </c>
      <c r="C701" s="40"/>
      <c r="D701" s="40"/>
      <c r="E701" s="41"/>
      <c r="F701" s="41"/>
      <c r="G701" s="41"/>
      <c r="H701" s="68"/>
      <c r="I701" s="71"/>
      <c r="J701" s="41"/>
      <c r="K701" s="41"/>
      <c r="L701" s="71"/>
      <c r="M701" s="71"/>
      <c r="N701" s="71"/>
      <c r="O701" s="71"/>
      <c r="P701" s="41"/>
      <c r="Q701" s="41"/>
      <c r="R701" s="71"/>
      <c r="S701" s="71"/>
      <c r="T701" s="75"/>
      <c r="U701" s="75"/>
      <c r="V701" s="75"/>
      <c r="W701" s="58" t="str">
        <f t="shared" si="47"/>
        <v/>
      </c>
      <c r="X701" s="59" t="str">
        <f t="shared" si="48"/>
        <v/>
      </c>
      <c r="Y701" s="41"/>
      <c r="Z701" s="41"/>
      <c r="AA701" s="41"/>
      <c r="AB701" s="68"/>
      <c r="AC701" s="69"/>
      <c r="AD701" s="66"/>
      <c r="AE701" s="66"/>
      <c r="AF701" s="66"/>
      <c r="AG701" s="60"/>
      <c r="AH701" s="61"/>
      <c r="AI701" s="62"/>
      <c r="AJ701" s="61"/>
      <c r="AK701" s="60"/>
      <c r="AL701" s="65"/>
    </row>
    <row r="702" spans="2:38" s="42" customFormat="1" x14ac:dyDescent="0.35">
      <c r="B702" s="55" t="str">
        <f t="shared" si="46"/>
        <v/>
      </c>
      <c r="C702" s="40"/>
      <c r="D702" s="40"/>
      <c r="E702" s="41"/>
      <c r="F702" s="41"/>
      <c r="G702" s="41"/>
      <c r="H702" s="68"/>
      <c r="I702" s="71"/>
      <c r="J702" s="41"/>
      <c r="K702" s="41"/>
      <c r="L702" s="71"/>
      <c r="M702" s="71"/>
      <c r="N702" s="71"/>
      <c r="O702" s="71"/>
      <c r="P702" s="41"/>
      <c r="Q702" s="41"/>
      <c r="R702" s="71"/>
      <c r="S702" s="71"/>
      <c r="T702" s="75"/>
      <c r="U702" s="75"/>
      <c r="V702" s="75"/>
      <c r="W702" s="58" t="str">
        <f t="shared" si="47"/>
        <v/>
      </c>
      <c r="X702" s="59" t="str">
        <f t="shared" si="48"/>
        <v/>
      </c>
      <c r="Y702" s="41"/>
      <c r="Z702" s="41"/>
      <c r="AA702" s="41"/>
      <c r="AB702" s="68"/>
      <c r="AC702" s="69"/>
      <c r="AD702" s="66"/>
      <c r="AE702" s="66"/>
      <c r="AF702" s="66"/>
      <c r="AG702" s="60"/>
      <c r="AH702" s="61"/>
      <c r="AI702" s="62"/>
      <c r="AJ702" s="61"/>
      <c r="AK702" s="60"/>
      <c r="AL702" s="65"/>
    </row>
    <row r="703" spans="2:38" s="42" customFormat="1" x14ac:dyDescent="0.35">
      <c r="B703" s="55" t="str">
        <f t="shared" si="46"/>
        <v/>
      </c>
      <c r="C703" s="40"/>
      <c r="D703" s="40"/>
      <c r="E703" s="41"/>
      <c r="F703" s="41"/>
      <c r="G703" s="41"/>
      <c r="H703" s="68"/>
      <c r="I703" s="71"/>
      <c r="J703" s="41"/>
      <c r="K703" s="41"/>
      <c r="L703" s="71"/>
      <c r="M703" s="71"/>
      <c r="N703" s="71"/>
      <c r="O703" s="71"/>
      <c r="P703" s="41"/>
      <c r="Q703" s="41"/>
      <c r="R703" s="71"/>
      <c r="S703" s="71"/>
      <c r="T703" s="75"/>
      <c r="U703" s="75"/>
      <c r="V703" s="75"/>
      <c r="W703" s="58" t="str">
        <f t="shared" si="47"/>
        <v/>
      </c>
      <c r="X703" s="59" t="str">
        <f t="shared" si="48"/>
        <v/>
      </c>
      <c r="Y703" s="41"/>
      <c r="Z703" s="41"/>
      <c r="AA703" s="41"/>
      <c r="AB703" s="68"/>
      <c r="AC703" s="69"/>
      <c r="AD703" s="66"/>
      <c r="AE703" s="66"/>
      <c r="AF703" s="66"/>
      <c r="AG703" s="60"/>
      <c r="AH703" s="61"/>
      <c r="AI703" s="62"/>
      <c r="AJ703" s="61"/>
      <c r="AK703" s="60"/>
      <c r="AL703" s="65"/>
    </row>
    <row r="704" spans="2:38" s="42" customFormat="1" x14ac:dyDescent="0.35">
      <c r="B704" s="55" t="str">
        <f t="shared" si="46"/>
        <v/>
      </c>
      <c r="C704" s="40"/>
      <c r="D704" s="40"/>
      <c r="E704" s="41"/>
      <c r="F704" s="41"/>
      <c r="G704" s="41"/>
      <c r="H704" s="68"/>
      <c r="I704" s="71"/>
      <c r="J704" s="41"/>
      <c r="K704" s="41"/>
      <c r="L704" s="71"/>
      <c r="M704" s="71"/>
      <c r="N704" s="71"/>
      <c r="O704" s="71"/>
      <c r="P704" s="41"/>
      <c r="Q704" s="41"/>
      <c r="R704" s="71"/>
      <c r="S704" s="71"/>
      <c r="T704" s="75"/>
      <c r="U704" s="75"/>
      <c r="V704" s="75"/>
      <c r="W704" s="58" t="str">
        <f t="shared" si="47"/>
        <v/>
      </c>
      <c r="X704" s="59" t="str">
        <f t="shared" si="48"/>
        <v/>
      </c>
      <c r="Y704" s="41"/>
      <c r="Z704" s="41"/>
      <c r="AA704" s="41"/>
      <c r="AB704" s="68"/>
      <c r="AC704" s="69"/>
      <c r="AD704" s="66"/>
      <c r="AE704" s="66"/>
      <c r="AF704" s="66"/>
      <c r="AG704" s="60"/>
      <c r="AH704" s="61"/>
      <c r="AI704" s="62"/>
      <c r="AJ704" s="61"/>
      <c r="AK704" s="60"/>
      <c r="AL704" s="65"/>
    </row>
    <row r="705" spans="2:38" s="42" customFormat="1" x14ac:dyDescent="0.35">
      <c r="B705" s="55" t="str">
        <f t="shared" si="46"/>
        <v/>
      </c>
      <c r="C705" s="40"/>
      <c r="D705" s="40"/>
      <c r="E705" s="41"/>
      <c r="F705" s="41"/>
      <c r="G705" s="41"/>
      <c r="H705" s="68"/>
      <c r="I705" s="71"/>
      <c r="J705" s="41"/>
      <c r="K705" s="41"/>
      <c r="L705" s="71"/>
      <c r="M705" s="71"/>
      <c r="N705" s="71"/>
      <c r="O705" s="71"/>
      <c r="P705" s="41"/>
      <c r="Q705" s="41"/>
      <c r="R705" s="71"/>
      <c r="S705" s="71"/>
      <c r="T705" s="75"/>
      <c r="U705" s="75"/>
      <c r="V705" s="75"/>
      <c r="W705" s="58" t="str">
        <f t="shared" si="47"/>
        <v/>
      </c>
      <c r="X705" s="59" t="str">
        <f t="shared" si="48"/>
        <v/>
      </c>
      <c r="Y705" s="41"/>
      <c r="Z705" s="41"/>
      <c r="AA705" s="41"/>
      <c r="AB705" s="68"/>
      <c r="AC705" s="69"/>
      <c r="AD705" s="66"/>
      <c r="AE705" s="66"/>
      <c r="AF705" s="66"/>
      <c r="AG705" s="60"/>
      <c r="AH705" s="61"/>
      <c r="AI705" s="62"/>
      <c r="AJ705" s="61"/>
      <c r="AK705" s="60"/>
      <c r="AL705" s="65"/>
    </row>
    <row r="706" spans="2:38" s="42" customFormat="1" x14ac:dyDescent="0.35">
      <c r="B706" s="55" t="str">
        <f t="shared" si="46"/>
        <v/>
      </c>
      <c r="C706" s="40"/>
      <c r="D706" s="40"/>
      <c r="E706" s="41"/>
      <c r="F706" s="41"/>
      <c r="G706" s="41"/>
      <c r="H706" s="68"/>
      <c r="I706" s="71"/>
      <c r="J706" s="41"/>
      <c r="K706" s="41"/>
      <c r="L706" s="71"/>
      <c r="M706" s="71"/>
      <c r="N706" s="71"/>
      <c r="O706" s="71"/>
      <c r="P706" s="41"/>
      <c r="Q706" s="41"/>
      <c r="R706" s="71"/>
      <c r="S706" s="71"/>
      <c r="T706" s="75"/>
      <c r="U706" s="75"/>
      <c r="V706" s="75"/>
      <c r="W706" s="58" t="str">
        <f t="shared" si="47"/>
        <v/>
      </c>
      <c r="X706" s="59" t="str">
        <f t="shared" si="48"/>
        <v/>
      </c>
      <c r="Y706" s="41"/>
      <c r="Z706" s="41"/>
      <c r="AA706" s="41"/>
      <c r="AB706" s="68"/>
      <c r="AC706" s="69"/>
      <c r="AD706" s="66"/>
      <c r="AE706" s="66"/>
      <c r="AF706" s="66"/>
      <c r="AG706" s="60"/>
      <c r="AH706" s="61"/>
      <c r="AI706" s="62"/>
      <c r="AJ706" s="61"/>
      <c r="AK706" s="60"/>
      <c r="AL706" s="65"/>
    </row>
    <row r="707" spans="2:38" s="42" customFormat="1" x14ac:dyDescent="0.35">
      <c r="B707" s="55" t="str">
        <f t="shared" ref="B707:B770" si="49">IF($C707="","",Prefixo&amp;"-"&amp;TEXT(ROW()-2,"0000"))</f>
        <v/>
      </c>
      <c r="C707" s="40"/>
      <c r="D707" s="40"/>
      <c r="E707" s="41"/>
      <c r="F707" s="41"/>
      <c r="G707" s="41"/>
      <c r="H707" s="68"/>
      <c r="I707" s="71"/>
      <c r="J707" s="41"/>
      <c r="K707" s="41"/>
      <c r="L707" s="71"/>
      <c r="M707" s="71"/>
      <c r="N707" s="71"/>
      <c r="O707" s="71"/>
      <c r="P707" s="41"/>
      <c r="Q707" s="41"/>
      <c r="R707" s="71"/>
      <c r="S707" s="71"/>
      <c r="T707" s="75"/>
      <c r="U707" s="75"/>
      <c r="V707" s="75"/>
      <c r="W707" s="58" t="str">
        <f t="shared" si="47"/>
        <v/>
      </c>
      <c r="X707" s="59" t="str">
        <f t="shared" si="48"/>
        <v/>
      </c>
      <c r="Y707" s="41"/>
      <c r="Z707" s="41"/>
      <c r="AA707" s="41"/>
      <c r="AB707" s="68"/>
      <c r="AC707" s="69"/>
      <c r="AD707" s="66"/>
      <c r="AE707" s="66"/>
      <c r="AF707" s="66"/>
      <c r="AG707" s="60"/>
      <c r="AH707" s="61"/>
      <c r="AI707" s="62"/>
      <c r="AJ707" s="61"/>
      <c r="AK707" s="60"/>
      <c r="AL707" s="65"/>
    </row>
    <row r="708" spans="2:38" s="42" customFormat="1" x14ac:dyDescent="0.35">
      <c r="B708" s="55" t="str">
        <f t="shared" si="49"/>
        <v/>
      </c>
      <c r="C708" s="40"/>
      <c r="D708" s="40"/>
      <c r="E708" s="41"/>
      <c r="F708" s="41"/>
      <c r="G708" s="41"/>
      <c r="H708" s="68"/>
      <c r="I708" s="71"/>
      <c r="J708" s="41"/>
      <c r="K708" s="41"/>
      <c r="L708" s="71"/>
      <c r="M708" s="71"/>
      <c r="N708" s="71"/>
      <c r="O708" s="71"/>
      <c r="P708" s="41"/>
      <c r="Q708" s="41"/>
      <c r="R708" s="71"/>
      <c r="S708" s="71"/>
      <c r="T708" s="75"/>
      <c r="U708" s="75"/>
      <c r="V708" s="75"/>
      <c r="W708" s="58" t="str">
        <f t="shared" ref="W708:W771" si="50">IF(OR($U708="",$V708="",$U708&lt;=0),"",$U708-$V708)</f>
        <v/>
      </c>
      <c r="X708" s="59" t="str">
        <f t="shared" ref="X708:X771" si="51">IF(OR($U708="",$V708="",$U708&lt;=0),"",($U708-$V708)/$U708)</f>
        <v/>
      </c>
      <c r="Y708" s="41"/>
      <c r="Z708" s="41"/>
      <c r="AA708" s="41"/>
      <c r="AB708" s="68"/>
      <c r="AC708" s="69"/>
      <c r="AD708" s="66"/>
      <c r="AE708" s="66"/>
      <c r="AF708" s="66"/>
      <c r="AG708" s="60"/>
      <c r="AH708" s="61"/>
      <c r="AI708" s="62"/>
      <c r="AJ708" s="61"/>
      <c r="AK708" s="60"/>
      <c r="AL708" s="65"/>
    </row>
    <row r="709" spans="2:38" s="42" customFormat="1" x14ac:dyDescent="0.35">
      <c r="B709" s="55" t="str">
        <f t="shared" si="49"/>
        <v/>
      </c>
      <c r="C709" s="40"/>
      <c r="D709" s="40"/>
      <c r="E709" s="41"/>
      <c r="F709" s="41"/>
      <c r="G709" s="41"/>
      <c r="H709" s="68"/>
      <c r="I709" s="71"/>
      <c r="J709" s="41"/>
      <c r="K709" s="41"/>
      <c r="L709" s="71"/>
      <c r="M709" s="71"/>
      <c r="N709" s="71"/>
      <c r="O709" s="71"/>
      <c r="P709" s="41"/>
      <c r="Q709" s="41"/>
      <c r="R709" s="71"/>
      <c r="S709" s="71"/>
      <c r="T709" s="75"/>
      <c r="U709" s="75"/>
      <c r="V709" s="75"/>
      <c r="W709" s="58" t="str">
        <f t="shared" si="50"/>
        <v/>
      </c>
      <c r="X709" s="59" t="str">
        <f t="shared" si="51"/>
        <v/>
      </c>
      <c r="Y709" s="41"/>
      <c r="Z709" s="41"/>
      <c r="AA709" s="41"/>
      <c r="AB709" s="68"/>
      <c r="AC709" s="69"/>
      <c r="AD709" s="66"/>
      <c r="AE709" s="66"/>
      <c r="AF709" s="66"/>
      <c r="AG709" s="60"/>
      <c r="AH709" s="61"/>
      <c r="AI709" s="62"/>
      <c r="AJ709" s="61"/>
      <c r="AK709" s="60"/>
      <c r="AL709" s="65"/>
    </row>
    <row r="710" spans="2:38" s="42" customFormat="1" x14ac:dyDescent="0.35">
      <c r="B710" s="55" t="str">
        <f t="shared" si="49"/>
        <v/>
      </c>
      <c r="C710" s="40"/>
      <c r="D710" s="40"/>
      <c r="E710" s="41"/>
      <c r="F710" s="41"/>
      <c r="G710" s="41"/>
      <c r="H710" s="68"/>
      <c r="I710" s="71"/>
      <c r="J710" s="41"/>
      <c r="K710" s="41"/>
      <c r="L710" s="71"/>
      <c r="M710" s="71"/>
      <c r="N710" s="71"/>
      <c r="O710" s="71"/>
      <c r="P710" s="41"/>
      <c r="Q710" s="41"/>
      <c r="R710" s="71"/>
      <c r="S710" s="71"/>
      <c r="T710" s="75"/>
      <c r="U710" s="75"/>
      <c r="V710" s="75"/>
      <c r="W710" s="58" t="str">
        <f t="shared" si="50"/>
        <v/>
      </c>
      <c r="X710" s="59" t="str">
        <f t="shared" si="51"/>
        <v/>
      </c>
      <c r="Y710" s="41"/>
      <c r="Z710" s="41"/>
      <c r="AA710" s="41"/>
      <c r="AB710" s="68"/>
      <c r="AC710" s="69"/>
      <c r="AD710" s="66"/>
      <c r="AE710" s="66"/>
      <c r="AF710" s="66"/>
      <c r="AG710" s="60"/>
      <c r="AH710" s="61"/>
      <c r="AI710" s="62"/>
      <c r="AJ710" s="61"/>
      <c r="AK710" s="60"/>
      <c r="AL710" s="65"/>
    </row>
    <row r="711" spans="2:38" s="42" customFormat="1" x14ac:dyDescent="0.35">
      <c r="B711" s="55" t="str">
        <f t="shared" si="49"/>
        <v/>
      </c>
      <c r="C711" s="40"/>
      <c r="D711" s="40"/>
      <c r="E711" s="41"/>
      <c r="F711" s="41"/>
      <c r="G711" s="41"/>
      <c r="H711" s="68"/>
      <c r="I711" s="71"/>
      <c r="J711" s="41"/>
      <c r="K711" s="41"/>
      <c r="L711" s="71"/>
      <c r="M711" s="71"/>
      <c r="N711" s="71"/>
      <c r="O711" s="71"/>
      <c r="P711" s="41"/>
      <c r="Q711" s="41"/>
      <c r="R711" s="71"/>
      <c r="S711" s="71"/>
      <c r="T711" s="75"/>
      <c r="U711" s="75"/>
      <c r="V711" s="75"/>
      <c r="W711" s="58" t="str">
        <f t="shared" si="50"/>
        <v/>
      </c>
      <c r="X711" s="59" t="str">
        <f t="shared" si="51"/>
        <v/>
      </c>
      <c r="Y711" s="41"/>
      <c r="Z711" s="41"/>
      <c r="AA711" s="41"/>
      <c r="AB711" s="68"/>
      <c r="AC711" s="69"/>
      <c r="AD711" s="66"/>
      <c r="AE711" s="66"/>
      <c r="AF711" s="66"/>
      <c r="AG711" s="60"/>
      <c r="AH711" s="61"/>
      <c r="AI711" s="62"/>
      <c r="AJ711" s="61"/>
      <c r="AK711" s="60"/>
      <c r="AL711" s="65"/>
    </row>
    <row r="712" spans="2:38" s="42" customFormat="1" x14ac:dyDescent="0.35">
      <c r="B712" s="55" t="str">
        <f t="shared" si="49"/>
        <v/>
      </c>
      <c r="C712" s="40"/>
      <c r="D712" s="40"/>
      <c r="E712" s="41"/>
      <c r="F712" s="41"/>
      <c r="G712" s="41"/>
      <c r="H712" s="68"/>
      <c r="I712" s="71"/>
      <c r="J712" s="41"/>
      <c r="K712" s="41"/>
      <c r="L712" s="71"/>
      <c r="M712" s="71"/>
      <c r="N712" s="71"/>
      <c r="O712" s="71"/>
      <c r="P712" s="41"/>
      <c r="Q712" s="41"/>
      <c r="R712" s="71"/>
      <c r="S712" s="71"/>
      <c r="T712" s="75"/>
      <c r="U712" s="75"/>
      <c r="V712" s="75"/>
      <c r="W712" s="58" t="str">
        <f t="shared" si="50"/>
        <v/>
      </c>
      <c r="X712" s="59" t="str">
        <f t="shared" si="51"/>
        <v/>
      </c>
      <c r="Y712" s="41"/>
      <c r="Z712" s="41"/>
      <c r="AA712" s="41"/>
      <c r="AB712" s="68"/>
      <c r="AC712" s="69"/>
      <c r="AD712" s="66"/>
      <c r="AE712" s="66"/>
      <c r="AF712" s="66"/>
      <c r="AG712" s="60"/>
      <c r="AH712" s="61"/>
      <c r="AI712" s="62"/>
      <c r="AJ712" s="61"/>
      <c r="AK712" s="60"/>
      <c r="AL712" s="65"/>
    </row>
    <row r="713" spans="2:38" s="42" customFormat="1" x14ac:dyDescent="0.35">
      <c r="B713" s="55" t="str">
        <f t="shared" si="49"/>
        <v/>
      </c>
      <c r="C713" s="40"/>
      <c r="D713" s="40"/>
      <c r="E713" s="41"/>
      <c r="F713" s="41"/>
      <c r="G713" s="41"/>
      <c r="H713" s="68"/>
      <c r="I713" s="71"/>
      <c r="J713" s="41"/>
      <c r="K713" s="41"/>
      <c r="L713" s="71"/>
      <c r="M713" s="71"/>
      <c r="N713" s="71"/>
      <c r="O713" s="71"/>
      <c r="P713" s="41"/>
      <c r="Q713" s="41"/>
      <c r="R713" s="71"/>
      <c r="S713" s="71"/>
      <c r="T713" s="75"/>
      <c r="U713" s="75"/>
      <c r="V713" s="75"/>
      <c r="W713" s="58" t="str">
        <f t="shared" si="50"/>
        <v/>
      </c>
      <c r="X713" s="59" t="str">
        <f t="shared" si="51"/>
        <v/>
      </c>
      <c r="Y713" s="41"/>
      <c r="Z713" s="41"/>
      <c r="AA713" s="41"/>
      <c r="AB713" s="68"/>
      <c r="AC713" s="69"/>
      <c r="AD713" s="66"/>
      <c r="AE713" s="66"/>
      <c r="AF713" s="66"/>
      <c r="AG713" s="60"/>
      <c r="AH713" s="61"/>
      <c r="AI713" s="62"/>
      <c r="AJ713" s="61"/>
      <c r="AK713" s="60"/>
      <c r="AL713" s="65"/>
    </row>
    <row r="714" spans="2:38" s="42" customFormat="1" x14ac:dyDescent="0.35">
      <c r="B714" s="55" t="str">
        <f t="shared" si="49"/>
        <v/>
      </c>
      <c r="C714" s="40"/>
      <c r="D714" s="40"/>
      <c r="E714" s="41"/>
      <c r="F714" s="41"/>
      <c r="G714" s="41"/>
      <c r="H714" s="68"/>
      <c r="I714" s="71"/>
      <c r="J714" s="41"/>
      <c r="K714" s="41"/>
      <c r="L714" s="71"/>
      <c r="M714" s="71"/>
      <c r="N714" s="71"/>
      <c r="O714" s="71"/>
      <c r="P714" s="41"/>
      <c r="Q714" s="41"/>
      <c r="R714" s="71"/>
      <c r="S714" s="71"/>
      <c r="T714" s="75"/>
      <c r="U714" s="75"/>
      <c r="V714" s="75"/>
      <c r="W714" s="58" t="str">
        <f t="shared" si="50"/>
        <v/>
      </c>
      <c r="X714" s="59" t="str">
        <f t="shared" si="51"/>
        <v/>
      </c>
      <c r="Y714" s="41"/>
      <c r="Z714" s="41"/>
      <c r="AA714" s="41"/>
      <c r="AB714" s="68"/>
      <c r="AC714" s="69"/>
      <c r="AD714" s="66"/>
      <c r="AE714" s="66"/>
      <c r="AF714" s="66"/>
      <c r="AG714" s="60"/>
      <c r="AH714" s="61"/>
      <c r="AI714" s="62"/>
      <c r="AJ714" s="61"/>
      <c r="AK714" s="60"/>
      <c r="AL714" s="65"/>
    </row>
    <row r="715" spans="2:38" s="42" customFormat="1" x14ac:dyDescent="0.35">
      <c r="B715" s="55" t="str">
        <f t="shared" si="49"/>
        <v/>
      </c>
      <c r="C715" s="40"/>
      <c r="D715" s="40"/>
      <c r="E715" s="41"/>
      <c r="F715" s="41"/>
      <c r="G715" s="41"/>
      <c r="H715" s="68"/>
      <c r="I715" s="71"/>
      <c r="J715" s="41"/>
      <c r="K715" s="41"/>
      <c r="L715" s="71"/>
      <c r="M715" s="71"/>
      <c r="N715" s="71"/>
      <c r="O715" s="71"/>
      <c r="P715" s="41"/>
      <c r="Q715" s="41"/>
      <c r="R715" s="71"/>
      <c r="S715" s="71"/>
      <c r="T715" s="75"/>
      <c r="U715" s="75"/>
      <c r="V715" s="75"/>
      <c r="W715" s="58" t="str">
        <f t="shared" si="50"/>
        <v/>
      </c>
      <c r="X715" s="59" t="str">
        <f t="shared" si="51"/>
        <v/>
      </c>
      <c r="Y715" s="41"/>
      <c r="Z715" s="41"/>
      <c r="AA715" s="41"/>
      <c r="AB715" s="68"/>
      <c r="AC715" s="69"/>
      <c r="AD715" s="66"/>
      <c r="AE715" s="66"/>
      <c r="AF715" s="66"/>
      <c r="AG715" s="60"/>
      <c r="AH715" s="61"/>
      <c r="AI715" s="62"/>
      <c r="AJ715" s="61"/>
      <c r="AK715" s="60"/>
      <c r="AL715" s="65"/>
    </row>
    <row r="716" spans="2:38" s="42" customFormat="1" x14ac:dyDescent="0.35">
      <c r="B716" s="55" t="str">
        <f t="shared" si="49"/>
        <v/>
      </c>
      <c r="C716" s="40"/>
      <c r="D716" s="40"/>
      <c r="E716" s="41"/>
      <c r="F716" s="41"/>
      <c r="G716" s="41"/>
      <c r="H716" s="68"/>
      <c r="I716" s="71"/>
      <c r="J716" s="41"/>
      <c r="K716" s="41"/>
      <c r="L716" s="71"/>
      <c r="M716" s="71"/>
      <c r="N716" s="71"/>
      <c r="O716" s="71"/>
      <c r="P716" s="41"/>
      <c r="Q716" s="41"/>
      <c r="R716" s="71"/>
      <c r="S716" s="71"/>
      <c r="T716" s="75"/>
      <c r="U716" s="75"/>
      <c r="V716" s="75"/>
      <c r="W716" s="58" t="str">
        <f t="shared" si="50"/>
        <v/>
      </c>
      <c r="X716" s="59" t="str">
        <f t="shared" si="51"/>
        <v/>
      </c>
      <c r="Y716" s="41"/>
      <c r="Z716" s="41"/>
      <c r="AA716" s="41"/>
      <c r="AB716" s="68"/>
      <c r="AC716" s="69"/>
      <c r="AD716" s="66"/>
      <c r="AE716" s="66"/>
      <c r="AF716" s="66"/>
      <c r="AG716" s="60"/>
      <c r="AH716" s="61"/>
      <c r="AI716" s="62"/>
      <c r="AJ716" s="61"/>
      <c r="AK716" s="60"/>
      <c r="AL716" s="65"/>
    </row>
    <row r="717" spans="2:38" s="42" customFormat="1" x14ac:dyDescent="0.35">
      <c r="B717" s="55" t="str">
        <f t="shared" si="49"/>
        <v/>
      </c>
      <c r="C717" s="40"/>
      <c r="D717" s="40"/>
      <c r="E717" s="41"/>
      <c r="F717" s="41"/>
      <c r="G717" s="41"/>
      <c r="H717" s="68"/>
      <c r="I717" s="71"/>
      <c r="J717" s="41"/>
      <c r="K717" s="41"/>
      <c r="L717" s="71"/>
      <c r="M717" s="71"/>
      <c r="N717" s="71"/>
      <c r="O717" s="71"/>
      <c r="P717" s="41"/>
      <c r="Q717" s="41"/>
      <c r="R717" s="71"/>
      <c r="S717" s="71"/>
      <c r="T717" s="75"/>
      <c r="U717" s="75"/>
      <c r="V717" s="75"/>
      <c r="W717" s="58" t="str">
        <f t="shared" si="50"/>
        <v/>
      </c>
      <c r="X717" s="59" t="str">
        <f t="shared" si="51"/>
        <v/>
      </c>
      <c r="Y717" s="41"/>
      <c r="Z717" s="41"/>
      <c r="AA717" s="41"/>
      <c r="AB717" s="68"/>
      <c r="AC717" s="69"/>
      <c r="AD717" s="66"/>
      <c r="AE717" s="66"/>
      <c r="AF717" s="66"/>
      <c r="AG717" s="60"/>
      <c r="AH717" s="61"/>
      <c r="AI717" s="62"/>
      <c r="AJ717" s="61"/>
      <c r="AK717" s="60"/>
      <c r="AL717" s="65"/>
    </row>
    <row r="718" spans="2:38" s="42" customFormat="1" x14ac:dyDescent="0.35">
      <c r="B718" s="55" t="str">
        <f t="shared" si="49"/>
        <v/>
      </c>
      <c r="C718" s="40"/>
      <c r="D718" s="40"/>
      <c r="E718" s="41"/>
      <c r="F718" s="41"/>
      <c r="G718" s="41"/>
      <c r="H718" s="68"/>
      <c r="I718" s="71"/>
      <c r="J718" s="41"/>
      <c r="K718" s="41"/>
      <c r="L718" s="71"/>
      <c r="M718" s="71"/>
      <c r="N718" s="71"/>
      <c r="O718" s="71"/>
      <c r="P718" s="41"/>
      <c r="Q718" s="41"/>
      <c r="R718" s="71"/>
      <c r="S718" s="71"/>
      <c r="T718" s="75"/>
      <c r="U718" s="75"/>
      <c r="V718" s="75"/>
      <c r="W718" s="58" t="str">
        <f t="shared" si="50"/>
        <v/>
      </c>
      <c r="X718" s="59" t="str">
        <f t="shared" si="51"/>
        <v/>
      </c>
      <c r="Y718" s="41"/>
      <c r="Z718" s="41"/>
      <c r="AA718" s="41"/>
      <c r="AB718" s="68"/>
      <c r="AC718" s="69"/>
      <c r="AD718" s="66"/>
      <c r="AE718" s="66"/>
      <c r="AF718" s="66"/>
      <c r="AG718" s="60"/>
      <c r="AH718" s="61"/>
      <c r="AI718" s="62"/>
      <c r="AJ718" s="61"/>
      <c r="AK718" s="60"/>
      <c r="AL718" s="65"/>
    </row>
    <row r="719" spans="2:38" s="42" customFormat="1" x14ac:dyDescent="0.35">
      <c r="B719" s="55" t="str">
        <f t="shared" si="49"/>
        <v/>
      </c>
      <c r="C719" s="40"/>
      <c r="D719" s="40"/>
      <c r="E719" s="41"/>
      <c r="F719" s="41"/>
      <c r="G719" s="41"/>
      <c r="H719" s="68"/>
      <c r="I719" s="71"/>
      <c r="J719" s="41"/>
      <c r="K719" s="41"/>
      <c r="L719" s="71"/>
      <c r="M719" s="71"/>
      <c r="N719" s="71"/>
      <c r="O719" s="71"/>
      <c r="P719" s="41"/>
      <c r="Q719" s="41"/>
      <c r="R719" s="71"/>
      <c r="S719" s="71"/>
      <c r="T719" s="75"/>
      <c r="U719" s="75"/>
      <c r="V719" s="75"/>
      <c r="W719" s="58" t="str">
        <f t="shared" si="50"/>
        <v/>
      </c>
      <c r="X719" s="59" t="str">
        <f t="shared" si="51"/>
        <v/>
      </c>
      <c r="Y719" s="41"/>
      <c r="Z719" s="41"/>
      <c r="AA719" s="41"/>
      <c r="AB719" s="68"/>
      <c r="AC719" s="69"/>
      <c r="AD719" s="66"/>
      <c r="AE719" s="66"/>
      <c r="AF719" s="66"/>
      <c r="AG719" s="60"/>
      <c r="AH719" s="61"/>
      <c r="AI719" s="62"/>
      <c r="AJ719" s="61"/>
      <c r="AK719" s="60"/>
      <c r="AL719" s="65"/>
    </row>
    <row r="720" spans="2:38" s="42" customFormat="1" x14ac:dyDescent="0.35">
      <c r="B720" s="55" t="str">
        <f t="shared" si="49"/>
        <v/>
      </c>
      <c r="C720" s="40"/>
      <c r="D720" s="40"/>
      <c r="E720" s="41"/>
      <c r="F720" s="41"/>
      <c r="G720" s="41"/>
      <c r="H720" s="68"/>
      <c r="I720" s="71"/>
      <c r="J720" s="41"/>
      <c r="K720" s="41"/>
      <c r="L720" s="71"/>
      <c r="M720" s="71"/>
      <c r="N720" s="71"/>
      <c r="O720" s="71"/>
      <c r="P720" s="41"/>
      <c r="Q720" s="41"/>
      <c r="R720" s="71"/>
      <c r="S720" s="71"/>
      <c r="T720" s="75"/>
      <c r="U720" s="75"/>
      <c r="V720" s="75"/>
      <c r="W720" s="58" t="str">
        <f t="shared" si="50"/>
        <v/>
      </c>
      <c r="X720" s="59" t="str">
        <f t="shared" si="51"/>
        <v/>
      </c>
      <c r="Y720" s="41"/>
      <c r="Z720" s="41"/>
      <c r="AA720" s="41"/>
      <c r="AB720" s="68"/>
      <c r="AC720" s="69"/>
      <c r="AD720" s="66"/>
      <c r="AE720" s="66"/>
      <c r="AF720" s="66"/>
      <c r="AG720" s="60"/>
      <c r="AH720" s="61"/>
      <c r="AI720" s="62"/>
      <c r="AJ720" s="61"/>
      <c r="AK720" s="60"/>
      <c r="AL720" s="65"/>
    </row>
    <row r="721" spans="2:38" s="42" customFormat="1" x14ac:dyDescent="0.35">
      <c r="B721" s="55" t="str">
        <f t="shared" si="49"/>
        <v/>
      </c>
      <c r="C721" s="40"/>
      <c r="D721" s="40"/>
      <c r="E721" s="41"/>
      <c r="F721" s="41"/>
      <c r="G721" s="41"/>
      <c r="H721" s="68"/>
      <c r="I721" s="71"/>
      <c r="J721" s="41"/>
      <c r="K721" s="41"/>
      <c r="L721" s="71"/>
      <c r="M721" s="71"/>
      <c r="N721" s="71"/>
      <c r="O721" s="71"/>
      <c r="P721" s="41"/>
      <c r="Q721" s="41"/>
      <c r="R721" s="71"/>
      <c r="S721" s="71"/>
      <c r="T721" s="75"/>
      <c r="U721" s="75"/>
      <c r="V721" s="75"/>
      <c r="W721" s="58" t="str">
        <f t="shared" si="50"/>
        <v/>
      </c>
      <c r="X721" s="59" t="str">
        <f t="shared" si="51"/>
        <v/>
      </c>
      <c r="Y721" s="41"/>
      <c r="Z721" s="41"/>
      <c r="AA721" s="41"/>
      <c r="AB721" s="68"/>
      <c r="AC721" s="69"/>
      <c r="AD721" s="66"/>
      <c r="AE721" s="66"/>
      <c r="AF721" s="66"/>
      <c r="AG721" s="60"/>
      <c r="AH721" s="61"/>
      <c r="AI721" s="62"/>
      <c r="AJ721" s="61"/>
      <c r="AK721" s="60"/>
      <c r="AL721" s="65"/>
    </row>
    <row r="722" spans="2:38" s="42" customFormat="1" x14ac:dyDescent="0.35">
      <c r="B722" s="55" t="str">
        <f t="shared" si="49"/>
        <v/>
      </c>
      <c r="C722" s="40"/>
      <c r="D722" s="40"/>
      <c r="E722" s="41"/>
      <c r="F722" s="41"/>
      <c r="G722" s="41"/>
      <c r="H722" s="68"/>
      <c r="I722" s="71"/>
      <c r="J722" s="41"/>
      <c r="K722" s="41"/>
      <c r="L722" s="71"/>
      <c r="M722" s="71"/>
      <c r="N722" s="71"/>
      <c r="O722" s="71"/>
      <c r="P722" s="41"/>
      <c r="Q722" s="41"/>
      <c r="R722" s="71"/>
      <c r="S722" s="71"/>
      <c r="T722" s="75"/>
      <c r="U722" s="75"/>
      <c r="V722" s="75"/>
      <c r="W722" s="58" t="str">
        <f t="shared" si="50"/>
        <v/>
      </c>
      <c r="X722" s="59" t="str">
        <f t="shared" si="51"/>
        <v/>
      </c>
      <c r="Y722" s="41"/>
      <c r="Z722" s="41"/>
      <c r="AA722" s="41"/>
      <c r="AB722" s="68"/>
      <c r="AC722" s="69"/>
      <c r="AD722" s="66"/>
      <c r="AE722" s="66"/>
      <c r="AF722" s="66"/>
      <c r="AG722" s="60"/>
      <c r="AH722" s="61"/>
      <c r="AI722" s="62"/>
      <c r="AJ722" s="61"/>
      <c r="AK722" s="60"/>
      <c r="AL722" s="65"/>
    </row>
    <row r="723" spans="2:38" s="42" customFormat="1" x14ac:dyDescent="0.35">
      <c r="B723" s="55" t="str">
        <f t="shared" si="49"/>
        <v/>
      </c>
      <c r="C723" s="40"/>
      <c r="D723" s="40"/>
      <c r="E723" s="41"/>
      <c r="F723" s="41"/>
      <c r="G723" s="41"/>
      <c r="H723" s="68"/>
      <c r="I723" s="71"/>
      <c r="J723" s="41"/>
      <c r="K723" s="41"/>
      <c r="L723" s="71"/>
      <c r="M723" s="71"/>
      <c r="N723" s="71"/>
      <c r="O723" s="71"/>
      <c r="P723" s="41"/>
      <c r="Q723" s="41"/>
      <c r="R723" s="71"/>
      <c r="S723" s="71"/>
      <c r="T723" s="75"/>
      <c r="U723" s="75"/>
      <c r="V723" s="75"/>
      <c r="W723" s="58" t="str">
        <f t="shared" si="50"/>
        <v/>
      </c>
      <c r="X723" s="59" t="str">
        <f t="shared" si="51"/>
        <v/>
      </c>
      <c r="Y723" s="41"/>
      <c r="Z723" s="41"/>
      <c r="AA723" s="41"/>
      <c r="AB723" s="68"/>
      <c r="AC723" s="69"/>
      <c r="AD723" s="66"/>
      <c r="AE723" s="66"/>
      <c r="AF723" s="66"/>
      <c r="AG723" s="60"/>
      <c r="AH723" s="61"/>
      <c r="AI723" s="62"/>
      <c r="AJ723" s="61"/>
      <c r="AK723" s="60"/>
      <c r="AL723" s="65"/>
    </row>
    <row r="724" spans="2:38" s="42" customFormat="1" x14ac:dyDescent="0.35">
      <c r="B724" s="55" t="str">
        <f t="shared" si="49"/>
        <v/>
      </c>
      <c r="C724" s="40"/>
      <c r="D724" s="40"/>
      <c r="E724" s="41"/>
      <c r="F724" s="41"/>
      <c r="G724" s="41"/>
      <c r="H724" s="68"/>
      <c r="I724" s="71"/>
      <c r="J724" s="41"/>
      <c r="K724" s="41"/>
      <c r="L724" s="71"/>
      <c r="M724" s="71"/>
      <c r="N724" s="71"/>
      <c r="O724" s="71"/>
      <c r="P724" s="41"/>
      <c r="Q724" s="41"/>
      <c r="R724" s="71"/>
      <c r="S724" s="71"/>
      <c r="T724" s="75"/>
      <c r="U724" s="75"/>
      <c r="V724" s="75"/>
      <c r="W724" s="58" t="str">
        <f t="shared" si="50"/>
        <v/>
      </c>
      <c r="X724" s="59" t="str">
        <f t="shared" si="51"/>
        <v/>
      </c>
      <c r="Y724" s="41"/>
      <c r="Z724" s="41"/>
      <c r="AA724" s="41"/>
      <c r="AB724" s="68"/>
      <c r="AC724" s="69"/>
      <c r="AD724" s="66"/>
      <c r="AE724" s="66"/>
      <c r="AF724" s="66"/>
      <c r="AG724" s="60"/>
      <c r="AH724" s="61"/>
      <c r="AI724" s="62"/>
      <c r="AJ724" s="61"/>
      <c r="AK724" s="60"/>
      <c r="AL724" s="65"/>
    </row>
    <row r="725" spans="2:38" s="42" customFormat="1" x14ac:dyDescent="0.35">
      <c r="B725" s="55" t="str">
        <f t="shared" si="49"/>
        <v/>
      </c>
      <c r="C725" s="40"/>
      <c r="D725" s="40"/>
      <c r="E725" s="41"/>
      <c r="F725" s="41"/>
      <c r="G725" s="41"/>
      <c r="H725" s="68"/>
      <c r="I725" s="71"/>
      <c r="J725" s="41"/>
      <c r="K725" s="41"/>
      <c r="L725" s="71"/>
      <c r="M725" s="71"/>
      <c r="N725" s="71"/>
      <c r="O725" s="71"/>
      <c r="P725" s="41"/>
      <c r="Q725" s="41"/>
      <c r="R725" s="71"/>
      <c r="S725" s="71"/>
      <c r="T725" s="75"/>
      <c r="U725" s="75"/>
      <c r="V725" s="75"/>
      <c r="W725" s="58" t="str">
        <f t="shared" si="50"/>
        <v/>
      </c>
      <c r="X725" s="59" t="str">
        <f t="shared" si="51"/>
        <v/>
      </c>
      <c r="Y725" s="41"/>
      <c r="Z725" s="41"/>
      <c r="AA725" s="41"/>
      <c r="AB725" s="68"/>
      <c r="AC725" s="69"/>
      <c r="AD725" s="66"/>
      <c r="AE725" s="66"/>
      <c r="AF725" s="66"/>
      <c r="AG725" s="60"/>
      <c r="AH725" s="61"/>
      <c r="AI725" s="62"/>
      <c r="AJ725" s="61"/>
      <c r="AK725" s="60"/>
      <c r="AL725" s="65"/>
    </row>
    <row r="726" spans="2:38" s="42" customFormat="1" x14ac:dyDescent="0.35">
      <c r="B726" s="55" t="str">
        <f t="shared" si="49"/>
        <v/>
      </c>
      <c r="C726" s="40"/>
      <c r="D726" s="40"/>
      <c r="E726" s="41"/>
      <c r="F726" s="41"/>
      <c r="G726" s="41"/>
      <c r="H726" s="68"/>
      <c r="I726" s="71"/>
      <c r="J726" s="41"/>
      <c r="K726" s="41"/>
      <c r="L726" s="71"/>
      <c r="M726" s="71"/>
      <c r="N726" s="71"/>
      <c r="O726" s="71"/>
      <c r="P726" s="41"/>
      <c r="Q726" s="41"/>
      <c r="R726" s="71"/>
      <c r="S726" s="71"/>
      <c r="T726" s="75"/>
      <c r="U726" s="75"/>
      <c r="V726" s="75"/>
      <c r="W726" s="58" t="str">
        <f t="shared" si="50"/>
        <v/>
      </c>
      <c r="X726" s="59" t="str">
        <f t="shared" si="51"/>
        <v/>
      </c>
      <c r="Y726" s="41"/>
      <c r="Z726" s="41"/>
      <c r="AA726" s="41"/>
      <c r="AB726" s="68"/>
      <c r="AC726" s="69"/>
      <c r="AD726" s="66"/>
      <c r="AE726" s="66"/>
      <c r="AF726" s="66"/>
      <c r="AG726" s="60"/>
      <c r="AH726" s="61"/>
      <c r="AI726" s="62"/>
      <c r="AJ726" s="61"/>
      <c r="AK726" s="60"/>
      <c r="AL726" s="65"/>
    </row>
    <row r="727" spans="2:38" s="42" customFormat="1" x14ac:dyDescent="0.35">
      <c r="B727" s="55" t="str">
        <f t="shared" si="49"/>
        <v/>
      </c>
      <c r="C727" s="40"/>
      <c r="D727" s="40"/>
      <c r="E727" s="41"/>
      <c r="F727" s="41"/>
      <c r="G727" s="41"/>
      <c r="H727" s="68"/>
      <c r="I727" s="71"/>
      <c r="J727" s="41"/>
      <c r="K727" s="41"/>
      <c r="L727" s="71"/>
      <c r="M727" s="71"/>
      <c r="N727" s="71"/>
      <c r="O727" s="71"/>
      <c r="P727" s="41"/>
      <c r="Q727" s="41"/>
      <c r="R727" s="71"/>
      <c r="S727" s="71"/>
      <c r="T727" s="75"/>
      <c r="U727" s="75"/>
      <c r="V727" s="75"/>
      <c r="W727" s="58" t="str">
        <f t="shared" si="50"/>
        <v/>
      </c>
      <c r="X727" s="59" t="str">
        <f t="shared" si="51"/>
        <v/>
      </c>
      <c r="Y727" s="41"/>
      <c r="Z727" s="41"/>
      <c r="AA727" s="41"/>
      <c r="AB727" s="68"/>
      <c r="AC727" s="69"/>
      <c r="AD727" s="66"/>
      <c r="AE727" s="66"/>
      <c r="AF727" s="66"/>
      <c r="AG727" s="60"/>
      <c r="AH727" s="61"/>
      <c r="AI727" s="62"/>
      <c r="AJ727" s="61"/>
      <c r="AK727" s="60"/>
      <c r="AL727" s="65"/>
    </row>
    <row r="728" spans="2:38" s="42" customFormat="1" x14ac:dyDescent="0.35">
      <c r="B728" s="55" t="str">
        <f t="shared" si="49"/>
        <v/>
      </c>
      <c r="C728" s="40"/>
      <c r="D728" s="40"/>
      <c r="E728" s="41"/>
      <c r="F728" s="41"/>
      <c r="G728" s="41"/>
      <c r="H728" s="68"/>
      <c r="I728" s="71"/>
      <c r="J728" s="41"/>
      <c r="K728" s="41"/>
      <c r="L728" s="71"/>
      <c r="M728" s="71"/>
      <c r="N728" s="71"/>
      <c r="O728" s="71"/>
      <c r="P728" s="41"/>
      <c r="Q728" s="41"/>
      <c r="R728" s="71"/>
      <c r="S728" s="71"/>
      <c r="T728" s="75"/>
      <c r="U728" s="75"/>
      <c r="V728" s="75"/>
      <c r="W728" s="58" t="str">
        <f t="shared" si="50"/>
        <v/>
      </c>
      <c r="X728" s="59" t="str">
        <f t="shared" si="51"/>
        <v/>
      </c>
      <c r="Y728" s="41"/>
      <c r="Z728" s="41"/>
      <c r="AA728" s="41"/>
      <c r="AB728" s="68"/>
      <c r="AC728" s="69"/>
      <c r="AD728" s="66"/>
      <c r="AE728" s="66"/>
      <c r="AF728" s="66"/>
      <c r="AG728" s="60"/>
      <c r="AH728" s="61"/>
      <c r="AI728" s="62"/>
      <c r="AJ728" s="61"/>
      <c r="AK728" s="60"/>
      <c r="AL728" s="65"/>
    </row>
    <row r="729" spans="2:38" s="42" customFormat="1" x14ac:dyDescent="0.35">
      <c r="B729" s="55" t="str">
        <f t="shared" si="49"/>
        <v/>
      </c>
      <c r="C729" s="40"/>
      <c r="D729" s="40"/>
      <c r="E729" s="41"/>
      <c r="F729" s="41"/>
      <c r="G729" s="41"/>
      <c r="H729" s="68"/>
      <c r="I729" s="71"/>
      <c r="J729" s="41"/>
      <c r="K729" s="41"/>
      <c r="L729" s="71"/>
      <c r="M729" s="71"/>
      <c r="N729" s="71"/>
      <c r="O729" s="71"/>
      <c r="P729" s="41"/>
      <c r="Q729" s="41"/>
      <c r="R729" s="71"/>
      <c r="S729" s="71"/>
      <c r="T729" s="75"/>
      <c r="U729" s="75"/>
      <c r="V729" s="75"/>
      <c r="W729" s="58" t="str">
        <f t="shared" si="50"/>
        <v/>
      </c>
      <c r="X729" s="59" t="str">
        <f t="shared" si="51"/>
        <v/>
      </c>
      <c r="Y729" s="41"/>
      <c r="Z729" s="41"/>
      <c r="AA729" s="41"/>
      <c r="AB729" s="68"/>
      <c r="AC729" s="69"/>
      <c r="AD729" s="66"/>
      <c r="AE729" s="66"/>
      <c r="AF729" s="66"/>
      <c r="AG729" s="60"/>
      <c r="AH729" s="61"/>
      <c r="AI729" s="62"/>
      <c r="AJ729" s="61"/>
      <c r="AK729" s="60"/>
      <c r="AL729" s="65"/>
    </row>
    <row r="730" spans="2:38" s="42" customFormat="1" x14ac:dyDescent="0.35">
      <c r="B730" s="55" t="str">
        <f t="shared" si="49"/>
        <v/>
      </c>
      <c r="C730" s="40"/>
      <c r="D730" s="40"/>
      <c r="E730" s="41"/>
      <c r="F730" s="41"/>
      <c r="G730" s="41"/>
      <c r="H730" s="68"/>
      <c r="I730" s="71"/>
      <c r="J730" s="41"/>
      <c r="K730" s="41"/>
      <c r="L730" s="71"/>
      <c r="M730" s="71"/>
      <c r="N730" s="71"/>
      <c r="O730" s="71"/>
      <c r="P730" s="41"/>
      <c r="Q730" s="41"/>
      <c r="R730" s="71"/>
      <c r="S730" s="71"/>
      <c r="T730" s="75"/>
      <c r="U730" s="75"/>
      <c r="V730" s="75"/>
      <c r="W730" s="58" t="str">
        <f t="shared" si="50"/>
        <v/>
      </c>
      <c r="X730" s="59" t="str">
        <f t="shared" si="51"/>
        <v/>
      </c>
      <c r="Y730" s="41"/>
      <c r="Z730" s="41"/>
      <c r="AA730" s="41"/>
      <c r="AB730" s="68"/>
      <c r="AC730" s="69"/>
      <c r="AD730" s="66"/>
      <c r="AE730" s="66"/>
      <c r="AF730" s="66"/>
      <c r="AG730" s="60"/>
      <c r="AH730" s="61"/>
      <c r="AI730" s="62"/>
      <c r="AJ730" s="61"/>
      <c r="AK730" s="60"/>
      <c r="AL730" s="65"/>
    </row>
    <row r="731" spans="2:38" s="42" customFormat="1" x14ac:dyDescent="0.35">
      <c r="B731" s="55" t="str">
        <f t="shared" si="49"/>
        <v/>
      </c>
      <c r="C731" s="40"/>
      <c r="D731" s="40"/>
      <c r="E731" s="41"/>
      <c r="F731" s="41"/>
      <c r="G731" s="41"/>
      <c r="H731" s="68"/>
      <c r="I731" s="71"/>
      <c r="J731" s="41"/>
      <c r="K731" s="41"/>
      <c r="L731" s="71"/>
      <c r="M731" s="71"/>
      <c r="N731" s="71"/>
      <c r="O731" s="71"/>
      <c r="P731" s="41"/>
      <c r="Q731" s="41"/>
      <c r="R731" s="71"/>
      <c r="S731" s="71"/>
      <c r="T731" s="75"/>
      <c r="U731" s="75"/>
      <c r="V731" s="75"/>
      <c r="W731" s="58" t="str">
        <f t="shared" si="50"/>
        <v/>
      </c>
      <c r="X731" s="59" t="str">
        <f t="shared" si="51"/>
        <v/>
      </c>
      <c r="Y731" s="41"/>
      <c r="Z731" s="41"/>
      <c r="AA731" s="41"/>
      <c r="AB731" s="68"/>
      <c r="AC731" s="69"/>
      <c r="AD731" s="66"/>
      <c r="AE731" s="66"/>
      <c r="AF731" s="66"/>
      <c r="AG731" s="60"/>
      <c r="AH731" s="61"/>
      <c r="AI731" s="62"/>
      <c r="AJ731" s="61"/>
      <c r="AK731" s="60"/>
      <c r="AL731" s="65"/>
    </row>
    <row r="732" spans="2:38" s="42" customFormat="1" x14ac:dyDescent="0.35">
      <c r="B732" s="55" t="str">
        <f t="shared" si="49"/>
        <v/>
      </c>
      <c r="C732" s="40"/>
      <c r="D732" s="40"/>
      <c r="E732" s="41"/>
      <c r="F732" s="41"/>
      <c r="G732" s="41"/>
      <c r="H732" s="68"/>
      <c r="I732" s="71"/>
      <c r="J732" s="41"/>
      <c r="K732" s="41"/>
      <c r="L732" s="71"/>
      <c r="M732" s="71"/>
      <c r="N732" s="71"/>
      <c r="O732" s="71"/>
      <c r="P732" s="41"/>
      <c r="Q732" s="41"/>
      <c r="R732" s="71"/>
      <c r="S732" s="71"/>
      <c r="T732" s="75"/>
      <c r="U732" s="75"/>
      <c r="V732" s="75"/>
      <c r="W732" s="58" t="str">
        <f t="shared" si="50"/>
        <v/>
      </c>
      <c r="X732" s="59" t="str">
        <f t="shared" si="51"/>
        <v/>
      </c>
      <c r="Y732" s="41"/>
      <c r="Z732" s="41"/>
      <c r="AA732" s="41"/>
      <c r="AB732" s="68"/>
      <c r="AC732" s="69"/>
      <c r="AD732" s="66"/>
      <c r="AE732" s="66"/>
      <c r="AF732" s="66"/>
      <c r="AG732" s="60"/>
      <c r="AH732" s="61"/>
      <c r="AI732" s="62"/>
      <c r="AJ732" s="61"/>
      <c r="AK732" s="60"/>
      <c r="AL732" s="65"/>
    </row>
    <row r="733" spans="2:38" s="42" customFormat="1" x14ac:dyDescent="0.35">
      <c r="B733" s="55" t="str">
        <f t="shared" si="49"/>
        <v/>
      </c>
      <c r="C733" s="40"/>
      <c r="D733" s="40"/>
      <c r="E733" s="41"/>
      <c r="F733" s="41"/>
      <c r="G733" s="41"/>
      <c r="H733" s="68"/>
      <c r="I733" s="71"/>
      <c r="J733" s="41"/>
      <c r="K733" s="41"/>
      <c r="L733" s="71"/>
      <c r="M733" s="71"/>
      <c r="N733" s="71"/>
      <c r="O733" s="71"/>
      <c r="P733" s="41"/>
      <c r="Q733" s="41"/>
      <c r="R733" s="71"/>
      <c r="S733" s="71"/>
      <c r="T733" s="75"/>
      <c r="U733" s="75"/>
      <c r="V733" s="75"/>
      <c r="W733" s="58" t="str">
        <f t="shared" si="50"/>
        <v/>
      </c>
      <c r="X733" s="59" t="str">
        <f t="shared" si="51"/>
        <v/>
      </c>
      <c r="Y733" s="41"/>
      <c r="Z733" s="41"/>
      <c r="AA733" s="41"/>
      <c r="AB733" s="68"/>
      <c r="AC733" s="69"/>
      <c r="AD733" s="66"/>
      <c r="AE733" s="66"/>
      <c r="AF733" s="66"/>
      <c r="AG733" s="60"/>
      <c r="AH733" s="61"/>
      <c r="AI733" s="62"/>
      <c r="AJ733" s="61"/>
      <c r="AK733" s="60"/>
      <c r="AL733" s="65"/>
    </row>
    <row r="734" spans="2:38" s="42" customFormat="1" x14ac:dyDescent="0.35">
      <c r="B734" s="55" t="str">
        <f t="shared" si="49"/>
        <v/>
      </c>
      <c r="C734" s="40"/>
      <c r="D734" s="40"/>
      <c r="E734" s="41"/>
      <c r="F734" s="41"/>
      <c r="G734" s="41"/>
      <c r="H734" s="68"/>
      <c r="I734" s="71"/>
      <c r="J734" s="41"/>
      <c r="K734" s="41"/>
      <c r="L734" s="71"/>
      <c r="M734" s="71"/>
      <c r="N734" s="71"/>
      <c r="O734" s="71"/>
      <c r="P734" s="41"/>
      <c r="Q734" s="41"/>
      <c r="R734" s="71"/>
      <c r="S734" s="71"/>
      <c r="T734" s="75"/>
      <c r="U734" s="75"/>
      <c r="V734" s="75"/>
      <c r="W734" s="58" t="str">
        <f t="shared" si="50"/>
        <v/>
      </c>
      <c r="X734" s="59" t="str">
        <f t="shared" si="51"/>
        <v/>
      </c>
      <c r="Y734" s="41"/>
      <c r="Z734" s="41"/>
      <c r="AA734" s="41"/>
      <c r="AB734" s="68"/>
      <c r="AC734" s="69"/>
      <c r="AD734" s="66"/>
      <c r="AE734" s="66"/>
      <c r="AF734" s="66"/>
      <c r="AG734" s="60"/>
      <c r="AH734" s="61"/>
      <c r="AI734" s="62"/>
      <c r="AJ734" s="61"/>
      <c r="AK734" s="60"/>
      <c r="AL734" s="65"/>
    </row>
    <row r="735" spans="2:38" s="42" customFormat="1" x14ac:dyDescent="0.35">
      <c r="B735" s="55" t="str">
        <f t="shared" si="49"/>
        <v/>
      </c>
      <c r="C735" s="40"/>
      <c r="D735" s="40"/>
      <c r="E735" s="41"/>
      <c r="F735" s="41"/>
      <c r="G735" s="41"/>
      <c r="H735" s="68"/>
      <c r="I735" s="71"/>
      <c r="J735" s="41"/>
      <c r="K735" s="41"/>
      <c r="L735" s="71"/>
      <c r="M735" s="71"/>
      <c r="N735" s="71"/>
      <c r="O735" s="71"/>
      <c r="P735" s="41"/>
      <c r="Q735" s="41"/>
      <c r="R735" s="71"/>
      <c r="S735" s="71"/>
      <c r="T735" s="75"/>
      <c r="U735" s="75"/>
      <c r="V735" s="75"/>
      <c r="W735" s="58" t="str">
        <f t="shared" si="50"/>
        <v/>
      </c>
      <c r="X735" s="59" t="str">
        <f t="shared" si="51"/>
        <v/>
      </c>
      <c r="Y735" s="41"/>
      <c r="Z735" s="41"/>
      <c r="AA735" s="41"/>
      <c r="AB735" s="68"/>
      <c r="AC735" s="69"/>
      <c r="AD735" s="66"/>
      <c r="AE735" s="66"/>
      <c r="AF735" s="66"/>
      <c r="AG735" s="60"/>
      <c r="AH735" s="61"/>
      <c r="AI735" s="62"/>
      <c r="AJ735" s="61"/>
      <c r="AK735" s="60"/>
      <c r="AL735" s="65"/>
    </row>
    <row r="736" spans="2:38" s="42" customFormat="1" x14ac:dyDescent="0.35">
      <c r="B736" s="55" t="str">
        <f t="shared" si="49"/>
        <v/>
      </c>
      <c r="C736" s="40"/>
      <c r="D736" s="40"/>
      <c r="E736" s="41"/>
      <c r="F736" s="41"/>
      <c r="G736" s="41"/>
      <c r="H736" s="68"/>
      <c r="I736" s="71"/>
      <c r="J736" s="41"/>
      <c r="K736" s="41"/>
      <c r="L736" s="71"/>
      <c r="M736" s="71"/>
      <c r="N736" s="71"/>
      <c r="O736" s="71"/>
      <c r="P736" s="41"/>
      <c r="Q736" s="41"/>
      <c r="R736" s="71"/>
      <c r="S736" s="71"/>
      <c r="T736" s="75"/>
      <c r="U736" s="75"/>
      <c r="V736" s="75"/>
      <c r="W736" s="58" t="str">
        <f t="shared" si="50"/>
        <v/>
      </c>
      <c r="X736" s="59" t="str">
        <f t="shared" si="51"/>
        <v/>
      </c>
      <c r="Y736" s="41"/>
      <c r="Z736" s="41"/>
      <c r="AA736" s="41"/>
      <c r="AB736" s="68"/>
      <c r="AC736" s="69"/>
      <c r="AD736" s="66"/>
      <c r="AE736" s="66"/>
      <c r="AF736" s="66"/>
      <c r="AG736" s="60"/>
      <c r="AH736" s="61"/>
      <c r="AI736" s="62"/>
      <c r="AJ736" s="61"/>
      <c r="AK736" s="60"/>
      <c r="AL736" s="65"/>
    </row>
    <row r="737" spans="2:38" s="42" customFormat="1" x14ac:dyDescent="0.35">
      <c r="B737" s="55" t="str">
        <f t="shared" si="49"/>
        <v/>
      </c>
      <c r="C737" s="40"/>
      <c r="D737" s="40"/>
      <c r="E737" s="41"/>
      <c r="F737" s="41"/>
      <c r="G737" s="41"/>
      <c r="H737" s="68"/>
      <c r="I737" s="71"/>
      <c r="J737" s="41"/>
      <c r="K737" s="41"/>
      <c r="L737" s="71"/>
      <c r="M737" s="71"/>
      <c r="N737" s="71"/>
      <c r="O737" s="71"/>
      <c r="P737" s="41"/>
      <c r="Q737" s="41"/>
      <c r="R737" s="71"/>
      <c r="S737" s="71"/>
      <c r="T737" s="75"/>
      <c r="U737" s="75"/>
      <c r="V737" s="75"/>
      <c r="W737" s="58" t="str">
        <f t="shared" si="50"/>
        <v/>
      </c>
      <c r="X737" s="59" t="str">
        <f t="shared" si="51"/>
        <v/>
      </c>
      <c r="Y737" s="41"/>
      <c r="Z737" s="41"/>
      <c r="AA737" s="41"/>
      <c r="AB737" s="68"/>
      <c r="AC737" s="69"/>
      <c r="AD737" s="66"/>
      <c r="AE737" s="66"/>
      <c r="AF737" s="66"/>
      <c r="AG737" s="60"/>
      <c r="AH737" s="61"/>
      <c r="AI737" s="62"/>
      <c r="AJ737" s="61"/>
      <c r="AK737" s="60"/>
      <c r="AL737" s="65"/>
    </row>
    <row r="738" spans="2:38" s="42" customFormat="1" x14ac:dyDescent="0.35">
      <c r="B738" s="55" t="str">
        <f t="shared" si="49"/>
        <v/>
      </c>
      <c r="C738" s="40"/>
      <c r="D738" s="40"/>
      <c r="E738" s="41"/>
      <c r="F738" s="41"/>
      <c r="G738" s="41"/>
      <c r="H738" s="68"/>
      <c r="I738" s="71"/>
      <c r="J738" s="41"/>
      <c r="K738" s="41"/>
      <c r="L738" s="71"/>
      <c r="M738" s="71"/>
      <c r="N738" s="71"/>
      <c r="O738" s="71"/>
      <c r="P738" s="41"/>
      <c r="Q738" s="41"/>
      <c r="R738" s="71"/>
      <c r="S738" s="71"/>
      <c r="T738" s="75"/>
      <c r="U738" s="75"/>
      <c r="V738" s="75"/>
      <c r="W738" s="58" t="str">
        <f t="shared" si="50"/>
        <v/>
      </c>
      <c r="X738" s="59" t="str">
        <f t="shared" si="51"/>
        <v/>
      </c>
      <c r="Y738" s="41"/>
      <c r="Z738" s="41"/>
      <c r="AA738" s="41"/>
      <c r="AB738" s="68"/>
      <c r="AC738" s="69"/>
      <c r="AD738" s="66"/>
      <c r="AE738" s="66"/>
      <c r="AF738" s="66"/>
      <c r="AG738" s="60"/>
      <c r="AH738" s="61"/>
      <c r="AI738" s="62"/>
      <c r="AJ738" s="61"/>
      <c r="AK738" s="60"/>
      <c r="AL738" s="65"/>
    </row>
    <row r="739" spans="2:38" s="42" customFormat="1" x14ac:dyDescent="0.35">
      <c r="B739" s="55" t="str">
        <f t="shared" si="49"/>
        <v/>
      </c>
      <c r="C739" s="40"/>
      <c r="D739" s="40"/>
      <c r="E739" s="41"/>
      <c r="F739" s="41"/>
      <c r="G739" s="41"/>
      <c r="H739" s="68"/>
      <c r="I739" s="71"/>
      <c r="J739" s="41"/>
      <c r="K739" s="41"/>
      <c r="L739" s="71"/>
      <c r="M739" s="71"/>
      <c r="N739" s="71"/>
      <c r="O739" s="71"/>
      <c r="P739" s="41"/>
      <c r="Q739" s="41"/>
      <c r="R739" s="71"/>
      <c r="S739" s="71"/>
      <c r="T739" s="75"/>
      <c r="U739" s="75"/>
      <c r="V739" s="75"/>
      <c r="W739" s="58" t="str">
        <f t="shared" si="50"/>
        <v/>
      </c>
      <c r="X739" s="59" t="str">
        <f t="shared" si="51"/>
        <v/>
      </c>
      <c r="Y739" s="41"/>
      <c r="Z739" s="41"/>
      <c r="AA739" s="41"/>
      <c r="AB739" s="68"/>
      <c r="AC739" s="69"/>
      <c r="AD739" s="66"/>
      <c r="AE739" s="66"/>
      <c r="AF739" s="66"/>
      <c r="AG739" s="60"/>
      <c r="AH739" s="61"/>
      <c r="AI739" s="62"/>
      <c r="AJ739" s="61"/>
      <c r="AK739" s="60"/>
      <c r="AL739" s="65"/>
    </row>
    <row r="740" spans="2:38" s="42" customFormat="1" x14ac:dyDescent="0.35">
      <c r="B740" s="55" t="str">
        <f t="shared" si="49"/>
        <v/>
      </c>
      <c r="C740" s="40"/>
      <c r="D740" s="40"/>
      <c r="E740" s="41"/>
      <c r="F740" s="41"/>
      <c r="G740" s="41"/>
      <c r="H740" s="68"/>
      <c r="I740" s="71"/>
      <c r="J740" s="41"/>
      <c r="K740" s="41"/>
      <c r="L740" s="71"/>
      <c r="M740" s="71"/>
      <c r="N740" s="71"/>
      <c r="O740" s="71"/>
      <c r="P740" s="41"/>
      <c r="Q740" s="41"/>
      <c r="R740" s="71"/>
      <c r="S740" s="71"/>
      <c r="T740" s="75"/>
      <c r="U740" s="75"/>
      <c r="V740" s="75"/>
      <c r="W740" s="58" t="str">
        <f t="shared" si="50"/>
        <v/>
      </c>
      <c r="X740" s="59" t="str">
        <f t="shared" si="51"/>
        <v/>
      </c>
      <c r="Y740" s="41"/>
      <c r="Z740" s="41"/>
      <c r="AA740" s="41"/>
      <c r="AB740" s="68"/>
      <c r="AC740" s="69"/>
      <c r="AD740" s="66"/>
      <c r="AE740" s="66"/>
      <c r="AF740" s="66"/>
      <c r="AG740" s="60"/>
      <c r="AH740" s="61"/>
      <c r="AI740" s="62"/>
      <c r="AJ740" s="61"/>
      <c r="AK740" s="60"/>
      <c r="AL740" s="65"/>
    </row>
    <row r="741" spans="2:38" s="42" customFormat="1" x14ac:dyDescent="0.35">
      <c r="B741" s="55" t="str">
        <f t="shared" si="49"/>
        <v/>
      </c>
      <c r="C741" s="40"/>
      <c r="D741" s="40"/>
      <c r="E741" s="41"/>
      <c r="F741" s="41"/>
      <c r="G741" s="41"/>
      <c r="H741" s="68"/>
      <c r="I741" s="71"/>
      <c r="J741" s="41"/>
      <c r="K741" s="41"/>
      <c r="L741" s="71"/>
      <c r="M741" s="71"/>
      <c r="N741" s="71"/>
      <c r="O741" s="71"/>
      <c r="P741" s="41"/>
      <c r="Q741" s="41"/>
      <c r="R741" s="71"/>
      <c r="S741" s="71"/>
      <c r="T741" s="75"/>
      <c r="U741" s="75"/>
      <c r="V741" s="75"/>
      <c r="W741" s="58" t="str">
        <f t="shared" si="50"/>
        <v/>
      </c>
      <c r="X741" s="59" t="str">
        <f t="shared" si="51"/>
        <v/>
      </c>
      <c r="Y741" s="41"/>
      <c r="Z741" s="41"/>
      <c r="AA741" s="41"/>
      <c r="AB741" s="68"/>
      <c r="AC741" s="69"/>
      <c r="AD741" s="66"/>
      <c r="AE741" s="66"/>
      <c r="AF741" s="66"/>
      <c r="AG741" s="60"/>
      <c r="AH741" s="61"/>
      <c r="AI741" s="62"/>
      <c r="AJ741" s="61"/>
      <c r="AK741" s="60"/>
      <c r="AL741" s="65"/>
    </row>
    <row r="742" spans="2:38" s="42" customFormat="1" x14ac:dyDescent="0.35">
      <c r="B742" s="55" t="str">
        <f t="shared" si="49"/>
        <v/>
      </c>
      <c r="C742" s="40"/>
      <c r="D742" s="40"/>
      <c r="E742" s="41"/>
      <c r="F742" s="41"/>
      <c r="G742" s="41"/>
      <c r="H742" s="68"/>
      <c r="I742" s="71"/>
      <c r="J742" s="41"/>
      <c r="K742" s="41"/>
      <c r="L742" s="71"/>
      <c r="M742" s="71"/>
      <c r="N742" s="71"/>
      <c r="O742" s="71"/>
      <c r="P742" s="41"/>
      <c r="Q742" s="41"/>
      <c r="R742" s="71"/>
      <c r="S742" s="71"/>
      <c r="T742" s="75"/>
      <c r="U742" s="75"/>
      <c r="V742" s="75"/>
      <c r="W742" s="58" t="str">
        <f t="shared" si="50"/>
        <v/>
      </c>
      <c r="X742" s="59" t="str">
        <f t="shared" si="51"/>
        <v/>
      </c>
      <c r="Y742" s="41"/>
      <c r="Z742" s="41"/>
      <c r="AA742" s="41"/>
      <c r="AB742" s="68"/>
      <c r="AC742" s="69"/>
      <c r="AD742" s="66"/>
      <c r="AE742" s="66"/>
      <c r="AF742" s="66"/>
      <c r="AG742" s="60"/>
      <c r="AH742" s="61"/>
      <c r="AI742" s="62"/>
      <c r="AJ742" s="61"/>
      <c r="AK742" s="60"/>
      <c r="AL742" s="65"/>
    </row>
    <row r="743" spans="2:38" s="42" customFormat="1" x14ac:dyDescent="0.35">
      <c r="B743" s="55" t="str">
        <f t="shared" si="49"/>
        <v/>
      </c>
      <c r="C743" s="40"/>
      <c r="D743" s="40"/>
      <c r="E743" s="41"/>
      <c r="F743" s="41"/>
      <c r="G743" s="41"/>
      <c r="H743" s="68"/>
      <c r="I743" s="71"/>
      <c r="J743" s="41"/>
      <c r="K743" s="41"/>
      <c r="L743" s="71"/>
      <c r="M743" s="71"/>
      <c r="N743" s="71"/>
      <c r="O743" s="71"/>
      <c r="P743" s="41"/>
      <c r="Q743" s="41"/>
      <c r="R743" s="71"/>
      <c r="S743" s="71"/>
      <c r="T743" s="75"/>
      <c r="U743" s="75"/>
      <c r="V743" s="75"/>
      <c r="W743" s="58" t="str">
        <f t="shared" si="50"/>
        <v/>
      </c>
      <c r="X743" s="59" t="str">
        <f t="shared" si="51"/>
        <v/>
      </c>
      <c r="Y743" s="41"/>
      <c r="Z743" s="41"/>
      <c r="AA743" s="41"/>
      <c r="AB743" s="68"/>
      <c r="AC743" s="69"/>
      <c r="AD743" s="66"/>
      <c r="AE743" s="66"/>
      <c r="AF743" s="66"/>
      <c r="AG743" s="60"/>
      <c r="AH743" s="61"/>
      <c r="AI743" s="62"/>
      <c r="AJ743" s="61"/>
      <c r="AK743" s="60"/>
      <c r="AL743" s="65"/>
    </row>
    <row r="744" spans="2:38" s="42" customFormat="1" x14ac:dyDescent="0.35">
      <c r="B744" s="55" t="str">
        <f t="shared" si="49"/>
        <v/>
      </c>
      <c r="C744" s="40"/>
      <c r="D744" s="40"/>
      <c r="E744" s="41"/>
      <c r="F744" s="41"/>
      <c r="G744" s="41"/>
      <c r="H744" s="68"/>
      <c r="I744" s="71"/>
      <c r="J744" s="41"/>
      <c r="K744" s="41"/>
      <c r="L744" s="71"/>
      <c r="M744" s="71"/>
      <c r="N744" s="71"/>
      <c r="O744" s="71"/>
      <c r="P744" s="41"/>
      <c r="Q744" s="41"/>
      <c r="R744" s="71"/>
      <c r="S744" s="71"/>
      <c r="T744" s="75"/>
      <c r="U744" s="75"/>
      <c r="V744" s="75"/>
      <c r="W744" s="58" t="str">
        <f t="shared" si="50"/>
        <v/>
      </c>
      <c r="X744" s="59" t="str">
        <f t="shared" si="51"/>
        <v/>
      </c>
      <c r="Y744" s="41"/>
      <c r="Z744" s="41"/>
      <c r="AA744" s="41"/>
      <c r="AB744" s="68"/>
      <c r="AC744" s="69"/>
      <c r="AD744" s="66"/>
      <c r="AE744" s="66"/>
      <c r="AF744" s="66"/>
      <c r="AG744" s="60"/>
      <c r="AH744" s="61"/>
      <c r="AI744" s="62"/>
      <c r="AJ744" s="61"/>
      <c r="AK744" s="60"/>
      <c r="AL744" s="65"/>
    </row>
    <row r="745" spans="2:38" s="42" customFormat="1" x14ac:dyDescent="0.35">
      <c r="B745" s="55" t="str">
        <f t="shared" si="49"/>
        <v/>
      </c>
      <c r="C745" s="40"/>
      <c r="D745" s="40"/>
      <c r="E745" s="41"/>
      <c r="F745" s="41"/>
      <c r="G745" s="41"/>
      <c r="H745" s="68"/>
      <c r="I745" s="71"/>
      <c r="J745" s="41"/>
      <c r="K745" s="41"/>
      <c r="L745" s="71"/>
      <c r="M745" s="71"/>
      <c r="N745" s="71"/>
      <c r="O745" s="71"/>
      <c r="P745" s="41"/>
      <c r="Q745" s="41"/>
      <c r="R745" s="71"/>
      <c r="S745" s="71"/>
      <c r="T745" s="75"/>
      <c r="U745" s="75"/>
      <c r="V745" s="75"/>
      <c r="W745" s="58" t="str">
        <f t="shared" si="50"/>
        <v/>
      </c>
      <c r="X745" s="59" t="str">
        <f t="shared" si="51"/>
        <v/>
      </c>
      <c r="Y745" s="41"/>
      <c r="Z745" s="41"/>
      <c r="AA745" s="41"/>
      <c r="AB745" s="68"/>
      <c r="AC745" s="69"/>
      <c r="AD745" s="66"/>
      <c r="AE745" s="66"/>
      <c r="AF745" s="66"/>
      <c r="AG745" s="60"/>
      <c r="AH745" s="61"/>
      <c r="AI745" s="62"/>
      <c r="AJ745" s="61"/>
      <c r="AK745" s="60"/>
      <c r="AL745" s="65"/>
    </row>
    <row r="746" spans="2:38" s="42" customFormat="1" x14ac:dyDescent="0.35">
      <c r="B746" s="55" t="str">
        <f t="shared" si="49"/>
        <v/>
      </c>
      <c r="C746" s="40"/>
      <c r="D746" s="40"/>
      <c r="E746" s="41"/>
      <c r="F746" s="41"/>
      <c r="G746" s="41"/>
      <c r="H746" s="68"/>
      <c r="I746" s="71"/>
      <c r="J746" s="41"/>
      <c r="K746" s="41"/>
      <c r="L746" s="71"/>
      <c r="M746" s="71"/>
      <c r="N746" s="71"/>
      <c r="O746" s="71"/>
      <c r="P746" s="41"/>
      <c r="Q746" s="41"/>
      <c r="R746" s="71"/>
      <c r="S746" s="71"/>
      <c r="T746" s="75"/>
      <c r="U746" s="75"/>
      <c r="V746" s="75"/>
      <c r="W746" s="58" t="str">
        <f t="shared" si="50"/>
        <v/>
      </c>
      <c r="X746" s="59" t="str">
        <f t="shared" si="51"/>
        <v/>
      </c>
      <c r="Y746" s="41"/>
      <c r="Z746" s="41"/>
      <c r="AA746" s="41"/>
      <c r="AB746" s="68"/>
      <c r="AC746" s="69"/>
      <c r="AD746" s="66"/>
      <c r="AE746" s="66"/>
      <c r="AF746" s="66"/>
      <c r="AG746" s="60"/>
      <c r="AH746" s="61"/>
      <c r="AI746" s="62"/>
      <c r="AJ746" s="61"/>
      <c r="AK746" s="60"/>
      <c r="AL746" s="65"/>
    </row>
    <row r="747" spans="2:38" s="42" customFormat="1" x14ac:dyDescent="0.35">
      <c r="B747" s="55" t="str">
        <f t="shared" si="49"/>
        <v/>
      </c>
      <c r="C747" s="40"/>
      <c r="D747" s="40"/>
      <c r="E747" s="41"/>
      <c r="F747" s="41"/>
      <c r="G747" s="41"/>
      <c r="H747" s="68"/>
      <c r="I747" s="71"/>
      <c r="J747" s="41"/>
      <c r="K747" s="41"/>
      <c r="L747" s="71"/>
      <c r="M747" s="71"/>
      <c r="N747" s="71"/>
      <c r="O747" s="71"/>
      <c r="P747" s="41"/>
      <c r="Q747" s="41"/>
      <c r="R747" s="71"/>
      <c r="S747" s="71"/>
      <c r="T747" s="75"/>
      <c r="U747" s="75"/>
      <c r="V747" s="75"/>
      <c r="W747" s="58" t="str">
        <f t="shared" si="50"/>
        <v/>
      </c>
      <c r="X747" s="59" t="str">
        <f t="shared" si="51"/>
        <v/>
      </c>
      <c r="Y747" s="41"/>
      <c r="Z747" s="41"/>
      <c r="AA747" s="41"/>
      <c r="AB747" s="68"/>
      <c r="AC747" s="69"/>
      <c r="AD747" s="66"/>
      <c r="AE747" s="66"/>
      <c r="AF747" s="66"/>
      <c r="AG747" s="60"/>
      <c r="AH747" s="61"/>
      <c r="AI747" s="62"/>
      <c r="AJ747" s="61"/>
      <c r="AK747" s="60"/>
      <c r="AL747" s="65"/>
    </row>
    <row r="748" spans="2:38" s="42" customFormat="1" x14ac:dyDescent="0.35">
      <c r="B748" s="55" t="str">
        <f t="shared" si="49"/>
        <v/>
      </c>
      <c r="C748" s="40"/>
      <c r="D748" s="40"/>
      <c r="E748" s="41"/>
      <c r="F748" s="41"/>
      <c r="G748" s="41"/>
      <c r="H748" s="68"/>
      <c r="I748" s="71"/>
      <c r="J748" s="41"/>
      <c r="K748" s="41"/>
      <c r="L748" s="71"/>
      <c r="M748" s="71"/>
      <c r="N748" s="71"/>
      <c r="O748" s="71"/>
      <c r="P748" s="41"/>
      <c r="Q748" s="41"/>
      <c r="R748" s="71"/>
      <c r="S748" s="71"/>
      <c r="T748" s="75"/>
      <c r="U748" s="75"/>
      <c r="V748" s="75"/>
      <c r="W748" s="58" t="str">
        <f t="shared" si="50"/>
        <v/>
      </c>
      <c r="X748" s="59" t="str">
        <f t="shared" si="51"/>
        <v/>
      </c>
      <c r="Y748" s="41"/>
      <c r="Z748" s="41"/>
      <c r="AA748" s="41"/>
      <c r="AB748" s="68"/>
      <c r="AC748" s="69"/>
      <c r="AD748" s="66"/>
      <c r="AE748" s="66"/>
      <c r="AF748" s="66"/>
      <c r="AG748" s="60"/>
      <c r="AH748" s="61"/>
      <c r="AI748" s="62"/>
      <c r="AJ748" s="61"/>
      <c r="AK748" s="60"/>
      <c r="AL748" s="65"/>
    </row>
    <row r="749" spans="2:38" s="42" customFormat="1" x14ac:dyDescent="0.35">
      <c r="B749" s="55" t="str">
        <f t="shared" si="49"/>
        <v/>
      </c>
      <c r="C749" s="40"/>
      <c r="D749" s="40"/>
      <c r="E749" s="41"/>
      <c r="F749" s="41"/>
      <c r="G749" s="41"/>
      <c r="H749" s="68"/>
      <c r="I749" s="71"/>
      <c r="J749" s="41"/>
      <c r="K749" s="41"/>
      <c r="L749" s="71"/>
      <c r="M749" s="71"/>
      <c r="N749" s="71"/>
      <c r="O749" s="71"/>
      <c r="P749" s="41"/>
      <c r="Q749" s="41"/>
      <c r="R749" s="71"/>
      <c r="S749" s="71"/>
      <c r="T749" s="75"/>
      <c r="U749" s="75"/>
      <c r="V749" s="75"/>
      <c r="W749" s="58" t="str">
        <f t="shared" si="50"/>
        <v/>
      </c>
      <c r="X749" s="59" t="str">
        <f t="shared" si="51"/>
        <v/>
      </c>
      <c r="Y749" s="41"/>
      <c r="Z749" s="41"/>
      <c r="AA749" s="41"/>
      <c r="AB749" s="68"/>
      <c r="AC749" s="69"/>
      <c r="AD749" s="66"/>
      <c r="AE749" s="66"/>
      <c r="AF749" s="66"/>
      <c r="AG749" s="60"/>
      <c r="AH749" s="61"/>
      <c r="AI749" s="62"/>
      <c r="AJ749" s="61"/>
      <c r="AK749" s="60"/>
      <c r="AL749" s="65"/>
    </row>
    <row r="750" spans="2:38" s="42" customFormat="1" x14ac:dyDescent="0.35">
      <c r="B750" s="55" t="str">
        <f t="shared" si="49"/>
        <v/>
      </c>
      <c r="C750" s="40"/>
      <c r="D750" s="40"/>
      <c r="E750" s="41"/>
      <c r="F750" s="41"/>
      <c r="G750" s="41"/>
      <c r="H750" s="68"/>
      <c r="I750" s="71"/>
      <c r="J750" s="41"/>
      <c r="K750" s="41"/>
      <c r="L750" s="71"/>
      <c r="M750" s="71"/>
      <c r="N750" s="71"/>
      <c r="O750" s="71"/>
      <c r="P750" s="41"/>
      <c r="Q750" s="41"/>
      <c r="R750" s="71"/>
      <c r="S750" s="71"/>
      <c r="T750" s="75"/>
      <c r="U750" s="75"/>
      <c r="V750" s="75"/>
      <c r="W750" s="58" t="str">
        <f t="shared" si="50"/>
        <v/>
      </c>
      <c r="X750" s="59" t="str">
        <f t="shared" si="51"/>
        <v/>
      </c>
      <c r="Y750" s="41"/>
      <c r="Z750" s="41"/>
      <c r="AA750" s="41"/>
      <c r="AB750" s="68"/>
      <c r="AC750" s="69"/>
      <c r="AD750" s="66"/>
      <c r="AE750" s="66"/>
      <c r="AF750" s="66"/>
      <c r="AG750" s="60"/>
      <c r="AH750" s="61"/>
      <c r="AI750" s="62"/>
      <c r="AJ750" s="61"/>
      <c r="AK750" s="60"/>
      <c r="AL750" s="65"/>
    </row>
    <row r="751" spans="2:38" s="42" customFormat="1" x14ac:dyDescent="0.35">
      <c r="B751" s="55" t="str">
        <f t="shared" si="49"/>
        <v/>
      </c>
      <c r="C751" s="40"/>
      <c r="D751" s="40"/>
      <c r="E751" s="41"/>
      <c r="F751" s="41"/>
      <c r="G751" s="41"/>
      <c r="H751" s="68"/>
      <c r="I751" s="71"/>
      <c r="J751" s="41"/>
      <c r="K751" s="41"/>
      <c r="L751" s="71"/>
      <c r="M751" s="71"/>
      <c r="N751" s="71"/>
      <c r="O751" s="71"/>
      <c r="P751" s="41"/>
      <c r="Q751" s="41"/>
      <c r="R751" s="71"/>
      <c r="S751" s="71"/>
      <c r="T751" s="75"/>
      <c r="U751" s="75"/>
      <c r="V751" s="75"/>
      <c r="W751" s="58" t="str">
        <f t="shared" si="50"/>
        <v/>
      </c>
      <c r="X751" s="59" t="str">
        <f t="shared" si="51"/>
        <v/>
      </c>
      <c r="Y751" s="41"/>
      <c r="Z751" s="41"/>
      <c r="AA751" s="41"/>
      <c r="AB751" s="68"/>
      <c r="AC751" s="69"/>
      <c r="AD751" s="66"/>
      <c r="AE751" s="66"/>
      <c r="AF751" s="66"/>
      <c r="AG751" s="60"/>
      <c r="AH751" s="61"/>
      <c r="AI751" s="62"/>
      <c r="AJ751" s="61"/>
      <c r="AK751" s="60"/>
      <c r="AL751" s="65"/>
    </row>
    <row r="752" spans="2:38" s="42" customFormat="1" x14ac:dyDescent="0.35">
      <c r="B752" s="55" t="str">
        <f t="shared" si="49"/>
        <v/>
      </c>
      <c r="C752" s="40"/>
      <c r="D752" s="40"/>
      <c r="E752" s="41"/>
      <c r="F752" s="41"/>
      <c r="G752" s="41"/>
      <c r="H752" s="68"/>
      <c r="I752" s="71"/>
      <c r="J752" s="41"/>
      <c r="K752" s="41"/>
      <c r="L752" s="71"/>
      <c r="M752" s="71"/>
      <c r="N752" s="71"/>
      <c r="O752" s="71"/>
      <c r="P752" s="41"/>
      <c r="Q752" s="41"/>
      <c r="R752" s="71"/>
      <c r="S752" s="71"/>
      <c r="T752" s="75"/>
      <c r="U752" s="75"/>
      <c r="V752" s="75"/>
      <c r="W752" s="58" t="str">
        <f t="shared" si="50"/>
        <v/>
      </c>
      <c r="X752" s="59" t="str">
        <f t="shared" si="51"/>
        <v/>
      </c>
      <c r="Y752" s="41"/>
      <c r="Z752" s="41"/>
      <c r="AA752" s="41"/>
      <c r="AB752" s="68"/>
      <c r="AC752" s="69"/>
      <c r="AD752" s="66"/>
      <c r="AE752" s="66"/>
      <c r="AF752" s="66"/>
      <c r="AG752" s="60"/>
      <c r="AH752" s="61"/>
      <c r="AI752" s="62"/>
      <c r="AJ752" s="61"/>
      <c r="AK752" s="60"/>
      <c r="AL752" s="65"/>
    </row>
    <row r="753" spans="2:38" s="42" customFormat="1" x14ac:dyDescent="0.35">
      <c r="B753" s="55" t="str">
        <f t="shared" si="49"/>
        <v/>
      </c>
      <c r="C753" s="40"/>
      <c r="D753" s="40"/>
      <c r="E753" s="41"/>
      <c r="F753" s="41"/>
      <c r="G753" s="41"/>
      <c r="H753" s="68"/>
      <c r="I753" s="71"/>
      <c r="J753" s="41"/>
      <c r="K753" s="41"/>
      <c r="L753" s="71"/>
      <c r="M753" s="71"/>
      <c r="N753" s="71"/>
      <c r="O753" s="71"/>
      <c r="P753" s="41"/>
      <c r="Q753" s="41"/>
      <c r="R753" s="71"/>
      <c r="S753" s="71"/>
      <c r="T753" s="75"/>
      <c r="U753" s="75"/>
      <c r="V753" s="75"/>
      <c r="W753" s="58" t="str">
        <f t="shared" si="50"/>
        <v/>
      </c>
      <c r="X753" s="59" t="str">
        <f t="shared" si="51"/>
        <v/>
      </c>
      <c r="Y753" s="41"/>
      <c r="Z753" s="41"/>
      <c r="AA753" s="41"/>
      <c r="AB753" s="68"/>
      <c r="AC753" s="69"/>
      <c r="AD753" s="66"/>
      <c r="AE753" s="66"/>
      <c r="AF753" s="66"/>
      <c r="AG753" s="60"/>
      <c r="AH753" s="61"/>
      <c r="AI753" s="62"/>
      <c r="AJ753" s="61"/>
      <c r="AK753" s="60"/>
      <c r="AL753" s="65"/>
    </row>
    <row r="754" spans="2:38" s="42" customFormat="1" x14ac:dyDescent="0.35">
      <c r="B754" s="55" t="str">
        <f t="shared" si="49"/>
        <v/>
      </c>
      <c r="C754" s="40"/>
      <c r="D754" s="40"/>
      <c r="E754" s="41"/>
      <c r="F754" s="41"/>
      <c r="G754" s="41"/>
      <c r="H754" s="68"/>
      <c r="I754" s="71"/>
      <c r="J754" s="41"/>
      <c r="K754" s="41"/>
      <c r="L754" s="71"/>
      <c r="M754" s="71"/>
      <c r="N754" s="71"/>
      <c r="O754" s="71"/>
      <c r="P754" s="41"/>
      <c r="Q754" s="41"/>
      <c r="R754" s="71"/>
      <c r="S754" s="71"/>
      <c r="T754" s="75"/>
      <c r="U754" s="75"/>
      <c r="V754" s="75"/>
      <c r="W754" s="58" t="str">
        <f t="shared" si="50"/>
        <v/>
      </c>
      <c r="X754" s="59" t="str">
        <f t="shared" si="51"/>
        <v/>
      </c>
      <c r="Y754" s="41"/>
      <c r="Z754" s="41"/>
      <c r="AA754" s="41"/>
      <c r="AB754" s="68"/>
      <c r="AC754" s="69"/>
      <c r="AD754" s="66"/>
      <c r="AE754" s="66"/>
      <c r="AF754" s="66"/>
      <c r="AG754" s="60"/>
      <c r="AH754" s="61"/>
      <c r="AI754" s="62"/>
      <c r="AJ754" s="61"/>
      <c r="AK754" s="60"/>
      <c r="AL754" s="65"/>
    </row>
    <row r="755" spans="2:38" s="42" customFormat="1" x14ac:dyDescent="0.35">
      <c r="B755" s="55" t="str">
        <f t="shared" si="49"/>
        <v/>
      </c>
      <c r="C755" s="40"/>
      <c r="D755" s="40"/>
      <c r="E755" s="41"/>
      <c r="F755" s="41"/>
      <c r="G755" s="41"/>
      <c r="H755" s="68"/>
      <c r="I755" s="71"/>
      <c r="J755" s="41"/>
      <c r="K755" s="41"/>
      <c r="L755" s="71"/>
      <c r="M755" s="71"/>
      <c r="N755" s="71"/>
      <c r="O755" s="71"/>
      <c r="P755" s="41"/>
      <c r="Q755" s="41"/>
      <c r="R755" s="71"/>
      <c r="S755" s="71"/>
      <c r="T755" s="75"/>
      <c r="U755" s="75"/>
      <c r="V755" s="75"/>
      <c r="W755" s="58" t="str">
        <f t="shared" si="50"/>
        <v/>
      </c>
      <c r="X755" s="59" t="str">
        <f t="shared" si="51"/>
        <v/>
      </c>
      <c r="Y755" s="41"/>
      <c r="Z755" s="41"/>
      <c r="AA755" s="41"/>
      <c r="AB755" s="68"/>
      <c r="AC755" s="69"/>
      <c r="AD755" s="66"/>
      <c r="AE755" s="66"/>
      <c r="AF755" s="66"/>
      <c r="AG755" s="60"/>
      <c r="AH755" s="61"/>
      <c r="AI755" s="62"/>
      <c r="AJ755" s="61"/>
      <c r="AK755" s="60"/>
      <c r="AL755" s="65"/>
    </row>
    <row r="756" spans="2:38" s="42" customFormat="1" x14ac:dyDescent="0.35">
      <c r="B756" s="55" t="str">
        <f t="shared" si="49"/>
        <v/>
      </c>
      <c r="C756" s="40"/>
      <c r="D756" s="40"/>
      <c r="E756" s="41"/>
      <c r="F756" s="41"/>
      <c r="G756" s="41"/>
      <c r="H756" s="68"/>
      <c r="I756" s="71"/>
      <c r="J756" s="41"/>
      <c r="K756" s="41"/>
      <c r="L756" s="71"/>
      <c r="M756" s="71"/>
      <c r="N756" s="71"/>
      <c r="O756" s="71"/>
      <c r="P756" s="41"/>
      <c r="Q756" s="41"/>
      <c r="R756" s="71"/>
      <c r="S756" s="71"/>
      <c r="T756" s="75"/>
      <c r="U756" s="75"/>
      <c r="V756" s="75"/>
      <c r="W756" s="58" t="str">
        <f t="shared" si="50"/>
        <v/>
      </c>
      <c r="X756" s="59" t="str">
        <f t="shared" si="51"/>
        <v/>
      </c>
      <c r="Y756" s="41"/>
      <c r="Z756" s="41"/>
      <c r="AA756" s="41"/>
      <c r="AB756" s="68"/>
      <c r="AC756" s="69"/>
      <c r="AD756" s="66"/>
      <c r="AE756" s="66"/>
      <c r="AF756" s="66"/>
      <c r="AG756" s="60"/>
      <c r="AH756" s="61"/>
      <c r="AI756" s="62"/>
      <c r="AJ756" s="61"/>
      <c r="AK756" s="60"/>
      <c r="AL756" s="65"/>
    </row>
    <row r="757" spans="2:38" s="42" customFormat="1" x14ac:dyDescent="0.35">
      <c r="B757" s="55" t="str">
        <f t="shared" si="49"/>
        <v/>
      </c>
      <c r="C757" s="40"/>
      <c r="D757" s="40"/>
      <c r="E757" s="41"/>
      <c r="F757" s="41"/>
      <c r="G757" s="41"/>
      <c r="H757" s="68"/>
      <c r="I757" s="71"/>
      <c r="J757" s="41"/>
      <c r="K757" s="41"/>
      <c r="L757" s="71"/>
      <c r="M757" s="71"/>
      <c r="N757" s="71"/>
      <c r="O757" s="71"/>
      <c r="P757" s="41"/>
      <c r="Q757" s="41"/>
      <c r="R757" s="71"/>
      <c r="S757" s="71"/>
      <c r="T757" s="75"/>
      <c r="U757" s="75"/>
      <c r="V757" s="75"/>
      <c r="W757" s="58" t="str">
        <f t="shared" si="50"/>
        <v/>
      </c>
      <c r="X757" s="59" t="str">
        <f t="shared" si="51"/>
        <v/>
      </c>
      <c r="Y757" s="41"/>
      <c r="Z757" s="41"/>
      <c r="AA757" s="41"/>
      <c r="AB757" s="68"/>
      <c r="AC757" s="69"/>
      <c r="AD757" s="66"/>
      <c r="AE757" s="66"/>
      <c r="AF757" s="66"/>
      <c r="AG757" s="60"/>
      <c r="AH757" s="61"/>
      <c r="AI757" s="62"/>
      <c r="AJ757" s="61"/>
      <c r="AK757" s="60"/>
      <c r="AL757" s="65"/>
    </row>
    <row r="758" spans="2:38" s="42" customFormat="1" x14ac:dyDescent="0.35">
      <c r="B758" s="55" t="str">
        <f t="shared" si="49"/>
        <v/>
      </c>
      <c r="C758" s="40"/>
      <c r="D758" s="40"/>
      <c r="E758" s="41"/>
      <c r="F758" s="41"/>
      <c r="G758" s="41"/>
      <c r="H758" s="68"/>
      <c r="I758" s="71"/>
      <c r="J758" s="41"/>
      <c r="K758" s="41"/>
      <c r="L758" s="71"/>
      <c r="M758" s="71"/>
      <c r="N758" s="71"/>
      <c r="O758" s="71"/>
      <c r="P758" s="41"/>
      <c r="Q758" s="41"/>
      <c r="R758" s="71"/>
      <c r="S758" s="71"/>
      <c r="T758" s="75"/>
      <c r="U758" s="75"/>
      <c r="V758" s="75"/>
      <c r="W758" s="58" t="str">
        <f t="shared" si="50"/>
        <v/>
      </c>
      <c r="X758" s="59" t="str">
        <f t="shared" si="51"/>
        <v/>
      </c>
      <c r="Y758" s="41"/>
      <c r="Z758" s="41"/>
      <c r="AA758" s="41"/>
      <c r="AB758" s="68"/>
      <c r="AC758" s="69"/>
      <c r="AD758" s="66"/>
      <c r="AE758" s="66"/>
      <c r="AF758" s="66"/>
      <c r="AG758" s="60"/>
      <c r="AH758" s="61"/>
      <c r="AI758" s="62"/>
      <c r="AJ758" s="61"/>
      <c r="AK758" s="60"/>
      <c r="AL758" s="65"/>
    </row>
    <row r="759" spans="2:38" s="42" customFormat="1" x14ac:dyDescent="0.35">
      <c r="B759" s="55" t="str">
        <f t="shared" si="49"/>
        <v/>
      </c>
      <c r="C759" s="40"/>
      <c r="D759" s="40"/>
      <c r="E759" s="41"/>
      <c r="F759" s="41"/>
      <c r="G759" s="41"/>
      <c r="H759" s="68"/>
      <c r="I759" s="71"/>
      <c r="J759" s="41"/>
      <c r="K759" s="41"/>
      <c r="L759" s="71"/>
      <c r="M759" s="71"/>
      <c r="N759" s="71"/>
      <c r="O759" s="71"/>
      <c r="P759" s="41"/>
      <c r="Q759" s="41"/>
      <c r="R759" s="71"/>
      <c r="S759" s="71"/>
      <c r="T759" s="75"/>
      <c r="U759" s="75"/>
      <c r="V759" s="75"/>
      <c r="W759" s="58" t="str">
        <f t="shared" si="50"/>
        <v/>
      </c>
      <c r="X759" s="59" t="str">
        <f t="shared" si="51"/>
        <v/>
      </c>
      <c r="Y759" s="41"/>
      <c r="Z759" s="41"/>
      <c r="AA759" s="41"/>
      <c r="AB759" s="68"/>
      <c r="AC759" s="69"/>
      <c r="AD759" s="66"/>
      <c r="AE759" s="66"/>
      <c r="AF759" s="66"/>
      <c r="AG759" s="60"/>
      <c r="AH759" s="61"/>
      <c r="AI759" s="62"/>
      <c r="AJ759" s="61"/>
      <c r="AK759" s="60"/>
      <c r="AL759" s="65"/>
    </row>
    <row r="760" spans="2:38" s="42" customFormat="1" x14ac:dyDescent="0.35">
      <c r="B760" s="55" t="str">
        <f t="shared" si="49"/>
        <v/>
      </c>
      <c r="C760" s="40"/>
      <c r="D760" s="40"/>
      <c r="E760" s="41"/>
      <c r="F760" s="41"/>
      <c r="G760" s="41"/>
      <c r="H760" s="68"/>
      <c r="I760" s="71"/>
      <c r="J760" s="41"/>
      <c r="K760" s="41"/>
      <c r="L760" s="71"/>
      <c r="M760" s="71"/>
      <c r="N760" s="71"/>
      <c r="O760" s="71"/>
      <c r="P760" s="41"/>
      <c r="Q760" s="41"/>
      <c r="R760" s="71"/>
      <c r="S760" s="71"/>
      <c r="T760" s="75"/>
      <c r="U760" s="75"/>
      <c r="V760" s="75"/>
      <c r="W760" s="58" t="str">
        <f t="shared" si="50"/>
        <v/>
      </c>
      <c r="X760" s="59" t="str">
        <f t="shared" si="51"/>
        <v/>
      </c>
      <c r="Y760" s="41"/>
      <c r="Z760" s="41"/>
      <c r="AA760" s="41"/>
      <c r="AB760" s="68"/>
      <c r="AC760" s="69"/>
      <c r="AD760" s="66"/>
      <c r="AE760" s="66"/>
      <c r="AF760" s="66"/>
      <c r="AG760" s="60"/>
      <c r="AH760" s="61"/>
      <c r="AI760" s="62"/>
      <c r="AJ760" s="61"/>
      <c r="AK760" s="60"/>
      <c r="AL760" s="65"/>
    </row>
    <row r="761" spans="2:38" s="42" customFormat="1" x14ac:dyDescent="0.35">
      <c r="B761" s="55" t="str">
        <f t="shared" si="49"/>
        <v/>
      </c>
      <c r="C761" s="40"/>
      <c r="D761" s="40"/>
      <c r="E761" s="41"/>
      <c r="F761" s="41"/>
      <c r="G761" s="41"/>
      <c r="H761" s="68"/>
      <c r="I761" s="71"/>
      <c r="J761" s="41"/>
      <c r="K761" s="41"/>
      <c r="L761" s="71"/>
      <c r="M761" s="71"/>
      <c r="N761" s="71"/>
      <c r="O761" s="71"/>
      <c r="P761" s="41"/>
      <c r="Q761" s="41"/>
      <c r="R761" s="71"/>
      <c r="S761" s="71"/>
      <c r="T761" s="75"/>
      <c r="U761" s="75"/>
      <c r="V761" s="75"/>
      <c r="W761" s="58" t="str">
        <f t="shared" si="50"/>
        <v/>
      </c>
      <c r="X761" s="59" t="str">
        <f t="shared" si="51"/>
        <v/>
      </c>
      <c r="Y761" s="41"/>
      <c r="Z761" s="41"/>
      <c r="AA761" s="41"/>
      <c r="AB761" s="68"/>
      <c r="AC761" s="69"/>
      <c r="AD761" s="66"/>
      <c r="AE761" s="66"/>
      <c r="AF761" s="66"/>
      <c r="AG761" s="60"/>
      <c r="AH761" s="61"/>
      <c r="AI761" s="62"/>
      <c r="AJ761" s="61"/>
      <c r="AK761" s="60"/>
      <c r="AL761" s="65"/>
    </row>
    <row r="762" spans="2:38" s="42" customFormat="1" x14ac:dyDescent="0.35">
      <c r="B762" s="55" t="str">
        <f t="shared" si="49"/>
        <v/>
      </c>
      <c r="C762" s="40"/>
      <c r="D762" s="40"/>
      <c r="E762" s="41"/>
      <c r="F762" s="41"/>
      <c r="G762" s="41"/>
      <c r="H762" s="68"/>
      <c r="I762" s="71"/>
      <c r="J762" s="41"/>
      <c r="K762" s="41"/>
      <c r="L762" s="71"/>
      <c r="M762" s="71"/>
      <c r="N762" s="71"/>
      <c r="O762" s="71"/>
      <c r="P762" s="41"/>
      <c r="Q762" s="41"/>
      <c r="R762" s="71"/>
      <c r="S762" s="71"/>
      <c r="T762" s="75"/>
      <c r="U762" s="75"/>
      <c r="V762" s="75"/>
      <c r="W762" s="58" t="str">
        <f t="shared" si="50"/>
        <v/>
      </c>
      <c r="X762" s="59" t="str">
        <f t="shared" si="51"/>
        <v/>
      </c>
      <c r="Y762" s="41"/>
      <c r="Z762" s="41"/>
      <c r="AA762" s="41"/>
      <c r="AB762" s="68"/>
      <c r="AC762" s="69"/>
      <c r="AD762" s="66"/>
      <c r="AE762" s="66"/>
      <c r="AF762" s="66"/>
      <c r="AG762" s="60"/>
      <c r="AH762" s="61"/>
      <c r="AI762" s="62"/>
      <c r="AJ762" s="61"/>
      <c r="AK762" s="60"/>
      <c r="AL762" s="65"/>
    </row>
    <row r="763" spans="2:38" s="42" customFormat="1" x14ac:dyDescent="0.35">
      <c r="B763" s="55" t="str">
        <f t="shared" si="49"/>
        <v/>
      </c>
      <c r="C763" s="40"/>
      <c r="D763" s="40"/>
      <c r="E763" s="41"/>
      <c r="F763" s="41"/>
      <c r="G763" s="41"/>
      <c r="H763" s="68"/>
      <c r="I763" s="71"/>
      <c r="J763" s="41"/>
      <c r="K763" s="41"/>
      <c r="L763" s="71"/>
      <c r="M763" s="71"/>
      <c r="N763" s="71"/>
      <c r="O763" s="71"/>
      <c r="P763" s="41"/>
      <c r="Q763" s="41"/>
      <c r="R763" s="71"/>
      <c r="S763" s="71"/>
      <c r="T763" s="75"/>
      <c r="U763" s="75"/>
      <c r="V763" s="75"/>
      <c r="W763" s="58" t="str">
        <f t="shared" si="50"/>
        <v/>
      </c>
      <c r="X763" s="59" t="str">
        <f t="shared" si="51"/>
        <v/>
      </c>
      <c r="Y763" s="41"/>
      <c r="Z763" s="41"/>
      <c r="AA763" s="41"/>
      <c r="AB763" s="68"/>
      <c r="AC763" s="69"/>
      <c r="AD763" s="66"/>
      <c r="AE763" s="66"/>
      <c r="AF763" s="66"/>
      <c r="AG763" s="60"/>
      <c r="AH763" s="61"/>
      <c r="AI763" s="62"/>
      <c r="AJ763" s="61"/>
      <c r="AK763" s="60"/>
      <c r="AL763" s="65"/>
    </row>
    <row r="764" spans="2:38" s="42" customFormat="1" x14ac:dyDescent="0.35">
      <c r="B764" s="55" t="str">
        <f t="shared" si="49"/>
        <v/>
      </c>
      <c r="C764" s="40"/>
      <c r="D764" s="40"/>
      <c r="E764" s="41"/>
      <c r="F764" s="41"/>
      <c r="G764" s="41"/>
      <c r="H764" s="68"/>
      <c r="I764" s="71"/>
      <c r="J764" s="41"/>
      <c r="K764" s="41"/>
      <c r="L764" s="71"/>
      <c r="M764" s="71"/>
      <c r="N764" s="71"/>
      <c r="O764" s="71"/>
      <c r="P764" s="41"/>
      <c r="Q764" s="41"/>
      <c r="R764" s="71"/>
      <c r="S764" s="71"/>
      <c r="T764" s="75"/>
      <c r="U764" s="75"/>
      <c r="V764" s="75"/>
      <c r="W764" s="58" t="str">
        <f t="shared" si="50"/>
        <v/>
      </c>
      <c r="X764" s="59" t="str">
        <f t="shared" si="51"/>
        <v/>
      </c>
      <c r="Y764" s="41"/>
      <c r="Z764" s="41"/>
      <c r="AA764" s="41"/>
      <c r="AB764" s="68"/>
      <c r="AC764" s="69"/>
      <c r="AD764" s="66"/>
      <c r="AE764" s="66"/>
      <c r="AF764" s="66"/>
      <c r="AG764" s="60"/>
      <c r="AH764" s="61"/>
      <c r="AI764" s="62"/>
      <c r="AJ764" s="61"/>
      <c r="AK764" s="60"/>
      <c r="AL764" s="65"/>
    </row>
    <row r="765" spans="2:38" s="42" customFormat="1" x14ac:dyDescent="0.35">
      <c r="B765" s="55" t="str">
        <f t="shared" si="49"/>
        <v/>
      </c>
      <c r="C765" s="40"/>
      <c r="D765" s="40"/>
      <c r="E765" s="41"/>
      <c r="F765" s="41"/>
      <c r="G765" s="41"/>
      <c r="H765" s="68"/>
      <c r="I765" s="71"/>
      <c r="J765" s="41"/>
      <c r="K765" s="41"/>
      <c r="L765" s="71"/>
      <c r="M765" s="71"/>
      <c r="N765" s="71"/>
      <c r="O765" s="71"/>
      <c r="P765" s="41"/>
      <c r="Q765" s="41"/>
      <c r="R765" s="71"/>
      <c r="S765" s="71"/>
      <c r="T765" s="75"/>
      <c r="U765" s="75"/>
      <c r="V765" s="75"/>
      <c r="W765" s="58" t="str">
        <f t="shared" si="50"/>
        <v/>
      </c>
      <c r="X765" s="59" t="str">
        <f t="shared" si="51"/>
        <v/>
      </c>
      <c r="Y765" s="41"/>
      <c r="Z765" s="41"/>
      <c r="AA765" s="41"/>
      <c r="AB765" s="68"/>
      <c r="AC765" s="69"/>
      <c r="AD765" s="66"/>
      <c r="AE765" s="66"/>
      <c r="AF765" s="66"/>
      <c r="AG765" s="60"/>
      <c r="AH765" s="61"/>
      <c r="AI765" s="62"/>
      <c r="AJ765" s="61"/>
      <c r="AK765" s="60"/>
      <c r="AL765" s="65"/>
    </row>
    <row r="766" spans="2:38" s="42" customFormat="1" x14ac:dyDescent="0.35">
      <c r="B766" s="55" t="str">
        <f t="shared" si="49"/>
        <v/>
      </c>
      <c r="C766" s="40"/>
      <c r="D766" s="40"/>
      <c r="E766" s="41"/>
      <c r="F766" s="41"/>
      <c r="G766" s="41"/>
      <c r="H766" s="68"/>
      <c r="I766" s="71"/>
      <c r="J766" s="41"/>
      <c r="K766" s="41"/>
      <c r="L766" s="71"/>
      <c r="M766" s="71"/>
      <c r="N766" s="71"/>
      <c r="O766" s="71"/>
      <c r="P766" s="41"/>
      <c r="Q766" s="41"/>
      <c r="R766" s="71"/>
      <c r="S766" s="71"/>
      <c r="T766" s="75"/>
      <c r="U766" s="75"/>
      <c r="V766" s="75"/>
      <c r="W766" s="58" t="str">
        <f t="shared" si="50"/>
        <v/>
      </c>
      <c r="X766" s="59" t="str">
        <f t="shared" si="51"/>
        <v/>
      </c>
      <c r="Y766" s="41"/>
      <c r="Z766" s="41"/>
      <c r="AA766" s="41"/>
      <c r="AB766" s="68"/>
      <c r="AC766" s="69"/>
      <c r="AD766" s="66"/>
      <c r="AE766" s="66"/>
      <c r="AF766" s="66"/>
      <c r="AG766" s="60"/>
      <c r="AH766" s="61"/>
      <c r="AI766" s="62"/>
      <c r="AJ766" s="61"/>
      <c r="AK766" s="60"/>
      <c r="AL766" s="65"/>
    </row>
    <row r="767" spans="2:38" s="42" customFormat="1" x14ac:dyDescent="0.35">
      <c r="B767" s="55" t="str">
        <f t="shared" si="49"/>
        <v/>
      </c>
      <c r="C767" s="40"/>
      <c r="D767" s="40"/>
      <c r="E767" s="41"/>
      <c r="F767" s="41"/>
      <c r="G767" s="41"/>
      <c r="H767" s="68"/>
      <c r="I767" s="71"/>
      <c r="J767" s="41"/>
      <c r="K767" s="41"/>
      <c r="L767" s="71"/>
      <c r="M767" s="71"/>
      <c r="N767" s="71"/>
      <c r="O767" s="71"/>
      <c r="P767" s="41"/>
      <c r="Q767" s="41"/>
      <c r="R767" s="71"/>
      <c r="S767" s="71"/>
      <c r="T767" s="75"/>
      <c r="U767" s="75"/>
      <c r="V767" s="75"/>
      <c r="W767" s="58" t="str">
        <f t="shared" si="50"/>
        <v/>
      </c>
      <c r="X767" s="59" t="str">
        <f t="shared" si="51"/>
        <v/>
      </c>
      <c r="Y767" s="41"/>
      <c r="Z767" s="41"/>
      <c r="AA767" s="41"/>
      <c r="AB767" s="68"/>
      <c r="AC767" s="69"/>
      <c r="AD767" s="66"/>
      <c r="AE767" s="66"/>
      <c r="AF767" s="66"/>
      <c r="AG767" s="60"/>
      <c r="AH767" s="61"/>
      <c r="AI767" s="62"/>
      <c r="AJ767" s="61"/>
      <c r="AK767" s="60"/>
      <c r="AL767" s="65"/>
    </row>
    <row r="768" spans="2:38" s="42" customFormat="1" x14ac:dyDescent="0.35">
      <c r="B768" s="55" t="str">
        <f t="shared" si="49"/>
        <v/>
      </c>
      <c r="C768" s="40"/>
      <c r="D768" s="40"/>
      <c r="E768" s="41"/>
      <c r="F768" s="41"/>
      <c r="G768" s="41"/>
      <c r="H768" s="68"/>
      <c r="I768" s="71"/>
      <c r="J768" s="41"/>
      <c r="K768" s="41"/>
      <c r="L768" s="71"/>
      <c r="M768" s="71"/>
      <c r="N768" s="71"/>
      <c r="O768" s="71"/>
      <c r="P768" s="41"/>
      <c r="Q768" s="41"/>
      <c r="R768" s="71"/>
      <c r="S768" s="71"/>
      <c r="T768" s="75"/>
      <c r="U768" s="75"/>
      <c r="V768" s="75"/>
      <c r="W768" s="58" t="str">
        <f t="shared" si="50"/>
        <v/>
      </c>
      <c r="X768" s="59" t="str">
        <f t="shared" si="51"/>
        <v/>
      </c>
      <c r="Y768" s="41"/>
      <c r="Z768" s="41"/>
      <c r="AA768" s="41"/>
      <c r="AB768" s="68"/>
      <c r="AC768" s="69"/>
      <c r="AD768" s="66"/>
      <c r="AE768" s="66"/>
      <c r="AF768" s="66"/>
      <c r="AG768" s="60"/>
      <c r="AH768" s="61"/>
      <c r="AI768" s="62"/>
      <c r="AJ768" s="61"/>
      <c r="AK768" s="60"/>
      <c r="AL768" s="65"/>
    </row>
    <row r="769" spans="2:38" s="42" customFormat="1" x14ac:dyDescent="0.35">
      <c r="B769" s="55" t="str">
        <f t="shared" si="49"/>
        <v/>
      </c>
      <c r="C769" s="40"/>
      <c r="D769" s="40"/>
      <c r="E769" s="41"/>
      <c r="F769" s="41"/>
      <c r="G769" s="41"/>
      <c r="H769" s="68"/>
      <c r="I769" s="71"/>
      <c r="J769" s="41"/>
      <c r="K769" s="41"/>
      <c r="L769" s="71"/>
      <c r="M769" s="71"/>
      <c r="N769" s="71"/>
      <c r="O769" s="71"/>
      <c r="P769" s="41"/>
      <c r="Q769" s="41"/>
      <c r="R769" s="71"/>
      <c r="S769" s="71"/>
      <c r="T769" s="75"/>
      <c r="U769" s="75"/>
      <c r="V769" s="75"/>
      <c r="W769" s="58" t="str">
        <f t="shared" si="50"/>
        <v/>
      </c>
      <c r="X769" s="59" t="str">
        <f t="shared" si="51"/>
        <v/>
      </c>
      <c r="Y769" s="41"/>
      <c r="Z769" s="41"/>
      <c r="AA769" s="41"/>
      <c r="AB769" s="68"/>
      <c r="AC769" s="69"/>
      <c r="AD769" s="66"/>
      <c r="AE769" s="66"/>
      <c r="AF769" s="66"/>
      <c r="AG769" s="60"/>
      <c r="AH769" s="61"/>
      <c r="AI769" s="62"/>
      <c r="AJ769" s="61"/>
      <c r="AK769" s="60"/>
      <c r="AL769" s="65"/>
    </row>
    <row r="770" spans="2:38" s="42" customFormat="1" x14ac:dyDescent="0.35">
      <c r="B770" s="55" t="str">
        <f t="shared" si="49"/>
        <v/>
      </c>
      <c r="C770" s="40"/>
      <c r="D770" s="40"/>
      <c r="E770" s="41"/>
      <c r="F770" s="41"/>
      <c r="G770" s="41"/>
      <c r="H770" s="68"/>
      <c r="I770" s="71"/>
      <c r="J770" s="41"/>
      <c r="K770" s="41"/>
      <c r="L770" s="71"/>
      <c r="M770" s="71"/>
      <c r="N770" s="71"/>
      <c r="O770" s="71"/>
      <c r="P770" s="41"/>
      <c r="Q770" s="41"/>
      <c r="R770" s="71"/>
      <c r="S770" s="71"/>
      <c r="T770" s="75"/>
      <c r="U770" s="75"/>
      <c r="V770" s="75"/>
      <c r="W770" s="58" t="str">
        <f t="shared" si="50"/>
        <v/>
      </c>
      <c r="X770" s="59" t="str">
        <f t="shared" si="51"/>
        <v/>
      </c>
      <c r="Y770" s="41"/>
      <c r="Z770" s="41"/>
      <c r="AA770" s="41"/>
      <c r="AB770" s="68"/>
      <c r="AC770" s="69"/>
      <c r="AD770" s="66"/>
      <c r="AE770" s="66"/>
      <c r="AF770" s="66"/>
      <c r="AG770" s="60"/>
      <c r="AH770" s="61"/>
      <c r="AI770" s="62"/>
      <c r="AJ770" s="61"/>
      <c r="AK770" s="60"/>
      <c r="AL770" s="65"/>
    </row>
    <row r="771" spans="2:38" s="42" customFormat="1" x14ac:dyDescent="0.35">
      <c r="B771" s="55" t="str">
        <f t="shared" ref="B771:B834" si="52">IF($C771="","",Prefixo&amp;"-"&amp;TEXT(ROW()-2,"0000"))</f>
        <v/>
      </c>
      <c r="C771" s="40"/>
      <c r="D771" s="40"/>
      <c r="E771" s="41"/>
      <c r="F771" s="41"/>
      <c r="G771" s="41"/>
      <c r="H771" s="68"/>
      <c r="I771" s="71"/>
      <c r="J771" s="41"/>
      <c r="K771" s="41"/>
      <c r="L771" s="71"/>
      <c r="M771" s="71"/>
      <c r="N771" s="71"/>
      <c r="O771" s="71"/>
      <c r="P771" s="41"/>
      <c r="Q771" s="41"/>
      <c r="R771" s="71"/>
      <c r="S771" s="71"/>
      <c r="T771" s="75"/>
      <c r="U771" s="75"/>
      <c r="V771" s="75"/>
      <c r="W771" s="58" t="str">
        <f t="shared" si="50"/>
        <v/>
      </c>
      <c r="X771" s="59" t="str">
        <f t="shared" si="51"/>
        <v/>
      </c>
      <c r="Y771" s="41"/>
      <c r="Z771" s="41"/>
      <c r="AA771" s="41"/>
      <c r="AB771" s="68"/>
      <c r="AC771" s="69"/>
      <c r="AD771" s="66"/>
      <c r="AE771" s="66"/>
      <c r="AF771" s="66"/>
      <c r="AG771" s="60"/>
      <c r="AH771" s="61"/>
      <c r="AI771" s="62"/>
      <c r="AJ771" s="61"/>
      <c r="AK771" s="60"/>
      <c r="AL771" s="65"/>
    </row>
    <row r="772" spans="2:38" s="42" customFormat="1" x14ac:dyDescent="0.35">
      <c r="B772" s="55" t="str">
        <f t="shared" si="52"/>
        <v/>
      </c>
      <c r="C772" s="40"/>
      <c r="D772" s="40"/>
      <c r="E772" s="41"/>
      <c r="F772" s="41"/>
      <c r="G772" s="41"/>
      <c r="H772" s="68"/>
      <c r="I772" s="71"/>
      <c r="J772" s="41"/>
      <c r="K772" s="41"/>
      <c r="L772" s="71"/>
      <c r="M772" s="71"/>
      <c r="N772" s="71"/>
      <c r="O772" s="71"/>
      <c r="P772" s="41"/>
      <c r="Q772" s="41"/>
      <c r="R772" s="71"/>
      <c r="S772" s="71"/>
      <c r="T772" s="75"/>
      <c r="U772" s="75"/>
      <c r="V772" s="75"/>
      <c r="W772" s="58" t="str">
        <f t="shared" ref="W772:W835" si="53">IF(OR($U772="",$V772="",$U772&lt;=0),"",$U772-$V772)</f>
        <v/>
      </c>
      <c r="X772" s="59" t="str">
        <f t="shared" ref="X772:X835" si="54">IF(OR($U772="",$V772="",$U772&lt;=0),"",($U772-$V772)/$U772)</f>
        <v/>
      </c>
      <c r="Y772" s="41"/>
      <c r="Z772" s="41"/>
      <c r="AA772" s="41"/>
      <c r="AB772" s="68"/>
      <c r="AC772" s="69"/>
      <c r="AD772" s="66"/>
      <c r="AE772" s="66"/>
      <c r="AF772" s="66"/>
      <c r="AG772" s="60"/>
      <c r="AH772" s="61"/>
      <c r="AI772" s="62"/>
      <c r="AJ772" s="61"/>
      <c r="AK772" s="60"/>
      <c r="AL772" s="65"/>
    </row>
    <row r="773" spans="2:38" s="42" customFormat="1" x14ac:dyDescent="0.35">
      <c r="B773" s="55" t="str">
        <f t="shared" si="52"/>
        <v/>
      </c>
      <c r="C773" s="40"/>
      <c r="D773" s="40"/>
      <c r="E773" s="41"/>
      <c r="F773" s="41"/>
      <c r="G773" s="41"/>
      <c r="H773" s="68"/>
      <c r="I773" s="71"/>
      <c r="J773" s="41"/>
      <c r="K773" s="41"/>
      <c r="L773" s="71"/>
      <c r="M773" s="71"/>
      <c r="N773" s="71"/>
      <c r="O773" s="71"/>
      <c r="P773" s="41"/>
      <c r="Q773" s="41"/>
      <c r="R773" s="71"/>
      <c r="S773" s="71"/>
      <c r="T773" s="75"/>
      <c r="U773" s="75"/>
      <c r="V773" s="75"/>
      <c r="W773" s="58" t="str">
        <f t="shared" si="53"/>
        <v/>
      </c>
      <c r="X773" s="59" t="str">
        <f t="shared" si="54"/>
        <v/>
      </c>
      <c r="Y773" s="41"/>
      <c r="Z773" s="41"/>
      <c r="AA773" s="41"/>
      <c r="AB773" s="68"/>
      <c r="AC773" s="69"/>
      <c r="AD773" s="66"/>
      <c r="AE773" s="66"/>
      <c r="AF773" s="66"/>
      <c r="AG773" s="60"/>
      <c r="AH773" s="61"/>
      <c r="AI773" s="62"/>
      <c r="AJ773" s="61"/>
      <c r="AK773" s="60"/>
      <c r="AL773" s="65"/>
    </row>
    <row r="774" spans="2:38" s="42" customFormat="1" x14ac:dyDescent="0.35">
      <c r="B774" s="55" t="str">
        <f t="shared" si="52"/>
        <v/>
      </c>
      <c r="C774" s="40"/>
      <c r="D774" s="40"/>
      <c r="E774" s="41"/>
      <c r="F774" s="41"/>
      <c r="G774" s="41"/>
      <c r="H774" s="68"/>
      <c r="I774" s="71"/>
      <c r="J774" s="41"/>
      <c r="K774" s="41"/>
      <c r="L774" s="71"/>
      <c r="M774" s="71"/>
      <c r="N774" s="71"/>
      <c r="O774" s="71"/>
      <c r="P774" s="41"/>
      <c r="Q774" s="41"/>
      <c r="R774" s="71"/>
      <c r="S774" s="71"/>
      <c r="T774" s="75"/>
      <c r="U774" s="75"/>
      <c r="V774" s="75"/>
      <c r="W774" s="58" t="str">
        <f t="shared" si="53"/>
        <v/>
      </c>
      <c r="X774" s="59" t="str">
        <f t="shared" si="54"/>
        <v/>
      </c>
      <c r="Y774" s="41"/>
      <c r="Z774" s="41"/>
      <c r="AA774" s="41"/>
      <c r="AB774" s="68"/>
      <c r="AC774" s="69"/>
      <c r="AD774" s="66"/>
      <c r="AE774" s="66"/>
      <c r="AF774" s="66"/>
      <c r="AG774" s="60"/>
      <c r="AH774" s="61"/>
      <c r="AI774" s="62"/>
      <c r="AJ774" s="61"/>
      <c r="AK774" s="60"/>
      <c r="AL774" s="65"/>
    </row>
    <row r="775" spans="2:38" s="42" customFormat="1" x14ac:dyDescent="0.35">
      <c r="B775" s="55" t="str">
        <f t="shared" si="52"/>
        <v/>
      </c>
      <c r="C775" s="40"/>
      <c r="D775" s="40"/>
      <c r="E775" s="41"/>
      <c r="F775" s="41"/>
      <c r="G775" s="41"/>
      <c r="H775" s="68"/>
      <c r="I775" s="71"/>
      <c r="J775" s="41"/>
      <c r="K775" s="41"/>
      <c r="L775" s="71"/>
      <c r="M775" s="71"/>
      <c r="N775" s="71"/>
      <c r="O775" s="71"/>
      <c r="P775" s="41"/>
      <c r="Q775" s="41"/>
      <c r="R775" s="71"/>
      <c r="S775" s="71"/>
      <c r="T775" s="75"/>
      <c r="U775" s="75"/>
      <c r="V775" s="75"/>
      <c r="W775" s="58" t="str">
        <f t="shared" si="53"/>
        <v/>
      </c>
      <c r="X775" s="59" t="str">
        <f t="shared" si="54"/>
        <v/>
      </c>
      <c r="Y775" s="41"/>
      <c r="Z775" s="41"/>
      <c r="AA775" s="41"/>
      <c r="AB775" s="68"/>
      <c r="AC775" s="69"/>
      <c r="AD775" s="66"/>
      <c r="AE775" s="66"/>
      <c r="AF775" s="66"/>
      <c r="AG775" s="60"/>
      <c r="AH775" s="61"/>
      <c r="AI775" s="62"/>
      <c r="AJ775" s="61"/>
      <c r="AK775" s="60"/>
      <c r="AL775" s="65"/>
    </row>
    <row r="776" spans="2:38" s="42" customFormat="1" x14ac:dyDescent="0.35">
      <c r="B776" s="55" t="str">
        <f t="shared" si="52"/>
        <v/>
      </c>
      <c r="C776" s="40"/>
      <c r="D776" s="40"/>
      <c r="E776" s="41"/>
      <c r="F776" s="41"/>
      <c r="G776" s="41"/>
      <c r="H776" s="68"/>
      <c r="I776" s="71"/>
      <c r="J776" s="41"/>
      <c r="K776" s="41"/>
      <c r="L776" s="71"/>
      <c r="M776" s="71"/>
      <c r="N776" s="71"/>
      <c r="O776" s="71"/>
      <c r="P776" s="41"/>
      <c r="Q776" s="41"/>
      <c r="R776" s="71"/>
      <c r="S776" s="71"/>
      <c r="T776" s="75"/>
      <c r="U776" s="75"/>
      <c r="V776" s="75"/>
      <c r="W776" s="58" t="str">
        <f t="shared" si="53"/>
        <v/>
      </c>
      <c r="X776" s="59" t="str">
        <f t="shared" si="54"/>
        <v/>
      </c>
      <c r="Y776" s="41"/>
      <c r="Z776" s="41"/>
      <c r="AA776" s="41"/>
      <c r="AB776" s="68"/>
      <c r="AC776" s="69"/>
      <c r="AD776" s="66"/>
      <c r="AE776" s="66"/>
      <c r="AF776" s="66"/>
      <c r="AG776" s="60"/>
      <c r="AH776" s="61"/>
      <c r="AI776" s="62"/>
      <c r="AJ776" s="61"/>
      <c r="AK776" s="60"/>
      <c r="AL776" s="65"/>
    </row>
    <row r="777" spans="2:38" s="42" customFormat="1" x14ac:dyDescent="0.35">
      <c r="B777" s="55" t="str">
        <f t="shared" si="52"/>
        <v/>
      </c>
      <c r="C777" s="40"/>
      <c r="D777" s="40"/>
      <c r="E777" s="41"/>
      <c r="F777" s="41"/>
      <c r="G777" s="41"/>
      <c r="H777" s="68"/>
      <c r="I777" s="71"/>
      <c r="J777" s="41"/>
      <c r="K777" s="41"/>
      <c r="L777" s="71"/>
      <c r="M777" s="71"/>
      <c r="N777" s="71"/>
      <c r="O777" s="71"/>
      <c r="P777" s="41"/>
      <c r="Q777" s="41"/>
      <c r="R777" s="71"/>
      <c r="S777" s="71"/>
      <c r="T777" s="75"/>
      <c r="U777" s="75"/>
      <c r="V777" s="75"/>
      <c r="W777" s="58" t="str">
        <f t="shared" si="53"/>
        <v/>
      </c>
      <c r="X777" s="59" t="str">
        <f t="shared" si="54"/>
        <v/>
      </c>
      <c r="Y777" s="41"/>
      <c r="Z777" s="41"/>
      <c r="AA777" s="41"/>
      <c r="AB777" s="68"/>
      <c r="AC777" s="69"/>
      <c r="AD777" s="66"/>
      <c r="AE777" s="66"/>
      <c r="AF777" s="66"/>
      <c r="AG777" s="60"/>
      <c r="AH777" s="61"/>
      <c r="AI777" s="62"/>
      <c r="AJ777" s="61"/>
      <c r="AK777" s="60"/>
      <c r="AL777" s="65"/>
    </row>
    <row r="778" spans="2:38" s="42" customFormat="1" x14ac:dyDescent="0.35">
      <c r="B778" s="55" t="str">
        <f t="shared" si="52"/>
        <v/>
      </c>
      <c r="C778" s="40"/>
      <c r="D778" s="40"/>
      <c r="E778" s="41"/>
      <c r="F778" s="41"/>
      <c r="G778" s="41"/>
      <c r="H778" s="68"/>
      <c r="I778" s="71"/>
      <c r="J778" s="41"/>
      <c r="K778" s="41"/>
      <c r="L778" s="71"/>
      <c r="M778" s="71"/>
      <c r="N778" s="71"/>
      <c r="O778" s="71"/>
      <c r="P778" s="41"/>
      <c r="Q778" s="41"/>
      <c r="R778" s="71"/>
      <c r="S778" s="71"/>
      <c r="T778" s="75"/>
      <c r="U778" s="75"/>
      <c r="V778" s="75"/>
      <c r="W778" s="58" t="str">
        <f t="shared" si="53"/>
        <v/>
      </c>
      <c r="X778" s="59" t="str">
        <f t="shared" si="54"/>
        <v/>
      </c>
      <c r="Y778" s="41"/>
      <c r="Z778" s="41"/>
      <c r="AA778" s="41"/>
      <c r="AB778" s="68"/>
      <c r="AC778" s="69"/>
      <c r="AD778" s="66"/>
      <c r="AE778" s="66"/>
      <c r="AF778" s="66"/>
      <c r="AG778" s="60"/>
      <c r="AH778" s="61"/>
      <c r="AI778" s="62"/>
      <c r="AJ778" s="61"/>
      <c r="AK778" s="60"/>
      <c r="AL778" s="65"/>
    </row>
    <row r="779" spans="2:38" s="42" customFormat="1" x14ac:dyDescent="0.35">
      <c r="B779" s="55" t="str">
        <f t="shared" si="52"/>
        <v/>
      </c>
      <c r="C779" s="40"/>
      <c r="D779" s="40"/>
      <c r="E779" s="41"/>
      <c r="F779" s="41"/>
      <c r="G779" s="41"/>
      <c r="H779" s="68"/>
      <c r="I779" s="71"/>
      <c r="J779" s="41"/>
      <c r="K779" s="41"/>
      <c r="L779" s="71"/>
      <c r="M779" s="71"/>
      <c r="N779" s="71"/>
      <c r="O779" s="71"/>
      <c r="P779" s="41"/>
      <c r="Q779" s="41"/>
      <c r="R779" s="71"/>
      <c r="S779" s="71"/>
      <c r="T779" s="75"/>
      <c r="U779" s="75"/>
      <c r="V779" s="75"/>
      <c r="W779" s="58" t="str">
        <f t="shared" si="53"/>
        <v/>
      </c>
      <c r="X779" s="59" t="str">
        <f t="shared" si="54"/>
        <v/>
      </c>
      <c r="Y779" s="41"/>
      <c r="Z779" s="41"/>
      <c r="AA779" s="41"/>
      <c r="AB779" s="68"/>
      <c r="AC779" s="69"/>
      <c r="AD779" s="66"/>
      <c r="AE779" s="66"/>
      <c r="AF779" s="66"/>
      <c r="AG779" s="60"/>
      <c r="AH779" s="61"/>
      <c r="AI779" s="62"/>
      <c r="AJ779" s="61"/>
      <c r="AK779" s="60"/>
      <c r="AL779" s="65"/>
    </row>
    <row r="780" spans="2:38" s="42" customFormat="1" x14ac:dyDescent="0.35">
      <c r="B780" s="55" t="str">
        <f t="shared" si="52"/>
        <v/>
      </c>
      <c r="C780" s="40"/>
      <c r="D780" s="40"/>
      <c r="E780" s="41"/>
      <c r="F780" s="41"/>
      <c r="G780" s="41"/>
      <c r="H780" s="68"/>
      <c r="I780" s="71"/>
      <c r="J780" s="41"/>
      <c r="K780" s="41"/>
      <c r="L780" s="71"/>
      <c r="M780" s="71"/>
      <c r="N780" s="71"/>
      <c r="O780" s="71"/>
      <c r="P780" s="41"/>
      <c r="Q780" s="41"/>
      <c r="R780" s="71"/>
      <c r="S780" s="71"/>
      <c r="T780" s="75"/>
      <c r="U780" s="75"/>
      <c r="V780" s="75"/>
      <c r="W780" s="58" t="str">
        <f t="shared" si="53"/>
        <v/>
      </c>
      <c r="X780" s="59" t="str">
        <f t="shared" si="54"/>
        <v/>
      </c>
      <c r="Y780" s="41"/>
      <c r="Z780" s="41"/>
      <c r="AA780" s="41"/>
      <c r="AB780" s="68"/>
      <c r="AC780" s="69"/>
      <c r="AD780" s="66"/>
      <c r="AE780" s="66"/>
      <c r="AF780" s="66"/>
      <c r="AG780" s="60"/>
      <c r="AH780" s="61"/>
      <c r="AI780" s="62"/>
      <c r="AJ780" s="61"/>
      <c r="AK780" s="60"/>
      <c r="AL780" s="65"/>
    </row>
    <row r="781" spans="2:38" s="42" customFormat="1" x14ac:dyDescent="0.35">
      <c r="B781" s="55" t="str">
        <f t="shared" si="52"/>
        <v/>
      </c>
      <c r="C781" s="40"/>
      <c r="D781" s="40"/>
      <c r="E781" s="41"/>
      <c r="F781" s="41"/>
      <c r="G781" s="41"/>
      <c r="H781" s="68"/>
      <c r="I781" s="71"/>
      <c r="J781" s="41"/>
      <c r="K781" s="41"/>
      <c r="L781" s="71"/>
      <c r="M781" s="71"/>
      <c r="N781" s="71"/>
      <c r="O781" s="71"/>
      <c r="P781" s="41"/>
      <c r="Q781" s="41"/>
      <c r="R781" s="71"/>
      <c r="S781" s="71"/>
      <c r="T781" s="75"/>
      <c r="U781" s="75"/>
      <c r="V781" s="75"/>
      <c r="W781" s="58" t="str">
        <f t="shared" si="53"/>
        <v/>
      </c>
      <c r="X781" s="59" t="str">
        <f t="shared" si="54"/>
        <v/>
      </c>
      <c r="Y781" s="41"/>
      <c r="Z781" s="41"/>
      <c r="AA781" s="41"/>
      <c r="AB781" s="68"/>
      <c r="AC781" s="69"/>
      <c r="AD781" s="66"/>
      <c r="AE781" s="66"/>
      <c r="AF781" s="66"/>
      <c r="AG781" s="60"/>
      <c r="AH781" s="61"/>
      <c r="AI781" s="62"/>
      <c r="AJ781" s="61"/>
      <c r="AK781" s="60"/>
      <c r="AL781" s="65"/>
    </row>
    <row r="782" spans="2:38" s="42" customFormat="1" x14ac:dyDescent="0.35">
      <c r="B782" s="55" t="str">
        <f t="shared" si="52"/>
        <v/>
      </c>
      <c r="C782" s="40"/>
      <c r="D782" s="40"/>
      <c r="E782" s="41"/>
      <c r="F782" s="41"/>
      <c r="G782" s="41"/>
      <c r="H782" s="68"/>
      <c r="I782" s="71"/>
      <c r="J782" s="41"/>
      <c r="K782" s="41"/>
      <c r="L782" s="71"/>
      <c r="M782" s="71"/>
      <c r="N782" s="71"/>
      <c r="O782" s="71"/>
      <c r="P782" s="41"/>
      <c r="Q782" s="41"/>
      <c r="R782" s="71"/>
      <c r="S782" s="71"/>
      <c r="T782" s="75"/>
      <c r="U782" s="75"/>
      <c r="V782" s="75"/>
      <c r="W782" s="58" t="str">
        <f t="shared" si="53"/>
        <v/>
      </c>
      <c r="X782" s="59" t="str">
        <f t="shared" si="54"/>
        <v/>
      </c>
      <c r="Y782" s="41"/>
      <c r="Z782" s="41"/>
      <c r="AA782" s="41"/>
      <c r="AB782" s="68"/>
      <c r="AC782" s="69"/>
      <c r="AD782" s="66"/>
      <c r="AE782" s="66"/>
      <c r="AF782" s="66"/>
      <c r="AG782" s="60"/>
      <c r="AH782" s="61"/>
      <c r="AI782" s="62"/>
      <c r="AJ782" s="61"/>
      <c r="AK782" s="60"/>
      <c r="AL782" s="65"/>
    </row>
    <row r="783" spans="2:38" s="42" customFormat="1" x14ac:dyDescent="0.35">
      <c r="B783" s="55" t="str">
        <f t="shared" si="52"/>
        <v/>
      </c>
      <c r="C783" s="40"/>
      <c r="D783" s="40"/>
      <c r="E783" s="41"/>
      <c r="F783" s="41"/>
      <c r="G783" s="41"/>
      <c r="H783" s="68"/>
      <c r="I783" s="71"/>
      <c r="J783" s="41"/>
      <c r="K783" s="41"/>
      <c r="L783" s="71"/>
      <c r="M783" s="71"/>
      <c r="N783" s="71"/>
      <c r="O783" s="71"/>
      <c r="P783" s="41"/>
      <c r="Q783" s="41"/>
      <c r="R783" s="71"/>
      <c r="S783" s="71"/>
      <c r="T783" s="75"/>
      <c r="U783" s="75"/>
      <c r="V783" s="75"/>
      <c r="W783" s="58" t="str">
        <f t="shared" si="53"/>
        <v/>
      </c>
      <c r="X783" s="59" t="str">
        <f t="shared" si="54"/>
        <v/>
      </c>
      <c r="Y783" s="41"/>
      <c r="Z783" s="41"/>
      <c r="AA783" s="41"/>
      <c r="AB783" s="68"/>
      <c r="AC783" s="69"/>
      <c r="AD783" s="66"/>
      <c r="AE783" s="66"/>
      <c r="AF783" s="66"/>
      <c r="AG783" s="60"/>
      <c r="AH783" s="61"/>
      <c r="AI783" s="62"/>
      <c r="AJ783" s="61"/>
      <c r="AK783" s="60"/>
      <c r="AL783" s="65"/>
    </row>
    <row r="784" spans="2:38" s="42" customFormat="1" x14ac:dyDescent="0.35">
      <c r="B784" s="55" t="str">
        <f t="shared" si="52"/>
        <v/>
      </c>
      <c r="C784" s="40"/>
      <c r="D784" s="40"/>
      <c r="E784" s="41"/>
      <c r="F784" s="41"/>
      <c r="G784" s="41"/>
      <c r="H784" s="68"/>
      <c r="I784" s="71"/>
      <c r="J784" s="41"/>
      <c r="K784" s="41"/>
      <c r="L784" s="71"/>
      <c r="M784" s="71"/>
      <c r="N784" s="71"/>
      <c r="O784" s="71"/>
      <c r="P784" s="41"/>
      <c r="Q784" s="41"/>
      <c r="R784" s="71"/>
      <c r="S784" s="71"/>
      <c r="T784" s="75"/>
      <c r="U784" s="75"/>
      <c r="V784" s="75"/>
      <c r="W784" s="58" t="str">
        <f t="shared" si="53"/>
        <v/>
      </c>
      <c r="X784" s="59" t="str">
        <f t="shared" si="54"/>
        <v/>
      </c>
      <c r="Y784" s="41"/>
      <c r="Z784" s="41"/>
      <c r="AA784" s="41"/>
      <c r="AB784" s="68"/>
      <c r="AC784" s="69"/>
      <c r="AD784" s="66"/>
      <c r="AE784" s="66"/>
      <c r="AF784" s="66"/>
      <c r="AG784" s="60"/>
      <c r="AH784" s="61"/>
      <c r="AI784" s="62"/>
      <c r="AJ784" s="61"/>
      <c r="AK784" s="60"/>
      <c r="AL784" s="65"/>
    </row>
    <row r="785" spans="2:38" s="42" customFormat="1" x14ac:dyDescent="0.35">
      <c r="B785" s="55" t="str">
        <f t="shared" si="52"/>
        <v/>
      </c>
      <c r="C785" s="40"/>
      <c r="D785" s="40"/>
      <c r="E785" s="41"/>
      <c r="F785" s="41"/>
      <c r="G785" s="41"/>
      <c r="H785" s="68"/>
      <c r="I785" s="71"/>
      <c r="J785" s="41"/>
      <c r="K785" s="41"/>
      <c r="L785" s="71"/>
      <c r="M785" s="71"/>
      <c r="N785" s="71"/>
      <c r="O785" s="71"/>
      <c r="P785" s="41"/>
      <c r="Q785" s="41"/>
      <c r="R785" s="71"/>
      <c r="S785" s="71"/>
      <c r="T785" s="75"/>
      <c r="U785" s="75"/>
      <c r="V785" s="75"/>
      <c r="W785" s="58" t="str">
        <f t="shared" si="53"/>
        <v/>
      </c>
      <c r="X785" s="59" t="str">
        <f t="shared" si="54"/>
        <v/>
      </c>
      <c r="Y785" s="41"/>
      <c r="Z785" s="41"/>
      <c r="AA785" s="41"/>
      <c r="AB785" s="68"/>
      <c r="AC785" s="69"/>
      <c r="AD785" s="66"/>
      <c r="AE785" s="66"/>
      <c r="AF785" s="66"/>
      <c r="AG785" s="60"/>
      <c r="AH785" s="61"/>
      <c r="AI785" s="62"/>
      <c r="AJ785" s="61"/>
      <c r="AK785" s="60"/>
      <c r="AL785" s="65"/>
    </row>
    <row r="786" spans="2:38" s="42" customFormat="1" x14ac:dyDescent="0.35">
      <c r="B786" s="55" t="str">
        <f t="shared" si="52"/>
        <v/>
      </c>
      <c r="C786" s="40"/>
      <c r="D786" s="40"/>
      <c r="E786" s="41"/>
      <c r="F786" s="41"/>
      <c r="G786" s="41"/>
      <c r="H786" s="68"/>
      <c r="I786" s="71"/>
      <c r="J786" s="41"/>
      <c r="K786" s="41"/>
      <c r="L786" s="71"/>
      <c r="M786" s="71"/>
      <c r="N786" s="71"/>
      <c r="O786" s="71"/>
      <c r="P786" s="41"/>
      <c r="Q786" s="41"/>
      <c r="R786" s="71"/>
      <c r="S786" s="71"/>
      <c r="T786" s="75"/>
      <c r="U786" s="75"/>
      <c r="V786" s="75"/>
      <c r="W786" s="58" t="str">
        <f t="shared" si="53"/>
        <v/>
      </c>
      <c r="X786" s="59" t="str">
        <f t="shared" si="54"/>
        <v/>
      </c>
      <c r="Y786" s="41"/>
      <c r="Z786" s="41"/>
      <c r="AA786" s="41"/>
      <c r="AB786" s="68"/>
      <c r="AC786" s="69"/>
      <c r="AD786" s="66"/>
      <c r="AE786" s="66"/>
      <c r="AF786" s="66"/>
      <c r="AG786" s="60"/>
      <c r="AH786" s="61"/>
      <c r="AI786" s="62"/>
      <c r="AJ786" s="61"/>
      <c r="AK786" s="60"/>
      <c r="AL786" s="65"/>
    </row>
    <row r="787" spans="2:38" s="42" customFormat="1" x14ac:dyDescent="0.35">
      <c r="B787" s="55" t="str">
        <f t="shared" si="52"/>
        <v/>
      </c>
      <c r="C787" s="40"/>
      <c r="D787" s="40"/>
      <c r="E787" s="41"/>
      <c r="F787" s="41"/>
      <c r="G787" s="41"/>
      <c r="H787" s="68"/>
      <c r="I787" s="71"/>
      <c r="J787" s="41"/>
      <c r="K787" s="41"/>
      <c r="L787" s="71"/>
      <c r="M787" s="71"/>
      <c r="N787" s="71"/>
      <c r="O787" s="71"/>
      <c r="P787" s="41"/>
      <c r="Q787" s="41"/>
      <c r="R787" s="71"/>
      <c r="S787" s="71"/>
      <c r="T787" s="75"/>
      <c r="U787" s="75"/>
      <c r="V787" s="75"/>
      <c r="W787" s="58" t="str">
        <f t="shared" si="53"/>
        <v/>
      </c>
      <c r="X787" s="59" t="str">
        <f t="shared" si="54"/>
        <v/>
      </c>
      <c r="Y787" s="41"/>
      <c r="Z787" s="41"/>
      <c r="AA787" s="41"/>
      <c r="AB787" s="68"/>
      <c r="AC787" s="69"/>
      <c r="AD787" s="66"/>
      <c r="AE787" s="66"/>
      <c r="AF787" s="66"/>
      <c r="AG787" s="60"/>
      <c r="AH787" s="61"/>
      <c r="AI787" s="62"/>
      <c r="AJ787" s="61"/>
      <c r="AK787" s="60"/>
      <c r="AL787" s="65"/>
    </row>
    <row r="788" spans="2:38" s="42" customFormat="1" x14ac:dyDescent="0.35">
      <c r="B788" s="55" t="str">
        <f t="shared" si="52"/>
        <v/>
      </c>
      <c r="C788" s="40"/>
      <c r="D788" s="40"/>
      <c r="E788" s="41"/>
      <c r="F788" s="41"/>
      <c r="G788" s="41"/>
      <c r="H788" s="68"/>
      <c r="I788" s="71"/>
      <c r="J788" s="41"/>
      <c r="K788" s="41"/>
      <c r="L788" s="71"/>
      <c r="M788" s="71"/>
      <c r="N788" s="71"/>
      <c r="O788" s="71"/>
      <c r="P788" s="41"/>
      <c r="Q788" s="41"/>
      <c r="R788" s="71"/>
      <c r="S788" s="71"/>
      <c r="T788" s="75"/>
      <c r="U788" s="75"/>
      <c r="V788" s="75"/>
      <c r="W788" s="58" t="str">
        <f t="shared" si="53"/>
        <v/>
      </c>
      <c r="X788" s="59" t="str">
        <f t="shared" si="54"/>
        <v/>
      </c>
      <c r="Y788" s="41"/>
      <c r="Z788" s="41"/>
      <c r="AA788" s="41"/>
      <c r="AB788" s="68"/>
      <c r="AC788" s="69"/>
      <c r="AD788" s="66"/>
      <c r="AE788" s="66"/>
      <c r="AF788" s="66"/>
      <c r="AG788" s="60"/>
      <c r="AH788" s="61"/>
      <c r="AI788" s="62"/>
      <c r="AJ788" s="61"/>
      <c r="AK788" s="60"/>
      <c r="AL788" s="65"/>
    </row>
    <row r="789" spans="2:38" s="42" customFormat="1" x14ac:dyDescent="0.35">
      <c r="B789" s="55" t="str">
        <f t="shared" si="52"/>
        <v/>
      </c>
      <c r="C789" s="40"/>
      <c r="D789" s="40"/>
      <c r="E789" s="41"/>
      <c r="F789" s="41"/>
      <c r="G789" s="41"/>
      <c r="H789" s="68"/>
      <c r="I789" s="71"/>
      <c r="J789" s="41"/>
      <c r="K789" s="41"/>
      <c r="L789" s="71"/>
      <c r="M789" s="71"/>
      <c r="N789" s="71"/>
      <c r="O789" s="71"/>
      <c r="P789" s="41"/>
      <c r="Q789" s="41"/>
      <c r="R789" s="71"/>
      <c r="S789" s="71"/>
      <c r="T789" s="75"/>
      <c r="U789" s="75"/>
      <c r="V789" s="75"/>
      <c r="W789" s="58" t="str">
        <f t="shared" si="53"/>
        <v/>
      </c>
      <c r="X789" s="59" t="str">
        <f t="shared" si="54"/>
        <v/>
      </c>
      <c r="Y789" s="41"/>
      <c r="Z789" s="41"/>
      <c r="AA789" s="41"/>
      <c r="AB789" s="68"/>
      <c r="AC789" s="69"/>
      <c r="AD789" s="66"/>
      <c r="AE789" s="66"/>
      <c r="AF789" s="66"/>
      <c r="AG789" s="60"/>
      <c r="AH789" s="61"/>
      <c r="AI789" s="62"/>
      <c r="AJ789" s="61"/>
      <c r="AK789" s="60"/>
      <c r="AL789" s="65"/>
    </row>
    <row r="790" spans="2:38" s="42" customFormat="1" x14ac:dyDescent="0.35">
      <c r="B790" s="55" t="str">
        <f t="shared" si="52"/>
        <v/>
      </c>
      <c r="C790" s="40"/>
      <c r="D790" s="40"/>
      <c r="E790" s="41"/>
      <c r="F790" s="41"/>
      <c r="G790" s="41"/>
      <c r="H790" s="68"/>
      <c r="I790" s="71"/>
      <c r="J790" s="41"/>
      <c r="K790" s="41"/>
      <c r="L790" s="71"/>
      <c r="M790" s="71"/>
      <c r="N790" s="71"/>
      <c r="O790" s="71"/>
      <c r="P790" s="41"/>
      <c r="Q790" s="41"/>
      <c r="R790" s="71"/>
      <c r="S790" s="71"/>
      <c r="T790" s="75"/>
      <c r="U790" s="75"/>
      <c r="V790" s="75"/>
      <c r="W790" s="58" t="str">
        <f t="shared" si="53"/>
        <v/>
      </c>
      <c r="X790" s="59" t="str">
        <f t="shared" si="54"/>
        <v/>
      </c>
      <c r="Y790" s="41"/>
      <c r="Z790" s="41"/>
      <c r="AA790" s="41"/>
      <c r="AB790" s="68"/>
      <c r="AC790" s="69"/>
      <c r="AD790" s="66"/>
      <c r="AE790" s="66"/>
      <c r="AF790" s="66"/>
      <c r="AG790" s="60"/>
      <c r="AH790" s="61"/>
      <c r="AI790" s="62"/>
      <c r="AJ790" s="61"/>
      <c r="AK790" s="60"/>
      <c r="AL790" s="65"/>
    </row>
    <row r="791" spans="2:38" s="42" customFormat="1" x14ac:dyDescent="0.35">
      <c r="B791" s="55" t="str">
        <f t="shared" si="52"/>
        <v/>
      </c>
      <c r="C791" s="40"/>
      <c r="D791" s="40"/>
      <c r="E791" s="41"/>
      <c r="F791" s="41"/>
      <c r="G791" s="41"/>
      <c r="H791" s="68"/>
      <c r="I791" s="71"/>
      <c r="J791" s="41"/>
      <c r="K791" s="41"/>
      <c r="L791" s="71"/>
      <c r="M791" s="71"/>
      <c r="N791" s="71"/>
      <c r="O791" s="71"/>
      <c r="P791" s="41"/>
      <c r="Q791" s="41"/>
      <c r="R791" s="71"/>
      <c r="S791" s="71"/>
      <c r="T791" s="75"/>
      <c r="U791" s="75"/>
      <c r="V791" s="75"/>
      <c r="W791" s="58" t="str">
        <f t="shared" si="53"/>
        <v/>
      </c>
      <c r="X791" s="59" t="str">
        <f t="shared" si="54"/>
        <v/>
      </c>
      <c r="Y791" s="41"/>
      <c r="Z791" s="41"/>
      <c r="AA791" s="41"/>
      <c r="AB791" s="68"/>
      <c r="AC791" s="69"/>
      <c r="AD791" s="66"/>
      <c r="AE791" s="66"/>
      <c r="AF791" s="66"/>
      <c r="AG791" s="60"/>
      <c r="AH791" s="61"/>
      <c r="AI791" s="62"/>
      <c r="AJ791" s="61"/>
      <c r="AK791" s="60"/>
      <c r="AL791" s="65"/>
    </row>
    <row r="792" spans="2:38" s="42" customFormat="1" x14ac:dyDescent="0.35">
      <c r="B792" s="55" t="str">
        <f t="shared" si="52"/>
        <v/>
      </c>
      <c r="C792" s="40"/>
      <c r="D792" s="40"/>
      <c r="E792" s="41"/>
      <c r="F792" s="41"/>
      <c r="G792" s="41"/>
      <c r="H792" s="68"/>
      <c r="I792" s="71"/>
      <c r="J792" s="41"/>
      <c r="K792" s="41"/>
      <c r="L792" s="71"/>
      <c r="M792" s="71"/>
      <c r="N792" s="71"/>
      <c r="O792" s="71"/>
      <c r="P792" s="41"/>
      <c r="Q792" s="41"/>
      <c r="R792" s="71"/>
      <c r="S792" s="71"/>
      <c r="T792" s="75"/>
      <c r="U792" s="75"/>
      <c r="V792" s="75"/>
      <c r="W792" s="58" t="str">
        <f t="shared" si="53"/>
        <v/>
      </c>
      <c r="X792" s="59" t="str">
        <f t="shared" si="54"/>
        <v/>
      </c>
      <c r="Y792" s="41"/>
      <c r="Z792" s="41"/>
      <c r="AA792" s="41"/>
      <c r="AB792" s="68"/>
      <c r="AC792" s="69"/>
      <c r="AD792" s="66"/>
      <c r="AE792" s="66"/>
      <c r="AF792" s="66"/>
      <c r="AG792" s="60"/>
      <c r="AH792" s="61"/>
      <c r="AI792" s="62"/>
      <c r="AJ792" s="61"/>
      <c r="AK792" s="60"/>
      <c r="AL792" s="65"/>
    </row>
    <row r="793" spans="2:38" s="42" customFormat="1" x14ac:dyDescent="0.35">
      <c r="B793" s="55" t="str">
        <f t="shared" si="52"/>
        <v/>
      </c>
      <c r="C793" s="40"/>
      <c r="D793" s="40"/>
      <c r="E793" s="41"/>
      <c r="F793" s="41"/>
      <c r="G793" s="41"/>
      <c r="H793" s="68"/>
      <c r="I793" s="71"/>
      <c r="J793" s="41"/>
      <c r="K793" s="41"/>
      <c r="L793" s="71"/>
      <c r="M793" s="71"/>
      <c r="N793" s="71"/>
      <c r="O793" s="71"/>
      <c r="P793" s="41"/>
      <c r="Q793" s="41"/>
      <c r="R793" s="71"/>
      <c r="S793" s="71"/>
      <c r="T793" s="75"/>
      <c r="U793" s="75"/>
      <c r="V793" s="75"/>
      <c r="W793" s="58" t="str">
        <f t="shared" si="53"/>
        <v/>
      </c>
      <c r="X793" s="59" t="str">
        <f t="shared" si="54"/>
        <v/>
      </c>
      <c r="Y793" s="41"/>
      <c r="Z793" s="41"/>
      <c r="AA793" s="41"/>
      <c r="AB793" s="68"/>
      <c r="AC793" s="69"/>
      <c r="AD793" s="66"/>
      <c r="AE793" s="66"/>
      <c r="AF793" s="66"/>
      <c r="AG793" s="60"/>
      <c r="AH793" s="61"/>
      <c r="AI793" s="62"/>
      <c r="AJ793" s="61"/>
      <c r="AK793" s="60"/>
      <c r="AL793" s="65"/>
    </row>
    <row r="794" spans="2:38" s="42" customFormat="1" x14ac:dyDescent="0.35">
      <c r="B794" s="55" t="str">
        <f t="shared" si="52"/>
        <v/>
      </c>
      <c r="C794" s="40"/>
      <c r="D794" s="40"/>
      <c r="E794" s="41"/>
      <c r="F794" s="41"/>
      <c r="G794" s="41"/>
      <c r="H794" s="68"/>
      <c r="I794" s="71"/>
      <c r="J794" s="41"/>
      <c r="K794" s="41"/>
      <c r="L794" s="71"/>
      <c r="M794" s="71"/>
      <c r="N794" s="71"/>
      <c r="O794" s="71"/>
      <c r="P794" s="41"/>
      <c r="Q794" s="41"/>
      <c r="R794" s="71"/>
      <c r="S794" s="71"/>
      <c r="T794" s="75"/>
      <c r="U794" s="75"/>
      <c r="V794" s="75"/>
      <c r="W794" s="58" t="str">
        <f t="shared" si="53"/>
        <v/>
      </c>
      <c r="X794" s="59" t="str">
        <f t="shared" si="54"/>
        <v/>
      </c>
      <c r="Y794" s="41"/>
      <c r="Z794" s="41"/>
      <c r="AA794" s="41"/>
      <c r="AB794" s="68"/>
      <c r="AC794" s="69"/>
      <c r="AD794" s="66"/>
      <c r="AE794" s="66"/>
      <c r="AF794" s="66"/>
      <c r="AG794" s="60"/>
      <c r="AH794" s="61"/>
      <c r="AI794" s="62"/>
      <c r="AJ794" s="61"/>
      <c r="AK794" s="60"/>
      <c r="AL794" s="65"/>
    </row>
    <row r="795" spans="2:38" s="42" customFormat="1" x14ac:dyDescent="0.35">
      <c r="B795" s="55" t="str">
        <f t="shared" si="52"/>
        <v/>
      </c>
      <c r="C795" s="40"/>
      <c r="D795" s="40"/>
      <c r="E795" s="41"/>
      <c r="F795" s="41"/>
      <c r="G795" s="41"/>
      <c r="H795" s="68"/>
      <c r="I795" s="71"/>
      <c r="J795" s="41"/>
      <c r="K795" s="41"/>
      <c r="L795" s="71"/>
      <c r="M795" s="71"/>
      <c r="N795" s="71"/>
      <c r="O795" s="71"/>
      <c r="P795" s="41"/>
      <c r="Q795" s="41"/>
      <c r="R795" s="71"/>
      <c r="S795" s="71"/>
      <c r="T795" s="75"/>
      <c r="U795" s="75"/>
      <c r="V795" s="75"/>
      <c r="W795" s="58" t="str">
        <f t="shared" si="53"/>
        <v/>
      </c>
      <c r="X795" s="59" t="str">
        <f t="shared" si="54"/>
        <v/>
      </c>
      <c r="Y795" s="41"/>
      <c r="Z795" s="41"/>
      <c r="AA795" s="41"/>
      <c r="AB795" s="68"/>
      <c r="AC795" s="69"/>
      <c r="AD795" s="66"/>
      <c r="AE795" s="66"/>
      <c r="AF795" s="66"/>
      <c r="AG795" s="60"/>
      <c r="AH795" s="61"/>
      <c r="AI795" s="62"/>
      <c r="AJ795" s="61"/>
      <c r="AK795" s="60"/>
      <c r="AL795" s="65"/>
    </row>
    <row r="796" spans="2:38" s="42" customFormat="1" x14ac:dyDescent="0.35">
      <c r="B796" s="55" t="str">
        <f t="shared" si="52"/>
        <v/>
      </c>
      <c r="C796" s="40"/>
      <c r="D796" s="40"/>
      <c r="E796" s="41"/>
      <c r="F796" s="41"/>
      <c r="G796" s="41"/>
      <c r="H796" s="68"/>
      <c r="I796" s="71"/>
      <c r="J796" s="41"/>
      <c r="K796" s="41"/>
      <c r="L796" s="71"/>
      <c r="M796" s="71"/>
      <c r="N796" s="71"/>
      <c r="O796" s="71"/>
      <c r="P796" s="41"/>
      <c r="Q796" s="41"/>
      <c r="R796" s="71"/>
      <c r="S796" s="71"/>
      <c r="T796" s="75"/>
      <c r="U796" s="75"/>
      <c r="V796" s="75"/>
      <c r="W796" s="58" t="str">
        <f t="shared" si="53"/>
        <v/>
      </c>
      <c r="X796" s="59" t="str">
        <f t="shared" si="54"/>
        <v/>
      </c>
      <c r="Y796" s="41"/>
      <c r="Z796" s="41"/>
      <c r="AA796" s="41"/>
      <c r="AB796" s="68"/>
      <c r="AC796" s="69"/>
      <c r="AD796" s="66"/>
      <c r="AE796" s="66"/>
      <c r="AF796" s="66"/>
      <c r="AG796" s="60"/>
      <c r="AH796" s="61"/>
      <c r="AI796" s="62"/>
      <c r="AJ796" s="61"/>
      <c r="AK796" s="60"/>
      <c r="AL796" s="65"/>
    </row>
    <row r="797" spans="2:38" s="42" customFormat="1" x14ac:dyDescent="0.35">
      <c r="B797" s="55" t="str">
        <f t="shared" si="52"/>
        <v/>
      </c>
      <c r="C797" s="40"/>
      <c r="D797" s="40"/>
      <c r="E797" s="41"/>
      <c r="F797" s="41"/>
      <c r="G797" s="41"/>
      <c r="H797" s="68"/>
      <c r="I797" s="71"/>
      <c r="J797" s="41"/>
      <c r="K797" s="41"/>
      <c r="L797" s="71"/>
      <c r="M797" s="71"/>
      <c r="N797" s="71"/>
      <c r="O797" s="71"/>
      <c r="P797" s="41"/>
      <c r="Q797" s="41"/>
      <c r="R797" s="71"/>
      <c r="S797" s="71"/>
      <c r="T797" s="75"/>
      <c r="U797" s="75"/>
      <c r="V797" s="75"/>
      <c r="W797" s="58" t="str">
        <f t="shared" si="53"/>
        <v/>
      </c>
      <c r="X797" s="59" t="str">
        <f t="shared" si="54"/>
        <v/>
      </c>
      <c r="Y797" s="41"/>
      <c r="Z797" s="41"/>
      <c r="AA797" s="41"/>
      <c r="AB797" s="68"/>
      <c r="AC797" s="69"/>
      <c r="AD797" s="66"/>
      <c r="AE797" s="66"/>
      <c r="AF797" s="66"/>
      <c r="AG797" s="60"/>
      <c r="AH797" s="61"/>
      <c r="AI797" s="62"/>
      <c r="AJ797" s="61"/>
      <c r="AK797" s="60"/>
      <c r="AL797" s="65"/>
    </row>
    <row r="798" spans="2:38" s="42" customFormat="1" x14ac:dyDescent="0.35">
      <c r="B798" s="55" t="str">
        <f t="shared" si="52"/>
        <v/>
      </c>
      <c r="C798" s="40"/>
      <c r="D798" s="40"/>
      <c r="E798" s="41"/>
      <c r="F798" s="41"/>
      <c r="G798" s="41"/>
      <c r="H798" s="68"/>
      <c r="I798" s="71"/>
      <c r="J798" s="41"/>
      <c r="K798" s="41"/>
      <c r="L798" s="71"/>
      <c r="M798" s="71"/>
      <c r="N798" s="71"/>
      <c r="O798" s="71"/>
      <c r="P798" s="41"/>
      <c r="Q798" s="41"/>
      <c r="R798" s="71"/>
      <c r="S798" s="71"/>
      <c r="T798" s="75"/>
      <c r="U798" s="75"/>
      <c r="V798" s="75"/>
      <c r="W798" s="58" t="str">
        <f t="shared" si="53"/>
        <v/>
      </c>
      <c r="X798" s="59" t="str">
        <f t="shared" si="54"/>
        <v/>
      </c>
      <c r="Y798" s="41"/>
      <c r="Z798" s="41"/>
      <c r="AA798" s="41"/>
      <c r="AB798" s="68"/>
      <c r="AC798" s="69"/>
      <c r="AD798" s="66"/>
      <c r="AE798" s="66"/>
      <c r="AF798" s="66"/>
      <c r="AG798" s="60"/>
      <c r="AH798" s="61"/>
      <c r="AI798" s="62"/>
      <c r="AJ798" s="61"/>
      <c r="AK798" s="60"/>
      <c r="AL798" s="65"/>
    </row>
    <row r="799" spans="2:38" s="42" customFormat="1" x14ac:dyDescent="0.35">
      <c r="B799" s="55" t="str">
        <f t="shared" si="52"/>
        <v/>
      </c>
      <c r="C799" s="40"/>
      <c r="D799" s="40"/>
      <c r="E799" s="41"/>
      <c r="F799" s="41"/>
      <c r="G799" s="41"/>
      <c r="H799" s="68"/>
      <c r="I799" s="71"/>
      <c r="J799" s="41"/>
      <c r="K799" s="41"/>
      <c r="L799" s="71"/>
      <c r="M799" s="71"/>
      <c r="N799" s="71"/>
      <c r="O799" s="71"/>
      <c r="P799" s="41"/>
      <c r="Q799" s="41"/>
      <c r="R799" s="71"/>
      <c r="S799" s="71"/>
      <c r="T799" s="75"/>
      <c r="U799" s="75"/>
      <c r="V799" s="75"/>
      <c r="W799" s="58" t="str">
        <f t="shared" si="53"/>
        <v/>
      </c>
      <c r="X799" s="59" t="str">
        <f t="shared" si="54"/>
        <v/>
      </c>
      <c r="Y799" s="41"/>
      <c r="Z799" s="41"/>
      <c r="AA799" s="41"/>
      <c r="AB799" s="68"/>
      <c r="AC799" s="69"/>
      <c r="AD799" s="66"/>
      <c r="AE799" s="66"/>
      <c r="AF799" s="66"/>
      <c r="AG799" s="60"/>
      <c r="AH799" s="61"/>
      <c r="AI799" s="62"/>
      <c r="AJ799" s="61"/>
      <c r="AK799" s="60"/>
      <c r="AL799" s="65"/>
    </row>
    <row r="800" spans="2:38" s="42" customFormat="1" x14ac:dyDescent="0.35">
      <c r="B800" s="55" t="str">
        <f t="shared" si="52"/>
        <v/>
      </c>
      <c r="C800" s="40"/>
      <c r="D800" s="40"/>
      <c r="E800" s="41"/>
      <c r="F800" s="41"/>
      <c r="G800" s="41"/>
      <c r="H800" s="68"/>
      <c r="I800" s="71"/>
      <c r="J800" s="41"/>
      <c r="K800" s="41"/>
      <c r="L800" s="71"/>
      <c r="M800" s="71"/>
      <c r="N800" s="71"/>
      <c r="O800" s="71"/>
      <c r="P800" s="41"/>
      <c r="Q800" s="41"/>
      <c r="R800" s="71"/>
      <c r="S800" s="71"/>
      <c r="T800" s="75"/>
      <c r="U800" s="75"/>
      <c r="V800" s="75"/>
      <c r="W800" s="58" t="str">
        <f t="shared" si="53"/>
        <v/>
      </c>
      <c r="X800" s="59" t="str">
        <f t="shared" si="54"/>
        <v/>
      </c>
      <c r="Y800" s="41"/>
      <c r="Z800" s="41"/>
      <c r="AA800" s="41"/>
      <c r="AB800" s="68"/>
      <c r="AC800" s="69"/>
      <c r="AD800" s="66"/>
      <c r="AE800" s="66"/>
      <c r="AF800" s="66"/>
      <c r="AG800" s="60"/>
      <c r="AH800" s="61"/>
      <c r="AI800" s="62"/>
      <c r="AJ800" s="61"/>
      <c r="AK800" s="60"/>
      <c r="AL800" s="65"/>
    </row>
    <row r="801" spans="2:38" s="42" customFormat="1" x14ac:dyDescent="0.35">
      <c r="B801" s="55" t="str">
        <f t="shared" si="52"/>
        <v/>
      </c>
      <c r="C801" s="40"/>
      <c r="D801" s="40"/>
      <c r="E801" s="41"/>
      <c r="F801" s="41"/>
      <c r="G801" s="41"/>
      <c r="H801" s="68"/>
      <c r="I801" s="71"/>
      <c r="J801" s="41"/>
      <c r="K801" s="41"/>
      <c r="L801" s="71"/>
      <c r="M801" s="71"/>
      <c r="N801" s="71"/>
      <c r="O801" s="71"/>
      <c r="P801" s="41"/>
      <c r="Q801" s="41"/>
      <c r="R801" s="71"/>
      <c r="S801" s="71"/>
      <c r="T801" s="75"/>
      <c r="U801" s="75"/>
      <c r="V801" s="75"/>
      <c r="W801" s="58" t="str">
        <f t="shared" si="53"/>
        <v/>
      </c>
      <c r="X801" s="59" t="str">
        <f t="shared" si="54"/>
        <v/>
      </c>
      <c r="Y801" s="41"/>
      <c r="Z801" s="41"/>
      <c r="AA801" s="41"/>
      <c r="AB801" s="68"/>
      <c r="AC801" s="69"/>
      <c r="AD801" s="66"/>
      <c r="AE801" s="66"/>
      <c r="AF801" s="66"/>
      <c r="AG801" s="60"/>
      <c r="AH801" s="61"/>
      <c r="AI801" s="62"/>
      <c r="AJ801" s="61"/>
      <c r="AK801" s="60"/>
      <c r="AL801" s="65"/>
    </row>
    <row r="802" spans="2:38" s="42" customFormat="1" x14ac:dyDescent="0.35">
      <c r="B802" s="55" t="str">
        <f t="shared" si="52"/>
        <v/>
      </c>
      <c r="C802" s="40"/>
      <c r="D802" s="40"/>
      <c r="E802" s="41"/>
      <c r="F802" s="41"/>
      <c r="G802" s="41"/>
      <c r="H802" s="68"/>
      <c r="I802" s="71"/>
      <c r="J802" s="41"/>
      <c r="K802" s="41"/>
      <c r="L802" s="71"/>
      <c r="M802" s="71"/>
      <c r="N802" s="71"/>
      <c r="O802" s="71"/>
      <c r="P802" s="41"/>
      <c r="Q802" s="41"/>
      <c r="R802" s="71"/>
      <c r="S802" s="71"/>
      <c r="T802" s="75"/>
      <c r="U802" s="75"/>
      <c r="V802" s="75"/>
      <c r="W802" s="58" t="str">
        <f t="shared" si="53"/>
        <v/>
      </c>
      <c r="X802" s="59" t="str">
        <f t="shared" si="54"/>
        <v/>
      </c>
      <c r="Y802" s="41"/>
      <c r="Z802" s="41"/>
      <c r="AA802" s="41"/>
      <c r="AB802" s="68"/>
      <c r="AC802" s="69"/>
      <c r="AD802" s="66"/>
      <c r="AE802" s="66"/>
      <c r="AF802" s="66"/>
      <c r="AG802" s="60"/>
      <c r="AH802" s="61"/>
      <c r="AI802" s="62"/>
      <c r="AJ802" s="61"/>
      <c r="AK802" s="60"/>
      <c r="AL802" s="65"/>
    </row>
    <row r="803" spans="2:38" s="42" customFormat="1" x14ac:dyDescent="0.35">
      <c r="B803" s="55" t="str">
        <f t="shared" si="52"/>
        <v/>
      </c>
      <c r="C803" s="40"/>
      <c r="D803" s="40"/>
      <c r="E803" s="41"/>
      <c r="F803" s="41"/>
      <c r="G803" s="41"/>
      <c r="H803" s="68"/>
      <c r="I803" s="71"/>
      <c r="J803" s="41"/>
      <c r="K803" s="41"/>
      <c r="L803" s="71"/>
      <c r="M803" s="71"/>
      <c r="N803" s="71"/>
      <c r="O803" s="71"/>
      <c r="P803" s="41"/>
      <c r="Q803" s="41"/>
      <c r="R803" s="71"/>
      <c r="S803" s="71"/>
      <c r="T803" s="75"/>
      <c r="U803" s="75"/>
      <c r="V803" s="75"/>
      <c r="W803" s="58" t="str">
        <f t="shared" si="53"/>
        <v/>
      </c>
      <c r="X803" s="59" t="str">
        <f t="shared" si="54"/>
        <v/>
      </c>
      <c r="Y803" s="41"/>
      <c r="Z803" s="41"/>
      <c r="AA803" s="41"/>
      <c r="AB803" s="68"/>
      <c r="AC803" s="69"/>
      <c r="AD803" s="66"/>
      <c r="AE803" s="66"/>
      <c r="AF803" s="66"/>
      <c r="AG803" s="60"/>
      <c r="AH803" s="61"/>
      <c r="AI803" s="62"/>
      <c r="AJ803" s="61"/>
      <c r="AK803" s="60"/>
      <c r="AL803" s="65"/>
    </row>
    <row r="804" spans="2:38" s="42" customFormat="1" x14ac:dyDescent="0.35">
      <c r="B804" s="55" t="str">
        <f t="shared" si="52"/>
        <v/>
      </c>
      <c r="C804" s="40"/>
      <c r="D804" s="40"/>
      <c r="E804" s="41"/>
      <c r="F804" s="41"/>
      <c r="G804" s="41"/>
      <c r="H804" s="68"/>
      <c r="I804" s="71"/>
      <c r="J804" s="41"/>
      <c r="K804" s="41"/>
      <c r="L804" s="71"/>
      <c r="M804" s="71"/>
      <c r="N804" s="71"/>
      <c r="O804" s="71"/>
      <c r="P804" s="41"/>
      <c r="Q804" s="41"/>
      <c r="R804" s="71"/>
      <c r="S804" s="71"/>
      <c r="T804" s="75"/>
      <c r="U804" s="75"/>
      <c r="V804" s="75"/>
      <c r="W804" s="58" t="str">
        <f t="shared" si="53"/>
        <v/>
      </c>
      <c r="X804" s="59" t="str">
        <f t="shared" si="54"/>
        <v/>
      </c>
      <c r="Y804" s="41"/>
      <c r="Z804" s="41"/>
      <c r="AA804" s="41"/>
      <c r="AB804" s="68"/>
      <c r="AC804" s="69"/>
      <c r="AD804" s="66"/>
      <c r="AE804" s="66"/>
      <c r="AF804" s="66"/>
      <c r="AG804" s="60"/>
      <c r="AH804" s="61"/>
      <c r="AI804" s="62"/>
      <c r="AJ804" s="61"/>
      <c r="AK804" s="60"/>
      <c r="AL804" s="65"/>
    </row>
    <row r="805" spans="2:38" s="42" customFormat="1" x14ac:dyDescent="0.35">
      <c r="B805" s="55" t="str">
        <f t="shared" si="52"/>
        <v/>
      </c>
      <c r="C805" s="40"/>
      <c r="D805" s="40"/>
      <c r="E805" s="41"/>
      <c r="F805" s="41"/>
      <c r="G805" s="41"/>
      <c r="H805" s="68"/>
      <c r="I805" s="71"/>
      <c r="J805" s="41"/>
      <c r="K805" s="41"/>
      <c r="L805" s="71"/>
      <c r="M805" s="71"/>
      <c r="N805" s="71"/>
      <c r="O805" s="71"/>
      <c r="P805" s="41"/>
      <c r="Q805" s="41"/>
      <c r="R805" s="71"/>
      <c r="S805" s="71"/>
      <c r="T805" s="75"/>
      <c r="U805" s="75"/>
      <c r="V805" s="75"/>
      <c r="W805" s="58" t="str">
        <f t="shared" si="53"/>
        <v/>
      </c>
      <c r="X805" s="59" t="str">
        <f t="shared" si="54"/>
        <v/>
      </c>
      <c r="Y805" s="41"/>
      <c r="Z805" s="41"/>
      <c r="AA805" s="41"/>
      <c r="AB805" s="68"/>
      <c r="AC805" s="69"/>
      <c r="AD805" s="66"/>
      <c r="AE805" s="66"/>
      <c r="AF805" s="66"/>
      <c r="AG805" s="60"/>
      <c r="AH805" s="61"/>
      <c r="AI805" s="62"/>
      <c r="AJ805" s="61"/>
      <c r="AK805" s="60"/>
      <c r="AL805" s="65"/>
    </row>
    <row r="806" spans="2:38" s="42" customFormat="1" x14ac:dyDescent="0.35">
      <c r="B806" s="55" t="str">
        <f t="shared" si="52"/>
        <v/>
      </c>
      <c r="C806" s="40"/>
      <c r="D806" s="40"/>
      <c r="E806" s="41"/>
      <c r="F806" s="41"/>
      <c r="G806" s="41"/>
      <c r="H806" s="68"/>
      <c r="I806" s="71"/>
      <c r="J806" s="41"/>
      <c r="K806" s="41"/>
      <c r="L806" s="71"/>
      <c r="M806" s="71"/>
      <c r="N806" s="71"/>
      <c r="O806" s="71"/>
      <c r="P806" s="41"/>
      <c r="Q806" s="41"/>
      <c r="R806" s="71"/>
      <c r="S806" s="71"/>
      <c r="T806" s="75"/>
      <c r="U806" s="75"/>
      <c r="V806" s="75"/>
      <c r="W806" s="58" t="str">
        <f t="shared" si="53"/>
        <v/>
      </c>
      <c r="X806" s="59" t="str">
        <f t="shared" si="54"/>
        <v/>
      </c>
      <c r="Y806" s="41"/>
      <c r="Z806" s="41"/>
      <c r="AA806" s="41"/>
      <c r="AB806" s="68"/>
      <c r="AC806" s="69"/>
      <c r="AD806" s="66"/>
      <c r="AE806" s="66"/>
      <c r="AF806" s="66"/>
      <c r="AG806" s="60"/>
      <c r="AH806" s="61"/>
      <c r="AI806" s="62"/>
      <c r="AJ806" s="61"/>
      <c r="AK806" s="60"/>
      <c r="AL806" s="65"/>
    </row>
    <row r="807" spans="2:38" s="42" customFormat="1" x14ac:dyDescent="0.35">
      <c r="B807" s="55" t="str">
        <f t="shared" si="52"/>
        <v/>
      </c>
      <c r="C807" s="40"/>
      <c r="D807" s="40"/>
      <c r="E807" s="41"/>
      <c r="F807" s="41"/>
      <c r="G807" s="41"/>
      <c r="H807" s="68"/>
      <c r="I807" s="71"/>
      <c r="J807" s="41"/>
      <c r="K807" s="41"/>
      <c r="L807" s="71"/>
      <c r="M807" s="71"/>
      <c r="N807" s="71"/>
      <c r="O807" s="71"/>
      <c r="P807" s="41"/>
      <c r="Q807" s="41"/>
      <c r="R807" s="71"/>
      <c r="S807" s="71"/>
      <c r="T807" s="75"/>
      <c r="U807" s="75"/>
      <c r="V807" s="75"/>
      <c r="W807" s="58" t="str">
        <f t="shared" si="53"/>
        <v/>
      </c>
      <c r="X807" s="59" t="str">
        <f t="shared" si="54"/>
        <v/>
      </c>
      <c r="Y807" s="41"/>
      <c r="Z807" s="41"/>
      <c r="AA807" s="41"/>
      <c r="AB807" s="68"/>
      <c r="AC807" s="69"/>
      <c r="AD807" s="66"/>
      <c r="AE807" s="66"/>
      <c r="AF807" s="66"/>
      <c r="AG807" s="60"/>
      <c r="AH807" s="61"/>
      <c r="AI807" s="62"/>
      <c r="AJ807" s="61"/>
      <c r="AK807" s="60"/>
      <c r="AL807" s="65"/>
    </row>
    <row r="808" spans="2:38" s="42" customFormat="1" x14ac:dyDescent="0.35">
      <c r="B808" s="55" t="str">
        <f t="shared" si="52"/>
        <v/>
      </c>
      <c r="C808" s="40"/>
      <c r="D808" s="40"/>
      <c r="E808" s="41"/>
      <c r="F808" s="41"/>
      <c r="G808" s="41"/>
      <c r="H808" s="68"/>
      <c r="I808" s="71"/>
      <c r="J808" s="41"/>
      <c r="K808" s="41"/>
      <c r="L808" s="71"/>
      <c r="M808" s="71"/>
      <c r="N808" s="71"/>
      <c r="O808" s="71"/>
      <c r="P808" s="41"/>
      <c r="Q808" s="41"/>
      <c r="R808" s="71"/>
      <c r="S808" s="71"/>
      <c r="T808" s="75"/>
      <c r="U808" s="75"/>
      <c r="V808" s="75"/>
      <c r="W808" s="58" t="str">
        <f t="shared" si="53"/>
        <v/>
      </c>
      <c r="X808" s="59" t="str">
        <f t="shared" si="54"/>
        <v/>
      </c>
      <c r="Y808" s="41"/>
      <c r="Z808" s="41"/>
      <c r="AA808" s="41"/>
      <c r="AB808" s="68"/>
      <c r="AC808" s="69"/>
      <c r="AD808" s="66"/>
      <c r="AE808" s="66"/>
      <c r="AF808" s="66"/>
      <c r="AG808" s="60"/>
      <c r="AH808" s="61"/>
      <c r="AI808" s="62"/>
      <c r="AJ808" s="61"/>
      <c r="AK808" s="60"/>
      <c r="AL808" s="65"/>
    </row>
    <row r="809" spans="2:38" s="42" customFormat="1" x14ac:dyDescent="0.35">
      <c r="B809" s="55" t="str">
        <f t="shared" si="52"/>
        <v/>
      </c>
      <c r="C809" s="40"/>
      <c r="D809" s="40"/>
      <c r="E809" s="41"/>
      <c r="F809" s="41"/>
      <c r="G809" s="41"/>
      <c r="H809" s="68"/>
      <c r="I809" s="71"/>
      <c r="J809" s="41"/>
      <c r="K809" s="41"/>
      <c r="L809" s="71"/>
      <c r="M809" s="71"/>
      <c r="N809" s="71"/>
      <c r="O809" s="71"/>
      <c r="P809" s="41"/>
      <c r="Q809" s="41"/>
      <c r="R809" s="71"/>
      <c r="S809" s="71"/>
      <c r="T809" s="75"/>
      <c r="U809" s="75"/>
      <c r="V809" s="75"/>
      <c r="W809" s="58" t="str">
        <f t="shared" si="53"/>
        <v/>
      </c>
      <c r="X809" s="59" t="str">
        <f t="shared" si="54"/>
        <v/>
      </c>
      <c r="Y809" s="41"/>
      <c r="Z809" s="41"/>
      <c r="AA809" s="41"/>
      <c r="AB809" s="68"/>
      <c r="AC809" s="69"/>
      <c r="AD809" s="66"/>
      <c r="AE809" s="66"/>
      <c r="AF809" s="66"/>
      <c r="AG809" s="60"/>
      <c r="AH809" s="61"/>
      <c r="AI809" s="62"/>
      <c r="AJ809" s="61"/>
      <c r="AK809" s="60"/>
      <c r="AL809" s="65"/>
    </row>
    <row r="810" spans="2:38" s="42" customFormat="1" x14ac:dyDescent="0.35">
      <c r="B810" s="55" t="str">
        <f t="shared" si="52"/>
        <v/>
      </c>
      <c r="C810" s="40"/>
      <c r="D810" s="40"/>
      <c r="E810" s="41"/>
      <c r="F810" s="41"/>
      <c r="G810" s="41"/>
      <c r="H810" s="68"/>
      <c r="I810" s="71"/>
      <c r="J810" s="41"/>
      <c r="K810" s="41"/>
      <c r="L810" s="71"/>
      <c r="M810" s="71"/>
      <c r="N810" s="71"/>
      <c r="O810" s="71"/>
      <c r="P810" s="41"/>
      <c r="Q810" s="41"/>
      <c r="R810" s="71"/>
      <c r="S810" s="71"/>
      <c r="T810" s="75"/>
      <c r="U810" s="75"/>
      <c r="V810" s="75"/>
      <c r="W810" s="58" t="str">
        <f t="shared" si="53"/>
        <v/>
      </c>
      <c r="X810" s="59" t="str">
        <f t="shared" si="54"/>
        <v/>
      </c>
      <c r="Y810" s="41"/>
      <c r="Z810" s="41"/>
      <c r="AA810" s="41"/>
      <c r="AB810" s="68"/>
      <c r="AC810" s="69"/>
      <c r="AD810" s="66"/>
      <c r="AE810" s="66"/>
      <c r="AF810" s="66"/>
      <c r="AG810" s="60"/>
      <c r="AH810" s="61"/>
      <c r="AI810" s="62"/>
      <c r="AJ810" s="61"/>
      <c r="AK810" s="60"/>
      <c r="AL810" s="65"/>
    </row>
    <row r="811" spans="2:38" s="42" customFormat="1" x14ac:dyDescent="0.35">
      <c r="B811" s="55" t="str">
        <f t="shared" si="52"/>
        <v/>
      </c>
      <c r="C811" s="40"/>
      <c r="D811" s="40"/>
      <c r="E811" s="41"/>
      <c r="F811" s="41"/>
      <c r="G811" s="41"/>
      <c r="H811" s="68"/>
      <c r="I811" s="71"/>
      <c r="J811" s="41"/>
      <c r="K811" s="41"/>
      <c r="L811" s="71"/>
      <c r="M811" s="71"/>
      <c r="N811" s="71"/>
      <c r="O811" s="71"/>
      <c r="P811" s="41"/>
      <c r="Q811" s="41"/>
      <c r="R811" s="71"/>
      <c r="S811" s="71"/>
      <c r="T811" s="75"/>
      <c r="U811" s="75"/>
      <c r="V811" s="75"/>
      <c r="W811" s="58" t="str">
        <f t="shared" si="53"/>
        <v/>
      </c>
      <c r="X811" s="59" t="str">
        <f t="shared" si="54"/>
        <v/>
      </c>
      <c r="Y811" s="41"/>
      <c r="Z811" s="41"/>
      <c r="AA811" s="41"/>
      <c r="AB811" s="68"/>
      <c r="AC811" s="69"/>
      <c r="AD811" s="66"/>
      <c r="AE811" s="66"/>
      <c r="AF811" s="66"/>
      <c r="AG811" s="60"/>
      <c r="AH811" s="61"/>
      <c r="AI811" s="62"/>
      <c r="AJ811" s="61"/>
      <c r="AK811" s="60"/>
      <c r="AL811" s="65"/>
    </row>
    <row r="812" spans="2:38" s="42" customFormat="1" x14ac:dyDescent="0.35">
      <c r="B812" s="55" t="str">
        <f t="shared" si="52"/>
        <v/>
      </c>
      <c r="C812" s="40"/>
      <c r="D812" s="40"/>
      <c r="E812" s="41"/>
      <c r="F812" s="41"/>
      <c r="G812" s="41"/>
      <c r="H812" s="68"/>
      <c r="I812" s="71"/>
      <c r="J812" s="41"/>
      <c r="K812" s="41"/>
      <c r="L812" s="71"/>
      <c r="M812" s="71"/>
      <c r="N812" s="71"/>
      <c r="O812" s="71"/>
      <c r="P812" s="41"/>
      <c r="Q812" s="41"/>
      <c r="R812" s="71"/>
      <c r="S812" s="71"/>
      <c r="T812" s="75"/>
      <c r="U812" s="75"/>
      <c r="V812" s="75"/>
      <c r="W812" s="58" t="str">
        <f t="shared" si="53"/>
        <v/>
      </c>
      <c r="X812" s="59" t="str">
        <f t="shared" si="54"/>
        <v/>
      </c>
      <c r="Y812" s="41"/>
      <c r="Z812" s="41"/>
      <c r="AA812" s="41"/>
      <c r="AB812" s="68"/>
      <c r="AC812" s="69"/>
      <c r="AD812" s="66"/>
      <c r="AE812" s="66"/>
      <c r="AF812" s="66"/>
      <c r="AG812" s="60"/>
      <c r="AH812" s="61"/>
      <c r="AI812" s="62"/>
      <c r="AJ812" s="61"/>
      <c r="AK812" s="60"/>
      <c r="AL812" s="65"/>
    </row>
    <row r="813" spans="2:38" s="42" customFormat="1" x14ac:dyDescent="0.35">
      <c r="B813" s="55" t="str">
        <f t="shared" si="52"/>
        <v/>
      </c>
      <c r="C813" s="40"/>
      <c r="D813" s="40"/>
      <c r="E813" s="41"/>
      <c r="F813" s="41"/>
      <c r="G813" s="41"/>
      <c r="H813" s="68"/>
      <c r="I813" s="71"/>
      <c r="J813" s="41"/>
      <c r="K813" s="41"/>
      <c r="L813" s="71"/>
      <c r="M813" s="71"/>
      <c r="N813" s="71"/>
      <c r="O813" s="71"/>
      <c r="P813" s="41"/>
      <c r="Q813" s="41"/>
      <c r="R813" s="71"/>
      <c r="S813" s="71"/>
      <c r="T813" s="75"/>
      <c r="U813" s="75"/>
      <c r="V813" s="75"/>
      <c r="W813" s="58" t="str">
        <f t="shared" si="53"/>
        <v/>
      </c>
      <c r="X813" s="59" t="str">
        <f t="shared" si="54"/>
        <v/>
      </c>
      <c r="Y813" s="41"/>
      <c r="Z813" s="41"/>
      <c r="AA813" s="41"/>
      <c r="AB813" s="68"/>
      <c r="AC813" s="69"/>
      <c r="AD813" s="66"/>
      <c r="AE813" s="66"/>
      <c r="AF813" s="66"/>
      <c r="AG813" s="60"/>
      <c r="AH813" s="61"/>
      <c r="AI813" s="62"/>
      <c r="AJ813" s="61"/>
      <c r="AK813" s="60"/>
      <c r="AL813" s="65"/>
    </row>
    <row r="814" spans="2:38" s="42" customFormat="1" x14ac:dyDescent="0.35">
      <c r="B814" s="55" t="str">
        <f t="shared" si="52"/>
        <v/>
      </c>
      <c r="C814" s="40"/>
      <c r="D814" s="40"/>
      <c r="E814" s="41"/>
      <c r="F814" s="41"/>
      <c r="G814" s="41"/>
      <c r="H814" s="68"/>
      <c r="I814" s="71"/>
      <c r="J814" s="41"/>
      <c r="K814" s="41"/>
      <c r="L814" s="71"/>
      <c r="M814" s="71"/>
      <c r="N814" s="71"/>
      <c r="O814" s="71"/>
      <c r="P814" s="41"/>
      <c r="Q814" s="41"/>
      <c r="R814" s="71"/>
      <c r="S814" s="71"/>
      <c r="T814" s="75"/>
      <c r="U814" s="75"/>
      <c r="V814" s="75"/>
      <c r="W814" s="58" t="str">
        <f t="shared" si="53"/>
        <v/>
      </c>
      <c r="X814" s="59" t="str">
        <f t="shared" si="54"/>
        <v/>
      </c>
      <c r="Y814" s="41"/>
      <c r="Z814" s="41"/>
      <c r="AA814" s="41"/>
      <c r="AB814" s="68"/>
      <c r="AC814" s="69"/>
      <c r="AD814" s="66"/>
      <c r="AE814" s="66"/>
      <c r="AF814" s="66"/>
      <c r="AG814" s="60"/>
      <c r="AH814" s="61"/>
      <c r="AI814" s="62"/>
      <c r="AJ814" s="61"/>
      <c r="AK814" s="60"/>
      <c r="AL814" s="65"/>
    </row>
    <row r="815" spans="2:38" s="42" customFormat="1" x14ac:dyDescent="0.35">
      <c r="B815" s="55" t="str">
        <f t="shared" si="52"/>
        <v/>
      </c>
      <c r="C815" s="40"/>
      <c r="D815" s="40"/>
      <c r="E815" s="41"/>
      <c r="F815" s="41"/>
      <c r="G815" s="41"/>
      <c r="H815" s="68"/>
      <c r="I815" s="71"/>
      <c r="J815" s="41"/>
      <c r="K815" s="41"/>
      <c r="L815" s="71"/>
      <c r="M815" s="71"/>
      <c r="N815" s="71"/>
      <c r="O815" s="71"/>
      <c r="P815" s="41"/>
      <c r="Q815" s="41"/>
      <c r="R815" s="71"/>
      <c r="S815" s="71"/>
      <c r="T815" s="75"/>
      <c r="U815" s="75"/>
      <c r="V815" s="75"/>
      <c r="W815" s="58" t="str">
        <f t="shared" si="53"/>
        <v/>
      </c>
      <c r="X815" s="59" t="str">
        <f t="shared" si="54"/>
        <v/>
      </c>
      <c r="Y815" s="41"/>
      <c r="Z815" s="41"/>
      <c r="AA815" s="41"/>
      <c r="AB815" s="68"/>
      <c r="AC815" s="69"/>
      <c r="AD815" s="66"/>
      <c r="AE815" s="66"/>
      <c r="AF815" s="66"/>
      <c r="AG815" s="60"/>
      <c r="AH815" s="61"/>
      <c r="AI815" s="62"/>
      <c r="AJ815" s="61"/>
      <c r="AK815" s="60"/>
      <c r="AL815" s="65"/>
    </row>
    <row r="816" spans="2:38" s="42" customFormat="1" x14ac:dyDescent="0.35">
      <c r="B816" s="55" t="str">
        <f t="shared" si="52"/>
        <v/>
      </c>
      <c r="C816" s="40"/>
      <c r="D816" s="40"/>
      <c r="E816" s="41"/>
      <c r="F816" s="41"/>
      <c r="G816" s="41"/>
      <c r="H816" s="68"/>
      <c r="I816" s="71"/>
      <c r="J816" s="41"/>
      <c r="K816" s="41"/>
      <c r="L816" s="71"/>
      <c r="M816" s="71"/>
      <c r="N816" s="71"/>
      <c r="O816" s="71"/>
      <c r="P816" s="41"/>
      <c r="Q816" s="41"/>
      <c r="R816" s="71"/>
      <c r="S816" s="71"/>
      <c r="T816" s="75"/>
      <c r="U816" s="75"/>
      <c r="V816" s="75"/>
      <c r="W816" s="58" t="str">
        <f t="shared" si="53"/>
        <v/>
      </c>
      <c r="X816" s="59" t="str">
        <f t="shared" si="54"/>
        <v/>
      </c>
      <c r="Y816" s="41"/>
      <c r="Z816" s="41"/>
      <c r="AA816" s="41"/>
      <c r="AB816" s="68"/>
      <c r="AC816" s="69"/>
      <c r="AD816" s="66"/>
      <c r="AE816" s="66"/>
      <c r="AF816" s="66"/>
      <c r="AG816" s="60"/>
      <c r="AH816" s="61"/>
      <c r="AI816" s="62"/>
      <c r="AJ816" s="61"/>
      <c r="AK816" s="60"/>
      <c r="AL816" s="65"/>
    </row>
    <row r="817" spans="2:38" s="42" customFormat="1" x14ac:dyDescent="0.35">
      <c r="B817" s="55" t="str">
        <f t="shared" si="52"/>
        <v/>
      </c>
      <c r="C817" s="40"/>
      <c r="D817" s="40"/>
      <c r="E817" s="41"/>
      <c r="F817" s="41"/>
      <c r="G817" s="41"/>
      <c r="H817" s="68"/>
      <c r="I817" s="71"/>
      <c r="J817" s="41"/>
      <c r="K817" s="41"/>
      <c r="L817" s="71"/>
      <c r="M817" s="71"/>
      <c r="N817" s="71"/>
      <c r="O817" s="71"/>
      <c r="P817" s="41"/>
      <c r="Q817" s="41"/>
      <c r="R817" s="71"/>
      <c r="S817" s="71"/>
      <c r="T817" s="75"/>
      <c r="U817" s="75"/>
      <c r="V817" s="75"/>
      <c r="W817" s="58" t="str">
        <f t="shared" si="53"/>
        <v/>
      </c>
      <c r="X817" s="59" t="str">
        <f t="shared" si="54"/>
        <v/>
      </c>
      <c r="Y817" s="41"/>
      <c r="Z817" s="41"/>
      <c r="AA817" s="41"/>
      <c r="AB817" s="68"/>
      <c r="AC817" s="69"/>
      <c r="AD817" s="66"/>
      <c r="AE817" s="66"/>
      <c r="AF817" s="66"/>
      <c r="AG817" s="60"/>
      <c r="AH817" s="61"/>
      <c r="AI817" s="62"/>
      <c r="AJ817" s="61"/>
      <c r="AK817" s="60"/>
      <c r="AL817" s="65"/>
    </row>
    <row r="818" spans="2:38" s="42" customFormat="1" x14ac:dyDescent="0.35">
      <c r="B818" s="55" t="str">
        <f t="shared" si="52"/>
        <v/>
      </c>
      <c r="C818" s="40"/>
      <c r="D818" s="40"/>
      <c r="E818" s="41"/>
      <c r="F818" s="41"/>
      <c r="G818" s="41"/>
      <c r="H818" s="68"/>
      <c r="I818" s="71"/>
      <c r="J818" s="41"/>
      <c r="K818" s="41"/>
      <c r="L818" s="71"/>
      <c r="M818" s="71"/>
      <c r="N818" s="71"/>
      <c r="O818" s="71"/>
      <c r="P818" s="41"/>
      <c r="Q818" s="41"/>
      <c r="R818" s="71"/>
      <c r="S818" s="71"/>
      <c r="T818" s="75"/>
      <c r="U818" s="75"/>
      <c r="V818" s="75"/>
      <c r="W818" s="58" t="str">
        <f t="shared" si="53"/>
        <v/>
      </c>
      <c r="X818" s="59" t="str">
        <f t="shared" si="54"/>
        <v/>
      </c>
      <c r="Y818" s="41"/>
      <c r="Z818" s="41"/>
      <c r="AA818" s="41"/>
      <c r="AB818" s="68"/>
      <c r="AC818" s="69"/>
      <c r="AD818" s="66"/>
      <c r="AE818" s="66"/>
      <c r="AF818" s="66"/>
      <c r="AG818" s="60"/>
      <c r="AH818" s="61"/>
      <c r="AI818" s="62"/>
      <c r="AJ818" s="61"/>
      <c r="AK818" s="60"/>
      <c r="AL818" s="65"/>
    </row>
    <row r="819" spans="2:38" s="42" customFormat="1" x14ac:dyDescent="0.35">
      <c r="B819" s="55" t="str">
        <f t="shared" si="52"/>
        <v/>
      </c>
      <c r="C819" s="40"/>
      <c r="D819" s="40"/>
      <c r="E819" s="41"/>
      <c r="F819" s="41"/>
      <c r="G819" s="41"/>
      <c r="H819" s="68"/>
      <c r="I819" s="71"/>
      <c r="J819" s="41"/>
      <c r="K819" s="41"/>
      <c r="L819" s="71"/>
      <c r="M819" s="71"/>
      <c r="N819" s="71"/>
      <c r="O819" s="71"/>
      <c r="P819" s="41"/>
      <c r="Q819" s="41"/>
      <c r="R819" s="71"/>
      <c r="S819" s="71"/>
      <c r="T819" s="75"/>
      <c r="U819" s="75"/>
      <c r="V819" s="75"/>
      <c r="W819" s="58" t="str">
        <f t="shared" si="53"/>
        <v/>
      </c>
      <c r="X819" s="59" t="str">
        <f t="shared" si="54"/>
        <v/>
      </c>
      <c r="Y819" s="41"/>
      <c r="Z819" s="41"/>
      <c r="AA819" s="41"/>
      <c r="AB819" s="68"/>
      <c r="AC819" s="69"/>
      <c r="AD819" s="66"/>
      <c r="AE819" s="66"/>
      <c r="AF819" s="66"/>
      <c r="AG819" s="60"/>
      <c r="AH819" s="61"/>
      <c r="AI819" s="62"/>
      <c r="AJ819" s="61"/>
      <c r="AK819" s="60"/>
      <c r="AL819" s="65"/>
    </row>
    <row r="820" spans="2:38" s="42" customFormat="1" x14ac:dyDescent="0.35">
      <c r="B820" s="55" t="str">
        <f t="shared" si="52"/>
        <v/>
      </c>
      <c r="C820" s="40"/>
      <c r="D820" s="40"/>
      <c r="E820" s="41"/>
      <c r="F820" s="41"/>
      <c r="G820" s="41"/>
      <c r="H820" s="68"/>
      <c r="I820" s="71"/>
      <c r="J820" s="41"/>
      <c r="K820" s="41"/>
      <c r="L820" s="71"/>
      <c r="M820" s="71"/>
      <c r="N820" s="71"/>
      <c r="O820" s="71"/>
      <c r="P820" s="41"/>
      <c r="Q820" s="41"/>
      <c r="R820" s="71"/>
      <c r="S820" s="71"/>
      <c r="T820" s="75"/>
      <c r="U820" s="75"/>
      <c r="V820" s="75"/>
      <c r="W820" s="58" t="str">
        <f t="shared" si="53"/>
        <v/>
      </c>
      <c r="X820" s="59" t="str">
        <f t="shared" si="54"/>
        <v/>
      </c>
      <c r="Y820" s="41"/>
      <c r="Z820" s="41"/>
      <c r="AA820" s="41"/>
      <c r="AB820" s="68"/>
      <c r="AC820" s="69"/>
      <c r="AD820" s="66"/>
      <c r="AE820" s="66"/>
      <c r="AF820" s="66"/>
      <c r="AG820" s="60"/>
      <c r="AH820" s="61"/>
      <c r="AI820" s="62"/>
      <c r="AJ820" s="61"/>
      <c r="AK820" s="60"/>
      <c r="AL820" s="65"/>
    </row>
    <row r="821" spans="2:38" s="42" customFormat="1" x14ac:dyDescent="0.35">
      <c r="B821" s="55" t="str">
        <f t="shared" si="52"/>
        <v/>
      </c>
      <c r="C821" s="40"/>
      <c r="D821" s="40"/>
      <c r="E821" s="41"/>
      <c r="F821" s="41"/>
      <c r="G821" s="41"/>
      <c r="H821" s="68"/>
      <c r="I821" s="71"/>
      <c r="J821" s="41"/>
      <c r="K821" s="41"/>
      <c r="L821" s="71"/>
      <c r="M821" s="71"/>
      <c r="N821" s="71"/>
      <c r="O821" s="71"/>
      <c r="P821" s="41"/>
      <c r="Q821" s="41"/>
      <c r="R821" s="71"/>
      <c r="S821" s="71"/>
      <c r="T821" s="75"/>
      <c r="U821" s="75"/>
      <c r="V821" s="75"/>
      <c r="W821" s="58" t="str">
        <f t="shared" si="53"/>
        <v/>
      </c>
      <c r="X821" s="59" t="str">
        <f t="shared" si="54"/>
        <v/>
      </c>
      <c r="Y821" s="41"/>
      <c r="Z821" s="41"/>
      <c r="AA821" s="41"/>
      <c r="AB821" s="68"/>
      <c r="AC821" s="69"/>
      <c r="AD821" s="66"/>
      <c r="AE821" s="66"/>
      <c r="AF821" s="66"/>
      <c r="AG821" s="60"/>
      <c r="AH821" s="61"/>
      <c r="AI821" s="62"/>
      <c r="AJ821" s="61"/>
      <c r="AK821" s="60"/>
      <c r="AL821" s="65"/>
    </row>
    <row r="822" spans="2:38" s="42" customFormat="1" x14ac:dyDescent="0.35">
      <c r="B822" s="55" t="str">
        <f t="shared" si="52"/>
        <v/>
      </c>
      <c r="C822" s="40"/>
      <c r="D822" s="40"/>
      <c r="E822" s="41"/>
      <c r="F822" s="41"/>
      <c r="G822" s="41"/>
      <c r="H822" s="68"/>
      <c r="I822" s="71"/>
      <c r="J822" s="41"/>
      <c r="K822" s="41"/>
      <c r="L822" s="71"/>
      <c r="M822" s="71"/>
      <c r="N822" s="71"/>
      <c r="O822" s="71"/>
      <c r="P822" s="41"/>
      <c r="Q822" s="41"/>
      <c r="R822" s="71"/>
      <c r="S822" s="71"/>
      <c r="T822" s="75"/>
      <c r="U822" s="75"/>
      <c r="V822" s="75"/>
      <c r="W822" s="58" t="str">
        <f t="shared" si="53"/>
        <v/>
      </c>
      <c r="X822" s="59" t="str">
        <f t="shared" si="54"/>
        <v/>
      </c>
      <c r="Y822" s="41"/>
      <c r="Z822" s="41"/>
      <c r="AA822" s="41"/>
      <c r="AB822" s="68"/>
      <c r="AC822" s="69"/>
      <c r="AD822" s="66"/>
      <c r="AE822" s="66"/>
      <c r="AF822" s="66"/>
      <c r="AG822" s="60"/>
      <c r="AH822" s="61"/>
      <c r="AI822" s="62"/>
      <c r="AJ822" s="61"/>
      <c r="AK822" s="60"/>
      <c r="AL822" s="65"/>
    </row>
    <row r="823" spans="2:38" s="42" customFormat="1" x14ac:dyDescent="0.35">
      <c r="B823" s="55" t="str">
        <f t="shared" si="52"/>
        <v/>
      </c>
      <c r="C823" s="40"/>
      <c r="D823" s="40"/>
      <c r="E823" s="41"/>
      <c r="F823" s="41"/>
      <c r="G823" s="41"/>
      <c r="H823" s="68"/>
      <c r="I823" s="71"/>
      <c r="J823" s="41"/>
      <c r="K823" s="41"/>
      <c r="L823" s="71"/>
      <c r="M823" s="71"/>
      <c r="N823" s="71"/>
      <c r="O823" s="71"/>
      <c r="P823" s="41"/>
      <c r="Q823" s="41"/>
      <c r="R823" s="71"/>
      <c r="S823" s="71"/>
      <c r="T823" s="75"/>
      <c r="U823" s="75"/>
      <c r="V823" s="75"/>
      <c r="W823" s="58" t="str">
        <f t="shared" si="53"/>
        <v/>
      </c>
      <c r="X823" s="59" t="str">
        <f t="shared" si="54"/>
        <v/>
      </c>
      <c r="Y823" s="41"/>
      <c r="Z823" s="41"/>
      <c r="AA823" s="41"/>
      <c r="AB823" s="68"/>
      <c r="AC823" s="69"/>
      <c r="AD823" s="66"/>
      <c r="AE823" s="66"/>
      <c r="AF823" s="66"/>
      <c r="AG823" s="60"/>
      <c r="AH823" s="61"/>
      <c r="AI823" s="62"/>
      <c r="AJ823" s="61"/>
      <c r="AK823" s="60"/>
      <c r="AL823" s="65"/>
    </row>
    <row r="824" spans="2:38" s="42" customFormat="1" x14ac:dyDescent="0.35">
      <c r="B824" s="55" t="str">
        <f t="shared" si="52"/>
        <v/>
      </c>
      <c r="C824" s="40"/>
      <c r="D824" s="40"/>
      <c r="E824" s="41"/>
      <c r="F824" s="41"/>
      <c r="G824" s="41"/>
      <c r="H824" s="68"/>
      <c r="I824" s="71"/>
      <c r="J824" s="41"/>
      <c r="K824" s="41"/>
      <c r="L824" s="71"/>
      <c r="M824" s="71"/>
      <c r="N824" s="71"/>
      <c r="O824" s="71"/>
      <c r="P824" s="41"/>
      <c r="Q824" s="41"/>
      <c r="R824" s="71"/>
      <c r="S824" s="71"/>
      <c r="T824" s="75"/>
      <c r="U824" s="75"/>
      <c r="V824" s="75"/>
      <c r="W824" s="58" t="str">
        <f t="shared" si="53"/>
        <v/>
      </c>
      <c r="X824" s="59" t="str">
        <f t="shared" si="54"/>
        <v/>
      </c>
      <c r="Y824" s="41"/>
      <c r="Z824" s="41"/>
      <c r="AA824" s="41"/>
      <c r="AB824" s="68"/>
      <c r="AC824" s="69"/>
      <c r="AD824" s="66"/>
      <c r="AE824" s="66"/>
      <c r="AF824" s="66"/>
      <c r="AG824" s="60"/>
      <c r="AH824" s="61"/>
      <c r="AI824" s="62"/>
      <c r="AJ824" s="61"/>
      <c r="AK824" s="60"/>
      <c r="AL824" s="65"/>
    </row>
    <row r="825" spans="2:38" s="42" customFormat="1" x14ac:dyDescent="0.35">
      <c r="B825" s="55" t="str">
        <f t="shared" si="52"/>
        <v/>
      </c>
      <c r="C825" s="40"/>
      <c r="D825" s="40"/>
      <c r="E825" s="41"/>
      <c r="F825" s="41"/>
      <c r="G825" s="41"/>
      <c r="H825" s="68"/>
      <c r="I825" s="71"/>
      <c r="J825" s="41"/>
      <c r="K825" s="41"/>
      <c r="L825" s="71"/>
      <c r="M825" s="71"/>
      <c r="N825" s="71"/>
      <c r="O825" s="71"/>
      <c r="P825" s="41"/>
      <c r="Q825" s="41"/>
      <c r="R825" s="71"/>
      <c r="S825" s="71"/>
      <c r="T825" s="75"/>
      <c r="U825" s="75"/>
      <c r="V825" s="75"/>
      <c r="W825" s="58" t="str">
        <f t="shared" si="53"/>
        <v/>
      </c>
      <c r="X825" s="59" t="str">
        <f t="shared" si="54"/>
        <v/>
      </c>
      <c r="Y825" s="41"/>
      <c r="Z825" s="41"/>
      <c r="AA825" s="41"/>
      <c r="AB825" s="68"/>
      <c r="AC825" s="69"/>
      <c r="AD825" s="66"/>
      <c r="AE825" s="66"/>
      <c r="AF825" s="66"/>
      <c r="AG825" s="60"/>
      <c r="AH825" s="61"/>
      <c r="AI825" s="62"/>
      <c r="AJ825" s="61"/>
      <c r="AK825" s="60"/>
      <c r="AL825" s="65"/>
    </row>
    <row r="826" spans="2:38" s="42" customFormat="1" x14ac:dyDescent="0.35">
      <c r="B826" s="55" t="str">
        <f t="shared" si="52"/>
        <v/>
      </c>
      <c r="C826" s="40"/>
      <c r="D826" s="40"/>
      <c r="E826" s="41"/>
      <c r="F826" s="41"/>
      <c r="G826" s="41"/>
      <c r="H826" s="68"/>
      <c r="I826" s="71"/>
      <c r="J826" s="41"/>
      <c r="K826" s="41"/>
      <c r="L826" s="71"/>
      <c r="M826" s="71"/>
      <c r="N826" s="71"/>
      <c r="O826" s="71"/>
      <c r="P826" s="41"/>
      <c r="Q826" s="41"/>
      <c r="R826" s="71"/>
      <c r="S826" s="71"/>
      <c r="T826" s="75"/>
      <c r="U826" s="75"/>
      <c r="V826" s="75"/>
      <c r="W826" s="58" t="str">
        <f t="shared" si="53"/>
        <v/>
      </c>
      <c r="X826" s="59" t="str">
        <f t="shared" si="54"/>
        <v/>
      </c>
      <c r="Y826" s="41"/>
      <c r="Z826" s="41"/>
      <c r="AA826" s="41"/>
      <c r="AB826" s="68"/>
      <c r="AC826" s="69"/>
      <c r="AD826" s="66"/>
      <c r="AE826" s="66"/>
      <c r="AF826" s="66"/>
      <c r="AG826" s="60"/>
      <c r="AH826" s="61"/>
      <c r="AI826" s="62"/>
      <c r="AJ826" s="61"/>
      <c r="AK826" s="60"/>
      <c r="AL826" s="65"/>
    </row>
    <row r="827" spans="2:38" s="42" customFormat="1" x14ac:dyDescent="0.35">
      <c r="B827" s="55" t="str">
        <f t="shared" si="52"/>
        <v/>
      </c>
      <c r="C827" s="40"/>
      <c r="D827" s="40"/>
      <c r="E827" s="41"/>
      <c r="F827" s="41"/>
      <c r="G827" s="41"/>
      <c r="H827" s="68"/>
      <c r="I827" s="71"/>
      <c r="J827" s="41"/>
      <c r="K827" s="41"/>
      <c r="L827" s="71"/>
      <c r="M827" s="71"/>
      <c r="N827" s="71"/>
      <c r="O827" s="71"/>
      <c r="P827" s="41"/>
      <c r="Q827" s="41"/>
      <c r="R827" s="71"/>
      <c r="S827" s="71"/>
      <c r="T827" s="75"/>
      <c r="U827" s="75"/>
      <c r="V827" s="75"/>
      <c r="W827" s="58" t="str">
        <f t="shared" si="53"/>
        <v/>
      </c>
      <c r="X827" s="59" t="str">
        <f t="shared" si="54"/>
        <v/>
      </c>
      <c r="Y827" s="41"/>
      <c r="Z827" s="41"/>
      <c r="AA827" s="41"/>
      <c r="AB827" s="68"/>
      <c r="AC827" s="69"/>
      <c r="AD827" s="66"/>
      <c r="AE827" s="66"/>
      <c r="AF827" s="66"/>
      <c r="AG827" s="60"/>
      <c r="AH827" s="61"/>
      <c r="AI827" s="62"/>
      <c r="AJ827" s="61"/>
      <c r="AK827" s="60"/>
      <c r="AL827" s="65"/>
    </row>
    <row r="828" spans="2:38" s="42" customFormat="1" x14ac:dyDescent="0.35">
      <c r="B828" s="55" t="str">
        <f t="shared" si="52"/>
        <v/>
      </c>
      <c r="C828" s="40"/>
      <c r="D828" s="40"/>
      <c r="E828" s="41"/>
      <c r="F828" s="41"/>
      <c r="G828" s="41"/>
      <c r="H828" s="68"/>
      <c r="I828" s="71"/>
      <c r="J828" s="41"/>
      <c r="K828" s="41"/>
      <c r="L828" s="71"/>
      <c r="M828" s="71"/>
      <c r="N828" s="71"/>
      <c r="O828" s="71"/>
      <c r="P828" s="41"/>
      <c r="Q828" s="41"/>
      <c r="R828" s="71"/>
      <c r="S828" s="71"/>
      <c r="T828" s="75"/>
      <c r="U828" s="75"/>
      <c r="V828" s="75"/>
      <c r="W828" s="58" t="str">
        <f t="shared" si="53"/>
        <v/>
      </c>
      <c r="X828" s="59" t="str">
        <f t="shared" si="54"/>
        <v/>
      </c>
      <c r="Y828" s="41"/>
      <c r="Z828" s="41"/>
      <c r="AA828" s="41"/>
      <c r="AB828" s="68"/>
      <c r="AC828" s="69"/>
      <c r="AD828" s="66"/>
      <c r="AE828" s="66"/>
      <c r="AF828" s="66"/>
      <c r="AG828" s="60"/>
      <c r="AH828" s="61"/>
      <c r="AI828" s="62"/>
      <c r="AJ828" s="61"/>
      <c r="AK828" s="60"/>
      <c r="AL828" s="65"/>
    </row>
    <row r="829" spans="2:38" s="42" customFormat="1" x14ac:dyDescent="0.35">
      <c r="B829" s="55" t="str">
        <f t="shared" si="52"/>
        <v/>
      </c>
      <c r="C829" s="40"/>
      <c r="D829" s="40"/>
      <c r="E829" s="41"/>
      <c r="F829" s="41"/>
      <c r="G829" s="41"/>
      <c r="H829" s="68"/>
      <c r="I829" s="71"/>
      <c r="J829" s="41"/>
      <c r="K829" s="41"/>
      <c r="L829" s="71"/>
      <c r="M829" s="71"/>
      <c r="N829" s="71"/>
      <c r="O829" s="71"/>
      <c r="P829" s="41"/>
      <c r="Q829" s="41"/>
      <c r="R829" s="71"/>
      <c r="S829" s="71"/>
      <c r="T829" s="75"/>
      <c r="U829" s="75"/>
      <c r="V829" s="75"/>
      <c r="W829" s="58" t="str">
        <f t="shared" si="53"/>
        <v/>
      </c>
      <c r="X829" s="59" t="str">
        <f t="shared" si="54"/>
        <v/>
      </c>
      <c r="Y829" s="41"/>
      <c r="Z829" s="41"/>
      <c r="AA829" s="41"/>
      <c r="AB829" s="68"/>
      <c r="AC829" s="69"/>
      <c r="AD829" s="66"/>
      <c r="AE829" s="66"/>
      <c r="AF829" s="66"/>
      <c r="AG829" s="60"/>
      <c r="AH829" s="61"/>
      <c r="AI829" s="62"/>
      <c r="AJ829" s="61"/>
      <c r="AK829" s="60"/>
      <c r="AL829" s="65"/>
    </row>
    <row r="830" spans="2:38" s="42" customFormat="1" x14ac:dyDescent="0.35">
      <c r="B830" s="55" t="str">
        <f t="shared" si="52"/>
        <v/>
      </c>
      <c r="C830" s="40"/>
      <c r="D830" s="40"/>
      <c r="E830" s="41"/>
      <c r="F830" s="41"/>
      <c r="G830" s="41"/>
      <c r="H830" s="68"/>
      <c r="I830" s="71"/>
      <c r="J830" s="41"/>
      <c r="K830" s="41"/>
      <c r="L830" s="71"/>
      <c r="M830" s="71"/>
      <c r="N830" s="71"/>
      <c r="O830" s="71"/>
      <c r="P830" s="41"/>
      <c r="Q830" s="41"/>
      <c r="R830" s="71"/>
      <c r="S830" s="71"/>
      <c r="T830" s="75"/>
      <c r="U830" s="75"/>
      <c r="V830" s="75"/>
      <c r="W830" s="58" t="str">
        <f t="shared" si="53"/>
        <v/>
      </c>
      <c r="X830" s="59" t="str">
        <f t="shared" si="54"/>
        <v/>
      </c>
      <c r="Y830" s="41"/>
      <c r="Z830" s="41"/>
      <c r="AA830" s="41"/>
      <c r="AB830" s="68"/>
      <c r="AC830" s="69"/>
      <c r="AD830" s="66"/>
      <c r="AE830" s="66"/>
      <c r="AF830" s="66"/>
      <c r="AG830" s="60"/>
      <c r="AH830" s="61"/>
      <c r="AI830" s="62"/>
      <c r="AJ830" s="61"/>
      <c r="AK830" s="60"/>
      <c r="AL830" s="65"/>
    </row>
    <row r="831" spans="2:38" s="42" customFormat="1" x14ac:dyDescent="0.35">
      <c r="B831" s="55" t="str">
        <f t="shared" si="52"/>
        <v/>
      </c>
      <c r="C831" s="40"/>
      <c r="D831" s="40"/>
      <c r="E831" s="41"/>
      <c r="F831" s="41"/>
      <c r="G831" s="41"/>
      <c r="H831" s="68"/>
      <c r="I831" s="71"/>
      <c r="J831" s="41"/>
      <c r="K831" s="41"/>
      <c r="L831" s="71"/>
      <c r="M831" s="71"/>
      <c r="N831" s="71"/>
      <c r="O831" s="71"/>
      <c r="P831" s="41"/>
      <c r="Q831" s="41"/>
      <c r="R831" s="71"/>
      <c r="S831" s="71"/>
      <c r="T831" s="75"/>
      <c r="U831" s="75"/>
      <c r="V831" s="75"/>
      <c r="W831" s="58" t="str">
        <f t="shared" si="53"/>
        <v/>
      </c>
      <c r="X831" s="59" t="str">
        <f t="shared" si="54"/>
        <v/>
      </c>
      <c r="Y831" s="41"/>
      <c r="Z831" s="41"/>
      <c r="AA831" s="41"/>
      <c r="AB831" s="68"/>
      <c r="AC831" s="69"/>
      <c r="AD831" s="66"/>
      <c r="AE831" s="66"/>
      <c r="AF831" s="66"/>
      <c r="AG831" s="60"/>
      <c r="AH831" s="61"/>
      <c r="AI831" s="62"/>
      <c r="AJ831" s="61"/>
      <c r="AK831" s="60"/>
      <c r="AL831" s="65"/>
    </row>
    <row r="832" spans="2:38" s="42" customFormat="1" x14ac:dyDescent="0.35">
      <c r="B832" s="55" t="str">
        <f t="shared" si="52"/>
        <v/>
      </c>
      <c r="C832" s="40"/>
      <c r="D832" s="40"/>
      <c r="E832" s="41"/>
      <c r="F832" s="41"/>
      <c r="G832" s="41"/>
      <c r="H832" s="68"/>
      <c r="I832" s="71"/>
      <c r="J832" s="41"/>
      <c r="K832" s="41"/>
      <c r="L832" s="71"/>
      <c r="M832" s="71"/>
      <c r="N832" s="71"/>
      <c r="O832" s="71"/>
      <c r="P832" s="41"/>
      <c r="Q832" s="41"/>
      <c r="R832" s="71"/>
      <c r="S832" s="71"/>
      <c r="T832" s="75"/>
      <c r="U832" s="75"/>
      <c r="V832" s="75"/>
      <c r="W832" s="58" t="str">
        <f t="shared" si="53"/>
        <v/>
      </c>
      <c r="X832" s="59" t="str">
        <f t="shared" si="54"/>
        <v/>
      </c>
      <c r="Y832" s="41"/>
      <c r="Z832" s="41"/>
      <c r="AA832" s="41"/>
      <c r="AB832" s="68"/>
      <c r="AC832" s="69"/>
      <c r="AD832" s="66"/>
      <c r="AE832" s="66"/>
      <c r="AF832" s="66"/>
      <c r="AG832" s="60"/>
      <c r="AH832" s="61"/>
      <c r="AI832" s="62"/>
      <c r="AJ832" s="61"/>
      <c r="AK832" s="60"/>
      <c r="AL832" s="65"/>
    </row>
    <row r="833" spans="2:38" s="42" customFormat="1" x14ac:dyDescent="0.35">
      <c r="B833" s="55" t="str">
        <f t="shared" si="52"/>
        <v/>
      </c>
      <c r="C833" s="40"/>
      <c r="D833" s="40"/>
      <c r="E833" s="41"/>
      <c r="F833" s="41"/>
      <c r="G833" s="41"/>
      <c r="H833" s="68"/>
      <c r="I833" s="71"/>
      <c r="J833" s="41"/>
      <c r="K833" s="41"/>
      <c r="L833" s="71"/>
      <c r="M833" s="71"/>
      <c r="N833" s="71"/>
      <c r="O833" s="71"/>
      <c r="P833" s="41"/>
      <c r="Q833" s="41"/>
      <c r="R833" s="71"/>
      <c r="S833" s="71"/>
      <c r="T833" s="75"/>
      <c r="U833" s="75"/>
      <c r="V833" s="75"/>
      <c r="W833" s="58" t="str">
        <f t="shared" si="53"/>
        <v/>
      </c>
      <c r="X833" s="59" t="str">
        <f t="shared" si="54"/>
        <v/>
      </c>
      <c r="Y833" s="41"/>
      <c r="Z833" s="41"/>
      <c r="AA833" s="41"/>
      <c r="AB833" s="68"/>
      <c r="AC833" s="69"/>
      <c r="AD833" s="66"/>
      <c r="AE833" s="66"/>
      <c r="AF833" s="66"/>
      <c r="AG833" s="60"/>
      <c r="AH833" s="61"/>
      <c r="AI833" s="62"/>
      <c r="AJ833" s="61"/>
      <c r="AK833" s="60"/>
      <c r="AL833" s="65"/>
    </row>
    <row r="834" spans="2:38" s="42" customFormat="1" x14ac:dyDescent="0.35">
      <c r="B834" s="55" t="str">
        <f t="shared" si="52"/>
        <v/>
      </c>
      <c r="C834" s="40"/>
      <c r="D834" s="40"/>
      <c r="E834" s="41"/>
      <c r="F834" s="41"/>
      <c r="G834" s="41"/>
      <c r="H834" s="68"/>
      <c r="I834" s="71"/>
      <c r="J834" s="41"/>
      <c r="K834" s="41"/>
      <c r="L834" s="71"/>
      <c r="M834" s="71"/>
      <c r="N834" s="71"/>
      <c r="O834" s="71"/>
      <c r="P834" s="41"/>
      <c r="Q834" s="41"/>
      <c r="R834" s="71"/>
      <c r="S834" s="71"/>
      <c r="T834" s="75"/>
      <c r="U834" s="75"/>
      <c r="V834" s="75"/>
      <c r="W834" s="58" t="str">
        <f t="shared" si="53"/>
        <v/>
      </c>
      <c r="X834" s="59" t="str">
        <f t="shared" si="54"/>
        <v/>
      </c>
      <c r="Y834" s="41"/>
      <c r="Z834" s="41"/>
      <c r="AA834" s="41"/>
      <c r="AB834" s="68"/>
      <c r="AC834" s="69"/>
      <c r="AD834" s="66"/>
      <c r="AE834" s="66"/>
      <c r="AF834" s="66"/>
      <c r="AG834" s="60"/>
      <c r="AH834" s="61"/>
      <c r="AI834" s="62"/>
      <c r="AJ834" s="61"/>
      <c r="AK834" s="60"/>
      <c r="AL834" s="65"/>
    </row>
    <row r="835" spans="2:38" s="42" customFormat="1" x14ac:dyDescent="0.35">
      <c r="B835" s="55" t="str">
        <f t="shared" ref="B835:B898" si="55">IF($C835="","",Prefixo&amp;"-"&amp;TEXT(ROW()-2,"0000"))</f>
        <v/>
      </c>
      <c r="C835" s="40"/>
      <c r="D835" s="40"/>
      <c r="E835" s="41"/>
      <c r="F835" s="41"/>
      <c r="G835" s="41"/>
      <c r="H835" s="68"/>
      <c r="I835" s="71"/>
      <c r="J835" s="41"/>
      <c r="K835" s="41"/>
      <c r="L835" s="71"/>
      <c r="M835" s="71"/>
      <c r="N835" s="71"/>
      <c r="O835" s="71"/>
      <c r="P835" s="41"/>
      <c r="Q835" s="41"/>
      <c r="R835" s="71"/>
      <c r="S835" s="71"/>
      <c r="T835" s="75"/>
      <c r="U835" s="75"/>
      <c r="V835" s="75"/>
      <c r="W835" s="58" t="str">
        <f t="shared" si="53"/>
        <v/>
      </c>
      <c r="X835" s="59" t="str">
        <f t="shared" si="54"/>
        <v/>
      </c>
      <c r="Y835" s="41"/>
      <c r="Z835" s="41"/>
      <c r="AA835" s="41"/>
      <c r="AB835" s="68"/>
      <c r="AC835" s="69"/>
      <c r="AD835" s="66"/>
      <c r="AE835" s="66"/>
      <c r="AF835" s="66"/>
      <c r="AG835" s="60"/>
      <c r="AH835" s="61"/>
      <c r="AI835" s="62"/>
      <c r="AJ835" s="61"/>
      <c r="AK835" s="60"/>
      <c r="AL835" s="65"/>
    </row>
    <row r="836" spans="2:38" s="42" customFormat="1" x14ac:dyDescent="0.35">
      <c r="B836" s="55" t="str">
        <f t="shared" si="55"/>
        <v/>
      </c>
      <c r="C836" s="40"/>
      <c r="D836" s="40"/>
      <c r="E836" s="41"/>
      <c r="F836" s="41"/>
      <c r="G836" s="41"/>
      <c r="H836" s="68"/>
      <c r="I836" s="71"/>
      <c r="J836" s="41"/>
      <c r="K836" s="41"/>
      <c r="L836" s="71"/>
      <c r="M836" s="71"/>
      <c r="N836" s="71"/>
      <c r="O836" s="71"/>
      <c r="P836" s="41"/>
      <c r="Q836" s="41"/>
      <c r="R836" s="71"/>
      <c r="S836" s="71"/>
      <c r="T836" s="75"/>
      <c r="U836" s="75"/>
      <c r="V836" s="75"/>
      <c r="W836" s="58" t="str">
        <f t="shared" ref="W836:W899" si="56">IF(OR($U836="",$V836="",$U836&lt;=0),"",$U836-$V836)</f>
        <v/>
      </c>
      <c r="X836" s="59" t="str">
        <f t="shared" ref="X836:X899" si="57">IF(OR($U836="",$V836="",$U836&lt;=0),"",($U836-$V836)/$U836)</f>
        <v/>
      </c>
      <c r="Y836" s="41"/>
      <c r="Z836" s="41"/>
      <c r="AA836" s="41"/>
      <c r="AB836" s="68"/>
      <c r="AC836" s="69"/>
      <c r="AD836" s="66"/>
      <c r="AE836" s="66"/>
      <c r="AF836" s="66"/>
      <c r="AG836" s="60"/>
      <c r="AH836" s="61"/>
      <c r="AI836" s="62"/>
      <c r="AJ836" s="61"/>
      <c r="AK836" s="60"/>
      <c r="AL836" s="65"/>
    </row>
    <row r="837" spans="2:38" s="42" customFormat="1" x14ac:dyDescent="0.35">
      <c r="B837" s="55" t="str">
        <f t="shared" si="55"/>
        <v/>
      </c>
      <c r="C837" s="40"/>
      <c r="D837" s="40"/>
      <c r="E837" s="41"/>
      <c r="F837" s="41"/>
      <c r="G837" s="41"/>
      <c r="H837" s="68"/>
      <c r="I837" s="71"/>
      <c r="J837" s="41"/>
      <c r="K837" s="41"/>
      <c r="L837" s="71"/>
      <c r="M837" s="71"/>
      <c r="N837" s="71"/>
      <c r="O837" s="71"/>
      <c r="P837" s="41"/>
      <c r="Q837" s="41"/>
      <c r="R837" s="71"/>
      <c r="S837" s="71"/>
      <c r="T837" s="75"/>
      <c r="U837" s="75"/>
      <c r="V837" s="75"/>
      <c r="W837" s="58" t="str">
        <f t="shared" si="56"/>
        <v/>
      </c>
      <c r="X837" s="59" t="str">
        <f t="shared" si="57"/>
        <v/>
      </c>
      <c r="Y837" s="41"/>
      <c r="Z837" s="41"/>
      <c r="AA837" s="41"/>
      <c r="AB837" s="68"/>
      <c r="AC837" s="69"/>
      <c r="AD837" s="66"/>
      <c r="AE837" s="66"/>
      <c r="AF837" s="66"/>
      <c r="AG837" s="60"/>
      <c r="AH837" s="61"/>
      <c r="AI837" s="62"/>
      <c r="AJ837" s="61"/>
      <c r="AK837" s="60"/>
      <c r="AL837" s="65"/>
    </row>
    <row r="838" spans="2:38" s="42" customFormat="1" x14ac:dyDescent="0.35">
      <c r="B838" s="55" t="str">
        <f t="shared" si="55"/>
        <v/>
      </c>
      <c r="C838" s="40"/>
      <c r="D838" s="40"/>
      <c r="E838" s="41"/>
      <c r="F838" s="41"/>
      <c r="G838" s="41"/>
      <c r="H838" s="68"/>
      <c r="I838" s="71"/>
      <c r="J838" s="41"/>
      <c r="K838" s="41"/>
      <c r="L838" s="71"/>
      <c r="M838" s="71"/>
      <c r="N838" s="71"/>
      <c r="O838" s="71"/>
      <c r="P838" s="41"/>
      <c r="Q838" s="41"/>
      <c r="R838" s="71"/>
      <c r="S838" s="71"/>
      <c r="T838" s="75"/>
      <c r="U838" s="75"/>
      <c r="V838" s="75"/>
      <c r="W838" s="58" t="str">
        <f t="shared" si="56"/>
        <v/>
      </c>
      <c r="X838" s="59" t="str">
        <f t="shared" si="57"/>
        <v/>
      </c>
      <c r="Y838" s="41"/>
      <c r="Z838" s="41"/>
      <c r="AA838" s="41"/>
      <c r="AB838" s="68"/>
      <c r="AC838" s="69"/>
      <c r="AD838" s="66"/>
      <c r="AE838" s="66"/>
      <c r="AF838" s="66"/>
      <c r="AG838" s="60"/>
      <c r="AH838" s="61"/>
      <c r="AI838" s="62"/>
      <c r="AJ838" s="61"/>
      <c r="AK838" s="60"/>
      <c r="AL838" s="65"/>
    </row>
    <row r="839" spans="2:38" s="42" customFormat="1" x14ac:dyDescent="0.35">
      <c r="B839" s="55" t="str">
        <f t="shared" si="55"/>
        <v/>
      </c>
      <c r="C839" s="40"/>
      <c r="D839" s="40"/>
      <c r="E839" s="41"/>
      <c r="F839" s="41"/>
      <c r="G839" s="41"/>
      <c r="H839" s="68"/>
      <c r="I839" s="71"/>
      <c r="J839" s="41"/>
      <c r="K839" s="41"/>
      <c r="L839" s="71"/>
      <c r="M839" s="71"/>
      <c r="N839" s="71"/>
      <c r="O839" s="71"/>
      <c r="P839" s="41"/>
      <c r="Q839" s="41"/>
      <c r="R839" s="71"/>
      <c r="S839" s="71"/>
      <c r="T839" s="75"/>
      <c r="U839" s="75"/>
      <c r="V839" s="75"/>
      <c r="W839" s="58" t="str">
        <f t="shared" si="56"/>
        <v/>
      </c>
      <c r="X839" s="59" t="str">
        <f t="shared" si="57"/>
        <v/>
      </c>
      <c r="Y839" s="41"/>
      <c r="Z839" s="41"/>
      <c r="AA839" s="41"/>
      <c r="AB839" s="68"/>
      <c r="AC839" s="69"/>
      <c r="AD839" s="66"/>
      <c r="AE839" s="66"/>
      <c r="AF839" s="66"/>
      <c r="AG839" s="60"/>
      <c r="AH839" s="61"/>
      <c r="AI839" s="62"/>
      <c r="AJ839" s="61"/>
      <c r="AK839" s="60"/>
      <c r="AL839" s="65"/>
    </row>
    <row r="840" spans="2:38" s="42" customFormat="1" x14ac:dyDescent="0.35">
      <c r="B840" s="55" t="str">
        <f t="shared" si="55"/>
        <v/>
      </c>
      <c r="C840" s="40"/>
      <c r="D840" s="40"/>
      <c r="E840" s="41"/>
      <c r="F840" s="41"/>
      <c r="G840" s="41"/>
      <c r="H840" s="68"/>
      <c r="I840" s="71"/>
      <c r="J840" s="41"/>
      <c r="K840" s="41"/>
      <c r="L840" s="71"/>
      <c r="M840" s="71"/>
      <c r="N840" s="71"/>
      <c r="O840" s="71"/>
      <c r="P840" s="41"/>
      <c r="Q840" s="41"/>
      <c r="R840" s="71"/>
      <c r="S840" s="71"/>
      <c r="T840" s="75"/>
      <c r="U840" s="75"/>
      <c r="V840" s="75"/>
      <c r="W840" s="58" t="str">
        <f t="shared" si="56"/>
        <v/>
      </c>
      <c r="X840" s="59" t="str">
        <f t="shared" si="57"/>
        <v/>
      </c>
      <c r="Y840" s="41"/>
      <c r="Z840" s="41"/>
      <c r="AA840" s="41"/>
      <c r="AB840" s="68"/>
      <c r="AC840" s="69"/>
      <c r="AD840" s="66"/>
      <c r="AE840" s="66"/>
      <c r="AF840" s="66"/>
      <c r="AG840" s="60"/>
      <c r="AH840" s="61"/>
      <c r="AI840" s="62"/>
      <c r="AJ840" s="61"/>
      <c r="AK840" s="60"/>
      <c r="AL840" s="65"/>
    </row>
    <row r="841" spans="2:38" s="42" customFormat="1" x14ac:dyDescent="0.35">
      <c r="B841" s="55" t="str">
        <f t="shared" si="55"/>
        <v/>
      </c>
      <c r="C841" s="40"/>
      <c r="D841" s="40"/>
      <c r="E841" s="41"/>
      <c r="F841" s="41"/>
      <c r="G841" s="41"/>
      <c r="H841" s="68"/>
      <c r="I841" s="71"/>
      <c r="J841" s="41"/>
      <c r="K841" s="41"/>
      <c r="L841" s="71"/>
      <c r="M841" s="71"/>
      <c r="N841" s="71"/>
      <c r="O841" s="71"/>
      <c r="P841" s="41"/>
      <c r="Q841" s="41"/>
      <c r="R841" s="71"/>
      <c r="S841" s="71"/>
      <c r="T841" s="75"/>
      <c r="U841" s="75"/>
      <c r="V841" s="75"/>
      <c r="W841" s="58" t="str">
        <f t="shared" si="56"/>
        <v/>
      </c>
      <c r="X841" s="59" t="str">
        <f t="shared" si="57"/>
        <v/>
      </c>
      <c r="Y841" s="41"/>
      <c r="Z841" s="41"/>
      <c r="AA841" s="41"/>
      <c r="AB841" s="68"/>
      <c r="AC841" s="69"/>
      <c r="AD841" s="66"/>
      <c r="AE841" s="66"/>
      <c r="AF841" s="66"/>
      <c r="AG841" s="60"/>
      <c r="AH841" s="61"/>
      <c r="AI841" s="62"/>
      <c r="AJ841" s="61"/>
      <c r="AK841" s="60"/>
      <c r="AL841" s="65"/>
    </row>
    <row r="842" spans="2:38" s="42" customFormat="1" x14ac:dyDescent="0.35">
      <c r="B842" s="55" t="str">
        <f t="shared" si="55"/>
        <v/>
      </c>
      <c r="C842" s="40"/>
      <c r="D842" s="40"/>
      <c r="E842" s="41"/>
      <c r="F842" s="41"/>
      <c r="G842" s="41"/>
      <c r="H842" s="68"/>
      <c r="I842" s="71"/>
      <c r="J842" s="41"/>
      <c r="K842" s="41"/>
      <c r="L842" s="71"/>
      <c r="M842" s="71"/>
      <c r="N842" s="71"/>
      <c r="O842" s="71"/>
      <c r="P842" s="41"/>
      <c r="Q842" s="41"/>
      <c r="R842" s="71"/>
      <c r="S842" s="71"/>
      <c r="T842" s="75"/>
      <c r="U842" s="75"/>
      <c r="V842" s="75"/>
      <c r="W842" s="58" t="str">
        <f t="shared" si="56"/>
        <v/>
      </c>
      <c r="X842" s="59" t="str">
        <f t="shared" si="57"/>
        <v/>
      </c>
      <c r="Y842" s="41"/>
      <c r="Z842" s="41"/>
      <c r="AA842" s="41"/>
      <c r="AB842" s="68"/>
      <c r="AC842" s="69"/>
      <c r="AD842" s="66"/>
      <c r="AE842" s="66"/>
      <c r="AF842" s="66"/>
      <c r="AG842" s="60"/>
      <c r="AH842" s="61"/>
      <c r="AI842" s="62"/>
      <c r="AJ842" s="61"/>
      <c r="AK842" s="60"/>
      <c r="AL842" s="65"/>
    </row>
    <row r="843" spans="2:38" s="42" customFormat="1" x14ac:dyDescent="0.35">
      <c r="B843" s="55" t="str">
        <f t="shared" si="55"/>
        <v/>
      </c>
      <c r="C843" s="40"/>
      <c r="D843" s="40"/>
      <c r="E843" s="41"/>
      <c r="F843" s="41"/>
      <c r="G843" s="41"/>
      <c r="H843" s="68"/>
      <c r="I843" s="71"/>
      <c r="J843" s="41"/>
      <c r="K843" s="41"/>
      <c r="L843" s="71"/>
      <c r="M843" s="71"/>
      <c r="N843" s="71"/>
      <c r="O843" s="71"/>
      <c r="P843" s="41"/>
      <c r="Q843" s="41"/>
      <c r="R843" s="71"/>
      <c r="S843" s="71"/>
      <c r="T843" s="75"/>
      <c r="U843" s="75"/>
      <c r="V843" s="75"/>
      <c r="W843" s="58" t="str">
        <f t="shared" si="56"/>
        <v/>
      </c>
      <c r="X843" s="59" t="str">
        <f t="shared" si="57"/>
        <v/>
      </c>
      <c r="Y843" s="41"/>
      <c r="Z843" s="41"/>
      <c r="AA843" s="41"/>
      <c r="AB843" s="68"/>
      <c r="AC843" s="69"/>
      <c r="AD843" s="66"/>
      <c r="AE843" s="66"/>
      <c r="AF843" s="66"/>
      <c r="AG843" s="60"/>
      <c r="AH843" s="61"/>
      <c r="AI843" s="62"/>
      <c r="AJ843" s="61"/>
      <c r="AK843" s="60"/>
      <c r="AL843" s="65"/>
    </row>
    <row r="844" spans="2:38" s="42" customFormat="1" x14ac:dyDescent="0.35">
      <c r="B844" s="55" t="str">
        <f t="shared" si="55"/>
        <v/>
      </c>
      <c r="C844" s="40"/>
      <c r="D844" s="40"/>
      <c r="E844" s="41"/>
      <c r="F844" s="41"/>
      <c r="G844" s="41"/>
      <c r="H844" s="68"/>
      <c r="I844" s="71"/>
      <c r="J844" s="41"/>
      <c r="K844" s="41"/>
      <c r="L844" s="71"/>
      <c r="M844" s="71"/>
      <c r="N844" s="71"/>
      <c r="O844" s="71"/>
      <c r="P844" s="41"/>
      <c r="Q844" s="41"/>
      <c r="R844" s="71"/>
      <c r="S844" s="71"/>
      <c r="T844" s="75"/>
      <c r="U844" s="75"/>
      <c r="V844" s="75"/>
      <c r="W844" s="58" t="str">
        <f t="shared" si="56"/>
        <v/>
      </c>
      <c r="X844" s="59" t="str">
        <f t="shared" si="57"/>
        <v/>
      </c>
      <c r="Y844" s="41"/>
      <c r="Z844" s="41"/>
      <c r="AA844" s="41"/>
      <c r="AB844" s="68"/>
      <c r="AC844" s="69"/>
      <c r="AD844" s="66"/>
      <c r="AE844" s="66"/>
      <c r="AF844" s="66"/>
      <c r="AG844" s="60"/>
      <c r="AH844" s="61"/>
      <c r="AI844" s="62"/>
      <c r="AJ844" s="61"/>
      <c r="AK844" s="60"/>
      <c r="AL844" s="65"/>
    </row>
    <row r="845" spans="2:38" s="42" customFormat="1" x14ac:dyDescent="0.35">
      <c r="B845" s="55" t="str">
        <f t="shared" si="55"/>
        <v/>
      </c>
      <c r="C845" s="40"/>
      <c r="D845" s="40"/>
      <c r="E845" s="41"/>
      <c r="F845" s="41"/>
      <c r="G845" s="41"/>
      <c r="H845" s="68"/>
      <c r="I845" s="71"/>
      <c r="J845" s="41"/>
      <c r="K845" s="41"/>
      <c r="L845" s="71"/>
      <c r="M845" s="71"/>
      <c r="N845" s="71"/>
      <c r="O845" s="71"/>
      <c r="P845" s="41"/>
      <c r="Q845" s="41"/>
      <c r="R845" s="71"/>
      <c r="S845" s="71"/>
      <c r="T845" s="75"/>
      <c r="U845" s="75"/>
      <c r="V845" s="75"/>
      <c r="W845" s="58" t="str">
        <f t="shared" si="56"/>
        <v/>
      </c>
      <c r="X845" s="59" t="str">
        <f t="shared" si="57"/>
        <v/>
      </c>
      <c r="Y845" s="41"/>
      <c r="Z845" s="41"/>
      <c r="AA845" s="41"/>
      <c r="AB845" s="68"/>
      <c r="AC845" s="69"/>
      <c r="AD845" s="66"/>
      <c r="AE845" s="66"/>
      <c r="AF845" s="66"/>
      <c r="AG845" s="60"/>
      <c r="AH845" s="61"/>
      <c r="AI845" s="62"/>
      <c r="AJ845" s="61"/>
      <c r="AK845" s="60"/>
      <c r="AL845" s="65"/>
    </row>
    <row r="846" spans="2:38" s="42" customFormat="1" x14ac:dyDescent="0.35">
      <c r="B846" s="55" t="str">
        <f t="shared" si="55"/>
        <v/>
      </c>
      <c r="C846" s="40"/>
      <c r="D846" s="40"/>
      <c r="E846" s="41"/>
      <c r="F846" s="41"/>
      <c r="G846" s="41"/>
      <c r="H846" s="68"/>
      <c r="I846" s="71"/>
      <c r="J846" s="41"/>
      <c r="K846" s="41"/>
      <c r="L846" s="71"/>
      <c r="M846" s="71"/>
      <c r="N846" s="71"/>
      <c r="O846" s="71"/>
      <c r="P846" s="41"/>
      <c r="Q846" s="41"/>
      <c r="R846" s="71"/>
      <c r="S846" s="71"/>
      <c r="T846" s="75"/>
      <c r="U846" s="75"/>
      <c r="V846" s="75"/>
      <c r="W846" s="58" t="str">
        <f t="shared" si="56"/>
        <v/>
      </c>
      <c r="X846" s="59" t="str">
        <f t="shared" si="57"/>
        <v/>
      </c>
      <c r="Y846" s="41"/>
      <c r="Z846" s="41"/>
      <c r="AA846" s="41"/>
      <c r="AB846" s="68"/>
      <c r="AC846" s="69"/>
      <c r="AD846" s="66"/>
      <c r="AE846" s="66"/>
      <c r="AF846" s="66"/>
      <c r="AG846" s="60"/>
      <c r="AH846" s="61"/>
      <c r="AI846" s="62"/>
      <c r="AJ846" s="61"/>
      <c r="AK846" s="60"/>
      <c r="AL846" s="65"/>
    </row>
    <row r="847" spans="2:38" s="42" customFormat="1" x14ac:dyDescent="0.35">
      <c r="B847" s="55" t="str">
        <f t="shared" si="55"/>
        <v/>
      </c>
      <c r="C847" s="40"/>
      <c r="D847" s="40"/>
      <c r="E847" s="41"/>
      <c r="F847" s="41"/>
      <c r="G847" s="41"/>
      <c r="H847" s="68"/>
      <c r="I847" s="71"/>
      <c r="J847" s="41"/>
      <c r="K847" s="41"/>
      <c r="L847" s="71"/>
      <c r="M847" s="71"/>
      <c r="N847" s="71"/>
      <c r="O847" s="71"/>
      <c r="P847" s="41"/>
      <c r="Q847" s="41"/>
      <c r="R847" s="71"/>
      <c r="S847" s="71"/>
      <c r="T847" s="75"/>
      <c r="U847" s="75"/>
      <c r="V847" s="75"/>
      <c r="W847" s="58" t="str">
        <f t="shared" si="56"/>
        <v/>
      </c>
      <c r="X847" s="59" t="str">
        <f t="shared" si="57"/>
        <v/>
      </c>
      <c r="Y847" s="41"/>
      <c r="Z847" s="41"/>
      <c r="AA847" s="41"/>
      <c r="AB847" s="68"/>
      <c r="AC847" s="69"/>
      <c r="AD847" s="66"/>
      <c r="AE847" s="66"/>
      <c r="AF847" s="66"/>
      <c r="AG847" s="60"/>
      <c r="AH847" s="61"/>
      <c r="AI847" s="62"/>
      <c r="AJ847" s="61"/>
      <c r="AK847" s="60"/>
      <c r="AL847" s="65"/>
    </row>
    <row r="848" spans="2:38" s="42" customFormat="1" x14ac:dyDescent="0.35">
      <c r="B848" s="55" t="str">
        <f t="shared" si="55"/>
        <v/>
      </c>
      <c r="C848" s="40"/>
      <c r="D848" s="40"/>
      <c r="E848" s="41"/>
      <c r="F848" s="41"/>
      <c r="G848" s="41"/>
      <c r="H848" s="68"/>
      <c r="I848" s="71"/>
      <c r="J848" s="41"/>
      <c r="K848" s="41"/>
      <c r="L848" s="71"/>
      <c r="M848" s="71"/>
      <c r="N848" s="71"/>
      <c r="O848" s="71"/>
      <c r="P848" s="41"/>
      <c r="Q848" s="41"/>
      <c r="R848" s="71"/>
      <c r="S848" s="71"/>
      <c r="T848" s="75"/>
      <c r="U848" s="75"/>
      <c r="V848" s="75"/>
      <c r="W848" s="58" t="str">
        <f t="shared" si="56"/>
        <v/>
      </c>
      <c r="X848" s="59" t="str">
        <f t="shared" si="57"/>
        <v/>
      </c>
      <c r="Y848" s="41"/>
      <c r="Z848" s="41"/>
      <c r="AA848" s="41"/>
      <c r="AB848" s="68"/>
      <c r="AC848" s="69"/>
      <c r="AD848" s="66"/>
      <c r="AE848" s="66"/>
      <c r="AF848" s="66"/>
      <c r="AG848" s="60"/>
      <c r="AH848" s="61"/>
      <c r="AI848" s="62"/>
      <c r="AJ848" s="61"/>
      <c r="AK848" s="60"/>
      <c r="AL848" s="65"/>
    </row>
    <row r="849" spans="2:38" s="42" customFormat="1" x14ac:dyDescent="0.35">
      <c r="B849" s="55" t="str">
        <f t="shared" si="55"/>
        <v/>
      </c>
      <c r="C849" s="40"/>
      <c r="D849" s="40"/>
      <c r="E849" s="41"/>
      <c r="F849" s="41"/>
      <c r="G849" s="41"/>
      <c r="H849" s="68"/>
      <c r="I849" s="71"/>
      <c r="J849" s="41"/>
      <c r="K849" s="41"/>
      <c r="L849" s="71"/>
      <c r="M849" s="71"/>
      <c r="N849" s="71"/>
      <c r="O849" s="71"/>
      <c r="P849" s="41"/>
      <c r="Q849" s="41"/>
      <c r="R849" s="71"/>
      <c r="S849" s="71"/>
      <c r="T849" s="75"/>
      <c r="U849" s="75"/>
      <c r="V849" s="75"/>
      <c r="W849" s="58" t="str">
        <f t="shared" si="56"/>
        <v/>
      </c>
      <c r="X849" s="59" t="str">
        <f t="shared" si="57"/>
        <v/>
      </c>
      <c r="Y849" s="41"/>
      <c r="Z849" s="41"/>
      <c r="AA849" s="41"/>
      <c r="AB849" s="68"/>
      <c r="AC849" s="69"/>
      <c r="AD849" s="66"/>
      <c r="AE849" s="66"/>
      <c r="AF849" s="66"/>
      <c r="AG849" s="60"/>
      <c r="AH849" s="61"/>
      <c r="AI849" s="62"/>
      <c r="AJ849" s="61"/>
      <c r="AK849" s="60"/>
      <c r="AL849" s="65"/>
    </row>
    <row r="850" spans="2:38" s="42" customFormat="1" x14ac:dyDescent="0.35">
      <c r="B850" s="55" t="str">
        <f t="shared" si="55"/>
        <v/>
      </c>
      <c r="C850" s="40"/>
      <c r="D850" s="40"/>
      <c r="E850" s="41"/>
      <c r="F850" s="41"/>
      <c r="G850" s="41"/>
      <c r="H850" s="68"/>
      <c r="I850" s="71"/>
      <c r="J850" s="41"/>
      <c r="K850" s="41"/>
      <c r="L850" s="71"/>
      <c r="M850" s="71"/>
      <c r="N850" s="71"/>
      <c r="O850" s="71"/>
      <c r="P850" s="41"/>
      <c r="Q850" s="41"/>
      <c r="R850" s="71"/>
      <c r="S850" s="71"/>
      <c r="T850" s="75"/>
      <c r="U850" s="75"/>
      <c r="V850" s="75"/>
      <c r="W850" s="58" t="str">
        <f t="shared" si="56"/>
        <v/>
      </c>
      <c r="X850" s="59" t="str">
        <f t="shared" si="57"/>
        <v/>
      </c>
      <c r="Y850" s="41"/>
      <c r="Z850" s="41"/>
      <c r="AA850" s="41"/>
      <c r="AB850" s="68"/>
      <c r="AC850" s="69"/>
      <c r="AD850" s="66"/>
      <c r="AE850" s="66"/>
      <c r="AF850" s="66"/>
      <c r="AG850" s="60"/>
      <c r="AH850" s="61"/>
      <c r="AI850" s="62"/>
      <c r="AJ850" s="61"/>
      <c r="AK850" s="60"/>
      <c r="AL850" s="65"/>
    </row>
    <row r="851" spans="2:38" s="42" customFormat="1" x14ac:dyDescent="0.35">
      <c r="B851" s="55" t="str">
        <f t="shared" si="55"/>
        <v/>
      </c>
      <c r="C851" s="40"/>
      <c r="D851" s="40"/>
      <c r="E851" s="41"/>
      <c r="F851" s="41"/>
      <c r="G851" s="41"/>
      <c r="H851" s="68"/>
      <c r="I851" s="71"/>
      <c r="J851" s="41"/>
      <c r="K851" s="41"/>
      <c r="L851" s="71"/>
      <c r="M851" s="71"/>
      <c r="N851" s="71"/>
      <c r="O851" s="71"/>
      <c r="P851" s="41"/>
      <c r="Q851" s="41"/>
      <c r="R851" s="71"/>
      <c r="S851" s="71"/>
      <c r="T851" s="75"/>
      <c r="U851" s="75"/>
      <c r="V851" s="75"/>
      <c r="W851" s="58" t="str">
        <f t="shared" si="56"/>
        <v/>
      </c>
      <c r="X851" s="59" t="str">
        <f t="shared" si="57"/>
        <v/>
      </c>
      <c r="Y851" s="41"/>
      <c r="Z851" s="41"/>
      <c r="AA851" s="41"/>
      <c r="AB851" s="68"/>
      <c r="AC851" s="69"/>
      <c r="AD851" s="66"/>
      <c r="AE851" s="66"/>
      <c r="AF851" s="66"/>
      <c r="AG851" s="60"/>
      <c r="AH851" s="61"/>
      <c r="AI851" s="62"/>
      <c r="AJ851" s="61"/>
      <c r="AK851" s="60"/>
      <c r="AL851" s="65"/>
    </row>
    <row r="852" spans="2:38" s="42" customFormat="1" x14ac:dyDescent="0.35">
      <c r="B852" s="55" t="str">
        <f t="shared" si="55"/>
        <v/>
      </c>
      <c r="C852" s="40"/>
      <c r="D852" s="40"/>
      <c r="E852" s="41"/>
      <c r="F852" s="41"/>
      <c r="G852" s="41"/>
      <c r="H852" s="68"/>
      <c r="I852" s="71"/>
      <c r="J852" s="41"/>
      <c r="K852" s="41"/>
      <c r="L852" s="71"/>
      <c r="M852" s="71"/>
      <c r="N852" s="71"/>
      <c r="O852" s="71"/>
      <c r="P852" s="41"/>
      <c r="Q852" s="41"/>
      <c r="R852" s="71"/>
      <c r="S852" s="71"/>
      <c r="T852" s="75"/>
      <c r="U852" s="75"/>
      <c r="V852" s="75"/>
      <c r="W852" s="58" t="str">
        <f t="shared" si="56"/>
        <v/>
      </c>
      <c r="X852" s="59" t="str">
        <f t="shared" si="57"/>
        <v/>
      </c>
      <c r="Y852" s="41"/>
      <c r="Z852" s="41"/>
      <c r="AA852" s="41"/>
      <c r="AB852" s="68"/>
      <c r="AC852" s="69"/>
      <c r="AD852" s="66"/>
      <c r="AE852" s="66"/>
      <c r="AF852" s="66"/>
      <c r="AG852" s="60"/>
      <c r="AH852" s="61"/>
      <c r="AI852" s="62"/>
      <c r="AJ852" s="61"/>
      <c r="AK852" s="60"/>
      <c r="AL852" s="65"/>
    </row>
    <row r="853" spans="2:38" s="42" customFormat="1" x14ac:dyDescent="0.35">
      <c r="B853" s="55" t="str">
        <f t="shared" si="55"/>
        <v/>
      </c>
      <c r="C853" s="40"/>
      <c r="D853" s="40"/>
      <c r="E853" s="41"/>
      <c r="F853" s="41"/>
      <c r="G853" s="41"/>
      <c r="H853" s="68"/>
      <c r="I853" s="71"/>
      <c r="J853" s="41"/>
      <c r="K853" s="41"/>
      <c r="L853" s="71"/>
      <c r="M853" s="71"/>
      <c r="N853" s="71"/>
      <c r="O853" s="71"/>
      <c r="P853" s="41"/>
      <c r="Q853" s="41"/>
      <c r="R853" s="71"/>
      <c r="S853" s="71"/>
      <c r="T853" s="75"/>
      <c r="U853" s="75"/>
      <c r="V853" s="75"/>
      <c r="W853" s="58" t="str">
        <f t="shared" si="56"/>
        <v/>
      </c>
      <c r="X853" s="59" t="str">
        <f t="shared" si="57"/>
        <v/>
      </c>
      <c r="Y853" s="41"/>
      <c r="Z853" s="41"/>
      <c r="AA853" s="41"/>
      <c r="AB853" s="68"/>
      <c r="AC853" s="69"/>
      <c r="AD853" s="66"/>
      <c r="AE853" s="66"/>
      <c r="AF853" s="66"/>
      <c r="AG853" s="60"/>
      <c r="AH853" s="61"/>
      <c r="AI853" s="62"/>
      <c r="AJ853" s="61"/>
      <c r="AK853" s="60"/>
      <c r="AL853" s="65"/>
    </row>
    <row r="854" spans="2:38" s="42" customFormat="1" x14ac:dyDescent="0.35">
      <c r="B854" s="55" t="str">
        <f t="shared" si="55"/>
        <v/>
      </c>
      <c r="C854" s="40"/>
      <c r="D854" s="40"/>
      <c r="E854" s="41"/>
      <c r="F854" s="41"/>
      <c r="G854" s="41"/>
      <c r="H854" s="68"/>
      <c r="I854" s="71"/>
      <c r="J854" s="41"/>
      <c r="K854" s="41"/>
      <c r="L854" s="71"/>
      <c r="M854" s="71"/>
      <c r="N854" s="71"/>
      <c r="O854" s="71"/>
      <c r="P854" s="41"/>
      <c r="Q854" s="41"/>
      <c r="R854" s="71"/>
      <c r="S854" s="71"/>
      <c r="T854" s="75"/>
      <c r="U854" s="75"/>
      <c r="V854" s="75"/>
      <c r="W854" s="58" t="str">
        <f t="shared" si="56"/>
        <v/>
      </c>
      <c r="X854" s="59" t="str">
        <f t="shared" si="57"/>
        <v/>
      </c>
      <c r="Y854" s="41"/>
      <c r="Z854" s="41"/>
      <c r="AA854" s="41"/>
      <c r="AB854" s="68"/>
      <c r="AC854" s="69"/>
      <c r="AD854" s="66"/>
      <c r="AE854" s="66"/>
      <c r="AF854" s="66"/>
      <c r="AG854" s="60"/>
      <c r="AH854" s="61"/>
      <c r="AI854" s="62"/>
      <c r="AJ854" s="61"/>
      <c r="AK854" s="60"/>
      <c r="AL854" s="65"/>
    </row>
    <row r="855" spans="2:38" s="42" customFormat="1" x14ac:dyDescent="0.35">
      <c r="B855" s="55" t="str">
        <f t="shared" si="55"/>
        <v/>
      </c>
      <c r="C855" s="40"/>
      <c r="D855" s="40"/>
      <c r="E855" s="41"/>
      <c r="F855" s="41"/>
      <c r="G855" s="41"/>
      <c r="H855" s="68"/>
      <c r="I855" s="71"/>
      <c r="J855" s="41"/>
      <c r="K855" s="41"/>
      <c r="L855" s="71"/>
      <c r="M855" s="71"/>
      <c r="N855" s="71"/>
      <c r="O855" s="71"/>
      <c r="P855" s="41"/>
      <c r="Q855" s="41"/>
      <c r="R855" s="71"/>
      <c r="S855" s="71"/>
      <c r="T855" s="75"/>
      <c r="U855" s="75"/>
      <c r="V855" s="75"/>
      <c r="W855" s="58" t="str">
        <f t="shared" si="56"/>
        <v/>
      </c>
      <c r="X855" s="59" t="str">
        <f t="shared" si="57"/>
        <v/>
      </c>
      <c r="Y855" s="41"/>
      <c r="Z855" s="41"/>
      <c r="AA855" s="41"/>
      <c r="AB855" s="68"/>
      <c r="AC855" s="69"/>
      <c r="AD855" s="66"/>
      <c r="AE855" s="66"/>
      <c r="AF855" s="66"/>
      <c r="AG855" s="60"/>
      <c r="AH855" s="61"/>
      <c r="AI855" s="62"/>
      <c r="AJ855" s="61"/>
      <c r="AK855" s="60"/>
      <c r="AL855" s="65"/>
    </row>
    <row r="856" spans="2:38" s="42" customFormat="1" x14ac:dyDescent="0.35">
      <c r="B856" s="55" t="str">
        <f t="shared" si="55"/>
        <v/>
      </c>
      <c r="C856" s="40"/>
      <c r="D856" s="40"/>
      <c r="E856" s="41"/>
      <c r="F856" s="41"/>
      <c r="G856" s="41"/>
      <c r="H856" s="68"/>
      <c r="I856" s="71"/>
      <c r="J856" s="41"/>
      <c r="K856" s="41"/>
      <c r="L856" s="71"/>
      <c r="M856" s="71"/>
      <c r="N856" s="71"/>
      <c r="O856" s="71"/>
      <c r="P856" s="41"/>
      <c r="Q856" s="41"/>
      <c r="R856" s="71"/>
      <c r="S856" s="71"/>
      <c r="T856" s="75"/>
      <c r="U856" s="75"/>
      <c r="V856" s="75"/>
      <c r="W856" s="58" t="str">
        <f t="shared" si="56"/>
        <v/>
      </c>
      <c r="X856" s="59" t="str">
        <f t="shared" si="57"/>
        <v/>
      </c>
      <c r="Y856" s="41"/>
      <c r="Z856" s="41"/>
      <c r="AA856" s="41"/>
      <c r="AB856" s="68"/>
      <c r="AC856" s="69"/>
      <c r="AD856" s="66"/>
      <c r="AE856" s="66"/>
      <c r="AF856" s="66"/>
      <c r="AG856" s="60"/>
      <c r="AH856" s="61"/>
      <c r="AI856" s="62"/>
      <c r="AJ856" s="61"/>
      <c r="AK856" s="60"/>
      <c r="AL856" s="65"/>
    </row>
    <row r="857" spans="2:38" s="42" customFormat="1" x14ac:dyDescent="0.35">
      <c r="B857" s="55" t="str">
        <f t="shared" si="55"/>
        <v/>
      </c>
      <c r="C857" s="40"/>
      <c r="D857" s="40"/>
      <c r="E857" s="41"/>
      <c r="F857" s="41"/>
      <c r="G857" s="41"/>
      <c r="H857" s="68"/>
      <c r="I857" s="71"/>
      <c r="J857" s="41"/>
      <c r="K857" s="41"/>
      <c r="L857" s="71"/>
      <c r="M857" s="71"/>
      <c r="N857" s="71"/>
      <c r="O857" s="71"/>
      <c r="P857" s="41"/>
      <c r="Q857" s="41"/>
      <c r="R857" s="71"/>
      <c r="S857" s="71"/>
      <c r="T857" s="75"/>
      <c r="U857" s="75"/>
      <c r="V857" s="75"/>
      <c r="W857" s="58" t="str">
        <f t="shared" si="56"/>
        <v/>
      </c>
      <c r="X857" s="59" t="str">
        <f t="shared" si="57"/>
        <v/>
      </c>
      <c r="Y857" s="41"/>
      <c r="Z857" s="41"/>
      <c r="AA857" s="41"/>
      <c r="AB857" s="68"/>
      <c r="AC857" s="69"/>
      <c r="AD857" s="66"/>
      <c r="AE857" s="66"/>
      <c r="AF857" s="66"/>
      <c r="AG857" s="60"/>
      <c r="AH857" s="61"/>
      <c r="AI857" s="62"/>
      <c r="AJ857" s="61"/>
      <c r="AK857" s="60"/>
      <c r="AL857" s="65"/>
    </row>
    <row r="858" spans="2:38" s="42" customFormat="1" x14ac:dyDescent="0.35">
      <c r="B858" s="55" t="str">
        <f t="shared" si="55"/>
        <v/>
      </c>
      <c r="C858" s="40"/>
      <c r="D858" s="40"/>
      <c r="E858" s="41"/>
      <c r="F858" s="41"/>
      <c r="G858" s="41"/>
      <c r="H858" s="68"/>
      <c r="I858" s="71"/>
      <c r="J858" s="41"/>
      <c r="K858" s="41"/>
      <c r="L858" s="71"/>
      <c r="M858" s="71"/>
      <c r="N858" s="71"/>
      <c r="O858" s="71"/>
      <c r="P858" s="41"/>
      <c r="Q858" s="41"/>
      <c r="R858" s="71"/>
      <c r="S858" s="71"/>
      <c r="T858" s="75"/>
      <c r="U858" s="75"/>
      <c r="V858" s="75"/>
      <c r="W858" s="58" t="str">
        <f t="shared" si="56"/>
        <v/>
      </c>
      <c r="X858" s="59" t="str">
        <f t="shared" si="57"/>
        <v/>
      </c>
      <c r="Y858" s="41"/>
      <c r="Z858" s="41"/>
      <c r="AA858" s="41"/>
      <c r="AB858" s="68"/>
      <c r="AC858" s="69"/>
      <c r="AD858" s="66"/>
      <c r="AE858" s="66"/>
      <c r="AF858" s="66"/>
      <c r="AG858" s="60"/>
      <c r="AH858" s="61"/>
      <c r="AI858" s="62"/>
      <c r="AJ858" s="61"/>
      <c r="AK858" s="60"/>
      <c r="AL858" s="65"/>
    </row>
    <row r="859" spans="2:38" s="42" customFormat="1" x14ac:dyDescent="0.35">
      <c r="B859" s="55" t="str">
        <f t="shared" si="55"/>
        <v/>
      </c>
      <c r="C859" s="40"/>
      <c r="D859" s="40"/>
      <c r="E859" s="41"/>
      <c r="F859" s="41"/>
      <c r="G859" s="41"/>
      <c r="H859" s="68"/>
      <c r="I859" s="71"/>
      <c r="J859" s="41"/>
      <c r="K859" s="41"/>
      <c r="L859" s="71"/>
      <c r="M859" s="71"/>
      <c r="N859" s="71"/>
      <c r="O859" s="71"/>
      <c r="P859" s="41"/>
      <c r="Q859" s="41"/>
      <c r="R859" s="71"/>
      <c r="S859" s="71"/>
      <c r="T859" s="75"/>
      <c r="U859" s="75"/>
      <c r="V859" s="75"/>
      <c r="W859" s="58" t="str">
        <f t="shared" si="56"/>
        <v/>
      </c>
      <c r="X859" s="59" t="str">
        <f t="shared" si="57"/>
        <v/>
      </c>
      <c r="Y859" s="41"/>
      <c r="Z859" s="41"/>
      <c r="AA859" s="41"/>
      <c r="AB859" s="68"/>
      <c r="AC859" s="69"/>
      <c r="AD859" s="66"/>
      <c r="AE859" s="66"/>
      <c r="AF859" s="66"/>
      <c r="AG859" s="60"/>
      <c r="AH859" s="61"/>
      <c r="AI859" s="62"/>
      <c r="AJ859" s="61"/>
      <c r="AK859" s="60"/>
      <c r="AL859" s="65"/>
    </row>
    <row r="860" spans="2:38" s="42" customFormat="1" x14ac:dyDescent="0.35">
      <c r="B860" s="55" t="str">
        <f t="shared" si="55"/>
        <v/>
      </c>
      <c r="C860" s="40"/>
      <c r="D860" s="40"/>
      <c r="E860" s="41"/>
      <c r="F860" s="41"/>
      <c r="G860" s="41"/>
      <c r="H860" s="68"/>
      <c r="I860" s="71"/>
      <c r="J860" s="41"/>
      <c r="K860" s="41"/>
      <c r="L860" s="71"/>
      <c r="M860" s="71"/>
      <c r="N860" s="71"/>
      <c r="O860" s="71"/>
      <c r="P860" s="41"/>
      <c r="Q860" s="41"/>
      <c r="R860" s="71"/>
      <c r="S860" s="71"/>
      <c r="T860" s="75"/>
      <c r="U860" s="75"/>
      <c r="V860" s="75"/>
      <c r="W860" s="58" t="str">
        <f t="shared" si="56"/>
        <v/>
      </c>
      <c r="X860" s="59" t="str">
        <f t="shared" si="57"/>
        <v/>
      </c>
      <c r="Y860" s="41"/>
      <c r="Z860" s="41"/>
      <c r="AA860" s="41"/>
      <c r="AB860" s="68"/>
      <c r="AC860" s="69"/>
      <c r="AD860" s="66"/>
      <c r="AE860" s="66"/>
      <c r="AF860" s="66"/>
      <c r="AG860" s="60"/>
      <c r="AH860" s="61"/>
      <c r="AI860" s="62"/>
      <c r="AJ860" s="61"/>
      <c r="AK860" s="60"/>
      <c r="AL860" s="65"/>
    </row>
    <row r="861" spans="2:38" s="42" customFormat="1" x14ac:dyDescent="0.35">
      <c r="B861" s="55" t="str">
        <f t="shared" si="55"/>
        <v/>
      </c>
      <c r="C861" s="40"/>
      <c r="D861" s="40"/>
      <c r="E861" s="41"/>
      <c r="F861" s="41"/>
      <c r="G861" s="41"/>
      <c r="H861" s="68"/>
      <c r="I861" s="71"/>
      <c r="J861" s="41"/>
      <c r="K861" s="41"/>
      <c r="L861" s="71"/>
      <c r="M861" s="71"/>
      <c r="N861" s="71"/>
      <c r="O861" s="71"/>
      <c r="P861" s="41"/>
      <c r="Q861" s="41"/>
      <c r="R861" s="71"/>
      <c r="S861" s="71"/>
      <c r="T861" s="75"/>
      <c r="U861" s="75"/>
      <c r="V861" s="75"/>
      <c r="W861" s="58" t="str">
        <f t="shared" si="56"/>
        <v/>
      </c>
      <c r="X861" s="59" t="str">
        <f t="shared" si="57"/>
        <v/>
      </c>
      <c r="Y861" s="41"/>
      <c r="Z861" s="41"/>
      <c r="AA861" s="41"/>
      <c r="AB861" s="68"/>
      <c r="AC861" s="69"/>
      <c r="AD861" s="66"/>
      <c r="AE861" s="66"/>
      <c r="AF861" s="66"/>
      <c r="AG861" s="60"/>
      <c r="AH861" s="61"/>
      <c r="AI861" s="62"/>
      <c r="AJ861" s="61"/>
      <c r="AK861" s="60"/>
      <c r="AL861" s="65"/>
    </row>
    <row r="862" spans="2:38" s="42" customFormat="1" x14ac:dyDescent="0.35">
      <c r="B862" s="55" t="str">
        <f t="shared" si="55"/>
        <v/>
      </c>
      <c r="C862" s="40"/>
      <c r="D862" s="40"/>
      <c r="E862" s="41"/>
      <c r="F862" s="41"/>
      <c r="G862" s="41"/>
      <c r="H862" s="68"/>
      <c r="I862" s="71"/>
      <c r="J862" s="41"/>
      <c r="K862" s="41"/>
      <c r="L862" s="71"/>
      <c r="M862" s="71"/>
      <c r="N862" s="71"/>
      <c r="O862" s="71"/>
      <c r="P862" s="41"/>
      <c r="Q862" s="41"/>
      <c r="R862" s="71"/>
      <c r="S862" s="71"/>
      <c r="T862" s="75"/>
      <c r="U862" s="75"/>
      <c r="V862" s="75"/>
      <c r="W862" s="58" t="str">
        <f t="shared" si="56"/>
        <v/>
      </c>
      <c r="X862" s="59" t="str">
        <f t="shared" si="57"/>
        <v/>
      </c>
      <c r="Y862" s="41"/>
      <c r="Z862" s="41"/>
      <c r="AA862" s="41"/>
      <c r="AB862" s="68"/>
      <c r="AC862" s="69"/>
      <c r="AD862" s="66"/>
      <c r="AE862" s="66"/>
      <c r="AF862" s="66"/>
      <c r="AG862" s="60"/>
      <c r="AH862" s="61"/>
      <c r="AI862" s="62"/>
      <c r="AJ862" s="61"/>
      <c r="AK862" s="60"/>
      <c r="AL862" s="65"/>
    </row>
    <row r="863" spans="2:38" s="42" customFormat="1" x14ac:dyDescent="0.35">
      <c r="B863" s="55" t="str">
        <f t="shared" si="55"/>
        <v/>
      </c>
      <c r="C863" s="40"/>
      <c r="D863" s="40"/>
      <c r="E863" s="41"/>
      <c r="F863" s="41"/>
      <c r="G863" s="41"/>
      <c r="H863" s="68"/>
      <c r="I863" s="71"/>
      <c r="J863" s="41"/>
      <c r="K863" s="41"/>
      <c r="L863" s="71"/>
      <c r="M863" s="71"/>
      <c r="N863" s="71"/>
      <c r="O863" s="71"/>
      <c r="P863" s="41"/>
      <c r="Q863" s="41"/>
      <c r="R863" s="71"/>
      <c r="S863" s="71"/>
      <c r="T863" s="75"/>
      <c r="U863" s="75"/>
      <c r="V863" s="75"/>
      <c r="W863" s="58" t="str">
        <f t="shared" si="56"/>
        <v/>
      </c>
      <c r="X863" s="59" t="str">
        <f t="shared" si="57"/>
        <v/>
      </c>
      <c r="Y863" s="41"/>
      <c r="Z863" s="41"/>
      <c r="AA863" s="41"/>
      <c r="AB863" s="68"/>
      <c r="AC863" s="69"/>
      <c r="AD863" s="66"/>
      <c r="AE863" s="66"/>
      <c r="AF863" s="66"/>
      <c r="AG863" s="60"/>
      <c r="AH863" s="61"/>
      <c r="AI863" s="62"/>
      <c r="AJ863" s="61"/>
      <c r="AK863" s="60"/>
      <c r="AL863" s="65"/>
    </row>
    <row r="864" spans="2:38" s="42" customFormat="1" x14ac:dyDescent="0.35">
      <c r="B864" s="55" t="str">
        <f t="shared" si="55"/>
        <v/>
      </c>
      <c r="C864" s="40"/>
      <c r="D864" s="40"/>
      <c r="E864" s="41"/>
      <c r="F864" s="41"/>
      <c r="G864" s="41"/>
      <c r="H864" s="68"/>
      <c r="I864" s="71"/>
      <c r="J864" s="41"/>
      <c r="K864" s="41"/>
      <c r="L864" s="71"/>
      <c r="M864" s="71"/>
      <c r="N864" s="71"/>
      <c r="O864" s="71"/>
      <c r="P864" s="41"/>
      <c r="Q864" s="41"/>
      <c r="R864" s="71"/>
      <c r="S864" s="71"/>
      <c r="T864" s="75"/>
      <c r="U864" s="75"/>
      <c r="V864" s="75"/>
      <c r="W864" s="58" t="str">
        <f t="shared" si="56"/>
        <v/>
      </c>
      <c r="X864" s="59" t="str">
        <f t="shared" si="57"/>
        <v/>
      </c>
      <c r="Y864" s="41"/>
      <c r="Z864" s="41"/>
      <c r="AA864" s="41"/>
      <c r="AB864" s="68"/>
      <c r="AC864" s="69"/>
      <c r="AD864" s="66"/>
      <c r="AE864" s="66"/>
      <c r="AF864" s="66"/>
      <c r="AG864" s="60"/>
      <c r="AH864" s="61"/>
      <c r="AI864" s="62"/>
      <c r="AJ864" s="61"/>
      <c r="AK864" s="60"/>
      <c r="AL864" s="65"/>
    </row>
    <row r="865" spans="2:38" s="42" customFormat="1" x14ac:dyDescent="0.35">
      <c r="B865" s="55" t="str">
        <f t="shared" si="55"/>
        <v/>
      </c>
      <c r="C865" s="40"/>
      <c r="D865" s="40"/>
      <c r="E865" s="41"/>
      <c r="F865" s="41"/>
      <c r="G865" s="41"/>
      <c r="H865" s="68"/>
      <c r="I865" s="71"/>
      <c r="J865" s="41"/>
      <c r="K865" s="41"/>
      <c r="L865" s="71"/>
      <c r="M865" s="71"/>
      <c r="N865" s="71"/>
      <c r="O865" s="71"/>
      <c r="P865" s="41"/>
      <c r="Q865" s="41"/>
      <c r="R865" s="71"/>
      <c r="S865" s="71"/>
      <c r="T865" s="75"/>
      <c r="U865" s="75"/>
      <c r="V865" s="75"/>
      <c r="W865" s="58" t="str">
        <f t="shared" si="56"/>
        <v/>
      </c>
      <c r="X865" s="59" t="str">
        <f t="shared" si="57"/>
        <v/>
      </c>
      <c r="Y865" s="41"/>
      <c r="Z865" s="41"/>
      <c r="AA865" s="41"/>
      <c r="AB865" s="68"/>
      <c r="AC865" s="69"/>
      <c r="AD865" s="66"/>
      <c r="AE865" s="66"/>
      <c r="AF865" s="66"/>
      <c r="AG865" s="60"/>
      <c r="AH865" s="61"/>
      <c r="AI865" s="62"/>
      <c r="AJ865" s="61"/>
      <c r="AK865" s="60"/>
      <c r="AL865" s="65"/>
    </row>
    <row r="866" spans="2:38" s="42" customFormat="1" x14ac:dyDescent="0.35">
      <c r="B866" s="55" t="str">
        <f t="shared" si="55"/>
        <v/>
      </c>
      <c r="C866" s="40"/>
      <c r="D866" s="40"/>
      <c r="E866" s="41"/>
      <c r="F866" s="41"/>
      <c r="G866" s="41"/>
      <c r="H866" s="68"/>
      <c r="I866" s="71"/>
      <c r="J866" s="41"/>
      <c r="K866" s="41"/>
      <c r="L866" s="71"/>
      <c r="M866" s="71"/>
      <c r="N866" s="71"/>
      <c r="O866" s="71"/>
      <c r="P866" s="41"/>
      <c r="Q866" s="41"/>
      <c r="R866" s="71"/>
      <c r="S866" s="71"/>
      <c r="T866" s="75"/>
      <c r="U866" s="75"/>
      <c r="V866" s="75"/>
      <c r="W866" s="58" t="str">
        <f t="shared" si="56"/>
        <v/>
      </c>
      <c r="X866" s="59" t="str">
        <f t="shared" si="57"/>
        <v/>
      </c>
      <c r="Y866" s="41"/>
      <c r="Z866" s="41"/>
      <c r="AA866" s="41"/>
      <c r="AB866" s="68"/>
      <c r="AC866" s="69"/>
      <c r="AD866" s="66"/>
      <c r="AE866" s="66"/>
      <c r="AF866" s="66"/>
      <c r="AG866" s="60"/>
      <c r="AH866" s="61"/>
      <c r="AI866" s="62"/>
      <c r="AJ866" s="61"/>
      <c r="AK866" s="60"/>
      <c r="AL866" s="65"/>
    </row>
    <row r="867" spans="2:38" s="42" customFormat="1" x14ac:dyDescent="0.35">
      <c r="B867" s="55" t="str">
        <f t="shared" si="55"/>
        <v/>
      </c>
      <c r="C867" s="40"/>
      <c r="D867" s="40"/>
      <c r="E867" s="41"/>
      <c r="F867" s="41"/>
      <c r="G867" s="41"/>
      <c r="H867" s="68"/>
      <c r="I867" s="71"/>
      <c r="J867" s="41"/>
      <c r="K867" s="41"/>
      <c r="L867" s="71"/>
      <c r="M867" s="71"/>
      <c r="N867" s="71"/>
      <c r="O867" s="71"/>
      <c r="P867" s="41"/>
      <c r="Q867" s="41"/>
      <c r="R867" s="71"/>
      <c r="S867" s="71"/>
      <c r="T867" s="75"/>
      <c r="U867" s="75"/>
      <c r="V867" s="75"/>
      <c r="W867" s="58" t="str">
        <f t="shared" si="56"/>
        <v/>
      </c>
      <c r="X867" s="59" t="str">
        <f t="shared" si="57"/>
        <v/>
      </c>
      <c r="Y867" s="41"/>
      <c r="Z867" s="41"/>
      <c r="AA867" s="41"/>
      <c r="AB867" s="68"/>
      <c r="AC867" s="69"/>
      <c r="AD867" s="66"/>
      <c r="AE867" s="66"/>
      <c r="AF867" s="66"/>
      <c r="AG867" s="60"/>
      <c r="AH867" s="61"/>
      <c r="AI867" s="62"/>
      <c r="AJ867" s="61"/>
      <c r="AK867" s="60"/>
      <c r="AL867" s="65"/>
    </row>
    <row r="868" spans="2:38" s="42" customFormat="1" x14ac:dyDescent="0.35">
      <c r="B868" s="55" t="str">
        <f t="shared" si="55"/>
        <v/>
      </c>
      <c r="C868" s="40"/>
      <c r="D868" s="40"/>
      <c r="E868" s="41"/>
      <c r="F868" s="41"/>
      <c r="G868" s="41"/>
      <c r="H868" s="68"/>
      <c r="I868" s="71"/>
      <c r="J868" s="41"/>
      <c r="K868" s="41"/>
      <c r="L868" s="71"/>
      <c r="M868" s="71"/>
      <c r="N868" s="71"/>
      <c r="O868" s="71"/>
      <c r="P868" s="41"/>
      <c r="Q868" s="41"/>
      <c r="R868" s="71"/>
      <c r="S868" s="71"/>
      <c r="T868" s="75"/>
      <c r="U868" s="75"/>
      <c r="V868" s="75"/>
      <c r="W868" s="58" t="str">
        <f t="shared" si="56"/>
        <v/>
      </c>
      <c r="X868" s="59" t="str">
        <f t="shared" si="57"/>
        <v/>
      </c>
      <c r="Y868" s="41"/>
      <c r="Z868" s="41"/>
      <c r="AA868" s="41"/>
      <c r="AB868" s="68"/>
      <c r="AC868" s="69"/>
      <c r="AD868" s="66"/>
      <c r="AE868" s="66"/>
      <c r="AF868" s="66"/>
      <c r="AG868" s="60"/>
      <c r="AH868" s="61"/>
      <c r="AI868" s="62"/>
      <c r="AJ868" s="61"/>
      <c r="AK868" s="60"/>
      <c r="AL868" s="65"/>
    </row>
    <row r="869" spans="2:38" s="42" customFormat="1" x14ac:dyDescent="0.35">
      <c r="B869" s="55" t="str">
        <f t="shared" si="55"/>
        <v/>
      </c>
      <c r="C869" s="40"/>
      <c r="D869" s="40"/>
      <c r="E869" s="41"/>
      <c r="F869" s="41"/>
      <c r="G869" s="41"/>
      <c r="H869" s="68"/>
      <c r="I869" s="71"/>
      <c r="J869" s="41"/>
      <c r="K869" s="41"/>
      <c r="L869" s="71"/>
      <c r="M869" s="71"/>
      <c r="N869" s="71"/>
      <c r="O869" s="71"/>
      <c r="P869" s="41"/>
      <c r="Q869" s="41"/>
      <c r="R869" s="71"/>
      <c r="S869" s="71"/>
      <c r="T869" s="75"/>
      <c r="U869" s="75"/>
      <c r="V869" s="75"/>
      <c r="W869" s="58" t="str">
        <f t="shared" si="56"/>
        <v/>
      </c>
      <c r="X869" s="59" t="str">
        <f t="shared" si="57"/>
        <v/>
      </c>
      <c r="Y869" s="41"/>
      <c r="Z869" s="41"/>
      <c r="AA869" s="41"/>
      <c r="AB869" s="68"/>
      <c r="AC869" s="69"/>
      <c r="AD869" s="66"/>
      <c r="AE869" s="66"/>
      <c r="AF869" s="66"/>
      <c r="AG869" s="60"/>
      <c r="AH869" s="61"/>
      <c r="AI869" s="62"/>
      <c r="AJ869" s="61"/>
      <c r="AK869" s="60"/>
      <c r="AL869" s="65"/>
    </row>
    <row r="870" spans="2:38" s="42" customFormat="1" x14ac:dyDescent="0.35">
      <c r="B870" s="55" t="str">
        <f t="shared" si="55"/>
        <v/>
      </c>
      <c r="C870" s="40"/>
      <c r="D870" s="40"/>
      <c r="E870" s="41"/>
      <c r="F870" s="41"/>
      <c r="G870" s="41"/>
      <c r="H870" s="68"/>
      <c r="I870" s="71"/>
      <c r="J870" s="41"/>
      <c r="K870" s="41"/>
      <c r="L870" s="71"/>
      <c r="M870" s="71"/>
      <c r="N870" s="71"/>
      <c r="O870" s="71"/>
      <c r="P870" s="41"/>
      <c r="Q870" s="41"/>
      <c r="R870" s="71"/>
      <c r="S870" s="71"/>
      <c r="T870" s="75"/>
      <c r="U870" s="75"/>
      <c r="V870" s="75"/>
      <c r="W870" s="58" t="str">
        <f t="shared" si="56"/>
        <v/>
      </c>
      <c r="X870" s="59" t="str">
        <f t="shared" si="57"/>
        <v/>
      </c>
      <c r="Y870" s="41"/>
      <c r="Z870" s="41"/>
      <c r="AA870" s="41"/>
      <c r="AB870" s="68"/>
      <c r="AC870" s="69"/>
      <c r="AD870" s="66"/>
      <c r="AE870" s="66"/>
      <c r="AF870" s="66"/>
      <c r="AG870" s="60"/>
      <c r="AH870" s="61"/>
      <c r="AI870" s="62"/>
      <c r="AJ870" s="61"/>
      <c r="AK870" s="60"/>
      <c r="AL870" s="65"/>
    </row>
    <row r="871" spans="2:38" s="42" customFormat="1" x14ac:dyDescent="0.35">
      <c r="B871" s="55" t="str">
        <f t="shared" si="55"/>
        <v/>
      </c>
      <c r="C871" s="40"/>
      <c r="D871" s="40"/>
      <c r="E871" s="41"/>
      <c r="F871" s="41"/>
      <c r="G871" s="41"/>
      <c r="H871" s="68"/>
      <c r="I871" s="71"/>
      <c r="J871" s="41"/>
      <c r="K871" s="41"/>
      <c r="L871" s="71"/>
      <c r="M871" s="71"/>
      <c r="N871" s="71"/>
      <c r="O871" s="71"/>
      <c r="P871" s="41"/>
      <c r="Q871" s="41"/>
      <c r="R871" s="71"/>
      <c r="S871" s="71"/>
      <c r="T871" s="75"/>
      <c r="U871" s="75"/>
      <c r="V871" s="75"/>
      <c r="W871" s="58" t="str">
        <f t="shared" si="56"/>
        <v/>
      </c>
      <c r="X871" s="59" t="str">
        <f t="shared" si="57"/>
        <v/>
      </c>
      <c r="Y871" s="41"/>
      <c r="Z871" s="41"/>
      <c r="AA871" s="41"/>
      <c r="AB871" s="68"/>
      <c r="AC871" s="69"/>
      <c r="AD871" s="66"/>
      <c r="AE871" s="66"/>
      <c r="AF871" s="66"/>
      <c r="AG871" s="60"/>
      <c r="AH871" s="61"/>
      <c r="AI871" s="62"/>
      <c r="AJ871" s="61"/>
      <c r="AK871" s="60"/>
      <c r="AL871" s="65"/>
    </row>
    <row r="872" spans="2:38" s="42" customFormat="1" x14ac:dyDescent="0.35">
      <c r="B872" s="55" t="str">
        <f t="shared" si="55"/>
        <v/>
      </c>
      <c r="C872" s="40"/>
      <c r="D872" s="40"/>
      <c r="E872" s="41"/>
      <c r="F872" s="41"/>
      <c r="G872" s="41"/>
      <c r="H872" s="68"/>
      <c r="I872" s="71"/>
      <c r="J872" s="41"/>
      <c r="K872" s="41"/>
      <c r="L872" s="71"/>
      <c r="M872" s="71"/>
      <c r="N872" s="71"/>
      <c r="O872" s="71"/>
      <c r="P872" s="41"/>
      <c r="Q872" s="41"/>
      <c r="R872" s="71"/>
      <c r="S872" s="71"/>
      <c r="T872" s="75"/>
      <c r="U872" s="75"/>
      <c r="V872" s="75"/>
      <c r="W872" s="58" t="str">
        <f t="shared" si="56"/>
        <v/>
      </c>
      <c r="X872" s="59" t="str">
        <f t="shared" si="57"/>
        <v/>
      </c>
      <c r="Y872" s="41"/>
      <c r="Z872" s="41"/>
      <c r="AA872" s="41"/>
      <c r="AB872" s="68"/>
      <c r="AC872" s="69"/>
      <c r="AD872" s="66"/>
      <c r="AE872" s="66"/>
      <c r="AF872" s="66"/>
      <c r="AG872" s="60"/>
      <c r="AH872" s="61"/>
      <c r="AI872" s="62"/>
      <c r="AJ872" s="61"/>
      <c r="AK872" s="60"/>
      <c r="AL872" s="65"/>
    </row>
    <row r="873" spans="2:38" s="42" customFormat="1" x14ac:dyDescent="0.35">
      <c r="B873" s="55" t="str">
        <f t="shared" si="55"/>
        <v/>
      </c>
      <c r="C873" s="40"/>
      <c r="D873" s="40"/>
      <c r="E873" s="41"/>
      <c r="F873" s="41"/>
      <c r="G873" s="41"/>
      <c r="H873" s="68"/>
      <c r="I873" s="71"/>
      <c r="J873" s="41"/>
      <c r="K873" s="41"/>
      <c r="L873" s="71"/>
      <c r="M873" s="71"/>
      <c r="N873" s="71"/>
      <c r="O873" s="71"/>
      <c r="P873" s="41"/>
      <c r="Q873" s="41"/>
      <c r="R873" s="71"/>
      <c r="S873" s="71"/>
      <c r="T873" s="75"/>
      <c r="U873" s="75"/>
      <c r="V873" s="75"/>
      <c r="W873" s="58" t="str">
        <f t="shared" si="56"/>
        <v/>
      </c>
      <c r="X873" s="59" t="str">
        <f t="shared" si="57"/>
        <v/>
      </c>
      <c r="Y873" s="41"/>
      <c r="Z873" s="41"/>
      <c r="AA873" s="41"/>
      <c r="AB873" s="68"/>
      <c r="AC873" s="69"/>
      <c r="AD873" s="66"/>
      <c r="AE873" s="66"/>
      <c r="AF873" s="66"/>
      <c r="AG873" s="60"/>
      <c r="AH873" s="61"/>
      <c r="AI873" s="62"/>
      <c r="AJ873" s="61"/>
      <c r="AK873" s="60"/>
      <c r="AL873" s="65"/>
    </row>
    <row r="874" spans="2:38" s="42" customFormat="1" x14ac:dyDescent="0.35">
      <c r="B874" s="55" t="str">
        <f t="shared" si="55"/>
        <v/>
      </c>
      <c r="C874" s="40"/>
      <c r="D874" s="40"/>
      <c r="E874" s="41"/>
      <c r="F874" s="41"/>
      <c r="G874" s="41"/>
      <c r="H874" s="68"/>
      <c r="I874" s="71"/>
      <c r="J874" s="41"/>
      <c r="K874" s="41"/>
      <c r="L874" s="71"/>
      <c r="M874" s="71"/>
      <c r="N874" s="71"/>
      <c r="O874" s="71"/>
      <c r="P874" s="41"/>
      <c r="Q874" s="41"/>
      <c r="R874" s="71"/>
      <c r="S874" s="71"/>
      <c r="T874" s="75"/>
      <c r="U874" s="75"/>
      <c r="V874" s="75"/>
      <c r="W874" s="58" t="str">
        <f t="shared" si="56"/>
        <v/>
      </c>
      <c r="X874" s="59" t="str">
        <f t="shared" si="57"/>
        <v/>
      </c>
      <c r="Y874" s="41"/>
      <c r="Z874" s="41"/>
      <c r="AA874" s="41"/>
      <c r="AB874" s="68"/>
      <c r="AC874" s="69"/>
      <c r="AD874" s="66"/>
      <c r="AE874" s="66"/>
      <c r="AF874" s="66"/>
      <c r="AG874" s="60"/>
      <c r="AH874" s="61"/>
      <c r="AI874" s="62"/>
      <c r="AJ874" s="61"/>
      <c r="AK874" s="60"/>
      <c r="AL874" s="65"/>
    </row>
    <row r="875" spans="2:38" s="42" customFormat="1" x14ac:dyDescent="0.35">
      <c r="B875" s="55" t="str">
        <f t="shared" si="55"/>
        <v/>
      </c>
      <c r="C875" s="40"/>
      <c r="D875" s="40"/>
      <c r="E875" s="41"/>
      <c r="F875" s="41"/>
      <c r="G875" s="41"/>
      <c r="H875" s="68"/>
      <c r="I875" s="71"/>
      <c r="J875" s="41"/>
      <c r="K875" s="41"/>
      <c r="L875" s="71"/>
      <c r="M875" s="71"/>
      <c r="N875" s="71"/>
      <c r="O875" s="71"/>
      <c r="P875" s="41"/>
      <c r="Q875" s="41"/>
      <c r="R875" s="71"/>
      <c r="S875" s="71"/>
      <c r="T875" s="75"/>
      <c r="U875" s="75"/>
      <c r="V875" s="75"/>
      <c r="W875" s="58" t="str">
        <f t="shared" si="56"/>
        <v/>
      </c>
      <c r="X875" s="59" t="str">
        <f t="shared" si="57"/>
        <v/>
      </c>
      <c r="Y875" s="41"/>
      <c r="Z875" s="41"/>
      <c r="AA875" s="41"/>
      <c r="AB875" s="68"/>
      <c r="AC875" s="69"/>
      <c r="AD875" s="66"/>
      <c r="AE875" s="66"/>
      <c r="AF875" s="66"/>
      <c r="AG875" s="60"/>
      <c r="AH875" s="61"/>
      <c r="AI875" s="62"/>
      <c r="AJ875" s="61"/>
      <c r="AK875" s="60"/>
      <c r="AL875" s="65"/>
    </row>
    <row r="876" spans="2:38" s="42" customFormat="1" x14ac:dyDescent="0.35">
      <c r="B876" s="55" t="str">
        <f t="shared" si="55"/>
        <v/>
      </c>
      <c r="C876" s="40"/>
      <c r="D876" s="40"/>
      <c r="E876" s="41"/>
      <c r="F876" s="41"/>
      <c r="G876" s="41"/>
      <c r="H876" s="68"/>
      <c r="I876" s="71"/>
      <c r="J876" s="41"/>
      <c r="K876" s="41"/>
      <c r="L876" s="71"/>
      <c r="M876" s="71"/>
      <c r="N876" s="71"/>
      <c r="O876" s="71"/>
      <c r="P876" s="41"/>
      <c r="Q876" s="41"/>
      <c r="R876" s="71"/>
      <c r="S876" s="71"/>
      <c r="T876" s="75"/>
      <c r="U876" s="75"/>
      <c r="V876" s="75"/>
      <c r="W876" s="58" t="str">
        <f t="shared" si="56"/>
        <v/>
      </c>
      <c r="X876" s="59" t="str">
        <f t="shared" si="57"/>
        <v/>
      </c>
      <c r="Y876" s="41"/>
      <c r="Z876" s="41"/>
      <c r="AA876" s="41"/>
      <c r="AB876" s="68"/>
      <c r="AC876" s="69"/>
      <c r="AD876" s="66"/>
      <c r="AE876" s="66"/>
      <c r="AF876" s="66"/>
      <c r="AG876" s="60"/>
      <c r="AH876" s="61"/>
      <c r="AI876" s="62"/>
      <c r="AJ876" s="61"/>
      <c r="AK876" s="60"/>
      <c r="AL876" s="65"/>
    </row>
    <row r="877" spans="2:38" s="42" customFormat="1" x14ac:dyDescent="0.35">
      <c r="B877" s="55" t="str">
        <f t="shared" si="55"/>
        <v/>
      </c>
      <c r="C877" s="40"/>
      <c r="D877" s="40"/>
      <c r="E877" s="41"/>
      <c r="F877" s="41"/>
      <c r="G877" s="41"/>
      <c r="H877" s="68"/>
      <c r="I877" s="71"/>
      <c r="J877" s="41"/>
      <c r="K877" s="41"/>
      <c r="L877" s="71"/>
      <c r="M877" s="71"/>
      <c r="N877" s="71"/>
      <c r="O877" s="71"/>
      <c r="P877" s="41"/>
      <c r="Q877" s="41"/>
      <c r="R877" s="71"/>
      <c r="S877" s="71"/>
      <c r="T877" s="75"/>
      <c r="U877" s="75"/>
      <c r="V877" s="75"/>
      <c r="W877" s="58" t="str">
        <f t="shared" si="56"/>
        <v/>
      </c>
      <c r="X877" s="59" t="str">
        <f t="shared" si="57"/>
        <v/>
      </c>
      <c r="Y877" s="41"/>
      <c r="Z877" s="41"/>
      <c r="AA877" s="41"/>
      <c r="AB877" s="68"/>
      <c r="AC877" s="69"/>
      <c r="AD877" s="66"/>
      <c r="AE877" s="66"/>
      <c r="AF877" s="66"/>
      <c r="AG877" s="60"/>
      <c r="AH877" s="61"/>
      <c r="AI877" s="62"/>
      <c r="AJ877" s="61"/>
      <c r="AK877" s="60"/>
      <c r="AL877" s="65"/>
    </row>
    <row r="878" spans="2:38" s="42" customFormat="1" x14ac:dyDescent="0.35">
      <c r="B878" s="55" t="str">
        <f t="shared" si="55"/>
        <v/>
      </c>
      <c r="C878" s="40"/>
      <c r="D878" s="40"/>
      <c r="E878" s="41"/>
      <c r="F878" s="41"/>
      <c r="G878" s="41"/>
      <c r="H878" s="68"/>
      <c r="I878" s="71"/>
      <c r="J878" s="41"/>
      <c r="K878" s="41"/>
      <c r="L878" s="71"/>
      <c r="M878" s="71"/>
      <c r="N878" s="71"/>
      <c r="O878" s="71"/>
      <c r="P878" s="41"/>
      <c r="Q878" s="41"/>
      <c r="R878" s="71"/>
      <c r="S878" s="71"/>
      <c r="T878" s="75"/>
      <c r="U878" s="75"/>
      <c r="V878" s="75"/>
      <c r="W878" s="58" t="str">
        <f t="shared" si="56"/>
        <v/>
      </c>
      <c r="X878" s="59" t="str">
        <f t="shared" si="57"/>
        <v/>
      </c>
      <c r="Y878" s="41"/>
      <c r="Z878" s="41"/>
      <c r="AA878" s="41"/>
      <c r="AB878" s="68"/>
      <c r="AC878" s="69"/>
      <c r="AD878" s="66"/>
      <c r="AE878" s="66"/>
      <c r="AF878" s="66"/>
      <c r="AG878" s="60"/>
      <c r="AH878" s="61"/>
      <c r="AI878" s="62"/>
      <c r="AJ878" s="61"/>
      <c r="AK878" s="60"/>
      <c r="AL878" s="65"/>
    </row>
    <row r="879" spans="2:38" s="42" customFormat="1" x14ac:dyDescent="0.35">
      <c r="B879" s="55" t="str">
        <f t="shared" si="55"/>
        <v/>
      </c>
      <c r="C879" s="40"/>
      <c r="D879" s="40"/>
      <c r="E879" s="41"/>
      <c r="F879" s="41"/>
      <c r="G879" s="41"/>
      <c r="H879" s="68"/>
      <c r="I879" s="71"/>
      <c r="J879" s="41"/>
      <c r="K879" s="41"/>
      <c r="L879" s="71"/>
      <c r="M879" s="71"/>
      <c r="N879" s="71"/>
      <c r="O879" s="71"/>
      <c r="P879" s="41"/>
      <c r="Q879" s="41"/>
      <c r="R879" s="71"/>
      <c r="S879" s="71"/>
      <c r="T879" s="75"/>
      <c r="U879" s="75"/>
      <c r="V879" s="75"/>
      <c r="W879" s="58" t="str">
        <f t="shared" si="56"/>
        <v/>
      </c>
      <c r="X879" s="59" t="str">
        <f t="shared" si="57"/>
        <v/>
      </c>
      <c r="Y879" s="41"/>
      <c r="Z879" s="41"/>
      <c r="AA879" s="41"/>
      <c r="AB879" s="68"/>
      <c r="AC879" s="69"/>
      <c r="AD879" s="66"/>
      <c r="AE879" s="66"/>
      <c r="AF879" s="66"/>
      <c r="AG879" s="60"/>
      <c r="AH879" s="61"/>
      <c r="AI879" s="62"/>
      <c r="AJ879" s="61"/>
      <c r="AK879" s="60"/>
      <c r="AL879" s="65"/>
    </row>
    <row r="880" spans="2:38" s="42" customFormat="1" x14ac:dyDescent="0.35">
      <c r="B880" s="55" t="str">
        <f t="shared" si="55"/>
        <v/>
      </c>
      <c r="C880" s="40"/>
      <c r="D880" s="40"/>
      <c r="E880" s="41"/>
      <c r="F880" s="41"/>
      <c r="G880" s="41"/>
      <c r="H880" s="68"/>
      <c r="I880" s="71"/>
      <c r="J880" s="41"/>
      <c r="K880" s="41"/>
      <c r="L880" s="71"/>
      <c r="M880" s="71"/>
      <c r="N880" s="71"/>
      <c r="O880" s="71"/>
      <c r="P880" s="41"/>
      <c r="Q880" s="41"/>
      <c r="R880" s="71"/>
      <c r="S880" s="71"/>
      <c r="T880" s="75"/>
      <c r="U880" s="75"/>
      <c r="V880" s="75"/>
      <c r="W880" s="58" t="str">
        <f t="shared" si="56"/>
        <v/>
      </c>
      <c r="X880" s="59" t="str">
        <f t="shared" si="57"/>
        <v/>
      </c>
      <c r="Y880" s="41"/>
      <c r="Z880" s="41"/>
      <c r="AA880" s="41"/>
      <c r="AB880" s="68"/>
      <c r="AC880" s="69"/>
      <c r="AD880" s="66"/>
      <c r="AE880" s="66"/>
      <c r="AF880" s="66"/>
      <c r="AG880" s="60"/>
      <c r="AH880" s="61"/>
      <c r="AI880" s="62"/>
      <c r="AJ880" s="61"/>
      <c r="AK880" s="60"/>
      <c r="AL880" s="65"/>
    </row>
    <row r="881" spans="2:38" s="42" customFormat="1" x14ac:dyDescent="0.35">
      <c r="B881" s="55" t="str">
        <f t="shared" si="55"/>
        <v/>
      </c>
      <c r="C881" s="40"/>
      <c r="D881" s="40"/>
      <c r="E881" s="41"/>
      <c r="F881" s="41"/>
      <c r="G881" s="41"/>
      <c r="H881" s="68"/>
      <c r="I881" s="71"/>
      <c r="J881" s="41"/>
      <c r="K881" s="41"/>
      <c r="L881" s="71"/>
      <c r="M881" s="71"/>
      <c r="N881" s="71"/>
      <c r="O881" s="71"/>
      <c r="P881" s="41"/>
      <c r="Q881" s="41"/>
      <c r="R881" s="71"/>
      <c r="S881" s="71"/>
      <c r="T881" s="75"/>
      <c r="U881" s="75"/>
      <c r="V881" s="75"/>
      <c r="W881" s="58" t="str">
        <f t="shared" si="56"/>
        <v/>
      </c>
      <c r="X881" s="59" t="str">
        <f t="shared" si="57"/>
        <v/>
      </c>
      <c r="Y881" s="41"/>
      <c r="Z881" s="41"/>
      <c r="AA881" s="41"/>
      <c r="AB881" s="68"/>
      <c r="AC881" s="69"/>
      <c r="AD881" s="66"/>
      <c r="AE881" s="66"/>
      <c r="AF881" s="66"/>
      <c r="AG881" s="60"/>
      <c r="AH881" s="61"/>
      <c r="AI881" s="62"/>
      <c r="AJ881" s="61"/>
      <c r="AK881" s="60"/>
      <c r="AL881" s="65"/>
    </row>
    <row r="882" spans="2:38" s="42" customFormat="1" x14ac:dyDescent="0.35">
      <c r="B882" s="55" t="str">
        <f t="shared" si="55"/>
        <v/>
      </c>
      <c r="C882" s="40"/>
      <c r="D882" s="40"/>
      <c r="E882" s="41"/>
      <c r="F882" s="41"/>
      <c r="G882" s="41"/>
      <c r="H882" s="68"/>
      <c r="I882" s="71"/>
      <c r="J882" s="41"/>
      <c r="K882" s="41"/>
      <c r="L882" s="71"/>
      <c r="M882" s="71"/>
      <c r="N882" s="71"/>
      <c r="O882" s="71"/>
      <c r="P882" s="41"/>
      <c r="Q882" s="41"/>
      <c r="R882" s="71"/>
      <c r="S882" s="71"/>
      <c r="T882" s="75"/>
      <c r="U882" s="75"/>
      <c r="V882" s="75"/>
      <c r="W882" s="58" t="str">
        <f t="shared" si="56"/>
        <v/>
      </c>
      <c r="X882" s="59" t="str">
        <f t="shared" si="57"/>
        <v/>
      </c>
      <c r="Y882" s="41"/>
      <c r="Z882" s="41"/>
      <c r="AA882" s="41"/>
      <c r="AB882" s="68"/>
      <c r="AC882" s="69"/>
      <c r="AD882" s="66"/>
      <c r="AE882" s="66"/>
      <c r="AF882" s="66"/>
      <c r="AG882" s="60"/>
      <c r="AH882" s="61"/>
      <c r="AI882" s="62"/>
      <c r="AJ882" s="61"/>
      <c r="AK882" s="60"/>
      <c r="AL882" s="65"/>
    </row>
    <row r="883" spans="2:38" s="42" customFormat="1" x14ac:dyDescent="0.35">
      <c r="B883" s="55" t="str">
        <f t="shared" si="55"/>
        <v/>
      </c>
      <c r="C883" s="40"/>
      <c r="D883" s="40"/>
      <c r="E883" s="41"/>
      <c r="F883" s="41"/>
      <c r="G883" s="41"/>
      <c r="H883" s="68"/>
      <c r="I883" s="71"/>
      <c r="J883" s="41"/>
      <c r="K883" s="41"/>
      <c r="L883" s="71"/>
      <c r="M883" s="71"/>
      <c r="N883" s="71"/>
      <c r="O883" s="71"/>
      <c r="P883" s="41"/>
      <c r="Q883" s="41"/>
      <c r="R883" s="71"/>
      <c r="S883" s="71"/>
      <c r="T883" s="75"/>
      <c r="U883" s="75"/>
      <c r="V883" s="75"/>
      <c r="W883" s="58" t="str">
        <f t="shared" si="56"/>
        <v/>
      </c>
      <c r="X883" s="59" t="str">
        <f t="shared" si="57"/>
        <v/>
      </c>
      <c r="Y883" s="41"/>
      <c r="Z883" s="41"/>
      <c r="AA883" s="41"/>
      <c r="AB883" s="68"/>
      <c r="AC883" s="69"/>
      <c r="AD883" s="66"/>
      <c r="AE883" s="66"/>
      <c r="AF883" s="66"/>
      <c r="AG883" s="60"/>
      <c r="AH883" s="61"/>
      <c r="AI883" s="62"/>
      <c r="AJ883" s="61"/>
      <c r="AK883" s="60"/>
      <c r="AL883" s="65"/>
    </row>
    <row r="884" spans="2:38" s="42" customFormat="1" x14ac:dyDescent="0.35">
      <c r="B884" s="55" t="str">
        <f t="shared" si="55"/>
        <v/>
      </c>
      <c r="C884" s="40"/>
      <c r="D884" s="40"/>
      <c r="E884" s="41"/>
      <c r="F884" s="41"/>
      <c r="G884" s="41"/>
      <c r="H884" s="68"/>
      <c r="I884" s="71"/>
      <c r="J884" s="41"/>
      <c r="K884" s="41"/>
      <c r="L884" s="71"/>
      <c r="M884" s="71"/>
      <c r="N884" s="71"/>
      <c r="O884" s="71"/>
      <c r="P884" s="41"/>
      <c r="Q884" s="41"/>
      <c r="R884" s="71"/>
      <c r="S884" s="71"/>
      <c r="T884" s="75"/>
      <c r="U884" s="75"/>
      <c r="V884" s="75"/>
      <c r="W884" s="58" t="str">
        <f t="shared" si="56"/>
        <v/>
      </c>
      <c r="X884" s="59" t="str">
        <f t="shared" si="57"/>
        <v/>
      </c>
      <c r="Y884" s="41"/>
      <c r="Z884" s="41"/>
      <c r="AA884" s="41"/>
      <c r="AB884" s="68"/>
      <c r="AC884" s="69"/>
      <c r="AD884" s="66"/>
      <c r="AE884" s="66"/>
      <c r="AF884" s="66"/>
      <c r="AG884" s="60"/>
      <c r="AH884" s="61"/>
      <c r="AI884" s="62"/>
      <c r="AJ884" s="61"/>
      <c r="AK884" s="60"/>
      <c r="AL884" s="65"/>
    </row>
    <row r="885" spans="2:38" s="42" customFormat="1" x14ac:dyDescent="0.35">
      <c r="B885" s="55" t="str">
        <f t="shared" si="55"/>
        <v/>
      </c>
      <c r="C885" s="40"/>
      <c r="D885" s="40"/>
      <c r="E885" s="41"/>
      <c r="F885" s="41"/>
      <c r="G885" s="41"/>
      <c r="H885" s="68"/>
      <c r="I885" s="71"/>
      <c r="J885" s="41"/>
      <c r="K885" s="41"/>
      <c r="L885" s="71"/>
      <c r="M885" s="71"/>
      <c r="N885" s="71"/>
      <c r="O885" s="71"/>
      <c r="P885" s="41"/>
      <c r="Q885" s="41"/>
      <c r="R885" s="71"/>
      <c r="S885" s="71"/>
      <c r="T885" s="75"/>
      <c r="U885" s="75"/>
      <c r="V885" s="75"/>
      <c r="W885" s="58" t="str">
        <f t="shared" si="56"/>
        <v/>
      </c>
      <c r="X885" s="59" t="str">
        <f t="shared" si="57"/>
        <v/>
      </c>
      <c r="Y885" s="41"/>
      <c r="Z885" s="41"/>
      <c r="AA885" s="41"/>
      <c r="AB885" s="68"/>
      <c r="AC885" s="69"/>
      <c r="AD885" s="66"/>
      <c r="AE885" s="66"/>
      <c r="AF885" s="66"/>
      <c r="AG885" s="60"/>
      <c r="AH885" s="61"/>
      <c r="AI885" s="62"/>
      <c r="AJ885" s="61"/>
      <c r="AK885" s="60"/>
      <c r="AL885" s="65"/>
    </row>
    <row r="886" spans="2:38" s="42" customFormat="1" x14ac:dyDescent="0.35">
      <c r="B886" s="55" t="str">
        <f t="shared" si="55"/>
        <v/>
      </c>
      <c r="C886" s="40"/>
      <c r="D886" s="40"/>
      <c r="E886" s="41"/>
      <c r="F886" s="41"/>
      <c r="G886" s="41"/>
      <c r="H886" s="68"/>
      <c r="I886" s="71"/>
      <c r="J886" s="41"/>
      <c r="K886" s="41"/>
      <c r="L886" s="71"/>
      <c r="M886" s="71"/>
      <c r="N886" s="71"/>
      <c r="O886" s="71"/>
      <c r="P886" s="41"/>
      <c r="Q886" s="41"/>
      <c r="R886" s="71"/>
      <c r="S886" s="71"/>
      <c r="T886" s="75"/>
      <c r="U886" s="75"/>
      <c r="V886" s="75"/>
      <c r="W886" s="58" t="str">
        <f t="shared" si="56"/>
        <v/>
      </c>
      <c r="X886" s="59" t="str">
        <f t="shared" si="57"/>
        <v/>
      </c>
      <c r="Y886" s="41"/>
      <c r="Z886" s="41"/>
      <c r="AA886" s="41"/>
      <c r="AB886" s="68"/>
      <c r="AC886" s="69"/>
      <c r="AD886" s="66"/>
      <c r="AE886" s="66"/>
      <c r="AF886" s="66"/>
      <c r="AG886" s="60"/>
      <c r="AH886" s="61"/>
      <c r="AI886" s="62"/>
      <c r="AJ886" s="61"/>
      <c r="AK886" s="60"/>
      <c r="AL886" s="65"/>
    </row>
    <row r="887" spans="2:38" s="42" customFormat="1" x14ac:dyDescent="0.35">
      <c r="B887" s="55" t="str">
        <f t="shared" si="55"/>
        <v/>
      </c>
      <c r="C887" s="40"/>
      <c r="D887" s="40"/>
      <c r="E887" s="41"/>
      <c r="F887" s="41"/>
      <c r="G887" s="41"/>
      <c r="H887" s="68"/>
      <c r="I887" s="71"/>
      <c r="J887" s="41"/>
      <c r="K887" s="41"/>
      <c r="L887" s="71"/>
      <c r="M887" s="71"/>
      <c r="N887" s="71"/>
      <c r="O887" s="71"/>
      <c r="P887" s="41"/>
      <c r="Q887" s="41"/>
      <c r="R887" s="71"/>
      <c r="S887" s="71"/>
      <c r="T887" s="75"/>
      <c r="U887" s="75"/>
      <c r="V887" s="75"/>
      <c r="W887" s="58" t="str">
        <f t="shared" si="56"/>
        <v/>
      </c>
      <c r="X887" s="59" t="str">
        <f t="shared" si="57"/>
        <v/>
      </c>
      <c r="Y887" s="41"/>
      <c r="Z887" s="41"/>
      <c r="AA887" s="41"/>
      <c r="AB887" s="68"/>
      <c r="AC887" s="69"/>
      <c r="AD887" s="66"/>
      <c r="AE887" s="66"/>
      <c r="AF887" s="66"/>
      <c r="AG887" s="60"/>
      <c r="AH887" s="61"/>
      <c r="AI887" s="62"/>
      <c r="AJ887" s="61"/>
      <c r="AK887" s="60"/>
      <c r="AL887" s="65"/>
    </row>
    <row r="888" spans="2:38" s="42" customFormat="1" x14ac:dyDescent="0.35">
      <c r="B888" s="55" t="str">
        <f t="shared" si="55"/>
        <v/>
      </c>
      <c r="C888" s="40"/>
      <c r="D888" s="40"/>
      <c r="E888" s="41"/>
      <c r="F888" s="41"/>
      <c r="G888" s="41"/>
      <c r="H888" s="68"/>
      <c r="I888" s="71"/>
      <c r="J888" s="41"/>
      <c r="K888" s="41"/>
      <c r="L888" s="71"/>
      <c r="M888" s="71"/>
      <c r="N888" s="71"/>
      <c r="O888" s="71"/>
      <c r="P888" s="41"/>
      <c r="Q888" s="41"/>
      <c r="R888" s="71"/>
      <c r="S888" s="71"/>
      <c r="T888" s="75"/>
      <c r="U888" s="75"/>
      <c r="V888" s="75"/>
      <c r="W888" s="58" t="str">
        <f t="shared" si="56"/>
        <v/>
      </c>
      <c r="X888" s="59" t="str">
        <f t="shared" si="57"/>
        <v/>
      </c>
      <c r="Y888" s="41"/>
      <c r="Z888" s="41"/>
      <c r="AA888" s="41"/>
      <c r="AB888" s="68"/>
      <c r="AC888" s="69"/>
      <c r="AD888" s="66"/>
      <c r="AE888" s="66"/>
      <c r="AF888" s="66"/>
      <c r="AG888" s="60"/>
      <c r="AH888" s="61"/>
      <c r="AI888" s="62"/>
      <c r="AJ888" s="61"/>
      <c r="AK888" s="60"/>
      <c r="AL888" s="65"/>
    </row>
    <row r="889" spans="2:38" s="42" customFormat="1" x14ac:dyDescent="0.35">
      <c r="B889" s="55" t="str">
        <f t="shared" si="55"/>
        <v/>
      </c>
      <c r="C889" s="40"/>
      <c r="D889" s="40"/>
      <c r="E889" s="41"/>
      <c r="F889" s="41"/>
      <c r="G889" s="41"/>
      <c r="H889" s="68"/>
      <c r="I889" s="71"/>
      <c r="J889" s="41"/>
      <c r="K889" s="41"/>
      <c r="L889" s="71"/>
      <c r="M889" s="71"/>
      <c r="N889" s="71"/>
      <c r="O889" s="71"/>
      <c r="P889" s="41"/>
      <c r="Q889" s="41"/>
      <c r="R889" s="71"/>
      <c r="S889" s="71"/>
      <c r="T889" s="75"/>
      <c r="U889" s="75"/>
      <c r="V889" s="75"/>
      <c r="W889" s="58" t="str">
        <f t="shared" si="56"/>
        <v/>
      </c>
      <c r="X889" s="59" t="str">
        <f t="shared" si="57"/>
        <v/>
      </c>
      <c r="Y889" s="41"/>
      <c r="Z889" s="41"/>
      <c r="AA889" s="41"/>
      <c r="AB889" s="68"/>
      <c r="AC889" s="69"/>
      <c r="AD889" s="66"/>
      <c r="AE889" s="66"/>
      <c r="AF889" s="66"/>
      <c r="AG889" s="60"/>
      <c r="AH889" s="61"/>
      <c r="AI889" s="62"/>
      <c r="AJ889" s="61"/>
      <c r="AK889" s="60"/>
      <c r="AL889" s="65"/>
    </row>
    <row r="890" spans="2:38" s="42" customFormat="1" x14ac:dyDescent="0.35">
      <c r="B890" s="55" t="str">
        <f t="shared" si="55"/>
        <v/>
      </c>
      <c r="C890" s="40"/>
      <c r="D890" s="40"/>
      <c r="E890" s="41"/>
      <c r="F890" s="41"/>
      <c r="G890" s="41"/>
      <c r="H890" s="68"/>
      <c r="I890" s="71"/>
      <c r="J890" s="41"/>
      <c r="K890" s="41"/>
      <c r="L890" s="71"/>
      <c r="M890" s="71"/>
      <c r="N890" s="71"/>
      <c r="O890" s="71"/>
      <c r="P890" s="41"/>
      <c r="Q890" s="41"/>
      <c r="R890" s="71"/>
      <c r="S890" s="71"/>
      <c r="T890" s="75"/>
      <c r="U890" s="75"/>
      <c r="V890" s="75"/>
      <c r="W890" s="58" t="str">
        <f t="shared" si="56"/>
        <v/>
      </c>
      <c r="X890" s="59" t="str">
        <f t="shared" si="57"/>
        <v/>
      </c>
      <c r="Y890" s="41"/>
      <c r="Z890" s="41"/>
      <c r="AA890" s="41"/>
      <c r="AB890" s="68"/>
      <c r="AC890" s="69"/>
      <c r="AD890" s="66"/>
      <c r="AE890" s="66"/>
      <c r="AF890" s="66"/>
      <c r="AG890" s="60"/>
      <c r="AH890" s="61"/>
      <c r="AI890" s="62"/>
      <c r="AJ890" s="61"/>
      <c r="AK890" s="60"/>
      <c r="AL890" s="65"/>
    </row>
    <row r="891" spans="2:38" s="42" customFormat="1" x14ac:dyDescent="0.35">
      <c r="B891" s="55" t="str">
        <f t="shared" si="55"/>
        <v/>
      </c>
      <c r="C891" s="40"/>
      <c r="D891" s="40"/>
      <c r="E891" s="41"/>
      <c r="F891" s="41"/>
      <c r="G891" s="41"/>
      <c r="H891" s="68"/>
      <c r="I891" s="71"/>
      <c r="J891" s="41"/>
      <c r="K891" s="41"/>
      <c r="L891" s="71"/>
      <c r="M891" s="71"/>
      <c r="N891" s="71"/>
      <c r="O891" s="71"/>
      <c r="P891" s="41"/>
      <c r="Q891" s="41"/>
      <c r="R891" s="71"/>
      <c r="S891" s="71"/>
      <c r="T891" s="75"/>
      <c r="U891" s="75"/>
      <c r="V891" s="75"/>
      <c r="W891" s="58" t="str">
        <f t="shared" si="56"/>
        <v/>
      </c>
      <c r="X891" s="59" t="str">
        <f t="shared" si="57"/>
        <v/>
      </c>
      <c r="Y891" s="41"/>
      <c r="Z891" s="41"/>
      <c r="AA891" s="41"/>
      <c r="AB891" s="68"/>
      <c r="AC891" s="69"/>
      <c r="AD891" s="66"/>
      <c r="AE891" s="66"/>
      <c r="AF891" s="66"/>
      <c r="AG891" s="60"/>
      <c r="AH891" s="61"/>
      <c r="AI891" s="62"/>
      <c r="AJ891" s="61"/>
      <c r="AK891" s="60"/>
      <c r="AL891" s="65"/>
    </row>
    <row r="892" spans="2:38" s="42" customFormat="1" x14ac:dyDescent="0.35">
      <c r="B892" s="55" t="str">
        <f t="shared" si="55"/>
        <v/>
      </c>
      <c r="C892" s="40"/>
      <c r="D892" s="40"/>
      <c r="E892" s="41"/>
      <c r="F892" s="41"/>
      <c r="G892" s="41"/>
      <c r="H892" s="68"/>
      <c r="I892" s="71"/>
      <c r="J892" s="41"/>
      <c r="K892" s="41"/>
      <c r="L892" s="71"/>
      <c r="M892" s="71"/>
      <c r="N892" s="71"/>
      <c r="O892" s="71"/>
      <c r="P892" s="41"/>
      <c r="Q892" s="41"/>
      <c r="R892" s="71"/>
      <c r="S892" s="71"/>
      <c r="T892" s="75"/>
      <c r="U892" s="75"/>
      <c r="V892" s="75"/>
      <c r="W892" s="58" t="str">
        <f t="shared" si="56"/>
        <v/>
      </c>
      <c r="X892" s="59" t="str">
        <f t="shared" si="57"/>
        <v/>
      </c>
      <c r="Y892" s="41"/>
      <c r="Z892" s="41"/>
      <c r="AA892" s="41"/>
      <c r="AB892" s="68"/>
      <c r="AC892" s="69"/>
      <c r="AD892" s="66"/>
      <c r="AE892" s="66"/>
      <c r="AF892" s="66"/>
      <c r="AG892" s="60"/>
      <c r="AH892" s="61"/>
      <c r="AI892" s="62"/>
      <c r="AJ892" s="61"/>
      <c r="AK892" s="60"/>
      <c r="AL892" s="65"/>
    </row>
    <row r="893" spans="2:38" s="42" customFormat="1" x14ac:dyDescent="0.35">
      <c r="B893" s="55" t="str">
        <f t="shared" si="55"/>
        <v/>
      </c>
      <c r="C893" s="40"/>
      <c r="D893" s="40"/>
      <c r="E893" s="41"/>
      <c r="F893" s="41"/>
      <c r="G893" s="41"/>
      <c r="H893" s="68"/>
      <c r="I893" s="71"/>
      <c r="J893" s="41"/>
      <c r="K893" s="41"/>
      <c r="L893" s="71"/>
      <c r="M893" s="71"/>
      <c r="N893" s="71"/>
      <c r="O893" s="71"/>
      <c r="P893" s="41"/>
      <c r="Q893" s="41"/>
      <c r="R893" s="71"/>
      <c r="S893" s="71"/>
      <c r="T893" s="75"/>
      <c r="U893" s="75"/>
      <c r="V893" s="75"/>
      <c r="W893" s="58" t="str">
        <f t="shared" si="56"/>
        <v/>
      </c>
      <c r="X893" s="59" t="str">
        <f t="shared" si="57"/>
        <v/>
      </c>
      <c r="Y893" s="41"/>
      <c r="Z893" s="41"/>
      <c r="AA893" s="41"/>
      <c r="AB893" s="68"/>
      <c r="AC893" s="69"/>
      <c r="AD893" s="66"/>
      <c r="AE893" s="66"/>
      <c r="AF893" s="66"/>
      <c r="AG893" s="60"/>
      <c r="AH893" s="61"/>
      <c r="AI893" s="62"/>
      <c r="AJ893" s="61"/>
      <c r="AK893" s="60"/>
      <c r="AL893" s="65"/>
    </row>
    <row r="894" spans="2:38" s="42" customFormat="1" x14ac:dyDescent="0.35">
      <c r="B894" s="55" t="str">
        <f t="shared" si="55"/>
        <v/>
      </c>
      <c r="C894" s="40"/>
      <c r="D894" s="40"/>
      <c r="E894" s="41"/>
      <c r="F894" s="41"/>
      <c r="G894" s="41"/>
      <c r="H894" s="68"/>
      <c r="I894" s="71"/>
      <c r="J894" s="41"/>
      <c r="K894" s="41"/>
      <c r="L894" s="71"/>
      <c r="M894" s="71"/>
      <c r="N894" s="71"/>
      <c r="O894" s="71"/>
      <c r="P894" s="41"/>
      <c r="Q894" s="41"/>
      <c r="R894" s="71"/>
      <c r="S894" s="71"/>
      <c r="T894" s="75"/>
      <c r="U894" s="75"/>
      <c r="V894" s="75"/>
      <c r="W894" s="58" t="str">
        <f t="shared" si="56"/>
        <v/>
      </c>
      <c r="X894" s="59" t="str">
        <f t="shared" si="57"/>
        <v/>
      </c>
      <c r="Y894" s="41"/>
      <c r="Z894" s="41"/>
      <c r="AA894" s="41"/>
      <c r="AB894" s="68"/>
      <c r="AC894" s="69"/>
      <c r="AD894" s="66"/>
      <c r="AE894" s="66"/>
      <c r="AF894" s="66"/>
      <c r="AG894" s="60"/>
      <c r="AH894" s="61"/>
      <c r="AI894" s="62"/>
      <c r="AJ894" s="61"/>
      <c r="AK894" s="60"/>
      <c r="AL894" s="65"/>
    </row>
    <row r="895" spans="2:38" s="42" customFormat="1" x14ac:dyDescent="0.35">
      <c r="B895" s="55" t="str">
        <f t="shared" si="55"/>
        <v/>
      </c>
      <c r="C895" s="40"/>
      <c r="D895" s="40"/>
      <c r="E895" s="41"/>
      <c r="F895" s="41"/>
      <c r="G895" s="41"/>
      <c r="H895" s="68"/>
      <c r="I895" s="71"/>
      <c r="J895" s="41"/>
      <c r="K895" s="41"/>
      <c r="L895" s="71"/>
      <c r="M895" s="71"/>
      <c r="N895" s="71"/>
      <c r="O895" s="71"/>
      <c r="P895" s="41"/>
      <c r="Q895" s="41"/>
      <c r="R895" s="71"/>
      <c r="S895" s="71"/>
      <c r="T895" s="75"/>
      <c r="U895" s="75"/>
      <c r="V895" s="75"/>
      <c r="W895" s="58" t="str">
        <f t="shared" si="56"/>
        <v/>
      </c>
      <c r="X895" s="59" t="str">
        <f t="shared" si="57"/>
        <v/>
      </c>
      <c r="Y895" s="41"/>
      <c r="Z895" s="41"/>
      <c r="AA895" s="41"/>
      <c r="AB895" s="68"/>
      <c r="AC895" s="69"/>
      <c r="AD895" s="66"/>
      <c r="AE895" s="66"/>
      <c r="AF895" s="66"/>
      <c r="AG895" s="60"/>
      <c r="AH895" s="61"/>
      <c r="AI895" s="62"/>
      <c r="AJ895" s="61"/>
      <c r="AK895" s="60"/>
      <c r="AL895" s="65"/>
    </row>
    <row r="896" spans="2:38" s="42" customFormat="1" x14ac:dyDescent="0.35">
      <c r="B896" s="55" t="str">
        <f t="shared" si="55"/>
        <v/>
      </c>
      <c r="C896" s="40"/>
      <c r="D896" s="40"/>
      <c r="E896" s="41"/>
      <c r="F896" s="41"/>
      <c r="G896" s="41"/>
      <c r="H896" s="68"/>
      <c r="I896" s="71"/>
      <c r="J896" s="41"/>
      <c r="K896" s="41"/>
      <c r="L896" s="71"/>
      <c r="M896" s="71"/>
      <c r="N896" s="71"/>
      <c r="O896" s="71"/>
      <c r="P896" s="41"/>
      <c r="Q896" s="41"/>
      <c r="R896" s="71"/>
      <c r="S896" s="71"/>
      <c r="T896" s="75"/>
      <c r="U896" s="75"/>
      <c r="V896" s="75"/>
      <c r="W896" s="58" t="str">
        <f t="shared" si="56"/>
        <v/>
      </c>
      <c r="X896" s="59" t="str">
        <f t="shared" si="57"/>
        <v/>
      </c>
      <c r="Y896" s="41"/>
      <c r="Z896" s="41"/>
      <c r="AA896" s="41"/>
      <c r="AB896" s="68"/>
      <c r="AC896" s="69"/>
      <c r="AD896" s="66"/>
      <c r="AE896" s="66"/>
      <c r="AF896" s="66"/>
      <c r="AG896" s="60"/>
      <c r="AH896" s="61"/>
      <c r="AI896" s="62"/>
      <c r="AJ896" s="61"/>
      <c r="AK896" s="60"/>
      <c r="AL896" s="65"/>
    </row>
    <row r="897" spans="2:38" s="42" customFormat="1" x14ac:dyDescent="0.35">
      <c r="B897" s="55" t="str">
        <f t="shared" si="55"/>
        <v/>
      </c>
      <c r="C897" s="40"/>
      <c r="D897" s="40"/>
      <c r="E897" s="41"/>
      <c r="F897" s="41"/>
      <c r="G897" s="41"/>
      <c r="H897" s="68"/>
      <c r="I897" s="71"/>
      <c r="J897" s="41"/>
      <c r="K897" s="41"/>
      <c r="L897" s="71"/>
      <c r="M897" s="71"/>
      <c r="N897" s="71"/>
      <c r="O897" s="71"/>
      <c r="P897" s="41"/>
      <c r="Q897" s="41"/>
      <c r="R897" s="71"/>
      <c r="S897" s="71"/>
      <c r="T897" s="75"/>
      <c r="U897" s="75"/>
      <c r="V897" s="75"/>
      <c r="W897" s="58" t="str">
        <f t="shared" si="56"/>
        <v/>
      </c>
      <c r="X897" s="59" t="str">
        <f t="shared" si="57"/>
        <v/>
      </c>
      <c r="Y897" s="41"/>
      <c r="Z897" s="41"/>
      <c r="AA897" s="41"/>
      <c r="AB897" s="68"/>
      <c r="AC897" s="69"/>
      <c r="AD897" s="66"/>
      <c r="AE897" s="66"/>
      <c r="AF897" s="66"/>
      <c r="AG897" s="60"/>
      <c r="AH897" s="61"/>
      <c r="AI897" s="62"/>
      <c r="AJ897" s="61"/>
      <c r="AK897" s="60"/>
      <c r="AL897" s="65"/>
    </row>
    <row r="898" spans="2:38" s="42" customFormat="1" x14ac:dyDescent="0.35">
      <c r="B898" s="55" t="str">
        <f t="shared" si="55"/>
        <v/>
      </c>
      <c r="C898" s="40"/>
      <c r="D898" s="40"/>
      <c r="E898" s="41"/>
      <c r="F898" s="41"/>
      <c r="G898" s="41"/>
      <c r="H898" s="68"/>
      <c r="I898" s="71"/>
      <c r="J898" s="41"/>
      <c r="K898" s="41"/>
      <c r="L898" s="71"/>
      <c r="M898" s="71"/>
      <c r="N898" s="71"/>
      <c r="O898" s="71"/>
      <c r="P898" s="41"/>
      <c r="Q898" s="41"/>
      <c r="R898" s="71"/>
      <c r="S898" s="71"/>
      <c r="T898" s="75"/>
      <c r="U898" s="75"/>
      <c r="V898" s="75"/>
      <c r="W898" s="58" t="str">
        <f t="shared" si="56"/>
        <v/>
      </c>
      <c r="X898" s="59" t="str">
        <f t="shared" si="57"/>
        <v/>
      </c>
      <c r="Y898" s="41"/>
      <c r="Z898" s="41"/>
      <c r="AA898" s="41"/>
      <c r="AB898" s="68"/>
      <c r="AC898" s="69"/>
      <c r="AD898" s="66"/>
      <c r="AE898" s="66"/>
      <c r="AF898" s="66"/>
      <c r="AG898" s="60"/>
      <c r="AH898" s="61"/>
      <c r="AI898" s="62"/>
      <c r="AJ898" s="61"/>
      <c r="AK898" s="60"/>
      <c r="AL898" s="65"/>
    </row>
    <row r="899" spans="2:38" s="42" customFormat="1" x14ac:dyDescent="0.35">
      <c r="B899" s="55" t="str">
        <f t="shared" ref="B899:B962" si="58">IF($C899="","",Prefixo&amp;"-"&amp;TEXT(ROW()-2,"0000"))</f>
        <v/>
      </c>
      <c r="C899" s="40"/>
      <c r="D899" s="40"/>
      <c r="E899" s="41"/>
      <c r="F899" s="41"/>
      <c r="G899" s="41"/>
      <c r="H899" s="68"/>
      <c r="I899" s="71"/>
      <c r="J899" s="41"/>
      <c r="K899" s="41"/>
      <c r="L899" s="71"/>
      <c r="M899" s="71"/>
      <c r="N899" s="71"/>
      <c r="O899" s="71"/>
      <c r="P899" s="41"/>
      <c r="Q899" s="41"/>
      <c r="R899" s="71"/>
      <c r="S899" s="71"/>
      <c r="T899" s="75"/>
      <c r="U899" s="75"/>
      <c r="V899" s="75"/>
      <c r="W899" s="58" t="str">
        <f t="shared" si="56"/>
        <v/>
      </c>
      <c r="X899" s="59" t="str">
        <f t="shared" si="57"/>
        <v/>
      </c>
      <c r="Y899" s="41"/>
      <c r="Z899" s="41"/>
      <c r="AA899" s="41"/>
      <c r="AB899" s="68"/>
      <c r="AC899" s="69"/>
      <c r="AD899" s="66"/>
      <c r="AE899" s="66"/>
      <c r="AF899" s="66"/>
      <c r="AG899" s="60"/>
      <c r="AH899" s="61"/>
      <c r="AI899" s="62"/>
      <c r="AJ899" s="61"/>
      <c r="AK899" s="60"/>
      <c r="AL899" s="65"/>
    </row>
    <row r="900" spans="2:38" s="42" customFormat="1" x14ac:dyDescent="0.35">
      <c r="B900" s="55" t="str">
        <f t="shared" si="58"/>
        <v/>
      </c>
      <c r="C900" s="40"/>
      <c r="D900" s="40"/>
      <c r="E900" s="41"/>
      <c r="F900" s="41"/>
      <c r="G900" s="41"/>
      <c r="H900" s="68"/>
      <c r="I900" s="71"/>
      <c r="J900" s="41"/>
      <c r="K900" s="41"/>
      <c r="L900" s="71"/>
      <c r="M900" s="71"/>
      <c r="N900" s="71"/>
      <c r="O900" s="71"/>
      <c r="P900" s="41"/>
      <c r="Q900" s="41"/>
      <c r="R900" s="71"/>
      <c r="S900" s="71"/>
      <c r="T900" s="75"/>
      <c r="U900" s="75"/>
      <c r="V900" s="75"/>
      <c r="W900" s="58" t="str">
        <f t="shared" ref="W900:W963" si="59">IF(OR($U900="",$V900="",$U900&lt;=0),"",$U900-$V900)</f>
        <v/>
      </c>
      <c r="X900" s="59" t="str">
        <f t="shared" ref="X900:X963" si="60">IF(OR($U900="",$V900="",$U900&lt;=0),"",($U900-$V900)/$U900)</f>
        <v/>
      </c>
      <c r="Y900" s="41"/>
      <c r="Z900" s="41"/>
      <c r="AA900" s="41"/>
      <c r="AB900" s="68"/>
      <c r="AC900" s="69"/>
      <c r="AD900" s="66"/>
      <c r="AE900" s="66"/>
      <c r="AF900" s="66"/>
      <c r="AG900" s="60"/>
      <c r="AH900" s="61"/>
      <c r="AI900" s="62"/>
      <c r="AJ900" s="61"/>
      <c r="AK900" s="60"/>
      <c r="AL900" s="65"/>
    </row>
    <row r="901" spans="2:38" s="42" customFormat="1" x14ac:dyDescent="0.35">
      <c r="B901" s="55" t="str">
        <f t="shared" si="58"/>
        <v/>
      </c>
      <c r="C901" s="40"/>
      <c r="D901" s="40"/>
      <c r="E901" s="41"/>
      <c r="F901" s="41"/>
      <c r="G901" s="41"/>
      <c r="H901" s="68"/>
      <c r="I901" s="71"/>
      <c r="J901" s="41"/>
      <c r="K901" s="41"/>
      <c r="L901" s="71"/>
      <c r="M901" s="71"/>
      <c r="N901" s="71"/>
      <c r="O901" s="71"/>
      <c r="P901" s="41"/>
      <c r="Q901" s="41"/>
      <c r="R901" s="71"/>
      <c r="S901" s="71"/>
      <c r="T901" s="75"/>
      <c r="U901" s="75"/>
      <c r="V901" s="75"/>
      <c r="W901" s="58" t="str">
        <f t="shared" si="59"/>
        <v/>
      </c>
      <c r="X901" s="59" t="str">
        <f t="shared" si="60"/>
        <v/>
      </c>
      <c r="Y901" s="41"/>
      <c r="Z901" s="41"/>
      <c r="AA901" s="41"/>
      <c r="AB901" s="68"/>
      <c r="AC901" s="69"/>
      <c r="AD901" s="66"/>
      <c r="AE901" s="66"/>
      <c r="AF901" s="66"/>
      <c r="AG901" s="60"/>
      <c r="AH901" s="61"/>
      <c r="AI901" s="62"/>
      <c r="AJ901" s="61"/>
      <c r="AK901" s="60"/>
      <c r="AL901" s="65"/>
    </row>
    <row r="902" spans="2:38" s="42" customFormat="1" x14ac:dyDescent="0.35">
      <c r="B902" s="55" t="str">
        <f t="shared" si="58"/>
        <v/>
      </c>
      <c r="C902" s="40"/>
      <c r="D902" s="40"/>
      <c r="E902" s="41"/>
      <c r="F902" s="41"/>
      <c r="G902" s="41"/>
      <c r="H902" s="68"/>
      <c r="I902" s="71"/>
      <c r="J902" s="41"/>
      <c r="K902" s="41"/>
      <c r="L902" s="71"/>
      <c r="M902" s="71"/>
      <c r="N902" s="71"/>
      <c r="O902" s="71"/>
      <c r="P902" s="41"/>
      <c r="Q902" s="41"/>
      <c r="R902" s="71"/>
      <c r="S902" s="71"/>
      <c r="T902" s="75"/>
      <c r="U902" s="75"/>
      <c r="V902" s="75"/>
      <c r="W902" s="58" t="str">
        <f t="shared" si="59"/>
        <v/>
      </c>
      <c r="X902" s="59" t="str">
        <f t="shared" si="60"/>
        <v/>
      </c>
      <c r="Y902" s="41"/>
      <c r="Z902" s="41"/>
      <c r="AA902" s="41"/>
      <c r="AB902" s="68"/>
      <c r="AC902" s="69"/>
      <c r="AD902" s="66"/>
      <c r="AE902" s="66"/>
      <c r="AF902" s="66"/>
      <c r="AG902" s="60"/>
      <c r="AH902" s="61"/>
      <c r="AI902" s="62"/>
      <c r="AJ902" s="61"/>
      <c r="AK902" s="60"/>
      <c r="AL902" s="65"/>
    </row>
    <row r="903" spans="2:38" s="42" customFormat="1" x14ac:dyDescent="0.35">
      <c r="B903" s="55" t="str">
        <f t="shared" si="58"/>
        <v/>
      </c>
      <c r="C903" s="40"/>
      <c r="D903" s="40"/>
      <c r="E903" s="41"/>
      <c r="F903" s="41"/>
      <c r="G903" s="41"/>
      <c r="H903" s="68"/>
      <c r="I903" s="71"/>
      <c r="J903" s="41"/>
      <c r="K903" s="41"/>
      <c r="L903" s="71"/>
      <c r="M903" s="71"/>
      <c r="N903" s="71"/>
      <c r="O903" s="71"/>
      <c r="P903" s="41"/>
      <c r="Q903" s="41"/>
      <c r="R903" s="71"/>
      <c r="S903" s="71"/>
      <c r="T903" s="75"/>
      <c r="U903" s="75"/>
      <c r="V903" s="75"/>
      <c r="W903" s="58" t="str">
        <f t="shared" si="59"/>
        <v/>
      </c>
      <c r="X903" s="59" t="str">
        <f t="shared" si="60"/>
        <v/>
      </c>
      <c r="Y903" s="41"/>
      <c r="Z903" s="41"/>
      <c r="AA903" s="41"/>
      <c r="AB903" s="68"/>
      <c r="AC903" s="69"/>
      <c r="AD903" s="66"/>
      <c r="AE903" s="66"/>
      <c r="AF903" s="66"/>
      <c r="AG903" s="60"/>
      <c r="AH903" s="61"/>
      <c r="AI903" s="62"/>
      <c r="AJ903" s="61"/>
      <c r="AK903" s="60"/>
      <c r="AL903" s="65"/>
    </row>
    <row r="904" spans="2:38" s="42" customFormat="1" x14ac:dyDescent="0.35">
      <c r="B904" s="55" t="str">
        <f t="shared" si="58"/>
        <v/>
      </c>
      <c r="C904" s="40"/>
      <c r="D904" s="40"/>
      <c r="E904" s="41"/>
      <c r="F904" s="41"/>
      <c r="G904" s="41"/>
      <c r="H904" s="68"/>
      <c r="I904" s="71"/>
      <c r="J904" s="41"/>
      <c r="K904" s="41"/>
      <c r="L904" s="71"/>
      <c r="M904" s="71"/>
      <c r="N904" s="71"/>
      <c r="O904" s="71"/>
      <c r="P904" s="41"/>
      <c r="Q904" s="41"/>
      <c r="R904" s="71"/>
      <c r="S904" s="71"/>
      <c r="T904" s="75"/>
      <c r="U904" s="75"/>
      <c r="V904" s="75"/>
      <c r="W904" s="58" t="str">
        <f t="shared" si="59"/>
        <v/>
      </c>
      <c r="X904" s="59" t="str">
        <f t="shared" si="60"/>
        <v/>
      </c>
      <c r="Y904" s="41"/>
      <c r="Z904" s="41"/>
      <c r="AA904" s="41"/>
      <c r="AB904" s="68"/>
      <c r="AC904" s="69"/>
      <c r="AD904" s="66"/>
      <c r="AE904" s="66"/>
      <c r="AF904" s="66"/>
      <c r="AG904" s="60"/>
      <c r="AH904" s="61"/>
      <c r="AI904" s="62"/>
      <c r="AJ904" s="61"/>
      <c r="AK904" s="60"/>
      <c r="AL904" s="65"/>
    </row>
    <row r="905" spans="2:38" s="42" customFormat="1" x14ac:dyDescent="0.35">
      <c r="B905" s="55" t="str">
        <f t="shared" si="58"/>
        <v/>
      </c>
      <c r="C905" s="40"/>
      <c r="D905" s="40"/>
      <c r="E905" s="41"/>
      <c r="F905" s="41"/>
      <c r="G905" s="41"/>
      <c r="H905" s="68"/>
      <c r="I905" s="71"/>
      <c r="J905" s="41"/>
      <c r="K905" s="41"/>
      <c r="L905" s="71"/>
      <c r="M905" s="71"/>
      <c r="N905" s="71"/>
      <c r="O905" s="71"/>
      <c r="P905" s="41"/>
      <c r="Q905" s="41"/>
      <c r="R905" s="71"/>
      <c r="S905" s="71"/>
      <c r="T905" s="75"/>
      <c r="U905" s="75"/>
      <c r="V905" s="75"/>
      <c r="W905" s="58" t="str">
        <f t="shared" si="59"/>
        <v/>
      </c>
      <c r="X905" s="59" t="str">
        <f t="shared" si="60"/>
        <v/>
      </c>
      <c r="Y905" s="41"/>
      <c r="Z905" s="41"/>
      <c r="AA905" s="41"/>
      <c r="AB905" s="68"/>
      <c r="AC905" s="69"/>
      <c r="AD905" s="66"/>
      <c r="AE905" s="66"/>
      <c r="AF905" s="66"/>
      <c r="AG905" s="60"/>
      <c r="AH905" s="61"/>
      <c r="AI905" s="62"/>
      <c r="AJ905" s="61"/>
      <c r="AK905" s="60"/>
      <c r="AL905" s="65"/>
    </row>
    <row r="906" spans="2:38" s="42" customFormat="1" x14ac:dyDescent="0.35">
      <c r="B906" s="55" t="str">
        <f t="shared" si="58"/>
        <v/>
      </c>
      <c r="C906" s="40"/>
      <c r="D906" s="40"/>
      <c r="E906" s="41"/>
      <c r="F906" s="41"/>
      <c r="G906" s="41"/>
      <c r="H906" s="68"/>
      <c r="I906" s="71"/>
      <c r="J906" s="41"/>
      <c r="K906" s="41"/>
      <c r="L906" s="71"/>
      <c r="M906" s="71"/>
      <c r="N906" s="71"/>
      <c r="O906" s="71"/>
      <c r="P906" s="41"/>
      <c r="Q906" s="41"/>
      <c r="R906" s="71"/>
      <c r="S906" s="71"/>
      <c r="T906" s="75"/>
      <c r="U906" s="75"/>
      <c r="V906" s="75"/>
      <c r="W906" s="58" t="str">
        <f t="shared" si="59"/>
        <v/>
      </c>
      <c r="X906" s="59" t="str">
        <f t="shared" si="60"/>
        <v/>
      </c>
      <c r="Y906" s="41"/>
      <c r="Z906" s="41"/>
      <c r="AA906" s="41"/>
      <c r="AB906" s="68"/>
      <c r="AC906" s="69"/>
      <c r="AD906" s="66"/>
      <c r="AE906" s="66"/>
      <c r="AF906" s="66"/>
      <c r="AG906" s="60"/>
      <c r="AH906" s="61"/>
      <c r="AI906" s="62"/>
      <c r="AJ906" s="61"/>
      <c r="AK906" s="60"/>
      <c r="AL906" s="65"/>
    </row>
    <row r="907" spans="2:38" s="42" customFormat="1" x14ac:dyDescent="0.35">
      <c r="B907" s="55" t="str">
        <f t="shared" si="58"/>
        <v/>
      </c>
      <c r="C907" s="40"/>
      <c r="D907" s="40"/>
      <c r="E907" s="41"/>
      <c r="F907" s="41"/>
      <c r="G907" s="41"/>
      <c r="H907" s="68"/>
      <c r="I907" s="71"/>
      <c r="J907" s="41"/>
      <c r="K907" s="41"/>
      <c r="L907" s="71"/>
      <c r="M907" s="71"/>
      <c r="N907" s="71"/>
      <c r="O907" s="71"/>
      <c r="P907" s="41"/>
      <c r="Q907" s="41"/>
      <c r="R907" s="71"/>
      <c r="S907" s="71"/>
      <c r="T907" s="75"/>
      <c r="U907" s="75"/>
      <c r="V907" s="75"/>
      <c r="W907" s="58" t="str">
        <f t="shared" si="59"/>
        <v/>
      </c>
      <c r="X907" s="59" t="str">
        <f t="shared" si="60"/>
        <v/>
      </c>
      <c r="Y907" s="41"/>
      <c r="Z907" s="41"/>
      <c r="AA907" s="41"/>
      <c r="AB907" s="68"/>
      <c r="AC907" s="69"/>
      <c r="AD907" s="66"/>
      <c r="AE907" s="66"/>
      <c r="AF907" s="66"/>
      <c r="AG907" s="60"/>
      <c r="AH907" s="61"/>
      <c r="AI907" s="62"/>
      <c r="AJ907" s="61"/>
      <c r="AK907" s="60"/>
      <c r="AL907" s="65"/>
    </row>
    <row r="908" spans="2:38" s="42" customFormat="1" x14ac:dyDescent="0.35">
      <c r="B908" s="55" t="str">
        <f t="shared" si="58"/>
        <v/>
      </c>
      <c r="C908" s="40"/>
      <c r="D908" s="40"/>
      <c r="E908" s="41"/>
      <c r="F908" s="41"/>
      <c r="G908" s="41"/>
      <c r="H908" s="68"/>
      <c r="I908" s="71"/>
      <c r="J908" s="41"/>
      <c r="K908" s="41"/>
      <c r="L908" s="71"/>
      <c r="M908" s="71"/>
      <c r="N908" s="71"/>
      <c r="O908" s="71"/>
      <c r="P908" s="41"/>
      <c r="Q908" s="41"/>
      <c r="R908" s="71"/>
      <c r="S908" s="71"/>
      <c r="T908" s="75"/>
      <c r="U908" s="75"/>
      <c r="V908" s="75"/>
      <c r="W908" s="58" t="str">
        <f t="shared" si="59"/>
        <v/>
      </c>
      <c r="X908" s="59" t="str">
        <f t="shared" si="60"/>
        <v/>
      </c>
      <c r="Y908" s="41"/>
      <c r="Z908" s="41"/>
      <c r="AA908" s="41"/>
      <c r="AB908" s="68"/>
      <c r="AC908" s="69"/>
      <c r="AD908" s="66"/>
      <c r="AE908" s="66"/>
      <c r="AF908" s="66"/>
      <c r="AG908" s="60"/>
      <c r="AH908" s="61"/>
      <c r="AI908" s="62"/>
      <c r="AJ908" s="61"/>
      <c r="AK908" s="60"/>
      <c r="AL908" s="65"/>
    </row>
    <row r="909" spans="2:38" s="42" customFormat="1" x14ac:dyDescent="0.35">
      <c r="B909" s="55" t="str">
        <f t="shared" si="58"/>
        <v/>
      </c>
      <c r="C909" s="40"/>
      <c r="D909" s="40"/>
      <c r="E909" s="41"/>
      <c r="F909" s="41"/>
      <c r="G909" s="41"/>
      <c r="H909" s="68"/>
      <c r="I909" s="71"/>
      <c r="J909" s="41"/>
      <c r="K909" s="41"/>
      <c r="L909" s="71"/>
      <c r="M909" s="71"/>
      <c r="N909" s="71"/>
      <c r="O909" s="71"/>
      <c r="P909" s="41"/>
      <c r="Q909" s="41"/>
      <c r="R909" s="71"/>
      <c r="S909" s="71"/>
      <c r="T909" s="75"/>
      <c r="U909" s="75"/>
      <c r="V909" s="75"/>
      <c r="W909" s="58" t="str">
        <f t="shared" si="59"/>
        <v/>
      </c>
      <c r="X909" s="59" t="str">
        <f t="shared" si="60"/>
        <v/>
      </c>
      <c r="Y909" s="41"/>
      <c r="Z909" s="41"/>
      <c r="AA909" s="41"/>
      <c r="AB909" s="68"/>
      <c r="AC909" s="69"/>
      <c r="AD909" s="66"/>
      <c r="AE909" s="66"/>
      <c r="AF909" s="66"/>
      <c r="AG909" s="60"/>
      <c r="AH909" s="61"/>
      <c r="AI909" s="62"/>
      <c r="AJ909" s="61"/>
      <c r="AK909" s="60"/>
      <c r="AL909" s="65"/>
    </row>
    <row r="910" spans="2:38" s="42" customFormat="1" x14ac:dyDescent="0.35">
      <c r="B910" s="55" t="str">
        <f t="shared" si="58"/>
        <v/>
      </c>
      <c r="C910" s="40"/>
      <c r="D910" s="40"/>
      <c r="E910" s="41"/>
      <c r="F910" s="41"/>
      <c r="G910" s="41"/>
      <c r="H910" s="68"/>
      <c r="I910" s="71"/>
      <c r="J910" s="41"/>
      <c r="K910" s="41"/>
      <c r="L910" s="71"/>
      <c r="M910" s="71"/>
      <c r="N910" s="71"/>
      <c r="O910" s="71"/>
      <c r="P910" s="41"/>
      <c r="Q910" s="41"/>
      <c r="R910" s="71"/>
      <c r="S910" s="71"/>
      <c r="T910" s="75"/>
      <c r="U910" s="75"/>
      <c r="V910" s="75"/>
      <c r="W910" s="58" t="str">
        <f t="shared" si="59"/>
        <v/>
      </c>
      <c r="X910" s="59" t="str">
        <f t="shared" si="60"/>
        <v/>
      </c>
      <c r="Y910" s="41"/>
      <c r="Z910" s="41"/>
      <c r="AA910" s="41"/>
      <c r="AB910" s="68"/>
      <c r="AC910" s="69"/>
      <c r="AD910" s="66"/>
      <c r="AE910" s="66"/>
      <c r="AF910" s="66"/>
      <c r="AG910" s="60"/>
      <c r="AH910" s="61"/>
      <c r="AI910" s="62"/>
      <c r="AJ910" s="61"/>
      <c r="AK910" s="60"/>
      <c r="AL910" s="65"/>
    </row>
    <row r="911" spans="2:38" s="42" customFormat="1" x14ac:dyDescent="0.35">
      <c r="B911" s="55" t="str">
        <f t="shared" si="58"/>
        <v/>
      </c>
      <c r="C911" s="40"/>
      <c r="D911" s="40"/>
      <c r="E911" s="41"/>
      <c r="F911" s="41"/>
      <c r="G911" s="41"/>
      <c r="H911" s="68"/>
      <c r="I911" s="71"/>
      <c r="J911" s="41"/>
      <c r="K911" s="41"/>
      <c r="L911" s="71"/>
      <c r="M911" s="71"/>
      <c r="N911" s="71"/>
      <c r="O911" s="71"/>
      <c r="P911" s="41"/>
      <c r="Q911" s="41"/>
      <c r="R911" s="71"/>
      <c r="S911" s="71"/>
      <c r="T911" s="75"/>
      <c r="U911" s="75"/>
      <c r="V911" s="75"/>
      <c r="W911" s="58" t="str">
        <f t="shared" si="59"/>
        <v/>
      </c>
      <c r="X911" s="59" t="str">
        <f t="shared" si="60"/>
        <v/>
      </c>
      <c r="Y911" s="41"/>
      <c r="Z911" s="41"/>
      <c r="AA911" s="41"/>
      <c r="AB911" s="68"/>
      <c r="AC911" s="69"/>
      <c r="AD911" s="66"/>
      <c r="AE911" s="66"/>
      <c r="AF911" s="66"/>
      <c r="AG911" s="60"/>
      <c r="AH911" s="61"/>
      <c r="AI911" s="62"/>
      <c r="AJ911" s="61"/>
      <c r="AK911" s="60"/>
      <c r="AL911" s="65"/>
    </row>
    <row r="912" spans="2:38" s="42" customFormat="1" x14ac:dyDescent="0.35">
      <c r="B912" s="55" t="str">
        <f t="shared" si="58"/>
        <v/>
      </c>
      <c r="C912" s="40"/>
      <c r="D912" s="40"/>
      <c r="E912" s="41"/>
      <c r="F912" s="41"/>
      <c r="G912" s="41"/>
      <c r="H912" s="68"/>
      <c r="I912" s="71"/>
      <c r="J912" s="41"/>
      <c r="K912" s="41"/>
      <c r="L912" s="71"/>
      <c r="M912" s="71"/>
      <c r="N912" s="71"/>
      <c r="O912" s="71"/>
      <c r="P912" s="41"/>
      <c r="Q912" s="41"/>
      <c r="R912" s="71"/>
      <c r="S912" s="71"/>
      <c r="T912" s="75"/>
      <c r="U912" s="75"/>
      <c r="V912" s="75"/>
      <c r="W912" s="58" t="str">
        <f t="shared" si="59"/>
        <v/>
      </c>
      <c r="X912" s="59" t="str">
        <f t="shared" si="60"/>
        <v/>
      </c>
      <c r="Y912" s="41"/>
      <c r="Z912" s="41"/>
      <c r="AA912" s="41"/>
      <c r="AB912" s="68"/>
      <c r="AC912" s="69"/>
      <c r="AD912" s="66"/>
      <c r="AE912" s="66"/>
      <c r="AF912" s="66"/>
      <c r="AG912" s="60"/>
      <c r="AH912" s="61"/>
      <c r="AI912" s="62"/>
      <c r="AJ912" s="61"/>
      <c r="AK912" s="60"/>
      <c r="AL912" s="65"/>
    </row>
    <row r="913" spans="2:38" s="42" customFormat="1" x14ac:dyDescent="0.35">
      <c r="B913" s="55" t="str">
        <f t="shared" si="58"/>
        <v/>
      </c>
      <c r="C913" s="40"/>
      <c r="D913" s="40"/>
      <c r="E913" s="41"/>
      <c r="F913" s="41"/>
      <c r="G913" s="41"/>
      <c r="H913" s="68"/>
      <c r="I913" s="71"/>
      <c r="J913" s="41"/>
      <c r="K913" s="41"/>
      <c r="L913" s="71"/>
      <c r="M913" s="71"/>
      <c r="N913" s="71"/>
      <c r="O913" s="71"/>
      <c r="P913" s="41"/>
      <c r="Q913" s="41"/>
      <c r="R913" s="71"/>
      <c r="S913" s="71"/>
      <c r="T913" s="75"/>
      <c r="U913" s="75"/>
      <c r="V913" s="75"/>
      <c r="W913" s="58" t="str">
        <f t="shared" si="59"/>
        <v/>
      </c>
      <c r="X913" s="59" t="str">
        <f t="shared" si="60"/>
        <v/>
      </c>
      <c r="Y913" s="41"/>
      <c r="Z913" s="41"/>
      <c r="AA913" s="41"/>
      <c r="AB913" s="68"/>
      <c r="AC913" s="69"/>
      <c r="AD913" s="66"/>
      <c r="AE913" s="66"/>
      <c r="AF913" s="66"/>
      <c r="AG913" s="60"/>
      <c r="AH913" s="61"/>
      <c r="AI913" s="62"/>
      <c r="AJ913" s="61"/>
      <c r="AK913" s="60"/>
      <c r="AL913" s="65"/>
    </row>
    <row r="914" spans="2:38" s="42" customFormat="1" x14ac:dyDescent="0.35">
      <c r="B914" s="55" t="str">
        <f t="shared" si="58"/>
        <v/>
      </c>
      <c r="C914" s="40"/>
      <c r="D914" s="40"/>
      <c r="E914" s="41"/>
      <c r="F914" s="41"/>
      <c r="G914" s="41"/>
      <c r="H914" s="68"/>
      <c r="I914" s="71"/>
      <c r="J914" s="41"/>
      <c r="K914" s="41"/>
      <c r="L914" s="71"/>
      <c r="M914" s="71"/>
      <c r="N914" s="71"/>
      <c r="O914" s="71"/>
      <c r="P914" s="41"/>
      <c r="Q914" s="41"/>
      <c r="R914" s="71"/>
      <c r="S914" s="71"/>
      <c r="T914" s="75"/>
      <c r="U914" s="75"/>
      <c r="V914" s="75"/>
      <c r="W914" s="58" t="str">
        <f t="shared" si="59"/>
        <v/>
      </c>
      <c r="X914" s="59" t="str">
        <f t="shared" si="60"/>
        <v/>
      </c>
      <c r="Y914" s="41"/>
      <c r="Z914" s="41"/>
      <c r="AA914" s="41"/>
      <c r="AB914" s="68"/>
      <c r="AC914" s="69"/>
      <c r="AD914" s="66"/>
      <c r="AE914" s="66"/>
      <c r="AF914" s="66"/>
      <c r="AG914" s="60"/>
      <c r="AH914" s="61"/>
      <c r="AI914" s="62"/>
      <c r="AJ914" s="61"/>
      <c r="AK914" s="60"/>
      <c r="AL914" s="65"/>
    </row>
    <row r="915" spans="2:38" s="42" customFormat="1" x14ac:dyDescent="0.35">
      <c r="B915" s="55" t="str">
        <f t="shared" si="58"/>
        <v/>
      </c>
      <c r="C915" s="40"/>
      <c r="D915" s="40"/>
      <c r="E915" s="41"/>
      <c r="F915" s="41"/>
      <c r="G915" s="41"/>
      <c r="H915" s="68"/>
      <c r="I915" s="71"/>
      <c r="J915" s="41"/>
      <c r="K915" s="41"/>
      <c r="L915" s="71"/>
      <c r="M915" s="71"/>
      <c r="N915" s="71"/>
      <c r="O915" s="71"/>
      <c r="P915" s="41"/>
      <c r="Q915" s="41"/>
      <c r="R915" s="71"/>
      <c r="S915" s="71"/>
      <c r="T915" s="75"/>
      <c r="U915" s="75"/>
      <c r="V915" s="75"/>
      <c r="W915" s="58" t="str">
        <f t="shared" si="59"/>
        <v/>
      </c>
      <c r="X915" s="59" t="str">
        <f t="shared" si="60"/>
        <v/>
      </c>
      <c r="Y915" s="41"/>
      <c r="Z915" s="41"/>
      <c r="AA915" s="41"/>
      <c r="AB915" s="68"/>
      <c r="AC915" s="69"/>
      <c r="AD915" s="66"/>
      <c r="AE915" s="66"/>
      <c r="AF915" s="66"/>
      <c r="AG915" s="60"/>
      <c r="AH915" s="61"/>
      <c r="AI915" s="62"/>
      <c r="AJ915" s="61"/>
      <c r="AK915" s="60"/>
      <c r="AL915" s="65"/>
    </row>
    <row r="916" spans="2:38" s="42" customFormat="1" x14ac:dyDescent="0.35">
      <c r="B916" s="55" t="str">
        <f t="shared" si="58"/>
        <v/>
      </c>
      <c r="C916" s="40"/>
      <c r="D916" s="40"/>
      <c r="E916" s="41"/>
      <c r="F916" s="41"/>
      <c r="G916" s="41"/>
      <c r="H916" s="68"/>
      <c r="I916" s="71"/>
      <c r="J916" s="41"/>
      <c r="K916" s="41"/>
      <c r="L916" s="71"/>
      <c r="M916" s="71"/>
      <c r="N916" s="71"/>
      <c r="O916" s="71"/>
      <c r="P916" s="41"/>
      <c r="Q916" s="41"/>
      <c r="R916" s="71"/>
      <c r="S916" s="71"/>
      <c r="T916" s="75"/>
      <c r="U916" s="75"/>
      <c r="V916" s="75"/>
      <c r="W916" s="58" t="str">
        <f t="shared" si="59"/>
        <v/>
      </c>
      <c r="X916" s="59" t="str">
        <f t="shared" si="60"/>
        <v/>
      </c>
      <c r="Y916" s="41"/>
      <c r="Z916" s="41"/>
      <c r="AA916" s="41"/>
      <c r="AB916" s="68"/>
      <c r="AC916" s="69"/>
      <c r="AD916" s="66"/>
      <c r="AE916" s="66"/>
      <c r="AF916" s="66"/>
      <c r="AG916" s="60"/>
      <c r="AH916" s="61"/>
      <c r="AI916" s="62"/>
      <c r="AJ916" s="61"/>
      <c r="AK916" s="60"/>
      <c r="AL916" s="65"/>
    </row>
    <row r="917" spans="2:38" s="42" customFormat="1" x14ac:dyDescent="0.35">
      <c r="B917" s="55" t="str">
        <f t="shared" si="58"/>
        <v/>
      </c>
      <c r="C917" s="40"/>
      <c r="D917" s="40"/>
      <c r="E917" s="41"/>
      <c r="F917" s="41"/>
      <c r="G917" s="41"/>
      <c r="H917" s="68"/>
      <c r="I917" s="71"/>
      <c r="J917" s="41"/>
      <c r="K917" s="41"/>
      <c r="L917" s="71"/>
      <c r="M917" s="71"/>
      <c r="N917" s="71"/>
      <c r="O917" s="71"/>
      <c r="P917" s="41"/>
      <c r="Q917" s="41"/>
      <c r="R917" s="71"/>
      <c r="S917" s="71"/>
      <c r="T917" s="75"/>
      <c r="U917" s="75"/>
      <c r="V917" s="75"/>
      <c r="W917" s="58" t="str">
        <f t="shared" si="59"/>
        <v/>
      </c>
      <c r="X917" s="59" t="str">
        <f t="shared" si="60"/>
        <v/>
      </c>
      <c r="Y917" s="41"/>
      <c r="Z917" s="41"/>
      <c r="AA917" s="41"/>
      <c r="AB917" s="68"/>
      <c r="AC917" s="69"/>
      <c r="AD917" s="66"/>
      <c r="AE917" s="66"/>
      <c r="AF917" s="66"/>
      <c r="AG917" s="60"/>
      <c r="AH917" s="61"/>
      <c r="AI917" s="62"/>
      <c r="AJ917" s="61"/>
      <c r="AK917" s="60"/>
      <c r="AL917" s="65"/>
    </row>
    <row r="918" spans="2:38" s="42" customFormat="1" x14ac:dyDescent="0.35">
      <c r="B918" s="55" t="str">
        <f t="shared" si="58"/>
        <v/>
      </c>
      <c r="C918" s="40"/>
      <c r="D918" s="40"/>
      <c r="E918" s="41"/>
      <c r="F918" s="41"/>
      <c r="G918" s="41"/>
      <c r="H918" s="68"/>
      <c r="I918" s="71"/>
      <c r="J918" s="41"/>
      <c r="K918" s="41"/>
      <c r="L918" s="71"/>
      <c r="M918" s="71"/>
      <c r="N918" s="71"/>
      <c r="O918" s="71"/>
      <c r="P918" s="41"/>
      <c r="Q918" s="41"/>
      <c r="R918" s="71"/>
      <c r="S918" s="71"/>
      <c r="T918" s="75"/>
      <c r="U918" s="75"/>
      <c r="V918" s="75"/>
      <c r="W918" s="58" t="str">
        <f t="shared" si="59"/>
        <v/>
      </c>
      <c r="X918" s="59" t="str">
        <f t="shared" si="60"/>
        <v/>
      </c>
      <c r="Y918" s="41"/>
      <c r="Z918" s="41"/>
      <c r="AA918" s="41"/>
      <c r="AB918" s="68"/>
      <c r="AC918" s="69"/>
      <c r="AD918" s="66"/>
      <c r="AE918" s="66"/>
      <c r="AF918" s="66"/>
      <c r="AG918" s="60"/>
      <c r="AH918" s="61"/>
      <c r="AI918" s="62"/>
      <c r="AJ918" s="61"/>
      <c r="AK918" s="60"/>
      <c r="AL918" s="65"/>
    </row>
    <row r="919" spans="2:38" s="42" customFormat="1" x14ac:dyDescent="0.35">
      <c r="B919" s="55" t="str">
        <f t="shared" si="58"/>
        <v/>
      </c>
      <c r="C919" s="40"/>
      <c r="D919" s="40"/>
      <c r="E919" s="41"/>
      <c r="F919" s="41"/>
      <c r="G919" s="41"/>
      <c r="H919" s="68"/>
      <c r="I919" s="71"/>
      <c r="J919" s="41"/>
      <c r="K919" s="41"/>
      <c r="L919" s="71"/>
      <c r="M919" s="71"/>
      <c r="N919" s="71"/>
      <c r="O919" s="71"/>
      <c r="P919" s="41"/>
      <c r="Q919" s="41"/>
      <c r="R919" s="71"/>
      <c r="S919" s="71"/>
      <c r="T919" s="75"/>
      <c r="U919" s="75"/>
      <c r="V919" s="75"/>
      <c r="W919" s="58" t="str">
        <f t="shared" si="59"/>
        <v/>
      </c>
      <c r="X919" s="59" t="str">
        <f t="shared" si="60"/>
        <v/>
      </c>
      <c r="Y919" s="41"/>
      <c r="Z919" s="41"/>
      <c r="AA919" s="41"/>
      <c r="AB919" s="68"/>
      <c r="AC919" s="69"/>
      <c r="AD919" s="66"/>
      <c r="AE919" s="66"/>
      <c r="AF919" s="66"/>
      <c r="AG919" s="60"/>
      <c r="AH919" s="61"/>
      <c r="AI919" s="62"/>
      <c r="AJ919" s="61"/>
      <c r="AK919" s="60"/>
      <c r="AL919" s="65"/>
    </row>
    <row r="920" spans="2:38" s="42" customFormat="1" x14ac:dyDescent="0.35">
      <c r="B920" s="55" t="str">
        <f t="shared" si="58"/>
        <v/>
      </c>
      <c r="C920" s="40"/>
      <c r="D920" s="40"/>
      <c r="E920" s="41"/>
      <c r="F920" s="41"/>
      <c r="G920" s="41"/>
      <c r="H920" s="68"/>
      <c r="I920" s="71"/>
      <c r="J920" s="41"/>
      <c r="K920" s="41"/>
      <c r="L920" s="71"/>
      <c r="M920" s="71"/>
      <c r="N920" s="71"/>
      <c r="O920" s="71"/>
      <c r="P920" s="41"/>
      <c r="Q920" s="41"/>
      <c r="R920" s="71"/>
      <c r="S920" s="71"/>
      <c r="T920" s="75"/>
      <c r="U920" s="75"/>
      <c r="V920" s="75"/>
      <c r="W920" s="58" t="str">
        <f t="shared" si="59"/>
        <v/>
      </c>
      <c r="X920" s="59" t="str">
        <f t="shared" si="60"/>
        <v/>
      </c>
      <c r="Y920" s="41"/>
      <c r="Z920" s="41"/>
      <c r="AA920" s="41"/>
      <c r="AB920" s="68"/>
      <c r="AC920" s="69"/>
      <c r="AD920" s="66"/>
      <c r="AE920" s="66"/>
      <c r="AF920" s="66"/>
      <c r="AG920" s="60"/>
      <c r="AH920" s="61"/>
      <c r="AI920" s="62"/>
      <c r="AJ920" s="61"/>
      <c r="AK920" s="60"/>
      <c r="AL920" s="65"/>
    </row>
    <row r="921" spans="2:38" s="42" customFormat="1" x14ac:dyDescent="0.35">
      <c r="B921" s="55" t="str">
        <f t="shared" si="58"/>
        <v/>
      </c>
      <c r="C921" s="40"/>
      <c r="D921" s="40"/>
      <c r="E921" s="41"/>
      <c r="F921" s="41"/>
      <c r="G921" s="41"/>
      <c r="H921" s="68"/>
      <c r="I921" s="71"/>
      <c r="J921" s="41"/>
      <c r="K921" s="41"/>
      <c r="L921" s="71"/>
      <c r="M921" s="71"/>
      <c r="N921" s="71"/>
      <c r="O921" s="71"/>
      <c r="P921" s="41"/>
      <c r="Q921" s="41"/>
      <c r="R921" s="71"/>
      <c r="S921" s="71"/>
      <c r="T921" s="75"/>
      <c r="U921" s="75"/>
      <c r="V921" s="75"/>
      <c r="W921" s="58" t="str">
        <f t="shared" si="59"/>
        <v/>
      </c>
      <c r="X921" s="59" t="str">
        <f t="shared" si="60"/>
        <v/>
      </c>
      <c r="Y921" s="41"/>
      <c r="Z921" s="41"/>
      <c r="AA921" s="41"/>
      <c r="AB921" s="68"/>
      <c r="AC921" s="69"/>
      <c r="AD921" s="66"/>
      <c r="AE921" s="66"/>
      <c r="AF921" s="66"/>
      <c r="AG921" s="60"/>
      <c r="AH921" s="61"/>
      <c r="AI921" s="62"/>
      <c r="AJ921" s="61"/>
      <c r="AK921" s="60"/>
      <c r="AL921" s="65"/>
    </row>
    <row r="922" spans="2:38" s="42" customFormat="1" x14ac:dyDescent="0.35">
      <c r="B922" s="55" t="str">
        <f t="shared" si="58"/>
        <v/>
      </c>
      <c r="C922" s="40"/>
      <c r="D922" s="40"/>
      <c r="E922" s="41"/>
      <c r="F922" s="41"/>
      <c r="G922" s="41"/>
      <c r="H922" s="68"/>
      <c r="I922" s="71"/>
      <c r="J922" s="41"/>
      <c r="K922" s="41"/>
      <c r="L922" s="71"/>
      <c r="M922" s="71"/>
      <c r="N922" s="71"/>
      <c r="O922" s="71"/>
      <c r="P922" s="41"/>
      <c r="Q922" s="41"/>
      <c r="R922" s="71"/>
      <c r="S922" s="71"/>
      <c r="T922" s="75"/>
      <c r="U922" s="75"/>
      <c r="V922" s="75"/>
      <c r="W922" s="58" t="str">
        <f t="shared" si="59"/>
        <v/>
      </c>
      <c r="X922" s="59" t="str">
        <f t="shared" si="60"/>
        <v/>
      </c>
      <c r="Y922" s="41"/>
      <c r="Z922" s="41"/>
      <c r="AA922" s="41"/>
      <c r="AB922" s="68"/>
      <c r="AC922" s="69"/>
      <c r="AD922" s="66"/>
      <c r="AE922" s="66"/>
      <c r="AF922" s="66"/>
      <c r="AG922" s="60"/>
      <c r="AH922" s="61"/>
      <c r="AI922" s="62"/>
      <c r="AJ922" s="61"/>
      <c r="AK922" s="60"/>
      <c r="AL922" s="65"/>
    </row>
    <row r="923" spans="2:38" s="42" customFormat="1" x14ac:dyDescent="0.35">
      <c r="B923" s="55" t="str">
        <f t="shared" si="58"/>
        <v/>
      </c>
      <c r="C923" s="40"/>
      <c r="D923" s="40"/>
      <c r="E923" s="41"/>
      <c r="F923" s="41"/>
      <c r="G923" s="41"/>
      <c r="H923" s="68"/>
      <c r="I923" s="71"/>
      <c r="J923" s="41"/>
      <c r="K923" s="41"/>
      <c r="L923" s="71"/>
      <c r="M923" s="71"/>
      <c r="N923" s="71"/>
      <c r="O923" s="71"/>
      <c r="P923" s="41"/>
      <c r="Q923" s="41"/>
      <c r="R923" s="71"/>
      <c r="S923" s="71"/>
      <c r="T923" s="75"/>
      <c r="U923" s="75"/>
      <c r="V923" s="75"/>
      <c r="W923" s="58" t="str">
        <f t="shared" si="59"/>
        <v/>
      </c>
      <c r="X923" s="59" t="str">
        <f t="shared" si="60"/>
        <v/>
      </c>
      <c r="Y923" s="41"/>
      <c r="Z923" s="41"/>
      <c r="AA923" s="41"/>
      <c r="AB923" s="68"/>
      <c r="AC923" s="69"/>
      <c r="AD923" s="66"/>
      <c r="AE923" s="66"/>
      <c r="AF923" s="66"/>
      <c r="AG923" s="60"/>
      <c r="AH923" s="61"/>
      <c r="AI923" s="62"/>
      <c r="AJ923" s="61"/>
      <c r="AK923" s="60"/>
      <c r="AL923" s="65"/>
    </row>
    <row r="924" spans="2:38" s="42" customFormat="1" x14ac:dyDescent="0.35">
      <c r="B924" s="55" t="str">
        <f t="shared" si="58"/>
        <v/>
      </c>
      <c r="C924" s="40"/>
      <c r="D924" s="40"/>
      <c r="E924" s="41"/>
      <c r="F924" s="41"/>
      <c r="G924" s="41"/>
      <c r="H924" s="68"/>
      <c r="I924" s="71"/>
      <c r="J924" s="41"/>
      <c r="K924" s="41"/>
      <c r="L924" s="71"/>
      <c r="M924" s="71"/>
      <c r="N924" s="71"/>
      <c r="O924" s="71"/>
      <c r="P924" s="41"/>
      <c r="Q924" s="41"/>
      <c r="R924" s="71"/>
      <c r="S924" s="71"/>
      <c r="T924" s="75"/>
      <c r="U924" s="75"/>
      <c r="V924" s="75"/>
      <c r="W924" s="58" t="str">
        <f t="shared" si="59"/>
        <v/>
      </c>
      <c r="X924" s="59" t="str">
        <f t="shared" si="60"/>
        <v/>
      </c>
      <c r="Y924" s="41"/>
      <c r="Z924" s="41"/>
      <c r="AA924" s="41"/>
      <c r="AB924" s="68"/>
      <c r="AC924" s="69"/>
      <c r="AD924" s="66"/>
      <c r="AE924" s="66"/>
      <c r="AF924" s="66"/>
      <c r="AG924" s="60"/>
      <c r="AH924" s="61"/>
      <c r="AI924" s="62"/>
      <c r="AJ924" s="61"/>
      <c r="AK924" s="60"/>
      <c r="AL924" s="65"/>
    </row>
    <row r="925" spans="2:38" s="42" customFormat="1" x14ac:dyDescent="0.35">
      <c r="B925" s="55" t="str">
        <f t="shared" si="58"/>
        <v/>
      </c>
      <c r="C925" s="40"/>
      <c r="D925" s="40"/>
      <c r="E925" s="41"/>
      <c r="F925" s="41"/>
      <c r="G925" s="41"/>
      <c r="H925" s="68"/>
      <c r="I925" s="71"/>
      <c r="J925" s="41"/>
      <c r="K925" s="41"/>
      <c r="L925" s="71"/>
      <c r="M925" s="71"/>
      <c r="N925" s="71"/>
      <c r="O925" s="71"/>
      <c r="P925" s="41"/>
      <c r="Q925" s="41"/>
      <c r="R925" s="71"/>
      <c r="S925" s="71"/>
      <c r="T925" s="75"/>
      <c r="U925" s="75"/>
      <c r="V925" s="75"/>
      <c r="W925" s="58" t="str">
        <f t="shared" si="59"/>
        <v/>
      </c>
      <c r="X925" s="59" t="str">
        <f t="shared" si="60"/>
        <v/>
      </c>
      <c r="Y925" s="41"/>
      <c r="Z925" s="41"/>
      <c r="AA925" s="41"/>
      <c r="AB925" s="68"/>
      <c r="AC925" s="69"/>
      <c r="AD925" s="66"/>
      <c r="AE925" s="66"/>
      <c r="AF925" s="66"/>
      <c r="AG925" s="60"/>
      <c r="AH925" s="61"/>
      <c r="AI925" s="62"/>
      <c r="AJ925" s="61"/>
      <c r="AK925" s="60"/>
      <c r="AL925" s="65"/>
    </row>
    <row r="926" spans="2:38" s="42" customFormat="1" x14ac:dyDescent="0.35">
      <c r="B926" s="55" t="str">
        <f t="shared" si="58"/>
        <v/>
      </c>
      <c r="C926" s="40"/>
      <c r="D926" s="40"/>
      <c r="E926" s="41"/>
      <c r="F926" s="41"/>
      <c r="G926" s="41"/>
      <c r="H926" s="68"/>
      <c r="I926" s="71"/>
      <c r="J926" s="41"/>
      <c r="K926" s="41"/>
      <c r="L926" s="71"/>
      <c r="M926" s="71"/>
      <c r="N926" s="71"/>
      <c r="O926" s="71"/>
      <c r="P926" s="41"/>
      <c r="Q926" s="41"/>
      <c r="R926" s="71"/>
      <c r="S926" s="71"/>
      <c r="T926" s="75"/>
      <c r="U926" s="75"/>
      <c r="V926" s="75"/>
      <c r="W926" s="58" t="str">
        <f t="shared" si="59"/>
        <v/>
      </c>
      <c r="X926" s="59" t="str">
        <f t="shared" si="60"/>
        <v/>
      </c>
      <c r="Y926" s="41"/>
      <c r="Z926" s="41"/>
      <c r="AA926" s="41"/>
      <c r="AB926" s="68"/>
      <c r="AC926" s="69"/>
      <c r="AD926" s="66"/>
      <c r="AE926" s="66"/>
      <c r="AF926" s="66"/>
      <c r="AG926" s="60"/>
      <c r="AH926" s="61"/>
      <c r="AI926" s="62"/>
      <c r="AJ926" s="61"/>
      <c r="AK926" s="60"/>
      <c r="AL926" s="65"/>
    </row>
    <row r="927" spans="2:38" s="42" customFormat="1" x14ac:dyDescent="0.35">
      <c r="B927" s="55" t="str">
        <f t="shared" si="58"/>
        <v/>
      </c>
      <c r="C927" s="40"/>
      <c r="D927" s="40"/>
      <c r="E927" s="41"/>
      <c r="F927" s="41"/>
      <c r="G927" s="41"/>
      <c r="H927" s="68"/>
      <c r="I927" s="71"/>
      <c r="J927" s="41"/>
      <c r="K927" s="41"/>
      <c r="L927" s="71"/>
      <c r="M927" s="71"/>
      <c r="N927" s="71"/>
      <c r="O927" s="71"/>
      <c r="P927" s="41"/>
      <c r="Q927" s="41"/>
      <c r="R927" s="71"/>
      <c r="S927" s="71"/>
      <c r="T927" s="75"/>
      <c r="U927" s="75"/>
      <c r="V927" s="75"/>
      <c r="W927" s="58" t="str">
        <f t="shared" si="59"/>
        <v/>
      </c>
      <c r="X927" s="59" t="str">
        <f t="shared" si="60"/>
        <v/>
      </c>
      <c r="Y927" s="41"/>
      <c r="Z927" s="41"/>
      <c r="AA927" s="41"/>
      <c r="AB927" s="68"/>
      <c r="AC927" s="69"/>
      <c r="AD927" s="66"/>
      <c r="AE927" s="66"/>
      <c r="AF927" s="66"/>
      <c r="AG927" s="60"/>
      <c r="AH927" s="61"/>
      <c r="AI927" s="62"/>
      <c r="AJ927" s="61"/>
      <c r="AK927" s="60"/>
      <c r="AL927" s="65"/>
    </row>
    <row r="928" spans="2:38" s="42" customFormat="1" x14ac:dyDescent="0.35">
      <c r="B928" s="55" t="str">
        <f t="shared" si="58"/>
        <v/>
      </c>
      <c r="C928" s="40"/>
      <c r="D928" s="40"/>
      <c r="E928" s="41"/>
      <c r="F928" s="41"/>
      <c r="G928" s="41"/>
      <c r="H928" s="68"/>
      <c r="I928" s="71"/>
      <c r="J928" s="41"/>
      <c r="K928" s="41"/>
      <c r="L928" s="71"/>
      <c r="M928" s="71"/>
      <c r="N928" s="71"/>
      <c r="O928" s="71"/>
      <c r="P928" s="41"/>
      <c r="Q928" s="41"/>
      <c r="R928" s="71"/>
      <c r="S928" s="71"/>
      <c r="T928" s="75"/>
      <c r="U928" s="75"/>
      <c r="V928" s="75"/>
      <c r="W928" s="58" t="str">
        <f t="shared" si="59"/>
        <v/>
      </c>
      <c r="X928" s="59" t="str">
        <f t="shared" si="60"/>
        <v/>
      </c>
      <c r="Y928" s="41"/>
      <c r="Z928" s="41"/>
      <c r="AA928" s="41"/>
      <c r="AB928" s="68"/>
      <c r="AC928" s="69"/>
      <c r="AD928" s="66"/>
      <c r="AE928" s="66"/>
      <c r="AF928" s="66"/>
      <c r="AG928" s="60"/>
      <c r="AH928" s="61"/>
      <c r="AI928" s="62"/>
      <c r="AJ928" s="61"/>
      <c r="AK928" s="60"/>
      <c r="AL928" s="65"/>
    </row>
    <row r="929" spans="2:38" s="42" customFormat="1" x14ac:dyDescent="0.35">
      <c r="B929" s="55" t="str">
        <f t="shared" si="58"/>
        <v/>
      </c>
      <c r="C929" s="40"/>
      <c r="D929" s="40"/>
      <c r="E929" s="41"/>
      <c r="F929" s="41"/>
      <c r="G929" s="41"/>
      <c r="H929" s="68"/>
      <c r="I929" s="71"/>
      <c r="J929" s="41"/>
      <c r="K929" s="41"/>
      <c r="L929" s="71"/>
      <c r="M929" s="71"/>
      <c r="N929" s="71"/>
      <c r="O929" s="71"/>
      <c r="P929" s="41"/>
      <c r="Q929" s="41"/>
      <c r="R929" s="71"/>
      <c r="S929" s="71"/>
      <c r="T929" s="75"/>
      <c r="U929" s="75"/>
      <c r="V929" s="75"/>
      <c r="W929" s="58" t="str">
        <f t="shared" si="59"/>
        <v/>
      </c>
      <c r="X929" s="59" t="str">
        <f t="shared" si="60"/>
        <v/>
      </c>
      <c r="Y929" s="41"/>
      <c r="Z929" s="41"/>
      <c r="AA929" s="41"/>
      <c r="AB929" s="68"/>
      <c r="AC929" s="69"/>
      <c r="AD929" s="66"/>
      <c r="AE929" s="66"/>
      <c r="AF929" s="66"/>
      <c r="AG929" s="60"/>
      <c r="AH929" s="61"/>
      <c r="AI929" s="62"/>
      <c r="AJ929" s="61"/>
      <c r="AK929" s="60"/>
      <c r="AL929" s="65"/>
    </row>
    <row r="930" spans="2:38" s="42" customFormat="1" x14ac:dyDescent="0.35">
      <c r="B930" s="55" t="str">
        <f t="shared" si="58"/>
        <v/>
      </c>
      <c r="C930" s="40"/>
      <c r="D930" s="40"/>
      <c r="E930" s="41"/>
      <c r="F930" s="41"/>
      <c r="G930" s="41"/>
      <c r="H930" s="68"/>
      <c r="I930" s="71"/>
      <c r="J930" s="41"/>
      <c r="K930" s="41"/>
      <c r="L930" s="71"/>
      <c r="M930" s="71"/>
      <c r="N930" s="71"/>
      <c r="O930" s="71"/>
      <c r="P930" s="41"/>
      <c r="Q930" s="41"/>
      <c r="R930" s="71"/>
      <c r="S930" s="71"/>
      <c r="T930" s="75"/>
      <c r="U930" s="75"/>
      <c r="V930" s="75"/>
      <c r="W930" s="58" t="str">
        <f t="shared" si="59"/>
        <v/>
      </c>
      <c r="X930" s="59" t="str">
        <f t="shared" si="60"/>
        <v/>
      </c>
      <c r="Y930" s="41"/>
      <c r="Z930" s="41"/>
      <c r="AA930" s="41"/>
      <c r="AB930" s="68"/>
      <c r="AC930" s="69"/>
      <c r="AD930" s="66"/>
      <c r="AE930" s="66"/>
      <c r="AF930" s="66"/>
      <c r="AG930" s="60"/>
      <c r="AH930" s="61"/>
      <c r="AI930" s="62"/>
      <c r="AJ930" s="61"/>
      <c r="AK930" s="60"/>
      <c r="AL930" s="65"/>
    </row>
    <row r="931" spans="2:38" s="42" customFormat="1" x14ac:dyDescent="0.35">
      <c r="B931" s="55" t="str">
        <f t="shared" si="58"/>
        <v/>
      </c>
      <c r="C931" s="40"/>
      <c r="D931" s="40"/>
      <c r="E931" s="41"/>
      <c r="F931" s="41"/>
      <c r="G931" s="41"/>
      <c r="H931" s="68"/>
      <c r="I931" s="71"/>
      <c r="J931" s="41"/>
      <c r="K931" s="41"/>
      <c r="L931" s="71"/>
      <c r="M931" s="71"/>
      <c r="N931" s="71"/>
      <c r="O931" s="71"/>
      <c r="P931" s="41"/>
      <c r="Q931" s="41"/>
      <c r="R931" s="71"/>
      <c r="S931" s="71"/>
      <c r="T931" s="75"/>
      <c r="U931" s="75"/>
      <c r="V931" s="75"/>
      <c r="W931" s="58" t="str">
        <f t="shared" si="59"/>
        <v/>
      </c>
      <c r="X931" s="59" t="str">
        <f t="shared" si="60"/>
        <v/>
      </c>
      <c r="Y931" s="41"/>
      <c r="Z931" s="41"/>
      <c r="AA931" s="41"/>
      <c r="AB931" s="68"/>
      <c r="AC931" s="69"/>
      <c r="AD931" s="66"/>
      <c r="AE931" s="66"/>
      <c r="AF931" s="66"/>
      <c r="AG931" s="60"/>
      <c r="AH931" s="61"/>
      <c r="AI931" s="62"/>
      <c r="AJ931" s="61"/>
      <c r="AK931" s="60"/>
      <c r="AL931" s="65"/>
    </row>
    <row r="932" spans="2:38" s="42" customFormat="1" x14ac:dyDescent="0.35">
      <c r="B932" s="55" t="str">
        <f t="shared" si="58"/>
        <v/>
      </c>
      <c r="C932" s="40"/>
      <c r="D932" s="40"/>
      <c r="E932" s="41"/>
      <c r="F932" s="41"/>
      <c r="G932" s="41"/>
      <c r="H932" s="68"/>
      <c r="I932" s="71"/>
      <c r="J932" s="41"/>
      <c r="K932" s="41"/>
      <c r="L932" s="71"/>
      <c r="M932" s="71"/>
      <c r="N932" s="71"/>
      <c r="O932" s="71"/>
      <c r="P932" s="41"/>
      <c r="Q932" s="41"/>
      <c r="R932" s="71"/>
      <c r="S932" s="71"/>
      <c r="T932" s="75"/>
      <c r="U932" s="75"/>
      <c r="V932" s="75"/>
      <c r="W932" s="58" t="str">
        <f t="shared" si="59"/>
        <v/>
      </c>
      <c r="X932" s="59" t="str">
        <f t="shared" si="60"/>
        <v/>
      </c>
      <c r="Y932" s="41"/>
      <c r="Z932" s="41"/>
      <c r="AA932" s="41"/>
      <c r="AB932" s="68"/>
      <c r="AC932" s="69"/>
      <c r="AD932" s="66"/>
      <c r="AE932" s="66"/>
      <c r="AF932" s="66"/>
      <c r="AG932" s="60"/>
      <c r="AH932" s="61"/>
      <c r="AI932" s="62"/>
      <c r="AJ932" s="61"/>
      <c r="AK932" s="60"/>
      <c r="AL932" s="65"/>
    </row>
    <row r="933" spans="2:38" s="42" customFormat="1" x14ac:dyDescent="0.35">
      <c r="B933" s="55" t="str">
        <f t="shared" si="58"/>
        <v/>
      </c>
      <c r="C933" s="40"/>
      <c r="D933" s="40"/>
      <c r="E933" s="41"/>
      <c r="F933" s="41"/>
      <c r="G933" s="41"/>
      <c r="H933" s="68"/>
      <c r="I933" s="71"/>
      <c r="J933" s="41"/>
      <c r="K933" s="41"/>
      <c r="L933" s="71"/>
      <c r="M933" s="71"/>
      <c r="N933" s="71"/>
      <c r="O933" s="71"/>
      <c r="P933" s="41"/>
      <c r="Q933" s="41"/>
      <c r="R933" s="71"/>
      <c r="S933" s="71"/>
      <c r="T933" s="75"/>
      <c r="U933" s="75"/>
      <c r="V933" s="75"/>
      <c r="W933" s="58" t="str">
        <f t="shared" si="59"/>
        <v/>
      </c>
      <c r="X933" s="59" t="str">
        <f t="shared" si="60"/>
        <v/>
      </c>
      <c r="Y933" s="41"/>
      <c r="Z933" s="41"/>
      <c r="AA933" s="41"/>
      <c r="AB933" s="68"/>
      <c r="AC933" s="69"/>
      <c r="AD933" s="66"/>
      <c r="AE933" s="66"/>
      <c r="AF933" s="66"/>
      <c r="AG933" s="60"/>
      <c r="AH933" s="61"/>
      <c r="AI933" s="62"/>
      <c r="AJ933" s="61"/>
      <c r="AK933" s="60"/>
      <c r="AL933" s="65"/>
    </row>
    <row r="934" spans="2:38" s="42" customFormat="1" x14ac:dyDescent="0.35">
      <c r="B934" s="55" t="str">
        <f t="shared" si="58"/>
        <v/>
      </c>
      <c r="C934" s="40"/>
      <c r="D934" s="40"/>
      <c r="E934" s="41"/>
      <c r="F934" s="41"/>
      <c r="G934" s="41"/>
      <c r="H934" s="68"/>
      <c r="I934" s="71"/>
      <c r="J934" s="41"/>
      <c r="K934" s="41"/>
      <c r="L934" s="71"/>
      <c r="M934" s="71"/>
      <c r="N934" s="71"/>
      <c r="O934" s="71"/>
      <c r="P934" s="41"/>
      <c r="Q934" s="41"/>
      <c r="R934" s="71"/>
      <c r="S934" s="71"/>
      <c r="T934" s="75"/>
      <c r="U934" s="75"/>
      <c r="V934" s="75"/>
      <c r="W934" s="58" t="str">
        <f t="shared" si="59"/>
        <v/>
      </c>
      <c r="X934" s="59" t="str">
        <f t="shared" si="60"/>
        <v/>
      </c>
      <c r="Y934" s="41"/>
      <c r="Z934" s="41"/>
      <c r="AA934" s="41"/>
      <c r="AB934" s="68"/>
      <c r="AC934" s="69"/>
      <c r="AD934" s="66"/>
      <c r="AE934" s="66"/>
      <c r="AF934" s="66"/>
      <c r="AG934" s="60"/>
      <c r="AH934" s="61"/>
      <c r="AI934" s="62"/>
      <c r="AJ934" s="61"/>
      <c r="AK934" s="60"/>
      <c r="AL934" s="65"/>
    </row>
    <row r="935" spans="2:38" s="42" customFormat="1" x14ac:dyDescent="0.35">
      <c r="B935" s="55" t="str">
        <f t="shared" si="58"/>
        <v/>
      </c>
      <c r="C935" s="40"/>
      <c r="D935" s="40"/>
      <c r="E935" s="41"/>
      <c r="F935" s="41"/>
      <c r="G935" s="41"/>
      <c r="H935" s="68"/>
      <c r="I935" s="71"/>
      <c r="J935" s="41"/>
      <c r="K935" s="41"/>
      <c r="L935" s="71"/>
      <c r="M935" s="71"/>
      <c r="N935" s="71"/>
      <c r="O935" s="71"/>
      <c r="P935" s="41"/>
      <c r="Q935" s="41"/>
      <c r="R935" s="71"/>
      <c r="S935" s="71"/>
      <c r="T935" s="75"/>
      <c r="U935" s="75"/>
      <c r="V935" s="75"/>
      <c r="W935" s="58" t="str">
        <f t="shared" si="59"/>
        <v/>
      </c>
      <c r="X935" s="59" t="str">
        <f t="shared" si="60"/>
        <v/>
      </c>
      <c r="Y935" s="41"/>
      <c r="Z935" s="41"/>
      <c r="AA935" s="41"/>
      <c r="AB935" s="68"/>
      <c r="AC935" s="69"/>
      <c r="AD935" s="66"/>
      <c r="AE935" s="66"/>
      <c r="AF935" s="66"/>
      <c r="AG935" s="60"/>
      <c r="AH935" s="61"/>
      <c r="AI935" s="62"/>
      <c r="AJ935" s="61"/>
      <c r="AK935" s="60"/>
      <c r="AL935" s="65"/>
    </row>
    <row r="936" spans="2:38" s="42" customFormat="1" x14ac:dyDescent="0.35">
      <c r="B936" s="55" t="str">
        <f t="shared" si="58"/>
        <v/>
      </c>
      <c r="C936" s="40"/>
      <c r="D936" s="40"/>
      <c r="E936" s="41"/>
      <c r="F936" s="41"/>
      <c r="G936" s="41"/>
      <c r="H936" s="68"/>
      <c r="I936" s="71"/>
      <c r="J936" s="41"/>
      <c r="K936" s="41"/>
      <c r="L936" s="71"/>
      <c r="M936" s="71"/>
      <c r="N936" s="71"/>
      <c r="O936" s="71"/>
      <c r="P936" s="41"/>
      <c r="Q936" s="41"/>
      <c r="R936" s="71"/>
      <c r="S936" s="71"/>
      <c r="T936" s="75"/>
      <c r="U936" s="75"/>
      <c r="V936" s="75"/>
      <c r="W936" s="58" t="str">
        <f t="shared" si="59"/>
        <v/>
      </c>
      <c r="X936" s="59" t="str">
        <f t="shared" si="60"/>
        <v/>
      </c>
      <c r="Y936" s="41"/>
      <c r="Z936" s="41"/>
      <c r="AA936" s="41"/>
      <c r="AB936" s="68"/>
      <c r="AC936" s="69"/>
      <c r="AD936" s="66"/>
      <c r="AE936" s="66"/>
      <c r="AF936" s="66"/>
      <c r="AG936" s="60"/>
      <c r="AH936" s="61"/>
      <c r="AI936" s="62"/>
      <c r="AJ936" s="61"/>
      <c r="AK936" s="60"/>
      <c r="AL936" s="65"/>
    </row>
    <row r="937" spans="2:38" s="42" customFormat="1" x14ac:dyDescent="0.35">
      <c r="B937" s="55" t="str">
        <f t="shared" si="58"/>
        <v/>
      </c>
      <c r="C937" s="40"/>
      <c r="D937" s="40"/>
      <c r="E937" s="41"/>
      <c r="F937" s="41"/>
      <c r="G937" s="41"/>
      <c r="H937" s="68"/>
      <c r="I937" s="71"/>
      <c r="J937" s="41"/>
      <c r="K937" s="41"/>
      <c r="L937" s="71"/>
      <c r="M937" s="71"/>
      <c r="N937" s="71"/>
      <c r="O937" s="71"/>
      <c r="P937" s="41"/>
      <c r="Q937" s="41"/>
      <c r="R937" s="71"/>
      <c r="S937" s="71"/>
      <c r="T937" s="75"/>
      <c r="U937" s="75"/>
      <c r="V937" s="75"/>
      <c r="W937" s="58" t="str">
        <f t="shared" si="59"/>
        <v/>
      </c>
      <c r="X937" s="59" t="str">
        <f t="shared" si="60"/>
        <v/>
      </c>
      <c r="Y937" s="41"/>
      <c r="Z937" s="41"/>
      <c r="AA937" s="41"/>
      <c r="AB937" s="68"/>
      <c r="AC937" s="69"/>
      <c r="AD937" s="66"/>
      <c r="AE937" s="66"/>
      <c r="AF937" s="66"/>
      <c r="AG937" s="60"/>
      <c r="AH937" s="61"/>
      <c r="AI937" s="62"/>
      <c r="AJ937" s="61"/>
      <c r="AK937" s="60"/>
      <c r="AL937" s="65"/>
    </row>
    <row r="938" spans="2:38" s="42" customFormat="1" x14ac:dyDescent="0.35">
      <c r="B938" s="55" t="str">
        <f t="shared" si="58"/>
        <v/>
      </c>
      <c r="C938" s="40"/>
      <c r="D938" s="40"/>
      <c r="E938" s="41"/>
      <c r="F938" s="41"/>
      <c r="G938" s="41"/>
      <c r="H938" s="68"/>
      <c r="I938" s="71"/>
      <c r="J938" s="41"/>
      <c r="K938" s="41"/>
      <c r="L938" s="71"/>
      <c r="M938" s="71"/>
      <c r="N938" s="71"/>
      <c r="O938" s="71"/>
      <c r="P938" s="41"/>
      <c r="Q938" s="41"/>
      <c r="R938" s="71"/>
      <c r="S938" s="71"/>
      <c r="T938" s="75"/>
      <c r="U938" s="75"/>
      <c r="V938" s="75"/>
      <c r="W938" s="58" t="str">
        <f t="shared" si="59"/>
        <v/>
      </c>
      <c r="X938" s="59" t="str">
        <f t="shared" si="60"/>
        <v/>
      </c>
      <c r="Y938" s="41"/>
      <c r="Z938" s="41"/>
      <c r="AA938" s="41"/>
      <c r="AB938" s="68"/>
      <c r="AC938" s="69"/>
      <c r="AD938" s="66"/>
      <c r="AE938" s="66"/>
      <c r="AF938" s="66"/>
      <c r="AG938" s="60"/>
      <c r="AH938" s="61"/>
      <c r="AI938" s="62"/>
      <c r="AJ938" s="61"/>
      <c r="AK938" s="60"/>
      <c r="AL938" s="65"/>
    </row>
    <row r="939" spans="2:38" s="42" customFormat="1" x14ac:dyDescent="0.35">
      <c r="B939" s="55" t="str">
        <f t="shared" si="58"/>
        <v/>
      </c>
      <c r="C939" s="40"/>
      <c r="D939" s="40"/>
      <c r="E939" s="41"/>
      <c r="F939" s="41"/>
      <c r="G939" s="41"/>
      <c r="H939" s="68"/>
      <c r="I939" s="71"/>
      <c r="J939" s="41"/>
      <c r="K939" s="41"/>
      <c r="L939" s="71"/>
      <c r="M939" s="71"/>
      <c r="N939" s="71"/>
      <c r="O939" s="71"/>
      <c r="P939" s="41"/>
      <c r="Q939" s="41"/>
      <c r="R939" s="71"/>
      <c r="S939" s="71"/>
      <c r="T939" s="75"/>
      <c r="U939" s="75"/>
      <c r="V939" s="75"/>
      <c r="W939" s="58" t="str">
        <f t="shared" si="59"/>
        <v/>
      </c>
      <c r="X939" s="59" t="str">
        <f t="shared" si="60"/>
        <v/>
      </c>
      <c r="Y939" s="41"/>
      <c r="Z939" s="41"/>
      <c r="AA939" s="41"/>
      <c r="AB939" s="68"/>
      <c r="AC939" s="69"/>
      <c r="AD939" s="66"/>
      <c r="AE939" s="66"/>
      <c r="AF939" s="66"/>
      <c r="AG939" s="60"/>
      <c r="AH939" s="61"/>
      <c r="AI939" s="62"/>
      <c r="AJ939" s="61"/>
      <c r="AK939" s="60"/>
      <c r="AL939" s="65"/>
    </row>
    <row r="940" spans="2:38" s="42" customFormat="1" x14ac:dyDescent="0.35">
      <c r="B940" s="55" t="str">
        <f t="shared" si="58"/>
        <v/>
      </c>
      <c r="C940" s="40"/>
      <c r="D940" s="40"/>
      <c r="E940" s="41"/>
      <c r="F940" s="41"/>
      <c r="G940" s="41"/>
      <c r="H940" s="68"/>
      <c r="I940" s="71"/>
      <c r="J940" s="41"/>
      <c r="K940" s="41"/>
      <c r="L940" s="71"/>
      <c r="M940" s="71"/>
      <c r="N940" s="71"/>
      <c r="O940" s="71"/>
      <c r="P940" s="41"/>
      <c r="Q940" s="41"/>
      <c r="R940" s="71"/>
      <c r="S940" s="71"/>
      <c r="T940" s="75"/>
      <c r="U940" s="75"/>
      <c r="V940" s="75"/>
      <c r="W940" s="58" t="str">
        <f t="shared" si="59"/>
        <v/>
      </c>
      <c r="X940" s="59" t="str">
        <f t="shared" si="60"/>
        <v/>
      </c>
      <c r="Y940" s="41"/>
      <c r="Z940" s="41"/>
      <c r="AA940" s="41"/>
      <c r="AB940" s="68"/>
      <c r="AC940" s="69"/>
      <c r="AD940" s="66"/>
      <c r="AE940" s="66"/>
      <c r="AF940" s="66"/>
      <c r="AG940" s="60"/>
      <c r="AH940" s="61"/>
      <c r="AI940" s="62"/>
      <c r="AJ940" s="61"/>
      <c r="AK940" s="60"/>
      <c r="AL940" s="65"/>
    </row>
    <row r="941" spans="2:38" s="42" customFormat="1" x14ac:dyDescent="0.35">
      <c r="B941" s="55" t="str">
        <f t="shared" si="58"/>
        <v/>
      </c>
      <c r="C941" s="40"/>
      <c r="D941" s="40"/>
      <c r="E941" s="41"/>
      <c r="F941" s="41"/>
      <c r="G941" s="41"/>
      <c r="H941" s="68"/>
      <c r="I941" s="71"/>
      <c r="J941" s="41"/>
      <c r="K941" s="41"/>
      <c r="L941" s="71"/>
      <c r="M941" s="71"/>
      <c r="N941" s="71"/>
      <c r="O941" s="71"/>
      <c r="P941" s="41"/>
      <c r="Q941" s="41"/>
      <c r="R941" s="71"/>
      <c r="S941" s="71"/>
      <c r="T941" s="75"/>
      <c r="U941" s="75"/>
      <c r="V941" s="75"/>
      <c r="W941" s="58" t="str">
        <f t="shared" si="59"/>
        <v/>
      </c>
      <c r="X941" s="59" t="str">
        <f t="shared" si="60"/>
        <v/>
      </c>
      <c r="Y941" s="41"/>
      <c r="Z941" s="41"/>
      <c r="AA941" s="41"/>
      <c r="AB941" s="68"/>
      <c r="AC941" s="69"/>
      <c r="AD941" s="66"/>
      <c r="AE941" s="66"/>
      <c r="AF941" s="66"/>
      <c r="AG941" s="60"/>
      <c r="AH941" s="61"/>
      <c r="AI941" s="62"/>
      <c r="AJ941" s="61"/>
      <c r="AK941" s="60"/>
      <c r="AL941" s="65"/>
    </row>
    <row r="942" spans="2:38" s="42" customFormat="1" x14ac:dyDescent="0.35">
      <c r="B942" s="55" t="str">
        <f t="shared" si="58"/>
        <v/>
      </c>
      <c r="C942" s="40"/>
      <c r="D942" s="40"/>
      <c r="E942" s="41"/>
      <c r="F942" s="41"/>
      <c r="G942" s="41"/>
      <c r="H942" s="68"/>
      <c r="I942" s="71"/>
      <c r="J942" s="41"/>
      <c r="K942" s="41"/>
      <c r="L942" s="71"/>
      <c r="M942" s="71"/>
      <c r="N942" s="71"/>
      <c r="O942" s="71"/>
      <c r="P942" s="41"/>
      <c r="Q942" s="41"/>
      <c r="R942" s="71"/>
      <c r="S942" s="71"/>
      <c r="T942" s="75"/>
      <c r="U942" s="75"/>
      <c r="V942" s="75"/>
      <c r="W942" s="58" t="str">
        <f t="shared" si="59"/>
        <v/>
      </c>
      <c r="X942" s="59" t="str">
        <f t="shared" si="60"/>
        <v/>
      </c>
      <c r="Y942" s="41"/>
      <c r="Z942" s="41"/>
      <c r="AA942" s="41"/>
      <c r="AB942" s="68"/>
      <c r="AC942" s="69"/>
      <c r="AD942" s="66"/>
      <c r="AE942" s="66"/>
      <c r="AF942" s="66"/>
      <c r="AG942" s="60"/>
      <c r="AH942" s="61"/>
      <c r="AI942" s="62"/>
      <c r="AJ942" s="61"/>
      <c r="AK942" s="60"/>
      <c r="AL942" s="65"/>
    </row>
    <row r="943" spans="2:38" s="42" customFormat="1" x14ac:dyDescent="0.35">
      <c r="B943" s="55" t="str">
        <f t="shared" si="58"/>
        <v/>
      </c>
      <c r="C943" s="40"/>
      <c r="D943" s="40"/>
      <c r="E943" s="41"/>
      <c r="F943" s="41"/>
      <c r="G943" s="41"/>
      <c r="H943" s="68"/>
      <c r="I943" s="71"/>
      <c r="J943" s="41"/>
      <c r="K943" s="41"/>
      <c r="L943" s="71"/>
      <c r="M943" s="71"/>
      <c r="N943" s="71"/>
      <c r="O943" s="71"/>
      <c r="P943" s="41"/>
      <c r="Q943" s="41"/>
      <c r="R943" s="71"/>
      <c r="S943" s="71"/>
      <c r="T943" s="75"/>
      <c r="U943" s="75"/>
      <c r="V943" s="75"/>
      <c r="W943" s="58" t="str">
        <f t="shared" si="59"/>
        <v/>
      </c>
      <c r="X943" s="59" t="str">
        <f t="shared" si="60"/>
        <v/>
      </c>
      <c r="Y943" s="41"/>
      <c r="Z943" s="41"/>
      <c r="AA943" s="41"/>
      <c r="AB943" s="68"/>
      <c r="AC943" s="69"/>
      <c r="AD943" s="66"/>
      <c r="AE943" s="66"/>
      <c r="AF943" s="66"/>
      <c r="AG943" s="60"/>
      <c r="AH943" s="61"/>
      <c r="AI943" s="62"/>
      <c r="AJ943" s="61"/>
      <c r="AK943" s="60"/>
      <c r="AL943" s="65"/>
    </row>
    <row r="944" spans="2:38" s="42" customFormat="1" x14ac:dyDescent="0.35">
      <c r="B944" s="55" t="str">
        <f t="shared" si="58"/>
        <v/>
      </c>
      <c r="C944" s="40"/>
      <c r="D944" s="40"/>
      <c r="E944" s="41"/>
      <c r="F944" s="41"/>
      <c r="G944" s="41"/>
      <c r="H944" s="68"/>
      <c r="I944" s="71"/>
      <c r="J944" s="41"/>
      <c r="K944" s="41"/>
      <c r="L944" s="71"/>
      <c r="M944" s="71"/>
      <c r="N944" s="71"/>
      <c r="O944" s="71"/>
      <c r="P944" s="41"/>
      <c r="Q944" s="41"/>
      <c r="R944" s="71"/>
      <c r="S944" s="71"/>
      <c r="T944" s="75"/>
      <c r="U944" s="75"/>
      <c r="V944" s="75"/>
      <c r="W944" s="58" t="str">
        <f t="shared" si="59"/>
        <v/>
      </c>
      <c r="X944" s="59" t="str">
        <f t="shared" si="60"/>
        <v/>
      </c>
      <c r="Y944" s="41"/>
      <c r="Z944" s="41"/>
      <c r="AA944" s="41"/>
      <c r="AB944" s="68"/>
      <c r="AC944" s="69"/>
      <c r="AD944" s="66"/>
      <c r="AE944" s="66"/>
      <c r="AF944" s="66"/>
      <c r="AG944" s="60"/>
      <c r="AH944" s="61"/>
      <c r="AI944" s="62"/>
      <c r="AJ944" s="61"/>
      <c r="AK944" s="60"/>
      <c r="AL944" s="65"/>
    </row>
    <row r="945" spans="2:38" s="42" customFormat="1" x14ac:dyDescent="0.35">
      <c r="B945" s="55" t="str">
        <f t="shared" si="58"/>
        <v/>
      </c>
      <c r="C945" s="40"/>
      <c r="D945" s="40"/>
      <c r="E945" s="41"/>
      <c r="F945" s="41"/>
      <c r="G945" s="41"/>
      <c r="H945" s="68"/>
      <c r="I945" s="71"/>
      <c r="J945" s="41"/>
      <c r="K945" s="41"/>
      <c r="L945" s="71"/>
      <c r="M945" s="71"/>
      <c r="N945" s="71"/>
      <c r="O945" s="71"/>
      <c r="P945" s="41"/>
      <c r="Q945" s="41"/>
      <c r="R945" s="71"/>
      <c r="S945" s="71"/>
      <c r="T945" s="75"/>
      <c r="U945" s="75"/>
      <c r="V945" s="75"/>
      <c r="W945" s="58" t="str">
        <f t="shared" si="59"/>
        <v/>
      </c>
      <c r="X945" s="59" t="str">
        <f t="shared" si="60"/>
        <v/>
      </c>
      <c r="Y945" s="41"/>
      <c r="Z945" s="41"/>
      <c r="AA945" s="41"/>
      <c r="AB945" s="68"/>
      <c r="AC945" s="69"/>
      <c r="AD945" s="66"/>
      <c r="AE945" s="66"/>
      <c r="AF945" s="66"/>
      <c r="AG945" s="60"/>
      <c r="AH945" s="61"/>
      <c r="AI945" s="62"/>
      <c r="AJ945" s="61"/>
      <c r="AK945" s="60"/>
      <c r="AL945" s="65"/>
    </row>
    <row r="946" spans="2:38" s="42" customFormat="1" x14ac:dyDescent="0.35">
      <c r="B946" s="55" t="str">
        <f t="shared" si="58"/>
        <v/>
      </c>
      <c r="C946" s="40"/>
      <c r="D946" s="40"/>
      <c r="E946" s="41"/>
      <c r="F946" s="41"/>
      <c r="G946" s="41"/>
      <c r="H946" s="68"/>
      <c r="I946" s="71"/>
      <c r="J946" s="41"/>
      <c r="K946" s="41"/>
      <c r="L946" s="71"/>
      <c r="M946" s="71"/>
      <c r="N946" s="71"/>
      <c r="O946" s="71"/>
      <c r="P946" s="41"/>
      <c r="Q946" s="41"/>
      <c r="R946" s="71"/>
      <c r="S946" s="71"/>
      <c r="T946" s="75"/>
      <c r="U946" s="75"/>
      <c r="V946" s="75"/>
      <c r="W946" s="58" t="str">
        <f t="shared" si="59"/>
        <v/>
      </c>
      <c r="X946" s="59" t="str">
        <f t="shared" si="60"/>
        <v/>
      </c>
      <c r="Y946" s="41"/>
      <c r="Z946" s="41"/>
      <c r="AA946" s="41"/>
      <c r="AB946" s="68"/>
      <c r="AC946" s="69"/>
      <c r="AD946" s="66"/>
      <c r="AE946" s="66"/>
      <c r="AF946" s="66"/>
      <c r="AG946" s="60"/>
      <c r="AH946" s="61"/>
      <c r="AI946" s="62"/>
      <c r="AJ946" s="61"/>
      <c r="AK946" s="60"/>
      <c r="AL946" s="65"/>
    </row>
    <row r="947" spans="2:38" s="42" customFormat="1" x14ac:dyDescent="0.35">
      <c r="B947" s="55" t="str">
        <f t="shared" si="58"/>
        <v/>
      </c>
      <c r="C947" s="40"/>
      <c r="D947" s="40"/>
      <c r="E947" s="41"/>
      <c r="F947" s="41"/>
      <c r="G947" s="41"/>
      <c r="H947" s="68"/>
      <c r="I947" s="71"/>
      <c r="J947" s="41"/>
      <c r="K947" s="41"/>
      <c r="L947" s="71"/>
      <c r="M947" s="71"/>
      <c r="N947" s="71"/>
      <c r="O947" s="71"/>
      <c r="P947" s="41"/>
      <c r="Q947" s="41"/>
      <c r="R947" s="71"/>
      <c r="S947" s="71"/>
      <c r="T947" s="75"/>
      <c r="U947" s="75"/>
      <c r="V947" s="75"/>
      <c r="W947" s="58" t="str">
        <f t="shared" si="59"/>
        <v/>
      </c>
      <c r="X947" s="59" t="str">
        <f t="shared" si="60"/>
        <v/>
      </c>
      <c r="Y947" s="41"/>
      <c r="Z947" s="41"/>
      <c r="AA947" s="41"/>
      <c r="AB947" s="68"/>
      <c r="AC947" s="69"/>
      <c r="AD947" s="66"/>
      <c r="AE947" s="66"/>
      <c r="AF947" s="66"/>
      <c r="AG947" s="60"/>
      <c r="AH947" s="61"/>
      <c r="AI947" s="62"/>
      <c r="AJ947" s="61"/>
      <c r="AK947" s="60"/>
      <c r="AL947" s="65"/>
    </row>
    <row r="948" spans="2:38" s="42" customFormat="1" x14ac:dyDescent="0.35">
      <c r="B948" s="55" t="str">
        <f t="shared" si="58"/>
        <v/>
      </c>
      <c r="C948" s="40"/>
      <c r="D948" s="40"/>
      <c r="E948" s="41"/>
      <c r="F948" s="41"/>
      <c r="G948" s="41"/>
      <c r="H948" s="68"/>
      <c r="I948" s="71"/>
      <c r="J948" s="41"/>
      <c r="K948" s="41"/>
      <c r="L948" s="71"/>
      <c r="M948" s="71"/>
      <c r="N948" s="71"/>
      <c r="O948" s="71"/>
      <c r="P948" s="41"/>
      <c r="Q948" s="41"/>
      <c r="R948" s="71"/>
      <c r="S948" s="71"/>
      <c r="T948" s="75"/>
      <c r="U948" s="75"/>
      <c r="V948" s="75"/>
      <c r="W948" s="58" t="str">
        <f t="shared" si="59"/>
        <v/>
      </c>
      <c r="X948" s="59" t="str">
        <f t="shared" si="60"/>
        <v/>
      </c>
      <c r="Y948" s="41"/>
      <c r="Z948" s="41"/>
      <c r="AA948" s="41"/>
      <c r="AB948" s="68"/>
      <c r="AC948" s="69"/>
      <c r="AD948" s="66"/>
      <c r="AE948" s="66"/>
      <c r="AF948" s="66"/>
      <c r="AG948" s="60"/>
      <c r="AH948" s="61"/>
      <c r="AI948" s="62"/>
      <c r="AJ948" s="61"/>
      <c r="AK948" s="60"/>
      <c r="AL948" s="65"/>
    </row>
    <row r="949" spans="2:38" s="42" customFormat="1" x14ac:dyDescent="0.35">
      <c r="B949" s="55" t="str">
        <f t="shared" si="58"/>
        <v/>
      </c>
      <c r="C949" s="40"/>
      <c r="D949" s="40"/>
      <c r="E949" s="41"/>
      <c r="F949" s="41"/>
      <c r="G949" s="41"/>
      <c r="H949" s="68"/>
      <c r="I949" s="71"/>
      <c r="J949" s="41"/>
      <c r="K949" s="41"/>
      <c r="L949" s="71"/>
      <c r="M949" s="71"/>
      <c r="N949" s="71"/>
      <c r="O949" s="71"/>
      <c r="P949" s="41"/>
      <c r="Q949" s="41"/>
      <c r="R949" s="71"/>
      <c r="S949" s="71"/>
      <c r="T949" s="75"/>
      <c r="U949" s="75"/>
      <c r="V949" s="75"/>
      <c r="W949" s="58" t="str">
        <f t="shared" si="59"/>
        <v/>
      </c>
      <c r="X949" s="59" t="str">
        <f t="shared" si="60"/>
        <v/>
      </c>
      <c r="Y949" s="41"/>
      <c r="Z949" s="41"/>
      <c r="AA949" s="41"/>
      <c r="AB949" s="68"/>
      <c r="AC949" s="69"/>
      <c r="AD949" s="66"/>
      <c r="AE949" s="66"/>
      <c r="AF949" s="66"/>
      <c r="AG949" s="60"/>
      <c r="AH949" s="61"/>
      <c r="AI949" s="62"/>
      <c r="AJ949" s="61"/>
      <c r="AK949" s="60"/>
      <c r="AL949" s="65"/>
    </row>
    <row r="950" spans="2:38" s="42" customFormat="1" x14ac:dyDescent="0.35">
      <c r="B950" s="55" t="str">
        <f t="shared" si="58"/>
        <v/>
      </c>
      <c r="C950" s="40"/>
      <c r="D950" s="40"/>
      <c r="E950" s="41"/>
      <c r="F950" s="41"/>
      <c r="G950" s="41"/>
      <c r="H950" s="68"/>
      <c r="I950" s="71"/>
      <c r="J950" s="41"/>
      <c r="K950" s="41"/>
      <c r="L950" s="71"/>
      <c r="M950" s="71"/>
      <c r="N950" s="71"/>
      <c r="O950" s="71"/>
      <c r="P950" s="41"/>
      <c r="Q950" s="41"/>
      <c r="R950" s="71"/>
      <c r="S950" s="71"/>
      <c r="T950" s="75"/>
      <c r="U950" s="75"/>
      <c r="V950" s="75"/>
      <c r="W950" s="58" t="str">
        <f t="shared" si="59"/>
        <v/>
      </c>
      <c r="X950" s="59" t="str">
        <f t="shared" si="60"/>
        <v/>
      </c>
      <c r="Y950" s="41"/>
      <c r="Z950" s="41"/>
      <c r="AA950" s="41"/>
      <c r="AB950" s="68"/>
      <c r="AC950" s="69"/>
      <c r="AD950" s="66"/>
      <c r="AE950" s="66"/>
      <c r="AF950" s="66"/>
      <c r="AG950" s="60"/>
      <c r="AH950" s="61"/>
      <c r="AI950" s="62"/>
      <c r="AJ950" s="61"/>
      <c r="AK950" s="60"/>
      <c r="AL950" s="65"/>
    </row>
    <row r="951" spans="2:38" s="42" customFormat="1" x14ac:dyDescent="0.35">
      <c r="B951" s="55" t="str">
        <f t="shared" si="58"/>
        <v/>
      </c>
      <c r="C951" s="40"/>
      <c r="D951" s="40"/>
      <c r="E951" s="41"/>
      <c r="F951" s="41"/>
      <c r="G951" s="41"/>
      <c r="H951" s="68"/>
      <c r="I951" s="71"/>
      <c r="J951" s="41"/>
      <c r="K951" s="41"/>
      <c r="L951" s="71"/>
      <c r="M951" s="71"/>
      <c r="N951" s="71"/>
      <c r="O951" s="71"/>
      <c r="P951" s="41"/>
      <c r="Q951" s="41"/>
      <c r="R951" s="71"/>
      <c r="S951" s="71"/>
      <c r="T951" s="75"/>
      <c r="U951" s="75"/>
      <c r="V951" s="75"/>
      <c r="W951" s="58" t="str">
        <f t="shared" si="59"/>
        <v/>
      </c>
      <c r="X951" s="59" t="str">
        <f t="shared" si="60"/>
        <v/>
      </c>
      <c r="Y951" s="41"/>
      <c r="Z951" s="41"/>
      <c r="AA951" s="41"/>
      <c r="AB951" s="68"/>
      <c r="AC951" s="69"/>
      <c r="AD951" s="66"/>
      <c r="AE951" s="66"/>
      <c r="AF951" s="66"/>
      <c r="AG951" s="60"/>
      <c r="AH951" s="61"/>
      <c r="AI951" s="62"/>
      <c r="AJ951" s="61"/>
      <c r="AK951" s="60"/>
      <c r="AL951" s="65"/>
    </row>
    <row r="952" spans="2:38" s="42" customFormat="1" x14ac:dyDescent="0.35">
      <c r="B952" s="55" t="str">
        <f t="shared" si="58"/>
        <v/>
      </c>
      <c r="C952" s="40"/>
      <c r="D952" s="40"/>
      <c r="E952" s="41"/>
      <c r="F952" s="41"/>
      <c r="G952" s="41"/>
      <c r="H952" s="68"/>
      <c r="I952" s="71"/>
      <c r="J952" s="41"/>
      <c r="K952" s="41"/>
      <c r="L952" s="71"/>
      <c r="M952" s="71"/>
      <c r="N952" s="71"/>
      <c r="O952" s="71"/>
      <c r="P952" s="41"/>
      <c r="Q952" s="41"/>
      <c r="R952" s="71"/>
      <c r="S952" s="71"/>
      <c r="T952" s="75"/>
      <c r="U952" s="75"/>
      <c r="V952" s="75"/>
      <c r="W952" s="58" t="str">
        <f t="shared" si="59"/>
        <v/>
      </c>
      <c r="X952" s="59" t="str">
        <f t="shared" si="60"/>
        <v/>
      </c>
      <c r="Y952" s="41"/>
      <c r="Z952" s="41"/>
      <c r="AA952" s="41"/>
      <c r="AB952" s="68"/>
      <c r="AC952" s="69"/>
      <c r="AD952" s="66"/>
      <c r="AE952" s="66"/>
      <c r="AF952" s="66"/>
      <c r="AG952" s="60"/>
      <c r="AH952" s="61"/>
      <c r="AI952" s="62"/>
      <c r="AJ952" s="61"/>
      <c r="AK952" s="60"/>
      <c r="AL952" s="65"/>
    </row>
    <row r="953" spans="2:38" s="42" customFormat="1" x14ac:dyDescent="0.35">
      <c r="B953" s="55" t="str">
        <f t="shared" si="58"/>
        <v/>
      </c>
      <c r="C953" s="40"/>
      <c r="D953" s="40"/>
      <c r="E953" s="41"/>
      <c r="F953" s="41"/>
      <c r="G953" s="41"/>
      <c r="H953" s="68"/>
      <c r="I953" s="71"/>
      <c r="J953" s="41"/>
      <c r="K953" s="41"/>
      <c r="L953" s="71"/>
      <c r="M953" s="71"/>
      <c r="N953" s="71"/>
      <c r="O953" s="71"/>
      <c r="P953" s="41"/>
      <c r="Q953" s="41"/>
      <c r="R953" s="71"/>
      <c r="S953" s="71"/>
      <c r="T953" s="75"/>
      <c r="U953" s="75"/>
      <c r="V953" s="75"/>
      <c r="W953" s="58" t="str">
        <f t="shared" si="59"/>
        <v/>
      </c>
      <c r="X953" s="59" t="str">
        <f t="shared" si="60"/>
        <v/>
      </c>
      <c r="Y953" s="41"/>
      <c r="Z953" s="41"/>
      <c r="AA953" s="41"/>
      <c r="AB953" s="68"/>
      <c r="AC953" s="69"/>
      <c r="AD953" s="66"/>
      <c r="AE953" s="66"/>
      <c r="AF953" s="66"/>
      <c r="AG953" s="60"/>
      <c r="AH953" s="61"/>
      <c r="AI953" s="62"/>
      <c r="AJ953" s="61"/>
      <c r="AK953" s="60"/>
      <c r="AL953" s="65"/>
    </row>
    <row r="954" spans="2:38" s="42" customFormat="1" x14ac:dyDescent="0.35">
      <c r="B954" s="55" t="str">
        <f t="shared" si="58"/>
        <v/>
      </c>
      <c r="C954" s="40"/>
      <c r="D954" s="40"/>
      <c r="E954" s="41"/>
      <c r="F954" s="41"/>
      <c r="G954" s="41"/>
      <c r="H954" s="68"/>
      <c r="I954" s="71"/>
      <c r="J954" s="41"/>
      <c r="K954" s="41"/>
      <c r="L954" s="71"/>
      <c r="M954" s="71"/>
      <c r="N954" s="71"/>
      <c r="O954" s="71"/>
      <c r="P954" s="41"/>
      <c r="Q954" s="41"/>
      <c r="R954" s="71"/>
      <c r="S954" s="71"/>
      <c r="T954" s="75"/>
      <c r="U954" s="75"/>
      <c r="V954" s="75"/>
      <c r="W954" s="58" t="str">
        <f t="shared" si="59"/>
        <v/>
      </c>
      <c r="X954" s="59" t="str">
        <f t="shared" si="60"/>
        <v/>
      </c>
      <c r="Y954" s="41"/>
      <c r="Z954" s="41"/>
      <c r="AA954" s="41"/>
      <c r="AB954" s="68"/>
      <c r="AC954" s="69"/>
      <c r="AD954" s="66"/>
      <c r="AE954" s="66"/>
      <c r="AF954" s="66"/>
      <c r="AG954" s="60"/>
      <c r="AH954" s="61"/>
      <c r="AI954" s="62"/>
      <c r="AJ954" s="61"/>
      <c r="AK954" s="60"/>
      <c r="AL954" s="65"/>
    </row>
    <row r="955" spans="2:38" s="42" customFormat="1" x14ac:dyDescent="0.35">
      <c r="B955" s="55" t="str">
        <f t="shared" si="58"/>
        <v/>
      </c>
      <c r="C955" s="40"/>
      <c r="D955" s="40"/>
      <c r="E955" s="41"/>
      <c r="F955" s="41"/>
      <c r="G955" s="41"/>
      <c r="H955" s="68"/>
      <c r="I955" s="71"/>
      <c r="J955" s="41"/>
      <c r="K955" s="41"/>
      <c r="L955" s="71"/>
      <c r="M955" s="71"/>
      <c r="N955" s="71"/>
      <c r="O955" s="71"/>
      <c r="P955" s="41"/>
      <c r="Q955" s="41"/>
      <c r="R955" s="71"/>
      <c r="S955" s="71"/>
      <c r="T955" s="75"/>
      <c r="U955" s="75"/>
      <c r="V955" s="75"/>
      <c r="W955" s="58" t="str">
        <f t="shared" si="59"/>
        <v/>
      </c>
      <c r="X955" s="59" t="str">
        <f t="shared" si="60"/>
        <v/>
      </c>
      <c r="Y955" s="41"/>
      <c r="Z955" s="41"/>
      <c r="AA955" s="41"/>
      <c r="AB955" s="68"/>
      <c r="AC955" s="69"/>
      <c r="AD955" s="66"/>
      <c r="AE955" s="66"/>
      <c r="AF955" s="66"/>
      <c r="AG955" s="60"/>
      <c r="AH955" s="61"/>
      <c r="AI955" s="62"/>
      <c r="AJ955" s="61"/>
      <c r="AK955" s="60"/>
      <c r="AL955" s="65"/>
    </row>
    <row r="956" spans="2:38" s="42" customFormat="1" x14ac:dyDescent="0.35">
      <c r="B956" s="55" t="str">
        <f t="shared" si="58"/>
        <v/>
      </c>
      <c r="C956" s="40"/>
      <c r="D956" s="40"/>
      <c r="E956" s="41"/>
      <c r="F956" s="41"/>
      <c r="G956" s="41"/>
      <c r="H956" s="68"/>
      <c r="I956" s="71"/>
      <c r="J956" s="41"/>
      <c r="K956" s="41"/>
      <c r="L956" s="71"/>
      <c r="M956" s="71"/>
      <c r="N956" s="71"/>
      <c r="O956" s="71"/>
      <c r="P956" s="41"/>
      <c r="Q956" s="41"/>
      <c r="R956" s="71"/>
      <c r="S956" s="71"/>
      <c r="T956" s="75"/>
      <c r="U956" s="75"/>
      <c r="V956" s="75"/>
      <c r="W956" s="58" t="str">
        <f t="shared" si="59"/>
        <v/>
      </c>
      <c r="X956" s="59" t="str">
        <f t="shared" si="60"/>
        <v/>
      </c>
      <c r="Y956" s="41"/>
      <c r="Z956" s="41"/>
      <c r="AA956" s="41"/>
      <c r="AB956" s="68"/>
      <c r="AC956" s="69"/>
      <c r="AD956" s="66"/>
      <c r="AE956" s="66"/>
      <c r="AF956" s="66"/>
      <c r="AG956" s="60"/>
      <c r="AH956" s="61"/>
      <c r="AI956" s="62"/>
      <c r="AJ956" s="61"/>
      <c r="AK956" s="60"/>
      <c r="AL956" s="65"/>
    </row>
    <row r="957" spans="2:38" s="42" customFormat="1" x14ac:dyDescent="0.35">
      <c r="B957" s="55" t="str">
        <f t="shared" si="58"/>
        <v/>
      </c>
      <c r="C957" s="40"/>
      <c r="D957" s="40"/>
      <c r="E957" s="41"/>
      <c r="F957" s="41"/>
      <c r="G957" s="41"/>
      <c r="H957" s="68"/>
      <c r="I957" s="71"/>
      <c r="J957" s="41"/>
      <c r="K957" s="41"/>
      <c r="L957" s="71"/>
      <c r="M957" s="71"/>
      <c r="N957" s="71"/>
      <c r="O957" s="71"/>
      <c r="P957" s="41"/>
      <c r="Q957" s="41"/>
      <c r="R957" s="71"/>
      <c r="S957" s="71"/>
      <c r="T957" s="75"/>
      <c r="U957" s="75"/>
      <c r="V957" s="75"/>
      <c r="W957" s="58" t="str">
        <f t="shared" si="59"/>
        <v/>
      </c>
      <c r="X957" s="59" t="str">
        <f t="shared" si="60"/>
        <v/>
      </c>
      <c r="Y957" s="41"/>
      <c r="Z957" s="41"/>
      <c r="AA957" s="41"/>
      <c r="AB957" s="68"/>
      <c r="AC957" s="69"/>
      <c r="AD957" s="66"/>
      <c r="AE957" s="66"/>
      <c r="AF957" s="66"/>
      <c r="AG957" s="60"/>
      <c r="AH957" s="61"/>
      <c r="AI957" s="62"/>
      <c r="AJ957" s="61"/>
      <c r="AK957" s="60"/>
      <c r="AL957" s="65"/>
    </row>
    <row r="958" spans="2:38" s="42" customFormat="1" x14ac:dyDescent="0.35">
      <c r="B958" s="55" t="str">
        <f t="shared" si="58"/>
        <v/>
      </c>
      <c r="C958" s="40"/>
      <c r="D958" s="40"/>
      <c r="E958" s="41"/>
      <c r="F958" s="41"/>
      <c r="G958" s="41"/>
      <c r="H958" s="68"/>
      <c r="I958" s="71"/>
      <c r="J958" s="41"/>
      <c r="K958" s="41"/>
      <c r="L958" s="71"/>
      <c r="M958" s="71"/>
      <c r="N958" s="71"/>
      <c r="O958" s="71"/>
      <c r="P958" s="41"/>
      <c r="Q958" s="41"/>
      <c r="R958" s="71"/>
      <c r="S958" s="71"/>
      <c r="T958" s="75"/>
      <c r="U958" s="75"/>
      <c r="V958" s="75"/>
      <c r="W958" s="58" t="str">
        <f t="shared" si="59"/>
        <v/>
      </c>
      <c r="X958" s="59" t="str">
        <f t="shared" si="60"/>
        <v/>
      </c>
      <c r="Y958" s="41"/>
      <c r="Z958" s="41"/>
      <c r="AA958" s="41"/>
      <c r="AB958" s="68"/>
      <c r="AC958" s="69"/>
      <c r="AD958" s="66"/>
      <c r="AE958" s="66"/>
      <c r="AF958" s="66"/>
      <c r="AG958" s="60"/>
      <c r="AH958" s="61"/>
      <c r="AI958" s="62"/>
      <c r="AJ958" s="61"/>
      <c r="AK958" s="60"/>
      <c r="AL958" s="65"/>
    </row>
    <row r="959" spans="2:38" s="42" customFormat="1" x14ac:dyDescent="0.35">
      <c r="B959" s="55" t="str">
        <f t="shared" si="58"/>
        <v/>
      </c>
      <c r="C959" s="40"/>
      <c r="D959" s="40"/>
      <c r="E959" s="41"/>
      <c r="F959" s="41"/>
      <c r="G959" s="41"/>
      <c r="H959" s="68"/>
      <c r="I959" s="71"/>
      <c r="J959" s="41"/>
      <c r="K959" s="41"/>
      <c r="L959" s="71"/>
      <c r="M959" s="71"/>
      <c r="N959" s="71"/>
      <c r="O959" s="71"/>
      <c r="P959" s="41"/>
      <c r="Q959" s="41"/>
      <c r="R959" s="71"/>
      <c r="S959" s="71"/>
      <c r="T959" s="75"/>
      <c r="U959" s="75"/>
      <c r="V959" s="75"/>
      <c r="W959" s="58" t="str">
        <f t="shared" si="59"/>
        <v/>
      </c>
      <c r="X959" s="59" t="str">
        <f t="shared" si="60"/>
        <v/>
      </c>
      <c r="Y959" s="41"/>
      <c r="Z959" s="41"/>
      <c r="AA959" s="41"/>
      <c r="AB959" s="68"/>
      <c r="AC959" s="69"/>
      <c r="AD959" s="66"/>
      <c r="AE959" s="66"/>
      <c r="AF959" s="66"/>
      <c r="AG959" s="60"/>
      <c r="AH959" s="61"/>
      <c r="AI959" s="62"/>
      <c r="AJ959" s="61"/>
      <c r="AK959" s="60"/>
      <c r="AL959" s="65"/>
    </row>
    <row r="960" spans="2:38" s="42" customFormat="1" x14ac:dyDescent="0.35">
      <c r="B960" s="55" t="str">
        <f t="shared" si="58"/>
        <v/>
      </c>
      <c r="C960" s="40"/>
      <c r="D960" s="40"/>
      <c r="E960" s="41"/>
      <c r="F960" s="41"/>
      <c r="G960" s="41"/>
      <c r="H960" s="68"/>
      <c r="I960" s="71"/>
      <c r="J960" s="41"/>
      <c r="K960" s="41"/>
      <c r="L960" s="71"/>
      <c r="M960" s="71"/>
      <c r="N960" s="71"/>
      <c r="O960" s="71"/>
      <c r="P960" s="41"/>
      <c r="Q960" s="41"/>
      <c r="R960" s="71"/>
      <c r="S960" s="71"/>
      <c r="T960" s="75"/>
      <c r="U960" s="75"/>
      <c r="V960" s="75"/>
      <c r="W960" s="58" t="str">
        <f t="shared" si="59"/>
        <v/>
      </c>
      <c r="X960" s="59" t="str">
        <f t="shared" si="60"/>
        <v/>
      </c>
      <c r="Y960" s="41"/>
      <c r="Z960" s="41"/>
      <c r="AA960" s="41"/>
      <c r="AB960" s="68"/>
      <c r="AC960" s="69"/>
      <c r="AD960" s="66"/>
      <c r="AE960" s="66"/>
      <c r="AF960" s="66"/>
      <c r="AG960" s="60"/>
      <c r="AH960" s="61"/>
      <c r="AI960" s="62"/>
      <c r="AJ960" s="61"/>
      <c r="AK960" s="60"/>
      <c r="AL960" s="65"/>
    </row>
    <row r="961" spans="2:38" s="42" customFormat="1" x14ac:dyDescent="0.35">
      <c r="B961" s="55" t="str">
        <f t="shared" si="58"/>
        <v/>
      </c>
      <c r="C961" s="40"/>
      <c r="D961" s="40"/>
      <c r="E961" s="41"/>
      <c r="F961" s="41"/>
      <c r="G961" s="41"/>
      <c r="H961" s="68"/>
      <c r="I961" s="71"/>
      <c r="J961" s="41"/>
      <c r="K961" s="41"/>
      <c r="L961" s="71"/>
      <c r="M961" s="71"/>
      <c r="N961" s="71"/>
      <c r="O961" s="71"/>
      <c r="P961" s="41"/>
      <c r="Q961" s="41"/>
      <c r="R961" s="71"/>
      <c r="S961" s="71"/>
      <c r="T961" s="75"/>
      <c r="U961" s="75"/>
      <c r="V961" s="75"/>
      <c r="W961" s="58" t="str">
        <f t="shared" si="59"/>
        <v/>
      </c>
      <c r="X961" s="59" t="str">
        <f t="shared" si="60"/>
        <v/>
      </c>
      <c r="Y961" s="41"/>
      <c r="Z961" s="41"/>
      <c r="AA961" s="41"/>
      <c r="AB961" s="68"/>
      <c r="AC961" s="69"/>
      <c r="AD961" s="66"/>
      <c r="AE961" s="66"/>
      <c r="AF961" s="66"/>
      <c r="AG961" s="60"/>
      <c r="AH961" s="61"/>
      <c r="AI961" s="62"/>
      <c r="AJ961" s="61"/>
      <c r="AK961" s="60"/>
      <c r="AL961" s="65"/>
    </row>
    <row r="962" spans="2:38" s="42" customFormat="1" x14ac:dyDescent="0.35">
      <c r="B962" s="55" t="str">
        <f t="shared" si="58"/>
        <v/>
      </c>
      <c r="C962" s="40"/>
      <c r="D962" s="40"/>
      <c r="E962" s="41"/>
      <c r="F962" s="41"/>
      <c r="G962" s="41"/>
      <c r="H962" s="68"/>
      <c r="I962" s="71"/>
      <c r="J962" s="41"/>
      <c r="K962" s="41"/>
      <c r="L962" s="71"/>
      <c r="M962" s="71"/>
      <c r="N962" s="71"/>
      <c r="O962" s="71"/>
      <c r="P962" s="41"/>
      <c r="Q962" s="41"/>
      <c r="R962" s="71"/>
      <c r="S962" s="71"/>
      <c r="T962" s="75"/>
      <c r="U962" s="75"/>
      <c r="V962" s="75"/>
      <c r="W962" s="58" t="str">
        <f t="shared" si="59"/>
        <v/>
      </c>
      <c r="X962" s="59" t="str">
        <f t="shared" si="60"/>
        <v/>
      </c>
      <c r="Y962" s="41"/>
      <c r="Z962" s="41"/>
      <c r="AA962" s="41"/>
      <c r="AB962" s="68"/>
      <c r="AC962" s="69"/>
      <c r="AD962" s="66"/>
      <c r="AE962" s="66"/>
      <c r="AF962" s="66"/>
      <c r="AG962" s="60"/>
      <c r="AH962" s="61"/>
      <c r="AI962" s="62"/>
      <c r="AJ962" s="61"/>
      <c r="AK962" s="60"/>
      <c r="AL962" s="65"/>
    </row>
    <row r="963" spans="2:38" s="42" customFormat="1" x14ac:dyDescent="0.35">
      <c r="B963" s="55" t="str">
        <f t="shared" ref="B963:B1001" si="61">IF($C963="","",Prefixo&amp;"-"&amp;TEXT(ROW()-2,"0000"))</f>
        <v/>
      </c>
      <c r="C963" s="40"/>
      <c r="D963" s="40"/>
      <c r="E963" s="41"/>
      <c r="F963" s="41"/>
      <c r="G963" s="41"/>
      <c r="H963" s="68"/>
      <c r="I963" s="71"/>
      <c r="J963" s="41"/>
      <c r="K963" s="41"/>
      <c r="L963" s="71"/>
      <c r="M963" s="71"/>
      <c r="N963" s="71"/>
      <c r="O963" s="71"/>
      <c r="P963" s="41"/>
      <c r="Q963" s="41"/>
      <c r="R963" s="71"/>
      <c r="S963" s="71"/>
      <c r="T963" s="75"/>
      <c r="U963" s="75"/>
      <c r="V963" s="75"/>
      <c r="W963" s="58" t="str">
        <f t="shared" si="59"/>
        <v/>
      </c>
      <c r="X963" s="59" t="str">
        <f t="shared" si="60"/>
        <v/>
      </c>
      <c r="Y963" s="41"/>
      <c r="Z963" s="41"/>
      <c r="AA963" s="41"/>
      <c r="AB963" s="68"/>
      <c r="AC963" s="69"/>
      <c r="AD963" s="66"/>
      <c r="AE963" s="66"/>
      <c r="AF963" s="66"/>
      <c r="AG963" s="60"/>
      <c r="AH963" s="61"/>
      <c r="AI963" s="62"/>
      <c r="AJ963" s="61"/>
      <c r="AK963" s="60"/>
      <c r="AL963" s="65"/>
    </row>
    <row r="964" spans="2:38" s="42" customFormat="1" x14ac:dyDescent="0.35">
      <c r="B964" s="55" t="str">
        <f t="shared" si="61"/>
        <v/>
      </c>
      <c r="C964" s="40"/>
      <c r="D964" s="40"/>
      <c r="E964" s="41"/>
      <c r="F964" s="41"/>
      <c r="G964" s="41"/>
      <c r="H964" s="68"/>
      <c r="I964" s="71"/>
      <c r="J964" s="41"/>
      <c r="K964" s="41"/>
      <c r="L964" s="71"/>
      <c r="M964" s="71"/>
      <c r="N964" s="71"/>
      <c r="O964" s="71"/>
      <c r="P964" s="41"/>
      <c r="Q964" s="41"/>
      <c r="R964" s="71"/>
      <c r="S964" s="71"/>
      <c r="T964" s="75"/>
      <c r="U964" s="75"/>
      <c r="V964" s="75"/>
      <c r="W964" s="58" t="str">
        <f t="shared" ref="W964:W1001" si="62">IF(OR($U964="",$V964="",$U964&lt;=0),"",$U964-$V964)</f>
        <v/>
      </c>
      <c r="X964" s="59" t="str">
        <f t="shared" ref="X964:X1001" si="63">IF(OR($U964="",$V964="",$U964&lt;=0),"",($U964-$V964)/$U964)</f>
        <v/>
      </c>
      <c r="Y964" s="41"/>
      <c r="Z964" s="41"/>
      <c r="AA964" s="41"/>
      <c r="AB964" s="68"/>
      <c r="AC964" s="69"/>
      <c r="AD964" s="66"/>
      <c r="AE964" s="66"/>
      <c r="AF964" s="66"/>
      <c r="AG964" s="60"/>
      <c r="AH964" s="61"/>
      <c r="AI964" s="62"/>
      <c r="AJ964" s="61"/>
      <c r="AK964" s="60"/>
      <c r="AL964" s="65"/>
    </row>
    <row r="965" spans="2:38" s="42" customFormat="1" x14ac:dyDescent="0.35">
      <c r="B965" s="55" t="str">
        <f t="shared" si="61"/>
        <v/>
      </c>
      <c r="C965" s="40"/>
      <c r="D965" s="40"/>
      <c r="E965" s="41"/>
      <c r="F965" s="41"/>
      <c r="G965" s="41"/>
      <c r="H965" s="68"/>
      <c r="I965" s="71"/>
      <c r="J965" s="41"/>
      <c r="K965" s="41"/>
      <c r="L965" s="71"/>
      <c r="M965" s="71"/>
      <c r="N965" s="71"/>
      <c r="O965" s="71"/>
      <c r="P965" s="41"/>
      <c r="Q965" s="41"/>
      <c r="R965" s="71"/>
      <c r="S965" s="71"/>
      <c r="T965" s="75"/>
      <c r="U965" s="75"/>
      <c r="V965" s="75"/>
      <c r="W965" s="58" t="str">
        <f t="shared" si="62"/>
        <v/>
      </c>
      <c r="X965" s="59" t="str">
        <f t="shared" si="63"/>
        <v/>
      </c>
      <c r="Y965" s="41"/>
      <c r="Z965" s="41"/>
      <c r="AA965" s="41"/>
      <c r="AB965" s="68"/>
      <c r="AC965" s="69"/>
      <c r="AD965" s="66"/>
      <c r="AE965" s="66"/>
      <c r="AF965" s="66"/>
      <c r="AG965" s="60"/>
      <c r="AH965" s="61"/>
      <c r="AI965" s="62"/>
      <c r="AJ965" s="61"/>
      <c r="AK965" s="60"/>
      <c r="AL965" s="65"/>
    </row>
    <row r="966" spans="2:38" s="42" customFormat="1" x14ac:dyDescent="0.35">
      <c r="B966" s="55" t="str">
        <f t="shared" si="61"/>
        <v/>
      </c>
      <c r="C966" s="40"/>
      <c r="D966" s="40"/>
      <c r="E966" s="41"/>
      <c r="F966" s="41"/>
      <c r="G966" s="41"/>
      <c r="H966" s="68"/>
      <c r="I966" s="71"/>
      <c r="J966" s="41"/>
      <c r="K966" s="41"/>
      <c r="L966" s="71"/>
      <c r="M966" s="71"/>
      <c r="N966" s="71"/>
      <c r="O966" s="71"/>
      <c r="P966" s="41"/>
      <c r="Q966" s="41"/>
      <c r="R966" s="71"/>
      <c r="S966" s="71"/>
      <c r="T966" s="75"/>
      <c r="U966" s="75"/>
      <c r="V966" s="75"/>
      <c r="W966" s="58" t="str">
        <f t="shared" si="62"/>
        <v/>
      </c>
      <c r="X966" s="59" t="str">
        <f t="shared" si="63"/>
        <v/>
      </c>
      <c r="Y966" s="41"/>
      <c r="Z966" s="41"/>
      <c r="AA966" s="41"/>
      <c r="AB966" s="68"/>
      <c r="AC966" s="69"/>
      <c r="AD966" s="66"/>
      <c r="AE966" s="66"/>
      <c r="AF966" s="66"/>
      <c r="AG966" s="60"/>
      <c r="AH966" s="61"/>
      <c r="AI966" s="62"/>
      <c r="AJ966" s="61"/>
      <c r="AK966" s="60"/>
      <c r="AL966" s="65"/>
    </row>
    <row r="967" spans="2:38" s="42" customFormat="1" x14ac:dyDescent="0.35">
      <c r="B967" s="55" t="str">
        <f t="shared" si="61"/>
        <v/>
      </c>
      <c r="C967" s="40"/>
      <c r="D967" s="40"/>
      <c r="E967" s="41"/>
      <c r="F967" s="41"/>
      <c r="G967" s="41"/>
      <c r="H967" s="68"/>
      <c r="I967" s="71"/>
      <c r="J967" s="41"/>
      <c r="K967" s="41"/>
      <c r="L967" s="71"/>
      <c r="M967" s="71"/>
      <c r="N967" s="71"/>
      <c r="O967" s="71"/>
      <c r="P967" s="41"/>
      <c r="Q967" s="41"/>
      <c r="R967" s="71"/>
      <c r="S967" s="71"/>
      <c r="T967" s="75"/>
      <c r="U967" s="75"/>
      <c r="V967" s="75"/>
      <c r="W967" s="58" t="str">
        <f t="shared" si="62"/>
        <v/>
      </c>
      <c r="X967" s="59" t="str">
        <f t="shared" si="63"/>
        <v/>
      </c>
      <c r="Y967" s="41"/>
      <c r="Z967" s="41"/>
      <c r="AA967" s="41"/>
      <c r="AB967" s="68"/>
      <c r="AC967" s="69"/>
      <c r="AD967" s="66"/>
      <c r="AE967" s="66"/>
      <c r="AF967" s="66"/>
      <c r="AG967" s="60"/>
      <c r="AH967" s="61"/>
      <c r="AI967" s="62"/>
      <c r="AJ967" s="61"/>
      <c r="AK967" s="60"/>
      <c r="AL967" s="65"/>
    </row>
    <row r="968" spans="2:38" s="42" customFormat="1" x14ac:dyDescent="0.35">
      <c r="B968" s="55" t="str">
        <f t="shared" si="61"/>
        <v/>
      </c>
      <c r="C968" s="40"/>
      <c r="D968" s="40"/>
      <c r="E968" s="41"/>
      <c r="F968" s="41"/>
      <c r="G968" s="41"/>
      <c r="H968" s="68"/>
      <c r="I968" s="71"/>
      <c r="J968" s="41"/>
      <c r="K968" s="41"/>
      <c r="L968" s="71"/>
      <c r="M968" s="71"/>
      <c r="N968" s="71"/>
      <c r="O968" s="71"/>
      <c r="P968" s="41"/>
      <c r="Q968" s="41"/>
      <c r="R968" s="71"/>
      <c r="S968" s="71"/>
      <c r="T968" s="75"/>
      <c r="U968" s="75"/>
      <c r="V968" s="75"/>
      <c r="W968" s="58" t="str">
        <f t="shared" si="62"/>
        <v/>
      </c>
      <c r="X968" s="59" t="str">
        <f t="shared" si="63"/>
        <v/>
      </c>
      <c r="Y968" s="41"/>
      <c r="Z968" s="41"/>
      <c r="AA968" s="41"/>
      <c r="AB968" s="68"/>
      <c r="AC968" s="69"/>
      <c r="AD968" s="66"/>
      <c r="AE968" s="66"/>
      <c r="AF968" s="66"/>
      <c r="AG968" s="60"/>
      <c r="AH968" s="61"/>
      <c r="AI968" s="62"/>
      <c r="AJ968" s="61"/>
      <c r="AK968" s="60"/>
      <c r="AL968" s="65"/>
    </row>
    <row r="969" spans="2:38" s="42" customFormat="1" x14ac:dyDescent="0.35">
      <c r="B969" s="55" t="str">
        <f t="shared" si="61"/>
        <v/>
      </c>
      <c r="C969" s="40"/>
      <c r="D969" s="40"/>
      <c r="E969" s="41"/>
      <c r="F969" s="41"/>
      <c r="G969" s="41"/>
      <c r="H969" s="68"/>
      <c r="I969" s="71"/>
      <c r="J969" s="41"/>
      <c r="K969" s="41"/>
      <c r="L969" s="71"/>
      <c r="M969" s="71"/>
      <c r="N969" s="71"/>
      <c r="O969" s="71"/>
      <c r="P969" s="41"/>
      <c r="Q969" s="41"/>
      <c r="R969" s="71"/>
      <c r="S969" s="71"/>
      <c r="T969" s="75"/>
      <c r="U969" s="75"/>
      <c r="V969" s="75"/>
      <c r="W969" s="58" t="str">
        <f t="shared" si="62"/>
        <v/>
      </c>
      <c r="X969" s="59" t="str">
        <f t="shared" si="63"/>
        <v/>
      </c>
      <c r="Y969" s="41"/>
      <c r="Z969" s="41"/>
      <c r="AA969" s="41"/>
      <c r="AB969" s="68"/>
      <c r="AC969" s="69"/>
      <c r="AD969" s="66"/>
      <c r="AE969" s="66"/>
      <c r="AF969" s="66"/>
      <c r="AG969" s="60"/>
      <c r="AH969" s="61"/>
      <c r="AI969" s="62"/>
      <c r="AJ969" s="61"/>
      <c r="AK969" s="60"/>
      <c r="AL969" s="65"/>
    </row>
    <row r="970" spans="2:38" s="42" customFormat="1" x14ac:dyDescent="0.35">
      <c r="B970" s="55" t="str">
        <f t="shared" si="61"/>
        <v/>
      </c>
      <c r="C970" s="40"/>
      <c r="D970" s="40"/>
      <c r="E970" s="41"/>
      <c r="F970" s="41"/>
      <c r="G970" s="41"/>
      <c r="H970" s="68"/>
      <c r="I970" s="71"/>
      <c r="J970" s="41"/>
      <c r="K970" s="41"/>
      <c r="L970" s="71"/>
      <c r="M970" s="71"/>
      <c r="N970" s="71"/>
      <c r="O970" s="71"/>
      <c r="P970" s="41"/>
      <c r="Q970" s="41"/>
      <c r="R970" s="71"/>
      <c r="S970" s="71"/>
      <c r="T970" s="75"/>
      <c r="U970" s="75"/>
      <c r="V970" s="75"/>
      <c r="W970" s="58" t="str">
        <f t="shared" si="62"/>
        <v/>
      </c>
      <c r="X970" s="59" t="str">
        <f t="shared" si="63"/>
        <v/>
      </c>
      <c r="Y970" s="41"/>
      <c r="Z970" s="41"/>
      <c r="AA970" s="41"/>
      <c r="AB970" s="68"/>
      <c r="AC970" s="69"/>
      <c r="AD970" s="66"/>
      <c r="AE970" s="66"/>
      <c r="AF970" s="66"/>
      <c r="AG970" s="60"/>
      <c r="AH970" s="61"/>
      <c r="AI970" s="62"/>
      <c r="AJ970" s="61"/>
      <c r="AK970" s="60"/>
      <c r="AL970" s="65"/>
    </row>
    <row r="971" spans="2:38" s="42" customFormat="1" x14ac:dyDescent="0.35">
      <c r="B971" s="55" t="str">
        <f t="shared" si="61"/>
        <v/>
      </c>
      <c r="C971" s="40"/>
      <c r="D971" s="40"/>
      <c r="E971" s="41"/>
      <c r="F971" s="41"/>
      <c r="G971" s="41"/>
      <c r="H971" s="68"/>
      <c r="I971" s="71"/>
      <c r="J971" s="41"/>
      <c r="K971" s="41"/>
      <c r="L971" s="71"/>
      <c r="M971" s="71"/>
      <c r="N971" s="71"/>
      <c r="O971" s="71"/>
      <c r="P971" s="41"/>
      <c r="Q971" s="41"/>
      <c r="R971" s="71"/>
      <c r="S971" s="71"/>
      <c r="T971" s="75"/>
      <c r="U971" s="75"/>
      <c r="V971" s="75"/>
      <c r="W971" s="58" t="str">
        <f t="shared" si="62"/>
        <v/>
      </c>
      <c r="X971" s="59" t="str">
        <f t="shared" si="63"/>
        <v/>
      </c>
      <c r="Y971" s="41"/>
      <c r="Z971" s="41"/>
      <c r="AA971" s="41"/>
      <c r="AB971" s="68"/>
      <c r="AC971" s="69"/>
      <c r="AD971" s="66"/>
      <c r="AE971" s="66"/>
      <c r="AF971" s="66"/>
      <c r="AG971" s="60"/>
      <c r="AH971" s="61"/>
      <c r="AI971" s="62"/>
      <c r="AJ971" s="61"/>
      <c r="AK971" s="60"/>
      <c r="AL971" s="65"/>
    </row>
    <row r="972" spans="2:38" s="42" customFormat="1" x14ac:dyDescent="0.35">
      <c r="B972" s="55" t="str">
        <f t="shared" si="61"/>
        <v/>
      </c>
      <c r="C972" s="40"/>
      <c r="D972" s="40"/>
      <c r="E972" s="41"/>
      <c r="F972" s="41"/>
      <c r="G972" s="41"/>
      <c r="H972" s="68"/>
      <c r="I972" s="71"/>
      <c r="J972" s="41"/>
      <c r="K972" s="41"/>
      <c r="L972" s="71"/>
      <c r="M972" s="71"/>
      <c r="N972" s="71"/>
      <c r="O972" s="71"/>
      <c r="P972" s="41"/>
      <c r="Q972" s="41"/>
      <c r="R972" s="71"/>
      <c r="S972" s="71"/>
      <c r="T972" s="75"/>
      <c r="U972" s="75"/>
      <c r="V972" s="75"/>
      <c r="W972" s="58" t="str">
        <f t="shared" si="62"/>
        <v/>
      </c>
      <c r="X972" s="59" t="str">
        <f t="shared" si="63"/>
        <v/>
      </c>
      <c r="Y972" s="41"/>
      <c r="Z972" s="41"/>
      <c r="AA972" s="41"/>
      <c r="AB972" s="68"/>
      <c r="AC972" s="69"/>
      <c r="AD972" s="66"/>
      <c r="AE972" s="66"/>
      <c r="AF972" s="66"/>
      <c r="AG972" s="60"/>
      <c r="AH972" s="61"/>
      <c r="AI972" s="62"/>
      <c r="AJ972" s="61"/>
      <c r="AK972" s="60"/>
      <c r="AL972" s="65"/>
    </row>
    <row r="973" spans="2:38" s="42" customFormat="1" x14ac:dyDescent="0.35">
      <c r="B973" s="55" t="str">
        <f t="shared" si="61"/>
        <v/>
      </c>
      <c r="C973" s="40"/>
      <c r="D973" s="40"/>
      <c r="E973" s="41"/>
      <c r="F973" s="41"/>
      <c r="G973" s="41"/>
      <c r="H973" s="68"/>
      <c r="I973" s="71"/>
      <c r="J973" s="41"/>
      <c r="K973" s="41"/>
      <c r="L973" s="71"/>
      <c r="M973" s="71"/>
      <c r="N973" s="71"/>
      <c r="O973" s="71"/>
      <c r="P973" s="41"/>
      <c r="Q973" s="41"/>
      <c r="R973" s="71"/>
      <c r="S973" s="71"/>
      <c r="T973" s="75"/>
      <c r="U973" s="75"/>
      <c r="V973" s="75"/>
      <c r="W973" s="58" t="str">
        <f t="shared" si="62"/>
        <v/>
      </c>
      <c r="X973" s="59" t="str">
        <f t="shared" si="63"/>
        <v/>
      </c>
      <c r="Y973" s="41"/>
      <c r="Z973" s="41"/>
      <c r="AA973" s="41"/>
      <c r="AB973" s="68"/>
      <c r="AC973" s="69"/>
      <c r="AD973" s="66"/>
      <c r="AE973" s="66"/>
      <c r="AF973" s="66"/>
      <c r="AG973" s="60"/>
      <c r="AH973" s="61"/>
      <c r="AI973" s="62"/>
      <c r="AJ973" s="61"/>
      <c r="AK973" s="60"/>
      <c r="AL973" s="65"/>
    </row>
    <row r="974" spans="2:38" s="42" customFormat="1" x14ac:dyDescent="0.35">
      <c r="B974" s="55" t="str">
        <f t="shared" si="61"/>
        <v/>
      </c>
      <c r="C974" s="40"/>
      <c r="D974" s="40"/>
      <c r="E974" s="41"/>
      <c r="F974" s="41"/>
      <c r="G974" s="41"/>
      <c r="H974" s="68"/>
      <c r="I974" s="71"/>
      <c r="J974" s="41"/>
      <c r="K974" s="41"/>
      <c r="L974" s="71"/>
      <c r="M974" s="71"/>
      <c r="N974" s="71"/>
      <c r="O974" s="71"/>
      <c r="P974" s="41"/>
      <c r="Q974" s="41"/>
      <c r="R974" s="71"/>
      <c r="S974" s="71"/>
      <c r="T974" s="75"/>
      <c r="U974" s="75"/>
      <c r="V974" s="75"/>
      <c r="W974" s="58" t="str">
        <f t="shared" si="62"/>
        <v/>
      </c>
      <c r="X974" s="59" t="str">
        <f t="shared" si="63"/>
        <v/>
      </c>
      <c r="Y974" s="41"/>
      <c r="Z974" s="41"/>
      <c r="AA974" s="41"/>
      <c r="AB974" s="68"/>
      <c r="AC974" s="69"/>
      <c r="AD974" s="66"/>
      <c r="AE974" s="66"/>
      <c r="AF974" s="66"/>
      <c r="AG974" s="60"/>
      <c r="AH974" s="61"/>
      <c r="AI974" s="62"/>
      <c r="AJ974" s="61"/>
      <c r="AK974" s="60"/>
      <c r="AL974" s="65"/>
    </row>
    <row r="975" spans="2:38" s="42" customFormat="1" x14ac:dyDescent="0.35">
      <c r="B975" s="55" t="str">
        <f t="shared" si="61"/>
        <v/>
      </c>
      <c r="C975" s="40"/>
      <c r="D975" s="40"/>
      <c r="E975" s="41"/>
      <c r="F975" s="41"/>
      <c r="G975" s="41"/>
      <c r="H975" s="68"/>
      <c r="I975" s="71"/>
      <c r="J975" s="41"/>
      <c r="K975" s="41"/>
      <c r="L975" s="71"/>
      <c r="M975" s="71"/>
      <c r="N975" s="71"/>
      <c r="O975" s="71"/>
      <c r="P975" s="41"/>
      <c r="Q975" s="41"/>
      <c r="R975" s="71"/>
      <c r="S975" s="71"/>
      <c r="T975" s="75"/>
      <c r="U975" s="75"/>
      <c r="V975" s="75"/>
      <c r="W975" s="58" t="str">
        <f t="shared" si="62"/>
        <v/>
      </c>
      <c r="X975" s="59" t="str">
        <f t="shared" si="63"/>
        <v/>
      </c>
      <c r="Y975" s="41"/>
      <c r="Z975" s="41"/>
      <c r="AA975" s="41"/>
      <c r="AB975" s="68"/>
      <c r="AC975" s="69"/>
      <c r="AD975" s="66"/>
      <c r="AE975" s="66"/>
      <c r="AF975" s="66"/>
      <c r="AG975" s="60"/>
      <c r="AH975" s="61"/>
      <c r="AI975" s="62"/>
      <c r="AJ975" s="61"/>
      <c r="AK975" s="60"/>
      <c r="AL975" s="65"/>
    </row>
    <row r="976" spans="2:38" s="42" customFormat="1" x14ac:dyDescent="0.35">
      <c r="B976" s="55" t="str">
        <f t="shared" si="61"/>
        <v/>
      </c>
      <c r="C976" s="40"/>
      <c r="D976" s="40"/>
      <c r="E976" s="41"/>
      <c r="F976" s="41"/>
      <c r="G976" s="41"/>
      <c r="H976" s="68"/>
      <c r="I976" s="71"/>
      <c r="J976" s="41"/>
      <c r="K976" s="41"/>
      <c r="L976" s="71"/>
      <c r="M976" s="71"/>
      <c r="N976" s="71"/>
      <c r="O976" s="71"/>
      <c r="P976" s="41"/>
      <c r="Q976" s="41"/>
      <c r="R976" s="71"/>
      <c r="S976" s="71"/>
      <c r="T976" s="75"/>
      <c r="U976" s="75"/>
      <c r="V976" s="75"/>
      <c r="W976" s="58" t="str">
        <f t="shared" si="62"/>
        <v/>
      </c>
      <c r="X976" s="59" t="str">
        <f t="shared" si="63"/>
        <v/>
      </c>
      <c r="Y976" s="41"/>
      <c r="Z976" s="41"/>
      <c r="AA976" s="41"/>
      <c r="AB976" s="68"/>
      <c r="AC976" s="69"/>
      <c r="AD976" s="66"/>
      <c r="AE976" s="66"/>
      <c r="AF976" s="66"/>
      <c r="AG976" s="60"/>
      <c r="AH976" s="61"/>
      <c r="AI976" s="62"/>
      <c r="AJ976" s="61"/>
      <c r="AK976" s="60"/>
      <c r="AL976" s="65"/>
    </row>
    <row r="977" spans="2:38" s="42" customFormat="1" x14ac:dyDescent="0.35">
      <c r="B977" s="55" t="str">
        <f t="shared" si="61"/>
        <v/>
      </c>
      <c r="C977" s="40"/>
      <c r="D977" s="40"/>
      <c r="E977" s="41"/>
      <c r="F977" s="41"/>
      <c r="G977" s="41"/>
      <c r="H977" s="68"/>
      <c r="I977" s="71"/>
      <c r="J977" s="41"/>
      <c r="K977" s="41"/>
      <c r="L977" s="71"/>
      <c r="M977" s="71"/>
      <c r="N977" s="71"/>
      <c r="O977" s="71"/>
      <c r="P977" s="41"/>
      <c r="Q977" s="41"/>
      <c r="R977" s="71"/>
      <c r="S977" s="71"/>
      <c r="T977" s="75"/>
      <c r="U977" s="75"/>
      <c r="V977" s="75"/>
      <c r="W977" s="58" t="str">
        <f t="shared" si="62"/>
        <v/>
      </c>
      <c r="X977" s="59" t="str">
        <f t="shared" si="63"/>
        <v/>
      </c>
      <c r="Y977" s="41"/>
      <c r="Z977" s="41"/>
      <c r="AA977" s="41"/>
      <c r="AB977" s="68"/>
      <c r="AC977" s="69"/>
      <c r="AD977" s="66"/>
      <c r="AE977" s="66"/>
      <c r="AF977" s="66"/>
      <c r="AG977" s="60"/>
      <c r="AH977" s="61"/>
      <c r="AI977" s="62"/>
      <c r="AJ977" s="61"/>
      <c r="AK977" s="60"/>
      <c r="AL977" s="65"/>
    </row>
    <row r="978" spans="2:38" s="42" customFormat="1" x14ac:dyDescent="0.35">
      <c r="B978" s="55" t="str">
        <f t="shared" si="61"/>
        <v/>
      </c>
      <c r="C978" s="40"/>
      <c r="D978" s="40"/>
      <c r="E978" s="41"/>
      <c r="F978" s="41"/>
      <c r="G978" s="41"/>
      <c r="H978" s="68"/>
      <c r="I978" s="71"/>
      <c r="J978" s="41"/>
      <c r="K978" s="41"/>
      <c r="L978" s="71"/>
      <c r="M978" s="71"/>
      <c r="N978" s="71"/>
      <c r="O978" s="71"/>
      <c r="P978" s="41"/>
      <c r="Q978" s="41"/>
      <c r="R978" s="71"/>
      <c r="S978" s="71"/>
      <c r="T978" s="75"/>
      <c r="U978" s="75"/>
      <c r="V978" s="75"/>
      <c r="W978" s="58" t="str">
        <f t="shared" si="62"/>
        <v/>
      </c>
      <c r="X978" s="59" t="str">
        <f t="shared" si="63"/>
        <v/>
      </c>
      <c r="Y978" s="41"/>
      <c r="Z978" s="41"/>
      <c r="AA978" s="41"/>
      <c r="AB978" s="68"/>
      <c r="AC978" s="69"/>
      <c r="AD978" s="66"/>
      <c r="AE978" s="66"/>
      <c r="AF978" s="66"/>
      <c r="AG978" s="60"/>
      <c r="AH978" s="61"/>
      <c r="AI978" s="62"/>
      <c r="AJ978" s="61"/>
      <c r="AK978" s="60"/>
      <c r="AL978" s="65"/>
    </row>
    <row r="979" spans="2:38" s="42" customFormat="1" x14ac:dyDescent="0.35">
      <c r="B979" s="55" t="str">
        <f t="shared" si="61"/>
        <v/>
      </c>
      <c r="C979" s="40"/>
      <c r="D979" s="40"/>
      <c r="E979" s="41"/>
      <c r="F979" s="41"/>
      <c r="G979" s="41"/>
      <c r="H979" s="68"/>
      <c r="I979" s="71"/>
      <c r="J979" s="41"/>
      <c r="K979" s="41"/>
      <c r="L979" s="71"/>
      <c r="M979" s="71"/>
      <c r="N979" s="71"/>
      <c r="O979" s="71"/>
      <c r="P979" s="41"/>
      <c r="Q979" s="41"/>
      <c r="R979" s="71"/>
      <c r="S979" s="71"/>
      <c r="T979" s="75"/>
      <c r="U979" s="75"/>
      <c r="V979" s="75"/>
      <c r="W979" s="58" t="str">
        <f t="shared" si="62"/>
        <v/>
      </c>
      <c r="X979" s="59" t="str">
        <f t="shared" si="63"/>
        <v/>
      </c>
      <c r="Y979" s="41"/>
      <c r="Z979" s="41"/>
      <c r="AA979" s="41"/>
      <c r="AB979" s="68"/>
      <c r="AC979" s="69"/>
      <c r="AD979" s="66"/>
      <c r="AE979" s="66"/>
      <c r="AF979" s="66"/>
      <c r="AG979" s="60"/>
      <c r="AH979" s="61"/>
      <c r="AI979" s="62"/>
      <c r="AJ979" s="61"/>
      <c r="AK979" s="60"/>
      <c r="AL979" s="65"/>
    </row>
    <row r="980" spans="2:38" s="42" customFormat="1" x14ac:dyDescent="0.35">
      <c r="B980" s="55" t="str">
        <f t="shared" si="61"/>
        <v/>
      </c>
      <c r="C980" s="40"/>
      <c r="D980" s="40"/>
      <c r="E980" s="41"/>
      <c r="F980" s="41"/>
      <c r="G980" s="41"/>
      <c r="H980" s="68"/>
      <c r="I980" s="71"/>
      <c r="J980" s="41"/>
      <c r="K980" s="41"/>
      <c r="L980" s="71"/>
      <c r="M980" s="71"/>
      <c r="N980" s="71"/>
      <c r="O980" s="71"/>
      <c r="P980" s="41"/>
      <c r="Q980" s="41"/>
      <c r="R980" s="71"/>
      <c r="S980" s="71"/>
      <c r="T980" s="75"/>
      <c r="U980" s="75"/>
      <c r="V980" s="75"/>
      <c r="W980" s="58" t="str">
        <f t="shared" si="62"/>
        <v/>
      </c>
      <c r="X980" s="59" t="str">
        <f t="shared" si="63"/>
        <v/>
      </c>
      <c r="Y980" s="41"/>
      <c r="Z980" s="41"/>
      <c r="AA980" s="41"/>
      <c r="AB980" s="68"/>
      <c r="AC980" s="69"/>
      <c r="AD980" s="66"/>
      <c r="AE980" s="66"/>
      <c r="AF980" s="66"/>
      <c r="AG980" s="60"/>
      <c r="AH980" s="61"/>
      <c r="AI980" s="62"/>
      <c r="AJ980" s="61"/>
      <c r="AK980" s="60"/>
      <c r="AL980" s="65"/>
    </row>
    <row r="981" spans="2:38" s="42" customFormat="1" x14ac:dyDescent="0.35">
      <c r="B981" s="55" t="str">
        <f t="shared" si="61"/>
        <v/>
      </c>
      <c r="C981" s="40"/>
      <c r="D981" s="40"/>
      <c r="E981" s="41"/>
      <c r="F981" s="41"/>
      <c r="G981" s="41"/>
      <c r="H981" s="68"/>
      <c r="I981" s="71"/>
      <c r="J981" s="41"/>
      <c r="K981" s="41"/>
      <c r="L981" s="71"/>
      <c r="M981" s="71"/>
      <c r="N981" s="71"/>
      <c r="O981" s="71"/>
      <c r="P981" s="41"/>
      <c r="Q981" s="41"/>
      <c r="R981" s="71"/>
      <c r="S981" s="71"/>
      <c r="T981" s="75"/>
      <c r="U981" s="75"/>
      <c r="V981" s="75"/>
      <c r="W981" s="58" t="str">
        <f t="shared" si="62"/>
        <v/>
      </c>
      <c r="X981" s="59" t="str">
        <f t="shared" si="63"/>
        <v/>
      </c>
      <c r="Y981" s="41"/>
      <c r="Z981" s="41"/>
      <c r="AA981" s="41"/>
      <c r="AB981" s="68"/>
      <c r="AC981" s="69"/>
      <c r="AD981" s="66"/>
      <c r="AE981" s="66"/>
      <c r="AF981" s="66"/>
      <c r="AG981" s="60"/>
      <c r="AH981" s="61"/>
      <c r="AI981" s="62"/>
      <c r="AJ981" s="61"/>
      <c r="AK981" s="60"/>
      <c r="AL981" s="65"/>
    </row>
    <row r="982" spans="2:38" s="42" customFormat="1" x14ac:dyDescent="0.35">
      <c r="B982" s="55" t="str">
        <f t="shared" si="61"/>
        <v/>
      </c>
      <c r="C982" s="40"/>
      <c r="D982" s="40"/>
      <c r="E982" s="41"/>
      <c r="F982" s="41"/>
      <c r="G982" s="41"/>
      <c r="H982" s="68"/>
      <c r="I982" s="71"/>
      <c r="J982" s="41"/>
      <c r="K982" s="41"/>
      <c r="L982" s="71"/>
      <c r="M982" s="71"/>
      <c r="N982" s="71"/>
      <c r="O982" s="71"/>
      <c r="P982" s="41"/>
      <c r="Q982" s="41"/>
      <c r="R982" s="71"/>
      <c r="S982" s="71"/>
      <c r="T982" s="75"/>
      <c r="U982" s="75"/>
      <c r="V982" s="75"/>
      <c r="W982" s="58" t="str">
        <f t="shared" si="62"/>
        <v/>
      </c>
      <c r="X982" s="59" t="str">
        <f t="shared" si="63"/>
        <v/>
      </c>
      <c r="Y982" s="41"/>
      <c r="Z982" s="41"/>
      <c r="AA982" s="41"/>
      <c r="AB982" s="68"/>
      <c r="AC982" s="69"/>
      <c r="AD982" s="66"/>
      <c r="AE982" s="66"/>
      <c r="AF982" s="66"/>
      <c r="AG982" s="60"/>
      <c r="AH982" s="61"/>
      <c r="AI982" s="62"/>
      <c r="AJ982" s="61"/>
      <c r="AK982" s="60"/>
      <c r="AL982" s="65"/>
    </row>
    <row r="983" spans="2:38" s="42" customFormat="1" x14ac:dyDescent="0.35">
      <c r="B983" s="55" t="str">
        <f t="shared" si="61"/>
        <v/>
      </c>
      <c r="C983" s="40"/>
      <c r="D983" s="40"/>
      <c r="E983" s="41"/>
      <c r="F983" s="41"/>
      <c r="G983" s="41"/>
      <c r="H983" s="68"/>
      <c r="I983" s="71"/>
      <c r="J983" s="41"/>
      <c r="K983" s="41"/>
      <c r="L983" s="71"/>
      <c r="M983" s="71"/>
      <c r="N983" s="71"/>
      <c r="O983" s="71"/>
      <c r="P983" s="41"/>
      <c r="Q983" s="41"/>
      <c r="R983" s="71"/>
      <c r="S983" s="71"/>
      <c r="T983" s="75"/>
      <c r="U983" s="75"/>
      <c r="V983" s="75"/>
      <c r="W983" s="58" t="str">
        <f t="shared" si="62"/>
        <v/>
      </c>
      <c r="X983" s="59" t="str">
        <f t="shared" si="63"/>
        <v/>
      </c>
      <c r="Y983" s="41"/>
      <c r="Z983" s="41"/>
      <c r="AA983" s="41"/>
      <c r="AB983" s="68"/>
      <c r="AC983" s="69"/>
      <c r="AD983" s="66"/>
      <c r="AE983" s="66"/>
      <c r="AF983" s="66"/>
      <c r="AG983" s="60"/>
      <c r="AH983" s="61"/>
      <c r="AI983" s="62"/>
      <c r="AJ983" s="61"/>
      <c r="AK983" s="60"/>
      <c r="AL983" s="65"/>
    </row>
    <row r="984" spans="2:38" s="42" customFormat="1" x14ac:dyDescent="0.35">
      <c r="B984" s="55" t="str">
        <f t="shared" si="61"/>
        <v/>
      </c>
      <c r="C984" s="40"/>
      <c r="D984" s="40"/>
      <c r="E984" s="41"/>
      <c r="F984" s="41"/>
      <c r="G984" s="41"/>
      <c r="H984" s="68"/>
      <c r="I984" s="71"/>
      <c r="J984" s="41"/>
      <c r="K984" s="41"/>
      <c r="L984" s="71"/>
      <c r="M984" s="71"/>
      <c r="N984" s="71"/>
      <c r="O984" s="71"/>
      <c r="P984" s="41"/>
      <c r="Q984" s="41"/>
      <c r="R984" s="71"/>
      <c r="S984" s="71"/>
      <c r="T984" s="75"/>
      <c r="U984" s="75"/>
      <c r="V984" s="75"/>
      <c r="W984" s="58" t="str">
        <f t="shared" si="62"/>
        <v/>
      </c>
      <c r="X984" s="59" t="str">
        <f t="shared" si="63"/>
        <v/>
      </c>
      <c r="Y984" s="41"/>
      <c r="Z984" s="41"/>
      <c r="AA984" s="41"/>
      <c r="AB984" s="68"/>
      <c r="AC984" s="69"/>
      <c r="AD984" s="66"/>
      <c r="AE984" s="66"/>
      <c r="AF984" s="66"/>
      <c r="AG984" s="60"/>
      <c r="AH984" s="61"/>
      <c r="AI984" s="62"/>
      <c r="AJ984" s="61"/>
      <c r="AK984" s="60"/>
      <c r="AL984" s="65"/>
    </row>
    <row r="985" spans="2:38" s="42" customFormat="1" x14ac:dyDescent="0.35">
      <c r="B985" s="55" t="str">
        <f t="shared" si="61"/>
        <v/>
      </c>
      <c r="C985" s="40"/>
      <c r="D985" s="40"/>
      <c r="E985" s="41"/>
      <c r="F985" s="41"/>
      <c r="G985" s="41"/>
      <c r="H985" s="68"/>
      <c r="I985" s="71"/>
      <c r="J985" s="41"/>
      <c r="K985" s="41"/>
      <c r="L985" s="71"/>
      <c r="M985" s="71"/>
      <c r="N985" s="71"/>
      <c r="O985" s="71"/>
      <c r="P985" s="41"/>
      <c r="Q985" s="41"/>
      <c r="R985" s="71"/>
      <c r="S985" s="71"/>
      <c r="T985" s="75"/>
      <c r="U985" s="75"/>
      <c r="V985" s="75"/>
      <c r="W985" s="58" t="str">
        <f t="shared" si="62"/>
        <v/>
      </c>
      <c r="X985" s="59" t="str">
        <f t="shared" si="63"/>
        <v/>
      </c>
      <c r="Y985" s="41"/>
      <c r="Z985" s="41"/>
      <c r="AA985" s="41"/>
      <c r="AB985" s="68"/>
      <c r="AC985" s="69"/>
      <c r="AD985" s="66"/>
      <c r="AE985" s="66"/>
      <c r="AF985" s="66"/>
      <c r="AG985" s="60"/>
      <c r="AH985" s="61"/>
      <c r="AI985" s="62"/>
      <c r="AJ985" s="61"/>
      <c r="AK985" s="60"/>
      <c r="AL985" s="65"/>
    </row>
    <row r="986" spans="2:38" s="42" customFormat="1" x14ac:dyDescent="0.35">
      <c r="B986" s="55" t="str">
        <f t="shared" si="61"/>
        <v/>
      </c>
      <c r="C986" s="40"/>
      <c r="D986" s="40"/>
      <c r="E986" s="41"/>
      <c r="F986" s="41"/>
      <c r="G986" s="41"/>
      <c r="H986" s="68"/>
      <c r="I986" s="71"/>
      <c r="J986" s="41"/>
      <c r="K986" s="41"/>
      <c r="L986" s="71"/>
      <c r="M986" s="71"/>
      <c r="N986" s="71"/>
      <c r="O986" s="71"/>
      <c r="P986" s="41"/>
      <c r="Q986" s="41"/>
      <c r="R986" s="71"/>
      <c r="S986" s="71"/>
      <c r="T986" s="75"/>
      <c r="U986" s="75"/>
      <c r="V986" s="75"/>
      <c r="W986" s="58" t="str">
        <f t="shared" si="62"/>
        <v/>
      </c>
      <c r="X986" s="59" t="str">
        <f t="shared" si="63"/>
        <v/>
      </c>
      <c r="Y986" s="41"/>
      <c r="Z986" s="41"/>
      <c r="AA986" s="41"/>
      <c r="AB986" s="68"/>
      <c r="AC986" s="69"/>
      <c r="AD986" s="66"/>
      <c r="AE986" s="66"/>
      <c r="AF986" s="66"/>
      <c r="AG986" s="60"/>
      <c r="AH986" s="61"/>
      <c r="AI986" s="62"/>
      <c r="AJ986" s="61"/>
      <c r="AK986" s="60"/>
      <c r="AL986" s="65"/>
    </row>
    <row r="987" spans="2:38" s="42" customFormat="1" x14ac:dyDescent="0.35">
      <c r="B987" s="55" t="str">
        <f t="shared" si="61"/>
        <v/>
      </c>
      <c r="C987" s="40"/>
      <c r="D987" s="40"/>
      <c r="E987" s="41"/>
      <c r="F987" s="41"/>
      <c r="G987" s="41"/>
      <c r="H987" s="68"/>
      <c r="I987" s="71"/>
      <c r="J987" s="41"/>
      <c r="K987" s="41"/>
      <c r="L987" s="71"/>
      <c r="M987" s="71"/>
      <c r="N987" s="71"/>
      <c r="O987" s="71"/>
      <c r="P987" s="41"/>
      <c r="Q987" s="41"/>
      <c r="R987" s="71"/>
      <c r="S987" s="71"/>
      <c r="T987" s="75"/>
      <c r="U987" s="75"/>
      <c r="V987" s="75"/>
      <c r="W987" s="58" t="str">
        <f t="shared" si="62"/>
        <v/>
      </c>
      <c r="X987" s="59" t="str">
        <f t="shared" si="63"/>
        <v/>
      </c>
      <c r="Y987" s="41"/>
      <c r="Z987" s="41"/>
      <c r="AA987" s="41"/>
      <c r="AB987" s="68"/>
      <c r="AC987" s="69"/>
      <c r="AD987" s="66"/>
      <c r="AE987" s="66"/>
      <c r="AF987" s="66"/>
      <c r="AG987" s="60"/>
      <c r="AH987" s="61"/>
      <c r="AI987" s="62"/>
      <c r="AJ987" s="61"/>
      <c r="AK987" s="60"/>
      <c r="AL987" s="65"/>
    </row>
    <row r="988" spans="2:38" s="42" customFormat="1" x14ac:dyDescent="0.35">
      <c r="B988" s="55" t="str">
        <f t="shared" si="61"/>
        <v/>
      </c>
      <c r="C988" s="40"/>
      <c r="D988" s="40"/>
      <c r="E988" s="41"/>
      <c r="F988" s="41"/>
      <c r="G988" s="41"/>
      <c r="H988" s="68"/>
      <c r="I988" s="71"/>
      <c r="J988" s="41"/>
      <c r="K988" s="41"/>
      <c r="L988" s="71"/>
      <c r="M988" s="71"/>
      <c r="N988" s="71"/>
      <c r="O988" s="71"/>
      <c r="P988" s="41"/>
      <c r="Q988" s="41"/>
      <c r="R988" s="71"/>
      <c r="S988" s="71"/>
      <c r="T988" s="75"/>
      <c r="U988" s="75"/>
      <c r="V988" s="75"/>
      <c r="W988" s="58" t="str">
        <f t="shared" si="62"/>
        <v/>
      </c>
      <c r="X988" s="59" t="str">
        <f t="shared" si="63"/>
        <v/>
      </c>
      <c r="Y988" s="41"/>
      <c r="Z988" s="41"/>
      <c r="AA988" s="41"/>
      <c r="AB988" s="68"/>
      <c r="AC988" s="69"/>
      <c r="AD988" s="66"/>
      <c r="AE988" s="66"/>
      <c r="AF988" s="66"/>
      <c r="AG988" s="60"/>
      <c r="AH988" s="61"/>
      <c r="AI988" s="62"/>
      <c r="AJ988" s="61"/>
      <c r="AK988" s="60"/>
      <c r="AL988" s="65"/>
    </row>
    <row r="989" spans="2:38" s="42" customFormat="1" x14ac:dyDescent="0.35">
      <c r="B989" s="55" t="str">
        <f t="shared" si="61"/>
        <v/>
      </c>
      <c r="C989" s="40"/>
      <c r="D989" s="40"/>
      <c r="E989" s="41"/>
      <c r="F989" s="41"/>
      <c r="G989" s="41"/>
      <c r="H989" s="68"/>
      <c r="I989" s="71"/>
      <c r="J989" s="41"/>
      <c r="K989" s="41"/>
      <c r="L989" s="71"/>
      <c r="M989" s="71"/>
      <c r="N989" s="71"/>
      <c r="O989" s="71"/>
      <c r="P989" s="41"/>
      <c r="Q989" s="41"/>
      <c r="R989" s="71"/>
      <c r="S989" s="71"/>
      <c r="T989" s="75"/>
      <c r="U989" s="75"/>
      <c r="V989" s="75"/>
      <c r="W989" s="58" t="str">
        <f t="shared" si="62"/>
        <v/>
      </c>
      <c r="X989" s="59" t="str">
        <f t="shared" si="63"/>
        <v/>
      </c>
      <c r="Y989" s="41"/>
      <c r="Z989" s="41"/>
      <c r="AA989" s="41"/>
      <c r="AB989" s="68"/>
      <c r="AC989" s="69"/>
      <c r="AD989" s="66"/>
      <c r="AE989" s="66"/>
      <c r="AF989" s="66"/>
      <c r="AG989" s="60"/>
      <c r="AH989" s="61"/>
      <c r="AI989" s="62"/>
      <c r="AJ989" s="61"/>
      <c r="AK989" s="60"/>
      <c r="AL989" s="65"/>
    </row>
    <row r="990" spans="2:38" s="42" customFormat="1" x14ac:dyDescent="0.35">
      <c r="B990" s="55" t="str">
        <f t="shared" si="61"/>
        <v/>
      </c>
      <c r="C990" s="40"/>
      <c r="D990" s="40"/>
      <c r="E990" s="41"/>
      <c r="F990" s="41"/>
      <c r="G990" s="41"/>
      <c r="H990" s="68"/>
      <c r="I990" s="71"/>
      <c r="J990" s="41"/>
      <c r="K990" s="41"/>
      <c r="L990" s="71"/>
      <c r="M990" s="71"/>
      <c r="N990" s="71"/>
      <c r="O990" s="71"/>
      <c r="P990" s="41"/>
      <c r="Q990" s="41"/>
      <c r="R990" s="71"/>
      <c r="S990" s="71"/>
      <c r="T990" s="75"/>
      <c r="U990" s="75"/>
      <c r="V990" s="75"/>
      <c r="W990" s="58" t="str">
        <f t="shared" si="62"/>
        <v/>
      </c>
      <c r="X990" s="59" t="str">
        <f t="shared" si="63"/>
        <v/>
      </c>
      <c r="Y990" s="41"/>
      <c r="Z990" s="41"/>
      <c r="AA990" s="41"/>
      <c r="AB990" s="68"/>
      <c r="AC990" s="69"/>
      <c r="AD990" s="66"/>
      <c r="AE990" s="66"/>
      <c r="AF990" s="66"/>
      <c r="AG990" s="60"/>
      <c r="AH990" s="61"/>
      <c r="AI990" s="62"/>
      <c r="AJ990" s="61"/>
      <c r="AK990" s="60"/>
      <c r="AL990" s="65"/>
    </row>
    <row r="991" spans="2:38" s="42" customFormat="1" x14ac:dyDescent="0.35">
      <c r="B991" s="55" t="str">
        <f t="shared" si="61"/>
        <v/>
      </c>
      <c r="C991" s="40"/>
      <c r="D991" s="40"/>
      <c r="E991" s="41"/>
      <c r="F991" s="41"/>
      <c r="G991" s="41"/>
      <c r="H991" s="68"/>
      <c r="I991" s="71"/>
      <c r="J991" s="41"/>
      <c r="K991" s="41"/>
      <c r="L991" s="71"/>
      <c r="M991" s="71"/>
      <c r="N991" s="71"/>
      <c r="O991" s="71"/>
      <c r="P991" s="41"/>
      <c r="Q991" s="41"/>
      <c r="R991" s="71"/>
      <c r="S991" s="71"/>
      <c r="T991" s="75"/>
      <c r="U991" s="75"/>
      <c r="V991" s="75"/>
      <c r="W991" s="58" t="str">
        <f t="shared" si="62"/>
        <v/>
      </c>
      <c r="X991" s="59" t="str">
        <f t="shared" si="63"/>
        <v/>
      </c>
      <c r="Y991" s="41"/>
      <c r="Z991" s="41"/>
      <c r="AA991" s="41"/>
      <c r="AB991" s="68"/>
      <c r="AC991" s="69"/>
      <c r="AD991" s="66"/>
      <c r="AE991" s="66"/>
      <c r="AF991" s="66"/>
      <c r="AG991" s="60"/>
      <c r="AH991" s="61"/>
      <c r="AI991" s="62"/>
      <c r="AJ991" s="61"/>
      <c r="AK991" s="60"/>
      <c r="AL991" s="65"/>
    </row>
    <row r="992" spans="2:38" s="42" customFormat="1" x14ac:dyDescent="0.35">
      <c r="B992" s="55" t="str">
        <f t="shared" si="61"/>
        <v/>
      </c>
      <c r="C992" s="40"/>
      <c r="D992" s="40"/>
      <c r="E992" s="41"/>
      <c r="F992" s="41"/>
      <c r="G992" s="41"/>
      <c r="H992" s="68"/>
      <c r="I992" s="71"/>
      <c r="J992" s="41"/>
      <c r="K992" s="41"/>
      <c r="L992" s="71"/>
      <c r="M992" s="71"/>
      <c r="N992" s="71"/>
      <c r="O992" s="71"/>
      <c r="P992" s="41"/>
      <c r="Q992" s="41"/>
      <c r="R992" s="71"/>
      <c r="S992" s="71"/>
      <c r="T992" s="75"/>
      <c r="U992" s="75"/>
      <c r="V992" s="75"/>
      <c r="W992" s="58" t="str">
        <f t="shared" si="62"/>
        <v/>
      </c>
      <c r="X992" s="59" t="str">
        <f t="shared" si="63"/>
        <v/>
      </c>
      <c r="Y992" s="41"/>
      <c r="Z992" s="41"/>
      <c r="AA992" s="41"/>
      <c r="AB992" s="68"/>
      <c r="AC992" s="69"/>
      <c r="AD992" s="66"/>
      <c r="AE992" s="66"/>
      <c r="AF992" s="66"/>
      <c r="AG992" s="60"/>
      <c r="AH992" s="61"/>
      <c r="AI992" s="62"/>
      <c r="AJ992" s="61"/>
      <c r="AK992" s="60"/>
      <c r="AL992" s="65"/>
    </row>
    <row r="993" spans="2:38" s="42" customFormat="1" x14ac:dyDescent="0.35">
      <c r="B993" s="55" t="str">
        <f t="shared" si="61"/>
        <v/>
      </c>
      <c r="C993" s="40"/>
      <c r="D993" s="40"/>
      <c r="E993" s="41"/>
      <c r="F993" s="41"/>
      <c r="G993" s="41"/>
      <c r="H993" s="68"/>
      <c r="I993" s="71"/>
      <c r="J993" s="41"/>
      <c r="K993" s="41"/>
      <c r="L993" s="71"/>
      <c r="M993" s="71"/>
      <c r="N993" s="71"/>
      <c r="O993" s="71"/>
      <c r="P993" s="41"/>
      <c r="Q993" s="41"/>
      <c r="R993" s="71"/>
      <c r="S993" s="71"/>
      <c r="T993" s="75"/>
      <c r="U993" s="75"/>
      <c r="V993" s="75"/>
      <c r="W993" s="58" t="str">
        <f t="shared" si="62"/>
        <v/>
      </c>
      <c r="X993" s="59" t="str">
        <f t="shared" si="63"/>
        <v/>
      </c>
      <c r="Y993" s="41"/>
      <c r="Z993" s="41"/>
      <c r="AA993" s="41"/>
      <c r="AB993" s="68"/>
      <c r="AC993" s="69"/>
      <c r="AD993" s="66"/>
      <c r="AE993" s="66"/>
      <c r="AF993" s="66"/>
      <c r="AG993" s="60"/>
      <c r="AH993" s="61"/>
      <c r="AI993" s="62"/>
      <c r="AJ993" s="61"/>
      <c r="AK993" s="60"/>
      <c r="AL993" s="65"/>
    </row>
    <row r="994" spans="2:38" s="42" customFormat="1" x14ac:dyDescent="0.35">
      <c r="B994" s="55" t="str">
        <f t="shared" si="61"/>
        <v/>
      </c>
      <c r="C994" s="40"/>
      <c r="D994" s="40"/>
      <c r="E994" s="41"/>
      <c r="F994" s="41"/>
      <c r="G994" s="41"/>
      <c r="H994" s="68"/>
      <c r="I994" s="71"/>
      <c r="J994" s="41"/>
      <c r="K994" s="41"/>
      <c r="L994" s="71"/>
      <c r="M994" s="71"/>
      <c r="N994" s="71"/>
      <c r="O994" s="71"/>
      <c r="P994" s="41"/>
      <c r="Q994" s="41"/>
      <c r="R994" s="71"/>
      <c r="S994" s="71"/>
      <c r="T994" s="75"/>
      <c r="U994" s="75"/>
      <c r="V994" s="75"/>
      <c r="W994" s="58" t="str">
        <f t="shared" si="62"/>
        <v/>
      </c>
      <c r="X994" s="59" t="str">
        <f t="shared" si="63"/>
        <v/>
      </c>
      <c r="Y994" s="41"/>
      <c r="Z994" s="41"/>
      <c r="AA994" s="41"/>
      <c r="AB994" s="68"/>
      <c r="AC994" s="69"/>
      <c r="AD994" s="66"/>
      <c r="AE994" s="66"/>
      <c r="AF994" s="66"/>
      <c r="AG994" s="60"/>
      <c r="AH994" s="61"/>
      <c r="AI994" s="62"/>
      <c r="AJ994" s="61"/>
      <c r="AK994" s="60"/>
      <c r="AL994" s="65"/>
    </row>
    <row r="995" spans="2:38" s="42" customFormat="1" x14ac:dyDescent="0.35">
      <c r="B995" s="55" t="str">
        <f t="shared" si="61"/>
        <v/>
      </c>
      <c r="C995" s="40"/>
      <c r="D995" s="40"/>
      <c r="E995" s="41"/>
      <c r="F995" s="41"/>
      <c r="G995" s="41"/>
      <c r="H995" s="68"/>
      <c r="I995" s="71"/>
      <c r="J995" s="41"/>
      <c r="K995" s="41"/>
      <c r="L995" s="71"/>
      <c r="M995" s="71"/>
      <c r="N995" s="71"/>
      <c r="O995" s="71"/>
      <c r="P995" s="41"/>
      <c r="Q995" s="41"/>
      <c r="R995" s="71"/>
      <c r="S995" s="71"/>
      <c r="T995" s="75"/>
      <c r="U995" s="75"/>
      <c r="V995" s="75"/>
      <c r="W995" s="58" t="str">
        <f t="shared" si="62"/>
        <v/>
      </c>
      <c r="X995" s="59" t="str">
        <f t="shared" si="63"/>
        <v/>
      </c>
      <c r="Y995" s="41"/>
      <c r="Z995" s="41"/>
      <c r="AA995" s="41"/>
      <c r="AB995" s="68"/>
      <c r="AC995" s="69"/>
      <c r="AD995" s="66"/>
      <c r="AE995" s="66"/>
      <c r="AF995" s="66"/>
      <c r="AG995" s="60"/>
      <c r="AH995" s="61"/>
      <c r="AI995" s="62"/>
      <c r="AJ995" s="61"/>
      <c r="AK995" s="60"/>
      <c r="AL995" s="65"/>
    </row>
    <row r="996" spans="2:38" s="42" customFormat="1" x14ac:dyDescent="0.35">
      <c r="B996" s="55" t="str">
        <f t="shared" si="61"/>
        <v/>
      </c>
      <c r="C996" s="40"/>
      <c r="D996" s="40"/>
      <c r="E996" s="41"/>
      <c r="F996" s="41"/>
      <c r="G996" s="41"/>
      <c r="H996" s="68"/>
      <c r="I996" s="71"/>
      <c r="J996" s="41"/>
      <c r="K996" s="41"/>
      <c r="L996" s="71"/>
      <c r="M996" s="71"/>
      <c r="N996" s="71"/>
      <c r="O996" s="71"/>
      <c r="P996" s="41"/>
      <c r="Q996" s="41"/>
      <c r="R996" s="71"/>
      <c r="S996" s="71"/>
      <c r="T996" s="75"/>
      <c r="U996" s="75"/>
      <c r="V996" s="75"/>
      <c r="W996" s="58" t="str">
        <f t="shared" si="62"/>
        <v/>
      </c>
      <c r="X996" s="59" t="str">
        <f t="shared" si="63"/>
        <v/>
      </c>
      <c r="Y996" s="41"/>
      <c r="Z996" s="41"/>
      <c r="AA996" s="41"/>
      <c r="AB996" s="68"/>
      <c r="AC996" s="69"/>
      <c r="AD996" s="66"/>
      <c r="AE996" s="66"/>
      <c r="AF996" s="66"/>
      <c r="AG996" s="60"/>
      <c r="AH996" s="61"/>
      <c r="AI996" s="62"/>
      <c r="AJ996" s="61"/>
      <c r="AK996" s="60"/>
      <c r="AL996" s="65"/>
    </row>
    <row r="997" spans="2:38" s="42" customFormat="1" x14ac:dyDescent="0.35">
      <c r="B997" s="55" t="str">
        <f t="shared" si="61"/>
        <v/>
      </c>
      <c r="C997" s="40"/>
      <c r="D997" s="40"/>
      <c r="E997" s="41"/>
      <c r="F997" s="41"/>
      <c r="G997" s="41"/>
      <c r="H997" s="68"/>
      <c r="I997" s="71"/>
      <c r="J997" s="41"/>
      <c r="K997" s="41"/>
      <c r="L997" s="71"/>
      <c r="M997" s="71"/>
      <c r="N997" s="71"/>
      <c r="O997" s="71"/>
      <c r="P997" s="41"/>
      <c r="Q997" s="41"/>
      <c r="R997" s="71"/>
      <c r="S997" s="71"/>
      <c r="T997" s="75"/>
      <c r="U997" s="75"/>
      <c r="V997" s="75"/>
      <c r="W997" s="58" t="str">
        <f t="shared" si="62"/>
        <v/>
      </c>
      <c r="X997" s="59" t="str">
        <f t="shared" si="63"/>
        <v/>
      </c>
      <c r="Y997" s="41"/>
      <c r="Z997" s="41"/>
      <c r="AA997" s="41"/>
      <c r="AB997" s="68"/>
      <c r="AC997" s="69"/>
      <c r="AD997" s="66"/>
      <c r="AE997" s="66"/>
      <c r="AF997" s="66"/>
      <c r="AG997" s="60"/>
      <c r="AH997" s="61"/>
      <c r="AI997" s="62"/>
      <c r="AJ997" s="61"/>
      <c r="AK997" s="60"/>
      <c r="AL997" s="65"/>
    </row>
    <row r="998" spans="2:38" s="42" customFormat="1" x14ac:dyDescent="0.35">
      <c r="B998" s="55" t="str">
        <f t="shared" si="61"/>
        <v/>
      </c>
      <c r="C998" s="40"/>
      <c r="D998" s="40"/>
      <c r="E998" s="41"/>
      <c r="F998" s="41"/>
      <c r="G998" s="41"/>
      <c r="H998" s="68"/>
      <c r="I998" s="71"/>
      <c r="J998" s="41"/>
      <c r="K998" s="41"/>
      <c r="L998" s="71"/>
      <c r="M998" s="71"/>
      <c r="N998" s="71"/>
      <c r="O998" s="71"/>
      <c r="P998" s="41"/>
      <c r="Q998" s="41"/>
      <c r="R998" s="71"/>
      <c r="S998" s="71"/>
      <c r="T998" s="75"/>
      <c r="U998" s="75"/>
      <c r="V998" s="75"/>
      <c r="W998" s="58" t="str">
        <f t="shared" si="62"/>
        <v/>
      </c>
      <c r="X998" s="59" t="str">
        <f t="shared" si="63"/>
        <v/>
      </c>
      <c r="Y998" s="41"/>
      <c r="Z998" s="41"/>
      <c r="AA998" s="41"/>
      <c r="AB998" s="68"/>
      <c r="AC998" s="69"/>
      <c r="AD998" s="66"/>
      <c r="AE998" s="66"/>
      <c r="AF998" s="66"/>
      <c r="AG998" s="60"/>
      <c r="AH998" s="61"/>
      <c r="AI998" s="62"/>
      <c r="AJ998" s="61"/>
      <c r="AK998" s="60"/>
      <c r="AL998" s="65"/>
    </row>
    <row r="999" spans="2:38" s="42" customFormat="1" x14ac:dyDescent="0.35">
      <c r="B999" s="55" t="str">
        <f t="shared" si="61"/>
        <v/>
      </c>
      <c r="C999" s="40"/>
      <c r="D999" s="40"/>
      <c r="E999" s="41"/>
      <c r="F999" s="41"/>
      <c r="G999" s="41"/>
      <c r="H999" s="68"/>
      <c r="I999" s="71"/>
      <c r="J999" s="41"/>
      <c r="K999" s="41"/>
      <c r="L999" s="71"/>
      <c r="M999" s="71"/>
      <c r="N999" s="71"/>
      <c r="O999" s="71"/>
      <c r="P999" s="41"/>
      <c r="Q999" s="41"/>
      <c r="R999" s="71"/>
      <c r="S999" s="71"/>
      <c r="T999" s="75"/>
      <c r="U999" s="75"/>
      <c r="V999" s="75"/>
      <c r="W999" s="58" t="str">
        <f t="shared" si="62"/>
        <v/>
      </c>
      <c r="X999" s="59" t="str">
        <f t="shared" si="63"/>
        <v/>
      </c>
      <c r="Y999" s="41"/>
      <c r="Z999" s="41"/>
      <c r="AA999" s="41"/>
      <c r="AB999" s="68"/>
      <c r="AC999" s="69"/>
      <c r="AD999" s="66"/>
      <c r="AE999" s="66"/>
      <c r="AF999" s="66"/>
      <c r="AG999" s="60"/>
      <c r="AH999" s="61"/>
      <c r="AI999" s="62"/>
      <c r="AJ999" s="61"/>
      <c r="AK999" s="60"/>
      <c r="AL999" s="65"/>
    </row>
    <row r="1000" spans="2:38" s="42" customFormat="1" x14ac:dyDescent="0.35">
      <c r="B1000" s="55" t="str">
        <f t="shared" si="61"/>
        <v/>
      </c>
      <c r="C1000" s="40"/>
      <c r="D1000" s="40"/>
      <c r="E1000" s="41"/>
      <c r="F1000" s="41"/>
      <c r="G1000" s="41"/>
      <c r="H1000" s="68"/>
      <c r="I1000" s="71"/>
      <c r="J1000" s="41"/>
      <c r="K1000" s="41"/>
      <c r="L1000" s="71"/>
      <c r="M1000" s="71"/>
      <c r="N1000" s="71"/>
      <c r="O1000" s="71"/>
      <c r="P1000" s="41"/>
      <c r="Q1000" s="41"/>
      <c r="R1000" s="71"/>
      <c r="S1000" s="71"/>
      <c r="T1000" s="75"/>
      <c r="U1000" s="75"/>
      <c r="V1000" s="75"/>
      <c r="W1000" s="58" t="str">
        <f t="shared" si="62"/>
        <v/>
      </c>
      <c r="X1000" s="59" t="str">
        <f t="shared" si="63"/>
        <v/>
      </c>
      <c r="Y1000" s="41"/>
      <c r="Z1000" s="41"/>
      <c r="AA1000" s="41"/>
      <c r="AB1000" s="68"/>
      <c r="AC1000" s="69"/>
      <c r="AD1000" s="66"/>
      <c r="AE1000" s="66"/>
      <c r="AF1000" s="66"/>
      <c r="AG1000" s="60"/>
      <c r="AH1000" s="61"/>
      <c r="AI1000" s="62"/>
      <c r="AJ1000" s="61"/>
      <c r="AK1000" s="60"/>
      <c r="AL1000" s="65"/>
    </row>
    <row r="1001" spans="2:38" s="42" customFormat="1" x14ac:dyDescent="0.35">
      <c r="B1001" s="55" t="str">
        <f t="shared" si="61"/>
        <v/>
      </c>
      <c r="C1001" s="43"/>
      <c r="D1001" s="43"/>
      <c r="E1001" s="44"/>
      <c r="F1001" s="44"/>
      <c r="G1001" s="44"/>
      <c r="H1001" s="68"/>
      <c r="I1001" s="72"/>
      <c r="J1001" s="44"/>
      <c r="K1001" s="44"/>
      <c r="L1001" s="72"/>
      <c r="M1001" s="72"/>
      <c r="N1001" s="72"/>
      <c r="O1001" s="72"/>
      <c r="P1001" s="44"/>
      <c r="Q1001" s="44"/>
      <c r="R1001" s="72"/>
      <c r="S1001" s="72"/>
      <c r="T1001" s="76"/>
      <c r="U1001" s="76"/>
      <c r="V1001" s="76"/>
      <c r="W1001" s="58" t="str">
        <f t="shared" si="62"/>
        <v/>
      </c>
      <c r="X1001" s="59" t="str">
        <f t="shared" si="63"/>
        <v/>
      </c>
      <c r="Y1001" s="44"/>
      <c r="Z1001" s="44"/>
      <c r="AA1001" s="44"/>
      <c r="AB1001" s="68"/>
      <c r="AC1001" s="69"/>
      <c r="AD1001" s="66"/>
      <c r="AE1001" s="66"/>
      <c r="AF1001" s="66"/>
      <c r="AG1001" s="60"/>
      <c r="AH1001" s="61"/>
      <c r="AI1001" s="62"/>
      <c r="AJ1001" s="61"/>
      <c r="AK1001" s="60"/>
      <c r="AL1001" s="65"/>
    </row>
  </sheetData>
  <conditionalFormatting sqref="S3:S1001">
    <cfRule type="cellIs" dxfId="233" priority="2" operator="equal">
      <formula>"Concluído"</formula>
    </cfRule>
    <cfRule type="cellIs" dxfId="232" priority="3" operator="equal">
      <formula>"Em andamento"</formula>
    </cfRule>
  </conditionalFormatting>
  <dataValidations count="12">
    <dataValidation type="list" allowBlank="1" showErrorMessage="1" errorTitle="Valor inválido" error="Selecione um valor da lista." sqref="E3:E1001" xr:uid="{00000000-0002-0000-0100-000000000000}">
      <formula1>Departamentos</formula1>
      <formula2>0</formula2>
    </dataValidation>
    <dataValidation type="list" allowBlank="1" showErrorMessage="1" errorTitle="Valor inválido" error="Selecione um valor da lista." sqref="F3:F1001" xr:uid="{00000000-0002-0000-0100-000001000000}">
      <formula1>Projetos</formula1>
      <formula2>0</formula2>
    </dataValidation>
    <dataValidation type="list" allowBlank="1" showErrorMessage="1" errorTitle="Valor inválido" error="Selecione um valor da lista." sqref="G3:G1001" xr:uid="{00000000-0002-0000-0100-000002000000}">
      <formula1>INDIRECT(VLOOKUP($F3,MapaTemas,2,0))</formula1>
      <formula2>0</formula2>
    </dataValidation>
    <dataValidation type="list" allowBlank="1" showErrorMessage="1" errorTitle="Valor inválido" error="Selecione um valor da lista." sqref="H3:H1001" xr:uid="{F511C6B5-9EDA-4B90-8116-05F98134E4B4}">
      <formula1>Pilares</formula1>
      <formula2>0</formula2>
    </dataValidation>
    <dataValidation type="list" allowBlank="1" showErrorMessage="1" errorTitle="Valor inválido" error="Selecione um valor da lista." sqref="I3:I1001" xr:uid="{00000000-0002-0000-0100-000004000000}">
      <formula1>INDIRECT(VLOOKUP($H3,MapaEnt,2,0))</formula1>
      <formula2>0</formula2>
    </dataValidation>
    <dataValidation type="list" allowBlank="1" showErrorMessage="1" errorTitle="Valor inválido" error="Selecione um valor da lista." sqref="L3:L1001" xr:uid="{00000000-0002-0000-0100-000005000000}">
      <formula1>DeptosCSC</formula1>
      <formula2>0</formula2>
    </dataValidation>
    <dataValidation type="list" allowBlank="1" showErrorMessage="1" errorTitle="Valor inválido" error="Selecione um valor da lista." sqref="M3:M1001" xr:uid="{00000000-0002-0000-0100-000006000000}">
      <formula1>INDIRECT(VLOOKUP($L3,MapaPessoas,2,0))</formula1>
      <formula2>0</formula2>
    </dataValidation>
    <dataValidation type="list" allowBlank="1" showErrorMessage="1" errorTitle="Valor inválido" error="Selecione um valor da lista." sqref="N3:N1001" xr:uid="{00000000-0002-0000-0100-000007000000}">
      <formula1>SimNao</formula1>
      <formula2>0</formula2>
    </dataValidation>
    <dataValidation type="list" allowBlank="1" showErrorMessage="1" errorTitle="Valor inválido" error="Selecione um valor da lista." sqref="O3:O1001" xr:uid="{00000000-0002-0000-0100-000008000000}">
      <formula1>Papeis</formula1>
      <formula2>0</formula2>
    </dataValidation>
    <dataValidation type="list" allowBlank="1" errorTitle="Valor inválido" error="Selecione um valor da lista." sqref="P3:P1001" xr:uid="{00000000-0002-0000-0100-000009000000}">
      <formula1>EquipePI</formula1>
      <formula2>0</formula2>
    </dataValidation>
    <dataValidation type="list" allowBlank="1" showErrorMessage="1" errorTitle="Valor inválido" error="Selecione um valor da lista." sqref="R3:R1001" xr:uid="{00000000-0002-0000-0100-00000A000000}">
      <formula1>Empresas</formula1>
      <formula2>0</formula2>
    </dataValidation>
    <dataValidation type="list" allowBlank="1" showErrorMessage="1" errorTitle="Valor inválido" error="Selecione um valor da lista." sqref="S3:S1001" xr:uid="{00000000-0002-0000-0100-00000B000000}">
      <formula1>StatusList</formula1>
      <formula2>0</formula2>
    </dataValidation>
  </dataValidations>
  <pageMargins left="0.75" right="0.75" top="1" bottom="1" header="0.511811023622047" footer="0.51180555555555596"/>
  <pageSetup paperSize="9" orientation="portrait" horizontalDpi="300" verticalDpi="300"/>
  <headerFooter>
    <oddFooter>&amp;C&amp;"Aptos,Regular"&amp;10 &amp;K008000_x005F_x000d_# Classificação: Pública</oddFooter>
  </headerFooter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P525"/>
  <sheetViews>
    <sheetView showGridLines="0" zoomScale="80" zoomScaleNormal="80" workbookViewId="0">
      <selection activeCell="A4" sqref="A4"/>
    </sheetView>
  </sheetViews>
  <sheetFormatPr defaultColWidth="0" defaultRowHeight="13.5" x14ac:dyDescent="0.35"/>
  <cols>
    <col min="1" max="1" width="1.54296875" style="26" bestFit="1" customWidth="1"/>
    <col min="2" max="2" width="17" style="26" bestFit="1" customWidth="1"/>
    <col min="3" max="3" width="47.1796875" style="26" bestFit="1" customWidth="1"/>
    <col min="4" max="4" width="23.1796875" style="26" customWidth="1"/>
    <col min="5" max="6" width="18.54296875" style="26" customWidth="1"/>
    <col min="7" max="7" width="22.1796875" style="26" customWidth="1"/>
    <col min="8" max="8" width="16.26953125" style="26" customWidth="1"/>
    <col min="9" max="9" width="16.81640625" style="26" customWidth="1"/>
    <col min="10" max="12" width="18.54296875" style="26" customWidth="1"/>
    <col min="13" max="13" width="22.26953125" style="26" bestFit="1" customWidth="1"/>
    <col min="14" max="14" width="13.453125" style="26" customWidth="1"/>
    <col min="15" max="15" width="30" style="26" customWidth="1"/>
    <col min="16" max="16" width="1.54296875" style="26" bestFit="1" customWidth="1"/>
    <col min="17" max="16384" width="8.54296875" style="26" hidden="1"/>
  </cols>
  <sheetData>
    <row r="2" spans="2:15" s="36" customFormat="1" ht="25.5" customHeight="1" x14ac:dyDescent="0.35">
      <c r="B2" s="308" t="s">
        <v>803</v>
      </c>
      <c r="C2" s="258"/>
      <c r="D2" s="258"/>
      <c r="E2" s="258"/>
      <c r="F2" s="258"/>
      <c r="G2" s="258"/>
      <c r="H2" s="258"/>
      <c r="I2" s="258"/>
      <c r="J2" s="258"/>
      <c r="K2" s="258"/>
      <c r="L2" s="258"/>
      <c r="M2" s="258"/>
      <c r="N2" s="258"/>
      <c r="O2" s="258"/>
    </row>
    <row r="3" spans="2:15" s="22" customFormat="1" ht="15" customHeight="1" x14ac:dyDescent="0.35">
      <c r="B3" s="117" t="s">
        <v>78</v>
      </c>
      <c r="C3" s="117"/>
      <c r="D3" s="117"/>
      <c r="E3" s="117"/>
      <c r="F3" s="117"/>
      <c r="G3" s="117"/>
      <c r="H3" s="117"/>
      <c r="I3" s="117"/>
      <c r="J3" s="117"/>
      <c r="K3" s="117"/>
      <c r="L3" s="117"/>
      <c r="M3" s="117"/>
      <c r="N3" s="117"/>
      <c r="O3" s="117"/>
    </row>
    <row r="4" spans="2:15" x14ac:dyDescent="0.35"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</row>
    <row r="5" spans="2:15" s="36" customFormat="1" ht="19.5" customHeight="1" x14ac:dyDescent="0.35">
      <c r="B5" s="258" t="s">
        <v>79</v>
      </c>
      <c r="C5" s="258"/>
      <c r="D5" s="258"/>
      <c r="E5" s="258"/>
      <c r="F5" s="258"/>
      <c r="G5" s="258"/>
      <c r="H5" s="258"/>
      <c r="I5" s="258"/>
      <c r="J5" s="258"/>
      <c r="K5" s="258"/>
      <c r="L5" s="258"/>
      <c r="M5" s="258"/>
      <c r="N5" s="258"/>
      <c r="O5" s="258"/>
    </row>
    <row r="6" spans="2:15" ht="25.5" customHeight="1" x14ac:dyDescent="0.35">
      <c r="B6" s="46" t="s">
        <v>80</v>
      </c>
      <c r="C6" s="47"/>
      <c r="D6" s="47"/>
      <c r="E6" s="47"/>
      <c r="F6" s="47"/>
      <c r="G6" s="47"/>
      <c r="H6" s="47"/>
      <c r="I6" s="47"/>
      <c r="J6" s="47"/>
      <c r="K6" s="47"/>
      <c r="L6" s="47"/>
      <c r="M6" s="47"/>
      <c r="N6" s="47"/>
      <c r="O6" s="47"/>
    </row>
    <row r="7" spans="2:15" ht="25.5" customHeight="1" x14ac:dyDescent="0.35">
      <c r="B7" s="46" t="s">
        <v>81</v>
      </c>
      <c r="C7" s="47"/>
      <c r="D7" s="47"/>
      <c r="E7" s="47"/>
      <c r="F7" s="47"/>
      <c r="G7" s="47"/>
      <c r="H7" s="47"/>
      <c r="I7" s="47"/>
      <c r="J7" s="47"/>
      <c r="K7" s="47"/>
      <c r="L7" s="47"/>
      <c r="M7" s="47"/>
      <c r="N7" s="47"/>
      <c r="O7" s="47"/>
    </row>
    <row r="8" spans="2:15" ht="25.5" customHeight="1" x14ac:dyDescent="0.35">
      <c r="B8" s="46" t="s">
        <v>82</v>
      </c>
      <c r="C8" s="47"/>
      <c r="D8" s="47"/>
      <c r="E8" s="47"/>
      <c r="F8" s="47"/>
      <c r="G8" s="47"/>
      <c r="H8" s="47"/>
      <c r="I8" s="47"/>
      <c r="J8" s="47"/>
      <c r="K8" s="47"/>
      <c r="L8" s="47"/>
      <c r="M8" s="47"/>
      <c r="N8" s="47"/>
      <c r="O8" s="47"/>
    </row>
    <row r="9" spans="2:15" x14ac:dyDescent="0.35">
      <c r="B9" s="28"/>
      <c r="C9" s="28"/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</row>
    <row r="10" spans="2:15" s="36" customFormat="1" ht="19.5" customHeight="1" x14ac:dyDescent="0.35">
      <c r="B10" s="258" t="s">
        <v>83</v>
      </c>
      <c r="C10" s="258"/>
      <c r="D10" s="258"/>
      <c r="E10" s="258"/>
      <c r="F10" s="258"/>
      <c r="G10" s="258"/>
      <c r="H10" s="258"/>
      <c r="I10" s="258"/>
      <c r="J10" s="258"/>
      <c r="K10" s="258"/>
      <c r="L10" s="258"/>
      <c r="M10" s="258"/>
      <c r="N10" s="258"/>
      <c r="O10" s="258"/>
    </row>
    <row r="11" spans="2:15" ht="15" customHeight="1" x14ac:dyDescent="0.35">
      <c r="B11" s="227" t="s">
        <v>84</v>
      </c>
      <c r="C11" s="227"/>
      <c r="D11" s="228">
        <f>COUNTIF($M$26:$M$525,B11)</f>
        <v>0</v>
      </c>
      <c r="E11" s="226"/>
      <c r="F11" s="28"/>
      <c r="G11" s="28"/>
      <c r="H11" s="28"/>
      <c r="I11" s="28"/>
      <c r="J11" s="28"/>
      <c r="K11" s="28"/>
      <c r="L11" s="28"/>
      <c r="M11" s="28"/>
      <c r="N11" s="28"/>
      <c r="O11" s="28"/>
    </row>
    <row r="12" spans="2:15" ht="15" customHeight="1" x14ac:dyDescent="0.35">
      <c r="B12" s="227" t="s">
        <v>85</v>
      </c>
      <c r="C12" s="227"/>
      <c r="D12" s="228">
        <f>COUNTIF($M$26:$M$525,B12)</f>
        <v>0</v>
      </c>
      <c r="E12" s="226"/>
      <c r="F12" s="28"/>
      <c r="G12" s="28"/>
      <c r="H12" s="28"/>
      <c r="I12" s="28"/>
      <c r="J12" s="28"/>
      <c r="K12" s="28"/>
      <c r="L12" s="28"/>
      <c r="M12" s="28"/>
      <c r="N12" s="28"/>
      <c r="O12" s="28"/>
    </row>
    <row r="13" spans="2:15" ht="15" customHeight="1" x14ac:dyDescent="0.35">
      <c r="B13" s="227" t="s">
        <v>86</v>
      </c>
      <c r="C13" s="227"/>
      <c r="D13" s="228">
        <f>COUNTIF($M$26:$M$525,B13)</f>
        <v>0</v>
      </c>
      <c r="E13" s="226"/>
      <c r="F13" s="28"/>
      <c r="G13" s="28"/>
      <c r="H13" s="28"/>
      <c r="I13" s="28"/>
      <c r="J13" s="28"/>
      <c r="K13" s="28"/>
      <c r="L13" s="28"/>
      <c r="M13" s="28"/>
      <c r="N13" s="28"/>
      <c r="O13" s="28"/>
    </row>
    <row r="14" spans="2:15" ht="15" customHeight="1" x14ac:dyDescent="0.35">
      <c r="B14" s="227" t="s">
        <v>87</v>
      </c>
      <c r="C14" s="227"/>
      <c r="D14" s="228">
        <f>COUNTIF($M$26:$M$525,B14)</f>
        <v>0</v>
      </c>
      <c r="E14" s="226"/>
      <c r="F14" s="28"/>
      <c r="G14" s="28"/>
      <c r="H14" s="28"/>
      <c r="I14" s="28"/>
      <c r="J14" s="28"/>
      <c r="K14" s="28"/>
      <c r="L14" s="28"/>
      <c r="M14" s="28"/>
      <c r="N14" s="28"/>
      <c r="O14" s="28"/>
    </row>
    <row r="15" spans="2:15" ht="15" customHeight="1" x14ac:dyDescent="0.35">
      <c r="B15" s="227" t="s">
        <v>88</v>
      </c>
      <c r="C15" s="227"/>
      <c r="D15" s="228">
        <f>COUNTIF($M$26:$M$525,B15)</f>
        <v>0</v>
      </c>
      <c r="E15" s="226"/>
      <c r="F15" s="28"/>
      <c r="G15" s="28"/>
      <c r="H15" s="28"/>
      <c r="I15" s="28"/>
      <c r="J15" s="28"/>
      <c r="K15" s="28"/>
      <c r="L15" s="28"/>
      <c r="M15" s="28"/>
      <c r="N15" s="28"/>
      <c r="O15" s="28"/>
    </row>
    <row r="16" spans="2:15" ht="15" customHeight="1" x14ac:dyDescent="0.35">
      <c r="B16" s="227" t="s">
        <v>89</v>
      </c>
      <c r="C16" s="227"/>
      <c r="D16" s="228">
        <f>COUNTIF($M$26:$M$525,B16)</f>
        <v>0</v>
      </c>
      <c r="E16" s="226"/>
      <c r="F16" s="28"/>
      <c r="G16" s="28"/>
      <c r="H16" s="28"/>
      <c r="I16" s="28"/>
      <c r="J16" s="28"/>
      <c r="K16" s="28"/>
      <c r="L16" s="28"/>
      <c r="M16" s="28"/>
      <c r="N16" s="28"/>
      <c r="O16" s="28"/>
    </row>
    <row r="17" spans="2:15" ht="15" customHeight="1" x14ac:dyDescent="0.35">
      <c r="B17" s="227" t="s">
        <v>90</v>
      </c>
      <c r="C17" s="227"/>
      <c r="D17" s="228">
        <f>COUNTIF($M$26:$M$525,B17)</f>
        <v>0</v>
      </c>
      <c r="E17" s="226"/>
      <c r="F17" s="28"/>
      <c r="G17" s="28"/>
      <c r="H17" s="28"/>
      <c r="I17" s="28"/>
      <c r="J17" s="28"/>
      <c r="K17" s="28"/>
      <c r="L17" s="28"/>
      <c r="M17" s="28"/>
      <c r="N17" s="28"/>
      <c r="O17" s="28"/>
    </row>
    <row r="18" spans="2:15" ht="15" customHeight="1" x14ac:dyDescent="0.35">
      <c r="B18" s="227" t="s">
        <v>554</v>
      </c>
      <c r="C18" s="227"/>
      <c r="D18" s="228">
        <f>COUNTIF($M$26:$M$525,B18)</f>
        <v>0</v>
      </c>
      <c r="E18" s="226"/>
      <c r="F18" s="28"/>
      <c r="G18" s="28"/>
      <c r="H18" s="28"/>
      <c r="I18" s="28"/>
      <c r="J18" s="28"/>
      <c r="K18" s="28"/>
      <c r="L18" s="28"/>
      <c r="M18" s="28"/>
      <c r="N18" s="28"/>
      <c r="O18" s="28"/>
    </row>
    <row r="19" spans="2:15" ht="15" customHeight="1" x14ac:dyDescent="0.35">
      <c r="B19" s="227" t="s">
        <v>91</v>
      </c>
      <c r="C19" s="227"/>
      <c r="D19" s="228">
        <f>COUNTIF($M$26:$M$525,B19)</f>
        <v>0</v>
      </c>
      <c r="E19" s="226"/>
      <c r="F19" s="28"/>
      <c r="G19" s="28"/>
      <c r="H19" s="28"/>
      <c r="I19" s="28"/>
      <c r="J19" s="28"/>
      <c r="K19" s="28"/>
      <c r="L19" s="28"/>
      <c r="M19" s="28"/>
      <c r="N19" s="28"/>
      <c r="O19" s="28"/>
    </row>
    <row r="20" spans="2:15" ht="15" customHeight="1" x14ac:dyDescent="0.35">
      <c r="B20" s="227" t="s">
        <v>92</v>
      </c>
      <c r="C20" s="227"/>
      <c r="D20" s="228">
        <f>COUNTIF($E$26:$L$525,"Bloqueado")</f>
        <v>0</v>
      </c>
      <c r="E20" s="226"/>
      <c r="F20" s="28"/>
      <c r="G20" s="28"/>
      <c r="H20" s="28"/>
      <c r="I20" s="28"/>
      <c r="J20" s="28"/>
      <c r="K20" s="28"/>
      <c r="L20" s="28"/>
      <c r="M20" s="28"/>
      <c r="N20" s="28"/>
      <c r="O20" s="28"/>
    </row>
    <row r="21" spans="2:15" ht="15" customHeight="1" x14ac:dyDescent="0.35">
      <c r="B21" s="227" t="s">
        <v>93</v>
      </c>
      <c r="C21" s="227"/>
      <c r="D21" s="228">
        <f>COUNTIFS($B$26:$B$525,"?*",$G$26:$G$525,"&lt;&gt;Concluído")</f>
        <v>0</v>
      </c>
      <c r="E21" s="226"/>
      <c r="F21" s="28"/>
      <c r="G21" s="28"/>
      <c r="H21" s="28"/>
      <c r="I21" s="28"/>
      <c r="J21" s="28"/>
      <c r="K21" s="28"/>
      <c r="L21" s="28"/>
      <c r="M21" s="28"/>
      <c r="N21" s="28"/>
      <c r="O21" s="28"/>
    </row>
    <row r="22" spans="2:15" ht="15" customHeight="1" x14ac:dyDescent="0.35">
      <c r="B22" s="227" t="s">
        <v>94</v>
      </c>
      <c r="C22" s="227"/>
      <c r="D22" s="228">
        <f>COUNTIFS($B$26:$B$525,"?*",$I$26:$I$525,"&lt;&gt;Concluído")</f>
        <v>0</v>
      </c>
      <c r="E22" s="226"/>
      <c r="F22" s="28"/>
      <c r="G22" s="28"/>
      <c r="H22" s="28"/>
      <c r="I22" s="28"/>
      <c r="J22" s="28"/>
      <c r="K22" s="28"/>
      <c r="L22" s="28"/>
      <c r="M22" s="28"/>
      <c r="N22" s="28"/>
      <c r="O22" s="28"/>
    </row>
    <row r="23" spans="2:15" x14ac:dyDescent="0.35">
      <c r="B23" s="219"/>
      <c r="C23" s="219"/>
      <c r="D23" s="219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</row>
    <row r="24" spans="2:15" s="36" customFormat="1" ht="19.5" customHeight="1" x14ac:dyDescent="0.35">
      <c r="B24" s="225" t="s">
        <v>95</v>
      </c>
      <c r="C24" s="225"/>
      <c r="D24" s="225"/>
      <c r="E24" s="225"/>
      <c r="F24" s="225"/>
      <c r="G24" s="225"/>
      <c r="H24" s="225"/>
      <c r="I24" s="225"/>
      <c r="J24" s="225"/>
      <c r="K24" s="225"/>
      <c r="L24" s="225"/>
      <c r="M24" s="225"/>
      <c r="N24" s="225"/>
      <c r="O24" s="225"/>
    </row>
    <row r="25" spans="2:15" s="36" customFormat="1" ht="37.5" customHeight="1" x14ac:dyDescent="0.35">
      <c r="B25" s="259" t="s">
        <v>96</v>
      </c>
      <c r="C25" s="259" t="s">
        <v>97</v>
      </c>
      <c r="D25" s="259" t="s">
        <v>98</v>
      </c>
      <c r="E25" s="259" t="s">
        <v>99</v>
      </c>
      <c r="F25" s="259" t="s">
        <v>100</v>
      </c>
      <c r="G25" s="259" t="s">
        <v>101</v>
      </c>
      <c r="H25" s="259" t="s">
        <v>102</v>
      </c>
      <c r="I25" s="259" t="s">
        <v>103</v>
      </c>
      <c r="J25" s="259" t="s">
        <v>104</v>
      </c>
      <c r="K25" s="259" t="s">
        <v>105</v>
      </c>
      <c r="L25" s="259" t="s">
        <v>555</v>
      </c>
      <c r="M25" s="259" t="s">
        <v>106</v>
      </c>
      <c r="N25" s="259" t="s">
        <v>107</v>
      </c>
      <c r="O25" s="260" t="s">
        <v>108</v>
      </c>
    </row>
    <row r="26" spans="2:15" ht="15" customHeight="1" x14ac:dyDescent="0.35">
      <c r="B26" s="234" t="str">
        <f>IF(Lançamentos!$B3="","",Lançamentos!$B3)</f>
        <v/>
      </c>
      <c r="C26" s="235" t="str">
        <f>IF($B26="","",Lançamentos!$J3)</f>
        <v/>
      </c>
      <c r="D26" s="235" t="str">
        <f>IF($B26="","",Lançamentos!$H3)</f>
        <v/>
      </c>
      <c r="E26" s="234" t="str">
        <f>IF($B26="","",IF(COUNTIF(Lançamentos!$B$3:$B$1001,$B26)=0,"Bloqueado",IF(COUNTIF('E1 — Solicitação'!$E8:$L8,"⛔ Bloqueado")&gt;0,"Bloqueado",IF(COUNTIF('E1 — Solicitação'!$E8:$L8,"N/A")=8,"Bloqueado",IF(COUNTIF('E1 — Solicitação'!$E8:$L8,"✔ Concluído")+COUNTIF('E1 — Solicitação'!$E8:$L8,"N/A")=8,"Concluído",IF(COUNTIF('E1 — Solicitação'!$E8:$L8,"✔ Concluído")+COUNTIF('E1 — Solicitação'!$E8:$L8,"🔄 Em andamento")&gt;0,"Em andamento","Não iniciado"))))))</f>
        <v/>
      </c>
      <c r="F26" s="234" t="str">
        <f>IF($B26="","",IF($E26&lt;&gt;"Concluído","Não iniciado",IF(COUNTIF(Lançamentos!$B$3:$B$1001,$B26)=0,"Bloqueado",IF('E2 — Triagem'!$D8="","Bloqueado",IF(COUNTIF('E2 — Triagem'!$E8:$L8,"N/A")=8,"Bloqueado",IF(COUNTIF('E2 — Triagem'!$E8:$L8,"⛔ Bloqueado")&gt;0,"Bloqueado",IF(COUNTIF('E2 — Triagem'!$E8:$L8,"✔ Concluído")+COUNTIF('E2 — Triagem'!$E8:$L8,"N/A")=8,"Concluído",IF(COUNTIF('E2 — Triagem'!$E8:$L8,"✔ Concluído")+COUNTIF('E2 — Triagem'!$E8:$L8,"🔄 Em andamento")&gt;0,"Em andamento","Não iniciado"))))))))</f>
        <v/>
      </c>
      <c r="G26" s="234" t="str">
        <f>IF($B26="","",IF($F26&lt;&gt;"Concluído","Não iniciado",IF(COUNTIF(Lançamentos!$B$3:$B$1001,$B26)=0,"Bloqueado",IF('E3 — Levantamento'!$D8="","Bloqueado",IF(COUNTIF('E3 — Levantamento'!$E8:$I8,"⛔ Bloqueado")&gt;0,"Bloqueado",IF('E3 — Levantamento'!$I8="N/A","Bloqueado",IF(COUNTIF('E3 — Levantamento'!$E8:$I8,"✔ Concluído")=5,"Concluído",IF(COUNTIF('E3 — Levantamento'!$E8:$I8,"✔ Concluído")+COUNTIF('E3 — Levantamento'!$E8:$I8,"🔄 Em andamento")&gt;0,"Em andamento","Não iniciado"))))))))</f>
        <v/>
      </c>
      <c r="H26" s="234" t="str">
        <f>IF($B26="","",IF($G26&lt;&gt;"Concluído","Não iniciado",IF(COUNTIF(Lançamentos!$B$3:$B$1001,$B26)=0,"Bloqueado",IF('E4 — Execução'!$D8="","Bloqueado",IF(COUNTIF('E4 — Execução'!$E8:$K8,"⛔ Bloqueado")&gt;0,"Bloqueado",IF(COUNTIF('E4 — Execução'!$E8:$K8,"✔ Concluído")=7,"Concluído",IF(COUNTIF('E4 — Execução'!$E8:$K8,"✔ Concluído")+COUNTIF('E4 — Execução'!$E8:$K8,"🔄 Em andamento")&gt;0,"Em andamento","Não iniciado")))))))</f>
        <v/>
      </c>
      <c r="I26" s="234" t="str">
        <f>IF($B26="","",IF($H26&lt;&gt;"Concluído","Não iniciado",IF(COUNTIF(Lançamentos!$B$3:$B$1001,$B26)=0,"Bloqueado",IF('E5 — Validação'!$D8="","Bloqueado",IF(COUNTIF('E5 — Validação'!$E8:$I8,"⛔ Bloqueado")&gt;0,"Bloqueado",IF('E5 — Validação'!$I8="N/A","Bloqueado",IF(AND('E5 — Validação'!$E8="✔ Concluído",'E5 — Validação'!$F8="✔ Concluído",OR('E5 — Validação'!$G8="✔ Concluído",'E5 — Validação'!$G8="N/A"),'E5 — Validação'!$H8="✔ Concluído",'E5 — Validação'!$I8="✔ Concluído"),"Concluído",IF(COUNTIF('E5 — Validação'!$E8:$I8,"✔ Concluído")+COUNTIF('E5 — Validação'!$E8:$I8,"🔄 Em andamento")&gt;0,"Em andamento","Não iniciado"))))))))</f>
        <v/>
      </c>
      <c r="J26" s="234" t="str">
        <f>IF($B26="","",IF($I26&lt;&gt;"Concluído","Não iniciado",IF('E6 — Ajustes'!$N8="Não","N/A",IF(COUNTIF(Lançamentos!$B$3:$B$1001,$B26)=0,"Bloqueado",IF('E6 — Ajustes'!$D8="","Bloqueado",IF(COUNTIF('E6 — Ajustes'!$E8:$J8,"⛔ Bloqueado")&gt;0,"Bloqueado",IF(AND('E6 — Ajustes'!$E8="✔ Concluído",'E6 — Ajustes'!$F8="✔ Concluído",'E6 — Ajustes'!$G8="✔ Concluído",'E6 — Ajustes'!$H8="✔ Concluído",OR('E6 — Ajustes'!$I8="✔ Concluído",'E6 — Ajustes'!$I8="N/A"),'E6 — Ajustes'!$J8="✔ Concluído"),"Concluído",IF(COUNTIF('E6 — Ajustes'!$E8:$J8,"✔ Concluído")+COUNTIF('E6 — Ajustes'!$E8:$J8,"🔄 Em andamento")&gt;0,"Em andamento","Não iniciado"))))))))</f>
        <v/>
      </c>
      <c r="K26" s="234" t="str">
        <f>IF($B26="","",IF($I26&lt;&gt;"Concluído","Não iniciado",IF(AND($J26&lt;&gt;"Concluído",$J26&lt;&gt;"N/A"),"Não iniciado",IF(COUNTIF(Lançamentos!$B$3:$B$1001,$B26)=0,"Bloqueado",IF('E7 — Entrega'!$D8="","Bloqueado",IF(COUNTIF('E7 — Entrega'!$E8:$H8,"⛔ Bloqueado")&gt;0,"Bloqueado",IF(COUNTIF('E7 — Entrega'!$E8:$H8,"✔ Concluído")=4,"Concluído",IF(COUNTIF('E7 — Entrega'!$E8:$H8,"✔ Concluído")+COUNTIF('E7 — Entrega'!$E8:$H8,"🔄 Em andamento")&gt;0,"Em andamento","Não iniciado"))))))))</f>
        <v/>
      </c>
      <c r="L26" s="234" t="str">
        <f>IF($B26="","",IF($K26&lt;&gt;"Concluído","Não iniciado",IF(OR(COUNTIF('E08 — Estabilização Hypercare'!$E8:$J8,"⛔ Bloqueado")&gt;0,'E08 — Estabilização Hypercare'!$N8="⛔ Incidente Crítico — Encerramento Bloqueado",AND('E08 — Estabilização Hypercare'!$N8="🆕 Evolução Identificada — Nova Demanda Aberta",'E08 — Estabilização Hypercare'!$U8="")),"Bloqueado",IF(AND('E08 — Estabilização Hypercare'!$E8="✔ Concluído",'E08 — Estabilização Hypercare'!$F8="✔ Concluído",'E08 — Estabilização Hypercare'!$G8="✔ Concluído",OR('E08 — Estabilização Hypercare'!$H8="✔ Concluído",'E08 — Estabilização Hypercare'!$H8="N/A"),'E08 — Estabilização Hypercare'!$I8="✔ Concluído",'E08 — Estabilização Hypercare'!$J8="✔ Concluído",OR('E08 — Estabilização Hypercare'!$N8="✅ Estável — Demanda Encerrada",AND('E08 — Estabilização Hypercare'!$N8="🆕 Evolução Identificada — Nova Demanda Aberta",'E08 — Estabilização Hypercare'!$U8&lt;&gt;""))),"Concluído",IF(OR(COUNTIF('E08 — Estabilização Hypercare'!$E8:$J8,"✔ Concluído")&gt;0,COUNTIF('E08 — Estabilização Hypercare'!$E8:$J8,"🔄 Em andamento")&gt;0,'E08 — Estabilização Hypercare'!$N8&lt;&gt;""),"Em andamento","Não iniciado")))))</f>
        <v/>
      </c>
      <c r="M26" s="236" t="str" cm="1">
        <f t="array" ref="M26">IF(B26="","",_xlfn.IFS(E26&lt;&gt;"Concluído","E1 — Solicitação",F26&lt;&gt;"Concluído","E2 — Triagem",G26&lt;&gt;"Concluído","E3 — Levantamento ⚠",H26&lt;&gt;"Concluído","E4 — Execução",I26&lt;&gt;"Concluído","E5 — Validação ⚠",AND(J26&lt;&gt;"Concluído",J26&lt;&gt;"N/A"),"E6 — Ajustes",K26&lt;&gt;"Concluído","E7 — Entrega",L26&lt;&gt;"Concluído","E08 — Estabilização / Hypercare",TRUE,"✔ Fluxo concluído"))</f>
        <v/>
      </c>
      <c r="N26" s="237" t="str">
        <f>IF(B26="","",(COUNTIF(E26:L26,"Concluído")+COUNTIF(E26:L26,"N/A"))/8)</f>
        <v/>
      </c>
      <c r="O26" s="238"/>
    </row>
    <row r="27" spans="2:15" ht="15" customHeight="1" x14ac:dyDescent="0.35">
      <c r="B27" s="234" t="str">
        <f>IF(Lançamentos!$B4="","",Lançamentos!$B4)</f>
        <v/>
      </c>
      <c r="C27" s="235" t="str">
        <f>IF($B27="","",Lançamentos!$J4)</f>
        <v/>
      </c>
      <c r="D27" s="235" t="str">
        <f>IF($B27="","",Lançamentos!$H4)</f>
        <v/>
      </c>
      <c r="E27" s="234" t="str">
        <f>IF($B27="","",IF(COUNTIF(Lançamentos!$B$3:$B$1001,$B27)=0,"Bloqueado",IF(COUNTIF('E1 — Solicitação'!$E9:$L9,"⛔ Bloqueado")&gt;0,"Bloqueado",IF(COUNTIF('E1 — Solicitação'!$E9:$L9,"N/A")=8,"Bloqueado",IF(COUNTIF('E1 — Solicitação'!$E9:$L9,"✔ Concluído")+COUNTIF('E1 — Solicitação'!$E9:$L9,"N/A")=8,"Concluído",IF(COUNTIF('E1 — Solicitação'!$E9:$L9,"✔ Concluído")+COUNTIF('E1 — Solicitação'!$E9:$L9,"🔄 Em andamento")&gt;0,"Em andamento","Não iniciado"))))))</f>
        <v/>
      </c>
      <c r="F27" s="234" t="str">
        <f>IF($B27="","",IF($E27&lt;&gt;"Concluído","Não iniciado",IF(COUNTIF(Lançamentos!$B$3:$B$1001,$B27)=0,"Bloqueado",IF('E2 — Triagem'!$D9="","Bloqueado",IF(COUNTIF('E2 — Triagem'!$E9:$L9,"N/A")=8,"Bloqueado",IF(COUNTIF('E2 — Triagem'!$E9:$L9,"⛔ Bloqueado")&gt;0,"Bloqueado",IF(COUNTIF('E2 — Triagem'!$E9:$L9,"✔ Concluído")+COUNTIF('E2 — Triagem'!$E9:$L9,"N/A")=8,"Concluído",IF(COUNTIF('E2 — Triagem'!$E9:$L9,"✔ Concluído")+COUNTIF('E2 — Triagem'!$E9:$L9,"🔄 Em andamento")&gt;0,"Em andamento","Não iniciado"))))))))</f>
        <v/>
      </c>
      <c r="G27" s="234" t="str">
        <f>IF($B27="","",IF($F27&lt;&gt;"Concluído","Não iniciado",IF(COUNTIF(Lançamentos!$B$3:$B$1001,$B27)=0,"Bloqueado",IF('E3 — Levantamento'!$D9="","Bloqueado",IF(COUNTIF('E3 — Levantamento'!$E9:$I9,"⛔ Bloqueado")&gt;0,"Bloqueado",IF('E3 — Levantamento'!$I9="N/A","Bloqueado",IF(COUNTIF('E3 — Levantamento'!$E9:$I9,"✔ Concluído")=5,"Concluído",IF(COUNTIF('E3 — Levantamento'!$E9:$I9,"✔ Concluído")+COUNTIF('E3 — Levantamento'!$E9:$I9,"🔄 Em andamento")&gt;0,"Em andamento","Não iniciado"))))))))</f>
        <v/>
      </c>
      <c r="H27" s="234" t="str">
        <f>IF($B27="","",IF($G27&lt;&gt;"Concluído","Não iniciado",IF(COUNTIF(Lançamentos!$B$3:$B$1001,$B27)=0,"Bloqueado",IF('E4 — Execução'!$D9="","Bloqueado",IF(COUNTIF('E4 — Execução'!$E9:$K9,"⛔ Bloqueado")&gt;0,"Bloqueado",IF(COUNTIF('E4 — Execução'!$E9:$K9,"✔ Concluído")=7,"Concluído",IF(COUNTIF('E4 — Execução'!$E9:$K9,"✔ Concluído")+COUNTIF('E4 — Execução'!$E9:$K9,"🔄 Em andamento")&gt;0,"Em andamento","Não iniciado")))))))</f>
        <v/>
      </c>
      <c r="I27" s="234" t="str">
        <f>IF($B27="","",IF($H27&lt;&gt;"Concluído","Não iniciado",IF(COUNTIF(Lançamentos!$B$3:$B$1001,$B27)=0,"Bloqueado",IF('E5 — Validação'!$D9="","Bloqueado",IF(COUNTIF('E5 — Validação'!$E9:$I9,"⛔ Bloqueado")&gt;0,"Bloqueado",IF('E5 — Validação'!$I9="N/A","Bloqueado",IF(AND('E5 — Validação'!$E9="✔ Concluído",'E5 — Validação'!$F9="✔ Concluído",OR('E5 — Validação'!$G9="✔ Concluído",'E5 — Validação'!$G9="N/A"),'E5 — Validação'!$H9="✔ Concluído",'E5 — Validação'!$I9="✔ Concluído"),"Concluído",IF(COUNTIF('E5 — Validação'!$E9:$I9,"✔ Concluído")+COUNTIF('E5 — Validação'!$E9:$I9,"🔄 Em andamento")&gt;0,"Em andamento","Não iniciado"))))))))</f>
        <v/>
      </c>
      <c r="J27" s="234" t="str">
        <f>IF($B27="","",IF($I27&lt;&gt;"Concluído","Não iniciado",IF('E6 — Ajustes'!$N9="Não","N/A",IF(COUNTIF(Lançamentos!$B$3:$B$1001,$B27)=0,"Bloqueado",IF('E6 — Ajustes'!$D9="","Bloqueado",IF(COUNTIF('E6 — Ajustes'!$E9:$J9,"⛔ Bloqueado")&gt;0,"Bloqueado",IF(AND('E6 — Ajustes'!$E9="✔ Concluído",'E6 — Ajustes'!$F9="✔ Concluído",'E6 — Ajustes'!$G9="✔ Concluído",'E6 — Ajustes'!$H9="✔ Concluído",OR('E6 — Ajustes'!$I9="✔ Concluído",'E6 — Ajustes'!$I9="N/A"),'E6 — Ajustes'!$J9="✔ Concluído"),"Concluído",IF(COUNTIF('E6 — Ajustes'!$E9:$J9,"✔ Concluído")+COUNTIF('E6 — Ajustes'!$E9:$J9,"🔄 Em andamento")&gt;0,"Em andamento","Não iniciado"))))))))</f>
        <v/>
      </c>
      <c r="K27" s="234" t="str">
        <f>IF($B27="","",IF($I27&lt;&gt;"Concluído","Não iniciado",IF(AND($J27&lt;&gt;"Concluído",$J27&lt;&gt;"N/A"),"Não iniciado",IF(COUNTIF(Lançamentos!$B$3:$B$1001,$B27)=0,"Bloqueado",IF('E7 — Entrega'!$D9="","Bloqueado",IF(COUNTIF('E7 — Entrega'!$E9:$H9,"⛔ Bloqueado")&gt;0,"Bloqueado",IF(COUNTIF('E7 — Entrega'!$E9:$H9,"✔ Concluído")=4,"Concluído",IF(COUNTIF('E7 — Entrega'!$E9:$H9,"✔ Concluído")+COUNTIF('E7 — Entrega'!$E9:$H9,"🔄 Em andamento")&gt;0,"Em andamento","Não iniciado"))))))))</f>
        <v/>
      </c>
      <c r="L27" s="234" t="str">
        <f>IF($B27="","",IF($K27&lt;&gt;"Concluído","Não iniciado",IF(OR(COUNTIF('E08 — Estabilização Hypercare'!$E9:$J9,"⛔ Bloqueado")&gt;0,'E08 — Estabilização Hypercare'!$N9="⛔ Incidente Crítico — Encerramento Bloqueado",AND('E08 — Estabilização Hypercare'!$N9="🆕 Evolução Identificada — Nova Demanda Aberta",'E08 — Estabilização Hypercare'!$U9="")),"Bloqueado",IF(AND('E08 — Estabilização Hypercare'!$E9="✔ Concluído",'E08 — Estabilização Hypercare'!$F9="✔ Concluído",'E08 — Estabilização Hypercare'!$G9="✔ Concluído",OR('E08 — Estabilização Hypercare'!$H9="✔ Concluído",'E08 — Estabilização Hypercare'!$H9="N/A"),'E08 — Estabilização Hypercare'!$I9="✔ Concluído",'E08 — Estabilização Hypercare'!$J9="✔ Concluído",OR('E08 — Estabilização Hypercare'!$N9="✅ Estável — Demanda Encerrada",AND('E08 — Estabilização Hypercare'!$N9="🆕 Evolução Identificada — Nova Demanda Aberta",'E08 — Estabilização Hypercare'!$U9&lt;&gt;""))),"Concluído",IF(OR(COUNTIF('E08 — Estabilização Hypercare'!$E9:$J9,"✔ Concluído")&gt;0,COUNTIF('E08 — Estabilização Hypercare'!$E9:$J9,"🔄 Em andamento")&gt;0,'E08 — Estabilização Hypercare'!$N9&lt;&gt;""),"Em andamento","Não iniciado")))))</f>
        <v/>
      </c>
      <c r="M27" s="236" t="str" cm="1">
        <f t="array" ref="M27">IF(B27="","",_xlfn.IFS(E27&lt;&gt;"Concluído","E1 — Solicitação",F27&lt;&gt;"Concluído","E2 — Triagem",G27&lt;&gt;"Concluído","E3 — Levantamento ⚠",H27&lt;&gt;"Concluído","E4 — Execução",I27&lt;&gt;"Concluído","E5 — Validação ⚠",AND(J27&lt;&gt;"Concluído",J27&lt;&gt;"N/A"),"E6 — Ajustes",K27&lt;&gt;"Concluído","E7 — Entrega",L27&lt;&gt;"Concluído","E08 — Estabilização / Hypercare",TRUE,"✔ Fluxo concluído"))</f>
        <v/>
      </c>
      <c r="N27" s="237" t="str">
        <f t="shared" ref="N27:N90" si="0">IF(B27="","",(COUNTIF(E27:L27,"Concluído")+COUNTIF(E27:L27,"N/A"))/8)</f>
        <v/>
      </c>
      <c r="O27" s="238"/>
    </row>
    <row r="28" spans="2:15" ht="15" customHeight="1" x14ac:dyDescent="0.35">
      <c r="B28" s="234" t="str">
        <f>IF(Lançamentos!$B5="","",Lançamentos!$B5)</f>
        <v/>
      </c>
      <c r="C28" s="235" t="str">
        <f>IF($B28="","",Lançamentos!$J5)</f>
        <v/>
      </c>
      <c r="D28" s="235" t="str">
        <f>IF($B28="","",Lançamentos!$H5)</f>
        <v/>
      </c>
      <c r="E28" s="234" t="str">
        <f>IF($B28="","",IF(COUNTIF(Lançamentos!$B$3:$B$1001,$B28)=0,"Bloqueado",IF(COUNTIF('E1 — Solicitação'!$E10:$L10,"⛔ Bloqueado")&gt;0,"Bloqueado",IF(COUNTIF('E1 — Solicitação'!$E10:$L10,"N/A")=8,"Bloqueado",IF(COUNTIF('E1 — Solicitação'!$E10:$L10,"✔ Concluído")+COUNTIF('E1 — Solicitação'!$E10:$L10,"N/A")=8,"Concluído",IF(COUNTIF('E1 — Solicitação'!$E10:$L10,"✔ Concluído")+COUNTIF('E1 — Solicitação'!$E10:$L10,"🔄 Em andamento")&gt;0,"Em andamento","Não iniciado"))))))</f>
        <v/>
      </c>
      <c r="F28" s="234" t="str">
        <f>IF($B28="","",IF($E28&lt;&gt;"Concluído","Não iniciado",IF(COUNTIF(Lançamentos!$B$3:$B$1001,$B28)=0,"Bloqueado",IF('E2 — Triagem'!$D10="","Bloqueado",IF(COUNTIF('E2 — Triagem'!$E10:$L10,"N/A")=8,"Bloqueado",IF(COUNTIF('E2 — Triagem'!$E10:$L10,"⛔ Bloqueado")&gt;0,"Bloqueado",IF(COUNTIF('E2 — Triagem'!$E10:$L10,"✔ Concluído")+COUNTIF('E2 — Triagem'!$E10:$L10,"N/A")=8,"Concluído",IF(COUNTIF('E2 — Triagem'!$E10:$L10,"✔ Concluído")+COUNTIF('E2 — Triagem'!$E10:$L10,"🔄 Em andamento")&gt;0,"Em andamento","Não iniciado"))))))))</f>
        <v/>
      </c>
      <c r="G28" s="234" t="str">
        <f>IF($B28="","",IF($F28&lt;&gt;"Concluído","Não iniciado",IF(COUNTIF(Lançamentos!$B$3:$B$1001,$B28)=0,"Bloqueado",IF('E3 — Levantamento'!$D10="","Bloqueado",IF(COUNTIF('E3 — Levantamento'!$E10:$I10,"⛔ Bloqueado")&gt;0,"Bloqueado",IF('E3 — Levantamento'!$I10="N/A","Bloqueado",IF(COUNTIF('E3 — Levantamento'!$E10:$I10,"✔ Concluído")=5,"Concluído",IF(COUNTIF('E3 — Levantamento'!$E10:$I10,"✔ Concluído")+COUNTIF('E3 — Levantamento'!$E10:$I10,"🔄 Em andamento")&gt;0,"Em andamento","Não iniciado"))))))))</f>
        <v/>
      </c>
      <c r="H28" s="234" t="str">
        <f>IF($B28="","",IF($G28&lt;&gt;"Concluído","Não iniciado",IF(COUNTIF(Lançamentos!$B$3:$B$1001,$B28)=0,"Bloqueado",IF('E4 — Execução'!$D10="","Bloqueado",IF(COUNTIF('E4 — Execução'!$E10:$K10,"⛔ Bloqueado")&gt;0,"Bloqueado",IF(COUNTIF('E4 — Execução'!$E10:$K10,"✔ Concluído")=7,"Concluído",IF(COUNTIF('E4 — Execução'!$E10:$K10,"✔ Concluído")+COUNTIF('E4 — Execução'!$E10:$K10,"🔄 Em andamento")&gt;0,"Em andamento","Não iniciado")))))))</f>
        <v/>
      </c>
      <c r="I28" s="234" t="str">
        <f>IF($B28="","",IF($H28&lt;&gt;"Concluído","Não iniciado",IF(COUNTIF(Lançamentos!$B$3:$B$1001,$B28)=0,"Bloqueado",IF('E5 — Validação'!$D10="","Bloqueado",IF(COUNTIF('E5 — Validação'!$E10:$I10,"⛔ Bloqueado")&gt;0,"Bloqueado",IF('E5 — Validação'!$I10="N/A","Bloqueado",IF(AND('E5 — Validação'!$E10="✔ Concluído",'E5 — Validação'!$F10="✔ Concluído",OR('E5 — Validação'!$G10="✔ Concluído",'E5 — Validação'!$G10="N/A"),'E5 — Validação'!$H10="✔ Concluído",'E5 — Validação'!$I10="✔ Concluído"),"Concluído",IF(COUNTIF('E5 — Validação'!$E10:$I10,"✔ Concluído")+COUNTIF('E5 — Validação'!$E10:$I10,"🔄 Em andamento")&gt;0,"Em andamento","Não iniciado"))))))))</f>
        <v/>
      </c>
      <c r="J28" s="234" t="str">
        <f>IF($B28="","",IF($I28&lt;&gt;"Concluído","Não iniciado",IF('E6 — Ajustes'!$N10="Não","N/A",IF(COUNTIF(Lançamentos!$B$3:$B$1001,$B28)=0,"Bloqueado",IF('E6 — Ajustes'!$D10="","Bloqueado",IF(COUNTIF('E6 — Ajustes'!$E10:$J10,"⛔ Bloqueado")&gt;0,"Bloqueado",IF(AND('E6 — Ajustes'!$E10="✔ Concluído",'E6 — Ajustes'!$F10="✔ Concluído",'E6 — Ajustes'!$G10="✔ Concluído",'E6 — Ajustes'!$H10="✔ Concluído",OR('E6 — Ajustes'!$I10="✔ Concluído",'E6 — Ajustes'!$I10="N/A"),'E6 — Ajustes'!$J10="✔ Concluído"),"Concluído",IF(COUNTIF('E6 — Ajustes'!$E10:$J10,"✔ Concluído")+COUNTIF('E6 — Ajustes'!$E10:$J10,"🔄 Em andamento")&gt;0,"Em andamento","Não iniciado"))))))))</f>
        <v/>
      </c>
      <c r="K28" s="234" t="str">
        <f>IF($B28="","",IF($I28&lt;&gt;"Concluído","Não iniciado",IF(AND($J28&lt;&gt;"Concluído",$J28&lt;&gt;"N/A"),"Não iniciado",IF(COUNTIF(Lançamentos!$B$3:$B$1001,$B28)=0,"Bloqueado",IF('E7 — Entrega'!$D10="","Bloqueado",IF(COUNTIF('E7 — Entrega'!$E10:$H10,"⛔ Bloqueado")&gt;0,"Bloqueado",IF(COUNTIF('E7 — Entrega'!$E10:$H10,"✔ Concluído")=4,"Concluído",IF(COUNTIF('E7 — Entrega'!$E10:$H10,"✔ Concluído")+COUNTIF('E7 — Entrega'!$E10:$H10,"🔄 Em andamento")&gt;0,"Em andamento","Não iniciado"))))))))</f>
        <v/>
      </c>
      <c r="L28" s="234" t="str">
        <f>IF($B28="","",IF($K28&lt;&gt;"Concluído","Não iniciado",IF(OR(COUNTIF('E08 — Estabilização Hypercare'!$E10:$J10,"⛔ Bloqueado")&gt;0,'E08 — Estabilização Hypercare'!$N10="⛔ Incidente Crítico — Encerramento Bloqueado",AND('E08 — Estabilização Hypercare'!$N10="🆕 Evolução Identificada — Nova Demanda Aberta",'E08 — Estabilização Hypercare'!$U10="")),"Bloqueado",IF(AND('E08 — Estabilização Hypercare'!$E10="✔ Concluído",'E08 — Estabilização Hypercare'!$F10="✔ Concluído",'E08 — Estabilização Hypercare'!$G10="✔ Concluído",OR('E08 — Estabilização Hypercare'!$H10="✔ Concluído",'E08 — Estabilização Hypercare'!$H10="N/A"),'E08 — Estabilização Hypercare'!$I10="✔ Concluído",'E08 — Estabilização Hypercare'!$J10="✔ Concluído",OR('E08 — Estabilização Hypercare'!$N10="✅ Estável — Demanda Encerrada",AND('E08 — Estabilização Hypercare'!$N10="🆕 Evolução Identificada — Nova Demanda Aberta",'E08 — Estabilização Hypercare'!$U10&lt;&gt;""))),"Concluído",IF(OR(COUNTIF('E08 — Estabilização Hypercare'!$E10:$J10,"✔ Concluído")&gt;0,COUNTIF('E08 — Estabilização Hypercare'!$E10:$J10,"🔄 Em andamento")&gt;0,'E08 — Estabilização Hypercare'!$N10&lt;&gt;""),"Em andamento","Não iniciado")))))</f>
        <v/>
      </c>
      <c r="M28" s="236" t="str" cm="1">
        <f t="array" ref="M28">IF(B28="","",_xlfn.IFS(E28&lt;&gt;"Concluído","E1 — Solicitação",F28&lt;&gt;"Concluído","E2 — Triagem",G28&lt;&gt;"Concluído","E3 — Levantamento ⚠",H28&lt;&gt;"Concluído","E4 — Execução",I28&lt;&gt;"Concluído","E5 — Validação ⚠",AND(J28&lt;&gt;"Concluído",J28&lt;&gt;"N/A"),"E6 — Ajustes",K28&lt;&gt;"Concluído","E7 — Entrega",L28&lt;&gt;"Concluído","E08 — Estabilização / Hypercare",TRUE,"✔ Fluxo concluído"))</f>
        <v/>
      </c>
      <c r="N28" s="237" t="str">
        <f t="shared" si="0"/>
        <v/>
      </c>
      <c r="O28" s="238"/>
    </row>
    <row r="29" spans="2:15" ht="15" customHeight="1" x14ac:dyDescent="0.35">
      <c r="B29" s="234" t="str">
        <f>IF(Lançamentos!$B6="","",Lançamentos!$B6)</f>
        <v/>
      </c>
      <c r="C29" s="235" t="str">
        <f>IF($B29="","",Lançamentos!$J6)</f>
        <v/>
      </c>
      <c r="D29" s="235" t="str">
        <f>IF($B29="","",Lançamentos!$H6)</f>
        <v/>
      </c>
      <c r="E29" s="234" t="str">
        <f>IF($B29="","",IF(COUNTIF(Lançamentos!$B$3:$B$1001,$B29)=0,"Bloqueado",IF(COUNTIF('E1 — Solicitação'!$E11:$L11,"⛔ Bloqueado")&gt;0,"Bloqueado",IF(COUNTIF('E1 — Solicitação'!$E11:$L11,"N/A")=8,"Bloqueado",IF(COUNTIF('E1 — Solicitação'!$E11:$L11,"✔ Concluído")+COUNTIF('E1 — Solicitação'!$E11:$L11,"N/A")=8,"Concluído",IF(COUNTIF('E1 — Solicitação'!$E11:$L11,"✔ Concluído")+COUNTIF('E1 — Solicitação'!$E11:$L11,"🔄 Em andamento")&gt;0,"Em andamento","Não iniciado"))))))</f>
        <v/>
      </c>
      <c r="F29" s="234" t="str">
        <f>IF($B29="","",IF($E29&lt;&gt;"Concluído","Não iniciado",IF(COUNTIF(Lançamentos!$B$3:$B$1001,$B29)=0,"Bloqueado",IF('E2 — Triagem'!$D11="","Bloqueado",IF(COUNTIF('E2 — Triagem'!$E11:$L11,"N/A")=8,"Bloqueado",IF(COUNTIF('E2 — Triagem'!$E11:$L11,"⛔ Bloqueado")&gt;0,"Bloqueado",IF(COUNTIF('E2 — Triagem'!$E11:$L11,"✔ Concluído")+COUNTIF('E2 — Triagem'!$E11:$L11,"N/A")=8,"Concluído",IF(COUNTIF('E2 — Triagem'!$E11:$L11,"✔ Concluído")+COUNTIF('E2 — Triagem'!$E11:$L11,"🔄 Em andamento")&gt;0,"Em andamento","Não iniciado"))))))))</f>
        <v/>
      </c>
      <c r="G29" s="234" t="str">
        <f>IF($B29="","",IF($F29&lt;&gt;"Concluído","Não iniciado",IF(COUNTIF(Lançamentos!$B$3:$B$1001,$B29)=0,"Bloqueado",IF('E3 — Levantamento'!$D11="","Bloqueado",IF(COUNTIF('E3 — Levantamento'!$E11:$I11,"⛔ Bloqueado")&gt;0,"Bloqueado",IF('E3 — Levantamento'!$I11="N/A","Bloqueado",IF(COUNTIF('E3 — Levantamento'!$E11:$I11,"✔ Concluído")=5,"Concluído",IF(COUNTIF('E3 — Levantamento'!$E11:$I11,"✔ Concluído")+COUNTIF('E3 — Levantamento'!$E11:$I11,"🔄 Em andamento")&gt;0,"Em andamento","Não iniciado"))))))))</f>
        <v/>
      </c>
      <c r="H29" s="234" t="str">
        <f>IF($B29="","",IF($G29&lt;&gt;"Concluído","Não iniciado",IF(COUNTIF(Lançamentos!$B$3:$B$1001,$B29)=0,"Bloqueado",IF('E4 — Execução'!$D11="","Bloqueado",IF(COUNTIF('E4 — Execução'!$E11:$K11,"⛔ Bloqueado")&gt;0,"Bloqueado",IF(COUNTIF('E4 — Execução'!$E11:$K11,"✔ Concluído")=7,"Concluído",IF(COUNTIF('E4 — Execução'!$E11:$K11,"✔ Concluído")+COUNTIF('E4 — Execução'!$E11:$K11,"🔄 Em andamento")&gt;0,"Em andamento","Não iniciado")))))))</f>
        <v/>
      </c>
      <c r="I29" s="234" t="str">
        <f>IF($B29="","",IF($H29&lt;&gt;"Concluído","Não iniciado",IF(COUNTIF(Lançamentos!$B$3:$B$1001,$B29)=0,"Bloqueado",IF('E5 — Validação'!$D11="","Bloqueado",IF(COUNTIF('E5 — Validação'!$E11:$I11,"⛔ Bloqueado")&gt;0,"Bloqueado",IF('E5 — Validação'!$I11="N/A","Bloqueado",IF(AND('E5 — Validação'!$E11="✔ Concluído",'E5 — Validação'!$F11="✔ Concluído",OR('E5 — Validação'!$G11="✔ Concluído",'E5 — Validação'!$G11="N/A"),'E5 — Validação'!$H11="✔ Concluído",'E5 — Validação'!$I11="✔ Concluído"),"Concluído",IF(COUNTIF('E5 — Validação'!$E11:$I11,"✔ Concluído")+COUNTIF('E5 — Validação'!$E11:$I11,"🔄 Em andamento")&gt;0,"Em andamento","Não iniciado"))))))))</f>
        <v/>
      </c>
      <c r="J29" s="234" t="str">
        <f>IF($B29="","",IF($I29&lt;&gt;"Concluído","Não iniciado",IF('E6 — Ajustes'!$N11="Não","N/A",IF(COUNTIF(Lançamentos!$B$3:$B$1001,$B29)=0,"Bloqueado",IF('E6 — Ajustes'!$D11="","Bloqueado",IF(COUNTIF('E6 — Ajustes'!$E11:$J11,"⛔ Bloqueado")&gt;0,"Bloqueado",IF(AND('E6 — Ajustes'!$E11="✔ Concluído",'E6 — Ajustes'!$F11="✔ Concluído",'E6 — Ajustes'!$G11="✔ Concluído",'E6 — Ajustes'!$H11="✔ Concluído",OR('E6 — Ajustes'!$I11="✔ Concluído",'E6 — Ajustes'!$I11="N/A"),'E6 — Ajustes'!$J11="✔ Concluído"),"Concluído",IF(COUNTIF('E6 — Ajustes'!$E11:$J11,"✔ Concluído")+COUNTIF('E6 — Ajustes'!$E11:$J11,"🔄 Em andamento")&gt;0,"Em andamento","Não iniciado"))))))))</f>
        <v/>
      </c>
      <c r="K29" s="234" t="str">
        <f>IF($B29="","",IF($I29&lt;&gt;"Concluído","Não iniciado",IF(AND($J29&lt;&gt;"Concluído",$J29&lt;&gt;"N/A"),"Não iniciado",IF(COUNTIF(Lançamentos!$B$3:$B$1001,$B29)=0,"Bloqueado",IF('E7 — Entrega'!$D11="","Bloqueado",IF(COUNTIF('E7 — Entrega'!$E11:$H11,"⛔ Bloqueado")&gt;0,"Bloqueado",IF(COUNTIF('E7 — Entrega'!$E11:$H11,"✔ Concluído")=4,"Concluído",IF(COUNTIF('E7 — Entrega'!$E11:$H11,"✔ Concluído")+COUNTIF('E7 — Entrega'!$E11:$H11,"🔄 Em andamento")&gt;0,"Em andamento","Não iniciado"))))))))</f>
        <v/>
      </c>
      <c r="L29" s="234" t="str">
        <f>IF($B29="","",IF($K29&lt;&gt;"Concluído","Não iniciado",IF(OR(COUNTIF('E08 — Estabilização Hypercare'!$E11:$J11,"⛔ Bloqueado")&gt;0,'E08 — Estabilização Hypercare'!$N11="⛔ Incidente Crítico — Encerramento Bloqueado",AND('E08 — Estabilização Hypercare'!$N11="🆕 Evolução Identificada — Nova Demanda Aberta",'E08 — Estabilização Hypercare'!$U11="")),"Bloqueado",IF(AND('E08 — Estabilização Hypercare'!$E11="✔ Concluído",'E08 — Estabilização Hypercare'!$F11="✔ Concluído",'E08 — Estabilização Hypercare'!$G11="✔ Concluído",OR('E08 — Estabilização Hypercare'!$H11="✔ Concluído",'E08 — Estabilização Hypercare'!$H11="N/A"),'E08 — Estabilização Hypercare'!$I11="✔ Concluído",'E08 — Estabilização Hypercare'!$J11="✔ Concluído",OR('E08 — Estabilização Hypercare'!$N11="✅ Estável — Demanda Encerrada",AND('E08 — Estabilização Hypercare'!$N11="🆕 Evolução Identificada — Nova Demanda Aberta",'E08 — Estabilização Hypercare'!$U11&lt;&gt;""))),"Concluído",IF(OR(COUNTIF('E08 — Estabilização Hypercare'!$E11:$J11,"✔ Concluído")&gt;0,COUNTIF('E08 — Estabilização Hypercare'!$E11:$J11,"🔄 Em andamento")&gt;0,'E08 — Estabilização Hypercare'!$N11&lt;&gt;""),"Em andamento","Não iniciado")))))</f>
        <v/>
      </c>
      <c r="M29" s="236" t="str" cm="1">
        <f t="array" ref="M29">IF(B29="","",_xlfn.IFS(E29&lt;&gt;"Concluído","E1 — Solicitação",F29&lt;&gt;"Concluído","E2 — Triagem",G29&lt;&gt;"Concluído","E3 — Levantamento ⚠",H29&lt;&gt;"Concluído","E4 — Execução",I29&lt;&gt;"Concluído","E5 — Validação ⚠",AND(J29&lt;&gt;"Concluído",J29&lt;&gt;"N/A"),"E6 — Ajustes",K29&lt;&gt;"Concluído","E7 — Entrega",L29&lt;&gt;"Concluído","E08 — Estabilização / Hypercare",TRUE,"✔ Fluxo concluído"))</f>
        <v/>
      </c>
      <c r="N29" s="237" t="str">
        <f t="shared" si="0"/>
        <v/>
      </c>
      <c r="O29" s="238"/>
    </row>
    <row r="30" spans="2:15" ht="15" customHeight="1" x14ac:dyDescent="0.35">
      <c r="B30" s="234" t="str">
        <f>IF(Lançamentos!$B7="","",Lançamentos!$B7)</f>
        <v/>
      </c>
      <c r="C30" s="235" t="str">
        <f>IF($B30="","",Lançamentos!$J7)</f>
        <v/>
      </c>
      <c r="D30" s="235" t="str">
        <f>IF($B30="","",Lançamentos!$H7)</f>
        <v/>
      </c>
      <c r="E30" s="234" t="str">
        <f>IF($B30="","",IF(COUNTIF(Lançamentos!$B$3:$B$1001,$B30)=0,"Bloqueado",IF(COUNTIF('E1 — Solicitação'!$E12:$L12,"⛔ Bloqueado")&gt;0,"Bloqueado",IF(COUNTIF('E1 — Solicitação'!$E12:$L12,"N/A")=8,"Bloqueado",IF(COUNTIF('E1 — Solicitação'!$E12:$L12,"✔ Concluído")+COUNTIF('E1 — Solicitação'!$E12:$L12,"N/A")=8,"Concluído",IF(COUNTIF('E1 — Solicitação'!$E12:$L12,"✔ Concluído")+COUNTIF('E1 — Solicitação'!$E12:$L12,"🔄 Em andamento")&gt;0,"Em andamento","Não iniciado"))))))</f>
        <v/>
      </c>
      <c r="F30" s="234" t="str">
        <f>IF($B30="","",IF($E30&lt;&gt;"Concluído","Não iniciado",IF(COUNTIF(Lançamentos!$B$3:$B$1001,$B30)=0,"Bloqueado",IF('E2 — Triagem'!$D12="","Bloqueado",IF(COUNTIF('E2 — Triagem'!$E12:$L12,"N/A")=8,"Bloqueado",IF(COUNTIF('E2 — Triagem'!$E12:$L12,"⛔ Bloqueado")&gt;0,"Bloqueado",IF(COUNTIF('E2 — Triagem'!$E12:$L12,"✔ Concluído")+COUNTIF('E2 — Triagem'!$E12:$L12,"N/A")=8,"Concluído",IF(COUNTIF('E2 — Triagem'!$E12:$L12,"✔ Concluído")+COUNTIF('E2 — Triagem'!$E12:$L12,"🔄 Em andamento")&gt;0,"Em andamento","Não iniciado"))))))))</f>
        <v/>
      </c>
      <c r="G30" s="234" t="str">
        <f>IF($B30="","",IF($F30&lt;&gt;"Concluído","Não iniciado",IF(COUNTIF(Lançamentos!$B$3:$B$1001,$B30)=0,"Bloqueado",IF('E3 — Levantamento'!$D12="","Bloqueado",IF(COUNTIF('E3 — Levantamento'!$E12:$I12,"⛔ Bloqueado")&gt;0,"Bloqueado",IF('E3 — Levantamento'!$I12="N/A","Bloqueado",IF(COUNTIF('E3 — Levantamento'!$E12:$I12,"✔ Concluído")=5,"Concluído",IF(COUNTIF('E3 — Levantamento'!$E12:$I12,"✔ Concluído")+COUNTIF('E3 — Levantamento'!$E12:$I12,"🔄 Em andamento")&gt;0,"Em andamento","Não iniciado"))))))))</f>
        <v/>
      </c>
      <c r="H30" s="234" t="str">
        <f>IF($B30="","",IF($G30&lt;&gt;"Concluído","Não iniciado",IF(COUNTIF(Lançamentos!$B$3:$B$1001,$B30)=0,"Bloqueado",IF('E4 — Execução'!$D12="","Bloqueado",IF(COUNTIF('E4 — Execução'!$E12:$K12,"⛔ Bloqueado")&gt;0,"Bloqueado",IF(COUNTIF('E4 — Execução'!$E12:$K12,"✔ Concluído")=7,"Concluído",IF(COUNTIF('E4 — Execução'!$E12:$K12,"✔ Concluído")+COUNTIF('E4 — Execução'!$E12:$K12,"🔄 Em andamento")&gt;0,"Em andamento","Não iniciado")))))))</f>
        <v/>
      </c>
      <c r="I30" s="234" t="str">
        <f>IF($B30="","",IF($H30&lt;&gt;"Concluído","Não iniciado",IF(COUNTIF(Lançamentos!$B$3:$B$1001,$B30)=0,"Bloqueado",IF('E5 — Validação'!$D12="","Bloqueado",IF(COUNTIF('E5 — Validação'!$E12:$I12,"⛔ Bloqueado")&gt;0,"Bloqueado",IF('E5 — Validação'!$I12="N/A","Bloqueado",IF(AND('E5 — Validação'!$E12="✔ Concluído",'E5 — Validação'!$F12="✔ Concluído",OR('E5 — Validação'!$G12="✔ Concluído",'E5 — Validação'!$G12="N/A"),'E5 — Validação'!$H12="✔ Concluído",'E5 — Validação'!$I12="✔ Concluído"),"Concluído",IF(COUNTIF('E5 — Validação'!$E12:$I12,"✔ Concluído")+COUNTIF('E5 — Validação'!$E12:$I12,"🔄 Em andamento")&gt;0,"Em andamento","Não iniciado"))))))))</f>
        <v/>
      </c>
      <c r="J30" s="234" t="str">
        <f>IF($B30="","",IF($I30&lt;&gt;"Concluído","Não iniciado",IF('E6 — Ajustes'!$N12="Não","N/A",IF(COUNTIF(Lançamentos!$B$3:$B$1001,$B30)=0,"Bloqueado",IF('E6 — Ajustes'!$D12="","Bloqueado",IF(COUNTIF('E6 — Ajustes'!$E12:$J12,"⛔ Bloqueado")&gt;0,"Bloqueado",IF(AND('E6 — Ajustes'!$E12="✔ Concluído",'E6 — Ajustes'!$F12="✔ Concluído",'E6 — Ajustes'!$G12="✔ Concluído",'E6 — Ajustes'!$H12="✔ Concluído",OR('E6 — Ajustes'!$I12="✔ Concluído",'E6 — Ajustes'!$I12="N/A"),'E6 — Ajustes'!$J12="✔ Concluído"),"Concluído",IF(COUNTIF('E6 — Ajustes'!$E12:$J12,"✔ Concluído")+COUNTIF('E6 — Ajustes'!$E12:$J12,"🔄 Em andamento")&gt;0,"Em andamento","Não iniciado"))))))))</f>
        <v/>
      </c>
      <c r="K30" s="234" t="str">
        <f>IF($B30="","",IF($I30&lt;&gt;"Concluído","Não iniciado",IF(AND($J30&lt;&gt;"Concluído",$J30&lt;&gt;"N/A"),"Não iniciado",IF(COUNTIF(Lançamentos!$B$3:$B$1001,$B30)=0,"Bloqueado",IF('E7 — Entrega'!$D12="","Bloqueado",IF(COUNTIF('E7 — Entrega'!$E12:$H12,"⛔ Bloqueado")&gt;0,"Bloqueado",IF(COUNTIF('E7 — Entrega'!$E12:$H12,"✔ Concluído")=4,"Concluído",IF(COUNTIF('E7 — Entrega'!$E12:$H12,"✔ Concluído")+COUNTIF('E7 — Entrega'!$E12:$H12,"🔄 Em andamento")&gt;0,"Em andamento","Não iniciado"))))))))</f>
        <v/>
      </c>
      <c r="L30" s="234" t="str">
        <f>IF($B30="","",IF($K30&lt;&gt;"Concluído","Não iniciado",IF(OR(COUNTIF('E08 — Estabilização Hypercare'!$E12:$J12,"⛔ Bloqueado")&gt;0,'E08 — Estabilização Hypercare'!$N12="⛔ Incidente Crítico — Encerramento Bloqueado",AND('E08 — Estabilização Hypercare'!$N12="🆕 Evolução Identificada — Nova Demanda Aberta",'E08 — Estabilização Hypercare'!$U12="")),"Bloqueado",IF(AND('E08 — Estabilização Hypercare'!$E12="✔ Concluído",'E08 — Estabilização Hypercare'!$F12="✔ Concluído",'E08 — Estabilização Hypercare'!$G12="✔ Concluído",OR('E08 — Estabilização Hypercare'!$H12="✔ Concluído",'E08 — Estabilização Hypercare'!$H12="N/A"),'E08 — Estabilização Hypercare'!$I12="✔ Concluído",'E08 — Estabilização Hypercare'!$J12="✔ Concluído",OR('E08 — Estabilização Hypercare'!$N12="✅ Estável — Demanda Encerrada",AND('E08 — Estabilização Hypercare'!$N12="🆕 Evolução Identificada — Nova Demanda Aberta",'E08 — Estabilização Hypercare'!$U12&lt;&gt;""))),"Concluído",IF(OR(COUNTIF('E08 — Estabilização Hypercare'!$E12:$J12,"✔ Concluído")&gt;0,COUNTIF('E08 — Estabilização Hypercare'!$E12:$J12,"🔄 Em andamento")&gt;0,'E08 — Estabilização Hypercare'!$N12&lt;&gt;""),"Em andamento","Não iniciado")))))</f>
        <v/>
      </c>
      <c r="M30" s="236" t="str" cm="1">
        <f t="array" ref="M30">IF(B30="","",_xlfn.IFS(E30&lt;&gt;"Concluído","E1 — Solicitação",F30&lt;&gt;"Concluído","E2 — Triagem",G30&lt;&gt;"Concluído","E3 — Levantamento ⚠",H30&lt;&gt;"Concluído","E4 — Execução",I30&lt;&gt;"Concluído","E5 — Validação ⚠",AND(J30&lt;&gt;"Concluído",J30&lt;&gt;"N/A"),"E6 — Ajustes",K30&lt;&gt;"Concluído","E7 — Entrega",L30&lt;&gt;"Concluído","E08 — Estabilização / Hypercare",TRUE,"✔ Fluxo concluído"))</f>
        <v/>
      </c>
      <c r="N30" s="237" t="str">
        <f t="shared" si="0"/>
        <v/>
      </c>
      <c r="O30" s="238"/>
    </row>
    <row r="31" spans="2:15" ht="15" customHeight="1" x14ac:dyDescent="0.35">
      <c r="B31" s="234" t="str">
        <f>IF(Lançamentos!$B8="","",Lançamentos!$B8)</f>
        <v/>
      </c>
      <c r="C31" s="235" t="str">
        <f>IF($B31="","",Lançamentos!$J8)</f>
        <v/>
      </c>
      <c r="D31" s="235" t="str">
        <f>IF($B31="","",Lançamentos!$H8)</f>
        <v/>
      </c>
      <c r="E31" s="234" t="str">
        <f>IF($B31="","",IF(COUNTIF(Lançamentos!$B$3:$B$1001,$B31)=0,"Bloqueado",IF(COUNTIF('E1 — Solicitação'!$E13:$L13,"⛔ Bloqueado")&gt;0,"Bloqueado",IF(COUNTIF('E1 — Solicitação'!$E13:$L13,"N/A")=8,"Bloqueado",IF(COUNTIF('E1 — Solicitação'!$E13:$L13,"✔ Concluído")+COUNTIF('E1 — Solicitação'!$E13:$L13,"N/A")=8,"Concluído",IF(COUNTIF('E1 — Solicitação'!$E13:$L13,"✔ Concluído")+COUNTIF('E1 — Solicitação'!$E13:$L13,"🔄 Em andamento")&gt;0,"Em andamento","Não iniciado"))))))</f>
        <v/>
      </c>
      <c r="F31" s="234" t="str">
        <f>IF($B31="","",IF($E31&lt;&gt;"Concluído","Não iniciado",IF(COUNTIF(Lançamentos!$B$3:$B$1001,$B31)=0,"Bloqueado",IF('E2 — Triagem'!$D13="","Bloqueado",IF(COUNTIF('E2 — Triagem'!$E13:$L13,"N/A")=8,"Bloqueado",IF(COUNTIF('E2 — Triagem'!$E13:$L13,"⛔ Bloqueado")&gt;0,"Bloqueado",IF(COUNTIF('E2 — Triagem'!$E13:$L13,"✔ Concluído")+COUNTIF('E2 — Triagem'!$E13:$L13,"N/A")=8,"Concluído",IF(COUNTIF('E2 — Triagem'!$E13:$L13,"✔ Concluído")+COUNTIF('E2 — Triagem'!$E13:$L13,"🔄 Em andamento")&gt;0,"Em andamento","Não iniciado"))))))))</f>
        <v/>
      </c>
      <c r="G31" s="234" t="str">
        <f>IF($B31="","",IF($F31&lt;&gt;"Concluído","Não iniciado",IF(COUNTIF(Lançamentos!$B$3:$B$1001,$B31)=0,"Bloqueado",IF('E3 — Levantamento'!$D13="","Bloqueado",IF(COUNTIF('E3 — Levantamento'!$E13:$I13,"⛔ Bloqueado")&gt;0,"Bloqueado",IF('E3 — Levantamento'!$I13="N/A","Bloqueado",IF(COUNTIF('E3 — Levantamento'!$E13:$I13,"✔ Concluído")=5,"Concluído",IF(COUNTIF('E3 — Levantamento'!$E13:$I13,"✔ Concluído")+COUNTIF('E3 — Levantamento'!$E13:$I13,"🔄 Em andamento")&gt;0,"Em andamento","Não iniciado"))))))))</f>
        <v/>
      </c>
      <c r="H31" s="234" t="str">
        <f>IF($B31="","",IF($G31&lt;&gt;"Concluído","Não iniciado",IF(COUNTIF(Lançamentos!$B$3:$B$1001,$B31)=0,"Bloqueado",IF('E4 — Execução'!$D13="","Bloqueado",IF(COUNTIF('E4 — Execução'!$E13:$K13,"⛔ Bloqueado")&gt;0,"Bloqueado",IF(COUNTIF('E4 — Execução'!$E13:$K13,"✔ Concluído")=7,"Concluído",IF(COUNTIF('E4 — Execução'!$E13:$K13,"✔ Concluído")+COUNTIF('E4 — Execução'!$E13:$K13,"🔄 Em andamento")&gt;0,"Em andamento","Não iniciado")))))))</f>
        <v/>
      </c>
      <c r="I31" s="234" t="str">
        <f>IF($B31="","",IF($H31&lt;&gt;"Concluído","Não iniciado",IF(COUNTIF(Lançamentos!$B$3:$B$1001,$B31)=0,"Bloqueado",IF('E5 — Validação'!$D13="","Bloqueado",IF(COUNTIF('E5 — Validação'!$E13:$I13,"⛔ Bloqueado")&gt;0,"Bloqueado",IF('E5 — Validação'!$I13="N/A","Bloqueado",IF(AND('E5 — Validação'!$E13="✔ Concluído",'E5 — Validação'!$F13="✔ Concluído",OR('E5 — Validação'!$G13="✔ Concluído",'E5 — Validação'!$G13="N/A"),'E5 — Validação'!$H13="✔ Concluído",'E5 — Validação'!$I13="✔ Concluído"),"Concluído",IF(COUNTIF('E5 — Validação'!$E13:$I13,"✔ Concluído")+COUNTIF('E5 — Validação'!$E13:$I13,"🔄 Em andamento")&gt;0,"Em andamento","Não iniciado"))))))))</f>
        <v/>
      </c>
      <c r="J31" s="234" t="str">
        <f>IF($B31="","",IF($I31&lt;&gt;"Concluído","Não iniciado",IF('E6 — Ajustes'!$N13="Não","N/A",IF(COUNTIF(Lançamentos!$B$3:$B$1001,$B31)=0,"Bloqueado",IF('E6 — Ajustes'!$D13="","Bloqueado",IF(COUNTIF('E6 — Ajustes'!$E13:$J13,"⛔ Bloqueado")&gt;0,"Bloqueado",IF(AND('E6 — Ajustes'!$E13="✔ Concluído",'E6 — Ajustes'!$F13="✔ Concluído",'E6 — Ajustes'!$G13="✔ Concluído",'E6 — Ajustes'!$H13="✔ Concluído",OR('E6 — Ajustes'!$I13="✔ Concluído",'E6 — Ajustes'!$I13="N/A"),'E6 — Ajustes'!$J13="✔ Concluído"),"Concluído",IF(COUNTIF('E6 — Ajustes'!$E13:$J13,"✔ Concluído")+COUNTIF('E6 — Ajustes'!$E13:$J13,"🔄 Em andamento")&gt;0,"Em andamento","Não iniciado"))))))))</f>
        <v/>
      </c>
      <c r="K31" s="234" t="str">
        <f>IF($B31="","",IF($I31&lt;&gt;"Concluído","Não iniciado",IF(AND($J31&lt;&gt;"Concluído",$J31&lt;&gt;"N/A"),"Não iniciado",IF(COUNTIF(Lançamentos!$B$3:$B$1001,$B31)=0,"Bloqueado",IF('E7 — Entrega'!$D13="","Bloqueado",IF(COUNTIF('E7 — Entrega'!$E13:$H13,"⛔ Bloqueado")&gt;0,"Bloqueado",IF(COUNTIF('E7 — Entrega'!$E13:$H13,"✔ Concluído")=4,"Concluído",IF(COUNTIF('E7 — Entrega'!$E13:$H13,"✔ Concluído")+COUNTIF('E7 — Entrega'!$E13:$H13,"🔄 Em andamento")&gt;0,"Em andamento","Não iniciado"))))))))</f>
        <v/>
      </c>
      <c r="L31" s="234" t="str">
        <f>IF($B31="","",IF($K31&lt;&gt;"Concluído","Não iniciado",IF(OR(COUNTIF('E08 — Estabilização Hypercare'!$E13:$J13,"⛔ Bloqueado")&gt;0,'E08 — Estabilização Hypercare'!$N13="⛔ Incidente Crítico — Encerramento Bloqueado",AND('E08 — Estabilização Hypercare'!$N13="🆕 Evolução Identificada — Nova Demanda Aberta",'E08 — Estabilização Hypercare'!$U13="")),"Bloqueado",IF(AND('E08 — Estabilização Hypercare'!$E13="✔ Concluído",'E08 — Estabilização Hypercare'!$F13="✔ Concluído",'E08 — Estabilização Hypercare'!$G13="✔ Concluído",OR('E08 — Estabilização Hypercare'!$H13="✔ Concluído",'E08 — Estabilização Hypercare'!$H13="N/A"),'E08 — Estabilização Hypercare'!$I13="✔ Concluído",'E08 — Estabilização Hypercare'!$J13="✔ Concluído",OR('E08 — Estabilização Hypercare'!$N13="✅ Estável — Demanda Encerrada",AND('E08 — Estabilização Hypercare'!$N13="🆕 Evolução Identificada — Nova Demanda Aberta",'E08 — Estabilização Hypercare'!$U13&lt;&gt;""))),"Concluído",IF(OR(COUNTIF('E08 — Estabilização Hypercare'!$E13:$J13,"✔ Concluído")&gt;0,COUNTIF('E08 — Estabilização Hypercare'!$E13:$J13,"🔄 Em andamento")&gt;0,'E08 — Estabilização Hypercare'!$N13&lt;&gt;""),"Em andamento","Não iniciado")))))</f>
        <v/>
      </c>
      <c r="M31" s="236" t="str" cm="1">
        <f t="array" ref="M31">IF(B31="","",_xlfn.IFS(E31&lt;&gt;"Concluído","E1 — Solicitação",F31&lt;&gt;"Concluído","E2 — Triagem",G31&lt;&gt;"Concluído","E3 — Levantamento ⚠",H31&lt;&gt;"Concluído","E4 — Execução",I31&lt;&gt;"Concluído","E5 — Validação ⚠",AND(J31&lt;&gt;"Concluído",J31&lt;&gt;"N/A"),"E6 — Ajustes",K31&lt;&gt;"Concluído","E7 — Entrega",L31&lt;&gt;"Concluído","E08 — Estabilização / Hypercare",TRUE,"✔ Fluxo concluído"))</f>
        <v/>
      </c>
      <c r="N31" s="237" t="str">
        <f t="shared" si="0"/>
        <v/>
      </c>
      <c r="O31" s="238"/>
    </row>
    <row r="32" spans="2:15" ht="15" customHeight="1" x14ac:dyDescent="0.35">
      <c r="B32" s="234" t="str">
        <f>IF(Lançamentos!$B9="","",Lançamentos!$B9)</f>
        <v/>
      </c>
      <c r="C32" s="235" t="str">
        <f>IF($B32="","",Lançamentos!$J9)</f>
        <v/>
      </c>
      <c r="D32" s="235" t="str">
        <f>IF($B32="","",Lançamentos!$H9)</f>
        <v/>
      </c>
      <c r="E32" s="234" t="str">
        <f>IF($B32="","",IF(COUNTIF(Lançamentos!$B$3:$B$1001,$B32)=0,"Bloqueado",IF(COUNTIF('E1 — Solicitação'!$E14:$L14,"⛔ Bloqueado")&gt;0,"Bloqueado",IF(COUNTIF('E1 — Solicitação'!$E14:$L14,"N/A")=8,"Bloqueado",IF(COUNTIF('E1 — Solicitação'!$E14:$L14,"✔ Concluído")+COUNTIF('E1 — Solicitação'!$E14:$L14,"N/A")=8,"Concluído",IF(COUNTIF('E1 — Solicitação'!$E14:$L14,"✔ Concluído")+COUNTIF('E1 — Solicitação'!$E14:$L14,"🔄 Em andamento")&gt;0,"Em andamento","Não iniciado"))))))</f>
        <v/>
      </c>
      <c r="F32" s="234" t="str">
        <f>IF($B32="","",IF($E32&lt;&gt;"Concluído","Não iniciado",IF(COUNTIF(Lançamentos!$B$3:$B$1001,$B32)=0,"Bloqueado",IF('E2 — Triagem'!$D14="","Bloqueado",IF(COUNTIF('E2 — Triagem'!$E14:$L14,"N/A")=8,"Bloqueado",IF(COUNTIF('E2 — Triagem'!$E14:$L14,"⛔ Bloqueado")&gt;0,"Bloqueado",IF(COUNTIF('E2 — Triagem'!$E14:$L14,"✔ Concluído")+COUNTIF('E2 — Triagem'!$E14:$L14,"N/A")=8,"Concluído",IF(COUNTIF('E2 — Triagem'!$E14:$L14,"✔ Concluído")+COUNTIF('E2 — Triagem'!$E14:$L14,"🔄 Em andamento")&gt;0,"Em andamento","Não iniciado"))))))))</f>
        <v/>
      </c>
      <c r="G32" s="234" t="str">
        <f>IF($B32="","",IF($F32&lt;&gt;"Concluído","Não iniciado",IF(COUNTIF(Lançamentos!$B$3:$B$1001,$B32)=0,"Bloqueado",IF('E3 — Levantamento'!$D14="","Bloqueado",IF(COUNTIF('E3 — Levantamento'!$E14:$I14,"⛔ Bloqueado")&gt;0,"Bloqueado",IF('E3 — Levantamento'!$I14="N/A","Bloqueado",IF(COUNTIF('E3 — Levantamento'!$E14:$I14,"✔ Concluído")=5,"Concluído",IF(COUNTIF('E3 — Levantamento'!$E14:$I14,"✔ Concluído")+COUNTIF('E3 — Levantamento'!$E14:$I14,"🔄 Em andamento")&gt;0,"Em andamento","Não iniciado"))))))))</f>
        <v/>
      </c>
      <c r="H32" s="234" t="str">
        <f>IF($B32="","",IF($G32&lt;&gt;"Concluído","Não iniciado",IF(COUNTIF(Lançamentos!$B$3:$B$1001,$B32)=0,"Bloqueado",IF('E4 — Execução'!$D14="","Bloqueado",IF(COUNTIF('E4 — Execução'!$E14:$K14,"⛔ Bloqueado")&gt;0,"Bloqueado",IF(COUNTIF('E4 — Execução'!$E14:$K14,"✔ Concluído")=7,"Concluído",IF(COUNTIF('E4 — Execução'!$E14:$K14,"✔ Concluído")+COUNTIF('E4 — Execução'!$E14:$K14,"🔄 Em andamento")&gt;0,"Em andamento","Não iniciado")))))))</f>
        <v/>
      </c>
      <c r="I32" s="234" t="str">
        <f>IF($B32="","",IF($H32&lt;&gt;"Concluído","Não iniciado",IF(COUNTIF(Lançamentos!$B$3:$B$1001,$B32)=0,"Bloqueado",IF('E5 — Validação'!$D14="","Bloqueado",IF(COUNTIF('E5 — Validação'!$E14:$I14,"⛔ Bloqueado")&gt;0,"Bloqueado",IF('E5 — Validação'!$I14="N/A","Bloqueado",IF(AND('E5 — Validação'!$E14="✔ Concluído",'E5 — Validação'!$F14="✔ Concluído",OR('E5 — Validação'!$G14="✔ Concluído",'E5 — Validação'!$G14="N/A"),'E5 — Validação'!$H14="✔ Concluído",'E5 — Validação'!$I14="✔ Concluído"),"Concluído",IF(COUNTIF('E5 — Validação'!$E14:$I14,"✔ Concluído")+COUNTIF('E5 — Validação'!$E14:$I14,"🔄 Em andamento")&gt;0,"Em andamento","Não iniciado"))))))))</f>
        <v/>
      </c>
      <c r="J32" s="234" t="str">
        <f>IF($B32="","",IF($I32&lt;&gt;"Concluído","Não iniciado",IF('E6 — Ajustes'!$N14="Não","N/A",IF(COUNTIF(Lançamentos!$B$3:$B$1001,$B32)=0,"Bloqueado",IF('E6 — Ajustes'!$D14="","Bloqueado",IF(COUNTIF('E6 — Ajustes'!$E14:$J14,"⛔ Bloqueado")&gt;0,"Bloqueado",IF(AND('E6 — Ajustes'!$E14="✔ Concluído",'E6 — Ajustes'!$F14="✔ Concluído",'E6 — Ajustes'!$G14="✔ Concluído",'E6 — Ajustes'!$H14="✔ Concluído",OR('E6 — Ajustes'!$I14="✔ Concluído",'E6 — Ajustes'!$I14="N/A"),'E6 — Ajustes'!$J14="✔ Concluído"),"Concluído",IF(COUNTIF('E6 — Ajustes'!$E14:$J14,"✔ Concluído")+COUNTIF('E6 — Ajustes'!$E14:$J14,"🔄 Em andamento")&gt;0,"Em andamento","Não iniciado"))))))))</f>
        <v/>
      </c>
      <c r="K32" s="234" t="str">
        <f>IF($B32="","",IF($I32&lt;&gt;"Concluído","Não iniciado",IF(AND($J32&lt;&gt;"Concluído",$J32&lt;&gt;"N/A"),"Não iniciado",IF(COUNTIF(Lançamentos!$B$3:$B$1001,$B32)=0,"Bloqueado",IF('E7 — Entrega'!$D14="","Bloqueado",IF(COUNTIF('E7 — Entrega'!$E14:$H14,"⛔ Bloqueado")&gt;0,"Bloqueado",IF(COUNTIF('E7 — Entrega'!$E14:$H14,"✔ Concluído")=4,"Concluído",IF(COUNTIF('E7 — Entrega'!$E14:$H14,"✔ Concluído")+COUNTIF('E7 — Entrega'!$E14:$H14,"🔄 Em andamento")&gt;0,"Em andamento","Não iniciado"))))))))</f>
        <v/>
      </c>
      <c r="L32" s="234" t="str">
        <f>IF($B32="","",IF($K32&lt;&gt;"Concluído","Não iniciado",IF(OR(COUNTIF('E08 — Estabilização Hypercare'!$E14:$J14,"⛔ Bloqueado")&gt;0,'E08 — Estabilização Hypercare'!$N14="⛔ Incidente Crítico — Encerramento Bloqueado",AND('E08 — Estabilização Hypercare'!$N14="🆕 Evolução Identificada — Nova Demanda Aberta",'E08 — Estabilização Hypercare'!$U14="")),"Bloqueado",IF(AND('E08 — Estabilização Hypercare'!$E14="✔ Concluído",'E08 — Estabilização Hypercare'!$F14="✔ Concluído",'E08 — Estabilização Hypercare'!$G14="✔ Concluído",OR('E08 — Estabilização Hypercare'!$H14="✔ Concluído",'E08 — Estabilização Hypercare'!$H14="N/A"),'E08 — Estabilização Hypercare'!$I14="✔ Concluído",'E08 — Estabilização Hypercare'!$J14="✔ Concluído",OR('E08 — Estabilização Hypercare'!$N14="✅ Estável — Demanda Encerrada",AND('E08 — Estabilização Hypercare'!$N14="🆕 Evolução Identificada — Nova Demanda Aberta",'E08 — Estabilização Hypercare'!$U14&lt;&gt;""))),"Concluído",IF(OR(COUNTIF('E08 — Estabilização Hypercare'!$E14:$J14,"✔ Concluído")&gt;0,COUNTIF('E08 — Estabilização Hypercare'!$E14:$J14,"🔄 Em andamento")&gt;0,'E08 — Estabilização Hypercare'!$N14&lt;&gt;""),"Em andamento","Não iniciado")))))</f>
        <v/>
      </c>
      <c r="M32" s="236" t="str" cm="1">
        <f t="array" ref="M32">IF(B32="","",_xlfn.IFS(E32&lt;&gt;"Concluído","E1 — Solicitação",F32&lt;&gt;"Concluído","E2 — Triagem",G32&lt;&gt;"Concluído","E3 — Levantamento ⚠",H32&lt;&gt;"Concluído","E4 — Execução",I32&lt;&gt;"Concluído","E5 — Validação ⚠",AND(J32&lt;&gt;"Concluído",J32&lt;&gt;"N/A"),"E6 — Ajustes",K32&lt;&gt;"Concluído","E7 — Entrega",L32&lt;&gt;"Concluído","E08 — Estabilização / Hypercare",TRUE,"✔ Fluxo concluído"))</f>
        <v/>
      </c>
      <c r="N32" s="237" t="str">
        <f t="shared" si="0"/>
        <v/>
      </c>
      <c r="O32" s="238"/>
    </row>
    <row r="33" spans="2:15" ht="15" customHeight="1" x14ac:dyDescent="0.35">
      <c r="B33" s="234" t="str">
        <f>IF(Lançamentos!$B10="","",Lançamentos!$B10)</f>
        <v/>
      </c>
      <c r="C33" s="235" t="str">
        <f>IF($B33="","",Lançamentos!$J10)</f>
        <v/>
      </c>
      <c r="D33" s="235" t="str">
        <f>IF($B33="","",Lançamentos!$H10)</f>
        <v/>
      </c>
      <c r="E33" s="234" t="str">
        <f>IF($B33="","",IF(COUNTIF(Lançamentos!$B$3:$B$1001,$B33)=0,"Bloqueado",IF(COUNTIF('E1 — Solicitação'!$E15:$L15,"⛔ Bloqueado")&gt;0,"Bloqueado",IF(COUNTIF('E1 — Solicitação'!$E15:$L15,"N/A")=8,"Bloqueado",IF(COUNTIF('E1 — Solicitação'!$E15:$L15,"✔ Concluído")+COUNTIF('E1 — Solicitação'!$E15:$L15,"N/A")=8,"Concluído",IF(COUNTIF('E1 — Solicitação'!$E15:$L15,"✔ Concluído")+COUNTIF('E1 — Solicitação'!$E15:$L15,"🔄 Em andamento")&gt;0,"Em andamento","Não iniciado"))))))</f>
        <v/>
      </c>
      <c r="F33" s="234" t="str">
        <f>IF($B33="","",IF($E33&lt;&gt;"Concluído","Não iniciado",IF(COUNTIF(Lançamentos!$B$3:$B$1001,$B33)=0,"Bloqueado",IF('E2 — Triagem'!$D15="","Bloqueado",IF(COUNTIF('E2 — Triagem'!$E15:$L15,"N/A")=8,"Bloqueado",IF(COUNTIF('E2 — Triagem'!$E15:$L15,"⛔ Bloqueado")&gt;0,"Bloqueado",IF(COUNTIF('E2 — Triagem'!$E15:$L15,"✔ Concluído")+COUNTIF('E2 — Triagem'!$E15:$L15,"N/A")=8,"Concluído",IF(COUNTIF('E2 — Triagem'!$E15:$L15,"✔ Concluído")+COUNTIF('E2 — Triagem'!$E15:$L15,"🔄 Em andamento")&gt;0,"Em andamento","Não iniciado"))))))))</f>
        <v/>
      </c>
      <c r="G33" s="234" t="str">
        <f>IF($B33="","",IF($F33&lt;&gt;"Concluído","Não iniciado",IF(COUNTIF(Lançamentos!$B$3:$B$1001,$B33)=0,"Bloqueado",IF('E3 — Levantamento'!$D15="","Bloqueado",IF(COUNTIF('E3 — Levantamento'!$E15:$I15,"⛔ Bloqueado")&gt;0,"Bloqueado",IF('E3 — Levantamento'!$I15="N/A","Bloqueado",IF(COUNTIF('E3 — Levantamento'!$E15:$I15,"✔ Concluído")=5,"Concluído",IF(COUNTIF('E3 — Levantamento'!$E15:$I15,"✔ Concluído")+COUNTIF('E3 — Levantamento'!$E15:$I15,"🔄 Em andamento")&gt;0,"Em andamento","Não iniciado"))))))))</f>
        <v/>
      </c>
      <c r="H33" s="234" t="str">
        <f>IF($B33="","",IF($G33&lt;&gt;"Concluído","Não iniciado",IF(COUNTIF(Lançamentos!$B$3:$B$1001,$B33)=0,"Bloqueado",IF('E4 — Execução'!$D15="","Bloqueado",IF(COUNTIF('E4 — Execução'!$E15:$K15,"⛔ Bloqueado")&gt;0,"Bloqueado",IF(COUNTIF('E4 — Execução'!$E15:$K15,"✔ Concluído")=7,"Concluído",IF(COUNTIF('E4 — Execução'!$E15:$K15,"✔ Concluído")+COUNTIF('E4 — Execução'!$E15:$K15,"🔄 Em andamento")&gt;0,"Em andamento","Não iniciado")))))))</f>
        <v/>
      </c>
      <c r="I33" s="234" t="str">
        <f>IF($B33="","",IF($H33&lt;&gt;"Concluído","Não iniciado",IF(COUNTIF(Lançamentos!$B$3:$B$1001,$B33)=0,"Bloqueado",IF('E5 — Validação'!$D15="","Bloqueado",IF(COUNTIF('E5 — Validação'!$E15:$I15,"⛔ Bloqueado")&gt;0,"Bloqueado",IF('E5 — Validação'!$I15="N/A","Bloqueado",IF(AND('E5 — Validação'!$E15="✔ Concluído",'E5 — Validação'!$F15="✔ Concluído",OR('E5 — Validação'!$G15="✔ Concluído",'E5 — Validação'!$G15="N/A"),'E5 — Validação'!$H15="✔ Concluído",'E5 — Validação'!$I15="✔ Concluído"),"Concluído",IF(COUNTIF('E5 — Validação'!$E15:$I15,"✔ Concluído")+COUNTIF('E5 — Validação'!$E15:$I15,"🔄 Em andamento")&gt;0,"Em andamento","Não iniciado"))))))))</f>
        <v/>
      </c>
      <c r="J33" s="234" t="str">
        <f>IF($B33="","",IF($I33&lt;&gt;"Concluído","Não iniciado",IF('E6 — Ajustes'!$N15="Não","N/A",IF(COUNTIF(Lançamentos!$B$3:$B$1001,$B33)=0,"Bloqueado",IF('E6 — Ajustes'!$D15="","Bloqueado",IF(COUNTIF('E6 — Ajustes'!$E15:$J15,"⛔ Bloqueado")&gt;0,"Bloqueado",IF(AND('E6 — Ajustes'!$E15="✔ Concluído",'E6 — Ajustes'!$F15="✔ Concluído",'E6 — Ajustes'!$G15="✔ Concluído",'E6 — Ajustes'!$H15="✔ Concluído",OR('E6 — Ajustes'!$I15="✔ Concluído",'E6 — Ajustes'!$I15="N/A"),'E6 — Ajustes'!$J15="✔ Concluído"),"Concluído",IF(COUNTIF('E6 — Ajustes'!$E15:$J15,"✔ Concluído")+COUNTIF('E6 — Ajustes'!$E15:$J15,"🔄 Em andamento")&gt;0,"Em andamento","Não iniciado"))))))))</f>
        <v/>
      </c>
      <c r="K33" s="234" t="str">
        <f>IF($B33="","",IF($I33&lt;&gt;"Concluído","Não iniciado",IF(AND($J33&lt;&gt;"Concluído",$J33&lt;&gt;"N/A"),"Não iniciado",IF(COUNTIF(Lançamentos!$B$3:$B$1001,$B33)=0,"Bloqueado",IF('E7 — Entrega'!$D15="","Bloqueado",IF(COUNTIF('E7 — Entrega'!$E15:$H15,"⛔ Bloqueado")&gt;0,"Bloqueado",IF(COUNTIF('E7 — Entrega'!$E15:$H15,"✔ Concluído")=4,"Concluído",IF(COUNTIF('E7 — Entrega'!$E15:$H15,"✔ Concluído")+COUNTIF('E7 — Entrega'!$E15:$H15,"🔄 Em andamento")&gt;0,"Em andamento","Não iniciado"))))))))</f>
        <v/>
      </c>
      <c r="L33" s="234" t="str">
        <f>IF($B33="","",IF($K33&lt;&gt;"Concluído","Não iniciado",IF(OR(COUNTIF('E08 — Estabilização Hypercare'!$E15:$J15,"⛔ Bloqueado")&gt;0,'E08 — Estabilização Hypercare'!$N15="⛔ Incidente Crítico — Encerramento Bloqueado",AND('E08 — Estabilização Hypercare'!$N15="🆕 Evolução Identificada — Nova Demanda Aberta",'E08 — Estabilização Hypercare'!$U15="")),"Bloqueado",IF(AND('E08 — Estabilização Hypercare'!$E15="✔ Concluído",'E08 — Estabilização Hypercare'!$F15="✔ Concluído",'E08 — Estabilização Hypercare'!$G15="✔ Concluído",OR('E08 — Estabilização Hypercare'!$H15="✔ Concluído",'E08 — Estabilização Hypercare'!$H15="N/A"),'E08 — Estabilização Hypercare'!$I15="✔ Concluído",'E08 — Estabilização Hypercare'!$J15="✔ Concluído",OR('E08 — Estabilização Hypercare'!$N15="✅ Estável — Demanda Encerrada",AND('E08 — Estabilização Hypercare'!$N15="🆕 Evolução Identificada — Nova Demanda Aberta",'E08 — Estabilização Hypercare'!$U15&lt;&gt;""))),"Concluído",IF(OR(COUNTIF('E08 — Estabilização Hypercare'!$E15:$J15,"✔ Concluído")&gt;0,COUNTIF('E08 — Estabilização Hypercare'!$E15:$J15,"🔄 Em andamento")&gt;0,'E08 — Estabilização Hypercare'!$N15&lt;&gt;""),"Em andamento","Não iniciado")))))</f>
        <v/>
      </c>
      <c r="M33" s="236" t="str" cm="1">
        <f t="array" ref="M33">IF(B33="","",_xlfn.IFS(E33&lt;&gt;"Concluído","E1 — Solicitação",F33&lt;&gt;"Concluído","E2 — Triagem",G33&lt;&gt;"Concluído","E3 — Levantamento ⚠",H33&lt;&gt;"Concluído","E4 — Execução",I33&lt;&gt;"Concluído","E5 — Validação ⚠",AND(J33&lt;&gt;"Concluído",J33&lt;&gt;"N/A"),"E6 — Ajustes",K33&lt;&gt;"Concluído","E7 — Entrega",L33&lt;&gt;"Concluído","E08 — Estabilização / Hypercare",TRUE,"✔ Fluxo concluído"))</f>
        <v/>
      </c>
      <c r="N33" s="237" t="str">
        <f t="shared" si="0"/>
        <v/>
      </c>
      <c r="O33" s="238"/>
    </row>
    <row r="34" spans="2:15" ht="15" customHeight="1" x14ac:dyDescent="0.35">
      <c r="B34" s="234" t="str">
        <f>IF(Lançamentos!$B11="","",Lançamentos!$B11)</f>
        <v/>
      </c>
      <c r="C34" s="235" t="str">
        <f>IF($B34="","",Lançamentos!$J11)</f>
        <v/>
      </c>
      <c r="D34" s="235" t="str">
        <f>IF($B34="","",Lançamentos!$H11)</f>
        <v/>
      </c>
      <c r="E34" s="234" t="str">
        <f>IF($B34="","",IF(COUNTIF(Lançamentos!$B$3:$B$1001,$B34)=0,"Bloqueado",IF(COUNTIF('E1 — Solicitação'!$E16:$L16,"⛔ Bloqueado")&gt;0,"Bloqueado",IF(COUNTIF('E1 — Solicitação'!$E16:$L16,"N/A")=8,"Bloqueado",IF(COUNTIF('E1 — Solicitação'!$E16:$L16,"✔ Concluído")+COUNTIF('E1 — Solicitação'!$E16:$L16,"N/A")=8,"Concluído",IF(COUNTIF('E1 — Solicitação'!$E16:$L16,"✔ Concluído")+COUNTIF('E1 — Solicitação'!$E16:$L16,"🔄 Em andamento")&gt;0,"Em andamento","Não iniciado"))))))</f>
        <v/>
      </c>
      <c r="F34" s="234" t="str">
        <f>IF($B34="","",IF($E34&lt;&gt;"Concluído","Não iniciado",IF(COUNTIF(Lançamentos!$B$3:$B$1001,$B34)=0,"Bloqueado",IF('E2 — Triagem'!$D16="","Bloqueado",IF(COUNTIF('E2 — Triagem'!$E16:$L16,"N/A")=8,"Bloqueado",IF(COUNTIF('E2 — Triagem'!$E16:$L16,"⛔ Bloqueado")&gt;0,"Bloqueado",IF(COUNTIF('E2 — Triagem'!$E16:$L16,"✔ Concluído")+COUNTIF('E2 — Triagem'!$E16:$L16,"N/A")=8,"Concluído",IF(COUNTIF('E2 — Triagem'!$E16:$L16,"✔ Concluído")+COUNTIF('E2 — Triagem'!$E16:$L16,"🔄 Em andamento")&gt;0,"Em andamento","Não iniciado"))))))))</f>
        <v/>
      </c>
      <c r="G34" s="234" t="str">
        <f>IF($B34="","",IF($F34&lt;&gt;"Concluído","Não iniciado",IF(COUNTIF(Lançamentos!$B$3:$B$1001,$B34)=0,"Bloqueado",IF('E3 — Levantamento'!$D16="","Bloqueado",IF(COUNTIF('E3 — Levantamento'!$E16:$I16,"⛔ Bloqueado")&gt;0,"Bloqueado",IF('E3 — Levantamento'!$I16="N/A","Bloqueado",IF(COUNTIF('E3 — Levantamento'!$E16:$I16,"✔ Concluído")=5,"Concluído",IF(COUNTIF('E3 — Levantamento'!$E16:$I16,"✔ Concluído")+COUNTIF('E3 — Levantamento'!$E16:$I16,"🔄 Em andamento")&gt;0,"Em andamento","Não iniciado"))))))))</f>
        <v/>
      </c>
      <c r="H34" s="234" t="str">
        <f>IF($B34="","",IF($G34&lt;&gt;"Concluído","Não iniciado",IF(COUNTIF(Lançamentos!$B$3:$B$1001,$B34)=0,"Bloqueado",IF('E4 — Execução'!$D16="","Bloqueado",IF(COUNTIF('E4 — Execução'!$E16:$K16,"⛔ Bloqueado")&gt;0,"Bloqueado",IF(COUNTIF('E4 — Execução'!$E16:$K16,"✔ Concluído")=7,"Concluído",IF(COUNTIF('E4 — Execução'!$E16:$K16,"✔ Concluído")+COUNTIF('E4 — Execução'!$E16:$K16,"🔄 Em andamento")&gt;0,"Em andamento","Não iniciado")))))))</f>
        <v/>
      </c>
      <c r="I34" s="234" t="str">
        <f>IF($B34="","",IF($H34&lt;&gt;"Concluído","Não iniciado",IF(COUNTIF(Lançamentos!$B$3:$B$1001,$B34)=0,"Bloqueado",IF('E5 — Validação'!$D16="","Bloqueado",IF(COUNTIF('E5 — Validação'!$E16:$I16,"⛔ Bloqueado")&gt;0,"Bloqueado",IF('E5 — Validação'!$I16="N/A","Bloqueado",IF(AND('E5 — Validação'!$E16="✔ Concluído",'E5 — Validação'!$F16="✔ Concluído",OR('E5 — Validação'!$G16="✔ Concluído",'E5 — Validação'!$G16="N/A"),'E5 — Validação'!$H16="✔ Concluído",'E5 — Validação'!$I16="✔ Concluído"),"Concluído",IF(COUNTIF('E5 — Validação'!$E16:$I16,"✔ Concluído")+COUNTIF('E5 — Validação'!$E16:$I16,"🔄 Em andamento")&gt;0,"Em andamento","Não iniciado"))))))))</f>
        <v/>
      </c>
      <c r="J34" s="234" t="str">
        <f>IF($B34="","",IF($I34&lt;&gt;"Concluído","Não iniciado",IF('E6 — Ajustes'!$N16="Não","N/A",IF(COUNTIF(Lançamentos!$B$3:$B$1001,$B34)=0,"Bloqueado",IF('E6 — Ajustes'!$D16="","Bloqueado",IF(COUNTIF('E6 — Ajustes'!$E16:$J16,"⛔ Bloqueado")&gt;0,"Bloqueado",IF(AND('E6 — Ajustes'!$E16="✔ Concluído",'E6 — Ajustes'!$F16="✔ Concluído",'E6 — Ajustes'!$G16="✔ Concluído",'E6 — Ajustes'!$H16="✔ Concluído",OR('E6 — Ajustes'!$I16="✔ Concluído",'E6 — Ajustes'!$I16="N/A"),'E6 — Ajustes'!$J16="✔ Concluído"),"Concluído",IF(COUNTIF('E6 — Ajustes'!$E16:$J16,"✔ Concluído")+COUNTIF('E6 — Ajustes'!$E16:$J16,"🔄 Em andamento")&gt;0,"Em andamento","Não iniciado"))))))))</f>
        <v/>
      </c>
      <c r="K34" s="234" t="str">
        <f>IF($B34="","",IF($I34&lt;&gt;"Concluído","Não iniciado",IF(AND($J34&lt;&gt;"Concluído",$J34&lt;&gt;"N/A"),"Não iniciado",IF(COUNTIF(Lançamentos!$B$3:$B$1001,$B34)=0,"Bloqueado",IF('E7 — Entrega'!$D16="","Bloqueado",IF(COUNTIF('E7 — Entrega'!$E16:$H16,"⛔ Bloqueado")&gt;0,"Bloqueado",IF(COUNTIF('E7 — Entrega'!$E16:$H16,"✔ Concluído")=4,"Concluído",IF(COUNTIF('E7 — Entrega'!$E16:$H16,"✔ Concluído")+COUNTIF('E7 — Entrega'!$E16:$H16,"🔄 Em andamento")&gt;0,"Em andamento","Não iniciado"))))))))</f>
        <v/>
      </c>
      <c r="L34" s="234" t="str">
        <f>IF($B34="","",IF($K34&lt;&gt;"Concluído","Não iniciado",IF(OR(COUNTIF('E08 — Estabilização Hypercare'!$E16:$J16,"⛔ Bloqueado")&gt;0,'E08 — Estabilização Hypercare'!$N16="⛔ Incidente Crítico — Encerramento Bloqueado",AND('E08 — Estabilização Hypercare'!$N16="🆕 Evolução Identificada — Nova Demanda Aberta",'E08 — Estabilização Hypercare'!$U16="")),"Bloqueado",IF(AND('E08 — Estabilização Hypercare'!$E16="✔ Concluído",'E08 — Estabilização Hypercare'!$F16="✔ Concluído",'E08 — Estabilização Hypercare'!$G16="✔ Concluído",OR('E08 — Estabilização Hypercare'!$H16="✔ Concluído",'E08 — Estabilização Hypercare'!$H16="N/A"),'E08 — Estabilização Hypercare'!$I16="✔ Concluído",'E08 — Estabilização Hypercare'!$J16="✔ Concluído",OR('E08 — Estabilização Hypercare'!$N16="✅ Estável — Demanda Encerrada",AND('E08 — Estabilização Hypercare'!$N16="🆕 Evolução Identificada — Nova Demanda Aberta",'E08 — Estabilização Hypercare'!$U16&lt;&gt;""))),"Concluído",IF(OR(COUNTIF('E08 — Estabilização Hypercare'!$E16:$J16,"✔ Concluído")&gt;0,COUNTIF('E08 — Estabilização Hypercare'!$E16:$J16,"🔄 Em andamento")&gt;0,'E08 — Estabilização Hypercare'!$N16&lt;&gt;""),"Em andamento","Não iniciado")))))</f>
        <v/>
      </c>
      <c r="M34" s="236" t="str" cm="1">
        <f t="array" ref="M34">IF(B34="","",_xlfn.IFS(E34&lt;&gt;"Concluído","E1 — Solicitação",F34&lt;&gt;"Concluído","E2 — Triagem",G34&lt;&gt;"Concluído","E3 — Levantamento ⚠",H34&lt;&gt;"Concluído","E4 — Execução",I34&lt;&gt;"Concluído","E5 — Validação ⚠",AND(J34&lt;&gt;"Concluído",J34&lt;&gt;"N/A"),"E6 — Ajustes",K34&lt;&gt;"Concluído","E7 — Entrega",L34&lt;&gt;"Concluído","E08 — Estabilização / Hypercare",TRUE,"✔ Fluxo concluído"))</f>
        <v/>
      </c>
      <c r="N34" s="237" t="str">
        <f t="shared" si="0"/>
        <v/>
      </c>
      <c r="O34" s="238"/>
    </row>
    <row r="35" spans="2:15" ht="15" customHeight="1" x14ac:dyDescent="0.35">
      <c r="B35" s="234" t="str">
        <f>IF(Lançamentos!$B12="","",Lançamentos!$B12)</f>
        <v/>
      </c>
      <c r="C35" s="235" t="str">
        <f>IF($B35="","",Lançamentos!$J12)</f>
        <v/>
      </c>
      <c r="D35" s="235" t="str">
        <f>IF($B35="","",Lançamentos!$H12)</f>
        <v/>
      </c>
      <c r="E35" s="234" t="str">
        <f>IF($B35="","",IF(COUNTIF(Lançamentos!$B$3:$B$1001,$B35)=0,"Bloqueado",IF(COUNTIF('E1 — Solicitação'!$E17:$L17,"⛔ Bloqueado")&gt;0,"Bloqueado",IF(COUNTIF('E1 — Solicitação'!$E17:$L17,"N/A")=8,"Bloqueado",IF(COUNTIF('E1 — Solicitação'!$E17:$L17,"✔ Concluído")+COUNTIF('E1 — Solicitação'!$E17:$L17,"N/A")=8,"Concluído",IF(COUNTIF('E1 — Solicitação'!$E17:$L17,"✔ Concluído")+COUNTIF('E1 — Solicitação'!$E17:$L17,"🔄 Em andamento")&gt;0,"Em andamento","Não iniciado"))))))</f>
        <v/>
      </c>
      <c r="F35" s="234" t="str">
        <f>IF($B35="","",IF($E35&lt;&gt;"Concluído","Não iniciado",IF(COUNTIF(Lançamentos!$B$3:$B$1001,$B35)=0,"Bloqueado",IF('E2 — Triagem'!$D17="","Bloqueado",IF(COUNTIF('E2 — Triagem'!$E17:$L17,"N/A")=8,"Bloqueado",IF(COUNTIF('E2 — Triagem'!$E17:$L17,"⛔ Bloqueado")&gt;0,"Bloqueado",IF(COUNTIF('E2 — Triagem'!$E17:$L17,"✔ Concluído")+COUNTIF('E2 — Triagem'!$E17:$L17,"N/A")=8,"Concluído",IF(COUNTIF('E2 — Triagem'!$E17:$L17,"✔ Concluído")+COUNTIF('E2 — Triagem'!$E17:$L17,"🔄 Em andamento")&gt;0,"Em andamento","Não iniciado"))))))))</f>
        <v/>
      </c>
      <c r="G35" s="234" t="str">
        <f>IF($B35="","",IF($F35&lt;&gt;"Concluído","Não iniciado",IF(COUNTIF(Lançamentos!$B$3:$B$1001,$B35)=0,"Bloqueado",IF('E3 — Levantamento'!$D17="","Bloqueado",IF(COUNTIF('E3 — Levantamento'!$E17:$I17,"⛔ Bloqueado")&gt;0,"Bloqueado",IF('E3 — Levantamento'!$I17="N/A","Bloqueado",IF(COUNTIF('E3 — Levantamento'!$E17:$I17,"✔ Concluído")=5,"Concluído",IF(COUNTIF('E3 — Levantamento'!$E17:$I17,"✔ Concluído")+COUNTIF('E3 — Levantamento'!$E17:$I17,"🔄 Em andamento")&gt;0,"Em andamento","Não iniciado"))))))))</f>
        <v/>
      </c>
      <c r="H35" s="234" t="str">
        <f>IF($B35="","",IF($G35&lt;&gt;"Concluído","Não iniciado",IF(COUNTIF(Lançamentos!$B$3:$B$1001,$B35)=0,"Bloqueado",IF('E4 — Execução'!$D17="","Bloqueado",IF(COUNTIF('E4 — Execução'!$E17:$K17,"⛔ Bloqueado")&gt;0,"Bloqueado",IF(COUNTIF('E4 — Execução'!$E17:$K17,"✔ Concluído")=7,"Concluído",IF(COUNTIF('E4 — Execução'!$E17:$K17,"✔ Concluído")+COUNTIF('E4 — Execução'!$E17:$K17,"🔄 Em andamento")&gt;0,"Em andamento","Não iniciado")))))))</f>
        <v/>
      </c>
      <c r="I35" s="234" t="str">
        <f>IF($B35="","",IF($H35&lt;&gt;"Concluído","Não iniciado",IF(COUNTIF(Lançamentos!$B$3:$B$1001,$B35)=0,"Bloqueado",IF('E5 — Validação'!$D17="","Bloqueado",IF(COUNTIF('E5 — Validação'!$E17:$I17,"⛔ Bloqueado")&gt;0,"Bloqueado",IF('E5 — Validação'!$I17="N/A","Bloqueado",IF(AND('E5 — Validação'!$E17="✔ Concluído",'E5 — Validação'!$F17="✔ Concluído",OR('E5 — Validação'!$G17="✔ Concluído",'E5 — Validação'!$G17="N/A"),'E5 — Validação'!$H17="✔ Concluído",'E5 — Validação'!$I17="✔ Concluído"),"Concluído",IF(COUNTIF('E5 — Validação'!$E17:$I17,"✔ Concluído")+COUNTIF('E5 — Validação'!$E17:$I17,"🔄 Em andamento")&gt;0,"Em andamento","Não iniciado"))))))))</f>
        <v/>
      </c>
      <c r="J35" s="234" t="str">
        <f>IF($B35="","",IF($I35&lt;&gt;"Concluído","Não iniciado",IF('E6 — Ajustes'!$N17="Não","N/A",IF(COUNTIF(Lançamentos!$B$3:$B$1001,$B35)=0,"Bloqueado",IF('E6 — Ajustes'!$D17="","Bloqueado",IF(COUNTIF('E6 — Ajustes'!$E17:$J17,"⛔ Bloqueado")&gt;0,"Bloqueado",IF(AND('E6 — Ajustes'!$E17="✔ Concluído",'E6 — Ajustes'!$F17="✔ Concluído",'E6 — Ajustes'!$G17="✔ Concluído",'E6 — Ajustes'!$H17="✔ Concluído",OR('E6 — Ajustes'!$I17="✔ Concluído",'E6 — Ajustes'!$I17="N/A"),'E6 — Ajustes'!$J17="✔ Concluído"),"Concluído",IF(COUNTIF('E6 — Ajustes'!$E17:$J17,"✔ Concluído")+COUNTIF('E6 — Ajustes'!$E17:$J17,"🔄 Em andamento")&gt;0,"Em andamento","Não iniciado"))))))))</f>
        <v/>
      </c>
      <c r="K35" s="234" t="str">
        <f>IF($B35="","",IF($I35&lt;&gt;"Concluído","Não iniciado",IF(AND($J35&lt;&gt;"Concluído",$J35&lt;&gt;"N/A"),"Não iniciado",IF(COUNTIF(Lançamentos!$B$3:$B$1001,$B35)=0,"Bloqueado",IF('E7 — Entrega'!$D17="","Bloqueado",IF(COUNTIF('E7 — Entrega'!$E17:$H17,"⛔ Bloqueado")&gt;0,"Bloqueado",IF(COUNTIF('E7 — Entrega'!$E17:$H17,"✔ Concluído")=4,"Concluído",IF(COUNTIF('E7 — Entrega'!$E17:$H17,"✔ Concluído")+COUNTIF('E7 — Entrega'!$E17:$H17,"🔄 Em andamento")&gt;0,"Em andamento","Não iniciado"))))))))</f>
        <v/>
      </c>
      <c r="L35" s="234" t="str">
        <f>IF($B35="","",IF($K35&lt;&gt;"Concluído","Não iniciado",IF(OR(COUNTIF('E08 — Estabilização Hypercare'!$E17:$J17,"⛔ Bloqueado")&gt;0,'E08 — Estabilização Hypercare'!$N17="⛔ Incidente Crítico — Encerramento Bloqueado",AND('E08 — Estabilização Hypercare'!$N17="🆕 Evolução Identificada — Nova Demanda Aberta",'E08 — Estabilização Hypercare'!$U17="")),"Bloqueado",IF(AND('E08 — Estabilização Hypercare'!$E17="✔ Concluído",'E08 — Estabilização Hypercare'!$F17="✔ Concluído",'E08 — Estabilização Hypercare'!$G17="✔ Concluído",OR('E08 — Estabilização Hypercare'!$H17="✔ Concluído",'E08 — Estabilização Hypercare'!$H17="N/A"),'E08 — Estabilização Hypercare'!$I17="✔ Concluído",'E08 — Estabilização Hypercare'!$J17="✔ Concluído",OR('E08 — Estabilização Hypercare'!$N17="✅ Estável — Demanda Encerrada",AND('E08 — Estabilização Hypercare'!$N17="🆕 Evolução Identificada — Nova Demanda Aberta",'E08 — Estabilização Hypercare'!$U17&lt;&gt;""))),"Concluído",IF(OR(COUNTIF('E08 — Estabilização Hypercare'!$E17:$J17,"✔ Concluído")&gt;0,COUNTIF('E08 — Estabilização Hypercare'!$E17:$J17,"🔄 Em andamento")&gt;0,'E08 — Estabilização Hypercare'!$N17&lt;&gt;""),"Em andamento","Não iniciado")))))</f>
        <v/>
      </c>
      <c r="M35" s="236" t="str" cm="1">
        <f t="array" ref="M35">IF(B35="","",_xlfn.IFS(E35&lt;&gt;"Concluído","E1 — Solicitação",F35&lt;&gt;"Concluído","E2 — Triagem",G35&lt;&gt;"Concluído","E3 — Levantamento ⚠",H35&lt;&gt;"Concluído","E4 — Execução",I35&lt;&gt;"Concluído","E5 — Validação ⚠",AND(J35&lt;&gt;"Concluído",J35&lt;&gt;"N/A"),"E6 — Ajustes",K35&lt;&gt;"Concluído","E7 — Entrega",L35&lt;&gt;"Concluído","E08 — Estabilização / Hypercare",TRUE,"✔ Fluxo concluído"))</f>
        <v/>
      </c>
      <c r="N35" s="237" t="str">
        <f t="shared" si="0"/>
        <v/>
      </c>
      <c r="O35" s="238"/>
    </row>
    <row r="36" spans="2:15" ht="15" customHeight="1" x14ac:dyDescent="0.35">
      <c r="B36" s="234" t="str">
        <f>IF(Lançamentos!$B13="","",Lançamentos!$B13)</f>
        <v/>
      </c>
      <c r="C36" s="235" t="str">
        <f>IF($B36="","",Lançamentos!$J13)</f>
        <v/>
      </c>
      <c r="D36" s="235" t="str">
        <f>IF($B36="","",Lançamentos!$H13)</f>
        <v/>
      </c>
      <c r="E36" s="234" t="str">
        <f>IF($B36="","",IF(COUNTIF(Lançamentos!$B$3:$B$1001,$B36)=0,"Bloqueado",IF(COUNTIF('E1 — Solicitação'!$E18:$L18,"⛔ Bloqueado")&gt;0,"Bloqueado",IF(COUNTIF('E1 — Solicitação'!$E18:$L18,"N/A")=8,"Bloqueado",IF(COUNTIF('E1 — Solicitação'!$E18:$L18,"✔ Concluído")+COUNTIF('E1 — Solicitação'!$E18:$L18,"N/A")=8,"Concluído",IF(COUNTIF('E1 — Solicitação'!$E18:$L18,"✔ Concluído")+COUNTIF('E1 — Solicitação'!$E18:$L18,"🔄 Em andamento")&gt;0,"Em andamento","Não iniciado"))))))</f>
        <v/>
      </c>
      <c r="F36" s="234" t="str">
        <f>IF($B36="","",IF($E36&lt;&gt;"Concluído","Não iniciado",IF(COUNTIF(Lançamentos!$B$3:$B$1001,$B36)=0,"Bloqueado",IF('E2 — Triagem'!$D18="","Bloqueado",IF(COUNTIF('E2 — Triagem'!$E18:$L18,"N/A")=8,"Bloqueado",IF(COUNTIF('E2 — Triagem'!$E18:$L18,"⛔ Bloqueado")&gt;0,"Bloqueado",IF(COUNTIF('E2 — Triagem'!$E18:$L18,"✔ Concluído")+COUNTIF('E2 — Triagem'!$E18:$L18,"N/A")=8,"Concluído",IF(COUNTIF('E2 — Triagem'!$E18:$L18,"✔ Concluído")+COUNTIF('E2 — Triagem'!$E18:$L18,"🔄 Em andamento")&gt;0,"Em andamento","Não iniciado"))))))))</f>
        <v/>
      </c>
      <c r="G36" s="234" t="str">
        <f>IF($B36="","",IF($F36&lt;&gt;"Concluído","Não iniciado",IF(COUNTIF(Lançamentos!$B$3:$B$1001,$B36)=0,"Bloqueado",IF('E3 — Levantamento'!$D18="","Bloqueado",IF(COUNTIF('E3 — Levantamento'!$E18:$I18,"⛔ Bloqueado")&gt;0,"Bloqueado",IF('E3 — Levantamento'!$I18="N/A","Bloqueado",IF(COUNTIF('E3 — Levantamento'!$E18:$I18,"✔ Concluído")=5,"Concluído",IF(COUNTIF('E3 — Levantamento'!$E18:$I18,"✔ Concluído")+COUNTIF('E3 — Levantamento'!$E18:$I18,"🔄 Em andamento")&gt;0,"Em andamento","Não iniciado"))))))))</f>
        <v/>
      </c>
      <c r="H36" s="234" t="str">
        <f>IF($B36="","",IF($G36&lt;&gt;"Concluído","Não iniciado",IF(COUNTIF(Lançamentos!$B$3:$B$1001,$B36)=0,"Bloqueado",IF('E4 — Execução'!$D18="","Bloqueado",IF(COUNTIF('E4 — Execução'!$E18:$K18,"⛔ Bloqueado")&gt;0,"Bloqueado",IF(COUNTIF('E4 — Execução'!$E18:$K18,"✔ Concluído")=7,"Concluído",IF(COUNTIF('E4 — Execução'!$E18:$K18,"✔ Concluído")+COUNTIF('E4 — Execução'!$E18:$K18,"🔄 Em andamento")&gt;0,"Em andamento","Não iniciado")))))))</f>
        <v/>
      </c>
      <c r="I36" s="234" t="str">
        <f>IF($B36="","",IF($H36&lt;&gt;"Concluído","Não iniciado",IF(COUNTIF(Lançamentos!$B$3:$B$1001,$B36)=0,"Bloqueado",IF('E5 — Validação'!$D18="","Bloqueado",IF(COUNTIF('E5 — Validação'!$E18:$I18,"⛔ Bloqueado")&gt;0,"Bloqueado",IF('E5 — Validação'!$I18="N/A","Bloqueado",IF(AND('E5 — Validação'!$E18="✔ Concluído",'E5 — Validação'!$F18="✔ Concluído",OR('E5 — Validação'!$G18="✔ Concluído",'E5 — Validação'!$G18="N/A"),'E5 — Validação'!$H18="✔ Concluído",'E5 — Validação'!$I18="✔ Concluído"),"Concluído",IF(COUNTIF('E5 — Validação'!$E18:$I18,"✔ Concluído")+COUNTIF('E5 — Validação'!$E18:$I18,"🔄 Em andamento")&gt;0,"Em andamento","Não iniciado"))))))))</f>
        <v/>
      </c>
      <c r="J36" s="234" t="str">
        <f>IF($B36="","",IF($I36&lt;&gt;"Concluído","Não iniciado",IF('E6 — Ajustes'!$N18="Não","N/A",IF(COUNTIF(Lançamentos!$B$3:$B$1001,$B36)=0,"Bloqueado",IF('E6 — Ajustes'!$D18="","Bloqueado",IF(COUNTIF('E6 — Ajustes'!$E18:$J18,"⛔ Bloqueado")&gt;0,"Bloqueado",IF(AND('E6 — Ajustes'!$E18="✔ Concluído",'E6 — Ajustes'!$F18="✔ Concluído",'E6 — Ajustes'!$G18="✔ Concluído",'E6 — Ajustes'!$H18="✔ Concluído",OR('E6 — Ajustes'!$I18="✔ Concluído",'E6 — Ajustes'!$I18="N/A"),'E6 — Ajustes'!$J18="✔ Concluído"),"Concluído",IF(COUNTIF('E6 — Ajustes'!$E18:$J18,"✔ Concluído")+COUNTIF('E6 — Ajustes'!$E18:$J18,"🔄 Em andamento")&gt;0,"Em andamento","Não iniciado"))))))))</f>
        <v/>
      </c>
      <c r="K36" s="234" t="str">
        <f>IF($B36="","",IF($I36&lt;&gt;"Concluído","Não iniciado",IF(AND($J36&lt;&gt;"Concluído",$J36&lt;&gt;"N/A"),"Não iniciado",IF(COUNTIF(Lançamentos!$B$3:$B$1001,$B36)=0,"Bloqueado",IF('E7 — Entrega'!$D18="","Bloqueado",IF(COUNTIF('E7 — Entrega'!$E18:$H18,"⛔ Bloqueado")&gt;0,"Bloqueado",IF(COUNTIF('E7 — Entrega'!$E18:$H18,"✔ Concluído")=4,"Concluído",IF(COUNTIF('E7 — Entrega'!$E18:$H18,"✔ Concluído")+COUNTIF('E7 — Entrega'!$E18:$H18,"🔄 Em andamento")&gt;0,"Em andamento","Não iniciado"))))))))</f>
        <v/>
      </c>
      <c r="L36" s="234" t="str">
        <f>IF($B36="","",IF($K36&lt;&gt;"Concluído","Não iniciado",IF(OR(COUNTIF('E08 — Estabilização Hypercare'!$E18:$J18,"⛔ Bloqueado")&gt;0,'E08 — Estabilização Hypercare'!$N18="⛔ Incidente Crítico — Encerramento Bloqueado",AND('E08 — Estabilização Hypercare'!$N18="🆕 Evolução Identificada — Nova Demanda Aberta",'E08 — Estabilização Hypercare'!$U18="")),"Bloqueado",IF(AND('E08 — Estabilização Hypercare'!$E18="✔ Concluído",'E08 — Estabilização Hypercare'!$F18="✔ Concluído",'E08 — Estabilização Hypercare'!$G18="✔ Concluído",OR('E08 — Estabilização Hypercare'!$H18="✔ Concluído",'E08 — Estabilização Hypercare'!$H18="N/A"),'E08 — Estabilização Hypercare'!$I18="✔ Concluído",'E08 — Estabilização Hypercare'!$J18="✔ Concluído",OR('E08 — Estabilização Hypercare'!$N18="✅ Estável — Demanda Encerrada",AND('E08 — Estabilização Hypercare'!$N18="🆕 Evolução Identificada — Nova Demanda Aberta",'E08 — Estabilização Hypercare'!$U18&lt;&gt;""))),"Concluído",IF(OR(COUNTIF('E08 — Estabilização Hypercare'!$E18:$J18,"✔ Concluído")&gt;0,COUNTIF('E08 — Estabilização Hypercare'!$E18:$J18,"🔄 Em andamento")&gt;0,'E08 — Estabilização Hypercare'!$N18&lt;&gt;""),"Em andamento","Não iniciado")))))</f>
        <v/>
      </c>
      <c r="M36" s="236" t="str" cm="1">
        <f t="array" ref="M36">IF(B36="","",_xlfn.IFS(E36&lt;&gt;"Concluído","E1 — Solicitação",F36&lt;&gt;"Concluído","E2 — Triagem",G36&lt;&gt;"Concluído","E3 — Levantamento ⚠",H36&lt;&gt;"Concluído","E4 — Execução",I36&lt;&gt;"Concluído","E5 — Validação ⚠",AND(J36&lt;&gt;"Concluído",J36&lt;&gt;"N/A"),"E6 — Ajustes",K36&lt;&gt;"Concluído","E7 — Entrega",L36&lt;&gt;"Concluído","E08 — Estabilização / Hypercare",TRUE,"✔ Fluxo concluído"))</f>
        <v/>
      </c>
      <c r="N36" s="237" t="str">
        <f t="shared" si="0"/>
        <v/>
      </c>
      <c r="O36" s="238"/>
    </row>
    <row r="37" spans="2:15" ht="15" customHeight="1" x14ac:dyDescent="0.35">
      <c r="B37" s="234" t="str">
        <f>IF(Lançamentos!$B14="","",Lançamentos!$B14)</f>
        <v/>
      </c>
      <c r="C37" s="235" t="str">
        <f>IF($B37="","",Lançamentos!$J14)</f>
        <v/>
      </c>
      <c r="D37" s="235" t="str">
        <f>IF($B37="","",Lançamentos!$H14)</f>
        <v/>
      </c>
      <c r="E37" s="234" t="str">
        <f>IF($B37="","",IF(COUNTIF(Lançamentos!$B$3:$B$1001,$B37)=0,"Bloqueado",IF(COUNTIF('E1 — Solicitação'!$E19:$L19,"⛔ Bloqueado")&gt;0,"Bloqueado",IF(COUNTIF('E1 — Solicitação'!$E19:$L19,"N/A")=8,"Bloqueado",IF(COUNTIF('E1 — Solicitação'!$E19:$L19,"✔ Concluído")+COUNTIF('E1 — Solicitação'!$E19:$L19,"N/A")=8,"Concluído",IF(COUNTIF('E1 — Solicitação'!$E19:$L19,"✔ Concluído")+COUNTIF('E1 — Solicitação'!$E19:$L19,"🔄 Em andamento")&gt;0,"Em andamento","Não iniciado"))))))</f>
        <v/>
      </c>
      <c r="F37" s="234" t="str">
        <f>IF($B37="","",IF($E37&lt;&gt;"Concluído","Não iniciado",IF(COUNTIF(Lançamentos!$B$3:$B$1001,$B37)=0,"Bloqueado",IF('E2 — Triagem'!$D19="","Bloqueado",IF(COUNTIF('E2 — Triagem'!$E19:$L19,"N/A")=8,"Bloqueado",IF(COUNTIF('E2 — Triagem'!$E19:$L19,"⛔ Bloqueado")&gt;0,"Bloqueado",IF(COUNTIF('E2 — Triagem'!$E19:$L19,"✔ Concluído")+COUNTIF('E2 — Triagem'!$E19:$L19,"N/A")=8,"Concluído",IF(COUNTIF('E2 — Triagem'!$E19:$L19,"✔ Concluído")+COUNTIF('E2 — Triagem'!$E19:$L19,"🔄 Em andamento")&gt;0,"Em andamento","Não iniciado"))))))))</f>
        <v/>
      </c>
      <c r="G37" s="234" t="str">
        <f>IF($B37="","",IF($F37&lt;&gt;"Concluído","Não iniciado",IF(COUNTIF(Lançamentos!$B$3:$B$1001,$B37)=0,"Bloqueado",IF('E3 — Levantamento'!$D19="","Bloqueado",IF(COUNTIF('E3 — Levantamento'!$E19:$I19,"⛔ Bloqueado")&gt;0,"Bloqueado",IF('E3 — Levantamento'!$I19="N/A","Bloqueado",IF(COUNTIF('E3 — Levantamento'!$E19:$I19,"✔ Concluído")=5,"Concluído",IF(COUNTIF('E3 — Levantamento'!$E19:$I19,"✔ Concluído")+COUNTIF('E3 — Levantamento'!$E19:$I19,"🔄 Em andamento")&gt;0,"Em andamento","Não iniciado"))))))))</f>
        <v/>
      </c>
      <c r="H37" s="234" t="str">
        <f>IF($B37="","",IF($G37&lt;&gt;"Concluído","Não iniciado",IF(COUNTIF(Lançamentos!$B$3:$B$1001,$B37)=0,"Bloqueado",IF('E4 — Execução'!$D19="","Bloqueado",IF(COUNTIF('E4 — Execução'!$E19:$K19,"⛔ Bloqueado")&gt;0,"Bloqueado",IF(COUNTIF('E4 — Execução'!$E19:$K19,"✔ Concluído")=7,"Concluído",IF(COUNTIF('E4 — Execução'!$E19:$K19,"✔ Concluído")+COUNTIF('E4 — Execução'!$E19:$K19,"🔄 Em andamento")&gt;0,"Em andamento","Não iniciado")))))))</f>
        <v/>
      </c>
      <c r="I37" s="234" t="str">
        <f>IF($B37="","",IF($H37&lt;&gt;"Concluído","Não iniciado",IF(COUNTIF(Lançamentos!$B$3:$B$1001,$B37)=0,"Bloqueado",IF('E5 — Validação'!$D19="","Bloqueado",IF(COUNTIF('E5 — Validação'!$E19:$I19,"⛔ Bloqueado")&gt;0,"Bloqueado",IF('E5 — Validação'!$I19="N/A","Bloqueado",IF(AND('E5 — Validação'!$E19="✔ Concluído",'E5 — Validação'!$F19="✔ Concluído",OR('E5 — Validação'!$G19="✔ Concluído",'E5 — Validação'!$G19="N/A"),'E5 — Validação'!$H19="✔ Concluído",'E5 — Validação'!$I19="✔ Concluído"),"Concluído",IF(COUNTIF('E5 — Validação'!$E19:$I19,"✔ Concluído")+COUNTIF('E5 — Validação'!$E19:$I19,"🔄 Em andamento")&gt;0,"Em andamento","Não iniciado"))))))))</f>
        <v/>
      </c>
      <c r="J37" s="234" t="str">
        <f>IF($B37="","",IF($I37&lt;&gt;"Concluído","Não iniciado",IF('E6 — Ajustes'!$N19="Não","N/A",IF(COUNTIF(Lançamentos!$B$3:$B$1001,$B37)=0,"Bloqueado",IF('E6 — Ajustes'!$D19="","Bloqueado",IF(COUNTIF('E6 — Ajustes'!$E19:$J19,"⛔ Bloqueado")&gt;0,"Bloqueado",IF(AND('E6 — Ajustes'!$E19="✔ Concluído",'E6 — Ajustes'!$F19="✔ Concluído",'E6 — Ajustes'!$G19="✔ Concluído",'E6 — Ajustes'!$H19="✔ Concluído",OR('E6 — Ajustes'!$I19="✔ Concluído",'E6 — Ajustes'!$I19="N/A"),'E6 — Ajustes'!$J19="✔ Concluído"),"Concluído",IF(COUNTIF('E6 — Ajustes'!$E19:$J19,"✔ Concluído")+COUNTIF('E6 — Ajustes'!$E19:$J19,"🔄 Em andamento")&gt;0,"Em andamento","Não iniciado"))))))))</f>
        <v/>
      </c>
      <c r="K37" s="234" t="str">
        <f>IF($B37="","",IF($I37&lt;&gt;"Concluído","Não iniciado",IF(AND($J37&lt;&gt;"Concluído",$J37&lt;&gt;"N/A"),"Não iniciado",IF(COUNTIF(Lançamentos!$B$3:$B$1001,$B37)=0,"Bloqueado",IF('E7 — Entrega'!$D19="","Bloqueado",IF(COUNTIF('E7 — Entrega'!$E19:$H19,"⛔ Bloqueado")&gt;0,"Bloqueado",IF(COUNTIF('E7 — Entrega'!$E19:$H19,"✔ Concluído")=4,"Concluído",IF(COUNTIF('E7 — Entrega'!$E19:$H19,"✔ Concluído")+COUNTIF('E7 — Entrega'!$E19:$H19,"🔄 Em andamento")&gt;0,"Em andamento","Não iniciado"))))))))</f>
        <v/>
      </c>
      <c r="L37" s="234" t="str">
        <f>IF($B37="","",IF($K37&lt;&gt;"Concluído","Não iniciado",IF(OR(COUNTIF('E08 — Estabilização Hypercare'!$E19:$J19,"⛔ Bloqueado")&gt;0,'E08 — Estabilização Hypercare'!$N19="⛔ Incidente Crítico — Encerramento Bloqueado",AND('E08 — Estabilização Hypercare'!$N19="🆕 Evolução Identificada — Nova Demanda Aberta",'E08 — Estabilização Hypercare'!$U19="")),"Bloqueado",IF(AND('E08 — Estabilização Hypercare'!$E19="✔ Concluído",'E08 — Estabilização Hypercare'!$F19="✔ Concluído",'E08 — Estabilização Hypercare'!$G19="✔ Concluído",OR('E08 — Estabilização Hypercare'!$H19="✔ Concluído",'E08 — Estabilização Hypercare'!$H19="N/A"),'E08 — Estabilização Hypercare'!$I19="✔ Concluído",'E08 — Estabilização Hypercare'!$J19="✔ Concluído",OR('E08 — Estabilização Hypercare'!$N19="✅ Estável — Demanda Encerrada",AND('E08 — Estabilização Hypercare'!$N19="🆕 Evolução Identificada — Nova Demanda Aberta",'E08 — Estabilização Hypercare'!$U19&lt;&gt;""))),"Concluído",IF(OR(COUNTIF('E08 — Estabilização Hypercare'!$E19:$J19,"✔ Concluído")&gt;0,COUNTIF('E08 — Estabilização Hypercare'!$E19:$J19,"🔄 Em andamento")&gt;0,'E08 — Estabilização Hypercare'!$N19&lt;&gt;""),"Em andamento","Não iniciado")))))</f>
        <v/>
      </c>
      <c r="M37" s="236" t="str" cm="1">
        <f t="array" ref="M37">IF(B37="","",_xlfn.IFS(E37&lt;&gt;"Concluído","E1 — Solicitação",F37&lt;&gt;"Concluído","E2 — Triagem",G37&lt;&gt;"Concluído","E3 — Levantamento ⚠",H37&lt;&gt;"Concluído","E4 — Execução",I37&lt;&gt;"Concluído","E5 — Validação ⚠",AND(J37&lt;&gt;"Concluído",J37&lt;&gt;"N/A"),"E6 — Ajustes",K37&lt;&gt;"Concluído","E7 — Entrega",L37&lt;&gt;"Concluído","E08 — Estabilização / Hypercare",TRUE,"✔ Fluxo concluído"))</f>
        <v/>
      </c>
      <c r="N37" s="237" t="str">
        <f t="shared" si="0"/>
        <v/>
      </c>
      <c r="O37" s="238"/>
    </row>
    <row r="38" spans="2:15" ht="15" customHeight="1" x14ac:dyDescent="0.35">
      <c r="B38" s="234" t="str">
        <f>IF(Lançamentos!$B15="","",Lançamentos!$B15)</f>
        <v/>
      </c>
      <c r="C38" s="235" t="str">
        <f>IF($B38="","",Lançamentos!$J15)</f>
        <v/>
      </c>
      <c r="D38" s="235" t="str">
        <f>IF($B38="","",Lançamentos!$H15)</f>
        <v/>
      </c>
      <c r="E38" s="234" t="str">
        <f>IF($B38="","",IF(COUNTIF(Lançamentos!$B$3:$B$1001,$B38)=0,"Bloqueado",IF(COUNTIF('E1 — Solicitação'!$E20:$L20,"⛔ Bloqueado")&gt;0,"Bloqueado",IF(COUNTIF('E1 — Solicitação'!$E20:$L20,"N/A")=8,"Bloqueado",IF(COUNTIF('E1 — Solicitação'!$E20:$L20,"✔ Concluído")+COUNTIF('E1 — Solicitação'!$E20:$L20,"N/A")=8,"Concluído",IF(COUNTIF('E1 — Solicitação'!$E20:$L20,"✔ Concluído")+COUNTIF('E1 — Solicitação'!$E20:$L20,"🔄 Em andamento")&gt;0,"Em andamento","Não iniciado"))))))</f>
        <v/>
      </c>
      <c r="F38" s="234" t="str">
        <f>IF($B38="","",IF($E38&lt;&gt;"Concluído","Não iniciado",IF(COUNTIF(Lançamentos!$B$3:$B$1001,$B38)=0,"Bloqueado",IF('E2 — Triagem'!$D20="","Bloqueado",IF(COUNTIF('E2 — Triagem'!$E20:$L20,"N/A")=8,"Bloqueado",IF(COUNTIF('E2 — Triagem'!$E20:$L20,"⛔ Bloqueado")&gt;0,"Bloqueado",IF(COUNTIF('E2 — Triagem'!$E20:$L20,"✔ Concluído")+COUNTIF('E2 — Triagem'!$E20:$L20,"N/A")=8,"Concluído",IF(COUNTIF('E2 — Triagem'!$E20:$L20,"✔ Concluído")+COUNTIF('E2 — Triagem'!$E20:$L20,"🔄 Em andamento")&gt;0,"Em andamento","Não iniciado"))))))))</f>
        <v/>
      </c>
      <c r="G38" s="234" t="str">
        <f>IF($B38="","",IF($F38&lt;&gt;"Concluído","Não iniciado",IF(COUNTIF(Lançamentos!$B$3:$B$1001,$B38)=0,"Bloqueado",IF('E3 — Levantamento'!$D20="","Bloqueado",IF(COUNTIF('E3 — Levantamento'!$E20:$I20,"⛔ Bloqueado")&gt;0,"Bloqueado",IF('E3 — Levantamento'!$I20="N/A","Bloqueado",IF(COUNTIF('E3 — Levantamento'!$E20:$I20,"✔ Concluído")=5,"Concluído",IF(COUNTIF('E3 — Levantamento'!$E20:$I20,"✔ Concluído")+COUNTIF('E3 — Levantamento'!$E20:$I20,"🔄 Em andamento")&gt;0,"Em andamento","Não iniciado"))))))))</f>
        <v/>
      </c>
      <c r="H38" s="234" t="str">
        <f>IF($B38="","",IF($G38&lt;&gt;"Concluído","Não iniciado",IF(COUNTIF(Lançamentos!$B$3:$B$1001,$B38)=0,"Bloqueado",IF('E4 — Execução'!$D20="","Bloqueado",IF(COUNTIF('E4 — Execução'!$E20:$K20,"⛔ Bloqueado")&gt;0,"Bloqueado",IF(COUNTIF('E4 — Execução'!$E20:$K20,"✔ Concluído")=7,"Concluído",IF(COUNTIF('E4 — Execução'!$E20:$K20,"✔ Concluído")+COUNTIF('E4 — Execução'!$E20:$K20,"🔄 Em andamento")&gt;0,"Em andamento","Não iniciado")))))))</f>
        <v/>
      </c>
      <c r="I38" s="234" t="str">
        <f>IF($B38="","",IF($H38&lt;&gt;"Concluído","Não iniciado",IF(COUNTIF(Lançamentos!$B$3:$B$1001,$B38)=0,"Bloqueado",IF('E5 — Validação'!$D20="","Bloqueado",IF(COUNTIF('E5 — Validação'!$E20:$I20,"⛔ Bloqueado")&gt;0,"Bloqueado",IF('E5 — Validação'!$I20="N/A","Bloqueado",IF(AND('E5 — Validação'!$E20="✔ Concluído",'E5 — Validação'!$F20="✔ Concluído",OR('E5 — Validação'!$G20="✔ Concluído",'E5 — Validação'!$G20="N/A"),'E5 — Validação'!$H20="✔ Concluído",'E5 — Validação'!$I20="✔ Concluído"),"Concluído",IF(COUNTIF('E5 — Validação'!$E20:$I20,"✔ Concluído")+COUNTIF('E5 — Validação'!$E20:$I20,"🔄 Em andamento")&gt;0,"Em andamento","Não iniciado"))))))))</f>
        <v/>
      </c>
      <c r="J38" s="234" t="str">
        <f>IF($B38="","",IF($I38&lt;&gt;"Concluído","Não iniciado",IF('E6 — Ajustes'!$N20="Não","N/A",IF(COUNTIF(Lançamentos!$B$3:$B$1001,$B38)=0,"Bloqueado",IF('E6 — Ajustes'!$D20="","Bloqueado",IF(COUNTIF('E6 — Ajustes'!$E20:$J20,"⛔ Bloqueado")&gt;0,"Bloqueado",IF(AND('E6 — Ajustes'!$E20="✔ Concluído",'E6 — Ajustes'!$F20="✔ Concluído",'E6 — Ajustes'!$G20="✔ Concluído",'E6 — Ajustes'!$H20="✔ Concluído",OR('E6 — Ajustes'!$I20="✔ Concluído",'E6 — Ajustes'!$I20="N/A"),'E6 — Ajustes'!$J20="✔ Concluído"),"Concluído",IF(COUNTIF('E6 — Ajustes'!$E20:$J20,"✔ Concluído")+COUNTIF('E6 — Ajustes'!$E20:$J20,"🔄 Em andamento")&gt;0,"Em andamento","Não iniciado"))))))))</f>
        <v/>
      </c>
      <c r="K38" s="234" t="str">
        <f>IF($B38="","",IF($I38&lt;&gt;"Concluído","Não iniciado",IF(AND($J38&lt;&gt;"Concluído",$J38&lt;&gt;"N/A"),"Não iniciado",IF(COUNTIF(Lançamentos!$B$3:$B$1001,$B38)=0,"Bloqueado",IF('E7 — Entrega'!$D20="","Bloqueado",IF(COUNTIF('E7 — Entrega'!$E20:$H20,"⛔ Bloqueado")&gt;0,"Bloqueado",IF(COUNTIF('E7 — Entrega'!$E20:$H20,"✔ Concluído")=4,"Concluído",IF(COUNTIF('E7 — Entrega'!$E20:$H20,"✔ Concluído")+COUNTIF('E7 — Entrega'!$E20:$H20,"🔄 Em andamento")&gt;0,"Em andamento","Não iniciado"))))))))</f>
        <v/>
      </c>
      <c r="L38" s="234" t="str">
        <f>IF($B38="","",IF($K38&lt;&gt;"Concluído","Não iniciado",IF(OR(COUNTIF('E08 — Estabilização Hypercare'!$E20:$J20,"⛔ Bloqueado")&gt;0,'E08 — Estabilização Hypercare'!$N20="⛔ Incidente Crítico — Encerramento Bloqueado",AND('E08 — Estabilização Hypercare'!$N20="🆕 Evolução Identificada — Nova Demanda Aberta",'E08 — Estabilização Hypercare'!$U20="")),"Bloqueado",IF(AND('E08 — Estabilização Hypercare'!$E20="✔ Concluído",'E08 — Estabilização Hypercare'!$F20="✔ Concluído",'E08 — Estabilização Hypercare'!$G20="✔ Concluído",OR('E08 — Estabilização Hypercare'!$H20="✔ Concluído",'E08 — Estabilização Hypercare'!$H20="N/A"),'E08 — Estabilização Hypercare'!$I20="✔ Concluído",'E08 — Estabilização Hypercare'!$J20="✔ Concluído",OR('E08 — Estabilização Hypercare'!$N20="✅ Estável — Demanda Encerrada",AND('E08 — Estabilização Hypercare'!$N20="🆕 Evolução Identificada — Nova Demanda Aberta",'E08 — Estabilização Hypercare'!$U20&lt;&gt;""))),"Concluído",IF(OR(COUNTIF('E08 — Estabilização Hypercare'!$E20:$J20,"✔ Concluído")&gt;0,COUNTIF('E08 — Estabilização Hypercare'!$E20:$J20,"🔄 Em andamento")&gt;0,'E08 — Estabilização Hypercare'!$N20&lt;&gt;""),"Em andamento","Não iniciado")))))</f>
        <v/>
      </c>
      <c r="M38" s="236" t="str" cm="1">
        <f t="array" ref="M38">IF(B38="","",_xlfn.IFS(E38&lt;&gt;"Concluído","E1 — Solicitação",F38&lt;&gt;"Concluído","E2 — Triagem",G38&lt;&gt;"Concluído","E3 — Levantamento ⚠",H38&lt;&gt;"Concluído","E4 — Execução",I38&lt;&gt;"Concluído","E5 — Validação ⚠",AND(J38&lt;&gt;"Concluído",J38&lt;&gt;"N/A"),"E6 — Ajustes",K38&lt;&gt;"Concluído","E7 — Entrega",L38&lt;&gt;"Concluído","E08 — Estabilização / Hypercare",TRUE,"✔ Fluxo concluído"))</f>
        <v/>
      </c>
      <c r="N38" s="237" t="str">
        <f t="shared" si="0"/>
        <v/>
      </c>
      <c r="O38" s="238"/>
    </row>
    <row r="39" spans="2:15" ht="15" customHeight="1" x14ac:dyDescent="0.35">
      <c r="B39" s="234" t="str">
        <f>IF(Lançamentos!$B16="","",Lançamentos!$B16)</f>
        <v/>
      </c>
      <c r="C39" s="235" t="str">
        <f>IF($B39="","",Lançamentos!$J16)</f>
        <v/>
      </c>
      <c r="D39" s="235" t="str">
        <f>IF($B39="","",Lançamentos!$H16)</f>
        <v/>
      </c>
      <c r="E39" s="234" t="str">
        <f>IF($B39="","",IF(COUNTIF(Lançamentos!$B$3:$B$1001,$B39)=0,"Bloqueado",IF(COUNTIF('E1 — Solicitação'!$E21:$L21,"⛔ Bloqueado")&gt;0,"Bloqueado",IF(COUNTIF('E1 — Solicitação'!$E21:$L21,"N/A")=8,"Bloqueado",IF(COUNTIF('E1 — Solicitação'!$E21:$L21,"✔ Concluído")+COUNTIF('E1 — Solicitação'!$E21:$L21,"N/A")=8,"Concluído",IF(COUNTIF('E1 — Solicitação'!$E21:$L21,"✔ Concluído")+COUNTIF('E1 — Solicitação'!$E21:$L21,"🔄 Em andamento")&gt;0,"Em andamento","Não iniciado"))))))</f>
        <v/>
      </c>
      <c r="F39" s="234" t="str">
        <f>IF($B39="","",IF($E39&lt;&gt;"Concluído","Não iniciado",IF(COUNTIF(Lançamentos!$B$3:$B$1001,$B39)=0,"Bloqueado",IF('E2 — Triagem'!$D21="","Bloqueado",IF(COUNTIF('E2 — Triagem'!$E21:$L21,"N/A")=8,"Bloqueado",IF(COUNTIF('E2 — Triagem'!$E21:$L21,"⛔ Bloqueado")&gt;0,"Bloqueado",IF(COUNTIF('E2 — Triagem'!$E21:$L21,"✔ Concluído")+COUNTIF('E2 — Triagem'!$E21:$L21,"N/A")=8,"Concluído",IF(COUNTIF('E2 — Triagem'!$E21:$L21,"✔ Concluído")+COUNTIF('E2 — Triagem'!$E21:$L21,"🔄 Em andamento")&gt;0,"Em andamento","Não iniciado"))))))))</f>
        <v/>
      </c>
      <c r="G39" s="234" t="str">
        <f>IF($B39="","",IF($F39&lt;&gt;"Concluído","Não iniciado",IF(COUNTIF(Lançamentos!$B$3:$B$1001,$B39)=0,"Bloqueado",IF('E3 — Levantamento'!$D21="","Bloqueado",IF(COUNTIF('E3 — Levantamento'!$E21:$I21,"⛔ Bloqueado")&gt;0,"Bloqueado",IF('E3 — Levantamento'!$I21="N/A","Bloqueado",IF(COUNTIF('E3 — Levantamento'!$E21:$I21,"✔ Concluído")=5,"Concluído",IF(COUNTIF('E3 — Levantamento'!$E21:$I21,"✔ Concluído")+COUNTIF('E3 — Levantamento'!$E21:$I21,"🔄 Em andamento")&gt;0,"Em andamento","Não iniciado"))))))))</f>
        <v/>
      </c>
      <c r="H39" s="234" t="str">
        <f>IF($B39="","",IF($G39&lt;&gt;"Concluído","Não iniciado",IF(COUNTIF(Lançamentos!$B$3:$B$1001,$B39)=0,"Bloqueado",IF('E4 — Execução'!$D21="","Bloqueado",IF(COUNTIF('E4 — Execução'!$E21:$K21,"⛔ Bloqueado")&gt;0,"Bloqueado",IF(COUNTIF('E4 — Execução'!$E21:$K21,"✔ Concluído")=7,"Concluído",IF(COUNTIF('E4 — Execução'!$E21:$K21,"✔ Concluído")+COUNTIF('E4 — Execução'!$E21:$K21,"🔄 Em andamento")&gt;0,"Em andamento","Não iniciado")))))))</f>
        <v/>
      </c>
      <c r="I39" s="234" t="str">
        <f>IF($B39="","",IF($H39&lt;&gt;"Concluído","Não iniciado",IF(COUNTIF(Lançamentos!$B$3:$B$1001,$B39)=0,"Bloqueado",IF('E5 — Validação'!$D21="","Bloqueado",IF(COUNTIF('E5 — Validação'!$E21:$I21,"⛔ Bloqueado")&gt;0,"Bloqueado",IF('E5 — Validação'!$I21="N/A","Bloqueado",IF(AND('E5 — Validação'!$E21="✔ Concluído",'E5 — Validação'!$F21="✔ Concluído",OR('E5 — Validação'!$G21="✔ Concluído",'E5 — Validação'!$G21="N/A"),'E5 — Validação'!$H21="✔ Concluído",'E5 — Validação'!$I21="✔ Concluído"),"Concluído",IF(COUNTIF('E5 — Validação'!$E21:$I21,"✔ Concluído")+COUNTIF('E5 — Validação'!$E21:$I21,"🔄 Em andamento")&gt;0,"Em andamento","Não iniciado"))))))))</f>
        <v/>
      </c>
      <c r="J39" s="234" t="str">
        <f>IF($B39="","",IF($I39&lt;&gt;"Concluído","Não iniciado",IF('E6 — Ajustes'!$N21="Não","N/A",IF(COUNTIF(Lançamentos!$B$3:$B$1001,$B39)=0,"Bloqueado",IF('E6 — Ajustes'!$D21="","Bloqueado",IF(COUNTIF('E6 — Ajustes'!$E21:$J21,"⛔ Bloqueado")&gt;0,"Bloqueado",IF(AND('E6 — Ajustes'!$E21="✔ Concluído",'E6 — Ajustes'!$F21="✔ Concluído",'E6 — Ajustes'!$G21="✔ Concluído",'E6 — Ajustes'!$H21="✔ Concluído",OR('E6 — Ajustes'!$I21="✔ Concluído",'E6 — Ajustes'!$I21="N/A"),'E6 — Ajustes'!$J21="✔ Concluído"),"Concluído",IF(COUNTIF('E6 — Ajustes'!$E21:$J21,"✔ Concluído")+COUNTIF('E6 — Ajustes'!$E21:$J21,"🔄 Em andamento")&gt;0,"Em andamento","Não iniciado"))))))))</f>
        <v/>
      </c>
      <c r="K39" s="234" t="str">
        <f>IF($B39="","",IF($I39&lt;&gt;"Concluído","Não iniciado",IF(AND($J39&lt;&gt;"Concluído",$J39&lt;&gt;"N/A"),"Não iniciado",IF(COUNTIF(Lançamentos!$B$3:$B$1001,$B39)=0,"Bloqueado",IF('E7 — Entrega'!$D21="","Bloqueado",IF(COUNTIF('E7 — Entrega'!$E21:$H21,"⛔ Bloqueado")&gt;0,"Bloqueado",IF(COUNTIF('E7 — Entrega'!$E21:$H21,"✔ Concluído")=4,"Concluído",IF(COUNTIF('E7 — Entrega'!$E21:$H21,"✔ Concluído")+COUNTIF('E7 — Entrega'!$E21:$H21,"🔄 Em andamento")&gt;0,"Em andamento","Não iniciado"))))))))</f>
        <v/>
      </c>
      <c r="L39" s="234" t="str">
        <f>IF($B39="","",IF($K39&lt;&gt;"Concluído","Não iniciado",IF(OR(COUNTIF('E08 — Estabilização Hypercare'!$E21:$J21,"⛔ Bloqueado")&gt;0,'E08 — Estabilização Hypercare'!$N21="⛔ Incidente Crítico — Encerramento Bloqueado",AND('E08 — Estabilização Hypercare'!$N21="🆕 Evolução Identificada — Nova Demanda Aberta",'E08 — Estabilização Hypercare'!$U21="")),"Bloqueado",IF(AND('E08 — Estabilização Hypercare'!$E21="✔ Concluído",'E08 — Estabilização Hypercare'!$F21="✔ Concluído",'E08 — Estabilização Hypercare'!$G21="✔ Concluído",OR('E08 — Estabilização Hypercare'!$H21="✔ Concluído",'E08 — Estabilização Hypercare'!$H21="N/A"),'E08 — Estabilização Hypercare'!$I21="✔ Concluído",'E08 — Estabilização Hypercare'!$J21="✔ Concluído",OR('E08 — Estabilização Hypercare'!$N21="✅ Estável — Demanda Encerrada",AND('E08 — Estabilização Hypercare'!$N21="🆕 Evolução Identificada — Nova Demanda Aberta",'E08 — Estabilização Hypercare'!$U21&lt;&gt;""))),"Concluído",IF(OR(COUNTIF('E08 — Estabilização Hypercare'!$E21:$J21,"✔ Concluído")&gt;0,COUNTIF('E08 — Estabilização Hypercare'!$E21:$J21,"🔄 Em andamento")&gt;0,'E08 — Estabilização Hypercare'!$N21&lt;&gt;""),"Em andamento","Não iniciado")))))</f>
        <v/>
      </c>
      <c r="M39" s="236" t="str" cm="1">
        <f t="array" ref="M39">IF(B39="","",_xlfn.IFS(E39&lt;&gt;"Concluído","E1 — Solicitação",F39&lt;&gt;"Concluído","E2 — Triagem",G39&lt;&gt;"Concluído","E3 — Levantamento ⚠",H39&lt;&gt;"Concluído","E4 — Execução",I39&lt;&gt;"Concluído","E5 — Validação ⚠",AND(J39&lt;&gt;"Concluído",J39&lt;&gt;"N/A"),"E6 — Ajustes",K39&lt;&gt;"Concluído","E7 — Entrega",L39&lt;&gt;"Concluído","E08 — Estabilização / Hypercare",TRUE,"✔ Fluxo concluído"))</f>
        <v/>
      </c>
      <c r="N39" s="237" t="str">
        <f t="shared" si="0"/>
        <v/>
      </c>
      <c r="O39" s="238"/>
    </row>
    <row r="40" spans="2:15" ht="15" customHeight="1" x14ac:dyDescent="0.35">
      <c r="B40" s="234" t="str">
        <f>IF(Lançamentos!$B17="","",Lançamentos!$B17)</f>
        <v/>
      </c>
      <c r="C40" s="235" t="str">
        <f>IF($B40="","",Lançamentos!$J17)</f>
        <v/>
      </c>
      <c r="D40" s="235" t="str">
        <f>IF($B40="","",Lançamentos!$H17)</f>
        <v/>
      </c>
      <c r="E40" s="234" t="str">
        <f>IF($B40="","",IF(COUNTIF(Lançamentos!$B$3:$B$1001,$B40)=0,"Bloqueado",IF(COUNTIF('E1 — Solicitação'!$E22:$L22,"⛔ Bloqueado")&gt;0,"Bloqueado",IF(COUNTIF('E1 — Solicitação'!$E22:$L22,"N/A")=8,"Bloqueado",IF(COUNTIF('E1 — Solicitação'!$E22:$L22,"✔ Concluído")+COUNTIF('E1 — Solicitação'!$E22:$L22,"N/A")=8,"Concluído",IF(COUNTIF('E1 — Solicitação'!$E22:$L22,"✔ Concluído")+COUNTIF('E1 — Solicitação'!$E22:$L22,"🔄 Em andamento")&gt;0,"Em andamento","Não iniciado"))))))</f>
        <v/>
      </c>
      <c r="F40" s="234" t="str">
        <f>IF($B40="","",IF($E40&lt;&gt;"Concluído","Não iniciado",IF(COUNTIF(Lançamentos!$B$3:$B$1001,$B40)=0,"Bloqueado",IF('E2 — Triagem'!$D22="","Bloqueado",IF(COUNTIF('E2 — Triagem'!$E22:$L22,"N/A")=8,"Bloqueado",IF(COUNTIF('E2 — Triagem'!$E22:$L22,"⛔ Bloqueado")&gt;0,"Bloqueado",IF(COUNTIF('E2 — Triagem'!$E22:$L22,"✔ Concluído")+COUNTIF('E2 — Triagem'!$E22:$L22,"N/A")=8,"Concluído",IF(COUNTIF('E2 — Triagem'!$E22:$L22,"✔ Concluído")+COUNTIF('E2 — Triagem'!$E22:$L22,"🔄 Em andamento")&gt;0,"Em andamento","Não iniciado"))))))))</f>
        <v/>
      </c>
      <c r="G40" s="234" t="str">
        <f>IF($B40="","",IF($F40&lt;&gt;"Concluído","Não iniciado",IF(COUNTIF(Lançamentos!$B$3:$B$1001,$B40)=0,"Bloqueado",IF('E3 — Levantamento'!$D22="","Bloqueado",IF(COUNTIF('E3 — Levantamento'!$E22:$I22,"⛔ Bloqueado")&gt;0,"Bloqueado",IF('E3 — Levantamento'!$I22="N/A","Bloqueado",IF(COUNTIF('E3 — Levantamento'!$E22:$I22,"✔ Concluído")=5,"Concluído",IF(COUNTIF('E3 — Levantamento'!$E22:$I22,"✔ Concluído")+COUNTIF('E3 — Levantamento'!$E22:$I22,"🔄 Em andamento")&gt;0,"Em andamento","Não iniciado"))))))))</f>
        <v/>
      </c>
      <c r="H40" s="234" t="str">
        <f>IF($B40="","",IF($G40&lt;&gt;"Concluído","Não iniciado",IF(COUNTIF(Lançamentos!$B$3:$B$1001,$B40)=0,"Bloqueado",IF('E4 — Execução'!$D22="","Bloqueado",IF(COUNTIF('E4 — Execução'!$E22:$K22,"⛔ Bloqueado")&gt;0,"Bloqueado",IF(COUNTIF('E4 — Execução'!$E22:$K22,"✔ Concluído")=7,"Concluído",IF(COUNTIF('E4 — Execução'!$E22:$K22,"✔ Concluído")+COUNTIF('E4 — Execução'!$E22:$K22,"🔄 Em andamento")&gt;0,"Em andamento","Não iniciado")))))))</f>
        <v/>
      </c>
      <c r="I40" s="234" t="str">
        <f>IF($B40="","",IF($H40&lt;&gt;"Concluído","Não iniciado",IF(COUNTIF(Lançamentos!$B$3:$B$1001,$B40)=0,"Bloqueado",IF('E5 — Validação'!$D22="","Bloqueado",IF(COUNTIF('E5 — Validação'!$E22:$I22,"⛔ Bloqueado")&gt;0,"Bloqueado",IF('E5 — Validação'!$I22="N/A","Bloqueado",IF(AND('E5 — Validação'!$E22="✔ Concluído",'E5 — Validação'!$F22="✔ Concluído",OR('E5 — Validação'!$G22="✔ Concluído",'E5 — Validação'!$G22="N/A"),'E5 — Validação'!$H22="✔ Concluído",'E5 — Validação'!$I22="✔ Concluído"),"Concluído",IF(COUNTIF('E5 — Validação'!$E22:$I22,"✔ Concluído")+COUNTIF('E5 — Validação'!$E22:$I22,"🔄 Em andamento")&gt;0,"Em andamento","Não iniciado"))))))))</f>
        <v/>
      </c>
      <c r="J40" s="234" t="str">
        <f>IF($B40="","",IF($I40&lt;&gt;"Concluído","Não iniciado",IF('E6 — Ajustes'!$N22="Não","N/A",IF(COUNTIF(Lançamentos!$B$3:$B$1001,$B40)=0,"Bloqueado",IF('E6 — Ajustes'!$D22="","Bloqueado",IF(COUNTIF('E6 — Ajustes'!$E22:$J22,"⛔ Bloqueado")&gt;0,"Bloqueado",IF(AND('E6 — Ajustes'!$E22="✔ Concluído",'E6 — Ajustes'!$F22="✔ Concluído",'E6 — Ajustes'!$G22="✔ Concluído",'E6 — Ajustes'!$H22="✔ Concluído",OR('E6 — Ajustes'!$I22="✔ Concluído",'E6 — Ajustes'!$I22="N/A"),'E6 — Ajustes'!$J22="✔ Concluído"),"Concluído",IF(COUNTIF('E6 — Ajustes'!$E22:$J22,"✔ Concluído")+COUNTIF('E6 — Ajustes'!$E22:$J22,"🔄 Em andamento")&gt;0,"Em andamento","Não iniciado"))))))))</f>
        <v/>
      </c>
      <c r="K40" s="234" t="str">
        <f>IF($B40="","",IF($I40&lt;&gt;"Concluído","Não iniciado",IF(AND($J40&lt;&gt;"Concluído",$J40&lt;&gt;"N/A"),"Não iniciado",IF(COUNTIF(Lançamentos!$B$3:$B$1001,$B40)=0,"Bloqueado",IF('E7 — Entrega'!$D22="","Bloqueado",IF(COUNTIF('E7 — Entrega'!$E22:$H22,"⛔ Bloqueado")&gt;0,"Bloqueado",IF(COUNTIF('E7 — Entrega'!$E22:$H22,"✔ Concluído")=4,"Concluído",IF(COUNTIF('E7 — Entrega'!$E22:$H22,"✔ Concluído")+COUNTIF('E7 — Entrega'!$E22:$H22,"🔄 Em andamento")&gt;0,"Em andamento","Não iniciado"))))))))</f>
        <v/>
      </c>
      <c r="L40" s="234" t="str">
        <f>IF($B40="","",IF($K40&lt;&gt;"Concluído","Não iniciado",IF(OR(COUNTIF('E08 — Estabilização Hypercare'!$E22:$J22,"⛔ Bloqueado")&gt;0,'E08 — Estabilização Hypercare'!$N22="⛔ Incidente Crítico — Encerramento Bloqueado",AND('E08 — Estabilização Hypercare'!$N22="🆕 Evolução Identificada — Nova Demanda Aberta",'E08 — Estabilização Hypercare'!$U22="")),"Bloqueado",IF(AND('E08 — Estabilização Hypercare'!$E22="✔ Concluído",'E08 — Estabilização Hypercare'!$F22="✔ Concluído",'E08 — Estabilização Hypercare'!$G22="✔ Concluído",OR('E08 — Estabilização Hypercare'!$H22="✔ Concluído",'E08 — Estabilização Hypercare'!$H22="N/A"),'E08 — Estabilização Hypercare'!$I22="✔ Concluído",'E08 — Estabilização Hypercare'!$J22="✔ Concluído",OR('E08 — Estabilização Hypercare'!$N22="✅ Estável — Demanda Encerrada",AND('E08 — Estabilização Hypercare'!$N22="🆕 Evolução Identificada — Nova Demanda Aberta",'E08 — Estabilização Hypercare'!$U22&lt;&gt;""))),"Concluído",IF(OR(COUNTIF('E08 — Estabilização Hypercare'!$E22:$J22,"✔ Concluído")&gt;0,COUNTIF('E08 — Estabilização Hypercare'!$E22:$J22,"🔄 Em andamento")&gt;0,'E08 — Estabilização Hypercare'!$N22&lt;&gt;""),"Em andamento","Não iniciado")))))</f>
        <v/>
      </c>
      <c r="M40" s="236" t="str" cm="1">
        <f t="array" ref="M40">IF(B40="","",_xlfn.IFS(E40&lt;&gt;"Concluído","E1 — Solicitação",F40&lt;&gt;"Concluído","E2 — Triagem",G40&lt;&gt;"Concluído","E3 — Levantamento ⚠",H40&lt;&gt;"Concluído","E4 — Execução",I40&lt;&gt;"Concluído","E5 — Validação ⚠",AND(J40&lt;&gt;"Concluído",J40&lt;&gt;"N/A"),"E6 — Ajustes",K40&lt;&gt;"Concluído","E7 — Entrega",L40&lt;&gt;"Concluído","E08 — Estabilização / Hypercare",TRUE,"✔ Fluxo concluído"))</f>
        <v/>
      </c>
      <c r="N40" s="237" t="str">
        <f t="shared" si="0"/>
        <v/>
      </c>
      <c r="O40" s="238"/>
    </row>
    <row r="41" spans="2:15" ht="15" customHeight="1" x14ac:dyDescent="0.35">
      <c r="B41" s="234" t="str">
        <f>IF(Lançamentos!$B18="","",Lançamentos!$B18)</f>
        <v/>
      </c>
      <c r="C41" s="235" t="str">
        <f>IF($B41="","",Lançamentos!$J18)</f>
        <v/>
      </c>
      <c r="D41" s="235" t="str">
        <f>IF($B41="","",Lançamentos!$H18)</f>
        <v/>
      </c>
      <c r="E41" s="234" t="str">
        <f>IF($B41="","",IF(COUNTIF(Lançamentos!$B$3:$B$1001,$B41)=0,"Bloqueado",IF(COUNTIF('E1 — Solicitação'!$E23:$L23,"⛔ Bloqueado")&gt;0,"Bloqueado",IF(COUNTIF('E1 — Solicitação'!$E23:$L23,"N/A")=8,"Bloqueado",IF(COUNTIF('E1 — Solicitação'!$E23:$L23,"✔ Concluído")+COUNTIF('E1 — Solicitação'!$E23:$L23,"N/A")=8,"Concluído",IF(COUNTIF('E1 — Solicitação'!$E23:$L23,"✔ Concluído")+COUNTIF('E1 — Solicitação'!$E23:$L23,"🔄 Em andamento")&gt;0,"Em andamento","Não iniciado"))))))</f>
        <v/>
      </c>
      <c r="F41" s="234" t="str">
        <f>IF($B41="","",IF($E41&lt;&gt;"Concluído","Não iniciado",IF(COUNTIF(Lançamentos!$B$3:$B$1001,$B41)=0,"Bloqueado",IF('E2 — Triagem'!$D23="","Bloqueado",IF(COUNTIF('E2 — Triagem'!$E23:$L23,"N/A")=8,"Bloqueado",IF(COUNTIF('E2 — Triagem'!$E23:$L23,"⛔ Bloqueado")&gt;0,"Bloqueado",IF(COUNTIF('E2 — Triagem'!$E23:$L23,"✔ Concluído")+COUNTIF('E2 — Triagem'!$E23:$L23,"N/A")=8,"Concluído",IF(COUNTIF('E2 — Triagem'!$E23:$L23,"✔ Concluído")+COUNTIF('E2 — Triagem'!$E23:$L23,"🔄 Em andamento")&gt;0,"Em andamento","Não iniciado"))))))))</f>
        <v/>
      </c>
      <c r="G41" s="234" t="str">
        <f>IF($B41="","",IF($F41&lt;&gt;"Concluído","Não iniciado",IF(COUNTIF(Lançamentos!$B$3:$B$1001,$B41)=0,"Bloqueado",IF('E3 — Levantamento'!$D23="","Bloqueado",IF(COUNTIF('E3 — Levantamento'!$E23:$I23,"⛔ Bloqueado")&gt;0,"Bloqueado",IF('E3 — Levantamento'!$I23="N/A","Bloqueado",IF(COUNTIF('E3 — Levantamento'!$E23:$I23,"✔ Concluído")=5,"Concluído",IF(COUNTIF('E3 — Levantamento'!$E23:$I23,"✔ Concluído")+COUNTIF('E3 — Levantamento'!$E23:$I23,"🔄 Em andamento")&gt;0,"Em andamento","Não iniciado"))))))))</f>
        <v/>
      </c>
      <c r="H41" s="234" t="str">
        <f>IF($B41="","",IF($G41&lt;&gt;"Concluído","Não iniciado",IF(COUNTIF(Lançamentos!$B$3:$B$1001,$B41)=0,"Bloqueado",IF('E4 — Execução'!$D23="","Bloqueado",IF(COUNTIF('E4 — Execução'!$E23:$K23,"⛔ Bloqueado")&gt;0,"Bloqueado",IF(COUNTIF('E4 — Execução'!$E23:$K23,"✔ Concluído")=7,"Concluído",IF(COUNTIF('E4 — Execução'!$E23:$K23,"✔ Concluído")+COUNTIF('E4 — Execução'!$E23:$K23,"🔄 Em andamento")&gt;0,"Em andamento","Não iniciado")))))))</f>
        <v/>
      </c>
      <c r="I41" s="234" t="str">
        <f>IF($B41="","",IF($H41&lt;&gt;"Concluído","Não iniciado",IF(COUNTIF(Lançamentos!$B$3:$B$1001,$B41)=0,"Bloqueado",IF('E5 — Validação'!$D23="","Bloqueado",IF(COUNTIF('E5 — Validação'!$E23:$I23,"⛔ Bloqueado")&gt;0,"Bloqueado",IF('E5 — Validação'!$I23="N/A","Bloqueado",IF(AND('E5 — Validação'!$E23="✔ Concluído",'E5 — Validação'!$F23="✔ Concluído",OR('E5 — Validação'!$G23="✔ Concluído",'E5 — Validação'!$G23="N/A"),'E5 — Validação'!$H23="✔ Concluído",'E5 — Validação'!$I23="✔ Concluído"),"Concluído",IF(COUNTIF('E5 — Validação'!$E23:$I23,"✔ Concluído")+COUNTIF('E5 — Validação'!$E23:$I23,"🔄 Em andamento")&gt;0,"Em andamento","Não iniciado"))))))))</f>
        <v/>
      </c>
      <c r="J41" s="234" t="str">
        <f>IF($B41="","",IF($I41&lt;&gt;"Concluído","Não iniciado",IF('E6 — Ajustes'!$N23="Não","N/A",IF(COUNTIF(Lançamentos!$B$3:$B$1001,$B41)=0,"Bloqueado",IF('E6 — Ajustes'!$D23="","Bloqueado",IF(COUNTIF('E6 — Ajustes'!$E23:$J23,"⛔ Bloqueado")&gt;0,"Bloqueado",IF(AND('E6 — Ajustes'!$E23="✔ Concluído",'E6 — Ajustes'!$F23="✔ Concluído",'E6 — Ajustes'!$G23="✔ Concluído",'E6 — Ajustes'!$H23="✔ Concluído",OR('E6 — Ajustes'!$I23="✔ Concluído",'E6 — Ajustes'!$I23="N/A"),'E6 — Ajustes'!$J23="✔ Concluído"),"Concluído",IF(COUNTIF('E6 — Ajustes'!$E23:$J23,"✔ Concluído")+COUNTIF('E6 — Ajustes'!$E23:$J23,"🔄 Em andamento")&gt;0,"Em andamento","Não iniciado"))))))))</f>
        <v/>
      </c>
      <c r="K41" s="234" t="str">
        <f>IF($B41="","",IF($I41&lt;&gt;"Concluído","Não iniciado",IF(AND($J41&lt;&gt;"Concluído",$J41&lt;&gt;"N/A"),"Não iniciado",IF(COUNTIF(Lançamentos!$B$3:$B$1001,$B41)=0,"Bloqueado",IF('E7 — Entrega'!$D23="","Bloqueado",IF(COUNTIF('E7 — Entrega'!$E23:$H23,"⛔ Bloqueado")&gt;0,"Bloqueado",IF(COUNTIF('E7 — Entrega'!$E23:$H23,"✔ Concluído")=4,"Concluído",IF(COUNTIF('E7 — Entrega'!$E23:$H23,"✔ Concluído")+COUNTIF('E7 — Entrega'!$E23:$H23,"🔄 Em andamento")&gt;0,"Em andamento","Não iniciado"))))))))</f>
        <v/>
      </c>
      <c r="L41" s="234" t="str">
        <f>IF($B41="","",IF($K41&lt;&gt;"Concluído","Não iniciado",IF(OR(COUNTIF('E08 — Estabilização Hypercare'!$E23:$J23,"⛔ Bloqueado")&gt;0,'E08 — Estabilização Hypercare'!$N23="⛔ Incidente Crítico — Encerramento Bloqueado",AND('E08 — Estabilização Hypercare'!$N23="🆕 Evolução Identificada — Nova Demanda Aberta",'E08 — Estabilização Hypercare'!$U23="")),"Bloqueado",IF(AND('E08 — Estabilização Hypercare'!$E23="✔ Concluído",'E08 — Estabilização Hypercare'!$F23="✔ Concluído",'E08 — Estabilização Hypercare'!$G23="✔ Concluído",OR('E08 — Estabilização Hypercare'!$H23="✔ Concluído",'E08 — Estabilização Hypercare'!$H23="N/A"),'E08 — Estabilização Hypercare'!$I23="✔ Concluído",'E08 — Estabilização Hypercare'!$J23="✔ Concluído",OR('E08 — Estabilização Hypercare'!$N23="✅ Estável — Demanda Encerrada",AND('E08 — Estabilização Hypercare'!$N23="🆕 Evolução Identificada — Nova Demanda Aberta",'E08 — Estabilização Hypercare'!$U23&lt;&gt;""))),"Concluído",IF(OR(COUNTIF('E08 — Estabilização Hypercare'!$E23:$J23,"✔ Concluído")&gt;0,COUNTIF('E08 — Estabilização Hypercare'!$E23:$J23,"🔄 Em andamento")&gt;0,'E08 — Estabilização Hypercare'!$N23&lt;&gt;""),"Em andamento","Não iniciado")))))</f>
        <v/>
      </c>
      <c r="M41" s="236" t="str" cm="1">
        <f t="array" ref="M41">IF(B41="","",_xlfn.IFS(E41&lt;&gt;"Concluído","E1 — Solicitação",F41&lt;&gt;"Concluído","E2 — Triagem",G41&lt;&gt;"Concluído","E3 — Levantamento ⚠",H41&lt;&gt;"Concluído","E4 — Execução",I41&lt;&gt;"Concluído","E5 — Validação ⚠",AND(J41&lt;&gt;"Concluído",J41&lt;&gt;"N/A"),"E6 — Ajustes",K41&lt;&gt;"Concluído","E7 — Entrega",L41&lt;&gt;"Concluído","E08 — Estabilização / Hypercare",TRUE,"✔ Fluxo concluído"))</f>
        <v/>
      </c>
      <c r="N41" s="237" t="str">
        <f t="shared" si="0"/>
        <v/>
      </c>
      <c r="O41" s="238"/>
    </row>
    <row r="42" spans="2:15" ht="15" customHeight="1" x14ac:dyDescent="0.35">
      <c r="B42" s="234" t="str">
        <f>IF(Lançamentos!$B19="","",Lançamentos!$B19)</f>
        <v/>
      </c>
      <c r="C42" s="235" t="str">
        <f>IF($B42="","",Lançamentos!$J19)</f>
        <v/>
      </c>
      <c r="D42" s="235" t="str">
        <f>IF($B42="","",Lançamentos!$H19)</f>
        <v/>
      </c>
      <c r="E42" s="234" t="str">
        <f>IF($B42="","",IF(COUNTIF(Lançamentos!$B$3:$B$1001,$B42)=0,"Bloqueado",IF(COUNTIF('E1 — Solicitação'!$E24:$L24,"⛔ Bloqueado")&gt;0,"Bloqueado",IF(COUNTIF('E1 — Solicitação'!$E24:$L24,"N/A")=8,"Bloqueado",IF(COUNTIF('E1 — Solicitação'!$E24:$L24,"✔ Concluído")+COUNTIF('E1 — Solicitação'!$E24:$L24,"N/A")=8,"Concluído",IF(COUNTIF('E1 — Solicitação'!$E24:$L24,"✔ Concluído")+COUNTIF('E1 — Solicitação'!$E24:$L24,"🔄 Em andamento")&gt;0,"Em andamento","Não iniciado"))))))</f>
        <v/>
      </c>
      <c r="F42" s="234" t="str">
        <f>IF($B42="","",IF($E42&lt;&gt;"Concluído","Não iniciado",IF(COUNTIF(Lançamentos!$B$3:$B$1001,$B42)=0,"Bloqueado",IF('E2 — Triagem'!$D24="","Bloqueado",IF(COUNTIF('E2 — Triagem'!$E24:$L24,"N/A")=8,"Bloqueado",IF(COUNTIF('E2 — Triagem'!$E24:$L24,"⛔ Bloqueado")&gt;0,"Bloqueado",IF(COUNTIF('E2 — Triagem'!$E24:$L24,"✔ Concluído")+COUNTIF('E2 — Triagem'!$E24:$L24,"N/A")=8,"Concluído",IF(COUNTIF('E2 — Triagem'!$E24:$L24,"✔ Concluído")+COUNTIF('E2 — Triagem'!$E24:$L24,"🔄 Em andamento")&gt;0,"Em andamento","Não iniciado"))))))))</f>
        <v/>
      </c>
      <c r="G42" s="234" t="str">
        <f>IF($B42="","",IF($F42&lt;&gt;"Concluído","Não iniciado",IF(COUNTIF(Lançamentos!$B$3:$B$1001,$B42)=0,"Bloqueado",IF('E3 — Levantamento'!$D24="","Bloqueado",IF(COUNTIF('E3 — Levantamento'!$E24:$I24,"⛔ Bloqueado")&gt;0,"Bloqueado",IF('E3 — Levantamento'!$I24="N/A","Bloqueado",IF(COUNTIF('E3 — Levantamento'!$E24:$I24,"✔ Concluído")=5,"Concluído",IF(COUNTIF('E3 — Levantamento'!$E24:$I24,"✔ Concluído")+COUNTIF('E3 — Levantamento'!$E24:$I24,"🔄 Em andamento")&gt;0,"Em andamento","Não iniciado"))))))))</f>
        <v/>
      </c>
      <c r="H42" s="234" t="str">
        <f>IF($B42="","",IF($G42&lt;&gt;"Concluído","Não iniciado",IF(COUNTIF(Lançamentos!$B$3:$B$1001,$B42)=0,"Bloqueado",IF('E4 — Execução'!$D24="","Bloqueado",IF(COUNTIF('E4 — Execução'!$E24:$K24,"⛔ Bloqueado")&gt;0,"Bloqueado",IF(COUNTIF('E4 — Execução'!$E24:$K24,"✔ Concluído")=7,"Concluído",IF(COUNTIF('E4 — Execução'!$E24:$K24,"✔ Concluído")+COUNTIF('E4 — Execução'!$E24:$K24,"🔄 Em andamento")&gt;0,"Em andamento","Não iniciado")))))))</f>
        <v/>
      </c>
      <c r="I42" s="234" t="str">
        <f>IF($B42="","",IF($H42&lt;&gt;"Concluído","Não iniciado",IF(COUNTIF(Lançamentos!$B$3:$B$1001,$B42)=0,"Bloqueado",IF('E5 — Validação'!$D24="","Bloqueado",IF(COUNTIF('E5 — Validação'!$E24:$I24,"⛔ Bloqueado")&gt;0,"Bloqueado",IF('E5 — Validação'!$I24="N/A","Bloqueado",IF(AND('E5 — Validação'!$E24="✔ Concluído",'E5 — Validação'!$F24="✔ Concluído",OR('E5 — Validação'!$G24="✔ Concluído",'E5 — Validação'!$G24="N/A"),'E5 — Validação'!$H24="✔ Concluído",'E5 — Validação'!$I24="✔ Concluído"),"Concluído",IF(COUNTIF('E5 — Validação'!$E24:$I24,"✔ Concluído")+COUNTIF('E5 — Validação'!$E24:$I24,"🔄 Em andamento")&gt;0,"Em andamento","Não iniciado"))))))))</f>
        <v/>
      </c>
      <c r="J42" s="234" t="str">
        <f>IF($B42="","",IF($I42&lt;&gt;"Concluído","Não iniciado",IF('E6 — Ajustes'!$N24="Não","N/A",IF(COUNTIF(Lançamentos!$B$3:$B$1001,$B42)=0,"Bloqueado",IF('E6 — Ajustes'!$D24="","Bloqueado",IF(COUNTIF('E6 — Ajustes'!$E24:$J24,"⛔ Bloqueado")&gt;0,"Bloqueado",IF(AND('E6 — Ajustes'!$E24="✔ Concluído",'E6 — Ajustes'!$F24="✔ Concluído",'E6 — Ajustes'!$G24="✔ Concluído",'E6 — Ajustes'!$H24="✔ Concluído",OR('E6 — Ajustes'!$I24="✔ Concluído",'E6 — Ajustes'!$I24="N/A"),'E6 — Ajustes'!$J24="✔ Concluído"),"Concluído",IF(COUNTIF('E6 — Ajustes'!$E24:$J24,"✔ Concluído")+COUNTIF('E6 — Ajustes'!$E24:$J24,"🔄 Em andamento")&gt;0,"Em andamento","Não iniciado"))))))))</f>
        <v/>
      </c>
      <c r="K42" s="234" t="str">
        <f>IF($B42="","",IF($I42&lt;&gt;"Concluído","Não iniciado",IF(AND($J42&lt;&gt;"Concluído",$J42&lt;&gt;"N/A"),"Não iniciado",IF(COUNTIF(Lançamentos!$B$3:$B$1001,$B42)=0,"Bloqueado",IF('E7 — Entrega'!$D24="","Bloqueado",IF(COUNTIF('E7 — Entrega'!$E24:$H24,"⛔ Bloqueado")&gt;0,"Bloqueado",IF(COUNTIF('E7 — Entrega'!$E24:$H24,"✔ Concluído")=4,"Concluído",IF(COUNTIF('E7 — Entrega'!$E24:$H24,"✔ Concluído")+COUNTIF('E7 — Entrega'!$E24:$H24,"🔄 Em andamento")&gt;0,"Em andamento","Não iniciado"))))))))</f>
        <v/>
      </c>
      <c r="L42" s="234" t="str">
        <f>IF($B42="","",IF($K42&lt;&gt;"Concluído","Não iniciado",IF(OR(COUNTIF('E08 — Estabilização Hypercare'!$E24:$J24,"⛔ Bloqueado")&gt;0,'E08 — Estabilização Hypercare'!$N24="⛔ Incidente Crítico — Encerramento Bloqueado",AND('E08 — Estabilização Hypercare'!$N24="🆕 Evolução Identificada — Nova Demanda Aberta",'E08 — Estabilização Hypercare'!$U24="")),"Bloqueado",IF(AND('E08 — Estabilização Hypercare'!$E24="✔ Concluído",'E08 — Estabilização Hypercare'!$F24="✔ Concluído",'E08 — Estabilização Hypercare'!$G24="✔ Concluído",OR('E08 — Estabilização Hypercare'!$H24="✔ Concluído",'E08 — Estabilização Hypercare'!$H24="N/A"),'E08 — Estabilização Hypercare'!$I24="✔ Concluído",'E08 — Estabilização Hypercare'!$J24="✔ Concluído",OR('E08 — Estabilização Hypercare'!$N24="✅ Estável — Demanda Encerrada",AND('E08 — Estabilização Hypercare'!$N24="🆕 Evolução Identificada — Nova Demanda Aberta",'E08 — Estabilização Hypercare'!$U24&lt;&gt;""))),"Concluído",IF(OR(COUNTIF('E08 — Estabilização Hypercare'!$E24:$J24,"✔ Concluído")&gt;0,COUNTIF('E08 — Estabilização Hypercare'!$E24:$J24,"🔄 Em andamento")&gt;0,'E08 — Estabilização Hypercare'!$N24&lt;&gt;""),"Em andamento","Não iniciado")))))</f>
        <v/>
      </c>
      <c r="M42" s="236" t="str" cm="1">
        <f t="array" ref="M42">IF(B42="","",_xlfn.IFS(E42&lt;&gt;"Concluído","E1 — Solicitação",F42&lt;&gt;"Concluído","E2 — Triagem",G42&lt;&gt;"Concluído","E3 — Levantamento ⚠",H42&lt;&gt;"Concluído","E4 — Execução",I42&lt;&gt;"Concluído","E5 — Validação ⚠",AND(J42&lt;&gt;"Concluído",J42&lt;&gt;"N/A"),"E6 — Ajustes",K42&lt;&gt;"Concluído","E7 — Entrega",L42&lt;&gt;"Concluído","E08 — Estabilização / Hypercare",TRUE,"✔ Fluxo concluído"))</f>
        <v/>
      </c>
      <c r="N42" s="237" t="str">
        <f t="shared" si="0"/>
        <v/>
      </c>
      <c r="O42" s="238"/>
    </row>
    <row r="43" spans="2:15" ht="15" customHeight="1" x14ac:dyDescent="0.35">
      <c r="B43" s="234" t="str">
        <f>IF(Lançamentos!$B20="","",Lançamentos!$B20)</f>
        <v/>
      </c>
      <c r="C43" s="235" t="str">
        <f>IF($B43="","",Lançamentos!$J20)</f>
        <v/>
      </c>
      <c r="D43" s="235" t="str">
        <f>IF($B43="","",Lançamentos!$H20)</f>
        <v/>
      </c>
      <c r="E43" s="234" t="str">
        <f>IF($B43="","",IF(COUNTIF(Lançamentos!$B$3:$B$1001,$B43)=0,"Bloqueado",IF(COUNTIF('E1 — Solicitação'!$E25:$L25,"⛔ Bloqueado")&gt;0,"Bloqueado",IF(COUNTIF('E1 — Solicitação'!$E25:$L25,"N/A")=8,"Bloqueado",IF(COUNTIF('E1 — Solicitação'!$E25:$L25,"✔ Concluído")+COUNTIF('E1 — Solicitação'!$E25:$L25,"N/A")=8,"Concluído",IF(COUNTIF('E1 — Solicitação'!$E25:$L25,"✔ Concluído")+COUNTIF('E1 — Solicitação'!$E25:$L25,"🔄 Em andamento")&gt;0,"Em andamento","Não iniciado"))))))</f>
        <v/>
      </c>
      <c r="F43" s="234" t="str">
        <f>IF($B43="","",IF($E43&lt;&gt;"Concluído","Não iniciado",IF(COUNTIF(Lançamentos!$B$3:$B$1001,$B43)=0,"Bloqueado",IF('E2 — Triagem'!$D25="","Bloqueado",IF(COUNTIF('E2 — Triagem'!$E25:$L25,"N/A")=8,"Bloqueado",IF(COUNTIF('E2 — Triagem'!$E25:$L25,"⛔ Bloqueado")&gt;0,"Bloqueado",IF(COUNTIF('E2 — Triagem'!$E25:$L25,"✔ Concluído")+COUNTIF('E2 — Triagem'!$E25:$L25,"N/A")=8,"Concluído",IF(COUNTIF('E2 — Triagem'!$E25:$L25,"✔ Concluído")+COUNTIF('E2 — Triagem'!$E25:$L25,"🔄 Em andamento")&gt;0,"Em andamento","Não iniciado"))))))))</f>
        <v/>
      </c>
      <c r="G43" s="234" t="str">
        <f>IF($B43="","",IF($F43&lt;&gt;"Concluído","Não iniciado",IF(COUNTIF(Lançamentos!$B$3:$B$1001,$B43)=0,"Bloqueado",IF('E3 — Levantamento'!$D25="","Bloqueado",IF(COUNTIF('E3 — Levantamento'!$E25:$I25,"⛔ Bloqueado")&gt;0,"Bloqueado",IF('E3 — Levantamento'!$I25="N/A","Bloqueado",IF(COUNTIF('E3 — Levantamento'!$E25:$I25,"✔ Concluído")=5,"Concluído",IF(COUNTIF('E3 — Levantamento'!$E25:$I25,"✔ Concluído")+COUNTIF('E3 — Levantamento'!$E25:$I25,"🔄 Em andamento")&gt;0,"Em andamento","Não iniciado"))))))))</f>
        <v/>
      </c>
      <c r="H43" s="234" t="str">
        <f>IF($B43="","",IF($G43&lt;&gt;"Concluído","Não iniciado",IF(COUNTIF(Lançamentos!$B$3:$B$1001,$B43)=0,"Bloqueado",IF('E4 — Execução'!$D25="","Bloqueado",IF(COUNTIF('E4 — Execução'!$E25:$K25,"⛔ Bloqueado")&gt;0,"Bloqueado",IF(COUNTIF('E4 — Execução'!$E25:$K25,"✔ Concluído")=7,"Concluído",IF(COUNTIF('E4 — Execução'!$E25:$K25,"✔ Concluído")+COUNTIF('E4 — Execução'!$E25:$K25,"🔄 Em andamento")&gt;0,"Em andamento","Não iniciado")))))))</f>
        <v/>
      </c>
      <c r="I43" s="234" t="str">
        <f>IF($B43="","",IF($H43&lt;&gt;"Concluído","Não iniciado",IF(COUNTIF(Lançamentos!$B$3:$B$1001,$B43)=0,"Bloqueado",IF('E5 — Validação'!$D25="","Bloqueado",IF(COUNTIF('E5 — Validação'!$E25:$I25,"⛔ Bloqueado")&gt;0,"Bloqueado",IF('E5 — Validação'!$I25="N/A","Bloqueado",IF(AND('E5 — Validação'!$E25="✔ Concluído",'E5 — Validação'!$F25="✔ Concluído",OR('E5 — Validação'!$G25="✔ Concluído",'E5 — Validação'!$G25="N/A"),'E5 — Validação'!$H25="✔ Concluído",'E5 — Validação'!$I25="✔ Concluído"),"Concluído",IF(COUNTIF('E5 — Validação'!$E25:$I25,"✔ Concluído")+COUNTIF('E5 — Validação'!$E25:$I25,"🔄 Em andamento")&gt;0,"Em andamento","Não iniciado"))))))))</f>
        <v/>
      </c>
      <c r="J43" s="234" t="str">
        <f>IF($B43="","",IF($I43&lt;&gt;"Concluído","Não iniciado",IF('E6 — Ajustes'!$N25="Não","N/A",IF(COUNTIF(Lançamentos!$B$3:$B$1001,$B43)=0,"Bloqueado",IF('E6 — Ajustes'!$D25="","Bloqueado",IF(COUNTIF('E6 — Ajustes'!$E25:$J25,"⛔ Bloqueado")&gt;0,"Bloqueado",IF(AND('E6 — Ajustes'!$E25="✔ Concluído",'E6 — Ajustes'!$F25="✔ Concluído",'E6 — Ajustes'!$G25="✔ Concluído",'E6 — Ajustes'!$H25="✔ Concluído",OR('E6 — Ajustes'!$I25="✔ Concluído",'E6 — Ajustes'!$I25="N/A"),'E6 — Ajustes'!$J25="✔ Concluído"),"Concluído",IF(COUNTIF('E6 — Ajustes'!$E25:$J25,"✔ Concluído")+COUNTIF('E6 — Ajustes'!$E25:$J25,"🔄 Em andamento")&gt;0,"Em andamento","Não iniciado"))))))))</f>
        <v/>
      </c>
      <c r="K43" s="234" t="str">
        <f>IF($B43="","",IF($I43&lt;&gt;"Concluído","Não iniciado",IF(AND($J43&lt;&gt;"Concluído",$J43&lt;&gt;"N/A"),"Não iniciado",IF(COUNTIF(Lançamentos!$B$3:$B$1001,$B43)=0,"Bloqueado",IF('E7 — Entrega'!$D25="","Bloqueado",IF(COUNTIF('E7 — Entrega'!$E25:$H25,"⛔ Bloqueado")&gt;0,"Bloqueado",IF(COUNTIF('E7 — Entrega'!$E25:$H25,"✔ Concluído")=4,"Concluído",IF(COUNTIF('E7 — Entrega'!$E25:$H25,"✔ Concluído")+COUNTIF('E7 — Entrega'!$E25:$H25,"🔄 Em andamento")&gt;0,"Em andamento","Não iniciado"))))))))</f>
        <v/>
      </c>
      <c r="L43" s="234" t="str">
        <f>IF($B43="","",IF($K43&lt;&gt;"Concluído","Não iniciado",IF(OR(COUNTIF('E08 — Estabilização Hypercare'!$E25:$J25,"⛔ Bloqueado")&gt;0,'E08 — Estabilização Hypercare'!$N25="⛔ Incidente Crítico — Encerramento Bloqueado",AND('E08 — Estabilização Hypercare'!$N25="🆕 Evolução Identificada — Nova Demanda Aberta",'E08 — Estabilização Hypercare'!$U25="")),"Bloqueado",IF(AND('E08 — Estabilização Hypercare'!$E25="✔ Concluído",'E08 — Estabilização Hypercare'!$F25="✔ Concluído",'E08 — Estabilização Hypercare'!$G25="✔ Concluído",OR('E08 — Estabilização Hypercare'!$H25="✔ Concluído",'E08 — Estabilização Hypercare'!$H25="N/A"),'E08 — Estabilização Hypercare'!$I25="✔ Concluído",'E08 — Estabilização Hypercare'!$J25="✔ Concluído",OR('E08 — Estabilização Hypercare'!$N25="✅ Estável — Demanda Encerrada",AND('E08 — Estabilização Hypercare'!$N25="🆕 Evolução Identificada — Nova Demanda Aberta",'E08 — Estabilização Hypercare'!$U25&lt;&gt;""))),"Concluído",IF(OR(COUNTIF('E08 — Estabilização Hypercare'!$E25:$J25,"✔ Concluído")&gt;0,COUNTIF('E08 — Estabilização Hypercare'!$E25:$J25,"🔄 Em andamento")&gt;0,'E08 — Estabilização Hypercare'!$N25&lt;&gt;""),"Em andamento","Não iniciado")))))</f>
        <v/>
      </c>
      <c r="M43" s="236" t="str" cm="1">
        <f t="array" ref="M43">IF(B43="","",_xlfn.IFS(E43&lt;&gt;"Concluído","E1 — Solicitação",F43&lt;&gt;"Concluído","E2 — Triagem",G43&lt;&gt;"Concluído","E3 — Levantamento ⚠",H43&lt;&gt;"Concluído","E4 — Execução",I43&lt;&gt;"Concluído","E5 — Validação ⚠",AND(J43&lt;&gt;"Concluído",J43&lt;&gt;"N/A"),"E6 — Ajustes",K43&lt;&gt;"Concluído","E7 — Entrega",L43&lt;&gt;"Concluído","E08 — Estabilização / Hypercare",TRUE,"✔ Fluxo concluído"))</f>
        <v/>
      </c>
      <c r="N43" s="237" t="str">
        <f t="shared" si="0"/>
        <v/>
      </c>
      <c r="O43" s="238"/>
    </row>
    <row r="44" spans="2:15" ht="15" customHeight="1" x14ac:dyDescent="0.35">
      <c r="B44" s="234" t="str">
        <f>IF(Lançamentos!$B21="","",Lançamentos!$B21)</f>
        <v/>
      </c>
      <c r="C44" s="235" t="str">
        <f>IF($B44="","",Lançamentos!$J21)</f>
        <v/>
      </c>
      <c r="D44" s="235" t="str">
        <f>IF($B44="","",Lançamentos!$H21)</f>
        <v/>
      </c>
      <c r="E44" s="234" t="str">
        <f>IF($B44="","",IF(COUNTIF(Lançamentos!$B$3:$B$1001,$B44)=0,"Bloqueado",IF(COUNTIF('E1 — Solicitação'!$E26:$L26,"⛔ Bloqueado")&gt;0,"Bloqueado",IF(COUNTIF('E1 — Solicitação'!$E26:$L26,"N/A")=8,"Bloqueado",IF(COUNTIF('E1 — Solicitação'!$E26:$L26,"✔ Concluído")+COUNTIF('E1 — Solicitação'!$E26:$L26,"N/A")=8,"Concluído",IF(COUNTIF('E1 — Solicitação'!$E26:$L26,"✔ Concluído")+COUNTIF('E1 — Solicitação'!$E26:$L26,"🔄 Em andamento")&gt;0,"Em andamento","Não iniciado"))))))</f>
        <v/>
      </c>
      <c r="F44" s="234" t="str">
        <f>IF($B44="","",IF($E44&lt;&gt;"Concluído","Não iniciado",IF(COUNTIF(Lançamentos!$B$3:$B$1001,$B44)=0,"Bloqueado",IF('E2 — Triagem'!$D26="","Bloqueado",IF(COUNTIF('E2 — Triagem'!$E26:$L26,"N/A")=8,"Bloqueado",IF(COUNTIF('E2 — Triagem'!$E26:$L26,"⛔ Bloqueado")&gt;0,"Bloqueado",IF(COUNTIF('E2 — Triagem'!$E26:$L26,"✔ Concluído")+COUNTIF('E2 — Triagem'!$E26:$L26,"N/A")=8,"Concluído",IF(COUNTIF('E2 — Triagem'!$E26:$L26,"✔ Concluído")+COUNTIF('E2 — Triagem'!$E26:$L26,"🔄 Em andamento")&gt;0,"Em andamento","Não iniciado"))))))))</f>
        <v/>
      </c>
      <c r="G44" s="234" t="str">
        <f>IF($B44="","",IF($F44&lt;&gt;"Concluído","Não iniciado",IF(COUNTIF(Lançamentos!$B$3:$B$1001,$B44)=0,"Bloqueado",IF('E3 — Levantamento'!$D26="","Bloqueado",IF(COUNTIF('E3 — Levantamento'!$E26:$I26,"⛔ Bloqueado")&gt;0,"Bloqueado",IF('E3 — Levantamento'!$I26="N/A","Bloqueado",IF(COUNTIF('E3 — Levantamento'!$E26:$I26,"✔ Concluído")=5,"Concluído",IF(COUNTIF('E3 — Levantamento'!$E26:$I26,"✔ Concluído")+COUNTIF('E3 — Levantamento'!$E26:$I26,"🔄 Em andamento")&gt;0,"Em andamento","Não iniciado"))))))))</f>
        <v/>
      </c>
      <c r="H44" s="234" t="str">
        <f>IF($B44="","",IF($G44&lt;&gt;"Concluído","Não iniciado",IF(COUNTIF(Lançamentos!$B$3:$B$1001,$B44)=0,"Bloqueado",IF('E4 — Execução'!$D26="","Bloqueado",IF(COUNTIF('E4 — Execução'!$E26:$K26,"⛔ Bloqueado")&gt;0,"Bloqueado",IF(COUNTIF('E4 — Execução'!$E26:$K26,"✔ Concluído")=7,"Concluído",IF(COUNTIF('E4 — Execução'!$E26:$K26,"✔ Concluído")+COUNTIF('E4 — Execução'!$E26:$K26,"🔄 Em andamento")&gt;0,"Em andamento","Não iniciado")))))))</f>
        <v/>
      </c>
      <c r="I44" s="234" t="str">
        <f>IF($B44="","",IF($H44&lt;&gt;"Concluído","Não iniciado",IF(COUNTIF(Lançamentos!$B$3:$B$1001,$B44)=0,"Bloqueado",IF('E5 — Validação'!$D26="","Bloqueado",IF(COUNTIF('E5 — Validação'!$E26:$I26,"⛔ Bloqueado")&gt;0,"Bloqueado",IF('E5 — Validação'!$I26="N/A","Bloqueado",IF(AND('E5 — Validação'!$E26="✔ Concluído",'E5 — Validação'!$F26="✔ Concluído",OR('E5 — Validação'!$G26="✔ Concluído",'E5 — Validação'!$G26="N/A"),'E5 — Validação'!$H26="✔ Concluído",'E5 — Validação'!$I26="✔ Concluído"),"Concluído",IF(COUNTIF('E5 — Validação'!$E26:$I26,"✔ Concluído")+COUNTIF('E5 — Validação'!$E26:$I26,"🔄 Em andamento")&gt;0,"Em andamento","Não iniciado"))))))))</f>
        <v/>
      </c>
      <c r="J44" s="234" t="str">
        <f>IF($B44="","",IF($I44&lt;&gt;"Concluído","Não iniciado",IF('E6 — Ajustes'!$N26="Não","N/A",IF(COUNTIF(Lançamentos!$B$3:$B$1001,$B44)=0,"Bloqueado",IF('E6 — Ajustes'!$D26="","Bloqueado",IF(COUNTIF('E6 — Ajustes'!$E26:$J26,"⛔ Bloqueado")&gt;0,"Bloqueado",IF(AND('E6 — Ajustes'!$E26="✔ Concluído",'E6 — Ajustes'!$F26="✔ Concluído",'E6 — Ajustes'!$G26="✔ Concluído",'E6 — Ajustes'!$H26="✔ Concluído",OR('E6 — Ajustes'!$I26="✔ Concluído",'E6 — Ajustes'!$I26="N/A"),'E6 — Ajustes'!$J26="✔ Concluído"),"Concluído",IF(COUNTIF('E6 — Ajustes'!$E26:$J26,"✔ Concluído")+COUNTIF('E6 — Ajustes'!$E26:$J26,"🔄 Em andamento")&gt;0,"Em andamento","Não iniciado"))))))))</f>
        <v/>
      </c>
      <c r="K44" s="234" t="str">
        <f>IF($B44="","",IF($I44&lt;&gt;"Concluído","Não iniciado",IF(AND($J44&lt;&gt;"Concluído",$J44&lt;&gt;"N/A"),"Não iniciado",IF(COUNTIF(Lançamentos!$B$3:$B$1001,$B44)=0,"Bloqueado",IF('E7 — Entrega'!$D26="","Bloqueado",IF(COUNTIF('E7 — Entrega'!$E26:$H26,"⛔ Bloqueado")&gt;0,"Bloqueado",IF(COUNTIF('E7 — Entrega'!$E26:$H26,"✔ Concluído")=4,"Concluído",IF(COUNTIF('E7 — Entrega'!$E26:$H26,"✔ Concluído")+COUNTIF('E7 — Entrega'!$E26:$H26,"🔄 Em andamento")&gt;0,"Em andamento","Não iniciado"))))))))</f>
        <v/>
      </c>
      <c r="L44" s="234" t="str">
        <f>IF($B44="","",IF($K44&lt;&gt;"Concluído","Não iniciado",IF(OR(COUNTIF('E08 — Estabilização Hypercare'!$E26:$J26,"⛔ Bloqueado")&gt;0,'E08 — Estabilização Hypercare'!$N26="⛔ Incidente Crítico — Encerramento Bloqueado",AND('E08 — Estabilização Hypercare'!$N26="🆕 Evolução Identificada — Nova Demanda Aberta",'E08 — Estabilização Hypercare'!$U26="")),"Bloqueado",IF(AND('E08 — Estabilização Hypercare'!$E26="✔ Concluído",'E08 — Estabilização Hypercare'!$F26="✔ Concluído",'E08 — Estabilização Hypercare'!$G26="✔ Concluído",OR('E08 — Estabilização Hypercare'!$H26="✔ Concluído",'E08 — Estabilização Hypercare'!$H26="N/A"),'E08 — Estabilização Hypercare'!$I26="✔ Concluído",'E08 — Estabilização Hypercare'!$J26="✔ Concluído",OR('E08 — Estabilização Hypercare'!$N26="✅ Estável — Demanda Encerrada",AND('E08 — Estabilização Hypercare'!$N26="🆕 Evolução Identificada — Nova Demanda Aberta",'E08 — Estabilização Hypercare'!$U26&lt;&gt;""))),"Concluído",IF(OR(COUNTIF('E08 — Estabilização Hypercare'!$E26:$J26,"✔ Concluído")&gt;0,COUNTIF('E08 — Estabilização Hypercare'!$E26:$J26,"🔄 Em andamento")&gt;0,'E08 — Estabilização Hypercare'!$N26&lt;&gt;""),"Em andamento","Não iniciado")))))</f>
        <v/>
      </c>
      <c r="M44" s="236" t="str" cm="1">
        <f t="array" ref="M44">IF(B44="","",_xlfn.IFS(E44&lt;&gt;"Concluído","E1 — Solicitação",F44&lt;&gt;"Concluído","E2 — Triagem",G44&lt;&gt;"Concluído","E3 — Levantamento ⚠",H44&lt;&gt;"Concluído","E4 — Execução",I44&lt;&gt;"Concluído","E5 — Validação ⚠",AND(J44&lt;&gt;"Concluído",J44&lt;&gt;"N/A"),"E6 — Ajustes",K44&lt;&gt;"Concluído","E7 — Entrega",L44&lt;&gt;"Concluído","E08 — Estabilização / Hypercare",TRUE,"✔ Fluxo concluído"))</f>
        <v/>
      </c>
      <c r="N44" s="237" t="str">
        <f t="shared" si="0"/>
        <v/>
      </c>
      <c r="O44" s="238"/>
    </row>
    <row r="45" spans="2:15" ht="15" customHeight="1" x14ac:dyDescent="0.35">
      <c r="B45" s="234" t="str">
        <f>IF(Lançamentos!$B22="","",Lançamentos!$B22)</f>
        <v/>
      </c>
      <c r="C45" s="235" t="str">
        <f>IF($B45="","",Lançamentos!$J22)</f>
        <v/>
      </c>
      <c r="D45" s="235" t="str">
        <f>IF($B45="","",Lançamentos!$H22)</f>
        <v/>
      </c>
      <c r="E45" s="234" t="str">
        <f>IF($B45="","",IF(COUNTIF(Lançamentos!$B$3:$B$1001,$B45)=0,"Bloqueado",IF(COUNTIF('E1 — Solicitação'!$E27:$L27,"⛔ Bloqueado")&gt;0,"Bloqueado",IF(COUNTIF('E1 — Solicitação'!$E27:$L27,"N/A")=8,"Bloqueado",IF(COUNTIF('E1 — Solicitação'!$E27:$L27,"✔ Concluído")+COUNTIF('E1 — Solicitação'!$E27:$L27,"N/A")=8,"Concluído",IF(COUNTIF('E1 — Solicitação'!$E27:$L27,"✔ Concluído")+COUNTIF('E1 — Solicitação'!$E27:$L27,"🔄 Em andamento")&gt;0,"Em andamento","Não iniciado"))))))</f>
        <v/>
      </c>
      <c r="F45" s="234" t="str">
        <f>IF($B45="","",IF($E45&lt;&gt;"Concluído","Não iniciado",IF(COUNTIF(Lançamentos!$B$3:$B$1001,$B45)=0,"Bloqueado",IF('E2 — Triagem'!$D27="","Bloqueado",IF(COUNTIF('E2 — Triagem'!$E27:$L27,"N/A")=8,"Bloqueado",IF(COUNTIF('E2 — Triagem'!$E27:$L27,"⛔ Bloqueado")&gt;0,"Bloqueado",IF(COUNTIF('E2 — Triagem'!$E27:$L27,"✔ Concluído")+COUNTIF('E2 — Triagem'!$E27:$L27,"N/A")=8,"Concluído",IF(COUNTIF('E2 — Triagem'!$E27:$L27,"✔ Concluído")+COUNTIF('E2 — Triagem'!$E27:$L27,"🔄 Em andamento")&gt;0,"Em andamento","Não iniciado"))))))))</f>
        <v/>
      </c>
      <c r="G45" s="234" t="str">
        <f>IF($B45="","",IF($F45&lt;&gt;"Concluído","Não iniciado",IF(COUNTIF(Lançamentos!$B$3:$B$1001,$B45)=0,"Bloqueado",IF('E3 — Levantamento'!$D27="","Bloqueado",IF(COUNTIF('E3 — Levantamento'!$E27:$I27,"⛔ Bloqueado")&gt;0,"Bloqueado",IF('E3 — Levantamento'!$I27="N/A","Bloqueado",IF(COUNTIF('E3 — Levantamento'!$E27:$I27,"✔ Concluído")=5,"Concluído",IF(COUNTIF('E3 — Levantamento'!$E27:$I27,"✔ Concluído")+COUNTIF('E3 — Levantamento'!$E27:$I27,"🔄 Em andamento")&gt;0,"Em andamento","Não iniciado"))))))))</f>
        <v/>
      </c>
      <c r="H45" s="234" t="str">
        <f>IF($B45="","",IF($G45&lt;&gt;"Concluído","Não iniciado",IF(COUNTIF(Lançamentos!$B$3:$B$1001,$B45)=0,"Bloqueado",IF('E4 — Execução'!$D27="","Bloqueado",IF(COUNTIF('E4 — Execução'!$E27:$K27,"⛔ Bloqueado")&gt;0,"Bloqueado",IF(COUNTIF('E4 — Execução'!$E27:$K27,"✔ Concluído")=7,"Concluído",IF(COUNTIF('E4 — Execução'!$E27:$K27,"✔ Concluído")+COUNTIF('E4 — Execução'!$E27:$K27,"🔄 Em andamento")&gt;0,"Em andamento","Não iniciado")))))))</f>
        <v/>
      </c>
      <c r="I45" s="234" t="str">
        <f>IF($B45="","",IF($H45&lt;&gt;"Concluído","Não iniciado",IF(COUNTIF(Lançamentos!$B$3:$B$1001,$B45)=0,"Bloqueado",IF('E5 — Validação'!$D27="","Bloqueado",IF(COUNTIF('E5 — Validação'!$E27:$I27,"⛔ Bloqueado")&gt;0,"Bloqueado",IF('E5 — Validação'!$I27="N/A","Bloqueado",IF(AND('E5 — Validação'!$E27="✔ Concluído",'E5 — Validação'!$F27="✔ Concluído",OR('E5 — Validação'!$G27="✔ Concluído",'E5 — Validação'!$G27="N/A"),'E5 — Validação'!$H27="✔ Concluído",'E5 — Validação'!$I27="✔ Concluído"),"Concluído",IF(COUNTIF('E5 — Validação'!$E27:$I27,"✔ Concluído")+COUNTIF('E5 — Validação'!$E27:$I27,"🔄 Em andamento")&gt;0,"Em andamento","Não iniciado"))))))))</f>
        <v/>
      </c>
      <c r="J45" s="234" t="str">
        <f>IF($B45="","",IF($I45&lt;&gt;"Concluído","Não iniciado",IF('E6 — Ajustes'!$N27="Não","N/A",IF(COUNTIF(Lançamentos!$B$3:$B$1001,$B45)=0,"Bloqueado",IF('E6 — Ajustes'!$D27="","Bloqueado",IF(COUNTIF('E6 — Ajustes'!$E27:$J27,"⛔ Bloqueado")&gt;0,"Bloqueado",IF(AND('E6 — Ajustes'!$E27="✔ Concluído",'E6 — Ajustes'!$F27="✔ Concluído",'E6 — Ajustes'!$G27="✔ Concluído",'E6 — Ajustes'!$H27="✔ Concluído",OR('E6 — Ajustes'!$I27="✔ Concluído",'E6 — Ajustes'!$I27="N/A"),'E6 — Ajustes'!$J27="✔ Concluído"),"Concluído",IF(COUNTIF('E6 — Ajustes'!$E27:$J27,"✔ Concluído")+COUNTIF('E6 — Ajustes'!$E27:$J27,"🔄 Em andamento")&gt;0,"Em andamento","Não iniciado"))))))))</f>
        <v/>
      </c>
      <c r="K45" s="234" t="str">
        <f>IF($B45="","",IF($I45&lt;&gt;"Concluído","Não iniciado",IF(AND($J45&lt;&gt;"Concluído",$J45&lt;&gt;"N/A"),"Não iniciado",IF(COUNTIF(Lançamentos!$B$3:$B$1001,$B45)=0,"Bloqueado",IF('E7 — Entrega'!$D27="","Bloqueado",IF(COUNTIF('E7 — Entrega'!$E27:$H27,"⛔ Bloqueado")&gt;0,"Bloqueado",IF(COUNTIF('E7 — Entrega'!$E27:$H27,"✔ Concluído")=4,"Concluído",IF(COUNTIF('E7 — Entrega'!$E27:$H27,"✔ Concluído")+COUNTIF('E7 — Entrega'!$E27:$H27,"🔄 Em andamento")&gt;0,"Em andamento","Não iniciado"))))))))</f>
        <v/>
      </c>
      <c r="L45" s="234" t="str">
        <f>IF($B45="","",IF($K45&lt;&gt;"Concluído","Não iniciado",IF(OR(COUNTIF('E08 — Estabilização Hypercare'!$E27:$J27,"⛔ Bloqueado")&gt;0,'E08 — Estabilização Hypercare'!$N27="⛔ Incidente Crítico — Encerramento Bloqueado",AND('E08 — Estabilização Hypercare'!$N27="🆕 Evolução Identificada — Nova Demanda Aberta",'E08 — Estabilização Hypercare'!$U27="")),"Bloqueado",IF(AND('E08 — Estabilização Hypercare'!$E27="✔ Concluído",'E08 — Estabilização Hypercare'!$F27="✔ Concluído",'E08 — Estabilização Hypercare'!$G27="✔ Concluído",OR('E08 — Estabilização Hypercare'!$H27="✔ Concluído",'E08 — Estabilização Hypercare'!$H27="N/A"),'E08 — Estabilização Hypercare'!$I27="✔ Concluído",'E08 — Estabilização Hypercare'!$J27="✔ Concluído",OR('E08 — Estabilização Hypercare'!$N27="✅ Estável — Demanda Encerrada",AND('E08 — Estabilização Hypercare'!$N27="🆕 Evolução Identificada — Nova Demanda Aberta",'E08 — Estabilização Hypercare'!$U27&lt;&gt;""))),"Concluído",IF(OR(COUNTIF('E08 — Estabilização Hypercare'!$E27:$J27,"✔ Concluído")&gt;0,COUNTIF('E08 — Estabilização Hypercare'!$E27:$J27,"🔄 Em andamento")&gt;0,'E08 — Estabilização Hypercare'!$N27&lt;&gt;""),"Em andamento","Não iniciado")))))</f>
        <v/>
      </c>
      <c r="M45" s="236" t="str" cm="1">
        <f t="array" ref="M45">IF(B45="","",_xlfn.IFS(E45&lt;&gt;"Concluído","E1 — Solicitação",F45&lt;&gt;"Concluído","E2 — Triagem",G45&lt;&gt;"Concluído","E3 — Levantamento ⚠",H45&lt;&gt;"Concluído","E4 — Execução",I45&lt;&gt;"Concluído","E5 — Validação ⚠",AND(J45&lt;&gt;"Concluído",J45&lt;&gt;"N/A"),"E6 — Ajustes",K45&lt;&gt;"Concluído","E7 — Entrega",L45&lt;&gt;"Concluído","E08 — Estabilização / Hypercare",TRUE,"✔ Fluxo concluído"))</f>
        <v/>
      </c>
      <c r="N45" s="237" t="str">
        <f t="shared" si="0"/>
        <v/>
      </c>
      <c r="O45" s="238"/>
    </row>
    <row r="46" spans="2:15" ht="15" customHeight="1" x14ac:dyDescent="0.35">
      <c r="B46" s="234" t="str">
        <f>IF(Lançamentos!$B23="","",Lançamentos!$B23)</f>
        <v/>
      </c>
      <c r="C46" s="235" t="str">
        <f>IF($B46="","",Lançamentos!$J23)</f>
        <v/>
      </c>
      <c r="D46" s="235" t="str">
        <f>IF($B46="","",Lançamentos!$H23)</f>
        <v/>
      </c>
      <c r="E46" s="234" t="str">
        <f>IF($B46="","",IF(COUNTIF(Lançamentos!$B$3:$B$1001,$B46)=0,"Bloqueado",IF(COUNTIF('E1 — Solicitação'!$E28:$L28,"⛔ Bloqueado")&gt;0,"Bloqueado",IF(COUNTIF('E1 — Solicitação'!$E28:$L28,"N/A")=8,"Bloqueado",IF(COUNTIF('E1 — Solicitação'!$E28:$L28,"✔ Concluído")+COUNTIF('E1 — Solicitação'!$E28:$L28,"N/A")=8,"Concluído",IF(COUNTIF('E1 — Solicitação'!$E28:$L28,"✔ Concluído")+COUNTIF('E1 — Solicitação'!$E28:$L28,"🔄 Em andamento")&gt;0,"Em andamento","Não iniciado"))))))</f>
        <v/>
      </c>
      <c r="F46" s="234" t="str">
        <f>IF($B46="","",IF($E46&lt;&gt;"Concluído","Não iniciado",IF(COUNTIF(Lançamentos!$B$3:$B$1001,$B46)=0,"Bloqueado",IF('E2 — Triagem'!$D28="","Bloqueado",IF(COUNTIF('E2 — Triagem'!$E28:$L28,"N/A")=8,"Bloqueado",IF(COUNTIF('E2 — Triagem'!$E28:$L28,"⛔ Bloqueado")&gt;0,"Bloqueado",IF(COUNTIF('E2 — Triagem'!$E28:$L28,"✔ Concluído")+COUNTIF('E2 — Triagem'!$E28:$L28,"N/A")=8,"Concluído",IF(COUNTIF('E2 — Triagem'!$E28:$L28,"✔ Concluído")+COUNTIF('E2 — Triagem'!$E28:$L28,"🔄 Em andamento")&gt;0,"Em andamento","Não iniciado"))))))))</f>
        <v/>
      </c>
      <c r="G46" s="234" t="str">
        <f>IF($B46="","",IF($F46&lt;&gt;"Concluído","Não iniciado",IF(COUNTIF(Lançamentos!$B$3:$B$1001,$B46)=0,"Bloqueado",IF('E3 — Levantamento'!$D28="","Bloqueado",IF(COUNTIF('E3 — Levantamento'!$E28:$I28,"⛔ Bloqueado")&gt;0,"Bloqueado",IF('E3 — Levantamento'!$I28="N/A","Bloqueado",IF(COUNTIF('E3 — Levantamento'!$E28:$I28,"✔ Concluído")=5,"Concluído",IF(COUNTIF('E3 — Levantamento'!$E28:$I28,"✔ Concluído")+COUNTIF('E3 — Levantamento'!$E28:$I28,"🔄 Em andamento")&gt;0,"Em andamento","Não iniciado"))))))))</f>
        <v/>
      </c>
      <c r="H46" s="234" t="str">
        <f>IF($B46="","",IF($G46&lt;&gt;"Concluído","Não iniciado",IF(COUNTIF(Lançamentos!$B$3:$B$1001,$B46)=0,"Bloqueado",IF('E4 — Execução'!$D28="","Bloqueado",IF(COUNTIF('E4 — Execução'!$E28:$K28,"⛔ Bloqueado")&gt;0,"Bloqueado",IF(COUNTIF('E4 — Execução'!$E28:$K28,"✔ Concluído")=7,"Concluído",IF(COUNTIF('E4 — Execução'!$E28:$K28,"✔ Concluído")+COUNTIF('E4 — Execução'!$E28:$K28,"🔄 Em andamento")&gt;0,"Em andamento","Não iniciado")))))))</f>
        <v/>
      </c>
      <c r="I46" s="234" t="str">
        <f>IF($B46="","",IF($H46&lt;&gt;"Concluído","Não iniciado",IF(COUNTIF(Lançamentos!$B$3:$B$1001,$B46)=0,"Bloqueado",IF('E5 — Validação'!$D28="","Bloqueado",IF(COUNTIF('E5 — Validação'!$E28:$I28,"⛔ Bloqueado")&gt;0,"Bloqueado",IF('E5 — Validação'!$I28="N/A","Bloqueado",IF(AND('E5 — Validação'!$E28="✔ Concluído",'E5 — Validação'!$F28="✔ Concluído",OR('E5 — Validação'!$G28="✔ Concluído",'E5 — Validação'!$G28="N/A"),'E5 — Validação'!$H28="✔ Concluído",'E5 — Validação'!$I28="✔ Concluído"),"Concluído",IF(COUNTIF('E5 — Validação'!$E28:$I28,"✔ Concluído")+COUNTIF('E5 — Validação'!$E28:$I28,"🔄 Em andamento")&gt;0,"Em andamento","Não iniciado"))))))))</f>
        <v/>
      </c>
      <c r="J46" s="234" t="str">
        <f>IF($B46="","",IF($I46&lt;&gt;"Concluído","Não iniciado",IF('E6 — Ajustes'!$N28="Não","N/A",IF(COUNTIF(Lançamentos!$B$3:$B$1001,$B46)=0,"Bloqueado",IF('E6 — Ajustes'!$D28="","Bloqueado",IF(COUNTIF('E6 — Ajustes'!$E28:$J28,"⛔ Bloqueado")&gt;0,"Bloqueado",IF(AND('E6 — Ajustes'!$E28="✔ Concluído",'E6 — Ajustes'!$F28="✔ Concluído",'E6 — Ajustes'!$G28="✔ Concluído",'E6 — Ajustes'!$H28="✔ Concluído",OR('E6 — Ajustes'!$I28="✔ Concluído",'E6 — Ajustes'!$I28="N/A"),'E6 — Ajustes'!$J28="✔ Concluído"),"Concluído",IF(COUNTIF('E6 — Ajustes'!$E28:$J28,"✔ Concluído")+COUNTIF('E6 — Ajustes'!$E28:$J28,"🔄 Em andamento")&gt;0,"Em andamento","Não iniciado"))))))))</f>
        <v/>
      </c>
      <c r="K46" s="234" t="str">
        <f>IF($B46="","",IF($I46&lt;&gt;"Concluído","Não iniciado",IF(AND($J46&lt;&gt;"Concluído",$J46&lt;&gt;"N/A"),"Não iniciado",IF(COUNTIF(Lançamentos!$B$3:$B$1001,$B46)=0,"Bloqueado",IF('E7 — Entrega'!$D28="","Bloqueado",IF(COUNTIF('E7 — Entrega'!$E28:$H28,"⛔ Bloqueado")&gt;0,"Bloqueado",IF(COUNTIF('E7 — Entrega'!$E28:$H28,"✔ Concluído")=4,"Concluído",IF(COUNTIF('E7 — Entrega'!$E28:$H28,"✔ Concluído")+COUNTIF('E7 — Entrega'!$E28:$H28,"🔄 Em andamento")&gt;0,"Em andamento","Não iniciado"))))))))</f>
        <v/>
      </c>
      <c r="L46" s="234" t="str">
        <f>IF($B46="","",IF($K46&lt;&gt;"Concluído","Não iniciado",IF(OR(COUNTIF('E08 — Estabilização Hypercare'!$E28:$J28,"⛔ Bloqueado")&gt;0,'E08 — Estabilização Hypercare'!$N28="⛔ Incidente Crítico — Encerramento Bloqueado",AND('E08 — Estabilização Hypercare'!$N28="🆕 Evolução Identificada — Nova Demanda Aberta",'E08 — Estabilização Hypercare'!$U28="")),"Bloqueado",IF(AND('E08 — Estabilização Hypercare'!$E28="✔ Concluído",'E08 — Estabilização Hypercare'!$F28="✔ Concluído",'E08 — Estabilização Hypercare'!$G28="✔ Concluído",OR('E08 — Estabilização Hypercare'!$H28="✔ Concluído",'E08 — Estabilização Hypercare'!$H28="N/A"),'E08 — Estabilização Hypercare'!$I28="✔ Concluído",'E08 — Estabilização Hypercare'!$J28="✔ Concluído",OR('E08 — Estabilização Hypercare'!$N28="✅ Estável — Demanda Encerrada",AND('E08 — Estabilização Hypercare'!$N28="🆕 Evolução Identificada — Nova Demanda Aberta",'E08 — Estabilização Hypercare'!$U28&lt;&gt;""))),"Concluído",IF(OR(COUNTIF('E08 — Estabilização Hypercare'!$E28:$J28,"✔ Concluído")&gt;0,COUNTIF('E08 — Estabilização Hypercare'!$E28:$J28,"🔄 Em andamento")&gt;0,'E08 — Estabilização Hypercare'!$N28&lt;&gt;""),"Em andamento","Não iniciado")))))</f>
        <v/>
      </c>
      <c r="M46" s="236" t="str" cm="1">
        <f t="array" ref="M46">IF(B46="","",_xlfn.IFS(E46&lt;&gt;"Concluído","E1 — Solicitação",F46&lt;&gt;"Concluído","E2 — Triagem",G46&lt;&gt;"Concluído","E3 — Levantamento ⚠",H46&lt;&gt;"Concluído","E4 — Execução",I46&lt;&gt;"Concluído","E5 — Validação ⚠",AND(J46&lt;&gt;"Concluído",J46&lt;&gt;"N/A"),"E6 — Ajustes",K46&lt;&gt;"Concluído","E7 — Entrega",L46&lt;&gt;"Concluído","E08 — Estabilização / Hypercare",TRUE,"✔ Fluxo concluído"))</f>
        <v/>
      </c>
      <c r="N46" s="237" t="str">
        <f t="shared" si="0"/>
        <v/>
      </c>
      <c r="O46" s="238"/>
    </row>
    <row r="47" spans="2:15" ht="15" customHeight="1" x14ac:dyDescent="0.35">
      <c r="B47" s="234" t="str">
        <f>IF(Lançamentos!$B24="","",Lançamentos!$B24)</f>
        <v/>
      </c>
      <c r="C47" s="235" t="str">
        <f>IF($B47="","",Lançamentos!$J24)</f>
        <v/>
      </c>
      <c r="D47" s="235" t="str">
        <f>IF($B47="","",Lançamentos!$H24)</f>
        <v/>
      </c>
      <c r="E47" s="234" t="str">
        <f>IF($B47="","",IF(COUNTIF(Lançamentos!$B$3:$B$1001,$B47)=0,"Bloqueado",IF(COUNTIF('E1 — Solicitação'!$E29:$L29,"⛔ Bloqueado")&gt;0,"Bloqueado",IF(COUNTIF('E1 — Solicitação'!$E29:$L29,"N/A")=8,"Bloqueado",IF(COUNTIF('E1 — Solicitação'!$E29:$L29,"✔ Concluído")+COUNTIF('E1 — Solicitação'!$E29:$L29,"N/A")=8,"Concluído",IF(COUNTIF('E1 — Solicitação'!$E29:$L29,"✔ Concluído")+COUNTIF('E1 — Solicitação'!$E29:$L29,"🔄 Em andamento")&gt;0,"Em andamento","Não iniciado"))))))</f>
        <v/>
      </c>
      <c r="F47" s="234" t="str">
        <f>IF($B47="","",IF($E47&lt;&gt;"Concluído","Não iniciado",IF(COUNTIF(Lançamentos!$B$3:$B$1001,$B47)=0,"Bloqueado",IF('E2 — Triagem'!$D29="","Bloqueado",IF(COUNTIF('E2 — Triagem'!$E29:$L29,"N/A")=8,"Bloqueado",IF(COUNTIF('E2 — Triagem'!$E29:$L29,"⛔ Bloqueado")&gt;0,"Bloqueado",IF(COUNTIF('E2 — Triagem'!$E29:$L29,"✔ Concluído")+COUNTIF('E2 — Triagem'!$E29:$L29,"N/A")=8,"Concluído",IF(COUNTIF('E2 — Triagem'!$E29:$L29,"✔ Concluído")+COUNTIF('E2 — Triagem'!$E29:$L29,"🔄 Em andamento")&gt;0,"Em andamento","Não iniciado"))))))))</f>
        <v/>
      </c>
      <c r="G47" s="234" t="str">
        <f>IF($B47="","",IF($F47&lt;&gt;"Concluído","Não iniciado",IF(COUNTIF(Lançamentos!$B$3:$B$1001,$B47)=0,"Bloqueado",IF('E3 — Levantamento'!$D29="","Bloqueado",IF(COUNTIF('E3 — Levantamento'!$E29:$I29,"⛔ Bloqueado")&gt;0,"Bloqueado",IF('E3 — Levantamento'!$I29="N/A","Bloqueado",IF(COUNTIF('E3 — Levantamento'!$E29:$I29,"✔ Concluído")=5,"Concluído",IF(COUNTIF('E3 — Levantamento'!$E29:$I29,"✔ Concluído")+COUNTIF('E3 — Levantamento'!$E29:$I29,"🔄 Em andamento")&gt;0,"Em andamento","Não iniciado"))))))))</f>
        <v/>
      </c>
      <c r="H47" s="234" t="str">
        <f>IF($B47="","",IF($G47&lt;&gt;"Concluído","Não iniciado",IF(COUNTIF(Lançamentos!$B$3:$B$1001,$B47)=0,"Bloqueado",IF('E4 — Execução'!$D29="","Bloqueado",IF(COUNTIF('E4 — Execução'!$E29:$K29,"⛔ Bloqueado")&gt;0,"Bloqueado",IF(COUNTIF('E4 — Execução'!$E29:$K29,"✔ Concluído")=7,"Concluído",IF(COUNTIF('E4 — Execução'!$E29:$K29,"✔ Concluído")+COUNTIF('E4 — Execução'!$E29:$K29,"🔄 Em andamento")&gt;0,"Em andamento","Não iniciado")))))))</f>
        <v/>
      </c>
      <c r="I47" s="234" t="str">
        <f>IF($B47="","",IF($H47&lt;&gt;"Concluído","Não iniciado",IF(COUNTIF(Lançamentos!$B$3:$B$1001,$B47)=0,"Bloqueado",IF('E5 — Validação'!$D29="","Bloqueado",IF(COUNTIF('E5 — Validação'!$E29:$I29,"⛔ Bloqueado")&gt;0,"Bloqueado",IF('E5 — Validação'!$I29="N/A","Bloqueado",IF(AND('E5 — Validação'!$E29="✔ Concluído",'E5 — Validação'!$F29="✔ Concluído",OR('E5 — Validação'!$G29="✔ Concluído",'E5 — Validação'!$G29="N/A"),'E5 — Validação'!$H29="✔ Concluído",'E5 — Validação'!$I29="✔ Concluído"),"Concluído",IF(COUNTIF('E5 — Validação'!$E29:$I29,"✔ Concluído")+COUNTIF('E5 — Validação'!$E29:$I29,"🔄 Em andamento")&gt;0,"Em andamento","Não iniciado"))))))))</f>
        <v/>
      </c>
      <c r="J47" s="234" t="str">
        <f>IF($B47="","",IF($I47&lt;&gt;"Concluído","Não iniciado",IF('E6 — Ajustes'!$N29="Não","N/A",IF(COUNTIF(Lançamentos!$B$3:$B$1001,$B47)=0,"Bloqueado",IF('E6 — Ajustes'!$D29="","Bloqueado",IF(COUNTIF('E6 — Ajustes'!$E29:$J29,"⛔ Bloqueado")&gt;0,"Bloqueado",IF(AND('E6 — Ajustes'!$E29="✔ Concluído",'E6 — Ajustes'!$F29="✔ Concluído",'E6 — Ajustes'!$G29="✔ Concluído",'E6 — Ajustes'!$H29="✔ Concluído",OR('E6 — Ajustes'!$I29="✔ Concluído",'E6 — Ajustes'!$I29="N/A"),'E6 — Ajustes'!$J29="✔ Concluído"),"Concluído",IF(COUNTIF('E6 — Ajustes'!$E29:$J29,"✔ Concluído")+COUNTIF('E6 — Ajustes'!$E29:$J29,"🔄 Em andamento")&gt;0,"Em andamento","Não iniciado"))))))))</f>
        <v/>
      </c>
      <c r="K47" s="234" t="str">
        <f>IF($B47="","",IF($I47&lt;&gt;"Concluído","Não iniciado",IF(AND($J47&lt;&gt;"Concluído",$J47&lt;&gt;"N/A"),"Não iniciado",IF(COUNTIF(Lançamentos!$B$3:$B$1001,$B47)=0,"Bloqueado",IF('E7 — Entrega'!$D29="","Bloqueado",IF(COUNTIF('E7 — Entrega'!$E29:$H29,"⛔ Bloqueado")&gt;0,"Bloqueado",IF(COUNTIF('E7 — Entrega'!$E29:$H29,"✔ Concluído")=4,"Concluído",IF(COUNTIF('E7 — Entrega'!$E29:$H29,"✔ Concluído")+COUNTIF('E7 — Entrega'!$E29:$H29,"🔄 Em andamento")&gt;0,"Em andamento","Não iniciado"))))))))</f>
        <v/>
      </c>
      <c r="L47" s="234" t="str">
        <f>IF($B47="","",IF($K47&lt;&gt;"Concluído","Não iniciado",IF(OR(COUNTIF('E08 — Estabilização Hypercare'!$E29:$J29,"⛔ Bloqueado")&gt;0,'E08 — Estabilização Hypercare'!$N29="⛔ Incidente Crítico — Encerramento Bloqueado",AND('E08 — Estabilização Hypercare'!$N29="🆕 Evolução Identificada — Nova Demanda Aberta",'E08 — Estabilização Hypercare'!$U29="")),"Bloqueado",IF(AND('E08 — Estabilização Hypercare'!$E29="✔ Concluído",'E08 — Estabilização Hypercare'!$F29="✔ Concluído",'E08 — Estabilização Hypercare'!$G29="✔ Concluído",OR('E08 — Estabilização Hypercare'!$H29="✔ Concluído",'E08 — Estabilização Hypercare'!$H29="N/A"),'E08 — Estabilização Hypercare'!$I29="✔ Concluído",'E08 — Estabilização Hypercare'!$J29="✔ Concluído",OR('E08 — Estabilização Hypercare'!$N29="✅ Estável — Demanda Encerrada",AND('E08 — Estabilização Hypercare'!$N29="🆕 Evolução Identificada — Nova Demanda Aberta",'E08 — Estabilização Hypercare'!$U29&lt;&gt;""))),"Concluído",IF(OR(COUNTIF('E08 — Estabilização Hypercare'!$E29:$J29,"✔ Concluído")&gt;0,COUNTIF('E08 — Estabilização Hypercare'!$E29:$J29,"🔄 Em andamento")&gt;0,'E08 — Estabilização Hypercare'!$N29&lt;&gt;""),"Em andamento","Não iniciado")))))</f>
        <v/>
      </c>
      <c r="M47" s="236" t="str" cm="1">
        <f t="array" ref="M47">IF(B47="","",_xlfn.IFS(E47&lt;&gt;"Concluído","E1 — Solicitação",F47&lt;&gt;"Concluído","E2 — Triagem",G47&lt;&gt;"Concluído","E3 — Levantamento ⚠",H47&lt;&gt;"Concluído","E4 — Execução",I47&lt;&gt;"Concluído","E5 — Validação ⚠",AND(J47&lt;&gt;"Concluído",J47&lt;&gt;"N/A"),"E6 — Ajustes",K47&lt;&gt;"Concluído","E7 — Entrega",L47&lt;&gt;"Concluído","E08 — Estabilização / Hypercare",TRUE,"✔ Fluxo concluído"))</f>
        <v/>
      </c>
      <c r="N47" s="237" t="str">
        <f t="shared" si="0"/>
        <v/>
      </c>
      <c r="O47" s="238"/>
    </row>
    <row r="48" spans="2:15" ht="15" customHeight="1" x14ac:dyDescent="0.35">
      <c r="B48" s="234" t="str">
        <f>IF(Lançamentos!$B25="","",Lançamentos!$B25)</f>
        <v/>
      </c>
      <c r="C48" s="235" t="str">
        <f>IF($B48="","",Lançamentos!$J25)</f>
        <v/>
      </c>
      <c r="D48" s="235" t="str">
        <f>IF($B48="","",Lançamentos!$H25)</f>
        <v/>
      </c>
      <c r="E48" s="234" t="str">
        <f>IF($B48="","",IF(COUNTIF(Lançamentos!$B$3:$B$1001,$B48)=0,"Bloqueado",IF(COUNTIF('E1 — Solicitação'!$E30:$L30,"⛔ Bloqueado")&gt;0,"Bloqueado",IF(COUNTIF('E1 — Solicitação'!$E30:$L30,"N/A")=8,"Bloqueado",IF(COUNTIF('E1 — Solicitação'!$E30:$L30,"✔ Concluído")+COUNTIF('E1 — Solicitação'!$E30:$L30,"N/A")=8,"Concluído",IF(COUNTIF('E1 — Solicitação'!$E30:$L30,"✔ Concluído")+COUNTIF('E1 — Solicitação'!$E30:$L30,"🔄 Em andamento")&gt;0,"Em andamento","Não iniciado"))))))</f>
        <v/>
      </c>
      <c r="F48" s="234" t="str">
        <f>IF($B48="","",IF($E48&lt;&gt;"Concluído","Não iniciado",IF(COUNTIF(Lançamentos!$B$3:$B$1001,$B48)=0,"Bloqueado",IF('E2 — Triagem'!$D30="","Bloqueado",IF(COUNTIF('E2 — Triagem'!$E30:$L30,"N/A")=8,"Bloqueado",IF(COUNTIF('E2 — Triagem'!$E30:$L30,"⛔ Bloqueado")&gt;0,"Bloqueado",IF(COUNTIF('E2 — Triagem'!$E30:$L30,"✔ Concluído")+COUNTIF('E2 — Triagem'!$E30:$L30,"N/A")=8,"Concluído",IF(COUNTIF('E2 — Triagem'!$E30:$L30,"✔ Concluído")+COUNTIF('E2 — Triagem'!$E30:$L30,"🔄 Em andamento")&gt;0,"Em andamento","Não iniciado"))))))))</f>
        <v/>
      </c>
      <c r="G48" s="234" t="str">
        <f>IF($B48="","",IF($F48&lt;&gt;"Concluído","Não iniciado",IF(COUNTIF(Lançamentos!$B$3:$B$1001,$B48)=0,"Bloqueado",IF('E3 — Levantamento'!$D30="","Bloqueado",IF(COUNTIF('E3 — Levantamento'!$E30:$I30,"⛔ Bloqueado")&gt;0,"Bloqueado",IF('E3 — Levantamento'!$I30="N/A","Bloqueado",IF(COUNTIF('E3 — Levantamento'!$E30:$I30,"✔ Concluído")=5,"Concluído",IF(COUNTIF('E3 — Levantamento'!$E30:$I30,"✔ Concluído")+COUNTIF('E3 — Levantamento'!$E30:$I30,"🔄 Em andamento")&gt;0,"Em andamento","Não iniciado"))))))))</f>
        <v/>
      </c>
      <c r="H48" s="234" t="str">
        <f>IF($B48="","",IF($G48&lt;&gt;"Concluído","Não iniciado",IF(COUNTIF(Lançamentos!$B$3:$B$1001,$B48)=0,"Bloqueado",IF('E4 — Execução'!$D30="","Bloqueado",IF(COUNTIF('E4 — Execução'!$E30:$K30,"⛔ Bloqueado")&gt;0,"Bloqueado",IF(COUNTIF('E4 — Execução'!$E30:$K30,"✔ Concluído")=7,"Concluído",IF(COUNTIF('E4 — Execução'!$E30:$K30,"✔ Concluído")+COUNTIF('E4 — Execução'!$E30:$K30,"🔄 Em andamento")&gt;0,"Em andamento","Não iniciado")))))))</f>
        <v/>
      </c>
      <c r="I48" s="234" t="str">
        <f>IF($B48="","",IF($H48&lt;&gt;"Concluído","Não iniciado",IF(COUNTIF(Lançamentos!$B$3:$B$1001,$B48)=0,"Bloqueado",IF('E5 — Validação'!$D30="","Bloqueado",IF(COUNTIF('E5 — Validação'!$E30:$I30,"⛔ Bloqueado")&gt;0,"Bloqueado",IF('E5 — Validação'!$I30="N/A","Bloqueado",IF(AND('E5 — Validação'!$E30="✔ Concluído",'E5 — Validação'!$F30="✔ Concluído",OR('E5 — Validação'!$G30="✔ Concluído",'E5 — Validação'!$G30="N/A"),'E5 — Validação'!$H30="✔ Concluído",'E5 — Validação'!$I30="✔ Concluído"),"Concluído",IF(COUNTIF('E5 — Validação'!$E30:$I30,"✔ Concluído")+COUNTIF('E5 — Validação'!$E30:$I30,"🔄 Em andamento")&gt;0,"Em andamento","Não iniciado"))))))))</f>
        <v/>
      </c>
      <c r="J48" s="234" t="str">
        <f>IF($B48="","",IF($I48&lt;&gt;"Concluído","Não iniciado",IF('E6 — Ajustes'!$N30="Não","N/A",IF(COUNTIF(Lançamentos!$B$3:$B$1001,$B48)=0,"Bloqueado",IF('E6 — Ajustes'!$D30="","Bloqueado",IF(COUNTIF('E6 — Ajustes'!$E30:$J30,"⛔ Bloqueado")&gt;0,"Bloqueado",IF(AND('E6 — Ajustes'!$E30="✔ Concluído",'E6 — Ajustes'!$F30="✔ Concluído",'E6 — Ajustes'!$G30="✔ Concluído",'E6 — Ajustes'!$H30="✔ Concluído",OR('E6 — Ajustes'!$I30="✔ Concluído",'E6 — Ajustes'!$I30="N/A"),'E6 — Ajustes'!$J30="✔ Concluído"),"Concluído",IF(COUNTIF('E6 — Ajustes'!$E30:$J30,"✔ Concluído")+COUNTIF('E6 — Ajustes'!$E30:$J30,"🔄 Em andamento")&gt;0,"Em andamento","Não iniciado"))))))))</f>
        <v/>
      </c>
      <c r="K48" s="234" t="str">
        <f>IF($B48="","",IF($I48&lt;&gt;"Concluído","Não iniciado",IF(AND($J48&lt;&gt;"Concluído",$J48&lt;&gt;"N/A"),"Não iniciado",IF(COUNTIF(Lançamentos!$B$3:$B$1001,$B48)=0,"Bloqueado",IF('E7 — Entrega'!$D30="","Bloqueado",IF(COUNTIF('E7 — Entrega'!$E30:$H30,"⛔ Bloqueado")&gt;0,"Bloqueado",IF(COUNTIF('E7 — Entrega'!$E30:$H30,"✔ Concluído")=4,"Concluído",IF(COUNTIF('E7 — Entrega'!$E30:$H30,"✔ Concluído")+COUNTIF('E7 — Entrega'!$E30:$H30,"🔄 Em andamento")&gt;0,"Em andamento","Não iniciado"))))))))</f>
        <v/>
      </c>
      <c r="L48" s="234" t="str">
        <f>IF($B48="","",IF($K48&lt;&gt;"Concluído","Não iniciado",IF(OR(COUNTIF('E08 — Estabilização Hypercare'!$E30:$J30,"⛔ Bloqueado")&gt;0,'E08 — Estabilização Hypercare'!$N30="⛔ Incidente Crítico — Encerramento Bloqueado",AND('E08 — Estabilização Hypercare'!$N30="🆕 Evolução Identificada — Nova Demanda Aberta",'E08 — Estabilização Hypercare'!$U30="")),"Bloqueado",IF(AND('E08 — Estabilização Hypercare'!$E30="✔ Concluído",'E08 — Estabilização Hypercare'!$F30="✔ Concluído",'E08 — Estabilização Hypercare'!$G30="✔ Concluído",OR('E08 — Estabilização Hypercare'!$H30="✔ Concluído",'E08 — Estabilização Hypercare'!$H30="N/A"),'E08 — Estabilização Hypercare'!$I30="✔ Concluído",'E08 — Estabilização Hypercare'!$J30="✔ Concluído",OR('E08 — Estabilização Hypercare'!$N30="✅ Estável — Demanda Encerrada",AND('E08 — Estabilização Hypercare'!$N30="🆕 Evolução Identificada — Nova Demanda Aberta",'E08 — Estabilização Hypercare'!$U30&lt;&gt;""))),"Concluído",IF(OR(COUNTIF('E08 — Estabilização Hypercare'!$E30:$J30,"✔ Concluído")&gt;0,COUNTIF('E08 — Estabilização Hypercare'!$E30:$J30,"🔄 Em andamento")&gt;0,'E08 — Estabilização Hypercare'!$N30&lt;&gt;""),"Em andamento","Não iniciado")))))</f>
        <v/>
      </c>
      <c r="M48" s="236" t="str" cm="1">
        <f t="array" ref="M48">IF(B48="","",_xlfn.IFS(E48&lt;&gt;"Concluído","E1 — Solicitação",F48&lt;&gt;"Concluído","E2 — Triagem",G48&lt;&gt;"Concluído","E3 — Levantamento ⚠",H48&lt;&gt;"Concluído","E4 — Execução",I48&lt;&gt;"Concluído","E5 — Validação ⚠",AND(J48&lt;&gt;"Concluído",J48&lt;&gt;"N/A"),"E6 — Ajustes",K48&lt;&gt;"Concluído","E7 — Entrega",L48&lt;&gt;"Concluído","E08 — Estabilização / Hypercare",TRUE,"✔ Fluxo concluído"))</f>
        <v/>
      </c>
      <c r="N48" s="237" t="str">
        <f t="shared" si="0"/>
        <v/>
      </c>
      <c r="O48" s="238"/>
    </row>
    <row r="49" spans="2:15" ht="15" customHeight="1" x14ac:dyDescent="0.35">
      <c r="B49" s="234" t="str">
        <f>IF(Lançamentos!$B26="","",Lançamentos!$B26)</f>
        <v/>
      </c>
      <c r="C49" s="235" t="str">
        <f>IF($B49="","",Lançamentos!$J26)</f>
        <v/>
      </c>
      <c r="D49" s="235" t="str">
        <f>IF($B49="","",Lançamentos!$H26)</f>
        <v/>
      </c>
      <c r="E49" s="234" t="str">
        <f>IF($B49="","",IF(COUNTIF(Lançamentos!$B$3:$B$1001,$B49)=0,"Bloqueado",IF(COUNTIF('E1 — Solicitação'!$E31:$L31,"⛔ Bloqueado")&gt;0,"Bloqueado",IF(COUNTIF('E1 — Solicitação'!$E31:$L31,"N/A")=8,"Bloqueado",IF(COUNTIF('E1 — Solicitação'!$E31:$L31,"✔ Concluído")+COUNTIF('E1 — Solicitação'!$E31:$L31,"N/A")=8,"Concluído",IF(COUNTIF('E1 — Solicitação'!$E31:$L31,"✔ Concluído")+COUNTIF('E1 — Solicitação'!$E31:$L31,"🔄 Em andamento")&gt;0,"Em andamento","Não iniciado"))))))</f>
        <v/>
      </c>
      <c r="F49" s="234" t="str">
        <f>IF($B49="","",IF($E49&lt;&gt;"Concluído","Não iniciado",IF(COUNTIF(Lançamentos!$B$3:$B$1001,$B49)=0,"Bloqueado",IF('E2 — Triagem'!$D31="","Bloqueado",IF(COUNTIF('E2 — Triagem'!$E31:$L31,"N/A")=8,"Bloqueado",IF(COUNTIF('E2 — Triagem'!$E31:$L31,"⛔ Bloqueado")&gt;0,"Bloqueado",IF(COUNTIF('E2 — Triagem'!$E31:$L31,"✔ Concluído")+COUNTIF('E2 — Triagem'!$E31:$L31,"N/A")=8,"Concluído",IF(COUNTIF('E2 — Triagem'!$E31:$L31,"✔ Concluído")+COUNTIF('E2 — Triagem'!$E31:$L31,"🔄 Em andamento")&gt;0,"Em andamento","Não iniciado"))))))))</f>
        <v/>
      </c>
      <c r="G49" s="234" t="str">
        <f>IF($B49="","",IF($F49&lt;&gt;"Concluído","Não iniciado",IF(COUNTIF(Lançamentos!$B$3:$B$1001,$B49)=0,"Bloqueado",IF('E3 — Levantamento'!$D31="","Bloqueado",IF(COUNTIF('E3 — Levantamento'!$E31:$I31,"⛔ Bloqueado")&gt;0,"Bloqueado",IF('E3 — Levantamento'!$I31="N/A","Bloqueado",IF(COUNTIF('E3 — Levantamento'!$E31:$I31,"✔ Concluído")=5,"Concluído",IF(COUNTIF('E3 — Levantamento'!$E31:$I31,"✔ Concluído")+COUNTIF('E3 — Levantamento'!$E31:$I31,"🔄 Em andamento")&gt;0,"Em andamento","Não iniciado"))))))))</f>
        <v/>
      </c>
      <c r="H49" s="234" t="str">
        <f>IF($B49="","",IF($G49&lt;&gt;"Concluído","Não iniciado",IF(COUNTIF(Lançamentos!$B$3:$B$1001,$B49)=0,"Bloqueado",IF('E4 — Execução'!$D31="","Bloqueado",IF(COUNTIF('E4 — Execução'!$E31:$K31,"⛔ Bloqueado")&gt;0,"Bloqueado",IF(COUNTIF('E4 — Execução'!$E31:$K31,"✔ Concluído")=7,"Concluído",IF(COUNTIF('E4 — Execução'!$E31:$K31,"✔ Concluído")+COUNTIF('E4 — Execução'!$E31:$K31,"🔄 Em andamento")&gt;0,"Em andamento","Não iniciado")))))))</f>
        <v/>
      </c>
      <c r="I49" s="234" t="str">
        <f>IF($B49="","",IF($H49&lt;&gt;"Concluído","Não iniciado",IF(COUNTIF(Lançamentos!$B$3:$B$1001,$B49)=0,"Bloqueado",IF('E5 — Validação'!$D31="","Bloqueado",IF(COUNTIF('E5 — Validação'!$E31:$I31,"⛔ Bloqueado")&gt;0,"Bloqueado",IF('E5 — Validação'!$I31="N/A","Bloqueado",IF(AND('E5 — Validação'!$E31="✔ Concluído",'E5 — Validação'!$F31="✔ Concluído",OR('E5 — Validação'!$G31="✔ Concluído",'E5 — Validação'!$G31="N/A"),'E5 — Validação'!$H31="✔ Concluído",'E5 — Validação'!$I31="✔ Concluído"),"Concluído",IF(COUNTIF('E5 — Validação'!$E31:$I31,"✔ Concluído")+COUNTIF('E5 — Validação'!$E31:$I31,"🔄 Em andamento")&gt;0,"Em andamento","Não iniciado"))))))))</f>
        <v/>
      </c>
      <c r="J49" s="234" t="str">
        <f>IF($B49="","",IF($I49&lt;&gt;"Concluído","Não iniciado",IF('E6 — Ajustes'!$N31="Não","N/A",IF(COUNTIF(Lançamentos!$B$3:$B$1001,$B49)=0,"Bloqueado",IF('E6 — Ajustes'!$D31="","Bloqueado",IF(COUNTIF('E6 — Ajustes'!$E31:$J31,"⛔ Bloqueado")&gt;0,"Bloqueado",IF(AND('E6 — Ajustes'!$E31="✔ Concluído",'E6 — Ajustes'!$F31="✔ Concluído",'E6 — Ajustes'!$G31="✔ Concluído",'E6 — Ajustes'!$H31="✔ Concluído",OR('E6 — Ajustes'!$I31="✔ Concluído",'E6 — Ajustes'!$I31="N/A"),'E6 — Ajustes'!$J31="✔ Concluído"),"Concluído",IF(COUNTIF('E6 — Ajustes'!$E31:$J31,"✔ Concluído")+COUNTIF('E6 — Ajustes'!$E31:$J31,"🔄 Em andamento")&gt;0,"Em andamento","Não iniciado"))))))))</f>
        <v/>
      </c>
      <c r="K49" s="234" t="str">
        <f>IF($B49="","",IF($I49&lt;&gt;"Concluído","Não iniciado",IF(AND($J49&lt;&gt;"Concluído",$J49&lt;&gt;"N/A"),"Não iniciado",IF(COUNTIF(Lançamentos!$B$3:$B$1001,$B49)=0,"Bloqueado",IF('E7 — Entrega'!$D31="","Bloqueado",IF(COUNTIF('E7 — Entrega'!$E31:$H31,"⛔ Bloqueado")&gt;0,"Bloqueado",IF(COUNTIF('E7 — Entrega'!$E31:$H31,"✔ Concluído")=4,"Concluído",IF(COUNTIF('E7 — Entrega'!$E31:$H31,"✔ Concluído")+COUNTIF('E7 — Entrega'!$E31:$H31,"🔄 Em andamento")&gt;0,"Em andamento","Não iniciado"))))))))</f>
        <v/>
      </c>
      <c r="L49" s="234" t="str">
        <f>IF($B49="","",IF($K49&lt;&gt;"Concluído","Não iniciado",IF(OR(COUNTIF('E08 — Estabilização Hypercare'!$E31:$J31,"⛔ Bloqueado")&gt;0,'E08 — Estabilização Hypercare'!$N31="⛔ Incidente Crítico — Encerramento Bloqueado",AND('E08 — Estabilização Hypercare'!$N31="🆕 Evolução Identificada — Nova Demanda Aberta",'E08 — Estabilização Hypercare'!$U31="")),"Bloqueado",IF(AND('E08 — Estabilização Hypercare'!$E31="✔ Concluído",'E08 — Estabilização Hypercare'!$F31="✔ Concluído",'E08 — Estabilização Hypercare'!$G31="✔ Concluído",OR('E08 — Estabilização Hypercare'!$H31="✔ Concluído",'E08 — Estabilização Hypercare'!$H31="N/A"),'E08 — Estabilização Hypercare'!$I31="✔ Concluído",'E08 — Estabilização Hypercare'!$J31="✔ Concluído",OR('E08 — Estabilização Hypercare'!$N31="✅ Estável — Demanda Encerrada",AND('E08 — Estabilização Hypercare'!$N31="🆕 Evolução Identificada — Nova Demanda Aberta",'E08 — Estabilização Hypercare'!$U31&lt;&gt;""))),"Concluído",IF(OR(COUNTIF('E08 — Estabilização Hypercare'!$E31:$J31,"✔ Concluído")&gt;0,COUNTIF('E08 — Estabilização Hypercare'!$E31:$J31,"🔄 Em andamento")&gt;0,'E08 — Estabilização Hypercare'!$N31&lt;&gt;""),"Em andamento","Não iniciado")))))</f>
        <v/>
      </c>
      <c r="M49" s="236" t="str" cm="1">
        <f t="array" ref="M49">IF(B49="","",_xlfn.IFS(E49&lt;&gt;"Concluído","E1 — Solicitação",F49&lt;&gt;"Concluído","E2 — Triagem",G49&lt;&gt;"Concluído","E3 — Levantamento ⚠",H49&lt;&gt;"Concluído","E4 — Execução",I49&lt;&gt;"Concluído","E5 — Validação ⚠",AND(J49&lt;&gt;"Concluído",J49&lt;&gt;"N/A"),"E6 — Ajustes",K49&lt;&gt;"Concluído","E7 — Entrega",L49&lt;&gt;"Concluído","E08 — Estabilização / Hypercare",TRUE,"✔ Fluxo concluído"))</f>
        <v/>
      </c>
      <c r="N49" s="237" t="str">
        <f t="shared" si="0"/>
        <v/>
      </c>
      <c r="O49" s="238"/>
    </row>
    <row r="50" spans="2:15" ht="15" customHeight="1" x14ac:dyDescent="0.35">
      <c r="B50" s="234" t="str">
        <f>IF(Lançamentos!$B27="","",Lançamentos!$B27)</f>
        <v/>
      </c>
      <c r="C50" s="235" t="str">
        <f>IF($B50="","",Lançamentos!$J27)</f>
        <v/>
      </c>
      <c r="D50" s="235" t="str">
        <f>IF($B50="","",Lançamentos!$H27)</f>
        <v/>
      </c>
      <c r="E50" s="234" t="str">
        <f>IF($B50="","",IF(COUNTIF(Lançamentos!$B$3:$B$1001,$B50)=0,"Bloqueado",IF(COUNTIF('E1 — Solicitação'!$E32:$L32,"⛔ Bloqueado")&gt;0,"Bloqueado",IF(COUNTIF('E1 — Solicitação'!$E32:$L32,"N/A")=8,"Bloqueado",IF(COUNTIF('E1 — Solicitação'!$E32:$L32,"✔ Concluído")+COUNTIF('E1 — Solicitação'!$E32:$L32,"N/A")=8,"Concluído",IF(COUNTIF('E1 — Solicitação'!$E32:$L32,"✔ Concluído")+COUNTIF('E1 — Solicitação'!$E32:$L32,"🔄 Em andamento")&gt;0,"Em andamento","Não iniciado"))))))</f>
        <v/>
      </c>
      <c r="F50" s="234" t="str">
        <f>IF($B50="","",IF($E50&lt;&gt;"Concluído","Não iniciado",IF(COUNTIF(Lançamentos!$B$3:$B$1001,$B50)=0,"Bloqueado",IF('E2 — Triagem'!$D32="","Bloqueado",IF(COUNTIF('E2 — Triagem'!$E32:$L32,"N/A")=8,"Bloqueado",IF(COUNTIF('E2 — Triagem'!$E32:$L32,"⛔ Bloqueado")&gt;0,"Bloqueado",IF(COUNTIF('E2 — Triagem'!$E32:$L32,"✔ Concluído")+COUNTIF('E2 — Triagem'!$E32:$L32,"N/A")=8,"Concluído",IF(COUNTIF('E2 — Triagem'!$E32:$L32,"✔ Concluído")+COUNTIF('E2 — Triagem'!$E32:$L32,"🔄 Em andamento")&gt;0,"Em andamento","Não iniciado"))))))))</f>
        <v/>
      </c>
      <c r="G50" s="234" t="str">
        <f>IF($B50="","",IF($F50&lt;&gt;"Concluído","Não iniciado",IF(COUNTIF(Lançamentos!$B$3:$B$1001,$B50)=0,"Bloqueado",IF('E3 — Levantamento'!$D32="","Bloqueado",IF(COUNTIF('E3 — Levantamento'!$E32:$I32,"⛔ Bloqueado")&gt;0,"Bloqueado",IF('E3 — Levantamento'!$I32="N/A","Bloqueado",IF(COUNTIF('E3 — Levantamento'!$E32:$I32,"✔ Concluído")=5,"Concluído",IF(COUNTIF('E3 — Levantamento'!$E32:$I32,"✔ Concluído")+COUNTIF('E3 — Levantamento'!$E32:$I32,"🔄 Em andamento")&gt;0,"Em andamento","Não iniciado"))))))))</f>
        <v/>
      </c>
      <c r="H50" s="234" t="str">
        <f>IF($B50="","",IF($G50&lt;&gt;"Concluído","Não iniciado",IF(COUNTIF(Lançamentos!$B$3:$B$1001,$B50)=0,"Bloqueado",IF('E4 — Execução'!$D32="","Bloqueado",IF(COUNTIF('E4 — Execução'!$E32:$K32,"⛔ Bloqueado")&gt;0,"Bloqueado",IF(COUNTIF('E4 — Execução'!$E32:$K32,"✔ Concluído")=7,"Concluído",IF(COUNTIF('E4 — Execução'!$E32:$K32,"✔ Concluído")+COUNTIF('E4 — Execução'!$E32:$K32,"🔄 Em andamento")&gt;0,"Em andamento","Não iniciado")))))))</f>
        <v/>
      </c>
      <c r="I50" s="234" t="str">
        <f>IF($B50="","",IF($H50&lt;&gt;"Concluído","Não iniciado",IF(COUNTIF(Lançamentos!$B$3:$B$1001,$B50)=0,"Bloqueado",IF('E5 — Validação'!$D32="","Bloqueado",IF(COUNTIF('E5 — Validação'!$E32:$I32,"⛔ Bloqueado")&gt;0,"Bloqueado",IF('E5 — Validação'!$I32="N/A","Bloqueado",IF(AND('E5 — Validação'!$E32="✔ Concluído",'E5 — Validação'!$F32="✔ Concluído",OR('E5 — Validação'!$G32="✔ Concluído",'E5 — Validação'!$G32="N/A"),'E5 — Validação'!$H32="✔ Concluído",'E5 — Validação'!$I32="✔ Concluído"),"Concluído",IF(COUNTIF('E5 — Validação'!$E32:$I32,"✔ Concluído")+COUNTIF('E5 — Validação'!$E32:$I32,"🔄 Em andamento")&gt;0,"Em andamento","Não iniciado"))))))))</f>
        <v/>
      </c>
      <c r="J50" s="234" t="str">
        <f>IF($B50="","",IF($I50&lt;&gt;"Concluído","Não iniciado",IF('E6 — Ajustes'!$N32="Não","N/A",IF(COUNTIF(Lançamentos!$B$3:$B$1001,$B50)=0,"Bloqueado",IF('E6 — Ajustes'!$D32="","Bloqueado",IF(COUNTIF('E6 — Ajustes'!$E32:$J32,"⛔ Bloqueado")&gt;0,"Bloqueado",IF(AND('E6 — Ajustes'!$E32="✔ Concluído",'E6 — Ajustes'!$F32="✔ Concluído",'E6 — Ajustes'!$G32="✔ Concluído",'E6 — Ajustes'!$H32="✔ Concluído",OR('E6 — Ajustes'!$I32="✔ Concluído",'E6 — Ajustes'!$I32="N/A"),'E6 — Ajustes'!$J32="✔ Concluído"),"Concluído",IF(COUNTIF('E6 — Ajustes'!$E32:$J32,"✔ Concluído")+COUNTIF('E6 — Ajustes'!$E32:$J32,"🔄 Em andamento")&gt;0,"Em andamento","Não iniciado"))))))))</f>
        <v/>
      </c>
      <c r="K50" s="234" t="str">
        <f>IF($B50="","",IF($I50&lt;&gt;"Concluído","Não iniciado",IF(AND($J50&lt;&gt;"Concluído",$J50&lt;&gt;"N/A"),"Não iniciado",IF(COUNTIF(Lançamentos!$B$3:$B$1001,$B50)=0,"Bloqueado",IF('E7 — Entrega'!$D32="","Bloqueado",IF(COUNTIF('E7 — Entrega'!$E32:$H32,"⛔ Bloqueado")&gt;0,"Bloqueado",IF(COUNTIF('E7 — Entrega'!$E32:$H32,"✔ Concluído")=4,"Concluído",IF(COUNTIF('E7 — Entrega'!$E32:$H32,"✔ Concluído")+COUNTIF('E7 — Entrega'!$E32:$H32,"🔄 Em andamento")&gt;0,"Em andamento","Não iniciado"))))))))</f>
        <v/>
      </c>
      <c r="L50" s="234" t="str">
        <f>IF($B50="","",IF($K50&lt;&gt;"Concluído","Não iniciado",IF(OR(COUNTIF('E08 — Estabilização Hypercare'!$E32:$J32,"⛔ Bloqueado")&gt;0,'E08 — Estabilização Hypercare'!$N32="⛔ Incidente Crítico — Encerramento Bloqueado",AND('E08 — Estabilização Hypercare'!$N32="🆕 Evolução Identificada — Nova Demanda Aberta",'E08 — Estabilização Hypercare'!$U32="")),"Bloqueado",IF(AND('E08 — Estabilização Hypercare'!$E32="✔ Concluído",'E08 — Estabilização Hypercare'!$F32="✔ Concluído",'E08 — Estabilização Hypercare'!$G32="✔ Concluído",OR('E08 — Estabilização Hypercare'!$H32="✔ Concluído",'E08 — Estabilização Hypercare'!$H32="N/A"),'E08 — Estabilização Hypercare'!$I32="✔ Concluído",'E08 — Estabilização Hypercare'!$J32="✔ Concluído",OR('E08 — Estabilização Hypercare'!$N32="✅ Estável — Demanda Encerrada",AND('E08 — Estabilização Hypercare'!$N32="🆕 Evolução Identificada — Nova Demanda Aberta",'E08 — Estabilização Hypercare'!$U32&lt;&gt;""))),"Concluído",IF(OR(COUNTIF('E08 — Estabilização Hypercare'!$E32:$J32,"✔ Concluído")&gt;0,COUNTIF('E08 — Estabilização Hypercare'!$E32:$J32,"🔄 Em andamento")&gt;0,'E08 — Estabilização Hypercare'!$N32&lt;&gt;""),"Em andamento","Não iniciado")))))</f>
        <v/>
      </c>
      <c r="M50" s="236" t="str" cm="1">
        <f t="array" ref="M50">IF(B50="","",_xlfn.IFS(E50&lt;&gt;"Concluído","E1 — Solicitação",F50&lt;&gt;"Concluído","E2 — Triagem",G50&lt;&gt;"Concluído","E3 — Levantamento ⚠",H50&lt;&gt;"Concluído","E4 — Execução",I50&lt;&gt;"Concluído","E5 — Validação ⚠",AND(J50&lt;&gt;"Concluído",J50&lt;&gt;"N/A"),"E6 — Ajustes",K50&lt;&gt;"Concluído","E7 — Entrega",L50&lt;&gt;"Concluído","E08 — Estabilização / Hypercare",TRUE,"✔ Fluxo concluído"))</f>
        <v/>
      </c>
      <c r="N50" s="237" t="str">
        <f t="shared" si="0"/>
        <v/>
      </c>
      <c r="O50" s="238"/>
    </row>
    <row r="51" spans="2:15" ht="15" customHeight="1" x14ac:dyDescent="0.35">
      <c r="B51" s="234" t="str">
        <f>IF(Lançamentos!$B28="","",Lançamentos!$B28)</f>
        <v/>
      </c>
      <c r="C51" s="235" t="str">
        <f>IF($B51="","",Lançamentos!$J28)</f>
        <v/>
      </c>
      <c r="D51" s="235" t="str">
        <f>IF($B51="","",Lançamentos!$H28)</f>
        <v/>
      </c>
      <c r="E51" s="234" t="str">
        <f>IF($B51="","",IF(COUNTIF(Lançamentos!$B$3:$B$1001,$B51)=0,"Bloqueado",IF(COUNTIF('E1 — Solicitação'!$E33:$L33,"⛔ Bloqueado")&gt;0,"Bloqueado",IF(COUNTIF('E1 — Solicitação'!$E33:$L33,"N/A")=8,"Bloqueado",IF(COUNTIF('E1 — Solicitação'!$E33:$L33,"✔ Concluído")+COUNTIF('E1 — Solicitação'!$E33:$L33,"N/A")=8,"Concluído",IF(COUNTIF('E1 — Solicitação'!$E33:$L33,"✔ Concluído")+COUNTIF('E1 — Solicitação'!$E33:$L33,"🔄 Em andamento")&gt;0,"Em andamento","Não iniciado"))))))</f>
        <v/>
      </c>
      <c r="F51" s="234" t="str">
        <f>IF($B51="","",IF($E51&lt;&gt;"Concluído","Não iniciado",IF(COUNTIF(Lançamentos!$B$3:$B$1001,$B51)=0,"Bloqueado",IF('E2 — Triagem'!$D33="","Bloqueado",IF(COUNTIF('E2 — Triagem'!$E33:$L33,"N/A")=8,"Bloqueado",IF(COUNTIF('E2 — Triagem'!$E33:$L33,"⛔ Bloqueado")&gt;0,"Bloqueado",IF(COUNTIF('E2 — Triagem'!$E33:$L33,"✔ Concluído")+COUNTIF('E2 — Triagem'!$E33:$L33,"N/A")=8,"Concluído",IF(COUNTIF('E2 — Triagem'!$E33:$L33,"✔ Concluído")+COUNTIF('E2 — Triagem'!$E33:$L33,"🔄 Em andamento")&gt;0,"Em andamento","Não iniciado"))))))))</f>
        <v/>
      </c>
      <c r="G51" s="234" t="str">
        <f>IF($B51="","",IF($F51&lt;&gt;"Concluído","Não iniciado",IF(COUNTIF(Lançamentos!$B$3:$B$1001,$B51)=0,"Bloqueado",IF('E3 — Levantamento'!$D33="","Bloqueado",IF(COUNTIF('E3 — Levantamento'!$E33:$I33,"⛔ Bloqueado")&gt;0,"Bloqueado",IF('E3 — Levantamento'!$I33="N/A","Bloqueado",IF(COUNTIF('E3 — Levantamento'!$E33:$I33,"✔ Concluído")=5,"Concluído",IF(COUNTIF('E3 — Levantamento'!$E33:$I33,"✔ Concluído")+COUNTIF('E3 — Levantamento'!$E33:$I33,"🔄 Em andamento")&gt;0,"Em andamento","Não iniciado"))))))))</f>
        <v/>
      </c>
      <c r="H51" s="234" t="str">
        <f>IF($B51="","",IF($G51&lt;&gt;"Concluído","Não iniciado",IF(COUNTIF(Lançamentos!$B$3:$B$1001,$B51)=0,"Bloqueado",IF('E4 — Execução'!$D33="","Bloqueado",IF(COUNTIF('E4 — Execução'!$E33:$K33,"⛔ Bloqueado")&gt;0,"Bloqueado",IF(COUNTIF('E4 — Execução'!$E33:$K33,"✔ Concluído")=7,"Concluído",IF(COUNTIF('E4 — Execução'!$E33:$K33,"✔ Concluído")+COUNTIF('E4 — Execução'!$E33:$K33,"🔄 Em andamento")&gt;0,"Em andamento","Não iniciado")))))))</f>
        <v/>
      </c>
      <c r="I51" s="234" t="str">
        <f>IF($B51="","",IF($H51&lt;&gt;"Concluído","Não iniciado",IF(COUNTIF(Lançamentos!$B$3:$B$1001,$B51)=0,"Bloqueado",IF('E5 — Validação'!$D33="","Bloqueado",IF(COUNTIF('E5 — Validação'!$E33:$I33,"⛔ Bloqueado")&gt;0,"Bloqueado",IF('E5 — Validação'!$I33="N/A","Bloqueado",IF(AND('E5 — Validação'!$E33="✔ Concluído",'E5 — Validação'!$F33="✔ Concluído",OR('E5 — Validação'!$G33="✔ Concluído",'E5 — Validação'!$G33="N/A"),'E5 — Validação'!$H33="✔ Concluído",'E5 — Validação'!$I33="✔ Concluído"),"Concluído",IF(COUNTIF('E5 — Validação'!$E33:$I33,"✔ Concluído")+COUNTIF('E5 — Validação'!$E33:$I33,"🔄 Em andamento")&gt;0,"Em andamento","Não iniciado"))))))))</f>
        <v/>
      </c>
      <c r="J51" s="234" t="str">
        <f>IF($B51="","",IF($I51&lt;&gt;"Concluído","Não iniciado",IF('E6 — Ajustes'!$N33="Não","N/A",IF(COUNTIF(Lançamentos!$B$3:$B$1001,$B51)=0,"Bloqueado",IF('E6 — Ajustes'!$D33="","Bloqueado",IF(COUNTIF('E6 — Ajustes'!$E33:$J33,"⛔ Bloqueado")&gt;0,"Bloqueado",IF(AND('E6 — Ajustes'!$E33="✔ Concluído",'E6 — Ajustes'!$F33="✔ Concluído",'E6 — Ajustes'!$G33="✔ Concluído",'E6 — Ajustes'!$H33="✔ Concluído",OR('E6 — Ajustes'!$I33="✔ Concluído",'E6 — Ajustes'!$I33="N/A"),'E6 — Ajustes'!$J33="✔ Concluído"),"Concluído",IF(COUNTIF('E6 — Ajustes'!$E33:$J33,"✔ Concluído")+COUNTIF('E6 — Ajustes'!$E33:$J33,"🔄 Em andamento")&gt;0,"Em andamento","Não iniciado"))))))))</f>
        <v/>
      </c>
      <c r="K51" s="234" t="str">
        <f>IF($B51="","",IF($I51&lt;&gt;"Concluído","Não iniciado",IF(AND($J51&lt;&gt;"Concluído",$J51&lt;&gt;"N/A"),"Não iniciado",IF(COUNTIF(Lançamentos!$B$3:$B$1001,$B51)=0,"Bloqueado",IF('E7 — Entrega'!$D33="","Bloqueado",IF(COUNTIF('E7 — Entrega'!$E33:$H33,"⛔ Bloqueado")&gt;0,"Bloqueado",IF(COUNTIF('E7 — Entrega'!$E33:$H33,"✔ Concluído")=4,"Concluído",IF(COUNTIF('E7 — Entrega'!$E33:$H33,"✔ Concluído")+COUNTIF('E7 — Entrega'!$E33:$H33,"🔄 Em andamento")&gt;0,"Em andamento","Não iniciado"))))))))</f>
        <v/>
      </c>
      <c r="L51" s="234" t="str">
        <f>IF($B51="","",IF($K51&lt;&gt;"Concluído","Não iniciado",IF(OR(COUNTIF('E08 — Estabilização Hypercare'!$E33:$J33,"⛔ Bloqueado")&gt;0,'E08 — Estabilização Hypercare'!$N33="⛔ Incidente Crítico — Encerramento Bloqueado",AND('E08 — Estabilização Hypercare'!$N33="🆕 Evolução Identificada — Nova Demanda Aberta",'E08 — Estabilização Hypercare'!$U33="")),"Bloqueado",IF(AND('E08 — Estabilização Hypercare'!$E33="✔ Concluído",'E08 — Estabilização Hypercare'!$F33="✔ Concluído",'E08 — Estabilização Hypercare'!$G33="✔ Concluído",OR('E08 — Estabilização Hypercare'!$H33="✔ Concluído",'E08 — Estabilização Hypercare'!$H33="N/A"),'E08 — Estabilização Hypercare'!$I33="✔ Concluído",'E08 — Estabilização Hypercare'!$J33="✔ Concluído",OR('E08 — Estabilização Hypercare'!$N33="✅ Estável — Demanda Encerrada",AND('E08 — Estabilização Hypercare'!$N33="🆕 Evolução Identificada — Nova Demanda Aberta",'E08 — Estabilização Hypercare'!$U33&lt;&gt;""))),"Concluído",IF(OR(COUNTIF('E08 — Estabilização Hypercare'!$E33:$J33,"✔ Concluído")&gt;0,COUNTIF('E08 — Estabilização Hypercare'!$E33:$J33,"🔄 Em andamento")&gt;0,'E08 — Estabilização Hypercare'!$N33&lt;&gt;""),"Em andamento","Não iniciado")))))</f>
        <v/>
      </c>
      <c r="M51" s="236" t="str" cm="1">
        <f t="array" ref="M51">IF(B51="","",_xlfn.IFS(E51&lt;&gt;"Concluído","E1 — Solicitação",F51&lt;&gt;"Concluído","E2 — Triagem",G51&lt;&gt;"Concluído","E3 — Levantamento ⚠",H51&lt;&gt;"Concluído","E4 — Execução",I51&lt;&gt;"Concluído","E5 — Validação ⚠",AND(J51&lt;&gt;"Concluído",J51&lt;&gt;"N/A"),"E6 — Ajustes",K51&lt;&gt;"Concluído","E7 — Entrega",L51&lt;&gt;"Concluído","E08 — Estabilização / Hypercare",TRUE,"✔ Fluxo concluído"))</f>
        <v/>
      </c>
      <c r="N51" s="237" t="str">
        <f t="shared" si="0"/>
        <v/>
      </c>
      <c r="O51" s="238"/>
    </row>
    <row r="52" spans="2:15" ht="15" customHeight="1" x14ac:dyDescent="0.35">
      <c r="B52" s="234" t="str">
        <f>IF(Lançamentos!$B29="","",Lançamentos!$B29)</f>
        <v/>
      </c>
      <c r="C52" s="235" t="str">
        <f>IF($B52="","",Lançamentos!$J29)</f>
        <v/>
      </c>
      <c r="D52" s="235" t="str">
        <f>IF($B52="","",Lançamentos!$H29)</f>
        <v/>
      </c>
      <c r="E52" s="234" t="str">
        <f>IF($B52="","",IF(COUNTIF(Lançamentos!$B$3:$B$1001,$B52)=0,"Bloqueado",IF(COUNTIF('E1 — Solicitação'!$E34:$L34,"⛔ Bloqueado")&gt;0,"Bloqueado",IF(COUNTIF('E1 — Solicitação'!$E34:$L34,"N/A")=8,"Bloqueado",IF(COUNTIF('E1 — Solicitação'!$E34:$L34,"✔ Concluído")+COUNTIF('E1 — Solicitação'!$E34:$L34,"N/A")=8,"Concluído",IF(COUNTIF('E1 — Solicitação'!$E34:$L34,"✔ Concluído")+COUNTIF('E1 — Solicitação'!$E34:$L34,"🔄 Em andamento")&gt;0,"Em andamento","Não iniciado"))))))</f>
        <v/>
      </c>
      <c r="F52" s="234" t="str">
        <f>IF($B52="","",IF($E52&lt;&gt;"Concluído","Não iniciado",IF(COUNTIF(Lançamentos!$B$3:$B$1001,$B52)=0,"Bloqueado",IF('E2 — Triagem'!$D34="","Bloqueado",IF(COUNTIF('E2 — Triagem'!$E34:$L34,"N/A")=8,"Bloqueado",IF(COUNTIF('E2 — Triagem'!$E34:$L34,"⛔ Bloqueado")&gt;0,"Bloqueado",IF(COUNTIF('E2 — Triagem'!$E34:$L34,"✔ Concluído")+COUNTIF('E2 — Triagem'!$E34:$L34,"N/A")=8,"Concluído",IF(COUNTIF('E2 — Triagem'!$E34:$L34,"✔ Concluído")+COUNTIF('E2 — Triagem'!$E34:$L34,"🔄 Em andamento")&gt;0,"Em andamento","Não iniciado"))))))))</f>
        <v/>
      </c>
      <c r="G52" s="234" t="str">
        <f>IF($B52="","",IF($F52&lt;&gt;"Concluído","Não iniciado",IF(COUNTIF(Lançamentos!$B$3:$B$1001,$B52)=0,"Bloqueado",IF('E3 — Levantamento'!$D34="","Bloqueado",IF(COUNTIF('E3 — Levantamento'!$E34:$I34,"⛔ Bloqueado")&gt;0,"Bloqueado",IF('E3 — Levantamento'!$I34="N/A","Bloqueado",IF(COUNTIF('E3 — Levantamento'!$E34:$I34,"✔ Concluído")=5,"Concluído",IF(COUNTIF('E3 — Levantamento'!$E34:$I34,"✔ Concluído")+COUNTIF('E3 — Levantamento'!$E34:$I34,"🔄 Em andamento")&gt;0,"Em andamento","Não iniciado"))))))))</f>
        <v/>
      </c>
      <c r="H52" s="234" t="str">
        <f>IF($B52="","",IF($G52&lt;&gt;"Concluído","Não iniciado",IF(COUNTIF(Lançamentos!$B$3:$B$1001,$B52)=0,"Bloqueado",IF('E4 — Execução'!$D34="","Bloqueado",IF(COUNTIF('E4 — Execução'!$E34:$K34,"⛔ Bloqueado")&gt;0,"Bloqueado",IF(COUNTIF('E4 — Execução'!$E34:$K34,"✔ Concluído")=7,"Concluído",IF(COUNTIF('E4 — Execução'!$E34:$K34,"✔ Concluído")+COUNTIF('E4 — Execução'!$E34:$K34,"🔄 Em andamento")&gt;0,"Em andamento","Não iniciado")))))))</f>
        <v/>
      </c>
      <c r="I52" s="234" t="str">
        <f>IF($B52="","",IF($H52&lt;&gt;"Concluído","Não iniciado",IF(COUNTIF(Lançamentos!$B$3:$B$1001,$B52)=0,"Bloqueado",IF('E5 — Validação'!$D34="","Bloqueado",IF(COUNTIF('E5 — Validação'!$E34:$I34,"⛔ Bloqueado")&gt;0,"Bloqueado",IF('E5 — Validação'!$I34="N/A","Bloqueado",IF(AND('E5 — Validação'!$E34="✔ Concluído",'E5 — Validação'!$F34="✔ Concluído",OR('E5 — Validação'!$G34="✔ Concluído",'E5 — Validação'!$G34="N/A"),'E5 — Validação'!$H34="✔ Concluído",'E5 — Validação'!$I34="✔ Concluído"),"Concluído",IF(COUNTIF('E5 — Validação'!$E34:$I34,"✔ Concluído")+COUNTIF('E5 — Validação'!$E34:$I34,"🔄 Em andamento")&gt;0,"Em andamento","Não iniciado"))))))))</f>
        <v/>
      </c>
      <c r="J52" s="234" t="str">
        <f>IF($B52="","",IF($I52&lt;&gt;"Concluído","Não iniciado",IF('E6 — Ajustes'!$N34="Não","N/A",IF(COUNTIF(Lançamentos!$B$3:$B$1001,$B52)=0,"Bloqueado",IF('E6 — Ajustes'!$D34="","Bloqueado",IF(COUNTIF('E6 — Ajustes'!$E34:$J34,"⛔ Bloqueado")&gt;0,"Bloqueado",IF(AND('E6 — Ajustes'!$E34="✔ Concluído",'E6 — Ajustes'!$F34="✔ Concluído",'E6 — Ajustes'!$G34="✔ Concluído",'E6 — Ajustes'!$H34="✔ Concluído",OR('E6 — Ajustes'!$I34="✔ Concluído",'E6 — Ajustes'!$I34="N/A"),'E6 — Ajustes'!$J34="✔ Concluído"),"Concluído",IF(COUNTIF('E6 — Ajustes'!$E34:$J34,"✔ Concluído")+COUNTIF('E6 — Ajustes'!$E34:$J34,"🔄 Em andamento")&gt;0,"Em andamento","Não iniciado"))))))))</f>
        <v/>
      </c>
      <c r="K52" s="234" t="str">
        <f>IF($B52="","",IF($I52&lt;&gt;"Concluído","Não iniciado",IF(AND($J52&lt;&gt;"Concluído",$J52&lt;&gt;"N/A"),"Não iniciado",IF(COUNTIF(Lançamentos!$B$3:$B$1001,$B52)=0,"Bloqueado",IF('E7 — Entrega'!$D34="","Bloqueado",IF(COUNTIF('E7 — Entrega'!$E34:$H34,"⛔ Bloqueado")&gt;0,"Bloqueado",IF(COUNTIF('E7 — Entrega'!$E34:$H34,"✔ Concluído")=4,"Concluído",IF(COUNTIF('E7 — Entrega'!$E34:$H34,"✔ Concluído")+COUNTIF('E7 — Entrega'!$E34:$H34,"🔄 Em andamento")&gt;0,"Em andamento","Não iniciado"))))))))</f>
        <v/>
      </c>
      <c r="L52" s="234" t="str">
        <f>IF($B52="","",IF($K52&lt;&gt;"Concluído","Não iniciado",IF(OR(COUNTIF('E08 — Estabilização Hypercare'!$E34:$J34,"⛔ Bloqueado")&gt;0,'E08 — Estabilização Hypercare'!$N34="⛔ Incidente Crítico — Encerramento Bloqueado",AND('E08 — Estabilização Hypercare'!$N34="🆕 Evolução Identificada — Nova Demanda Aberta",'E08 — Estabilização Hypercare'!$U34="")),"Bloqueado",IF(AND('E08 — Estabilização Hypercare'!$E34="✔ Concluído",'E08 — Estabilização Hypercare'!$F34="✔ Concluído",'E08 — Estabilização Hypercare'!$G34="✔ Concluído",OR('E08 — Estabilização Hypercare'!$H34="✔ Concluído",'E08 — Estabilização Hypercare'!$H34="N/A"),'E08 — Estabilização Hypercare'!$I34="✔ Concluído",'E08 — Estabilização Hypercare'!$J34="✔ Concluído",OR('E08 — Estabilização Hypercare'!$N34="✅ Estável — Demanda Encerrada",AND('E08 — Estabilização Hypercare'!$N34="🆕 Evolução Identificada — Nova Demanda Aberta",'E08 — Estabilização Hypercare'!$U34&lt;&gt;""))),"Concluído",IF(OR(COUNTIF('E08 — Estabilização Hypercare'!$E34:$J34,"✔ Concluído")&gt;0,COUNTIF('E08 — Estabilização Hypercare'!$E34:$J34,"🔄 Em andamento")&gt;0,'E08 — Estabilização Hypercare'!$N34&lt;&gt;""),"Em andamento","Não iniciado")))))</f>
        <v/>
      </c>
      <c r="M52" s="236" t="str" cm="1">
        <f t="array" ref="M52">IF(B52="","",_xlfn.IFS(E52&lt;&gt;"Concluído","E1 — Solicitação",F52&lt;&gt;"Concluído","E2 — Triagem",G52&lt;&gt;"Concluído","E3 — Levantamento ⚠",H52&lt;&gt;"Concluído","E4 — Execução",I52&lt;&gt;"Concluído","E5 — Validação ⚠",AND(J52&lt;&gt;"Concluído",J52&lt;&gt;"N/A"),"E6 — Ajustes",K52&lt;&gt;"Concluído","E7 — Entrega",L52&lt;&gt;"Concluído","E08 — Estabilização / Hypercare",TRUE,"✔ Fluxo concluído"))</f>
        <v/>
      </c>
      <c r="N52" s="237" t="str">
        <f t="shared" si="0"/>
        <v/>
      </c>
      <c r="O52" s="238"/>
    </row>
    <row r="53" spans="2:15" ht="15" customHeight="1" x14ac:dyDescent="0.35">
      <c r="B53" s="234" t="str">
        <f>IF(Lançamentos!$B30="","",Lançamentos!$B30)</f>
        <v/>
      </c>
      <c r="C53" s="235" t="str">
        <f>IF($B53="","",Lançamentos!$J30)</f>
        <v/>
      </c>
      <c r="D53" s="235" t="str">
        <f>IF($B53="","",Lançamentos!$H30)</f>
        <v/>
      </c>
      <c r="E53" s="234" t="str">
        <f>IF($B53="","",IF(COUNTIF(Lançamentos!$B$3:$B$1001,$B53)=0,"Bloqueado",IF(COUNTIF('E1 — Solicitação'!$E35:$L35,"⛔ Bloqueado")&gt;0,"Bloqueado",IF(COUNTIF('E1 — Solicitação'!$E35:$L35,"N/A")=8,"Bloqueado",IF(COUNTIF('E1 — Solicitação'!$E35:$L35,"✔ Concluído")+COUNTIF('E1 — Solicitação'!$E35:$L35,"N/A")=8,"Concluído",IF(COUNTIF('E1 — Solicitação'!$E35:$L35,"✔ Concluído")+COUNTIF('E1 — Solicitação'!$E35:$L35,"🔄 Em andamento")&gt;0,"Em andamento","Não iniciado"))))))</f>
        <v/>
      </c>
      <c r="F53" s="234" t="str">
        <f>IF($B53="","",IF($E53&lt;&gt;"Concluído","Não iniciado",IF(COUNTIF(Lançamentos!$B$3:$B$1001,$B53)=0,"Bloqueado",IF('E2 — Triagem'!$D35="","Bloqueado",IF(COUNTIF('E2 — Triagem'!$E35:$L35,"N/A")=8,"Bloqueado",IF(COUNTIF('E2 — Triagem'!$E35:$L35,"⛔ Bloqueado")&gt;0,"Bloqueado",IF(COUNTIF('E2 — Triagem'!$E35:$L35,"✔ Concluído")+COUNTIF('E2 — Triagem'!$E35:$L35,"N/A")=8,"Concluído",IF(COUNTIF('E2 — Triagem'!$E35:$L35,"✔ Concluído")+COUNTIF('E2 — Triagem'!$E35:$L35,"🔄 Em andamento")&gt;0,"Em andamento","Não iniciado"))))))))</f>
        <v/>
      </c>
      <c r="G53" s="234" t="str">
        <f>IF($B53="","",IF($F53&lt;&gt;"Concluído","Não iniciado",IF(COUNTIF(Lançamentos!$B$3:$B$1001,$B53)=0,"Bloqueado",IF('E3 — Levantamento'!$D35="","Bloqueado",IF(COUNTIF('E3 — Levantamento'!$E35:$I35,"⛔ Bloqueado")&gt;0,"Bloqueado",IF('E3 — Levantamento'!$I35="N/A","Bloqueado",IF(COUNTIF('E3 — Levantamento'!$E35:$I35,"✔ Concluído")=5,"Concluído",IF(COUNTIF('E3 — Levantamento'!$E35:$I35,"✔ Concluído")+COUNTIF('E3 — Levantamento'!$E35:$I35,"🔄 Em andamento")&gt;0,"Em andamento","Não iniciado"))))))))</f>
        <v/>
      </c>
      <c r="H53" s="234" t="str">
        <f>IF($B53="","",IF($G53&lt;&gt;"Concluído","Não iniciado",IF(COUNTIF(Lançamentos!$B$3:$B$1001,$B53)=0,"Bloqueado",IF('E4 — Execução'!$D35="","Bloqueado",IF(COUNTIF('E4 — Execução'!$E35:$K35,"⛔ Bloqueado")&gt;0,"Bloqueado",IF(COUNTIF('E4 — Execução'!$E35:$K35,"✔ Concluído")=7,"Concluído",IF(COUNTIF('E4 — Execução'!$E35:$K35,"✔ Concluído")+COUNTIF('E4 — Execução'!$E35:$K35,"🔄 Em andamento")&gt;0,"Em andamento","Não iniciado")))))))</f>
        <v/>
      </c>
      <c r="I53" s="234" t="str">
        <f>IF($B53="","",IF($H53&lt;&gt;"Concluído","Não iniciado",IF(COUNTIF(Lançamentos!$B$3:$B$1001,$B53)=0,"Bloqueado",IF('E5 — Validação'!$D35="","Bloqueado",IF(COUNTIF('E5 — Validação'!$E35:$I35,"⛔ Bloqueado")&gt;0,"Bloqueado",IF('E5 — Validação'!$I35="N/A","Bloqueado",IF(AND('E5 — Validação'!$E35="✔ Concluído",'E5 — Validação'!$F35="✔ Concluído",OR('E5 — Validação'!$G35="✔ Concluído",'E5 — Validação'!$G35="N/A"),'E5 — Validação'!$H35="✔ Concluído",'E5 — Validação'!$I35="✔ Concluído"),"Concluído",IF(COUNTIF('E5 — Validação'!$E35:$I35,"✔ Concluído")+COUNTIF('E5 — Validação'!$E35:$I35,"🔄 Em andamento")&gt;0,"Em andamento","Não iniciado"))))))))</f>
        <v/>
      </c>
      <c r="J53" s="234" t="str">
        <f>IF($B53="","",IF($I53&lt;&gt;"Concluído","Não iniciado",IF('E6 — Ajustes'!$N35="Não","N/A",IF(COUNTIF(Lançamentos!$B$3:$B$1001,$B53)=0,"Bloqueado",IF('E6 — Ajustes'!$D35="","Bloqueado",IF(COUNTIF('E6 — Ajustes'!$E35:$J35,"⛔ Bloqueado")&gt;0,"Bloqueado",IF(AND('E6 — Ajustes'!$E35="✔ Concluído",'E6 — Ajustes'!$F35="✔ Concluído",'E6 — Ajustes'!$G35="✔ Concluído",'E6 — Ajustes'!$H35="✔ Concluído",OR('E6 — Ajustes'!$I35="✔ Concluído",'E6 — Ajustes'!$I35="N/A"),'E6 — Ajustes'!$J35="✔ Concluído"),"Concluído",IF(COUNTIF('E6 — Ajustes'!$E35:$J35,"✔ Concluído")+COUNTIF('E6 — Ajustes'!$E35:$J35,"🔄 Em andamento")&gt;0,"Em andamento","Não iniciado"))))))))</f>
        <v/>
      </c>
      <c r="K53" s="234" t="str">
        <f>IF($B53="","",IF($I53&lt;&gt;"Concluído","Não iniciado",IF(AND($J53&lt;&gt;"Concluído",$J53&lt;&gt;"N/A"),"Não iniciado",IF(COUNTIF(Lançamentos!$B$3:$B$1001,$B53)=0,"Bloqueado",IF('E7 — Entrega'!$D35="","Bloqueado",IF(COUNTIF('E7 — Entrega'!$E35:$H35,"⛔ Bloqueado")&gt;0,"Bloqueado",IF(COUNTIF('E7 — Entrega'!$E35:$H35,"✔ Concluído")=4,"Concluído",IF(COUNTIF('E7 — Entrega'!$E35:$H35,"✔ Concluído")+COUNTIF('E7 — Entrega'!$E35:$H35,"🔄 Em andamento")&gt;0,"Em andamento","Não iniciado"))))))))</f>
        <v/>
      </c>
      <c r="L53" s="234" t="str">
        <f>IF($B53="","",IF($K53&lt;&gt;"Concluído","Não iniciado",IF(OR(COUNTIF('E08 — Estabilização Hypercare'!$E35:$J35,"⛔ Bloqueado")&gt;0,'E08 — Estabilização Hypercare'!$N35="⛔ Incidente Crítico — Encerramento Bloqueado",AND('E08 — Estabilização Hypercare'!$N35="🆕 Evolução Identificada — Nova Demanda Aberta",'E08 — Estabilização Hypercare'!$U35="")),"Bloqueado",IF(AND('E08 — Estabilização Hypercare'!$E35="✔ Concluído",'E08 — Estabilização Hypercare'!$F35="✔ Concluído",'E08 — Estabilização Hypercare'!$G35="✔ Concluído",OR('E08 — Estabilização Hypercare'!$H35="✔ Concluído",'E08 — Estabilização Hypercare'!$H35="N/A"),'E08 — Estabilização Hypercare'!$I35="✔ Concluído",'E08 — Estabilização Hypercare'!$J35="✔ Concluído",OR('E08 — Estabilização Hypercare'!$N35="✅ Estável — Demanda Encerrada",AND('E08 — Estabilização Hypercare'!$N35="🆕 Evolução Identificada — Nova Demanda Aberta",'E08 — Estabilização Hypercare'!$U35&lt;&gt;""))),"Concluído",IF(OR(COUNTIF('E08 — Estabilização Hypercare'!$E35:$J35,"✔ Concluído")&gt;0,COUNTIF('E08 — Estabilização Hypercare'!$E35:$J35,"🔄 Em andamento")&gt;0,'E08 — Estabilização Hypercare'!$N35&lt;&gt;""),"Em andamento","Não iniciado")))))</f>
        <v/>
      </c>
      <c r="M53" s="236" t="str" cm="1">
        <f t="array" ref="M53">IF(B53="","",_xlfn.IFS(E53&lt;&gt;"Concluído","E1 — Solicitação",F53&lt;&gt;"Concluído","E2 — Triagem",G53&lt;&gt;"Concluído","E3 — Levantamento ⚠",H53&lt;&gt;"Concluído","E4 — Execução",I53&lt;&gt;"Concluído","E5 — Validação ⚠",AND(J53&lt;&gt;"Concluído",J53&lt;&gt;"N/A"),"E6 — Ajustes",K53&lt;&gt;"Concluído","E7 — Entrega",L53&lt;&gt;"Concluído","E08 — Estabilização / Hypercare",TRUE,"✔ Fluxo concluído"))</f>
        <v/>
      </c>
      <c r="N53" s="237" t="str">
        <f t="shared" si="0"/>
        <v/>
      </c>
      <c r="O53" s="238"/>
    </row>
    <row r="54" spans="2:15" ht="15" customHeight="1" x14ac:dyDescent="0.35">
      <c r="B54" s="234" t="str">
        <f>IF(Lançamentos!$B31="","",Lançamentos!$B31)</f>
        <v/>
      </c>
      <c r="C54" s="235" t="str">
        <f>IF($B54="","",Lançamentos!$J31)</f>
        <v/>
      </c>
      <c r="D54" s="235" t="str">
        <f>IF($B54="","",Lançamentos!$H31)</f>
        <v/>
      </c>
      <c r="E54" s="234" t="str">
        <f>IF($B54="","",IF(COUNTIF(Lançamentos!$B$3:$B$1001,$B54)=0,"Bloqueado",IF(COUNTIF('E1 — Solicitação'!$E36:$L36,"⛔ Bloqueado")&gt;0,"Bloqueado",IF(COUNTIF('E1 — Solicitação'!$E36:$L36,"N/A")=8,"Bloqueado",IF(COUNTIF('E1 — Solicitação'!$E36:$L36,"✔ Concluído")+COUNTIF('E1 — Solicitação'!$E36:$L36,"N/A")=8,"Concluído",IF(COUNTIF('E1 — Solicitação'!$E36:$L36,"✔ Concluído")+COUNTIF('E1 — Solicitação'!$E36:$L36,"🔄 Em andamento")&gt;0,"Em andamento","Não iniciado"))))))</f>
        <v/>
      </c>
      <c r="F54" s="234" t="str">
        <f>IF($B54="","",IF($E54&lt;&gt;"Concluído","Não iniciado",IF(COUNTIF(Lançamentos!$B$3:$B$1001,$B54)=0,"Bloqueado",IF('E2 — Triagem'!$D36="","Bloqueado",IF(COUNTIF('E2 — Triagem'!$E36:$L36,"N/A")=8,"Bloqueado",IF(COUNTIF('E2 — Triagem'!$E36:$L36,"⛔ Bloqueado")&gt;0,"Bloqueado",IF(COUNTIF('E2 — Triagem'!$E36:$L36,"✔ Concluído")+COUNTIF('E2 — Triagem'!$E36:$L36,"N/A")=8,"Concluído",IF(COUNTIF('E2 — Triagem'!$E36:$L36,"✔ Concluído")+COUNTIF('E2 — Triagem'!$E36:$L36,"🔄 Em andamento")&gt;0,"Em andamento","Não iniciado"))))))))</f>
        <v/>
      </c>
      <c r="G54" s="234" t="str">
        <f>IF($B54="","",IF($F54&lt;&gt;"Concluído","Não iniciado",IF(COUNTIF(Lançamentos!$B$3:$B$1001,$B54)=0,"Bloqueado",IF('E3 — Levantamento'!$D36="","Bloqueado",IF(COUNTIF('E3 — Levantamento'!$E36:$I36,"⛔ Bloqueado")&gt;0,"Bloqueado",IF('E3 — Levantamento'!$I36="N/A","Bloqueado",IF(COUNTIF('E3 — Levantamento'!$E36:$I36,"✔ Concluído")=5,"Concluído",IF(COUNTIF('E3 — Levantamento'!$E36:$I36,"✔ Concluído")+COUNTIF('E3 — Levantamento'!$E36:$I36,"🔄 Em andamento")&gt;0,"Em andamento","Não iniciado"))))))))</f>
        <v/>
      </c>
      <c r="H54" s="234" t="str">
        <f>IF($B54="","",IF($G54&lt;&gt;"Concluído","Não iniciado",IF(COUNTIF(Lançamentos!$B$3:$B$1001,$B54)=0,"Bloqueado",IF('E4 — Execução'!$D36="","Bloqueado",IF(COUNTIF('E4 — Execução'!$E36:$K36,"⛔ Bloqueado")&gt;0,"Bloqueado",IF(COUNTIF('E4 — Execução'!$E36:$K36,"✔ Concluído")=7,"Concluído",IF(COUNTIF('E4 — Execução'!$E36:$K36,"✔ Concluído")+COUNTIF('E4 — Execução'!$E36:$K36,"🔄 Em andamento")&gt;0,"Em andamento","Não iniciado")))))))</f>
        <v/>
      </c>
      <c r="I54" s="234" t="str">
        <f>IF($B54="","",IF($H54&lt;&gt;"Concluído","Não iniciado",IF(COUNTIF(Lançamentos!$B$3:$B$1001,$B54)=0,"Bloqueado",IF('E5 — Validação'!$D36="","Bloqueado",IF(COUNTIF('E5 — Validação'!$E36:$I36,"⛔ Bloqueado")&gt;0,"Bloqueado",IF('E5 — Validação'!$I36="N/A","Bloqueado",IF(AND('E5 — Validação'!$E36="✔ Concluído",'E5 — Validação'!$F36="✔ Concluído",OR('E5 — Validação'!$G36="✔ Concluído",'E5 — Validação'!$G36="N/A"),'E5 — Validação'!$H36="✔ Concluído",'E5 — Validação'!$I36="✔ Concluído"),"Concluído",IF(COUNTIF('E5 — Validação'!$E36:$I36,"✔ Concluído")+COUNTIF('E5 — Validação'!$E36:$I36,"🔄 Em andamento")&gt;0,"Em andamento","Não iniciado"))))))))</f>
        <v/>
      </c>
      <c r="J54" s="234" t="str">
        <f>IF($B54="","",IF($I54&lt;&gt;"Concluído","Não iniciado",IF('E6 — Ajustes'!$N36="Não","N/A",IF(COUNTIF(Lançamentos!$B$3:$B$1001,$B54)=0,"Bloqueado",IF('E6 — Ajustes'!$D36="","Bloqueado",IF(COUNTIF('E6 — Ajustes'!$E36:$J36,"⛔ Bloqueado")&gt;0,"Bloqueado",IF(AND('E6 — Ajustes'!$E36="✔ Concluído",'E6 — Ajustes'!$F36="✔ Concluído",'E6 — Ajustes'!$G36="✔ Concluído",'E6 — Ajustes'!$H36="✔ Concluído",OR('E6 — Ajustes'!$I36="✔ Concluído",'E6 — Ajustes'!$I36="N/A"),'E6 — Ajustes'!$J36="✔ Concluído"),"Concluído",IF(COUNTIF('E6 — Ajustes'!$E36:$J36,"✔ Concluído")+COUNTIF('E6 — Ajustes'!$E36:$J36,"🔄 Em andamento")&gt;0,"Em andamento","Não iniciado"))))))))</f>
        <v/>
      </c>
      <c r="K54" s="234" t="str">
        <f>IF($B54="","",IF($I54&lt;&gt;"Concluído","Não iniciado",IF(AND($J54&lt;&gt;"Concluído",$J54&lt;&gt;"N/A"),"Não iniciado",IF(COUNTIF(Lançamentos!$B$3:$B$1001,$B54)=0,"Bloqueado",IF('E7 — Entrega'!$D36="","Bloqueado",IF(COUNTIF('E7 — Entrega'!$E36:$H36,"⛔ Bloqueado")&gt;0,"Bloqueado",IF(COUNTIF('E7 — Entrega'!$E36:$H36,"✔ Concluído")=4,"Concluído",IF(COUNTIF('E7 — Entrega'!$E36:$H36,"✔ Concluído")+COUNTIF('E7 — Entrega'!$E36:$H36,"🔄 Em andamento")&gt;0,"Em andamento","Não iniciado"))))))))</f>
        <v/>
      </c>
      <c r="L54" s="234" t="str">
        <f>IF($B54="","",IF($K54&lt;&gt;"Concluído","Não iniciado",IF(OR(COUNTIF('E08 — Estabilização Hypercare'!$E36:$J36,"⛔ Bloqueado")&gt;0,'E08 — Estabilização Hypercare'!$N36="⛔ Incidente Crítico — Encerramento Bloqueado",AND('E08 — Estabilização Hypercare'!$N36="🆕 Evolução Identificada — Nova Demanda Aberta",'E08 — Estabilização Hypercare'!$U36="")),"Bloqueado",IF(AND('E08 — Estabilização Hypercare'!$E36="✔ Concluído",'E08 — Estabilização Hypercare'!$F36="✔ Concluído",'E08 — Estabilização Hypercare'!$G36="✔ Concluído",OR('E08 — Estabilização Hypercare'!$H36="✔ Concluído",'E08 — Estabilização Hypercare'!$H36="N/A"),'E08 — Estabilização Hypercare'!$I36="✔ Concluído",'E08 — Estabilização Hypercare'!$J36="✔ Concluído",OR('E08 — Estabilização Hypercare'!$N36="✅ Estável — Demanda Encerrada",AND('E08 — Estabilização Hypercare'!$N36="🆕 Evolução Identificada — Nova Demanda Aberta",'E08 — Estabilização Hypercare'!$U36&lt;&gt;""))),"Concluído",IF(OR(COUNTIF('E08 — Estabilização Hypercare'!$E36:$J36,"✔ Concluído")&gt;0,COUNTIF('E08 — Estabilização Hypercare'!$E36:$J36,"🔄 Em andamento")&gt;0,'E08 — Estabilização Hypercare'!$N36&lt;&gt;""),"Em andamento","Não iniciado")))))</f>
        <v/>
      </c>
      <c r="M54" s="236" t="str" cm="1">
        <f t="array" ref="M54">IF(B54="","",_xlfn.IFS(E54&lt;&gt;"Concluído","E1 — Solicitação",F54&lt;&gt;"Concluído","E2 — Triagem",G54&lt;&gt;"Concluído","E3 — Levantamento ⚠",H54&lt;&gt;"Concluído","E4 — Execução",I54&lt;&gt;"Concluído","E5 — Validação ⚠",AND(J54&lt;&gt;"Concluído",J54&lt;&gt;"N/A"),"E6 — Ajustes",K54&lt;&gt;"Concluído","E7 — Entrega",L54&lt;&gt;"Concluído","E08 — Estabilização / Hypercare",TRUE,"✔ Fluxo concluído"))</f>
        <v/>
      </c>
      <c r="N54" s="237" t="str">
        <f t="shared" si="0"/>
        <v/>
      </c>
      <c r="O54" s="238"/>
    </row>
    <row r="55" spans="2:15" ht="15" customHeight="1" x14ac:dyDescent="0.35">
      <c r="B55" s="234" t="str">
        <f>IF(Lançamentos!$B32="","",Lançamentos!$B32)</f>
        <v/>
      </c>
      <c r="C55" s="235" t="str">
        <f>IF($B55="","",Lançamentos!$J32)</f>
        <v/>
      </c>
      <c r="D55" s="235" t="str">
        <f>IF($B55="","",Lançamentos!$H32)</f>
        <v/>
      </c>
      <c r="E55" s="234" t="str">
        <f>IF($B55="","",IF(COUNTIF(Lançamentos!$B$3:$B$1001,$B55)=0,"Bloqueado",IF(COUNTIF('E1 — Solicitação'!$E37:$L37,"⛔ Bloqueado")&gt;0,"Bloqueado",IF(COUNTIF('E1 — Solicitação'!$E37:$L37,"N/A")=8,"Bloqueado",IF(COUNTIF('E1 — Solicitação'!$E37:$L37,"✔ Concluído")+COUNTIF('E1 — Solicitação'!$E37:$L37,"N/A")=8,"Concluído",IF(COUNTIF('E1 — Solicitação'!$E37:$L37,"✔ Concluído")+COUNTIF('E1 — Solicitação'!$E37:$L37,"🔄 Em andamento")&gt;0,"Em andamento","Não iniciado"))))))</f>
        <v/>
      </c>
      <c r="F55" s="234" t="str">
        <f>IF($B55="","",IF($E55&lt;&gt;"Concluído","Não iniciado",IF(COUNTIF(Lançamentos!$B$3:$B$1001,$B55)=0,"Bloqueado",IF('E2 — Triagem'!$D37="","Bloqueado",IF(COUNTIF('E2 — Triagem'!$E37:$L37,"N/A")=8,"Bloqueado",IF(COUNTIF('E2 — Triagem'!$E37:$L37,"⛔ Bloqueado")&gt;0,"Bloqueado",IF(COUNTIF('E2 — Triagem'!$E37:$L37,"✔ Concluído")+COUNTIF('E2 — Triagem'!$E37:$L37,"N/A")=8,"Concluído",IF(COUNTIF('E2 — Triagem'!$E37:$L37,"✔ Concluído")+COUNTIF('E2 — Triagem'!$E37:$L37,"🔄 Em andamento")&gt;0,"Em andamento","Não iniciado"))))))))</f>
        <v/>
      </c>
      <c r="G55" s="234" t="str">
        <f>IF($B55="","",IF($F55&lt;&gt;"Concluído","Não iniciado",IF(COUNTIF(Lançamentos!$B$3:$B$1001,$B55)=0,"Bloqueado",IF('E3 — Levantamento'!$D37="","Bloqueado",IF(COUNTIF('E3 — Levantamento'!$E37:$I37,"⛔ Bloqueado")&gt;0,"Bloqueado",IF('E3 — Levantamento'!$I37="N/A","Bloqueado",IF(COUNTIF('E3 — Levantamento'!$E37:$I37,"✔ Concluído")=5,"Concluído",IF(COUNTIF('E3 — Levantamento'!$E37:$I37,"✔ Concluído")+COUNTIF('E3 — Levantamento'!$E37:$I37,"🔄 Em andamento")&gt;0,"Em andamento","Não iniciado"))))))))</f>
        <v/>
      </c>
      <c r="H55" s="234" t="str">
        <f>IF($B55="","",IF($G55&lt;&gt;"Concluído","Não iniciado",IF(COUNTIF(Lançamentos!$B$3:$B$1001,$B55)=0,"Bloqueado",IF('E4 — Execução'!$D37="","Bloqueado",IF(COUNTIF('E4 — Execução'!$E37:$K37,"⛔ Bloqueado")&gt;0,"Bloqueado",IF(COUNTIF('E4 — Execução'!$E37:$K37,"✔ Concluído")=7,"Concluído",IF(COUNTIF('E4 — Execução'!$E37:$K37,"✔ Concluído")+COUNTIF('E4 — Execução'!$E37:$K37,"🔄 Em andamento")&gt;0,"Em andamento","Não iniciado")))))))</f>
        <v/>
      </c>
      <c r="I55" s="234" t="str">
        <f>IF($B55="","",IF($H55&lt;&gt;"Concluído","Não iniciado",IF(COUNTIF(Lançamentos!$B$3:$B$1001,$B55)=0,"Bloqueado",IF('E5 — Validação'!$D37="","Bloqueado",IF(COUNTIF('E5 — Validação'!$E37:$I37,"⛔ Bloqueado")&gt;0,"Bloqueado",IF('E5 — Validação'!$I37="N/A","Bloqueado",IF(AND('E5 — Validação'!$E37="✔ Concluído",'E5 — Validação'!$F37="✔ Concluído",OR('E5 — Validação'!$G37="✔ Concluído",'E5 — Validação'!$G37="N/A"),'E5 — Validação'!$H37="✔ Concluído",'E5 — Validação'!$I37="✔ Concluído"),"Concluído",IF(COUNTIF('E5 — Validação'!$E37:$I37,"✔ Concluído")+COUNTIF('E5 — Validação'!$E37:$I37,"🔄 Em andamento")&gt;0,"Em andamento","Não iniciado"))))))))</f>
        <v/>
      </c>
      <c r="J55" s="234" t="str">
        <f>IF($B55="","",IF($I55&lt;&gt;"Concluído","Não iniciado",IF('E6 — Ajustes'!$N37="Não","N/A",IF(COUNTIF(Lançamentos!$B$3:$B$1001,$B55)=0,"Bloqueado",IF('E6 — Ajustes'!$D37="","Bloqueado",IF(COUNTIF('E6 — Ajustes'!$E37:$J37,"⛔ Bloqueado")&gt;0,"Bloqueado",IF(AND('E6 — Ajustes'!$E37="✔ Concluído",'E6 — Ajustes'!$F37="✔ Concluído",'E6 — Ajustes'!$G37="✔ Concluído",'E6 — Ajustes'!$H37="✔ Concluído",OR('E6 — Ajustes'!$I37="✔ Concluído",'E6 — Ajustes'!$I37="N/A"),'E6 — Ajustes'!$J37="✔ Concluído"),"Concluído",IF(COUNTIF('E6 — Ajustes'!$E37:$J37,"✔ Concluído")+COUNTIF('E6 — Ajustes'!$E37:$J37,"🔄 Em andamento")&gt;0,"Em andamento","Não iniciado"))))))))</f>
        <v/>
      </c>
      <c r="K55" s="234" t="str">
        <f>IF($B55="","",IF($I55&lt;&gt;"Concluído","Não iniciado",IF(AND($J55&lt;&gt;"Concluído",$J55&lt;&gt;"N/A"),"Não iniciado",IF(COUNTIF(Lançamentos!$B$3:$B$1001,$B55)=0,"Bloqueado",IF('E7 — Entrega'!$D37="","Bloqueado",IF(COUNTIF('E7 — Entrega'!$E37:$H37,"⛔ Bloqueado")&gt;0,"Bloqueado",IF(COUNTIF('E7 — Entrega'!$E37:$H37,"✔ Concluído")=4,"Concluído",IF(COUNTIF('E7 — Entrega'!$E37:$H37,"✔ Concluído")+COUNTIF('E7 — Entrega'!$E37:$H37,"🔄 Em andamento")&gt;0,"Em andamento","Não iniciado"))))))))</f>
        <v/>
      </c>
      <c r="L55" s="234" t="str">
        <f>IF($B55="","",IF($K55&lt;&gt;"Concluído","Não iniciado",IF(OR(COUNTIF('E08 — Estabilização Hypercare'!$E37:$J37,"⛔ Bloqueado")&gt;0,'E08 — Estabilização Hypercare'!$N37="⛔ Incidente Crítico — Encerramento Bloqueado",AND('E08 — Estabilização Hypercare'!$N37="🆕 Evolução Identificada — Nova Demanda Aberta",'E08 — Estabilização Hypercare'!$U37="")),"Bloqueado",IF(AND('E08 — Estabilização Hypercare'!$E37="✔ Concluído",'E08 — Estabilização Hypercare'!$F37="✔ Concluído",'E08 — Estabilização Hypercare'!$G37="✔ Concluído",OR('E08 — Estabilização Hypercare'!$H37="✔ Concluído",'E08 — Estabilização Hypercare'!$H37="N/A"),'E08 — Estabilização Hypercare'!$I37="✔ Concluído",'E08 — Estabilização Hypercare'!$J37="✔ Concluído",OR('E08 — Estabilização Hypercare'!$N37="✅ Estável — Demanda Encerrada",AND('E08 — Estabilização Hypercare'!$N37="🆕 Evolução Identificada — Nova Demanda Aberta",'E08 — Estabilização Hypercare'!$U37&lt;&gt;""))),"Concluído",IF(OR(COUNTIF('E08 — Estabilização Hypercare'!$E37:$J37,"✔ Concluído")&gt;0,COUNTIF('E08 — Estabilização Hypercare'!$E37:$J37,"🔄 Em andamento")&gt;0,'E08 — Estabilização Hypercare'!$N37&lt;&gt;""),"Em andamento","Não iniciado")))))</f>
        <v/>
      </c>
      <c r="M55" s="236" t="str" cm="1">
        <f t="array" ref="M55">IF(B55="","",_xlfn.IFS(E55&lt;&gt;"Concluído","E1 — Solicitação",F55&lt;&gt;"Concluído","E2 — Triagem",G55&lt;&gt;"Concluído","E3 — Levantamento ⚠",H55&lt;&gt;"Concluído","E4 — Execução",I55&lt;&gt;"Concluído","E5 — Validação ⚠",AND(J55&lt;&gt;"Concluído",J55&lt;&gt;"N/A"),"E6 — Ajustes",K55&lt;&gt;"Concluído","E7 — Entrega",L55&lt;&gt;"Concluído","E08 — Estabilização / Hypercare",TRUE,"✔ Fluxo concluído"))</f>
        <v/>
      </c>
      <c r="N55" s="237" t="str">
        <f t="shared" si="0"/>
        <v/>
      </c>
      <c r="O55" s="238"/>
    </row>
    <row r="56" spans="2:15" ht="15" customHeight="1" x14ac:dyDescent="0.35">
      <c r="B56" s="234" t="str">
        <f>IF(Lançamentos!$B33="","",Lançamentos!$B33)</f>
        <v/>
      </c>
      <c r="C56" s="235" t="str">
        <f>IF($B56="","",Lançamentos!$J33)</f>
        <v/>
      </c>
      <c r="D56" s="235" t="str">
        <f>IF($B56="","",Lançamentos!$H33)</f>
        <v/>
      </c>
      <c r="E56" s="234" t="str">
        <f>IF($B56="","",IF(COUNTIF(Lançamentos!$B$3:$B$1001,$B56)=0,"Bloqueado",IF(COUNTIF('E1 — Solicitação'!$E38:$L38,"⛔ Bloqueado")&gt;0,"Bloqueado",IF(COUNTIF('E1 — Solicitação'!$E38:$L38,"N/A")=8,"Bloqueado",IF(COUNTIF('E1 — Solicitação'!$E38:$L38,"✔ Concluído")+COUNTIF('E1 — Solicitação'!$E38:$L38,"N/A")=8,"Concluído",IF(COUNTIF('E1 — Solicitação'!$E38:$L38,"✔ Concluído")+COUNTIF('E1 — Solicitação'!$E38:$L38,"🔄 Em andamento")&gt;0,"Em andamento","Não iniciado"))))))</f>
        <v/>
      </c>
      <c r="F56" s="234" t="str">
        <f>IF($B56="","",IF($E56&lt;&gt;"Concluído","Não iniciado",IF(COUNTIF(Lançamentos!$B$3:$B$1001,$B56)=0,"Bloqueado",IF('E2 — Triagem'!$D38="","Bloqueado",IF(COUNTIF('E2 — Triagem'!$E38:$L38,"N/A")=8,"Bloqueado",IF(COUNTIF('E2 — Triagem'!$E38:$L38,"⛔ Bloqueado")&gt;0,"Bloqueado",IF(COUNTIF('E2 — Triagem'!$E38:$L38,"✔ Concluído")+COUNTIF('E2 — Triagem'!$E38:$L38,"N/A")=8,"Concluído",IF(COUNTIF('E2 — Triagem'!$E38:$L38,"✔ Concluído")+COUNTIF('E2 — Triagem'!$E38:$L38,"🔄 Em andamento")&gt;0,"Em andamento","Não iniciado"))))))))</f>
        <v/>
      </c>
      <c r="G56" s="234" t="str">
        <f>IF($B56="","",IF($F56&lt;&gt;"Concluído","Não iniciado",IF(COUNTIF(Lançamentos!$B$3:$B$1001,$B56)=0,"Bloqueado",IF('E3 — Levantamento'!$D38="","Bloqueado",IF(COUNTIF('E3 — Levantamento'!$E38:$I38,"⛔ Bloqueado")&gt;0,"Bloqueado",IF('E3 — Levantamento'!$I38="N/A","Bloqueado",IF(COUNTIF('E3 — Levantamento'!$E38:$I38,"✔ Concluído")=5,"Concluído",IF(COUNTIF('E3 — Levantamento'!$E38:$I38,"✔ Concluído")+COUNTIF('E3 — Levantamento'!$E38:$I38,"🔄 Em andamento")&gt;0,"Em andamento","Não iniciado"))))))))</f>
        <v/>
      </c>
      <c r="H56" s="234" t="str">
        <f>IF($B56="","",IF($G56&lt;&gt;"Concluído","Não iniciado",IF(COUNTIF(Lançamentos!$B$3:$B$1001,$B56)=0,"Bloqueado",IF('E4 — Execução'!$D38="","Bloqueado",IF(COUNTIF('E4 — Execução'!$E38:$K38,"⛔ Bloqueado")&gt;0,"Bloqueado",IF(COUNTIF('E4 — Execução'!$E38:$K38,"✔ Concluído")=7,"Concluído",IF(COUNTIF('E4 — Execução'!$E38:$K38,"✔ Concluído")+COUNTIF('E4 — Execução'!$E38:$K38,"🔄 Em andamento")&gt;0,"Em andamento","Não iniciado")))))))</f>
        <v/>
      </c>
      <c r="I56" s="234" t="str">
        <f>IF($B56="","",IF($H56&lt;&gt;"Concluído","Não iniciado",IF(COUNTIF(Lançamentos!$B$3:$B$1001,$B56)=0,"Bloqueado",IF('E5 — Validação'!$D38="","Bloqueado",IF(COUNTIF('E5 — Validação'!$E38:$I38,"⛔ Bloqueado")&gt;0,"Bloqueado",IF('E5 — Validação'!$I38="N/A","Bloqueado",IF(AND('E5 — Validação'!$E38="✔ Concluído",'E5 — Validação'!$F38="✔ Concluído",OR('E5 — Validação'!$G38="✔ Concluído",'E5 — Validação'!$G38="N/A"),'E5 — Validação'!$H38="✔ Concluído",'E5 — Validação'!$I38="✔ Concluído"),"Concluído",IF(COUNTIF('E5 — Validação'!$E38:$I38,"✔ Concluído")+COUNTIF('E5 — Validação'!$E38:$I38,"🔄 Em andamento")&gt;0,"Em andamento","Não iniciado"))))))))</f>
        <v/>
      </c>
      <c r="J56" s="234" t="str">
        <f>IF($B56="","",IF($I56&lt;&gt;"Concluído","Não iniciado",IF('E6 — Ajustes'!$N38="Não","N/A",IF(COUNTIF(Lançamentos!$B$3:$B$1001,$B56)=0,"Bloqueado",IF('E6 — Ajustes'!$D38="","Bloqueado",IF(COUNTIF('E6 — Ajustes'!$E38:$J38,"⛔ Bloqueado")&gt;0,"Bloqueado",IF(AND('E6 — Ajustes'!$E38="✔ Concluído",'E6 — Ajustes'!$F38="✔ Concluído",'E6 — Ajustes'!$G38="✔ Concluído",'E6 — Ajustes'!$H38="✔ Concluído",OR('E6 — Ajustes'!$I38="✔ Concluído",'E6 — Ajustes'!$I38="N/A"),'E6 — Ajustes'!$J38="✔ Concluído"),"Concluído",IF(COUNTIF('E6 — Ajustes'!$E38:$J38,"✔ Concluído")+COUNTIF('E6 — Ajustes'!$E38:$J38,"🔄 Em andamento")&gt;0,"Em andamento","Não iniciado"))))))))</f>
        <v/>
      </c>
      <c r="K56" s="234" t="str">
        <f>IF($B56="","",IF($I56&lt;&gt;"Concluído","Não iniciado",IF(AND($J56&lt;&gt;"Concluído",$J56&lt;&gt;"N/A"),"Não iniciado",IF(COUNTIF(Lançamentos!$B$3:$B$1001,$B56)=0,"Bloqueado",IF('E7 — Entrega'!$D38="","Bloqueado",IF(COUNTIF('E7 — Entrega'!$E38:$H38,"⛔ Bloqueado")&gt;0,"Bloqueado",IF(COUNTIF('E7 — Entrega'!$E38:$H38,"✔ Concluído")=4,"Concluído",IF(COUNTIF('E7 — Entrega'!$E38:$H38,"✔ Concluído")+COUNTIF('E7 — Entrega'!$E38:$H38,"🔄 Em andamento")&gt;0,"Em andamento","Não iniciado"))))))))</f>
        <v/>
      </c>
      <c r="L56" s="234" t="str">
        <f>IF($B56="","",IF($K56&lt;&gt;"Concluído","Não iniciado",IF(OR(COUNTIF('E08 — Estabilização Hypercare'!$E38:$J38,"⛔ Bloqueado")&gt;0,'E08 — Estabilização Hypercare'!$N38="⛔ Incidente Crítico — Encerramento Bloqueado",AND('E08 — Estabilização Hypercare'!$N38="🆕 Evolução Identificada — Nova Demanda Aberta",'E08 — Estabilização Hypercare'!$U38="")),"Bloqueado",IF(AND('E08 — Estabilização Hypercare'!$E38="✔ Concluído",'E08 — Estabilização Hypercare'!$F38="✔ Concluído",'E08 — Estabilização Hypercare'!$G38="✔ Concluído",OR('E08 — Estabilização Hypercare'!$H38="✔ Concluído",'E08 — Estabilização Hypercare'!$H38="N/A"),'E08 — Estabilização Hypercare'!$I38="✔ Concluído",'E08 — Estabilização Hypercare'!$J38="✔ Concluído",OR('E08 — Estabilização Hypercare'!$N38="✅ Estável — Demanda Encerrada",AND('E08 — Estabilização Hypercare'!$N38="🆕 Evolução Identificada — Nova Demanda Aberta",'E08 — Estabilização Hypercare'!$U38&lt;&gt;""))),"Concluído",IF(OR(COUNTIF('E08 — Estabilização Hypercare'!$E38:$J38,"✔ Concluído")&gt;0,COUNTIF('E08 — Estabilização Hypercare'!$E38:$J38,"🔄 Em andamento")&gt;0,'E08 — Estabilização Hypercare'!$N38&lt;&gt;""),"Em andamento","Não iniciado")))))</f>
        <v/>
      </c>
      <c r="M56" s="236" t="str" cm="1">
        <f t="array" ref="M56">IF(B56="","",_xlfn.IFS(E56&lt;&gt;"Concluído","E1 — Solicitação",F56&lt;&gt;"Concluído","E2 — Triagem",G56&lt;&gt;"Concluído","E3 — Levantamento ⚠",H56&lt;&gt;"Concluído","E4 — Execução",I56&lt;&gt;"Concluído","E5 — Validação ⚠",AND(J56&lt;&gt;"Concluído",J56&lt;&gt;"N/A"),"E6 — Ajustes",K56&lt;&gt;"Concluído","E7 — Entrega",L56&lt;&gt;"Concluído","E08 — Estabilização / Hypercare",TRUE,"✔ Fluxo concluído"))</f>
        <v/>
      </c>
      <c r="N56" s="237" t="str">
        <f t="shared" si="0"/>
        <v/>
      </c>
      <c r="O56" s="238"/>
    </row>
    <row r="57" spans="2:15" ht="15" customHeight="1" x14ac:dyDescent="0.35">
      <c r="B57" s="234" t="str">
        <f>IF(Lançamentos!$B34="","",Lançamentos!$B34)</f>
        <v/>
      </c>
      <c r="C57" s="235" t="str">
        <f>IF($B57="","",Lançamentos!$J34)</f>
        <v/>
      </c>
      <c r="D57" s="235" t="str">
        <f>IF($B57="","",Lançamentos!$H34)</f>
        <v/>
      </c>
      <c r="E57" s="234" t="str">
        <f>IF($B57="","",IF(COUNTIF(Lançamentos!$B$3:$B$1001,$B57)=0,"Bloqueado",IF(COUNTIF('E1 — Solicitação'!$E39:$L39,"⛔ Bloqueado")&gt;0,"Bloqueado",IF(COUNTIF('E1 — Solicitação'!$E39:$L39,"N/A")=8,"Bloqueado",IF(COUNTIF('E1 — Solicitação'!$E39:$L39,"✔ Concluído")+COUNTIF('E1 — Solicitação'!$E39:$L39,"N/A")=8,"Concluído",IF(COUNTIF('E1 — Solicitação'!$E39:$L39,"✔ Concluído")+COUNTIF('E1 — Solicitação'!$E39:$L39,"🔄 Em andamento")&gt;0,"Em andamento","Não iniciado"))))))</f>
        <v/>
      </c>
      <c r="F57" s="234" t="str">
        <f>IF($B57="","",IF($E57&lt;&gt;"Concluído","Não iniciado",IF(COUNTIF(Lançamentos!$B$3:$B$1001,$B57)=0,"Bloqueado",IF('E2 — Triagem'!$D39="","Bloqueado",IF(COUNTIF('E2 — Triagem'!$E39:$L39,"N/A")=8,"Bloqueado",IF(COUNTIF('E2 — Triagem'!$E39:$L39,"⛔ Bloqueado")&gt;0,"Bloqueado",IF(COUNTIF('E2 — Triagem'!$E39:$L39,"✔ Concluído")+COUNTIF('E2 — Triagem'!$E39:$L39,"N/A")=8,"Concluído",IF(COUNTIF('E2 — Triagem'!$E39:$L39,"✔ Concluído")+COUNTIF('E2 — Triagem'!$E39:$L39,"🔄 Em andamento")&gt;0,"Em andamento","Não iniciado"))))))))</f>
        <v/>
      </c>
      <c r="G57" s="234" t="str">
        <f>IF($B57="","",IF($F57&lt;&gt;"Concluído","Não iniciado",IF(COUNTIF(Lançamentos!$B$3:$B$1001,$B57)=0,"Bloqueado",IF('E3 — Levantamento'!$D39="","Bloqueado",IF(COUNTIF('E3 — Levantamento'!$E39:$I39,"⛔ Bloqueado")&gt;0,"Bloqueado",IF('E3 — Levantamento'!$I39="N/A","Bloqueado",IF(COUNTIF('E3 — Levantamento'!$E39:$I39,"✔ Concluído")=5,"Concluído",IF(COUNTIF('E3 — Levantamento'!$E39:$I39,"✔ Concluído")+COUNTIF('E3 — Levantamento'!$E39:$I39,"🔄 Em andamento")&gt;0,"Em andamento","Não iniciado"))))))))</f>
        <v/>
      </c>
      <c r="H57" s="234" t="str">
        <f>IF($B57="","",IF($G57&lt;&gt;"Concluído","Não iniciado",IF(COUNTIF(Lançamentos!$B$3:$B$1001,$B57)=0,"Bloqueado",IF('E4 — Execução'!$D39="","Bloqueado",IF(COUNTIF('E4 — Execução'!$E39:$K39,"⛔ Bloqueado")&gt;0,"Bloqueado",IF(COUNTIF('E4 — Execução'!$E39:$K39,"✔ Concluído")=7,"Concluído",IF(COUNTIF('E4 — Execução'!$E39:$K39,"✔ Concluído")+COUNTIF('E4 — Execução'!$E39:$K39,"🔄 Em andamento")&gt;0,"Em andamento","Não iniciado")))))))</f>
        <v/>
      </c>
      <c r="I57" s="234" t="str">
        <f>IF($B57="","",IF($H57&lt;&gt;"Concluído","Não iniciado",IF(COUNTIF(Lançamentos!$B$3:$B$1001,$B57)=0,"Bloqueado",IF('E5 — Validação'!$D39="","Bloqueado",IF(COUNTIF('E5 — Validação'!$E39:$I39,"⛔ Bloqueado")&gt;0,"Bloqueado",IF('E5 — Validação'!$I39="N/A","Bloqueado",IF(AND('E5 — Validação'!$E39="✔ Concluído",'E5 — Validação'!$F39="✔ Concluído",OR('E5 — Validação'!$G39="✔ Concluído",'E5 — Validação'!$G39="N/A"),'E5 — Validação'!$H39="✔ Concluído",'E5 — Validação'!$I39="✔ Concluído"),"Concluído",IF(COUNTIF('E5 — Validação'!$E39:$I39,"✔ Concluído")+COUNTIF('E5 — Validação'!$E39:$I39,"🔄 Em andamento")&gt;0,"Em andamento","Não iniciado"))))))))</f>
        <v/>
      </c>
      <c r="J57" s="234" t="str">
        <f>IF($B57="","",IF($I57&lt;&gt;"Concluído","Não iniciado",IF('E6 — Ajustes'!$N39="Não","N/A",IF(COUNTIF(Lançamentos!$B$3:$B$1001,$B57)=0,"Bloqueado",IF('E6 — Ajustes'!$D39="","Bloqueado",IF(COUNTIF('E6 — Ajustes'!$E39:$J39,"⛔ Bloqueado")&gt;0,"Bloqueado",IF(AND('E6 — Ajustes'!$E39="✔ Concluído",'E6 — Ajustes'!$F39="✔ Concluído",'E6 — Ajustes'!$G39="✔ Concluído",'E6 — Ajustes'!$H39="✔ Concluído",OR('E6 — Ajustes'!$I39="✔ Concluído",'E6 — Ajustes'!$I39="N/A"),'E6 — Ajustes'!$J39="✔ Concluído"),"Concluído",IF(COUNTIF('E6 — Ajustes'!$E39:$J39,"✔ Concluído")+COUNTIF('E6 — Ajustes'!$E39:$J39,"🔄 Em andamento")&gt;0,"Em andamento","Não iniciado"))))))))</f>
        <v/>
      </c>
      <c r="K57" s="234" t="str">
        <f>IF($B57="","",IF($I57&lt;&gt;"Concluído","Não iniciado",IF(AND($J57&lt;&gt;"Concluído",$J57&lt;&gt;"N/A"),"Não iniciado",IF(COUNTIF(Lançamentos!$B$3:$B$1001,$B57)=0,"Bloqueado",IF('E7 — Entrega'!$D39="","Bloqueado",IF(COUNTIF('E7 — Entrega'!$E39:$H39,"⛔ Bloqueado")&gt;0,"Bloqueado",IF(COUNTIF('E7 — Entrega'!$E39:$H39,"✔ Concluído")=4,"Concluído",IF(COUNTIF('E7 — Entrega'!$E39:$H39,"✔ Concluído")+COUNTIF('E7 — Entrega'!$E39:$H39,"🔄 Em andamento")&gt;0,"Em andamento","Não iniciado"))))))))</f>
        <v/>
      </c>
      <c r="L57" s="234" t="str">
        <f>IF($B57="","",IF($K57&lt;&gt;"Concluído","Não iniciado",IF(OR(COUNTIF('E08 — Estabilização Hypercare'!$E39:$J39,"⛔ Bloqueado")&gt;0,'E08 — Estabilização Hypercare'!$N39="⛔ Incidente Crítico — Encerramento Bloqueado",AND('E08 — Estabilização Hypercare'!$N39="🆕 Evolução Identificada — Nova Demanda Aberta",'E08 — Estabilização Hypercare'!$U39="")),"Bloqueado",IF(AND('E08 — Estabilização Hypercare'!$E39="✔ Concluído",'E08 — Estabilização Hypercare'!$F39="✔ Concluído",'E08 — Estabilização Hypercare'!$G39="✔ Concluído",OR('E08 — Estabilização Hypercare'!$H39="✔ Concluído",'E08 — Estabilização Hypercare'!$H39="N/A"),'E08 — Estabilização Hypercare'!$I39="✔ Concluído",'E08 — Estabilização Hypercare'!$J39="✔ Concluído",OR('E08 — Estabilização Hypercare'!$N39="✅ Estável — Demanda Encerrada",AND('E08 — Estabilização Hypercare'!$N39="🆕 Evolução Identificada — Nova Demanda Aberta",'E08 — Estabilização Hypercare'!$U39&lt;&gt;""))),"Concluído",IF(OR(COUNTIF('E08 — Estabilização Hypercare'!$E39:$J39,"✔ Concluído")&gt;0,COUNTIF('E08 — Estabilização Hypercare'!$E39:$J39,"🔄 Em andamento")&gt;0,'E08 — Estabilização Hypercare'!$N39&lt;&gt;""),"Em andamento","Não iniciado")))))</f>
        <v/>
      </c>
      <c r="M57" s="236" t="str" cm="1">
        <f t="array" ref="M57">IF(B57="","",_xlfn.IFS(E57&lt;&gt;"Concluído","E1 — Solicitação",F57&lt;&gt;"Concluído","E2 — Triagem",G57&lt;&gt;"Concluído","E3 — Levantamento ⚠",H57&lt;&gt;"Concluído","E4 — Execução",I57&lt;&gt;"Concluído","E5 — Validação ⚠",AND(J57&lt;&gt;"Concluído",J57&lt;&gt;"N/A"),"E6 — Ajustes",K57&lt;&gt;"Concluído","E7 — Entrega",L57&lt;&gt;"Concluído","E08 — Estabilização / Hypercare",TRUE,"✔ Fluxo concluído"))</f>
        <v/>
      </c>
      <c r="N57" s="237" t="str">
        <f t="shared" si="0"/>
        <v/>
      </c>
      <c r="O57" s="238"/>
    </row>
    <row r="58" spans="2:15" ht="15" customHeight="1" x14ac:dyDescent="0.35">
      <c r="B58" s="234" t="str">
        <f>IF(Lançamentos!$B35="","",Lançamentos!$B35)</f>
        <v/>
      </c>
      <c r="C58" s="235" t="str">
        <f>IF($B58="","",Lançamentos!$J35)</f>
        <v/>
      </c>
      <c r="D58" s="235" t="str">
        <f>IF($B58="","",Lançamentos!$H35)</f>
        <v/>
      </c>
      <c r="E58" s="234" t="str">
        <f>IF($B58="","",IF(COUNTIF(Lançamentos!$B$3:$B$1001,$B58)=0,"Bloqueado",IF(COUNTIF('E1 — Solicitação'!$E40:$L40,"⛔ Bloqueado")&gt;0,"Bloqueado",IF(COUNTIF('E1 — Solicitação'!$E40:$L40,"N/A")=8,"Bloqueado",IF(COUNTIF('E1 — Solicitação'!$E40:$L40,"✔ Concluído")+COUNTIF('E1 — Solicitação'!$E40:$L40,"N/A")=8,"Concluído",IF(COUNTIF('E1 — Solicitação'!$E40:$L40,"✔ Concluído")+COUNTIF('E1 — Solicitação'!$E40:$L40,"🔄 Em andamento")&gt;0,"Em andamento","Não iniciado"))))))</f>
        <v/>
      </c>
      <c r="F58" s="234" t="str">
        <f>IF($B58="","",IF($E58&lt;&gt;"Concluído","Não iniciado",IF(COUNTIF(Lançamentos!$B$3:$B$1001,$B58)=0,"Bloqueado",IF('E2 — Triagem'!$D40="","Bloqueado",IF(COUNTIF('E2 — Triagem'!$E40:$L40,"N/A")=8,"Bloqueado",IF(COUNTIF('E2 — Triagem'!$E40:$L40,"⛔ Bloqueado")&gt;0,"Bloqueado",IF(COUNTIF('E2 — Triagem'!$E40:$L40,"✔ Concluído")+COUNTIF('E2 — Triagem'!$E40:$L40,"N/A")=8,"Concluído",IF(COUNTIF('E2 — Triagem'!$E40:$L40,"✔ Concluído")+COUNTIF('E2 — Triagem'!$E40:$L40,"🔄 Em andamento")&gt;0,"Em andamento","Não iniciado"))))))))</f>
        <v/>
      </c>
      <c r="G58" s="234" t="str">
        <f>IF($B58="","",IF($F58&lt;&gt;"Concluído","Não iniciado",IF(COUNTIF(Lançamentos!$B$3:$B$1001,$B58)=0,"Bloqueado",IF('E3 — Levantamento'!$D40="","Bloqueado",IF(COUNTIF('E3 — Levantamento'!$E40:$I40,"⛔ Bloqueado")&gt;0,"Bloqueado",IF('E3 — Levantamento'!$I40="N/A","Bloqueado",IF(COUNTIF('E3 — Levantamento'!$E40:$I40,"✔ Concluído")=5,"Concluído",IF(COUNTIF('E3 — Levantamento'!$E40:$I40,"✔ Concluído")+COUNTIF('E3 — Levantamento'!$E40:$I40,"🔄 Em andamento")&gt;0,"Em andamento","Não iniciado"))))))))</f>
        <v/>
      </c>
      <c r="H58" s="234" t="str">
        <f>IF($B58="","",IF($G58&lt;&gt;"Concluído","Não iniciado",IF(COUNTIF(Lançamentos!$B$3:$B$1001,$B58)=0,"Bloqueado",IF('E4 — Execução'!$D40="","Bloqueado",IF(COUNTIF('E4 — Execução'!$E40:$K40,"⛔ Bloqueado")&gt;0,"Bloqueado",IF(COUNTIF('E4 — Execução'!$E40:$K40,"✔ Concluído")=7,"Concluído",IF(COUNTIF('E4 — Execução'!$E40:$K40,"✔ Concluído")+COUNTIF('E4 — Execução'!$E40:$K40,"🔄 Em andamento")&gt;0,"Em andamento","Não iniciado")))))))</f>
        <v/>
      </c>
      <c r="I58" s="234" t="str">
        <f>IF($B58="","",IF($H58&lt;&gt;"Concluído","Não iniciado",IF(COUNTIF(Lançamentos!$B$3:$B$1001,$B58)=0,"Bloqueado",IF('E5 — Validação'!$D40="","Bloqueado",IF(COUNTIF('E5 — Validação'!$E40:$I40,"⛔ Bloqueado")&gt;0,"Bloqueado",IF('E5 — Validação'!$I40="N/A","Bloqueado",IF(AND('E5 — Validação'!$E40="✔ Concluído",'E5 — Validação'!$F40="✔ Concluído",OR('E5 — Validação'!$G40="✔ Concluído",'E5 — Validação'!$G40="N/A"),'E5 — Validação'!$H40="✔ Concluído",'E5 — Validação'!$I40="✔ Concluído"),"Concluído",IF(COUNTIF('E5 — Validação'!$E40:$I40,"✔ Concluído")+COUNTIF('E5 — Validação'!$E40:$I40,"🔄 Em andamento")&gt;0,"Em andamento","Não iniciado"))))))))</f>
        <v/>
      </c>
      <c r="J58" s="234" t="str">
        <f>IF($B58="","",IF($I58&lt;&gt;"Concluído","Não iniciado",IF('E6 — Ajustes'!$N40="Não","N/A",IF(COUNTIF(Lançamentos!$B$3:$B$1001,$B58)=0,"Bloqueado",IF('E6 — Ajustes'!$D40="","Bloqueado",IF(COUNTIF('E6 — Ajustes'!$E40:$J40,"⛔ Bloqueado")&gt;0,"Bloqueado",IF(AND('E6 — Ajustes'!$E40="✔ Concluído",'E6 — Ajustes'!$F40="✔ Concluído",'E6 — Ajustes'!$G40="✔ Concluído",'E6 — Ajustes'!$H40="✔ Concluído",OR('E6 — Ajustes'!$I40="✔ Concluído",'E6 — Ajustes'!$I40="N/A"),'E6 — Ajustes'!$J40="✔ Concluído"),"Concluído",IF(COUNTIF('E6 — Ajustes'!$E40:$J40,"✔ Concluído")+COUNTIF('E6 — Ajustes'!$E40:$J40,"🔄 Em andamento")&gt;0,"Em andamento","Não iniciado"))))))))</f>
        <v/>
      </c>
      <c r="K58" s="234" t="str">
        <f>IF($B58="","",IF($I58&lt;&gt;"Concluído","Não iniciado",IF(AND($J58&lt;&gt;"Concluído",$J58&lt;&gt;"N/A"),"Não iniciado",IF(COUNTIF(Lançamentos!$B$3:$B$1001,$B58)=0,"Bloqueado",IF('E7 — Entrega'!$D40="","Bloqueado",IF(COUNTIF('E7 — Entrega'!$E40:$H40,"⛔ Bloqueado")&gt;0,"Bloqueado",IF(COUNTIF('E7 — Entrega'!$E40:$H40,"✔ Concluído")=4,"Concluído",IF(COUNTIF('E7 — Entrega'!$E40:$H40,"✔ Concluído")+COUNTIF('E7 — Entrega'!$E40:$H40,"🔄 Em andamento")&gt;0,"Em andamento","Não iniciado"))))))))</f>
        <v/>
      </c>
      <c r="L58" s="234" t="str">
        <f>IF($B58="","",IF($K58&lt;&gt;"Concluído","Não iniciado",IF(OR(COUNTIF('E08 — Estabilização Hypercare'!$E40:$J40,"⛔ Bloqueado")&gt;0,'E08 — Estabilização Hypercare'!$N40="⛔ Incidente Crítico — Encerramento Bloqueado",AND('E08 — Estabilização Hypercare'!$N40="🆕 Evolução Identificada — Nova Demanda Aberta",'E08 — Estabilização Hypercare'!$U40="")),"Bloqueado",IF(AND('E08 — Estabilização Hypercare'!$E40="✔ Concluído",'E08 — Estabilização Hypercare'!$F40="✔ Concluído",'E08 — Estabilização Hypercare'!$G40="✔ Concluído",OR('E08 — Estabilização Hypercare'!$H40="✔ Concluído",'E08 — Estabilização Hypercare'!$H40="N/A"),'E08 — Estabilização Hypercare'!$I40="✔ Concluído",'E08 — Estabilização Hypercare'!$J40="✔ Concluído",OR('E08 — Estabilização Hypercare'!$N40="✅ Estável — Demanda Encerrada",AND('E08 — Estabilização Hypercare'!$N40="🆕 Evolução Identificada — Nova Demanda Aberta",'E08 — Estabilização Hypercare'!$U40&lt;&gt;""))),"Concluído",IF(OR(COUNTIF('E08 — Estabilização Hypercare'!$E40:$J40,"✔ Concluído")&gt;0,COUNTIF('E08 — Estabilização Hypercare'!$E40:$J40,"🔄 Em andamento")&gt;0,'E08 — Estabilização Hypercare'!$N40&lt;&gt;""),"Em andamento","Não iniciado")))))</f>
        <v/>
      </c>
      <c r="M58" s="236" t="str" cm="1">
        <f t="array" ref="M58">IF(B58="","",_xlfn.IFS(E58&lt;&gt;"Concluído","E1 — Solicitação",F58&lt;&gt;"Concluído","E2 — Triagem",G58&lt;&gt;"Concluído","E3 — Levantamento ⚠",H58&lt;&gt;"Concluído","E4 — Execução",I58&lt;&gt;"Concluído","E5 — Validação ⚠",AND(J58&lt;&gt;"Concluído",J58&lt;&gt;"N/A"),"E6 — Ajustes",K58&lt;&gt;"Concluído","E7 — Entrega",L58&lt;&gt;"Concluído","E08 — Estabilização / Hypercare",TRUE,"✔ Fluxo concluído"))</f>
        <v/>
      </c>
      <c r="N58" s="237" t="str">
        <f t="shared" si="0"/>
        <v/>
      </c>
      <c r="O58" s="238"/>
    </row>
    <row r="59" spans="2:15" ht="15" customHeight="1" x14ac:dyDescent="0.35">
      <c r="B59" s="234" t="str">
        <f>IF(Lançamentos!$B36="","",Lançamentos!$B36)</f>
        <v/>
      </c>
      <c r="C59" s="235" t="str">
        <f>IF($B59="","",Lançamentos!$J36)</f>
        <v/>
      </c>
      <c r="D59" s="235" t="str">
        <f>IF($B59="","",Lançamentos!$H36)</f>
        <v/>
      </c>
      <c r="E59" s="234" t="str">
        <f>IF($B59="","",IF(COUNTIF(Lançamentos!$B$3:$B$1001,$B59)=0,"Bloqueado",IF(COUNTIF('E1 — Solicitação'!$E41:$L41,"⛔ Bloqueado")&gt;0,"Bloqueado",IF(COUNTIF('E1 — Solicitação'!$E41:$L41,"N/A")=8,"Bloqueado",IF(COUNTIF('E1 — Solicitação'!$E41:$L41,"✔ Concluído")+COUNTIF('E1 — Solicitação'!$E41:$L41,"N/A")=8,"Concluído",IF(COUNTIF('E1 — Solicitação'!$E41:$L41,"✔ Concluído")+COUNTIF('E1 — Solicitação'!$E41:$L41,"🔄 Em andamento")&gt;0,"Em andamento","Não iniciado"))))))</f>
        <v/>
      </c>
      <c r="F59" s="234" t="str">
        <f>IF($B59="","",IF($E59&lt;&gt;"Concluído","Não iniciado",IF(COUNTIF(Lançamentos!$B$3:$B$1001,$B59)=0,"Bloqueado",IF('E2 — Triagem'!$D41="","Bloqueado",IF(COUNTIF('E2 — Triagem'!$E41:$L41,"N/A")=8,"Bloqueado",IF(COUNTIF('E2 — Triagem'!$E41:$L41,"⛔ Bloqueado")&gt;0,"Bloqueado",IF(COUNTIF('E2 — Triagem'!$E41:$L41,"✔ Concluído")+COUNTIF('E2 — Triagem'!$E41:$L41,"N/A")=8,"Concluído",IF(COUNTIF('E2 — Triagem'!$E41:$L41,"✔ Concluído")+COUNTIF('E2 — Triagem'!$E41:$L41,"🔄 Em andamento")&gt;0,"Em andamento","Não iniciado"))))))))</f>
        <v/>
      </c>
      <c r="G59" s="234" t="str">
        <f>IF($B59="","",IF($F59&lt;&gt;"Concluído","Não iniciado",IF(COUNTIF(Lançamentos!$B$3:$B$1001,$B59)=0,"Bloqueado",IF('E3 — Levantamento'!$D41="","Bloqueado",IF(COUNTIF('E3 — Levantamento'!$E41:$I41,"⛔ Bloqueado")&gt;0,"Bloqueado",IF('E3 — Levantamento'!$I41="N/A","Bloqueado",IF(COUNTIF('E3 — Levantamento'!$E41:$I41,"✔ Concluído")=5,"Concluído",IF(COUNTIF('E3 — Levantamento'!$E41:$I41,"✔ Concluído")+COUNTIF('E3 — Levantamento'!$E41:$I41,"🔄 Em andamento")&gt;0,"Em andamento","Não iniciado"))))))))</f>
        <v/>
      </c>
      <c r="H59" s="234" t="str">
        <f>IF($B59="","",IF($G59&lt;&gt;"Concluído","Não iniciado",IF(COUNTIF(Lançamentos!$B$3:$B$1001,$B59)=0,"Bloqueado",IF('E4 — Execução'!$D41="","Bloqueado",IF(COUNTIF('E4 — Execução'!$E41:$K41,"⛔ Bloqueado")&gt;0,"Bloqueado",IF(COUNTIF('E4 — Execução'!$E41:$K41,"✔ Concluído")=7,"Concluído",IF(COUNTIF('E4 — Execução'!$E41:$K41,"✔ Concluído")+COUNTIF('E4 — Execução'!$E41:$K41,"🔄 Em andamento")&gt;0,"Em andamento","Não iniciado")))))))</f>
        <v/>
      </c>
      <c r="I59" s="234" t="str">
        <f>IF($B59="","",IF($H59&lt;&gt;"Concluído","Não iniciado",IF(COUNTIF(Lançamentos!$B$3:$B$1001,$B59)=0,"Bloqueado",IF('E5 — Validação'!$D41="","Bloqueado",IF(COUNTIF('E5 — Validação'!$E41:$I41,"⛔ Bloqueado")&gt;0,"Bloqueado",IF('E5 — Validação'!$I41="N/A","Bloqueado",IF(AND('E5 — Validação'!$E41="✔ Concluído",'E5 — Validação'!$F41="✔ Concluído",OR('E5 — Validação'!$G41="✔ Concluído",'E5 — Validação'!$G41="N/A"),'E5 — Validação'!$H41="✔ Concluído",'E5 — Validação'!$I41="✔ Concluído"),"Concluído",IF(COUNTIF('E5 — Validação'!$E41:$I41,"✔ Concluído")+COUNTIF('E5 — Validação'!$E41:$I41,"🔄 Em andamento")&gt;0,"Em andamento","Não iniciado"))))))))</f>
        <v/>
      </c>
      <c r="J59" s="234" t="str">
        <f>IF($B59="","",IF($I59&lt;&gt;"Concluído","Não iniciado",IF('E6 — Ajustes'!$N41="Não","N/A",IF(COUNTIF(Lançamentos!$B$3:$B$1001,$B59)=0,"Bloqueado",IF('E6 — Ajustes'!$D41="","Bloqueado",IF(COUNTIF('E6 — Ajustes'!$E41:$J41,"⛔ Bloqueado")&gt;0,"Bloqueado",IF(AND('E6 — Ajustes'!$E41="✔ Concluído",'E6 — Ajustes'!$F41="✔ Concluído",'E6 — Ajustes'!$G41="✔ Concluído",'E6 — Ajustes'!$H41="✔ Concluído",OR('E6 — Ajustes'!$I41="✔ Concluído",'E6 — Ajustes'!$I41="N/A"),'E6 — Ajustes'!$J41="✔ Concluído"),"Concluído",IF(COUNTIF('E6 — Ajustes'!$E41:$J41,"✔ Concluído")+COUNTIF('E6 — Ajustes'!$E41:$J41,"🔄 Em andamento")&gt;0,"Em andamento","Não iniciado"))))))))</f>
        <v/>
      </c>
      <c r="K59" s="234" t="str">
        <f>IF($B59="","",IF($I59&lt;&gt;"Concluído","Não iniciado",IF(AND($J59&lt;&gt;"Concluído",$J59&lt;&gt;"N/A"),"Não iniciado",IF(COUNTIF(Lançamentos!$B$3:$B$1001,$B59)=0,"Bloqueado",IF('E7 — Entrega'!$D41="","Bloqueado",IF(COUNTIF('E7 — Entrega'!$E41:$H41,"⛔ Bloqueado")&gt;0,"Bloqueado",IF(COUNTIF('E7 — Entrega'!$E41:$H41,"✔ Concluído")=4,"Concluído",IF(COUNTIF('E7 — Entrega'!$E41:$H41,"✔ Concluído")+COUNTIF('E7 — Entrega'!$E41:$H41,"🔄 Em andamento")&gt;0,"Em andamento","Não iniciado"))))))))</f>
        <v/>
      </c>
      <c r="L59" s="234" t="str">
        <f>IF($B59="","",IF($K59&lt;&gt;"Concluído","Não iniciado",IF(OR(COUNTIF('E08 — Estabilização Hypercare'!$E41:$J41,"⛔ Bloqueado")&gt;0,'E08 — Estabilização Hypercare'!$N41="⛔ Incidente Crítico — Encerramento Bloqueado",AND('E08 — Estabilização Hypercare'!$N41="🆕 Evolução Identificada — Nova Demanda Aberta",'E08 — Estabilização Hypercare'!$U41="")),"Bloqueado",IF(AND('E08 — Estabilização Hypercare'!$E41="✔ Concluído",'E08 — Estabilização Hypercare'!$F41="✔ Concluído",'E08 — Estabilização Hypercare'!$G41="✔ Concluído",OR('E08 — Estabilização Hypercare'!$H41="✔ Concluído",'E08 — Estabilização Hypercare'!$H41="N/A"),'E08 — Estabilização Hypercare'!$I41="✔ Concluído",'E08 — Estabilização Hypercare'!$J41="✔ Concluído",OR('E08 — Estabilização Hypercare'!$N41="✅ Estável — Demanda Encerrada",AND('E08 — Estabilização Hypercare'!$N41="🆕 Evolução Identificada — Nova Demanda Aberta",'E08 — Estabilização Hypercare'!$U41&lt;&gt;""))),"Concluído",IF(OR(COUNTIF('E08 — Estabilização Hypercare'!$E41:$J41,"✔ Concluído")&gt;0,COUNTIF('E08 — Estabilização Hypercare'!$E41:$J41,"🔄 Em andamento")&gt;0,'E08 — Estabilização Hypercare'!$N41&lt;&gt;""),"Em andamento","Não iniciado")))))</f>
        <v/>
      </c>
      <c r="M59" s="236" t="str" cm="1">
        <f t="array" ref="M59">IF(B59="","",_xlfn.IFS(E59&lt;&gt;"Concluído","E1 — Solicitação",F59&lt;&gt;"Concluído","E2 — Triagem",G59&lt;&gt;"Concluído","E3 — Levantamento ⚠",H59&lt;&gt;"Concluído","E4 — Execução",I59&lt;&gt;"Concluído","E5 — Validação ⚠",AND(J59&lt;&gt;"Concluído",J59&lt;&gt;"N/A"),"E6 — Ajustes",K59&lt;&gt;"Concluído","E7 — Entrega",L59&lt;&gt;"Concluído","E08 — Estabilização / Hypercare",TRUE,"✔ Fluxo concluído"))</f>
        <v/>
      </c>
      <c r="N59" s="237" t="str">
        <f t="shared" si="0"/>
        <v/>
      </c>
      <c r="O59" s="238"/>
    </row>
    <row r="60" spans="2:15" ht="15" customHeight="1" x14ac:dyDescent="0.35">
      <c r="B60" s="234" t="str">
        <f>IF(Lançamentos!$B37="","",Lançamentos!$B37)</f>
        <v/>
      </c>
      <c r="C60" s="235" t="str">
        <f>IF($B60="","",Lançamentos!$J37)</f>
        <v/>
      </c>
      <c r="D60" s="235" t="str">
        <f>IF($B60="","",Lançamentos!$H37)</f>
        <v/>
      </c>
      <c r="E60" s="234" t="str">
        <f>IF($B60="","",IF(COUNTIF(Lançamentos!$B$3:$B$1001,$B60)=0,"Bloqueado",IF(COUNTIF('E1 — Solicitação'!$E42:$L42,"⛔ Bloqueado")&gt;0,"Bloqueado",IF(COUNTIF('E1 — Solicitação'!$E42:$L42,"N/A")=8,"Bloqueado",IF(COUNTIF('E1 — Solicitação'!$E42:$L42,"✔ Concluído")+COUNTIF('E1 — Solicitação'!$E42:$L42,"N/A")=8,"Concluído",IF(COUNTIF('E1 — Solicitação'!$E42:$L42,"✔ Concluído")+COUNTIF('E1 — Solicitação'!$E42:$L42,"🔄 Em andamento")&gt;0,"Em andamento","Não iniciado"))))))</f>
        <v/>
      </c>
      <c r="F60" s="234" t="str">
        <f>IF($B60="","",IF($E60&lt;&gt;"Concluído","Não iniciado",IF(COUNTIF(Lançamentos!$B$3:$B$1001,$B60)=0,"Bloqueado",IF('E2 — Triagem'!$D42="","Bloqueado",IF(COUNTIF('E2 — Triagem'!$E42:$L42,"N/A")=8,"Bloqueado",IF(COUNTIF('E2 — Triagem'!$E42:$L42,"⛔ Bloqueado")&gt;0,"Bloqueado",IF(COUNTIF('E2 — Triagem'!$E42:$L42,"✔ Concluído")+COUNTIF('E2 — Triagem'!$E42:$L42,"N/A")=8,"Concluído",IF(COUNTIF('E2 — Triagem'!$E42:$L42,"✔ Concluído")+COUNTIF('E2 — Triagem'!$E42:$L42,"🔄 Em andamento")&gt;0,"Em andamento","Não iniciado"))))))))</f>
        <v/>
      </c>
      <c r="G60" s="234" t="str">
        <f>IF($B60="","",IF($F60&lt;&gt;"Concluído","Não iniciado",IF(COUNTIF(Lançamentos!$B$3:$B$1001,$B60)=0,"Bloqueado",IF('E3 — Levantamento'!$D42="","Bloqueado",IF(COUNTIF('E3 — Levantamento'!$E42:$I42,"⛔ Bloqueado")&gt;0,"Bloqueado",IF('E3 — Levantamento'!$I42="N/A","Bloqueado",IF(COUNTIF('E3 — Levantamento'!$E42:$I42,"✔ Concluído")=5,"Concluído",IF(COUNTIF('E3 — Levantamento'!$E42:$I42,"✔ Concluído")+COUNTIF('E3 — Levantamento'!$E42:$I42,"🔄 Em andamento")&gt;0,"Em andamento","Não iniciado"))))))))</f>
        <v/>
      </c>
      <c r="H60" s="234" t="str">
        <f>IF($B60="","",IF($G60&lt;&gt;"Concluído","Não iniciado",IF(COUNTIF(Lançamentos!$B$3:$B$1001,$B60)=0,"Bloqueado",IF('E4 — Execução'!$D42="","Bloqueado",IF(COUNTIF('E4 — Execução'!$E42:$K42,"⛔ Bloqueado")&gt;0,"Bloqueado",IF(COUNTIF('E4 — Execução'!$E42:$K42,"✔ Concluído")=7,"Concluído",IF(COUNTIF('E4 — Execução'!$E42:$K42,"✔ Concluído")+COUNTIF('E4 — Execução'!$E42:$K42,"🔄 Em andamento")&gt;0,"Em andamento","Não iniciado")))))))</f>
        <v/>
      </c>
      <c r="I60" s="234" t="str">
        <f>IF($B60="","",IF($H60&lt;&gt;"Concluído","Não iniciado",IF(COUNTIF(Lançamentos!$B$3:$B$1001,$B60)=0,"Bloqueado",IF('E5 — Validação'!$D42="","Bloqueado",IF(COUNTIF('E5 — Validação'!$E42:$I42,"⛔ Bloqueado")&gt;0,"Bloqueado",IF('E5 — Validação'!$I42="N/A","Bloqueado",IF(AND('E5 — Validação'!$E42="✔ Concluído",'E5 — Validação'!$F42="✔ Concluído",OR('E5 — Validação'!$G42="✔ Concluído",'E5 — Validação'!$G42="N/A"),'E5 — Validação'!$H42="✔ Concluído",'E5 — Validação'!$I42="✔ Concluído"),"Concluído",IF(COUNTIF('E5 — Validação'!$E42:$I42,"✔ Concluído")+COUNTIF('E5 — Validação'!$E42:$I42,"🔄 Em andamento")&gt;0,"Em andamento","Não iniciado"))))))))</f>
        <v/>
      </c>
      <c r="J60" s="234" t="str">
        <f>IF($B60="","",IF($I60&lt;&gt;"Concluído","Não iniciado",IF('E6 — Ajustes'!$N42="Não","N/A",IF(COUNTIF(Lançamentos!$B$3:$B$1001,$B60)=0,"Bloqueado",IF('E6 — Ajustes'!$D42="","Bloqueado",IF(COUNTIF('E6 — Ajustes'!$E42:$J42,"⛔ Bloqueado")&gt;0,"Bloqueado",IF(AND('E6 — Ajustes'!$E42="✔ Concluído",'E6 — Ajustes'!$F42="✔ Concluído",'E6 — Ajustes'!$G42="✔ Concluído",'E6 — Ajustes'!$H42="✔ Concluído",OR('E6 — Ajustes'!$I42="✔ Concluído",'E6 — Ajustes'!$I42="N/A"),'E6 — Ajustes'!$J42="✔ Concluído"),"Concluído",IF(COUNTIF('E6 — Ajustes'!$E42:$J42,"✔ Concluído")+COUNTIF('E6 — Ajustes'!$E42:$J42,"🔄 Em andamento")&gt;0,"Em andamento","Não iniciado"))))))))</f>
        <v/>
      </c>
      <c r="K60" s="234" t="str">
        <f>IF($B60="","",IF($I60&lt;&gt;"Concluído","Não iniciado",IF(AND($J60&lt;&gt;"Concluído",$J60&lt;&gt;"N/A"),"Não iniciado",IF(COUNTIF(Lançamentos!$B$3:$B$1001,$B60)=0,"Bloqueado",IF('E7 — Entrega'!$D42="","Bloqueado",IF(COUNTIF('E7 — Entrega'!$E42:$H42,"⛔ Bloqueado")&gt;0,"Bloqueado",IF(COUNTIF('E7 — Entrega'!$E42:$H42,"✔ Concluído")=4,"Concluído",IF(COUNTIF('E7 — Entrega'!$E42:$H42,"✔ Concluído")+COUNTIF('E7 — Entrega'!$E42:$H42,"🔄 Em andamento")&gt;0,"Em andamento","Não iniciado"))))))))</f>
        <v/>
      </c>
      <c r="L60" s="234" t="str">
        <f>IF($B60="","",IF($K60&lt;&gt;"Concluído","Não iniciado",IF(OR(COUNTIF('E08 — Estabilização Hypercare'!$E42:$J42,"⛔ Bloqueado")&gt;0,'E08 — Estabilização Hypercare'!$N42="⛔ Incidente Crítico — Encerramento Bloqueado",AND('E08 — Estabilização Hypercare'!$N42="🆕 Evolução Identificada — Nova Demanda Aberta",'E08 — Estabilização Hypercare'!$U42="")),"Bloqueado",IF(AND('E08 — Estabilização Hypercare'!$E42="✔ Concluído",'E08 — Estabilização Hypercare'!$F42="✔ Concluído",'E08 — Estabilização Hypercare'!$G42="✔ Concluído",OR('E08 — Estabilização Hypercare'!$H42="✔ Concluído",'E08 — Estabilização Hypercare'!$H42="N/A"),'E08 — Estabilização Hypercare'!$I42="✔ Concluído",'E08 — Estabilização Hypercare'!$J42="✔ Concluído",OR('E08 — Estabilização Hypercare'!$N42="✅ Estável — Demanda Encerrada",AND('E08 — Estabilização Hypercare'!$N42="🆕 Evolução Identificada — Nova Demanda Aberta",'E08 — Estabilização Hypercare'!$U42&lt;&gt;""))),"Concluído",IF(OR(COUNTIF('E08 — Estabilização Hypercare'!$E42:$J42,"✔ Concluído")&gt;0,COUNTIF('E08 — Estabilização Hypercare'!$E42:$J42,"🔄 Em andamento")&gt;0,'E08 — Estabilização Hypercare'!$N42&lt;&gt;""),"Em andamento","Não iniciado")))))</f>
        <v/>
      </c>
      <c r="M60" s="236" t="str" cm="1">
        <f t="array" ref="M60">IF(B60="","",_xlfn.IFS(E60&lt;&gt;"Concluído","E1 — Solicitação",F60&lt;&gt;"Concluído","E2 — Triagem",G60&lt;&gt;"Concluído","E3 — Levantamento ⚠",H60&lt;&gt;"Concluído","E4 — Execução",I60&lt;&gt;"Concluído","E5 — Validação ⚠",AND(J60&lt;&gt;"Concluído",J60&lt;&gt;"N/A"),"E6 — Ajustes",K60&lt;&gt;"Concluído","E7 — Entrega",L60&lt;&gt;"Concluído","E08 — Estabilização / Hypercare",TRUE,"✔ Fluxo concluído"))</f>
        <v/>
      </c>
      <c r="N60" s="237" t="str">
        <f t="shared" si="0"/>
        <v/>
      </c>
      <c r="O60" s="238"/>
    </row>
    <row r="61" spans="2:15" ht="15" customHeight="1" x14ac:dyDescent="0.35">
      <c r="B61" s="234" t="str">
        <f>IF(Lançamentos!$B38="","",Lançamentos!$B38)</f>
        <v/>
      </c>
      <c r="C61" s="235" t="str">
        <f>IF($B61="","",Lançamentos!$J38)</f>
        <v/>
      </c>
      <c r="D61" s="235" t="str">
        <f>IF($B61="","",Lançamentos!$H38)</f>
        <v/>
      </c>
      <c r="E61" s="234" t="str">
        <f>IF($B61="","",IF(COUNTIF(Lançamentos!$B$3:$B$1001,$B61)=0,"Bloqueado",IF(COUNTIF('E1 — Solicitação'!$E43:$L43,"⛔ Bloqueado")&gt;0,"Bloqueado",IF(COUNTIF('E1 — Solicitação'!$E43:$L43,"N/A")=8,"Bloqueado",IF(COUNTIF('E1 — Solicitação'!$E43:$L43,"✔ Concluído")+COUNTIF('E1 — Solicitação'!$E43:$L43,"N/A")=8,"Concluído",IF(COUNTIF('E1 — Solicitação'!$E43:$L43,"✔ Concluído")+COUNTIF('E1 — Solicitação'!$E43:$L43,"🔄 Em andamento")&gt;0,"Em andamento","Não iniciado"))))))</f>
        <v/>
      </c>
      <c r="F61" s="234" t="str">
        <f>IF($B61="","",IF($E61&lt;&gt;"Concluído","Não iniciado",IF(COUNTIF(Lançamentos!$B$3:$B$1001,$B61)=0,"Bloqueado",IF('E2 — Triagem'!$D43="","Bloqueado",IF(COUNTIF('E2 — Triagem'!$E43:$L43,"N/A")=8,"Bloqueado",IF(COUNTIF('E2 — Triagem'!$E43:$L43,"⛔ Bloqueado")&gt;0,"Bloqueado",IF(COUNTIF('E2 — Triagem'!$E43:$L43,"✔ Concluído")+COUNTIF('E2 — Triagem'!$E43:$L43,"N/A")=8,"Concluído",IF(COUNTIF('E2 — Triagem'!$E43:$L43,"✔ Concluído")+COUNTIF('E2 — Triagem'!$E43:$L43,"🔄 Em andamento")&gt;0,"Em andamento","Não iniciado"))))))))</f>
        <v/>
      </c>
      <c r="G61" s="234" t="str">
        <f>IF($B61="","",IF($F61&lt;&gt;"Concluído","Não iniciado",IF(COUNTIF(Lançamentos!$B$3:$B$1001,$B61)=0,"Bloqueado",IF('E3 — Levantamento'!$D43="","Bloqueado",IF(COUNTIF('E3 — Levantamento'!$E43:$I43,"⛔ Bloqueado")&gt;0,"Bloqueado",IF('E3 — Levantamento'!$I43="N/A","Bloqueado",IF(COUNTIF('E3 — Levantamento'!$E43:$I43,"✔ Concluído")=5,"Concluído",IF(COUNTIF('E3 — Levantamento'!$E43:$I43,"✔ Concluído")+COUNTIF('E3 — Levantamento'!$E43:$I43,"🔄 Em andamento")&gt;0,"Em andamento","Não iniciado"))))))))</f>
        <v/>
      </c>
      <c r="H61" s="234" t="str">
        <f>IF($B61="","",IF($G61&lt;&gt;"Concluído","Não iniciado",IF(COUNTIF(Lançamentos!$B$3:$B$1001,$B61)=0,"Bloqueado",IF('E4 — Execução'!$D43="","Bloqueado",IF(COUNTIF('E4 — Execução'!$E43:$K43,"⛔ Bloqueado")&gt;0,"Bloqueado",IF(COUNTIF('E4 — Execução'!$E43:$K43,"✔ Concluído")=7,"Concluído",IF(COUNTIF('E4 — Execução'!$E43:$K43,"✔ Concluído")+COUNTIF('E4 — Execução'!$E43:$K43,"🔄 Em andamento")&gt;0,"Em andamento","Não iniciado")))))))</f>
        <v/>
      </c>
      <c r="I61" s="234" t="str">
        <f>IF($B61="","",IF($H61&lt;&gt;"Concluído","Não iniciado",IF(COUNTIF(Lançamentos!$B$3:$B$1001,$B61)=0,"Bloqueado",IF('E5 — Validação'!$D43="","Bloqueado",IF(COUNTIF('E5 — Validação'!$E43:$I43,"⛔ Bloqueado")&gt;0,"Bloqueado",IF('E5 — Validação'!$I43="N/A","Bloqueado",IF(AND('E5 — Validação'!$E43="✔ Concluído",'E5 — Validação'!$F43="✔ Concluído",OR('E5 — Validação'!$G43="✔ Concluído",'E5 — Validação'!$G43="N/A"),'E5 — Validação'!$H43="✔ Concluído",'E5 — Validação'!$I43="✔ Concluído"),"Concluído",IF(COUNTIF('E5 — Validação'!$E43:$I43,"✔ Concluído")+COUNTIF('E5 — Validação'!$E43:$I43,"🔄 Em andamento")&gt;0,"Em andamento","Não iniciado"))))))))</f>
        <v/>
      </c>
      <c r="J61" s="234" t="str">
        <f>IF($B61="","",IF($I61&lt;&gt;"Concluído","Não iniciado",IF('E6 — Ajustes'!$N43="Não","N/A",IF(COUNTIF(Lançamentos!$B$3:$B$1001,$B61)=0,"Bloqueado",IF('E6 — Ajustes'!$D43="","Bloqueado",IF(COUNTIF('E6 — Ajustes'!$E43:$J43,"⛔ Bloqueado")&gt;0,"Bloqueado",IF(AND('E6 — Ajustes'!$E43="✔ Concluído",'E6 — Ajustes'!$F43="✔ Concluído",'E6 — Ajustes'!$G43="✔ Concluído",'E6 — Ajustes'!$H43="✔ Concluído",OR('E6 — Ajustes'!$I43="✔ Concluído",'E6 — Ajustes'!$I43="N/A"),'E6 — Ajustes'!$J43="✔ Concluído"),"Concluído",IF(COUNTIF('E6 — Ajustes'!$E43:$J43,"✔ Concluído")+COUNTIF('E6 — Ajustes'!$E43:$J43,"🔄 Em andamento")&gt;0,"Em andamento","Não iniciado"))))))))</f>
        <v/>
      </c>
      <c r="K61" s="234" t="str">
        <f>IF($B61="","",IF($I61&lt;&gt;"Concluído","Não iniciado",IF(AND($J61&lt;&gt;"Concluído",$J61&lt;&gt;"N/A"),"Não iniciado",IF(COUNTIF(Lançamentos!$B$3:$B$1001,$B61)=0,"Bloqueado",IF('E7 — Entrega'!$D43="","Bloqueado",IF(COUNTIF('E7 — Entrega'!$E43:$H43,"⛔ Bloqueado")&gt;0,"Bloqueado",IF(COUNTIF('E7 — Entrega'!$E43:$H43,"✔ Concluído")=4,"Concluído",IF(COUNTIF('E7 — Entrega'!$E43:$H43,"✔ Concluído")+COUNTIF('E7 — Entrega'!$E43:$H43,"🔄 Em andamento")&gt;0,"Em andamento","Não iniciado"))))))))</f>
        <v/>
      </c>
      <c r="L61" s="234" t="str">
        <f>IF($B61="","",IF($K61&lt;&gt;"Concluído","Não iniciado",IF(OR(COUNTIF('E08 — Estabilização Hypercare'!$E43:$J43,"⛔ Bloqueado")&gt;0,'E08 — Estabilização Hypercare'!$N43="⛔ Incidente Crítico — Encerramento Bloqueado",AND('E08 — Estabilização Hypercare'!$N43="🆕 Evolução Identificada — Nova Demanda Aberta",'E08 — Estabilização Hypercare'!$U43="")),"Bloqueado",IF(AND('E08 — Estabilização Hypercare'!$E43="✔ Concluído",'E08 — Estabilização Hypercare'!$F43="✔ Concluído",'E08 — Estabilização Hypercare'!$G43="✔ Concluído",OR('E08 — Estabilização Hypercare'!$H43="✔ Concluído",'E08 — Estabilização Hypercare'!$H43="N/A"),'E08 — Estabilização Hypercare'!$I43="✔ Concluído",'E08 — Estabilização Hypercare'!$J43="✔ Concluído",OR('E08 — Estabilização Hypercare'!$N43="✅ Estável — Demanda Encerrada",AND('E08 — Estabilização Hypercare'!$N43="🆕 Evolução Identificada — Nova Demanda Aberta",'E08 — Estabilização Hypercare'!$U43&lt;&gt;""))),"Concluído",IF(OR(COUNTIF('E08 — Estabilização Hypercare'!$E43:$J43,"✔ Concluído")&gt;0,COUNTIF('E08 — Estabilização Hypercare'!$E43:$J43,"🔄 Em andamento")&gt;0,'E08 — Estabilização Hypercare'!$N43&lt;&gt;""),"Em andamento","Não iniciado")))))</f>
        <v/>
      </c>
      <c r="M61" s="236" t="str" cm="1">
        <f t="array" ref="M61">IF(B61="","",_xlfn.IFS(E61&lt;&gt;"Concluído","E1 — Solicitação",F61&lt;&gt;"Concluído","E2 — Triagem",G61&lt;&gt;"Concluído","E3 — Levantamento ⚠",H61&lt;&gt;"Concluído","E4 — Execução",I61&lt;&gt;"Concluído","E5 — Validação ⚠",AND(J61&lt;&gt;"Concluído",J61&lt;&gt;"N/A"),"E6 — Ajustes",K61&lt;&gt;"Concluído","E7 — Entrega",L61&lt;&gt;"Concluído","E08 — Estabilização / Hypercare",TRUE,"✔ Fluxo concluído"))</f>
        <v/>
      </c>
      <c r="N61" s="237" t="str">
        <f t="shared" si="0"/>
        <v/>
      </c>
      <c r="O61" s="238"/>
    </row>
    <row r="62" spans="2:15" ht="15" customHeight="1" x14ac:dyDescent="0.35">
      <c r="B62" s="234" t="str">
        <f>IF(Lançamentos!$B39="","",Lançamentos!$B39)</f>
        <v/>
      </c>
      <c r="C62" s="235" t="str">
        <f>IF($B62="","",Lançamentos!$J39)</f>
        <v/>
      </c>
      <c r="D62" s="235" t="str">
        <f>IF($B62="","",Lançamentos!$H39)</f>
        <v/>
      </c>
      <c r="E62" s="234" t="str">
        <f>IF($B62="","",IF(COUNTIF(Lançamentos!$B$3:$B$1001,$B62)=0,"Bloqueado",IF(COUNTIF('E1 — Solicitação'!$E44:$L44,"⛔ Bloqueado")&gt;0,"Bloqueado",IF(COUNTIF('E1 — Solicitação'!$E44:$L44,"N/A")=8,"Bloqueado",IF(COUNTIF('E1 — Solicitação'!$E44:$L44,"✔ Concluído")+COUNTIF('E1 — Solicitação'!$E44:$L44,"N/A")=8,"Concluído",IF(COUNTIF('E1 — Solicitação'!$E44:$L44,"✔ Concluído")+COUNTIF('E1 — Solicitação'!$E44:$L44,"🔄 Em andamento")&gt;0,"Em andamento","Não iniciado"))))))</f>
        <v/>
      </c>
      <c r="F62" s="234" t="str">
        <f>IF($B62="","",IF($E62&lt;&gt;"Concluído","Não iniciado",IF(COUNTIF(Lançamentos!$B$3:$B$1001,$B62)=0,"Bloqueado",IF('E2 — Triagem'!$D44="","Bloqueado",IF(COUNTIF('E2 — Triagem'!$E44:$L44,"N/A")=8,"Bloqueado",IF(COUNTIF('E2 — Triagem'!$E44:$L44,"⛔ Bloqueado")&gt;0,"Bloqueado",IF(COUNTIF('E2 — Triagem'!$E44:$L44,"✔ Concluído")+COUNTIF('E2 — Triagem'!$E44:$L44,"N/A")=8,"Concluído",IF(COUNTIF('E2 — Triagem'!$E44:$L44,"✔ Concluído")+COUNTIF('E2 — Triagem'!$E44:$L44,"🔄 Em andamento")&gt;0,"Em andamento","Não iniciado"))))))))</f>
        <v/>
      </c>
      <c r="G62" s="234" t="str">
        <f>IF($B62="","",IF($F62&lt;&gt;"Concluído","Não iniciado",IF(COUNTIF(Lançamentos!$B$3:$B$1001,$B62)=0,"Bloqueado",IF('E3 — Levantamento'!$D44="","Bloqueado",IF(COUNTIF('E3 — Levantamento'!$E44:$I44,"⛔ Bloqueado")&gt;0,"Bloqueado",IF('E3 — Levantamento'!$I44="N/A","Bloqueado",IF(COUNTIF('E3 — Levantamento'!$E44:$I44,"✔ Concluído")=5,"Concluído",IF(COUNTIF('E3 — Levantamento'!$E44:$I44,"✔ Concluído")+COUNTIF('E3 — Levantamento'!$E44:$I44,"🔄 Em andamento")&gt;0,"Em andamento","Não iniciado"))))))))</f>
        <v/>
      </c>
      <c r="H62" s="234" t="str">
        <f>IF($B62="","",IF($G62&lt;&gt;"Concluído","Não iniciado",IF(COUNTIF(Lançamentos!$B$3:$B$1001,$B62)=0,"Bloqueado",IF('E4 — Execução'!$D44="","Bloqueado",IF(COUNTIF('E4 — Execução'!$E44:$K44,"⛔ Bloqueado")&gt;0,"Bloqueado",IF(COUNTIF('E4 — Execução'!$E44:$K44,"✔ Concluído")=7,"Concluído",IF(COUNTIF('E4 — Execução'!$E44:$K44,"✔ Concluído")+COUNTIF('E4 — Execução'!$E44:$K44,"🔄 Em andamento")&gt;0,"Em andamento","Não iniciado")))))))</f>
        <v/>
      </c>
      <c r="I62" s="234" t="str">
        <f>IF($B62="","",IF($H62&lt;&gt;"Concluído","Não iniciado",IF(COUNTIF(Lançamentos!$B$3:$B$1001,$B62)=0,"Bloqueado",IF('E5 — Validação'!$D44="","Bloqueado",IF(COUNTIF('E5 — Validação'!$E44:$I44,"⛔ Bloqueado")&gt;0,"Bloqueado",IF('E5 — Validação'!$I44="N/A","Bloqueado",IF(AND('E5 — Validação'!$E44="✔ Concluído",'E5 — Validação'!$F44="✔ Concluído",OR('E5 — Validação'!$G44="✔ Concluído",'E5 — Validação'!$G44="N/A"),'E5 — Validação'!$H44="✔ Concluído",'E5 — Validação'!$I44="✔ Concluído"),"Concluído",IF(COUNTIF('E5 — Validação'!$E44:$I44,"✔ Concluído")+COUNTIF('E5 — Validação'!$E44:$I44,"🔄 Em andamento")&gt;0,"Em andamento","Não iniciado"))))))))</f>
        <v/>
      </c>
      <c r="J62" s="234" t="str">
        <f>IF($B62="","",IF($I62&lt;&gt;"Concluído","Não iniciado",IF('E6 — Ajustes'!$N44="Não","N/A",IF(COUNTIF(Lançamentos!$B$3:$B$1001,$B62)=0,"Bloqueado",IF('E6 — Ajustes'!$D44="","Bloqueado",IF(COUNTIF('E6 — Ajustes'!$E44:$J44,"⛔ Bloqueado")&gt;0,"Bloqueado",IF(AND('E6 — Ajustes'!$E44="✔ Concluído",'E6 — Ajustes'!$F44="✔ Concluído",'E6 — Ajustes'!$G44="✔ Concluído",'E6 — Ajustes'!$H44="✔ Concluído",OR('E6 — Ajustes'!$I44="✔ Concluído",'E6 — Ajustes'!$I44="N/A"),'E6 — Ajustes'!$J44="✔ Concluído"),"Concluído",IF(COUNTIF('E6 — Ajustes'!$E44:$J44,"✔ Concluído")+COUNTIF('E6 — Ajustes'!$E44:$J44,"🔄 Em andamento")&gt;0,"Em andamento","Não iniciado"))))))))</f>
        <v/>
      </c>
      <c r="K62" s="234" t="str">
        <f>IF($B62="","",IF($I62&lt;&gt;"Concluído","Não iniciado",IF(AND($J62&lt;&gt;"Concluído",$J62&lt;&gt;"N/A"),"Não iniciado",IF(COUNTIF(Lançamentos!$B$3:$B$1001,$B62)=0,"Bloqueado",IF('E7 — Entrega'!$D44="","Bloqueado",IF(COUNTIF('E7 — Entrega'!$E44:$H44,"⛔ Bloqueado")&gt;0,"Bloqueado",IF(COUNTIF('E7 — Entrega'!$E44:$H44,"✔ Concluído")=4,"Concluído",IF(COUNTIF('E7 — Entrega'!$E44:$H44,"✔ Concluído")+COUNTIF('E7 — Entrega'!$E44:$H44,"🔄 Em andamento")&gt;0,"Em andamento","Não iniciado"))))))))</f>
        <v/>
      </c>
      <c r="L62" s="234" t="str">
        <f>IF($B62="","",IF($K62&lt;&gt;"Concluído","Não iniciado",IF(OR(COUNTIF('E08 — Estabilização Hypercare'!$E44:$J44,"⛔ Bloqueado")&gt;0,'E08 — Estabilização Hypercare'!$N44="⛔ Incidente Crítico — Encerramento Bloqueado",AND('E08 — Estabilização Hypercare'!$N44="🆕 Evolução Identificada — Nova Demanda Aberta",'E08 — Estabilização Hypercare'!$U44="")),"Bloqueado",IF(AND('E08 — Estabilização Hypercare'!$E44="✔ Concluído",'E08 — Estabilização Hypercare'!$F44="✔ Concluído",'E08 — Estabilização Hypercare'!$G44="✔ Concluído",OR('E08 — Estabilização Hypercare'!$H44="✔ Concluído",'E08 — Estabilização Hypercare'!$H44="N/A"),'E08 — Estabilização Hypercare'!$I44="✔ Concluído",'E08 — Estabilização Hypercare'!$J44="✔ Concluído",OR('E08 — Estabilização Hypercare'!$N44="✅ Estável — Demanda Encerrada",AND('E08 — Estabilização Hypercare'!$N44="🆕 Evolução Identificada — Nova Demanda Aberta",'E08 — Estabilização Hypercare'!$U44&lt;&gt;""))),"Concluído",IF(OR(COUNTIF('E08 — Estabilização Hypercare'!$E44:$J44,"✔ Concluído")&gt;0,COUNTIF('E08 — Estabilização Hypercare'!$E44:$J44,"🔄 Em andamento")&gt;0,'E08 — Estabilização Hypercare'!$N44&lt;&gt;""),"Em andamento","Não iniciado")))))</f>
        <v/>
      </c>
      <c r="M62" s="236" t="str" cm="1">
        <f t="array" ref="M62">IF(B62="","",_xlfn.IFS(E62&lt;&gt;"Concluído","E1 — Solicitação",F62&lt;&gt;"Concluído","E2 — Triagem",G62&lt;&gt;"Concluído","E3 — Levantamento ⚠",H62&lt;&gt;"Concluído","E4 — Execução",I62&lt;&gt;"Concluído","E5 — Validação ⚠",AND(J62&lt;&gt;"Concluído",J62&lt;&gt;"N/A"),"E6 — Ajustes",K62&lt;&gt;"Concluído","E7 — Entrega",L62&lt;&gt;"Concluído","E08 — Estabilização / Hypercare",TRUE,"✔ Fluxo concluído"))</f>
        <v/>
      </c>
      <c r="N62" s="237" t="str">
        <f t="shared" si="0"/>
        <v/>
      </c>
      <c r="O62" s="238"/>
    </row>
    <row r="63" spans="2:15" ht="15" customHeight="1" x14ac:dyDescent="0.35">
      <c r="B63" s="234" t="str">
        <f>IF(Lançamentos!$B40="","",Lançamentos!$B40)</f>
        <v/>
      </c>
      <c r="C63" s="235" t="str">
        <f>IF($B63="","",Lançamentos!$J40)</f>
        <v/>
      </c>
      <c r="D63" s="235" t="str">
        <f>IF($B63="","",Lançamentos!$H40)</f>
        <v/>
      </c>
      <c r="E63" s="234" t="str">
        <f>IF($B63="","",IF(COUNTIF(Lançamentos!$B$3:$B$1001,$B63)=0,"Bloqueado",IF(COUNTIF('E1 — Solicitação'!$E45:$L45,"⛔ Bloqueado")&gt;0,"Bloqueado",IF(COUNTIF('E1 — Solicitação'!$E45:$L45,"N/A")=8,"Bloqueado",IF(COUNTIF('E1 — Solicitação'!$E45:$L45,"✔ Concluído")+COUNTIF('E1 — Solicitação'!$E45:$L45,"N/A")=8,"Concluído",IF(COUNTIF('E1 — Solicitação'!$E45:$L45,"✔ Concluído")+COUNTIF('E1 — Solicitação'!$E45:$L45,"🔄 Em andamento")&gt;0,"Em andamento","Não iniciado"))))))</f>
        <v/>
      </c>
      <c r="F63" s="234" t="str">
        <f>IF($B63="","",IF($E63&lt;&gt;"Concluído","Não iniciado",IF(COUNTIF(Lançamentos!$B$3:$B$1001,$B63)=0,"Bloqueado",IF('E2 — Triagem'!$D45="","Bloqueado",IF(COUNTIF('E2 — Triagem'!$E45:$L45,"N/A")=8,"Bloqueado",IF(COUNTIF('E2 — Triagem'!$E45:$L45,"⛔ Bloqueado")&gt;0,"Bloqueado",IF(COUNTIF('E2 — Triagem'!$E45:$L45,"✔ Concluído")+COUNTIF('E2 — Triagem'!$E45:$L45,"N/A")=8,"Concluído",IF(COUNTIF('E2 — Triagem'!$E45:$L45,"✔ Concluído")+COUNTIF('E2 — Triagem'!$E45:$L45,"🔄 Em andamento")&gt;0,"Em andamento","Não iniciado"))))))))</f>
        <v/>
      </c>
      <c r="G63" s="234" t="str">
        <f>IF($B63="","",IF($F63&lt;&gt;"Concluído","Não iniciado",IF(COUNTIF(Lançamentos!$B$3:$B$1001,$B63)=0,"Bloqueado",IF('E3 — Levantamento'!$D45="","Bloqueado",IF(COUNTIF('E3 — Levantamento'!$E45:$I45,"⛔ Bloqueado")&gt;0,"Bloqueado",IF('E3 — Levantamento'!$I45="N/A","Bloqueado",IF(COUNTIF('E3 — Levantamento'!$E45:$I45,"✔ Concluído")=5,"Concluído",IF(COUNTIF('E3 — Levantamento'!$E45:$I45,"✔ Concluído")+COUNTIF('E3 — Levantamento'!$E45:$I45,"🔄 Em andamento")&gt;0,"Em andamento","Não iniciado"))))))))</f>
        <v/>
      </c>
      <c r="H63" s="234" t="str">
        <f>IF($B63="","",IF($G63&lt;&gt;"Concluído","Não iniciado",IF(COUNTIF(Lançamentos!$B$3:$B$1001,$B63)=0,"Bloqueado",IF('E4 — Execução'!$D45="","Bloqueado",IF(COUNTIF('E4 — Execução'!$E45:$K45,"⛔ Bloqueado")&gt;0,"Bloqueado",IF(COUNTIF('E4 — Execução'!$E45:$K45,"✔ Concluído")=7,"Concluído",IF(COUNTIF('E4 — Execução'!$E45:$K45,"✔ Concluído")+COUNTIF('E4 — Execução'!$E45:$K45,"🔄 Em andamento")&gt;0,"Em andamento","Não iniciado")))))))</f>
        <v/>
      </c>
      <c r="I63" s="234" t="str">
        <f>IF($B63="","",IF($H63&lt;&gt;"Concluído","Não iniciado",IF(COUNTIF(Lançamentos!$B$3:$B$1001,$B63)=0,"Bloqueado",IF('E5 — Validação'!$D45="","Bloqueado",IF(COUNTIF('E5 — Validação'!$E45:$I45,"⛔ Bloqueado")&gt;0,"Bloqueado",IF('E5 — Validação'!$I45="N/A","Bloqueado",IF(AND('E5 — Validação'!$E45="✔ Concluído",'E5 — Validação'!$F45="✔ Concluído",OR('E5 — Validação'!$G45="✔ Concluído",'E5 — Validação'!$G45="N/A"),'E5 — Validação'!$H45="✔ Concluído",'E5 — Validação'!$I45="✔ Concluído"),"Concluído",IF(COUNTIF('E5 — Validação'!$E45:$I45,"✔ Concluído")+COUNTIF('E5 — Validação'!$E45:$I45,"🔄 Em andamento")&gt;0,"Em andamento","Não iniciado"))))))))</f>
        <v/>
      </c>
      <c r="J63" s="234" t="str">
        <f>IF($B63="","",IF($I63&lt;&gt;"Concluído","Não iniciado",IF('E6 — Ajustes'!$N45="Não","N/A",IF(COUNTIF(Lançamentos!$B$3:$B$1001,$B63)=0,"Bloqueado",IF('E6 — Ajustes'!$D45="","Bloqueado",IF(COUNTIF('E6 — Ajustes'!$E45:$J45,"⛔ Bloqueado")&gt;0,"Bloqueado",IF(AND('E6 — Ajustes'!$E45="✔ Concluído",'E6 — Ajustes'!$F45="✔ Concluído",'E6 — Ajustes'!$G45="✔ Concluído",'E6 — Ajustes'!$H45="✔ Concluído",OR('E6 — Ajustes'!$I45="✔ Concluído",'E6 — Ajustes'!$I45="N/A"),'E6 — Ajustes'!$J45="✔ Concluído"),"Concluído",IF(COUNTIF('E6 — Ajustes'!$E45:$J45,"✔ Concluído")+COUNTIF('E6 — Ajustes'!$E45:$J45,"🔄 Em andamento")&gt;0,"Em andamento","Não iniciado"))))))))</f>
        <v/>
      </c>
      <c r="K63" s="234" t="str">
        <f>IF($B63="","",IF($I63&lt;&gt;"Concluído","Não iniciado",IF(AND($J63&lt;&gt;"Concluído",$J63&lt;&gt;"N/A"),"Não iniciado",IF(COUNTIF(Lançamentos!$B$3:$B$1001,$B63)=0,"Bloqueado",IF('E7 — Entrega'!$D45="","Bloqueado",IF(COUNTIF('E7 — Entrega'!$E45:$H45,"⛔ Bloqueado")&gt;0,"Bloqueado",IF(COUNTIF('E7 — Entrega'!$E45:$H45,"✔ Concluído")=4,"Concluído",IF(COUNTIF('E7 — Entrega'!$E45:$H45,"✔ Concluído")+COUNTIF('E7 — Entrega'!$E45:$H45,"🔄 Em andamento")&gt;0,"Em andamento","Não iniciado"))))))))</f>
        <v/>
      </c>
      <c r="L63" s="234" t="str">
        <f>IF($B63="","",IF($K63&lt;&gt;"Concluído","Não iniciado",IF(OR(COUNTIF('E08 — Estabilização Hypercare'!$E45:$J45,"⛔ Bloqueado")&gt;0,'E08 — Estabilização Hypercare'!$N45="⛔ Incidente Crítico — Encerramento Bloqueado",AND('E08 — Estabilização Hypercare'!$N45="🆕 Evolução Identificada — Nova Demanda Aberta",'E08 — Estabilização Hypercare'!$U45="")),"Bloqueado",IF(AND('E08 — Estabilização Hypercare'!$E45="✔ Concluído",'E08 — Estabilização Hypercare'!$F45="✔ Concluído",'E08 — Estabilização Hypercare'!$G45="✔ Concluído",OR('E08 — Estabilização Hypercare'!$H45="✔ Concluído",'E08 — Estabilização Hypercare'!$H45="N/A"),'E08 — Estabilização Hypercare'!$I45="✔ Concluído",'E08 — Estabilização Hypercare'!$J45="✔ Concluído",OR('E08 — Estabilização Hypercare'!$N45="✅ Estável — Demanda Encerrada",AND('E08 — Estabilização Hypercare'!$N45="🆕 Evolução Identificada — Nova Demanda Aberta",'E08 — Estabilização Hypercare'!$U45&lt;&gt;""))),"Concluído",IF(OR(COUNTIF('E08 — Estabilização Hypercare'!$E45:$J45,"✔ Concluído")&gt;0,COUNTIF('E08 — Estabilização Hypercare'!$E45:$J45,"🔄 Em andamento")&gt;0,'E08 — Estabilização Hypercare'!$N45&lt;&gt;""),"Em andamento","Não iniciado")))))</f>
        <v/>
      </c>
      <c r="M63" s="236" t="str" cm="1">
        <f t="array" ref="M63">IF(B63="","",_xlfn.IFS(E63&lt;&gt;"Concluído","E1 — Solicitação",F63&lt;&gt;"Concluído","E2 — Triagem",G63&lt;&gt;"Concluído","E3 — Levantamento ⚠",H63&lt;&gt;"Concluído","E4 — Execução",I63&lt;&gt;"Concluído","E5 — Validação ⚠",AND(J63&lt;&gt;"Concluído",J63&lt;&gt;"N/A"),"E6 — Ajustes",K63&lt;&gt;"Concluído","E7 — Entrega",L63&lt;&gt;"Concluído","E08 — Estabilização / Hypercare",TRUE,"✔ Fluxo concluído"))</f>
        <v/>
      </c>
      <c r="N63" s="237" t="str">
        <f t="shared" si="0"/>
        <v/>
      </c>
      <c r="O63" s="238"/>
    </row>
    <row r="64" spans="2:15" ht="15" customHeight="1" x14ac:dyDescent="0.35">
      <c r="B64" s="234" t="str">
        <f>IF(Lançamentos!$B41="","",Lançamentos!$B41)</f>
        <v/>
      </c>
      <c r="C64" s="235" t="str">
        <f>IF($B64="","",Lançamentos!$J41)</f>
        <v/>
      </c>
      <c r="D64" s="235" t="str">
        <f>IF($B64="","",Lançamentos!$H41)</f>
        <v/>
      </c>
      <c r="E64" s="234" t="str">
        <f>IF($B64="","",IF(COUNTIF(Lançamentos!$B$3:$B$1001,$B64)=0,"Bloqueado",IF(COUNTIF('E1 — Solicitação'!$E46:$L46,"⛔ Bloqueado")&gt;0,"Bloqueado",IF(COUNTIF('E1 — Solicitação'!$E46:$L46,"N/A")=8,"Bloqueado",IF(COUNTIF('E1 — Solicitação'!$E46:$L46,"✔ Concluído")+COUNTIF('E1 — Solicitação'!$E46:$L46,"N/A")=8,"Concluído",IF(COUNTIF('E1 — Solicitação'!$E46:$L46,"✔ Concluído")+COUNTIF('E1 — Solicitação'!$E46:$L46,"🔄 Em andamento")&gt;0,"Em andamento","Não iniciado"))))))</f>
        <v/>
      </c>
      <c r="F64" s="234" t="str">
        <f>IF($B64="","",IF($E64&lt;&gt;"Concluído","Não iniciado",IF(COUNTIF(Lançamentos!$B$3:$B$1001,$B64)=0,"Bloqueado",IF('E2 — Triagem'!$D46="","Bloqueado",IF(COUNTIF('E2 — Triagem'!$E46:$L46,"N/A")=8,"Bloqueado",IF(COUNTIF('E2 — Triagem'!$E46:$L46,"⛔ Bloqueado")&gt;0,"Bloqueado",IF(COUNTIF('E2 — Triagem'!$E46:$L46,"✔ Concluído")+COUNTIF('E2 — Triagem'!$E46:$L46,"N/A")=8,"Concluído",IF(COUNTIF('E2 — Triagem'!$E46:$L46,"✔ Concluído")+COUNTIF('E2 — Triagem'!$E46:$L46,"🔄 Em andamento")&gt;0,"Em andamento","Não iniciado"))))))))</f>
        <v/>
      </c>
      <c r="G64" s="234" t="str">
        <f>IF($B64="","",IF($F64&lt;&gt;"Concluído","Não iniciado",IF(COUNTIF(Lançamentos!$B$3:$B$1001,$B64)=0,"Bloqueado",IF('E3 — Levantamento'!$D46="","Bloqueado",IF(COUNTIF('E3 — Levantamento'!$E46:$I46,"⛔ Bloqueado")&gt;0,"Bloqueado",IF('E3 — Levantamento'!$I46="N/A","Bloqueado",IF(COUNTIF('E3 — Levantamento'!$E46:$I46,"✔ Concluído")=5,"Concluído",IF(COUNTIF('E3 — Levantamento'!$E46:$I46,"✔ Concluído")+COUNTIF('E3 — Levantamento'!$E46:$I46,"🔄 Em andamento")&gt;0,"Em andamento","Não iniciado"))))))))</f>
        <v/>
      </c>
      <c r="H64" s="234" t="str">
        <f>IF($B64="","",IF($G64&lt;&gt;"Concluído","Não iniciado",IF(COUNTIF(Lançamentos!$B$3:$B$1001,$B64)=0,"Bloqueado",IF('E4 — Execução'!$D46="","Bloqueado",IF(COUNTIF('E4 — Execução'!$E46:$K46,"⛔ Bloqueado")&gt;0,"Bloqueado",IF(COUNTIF('E4 — Execução'!$E46:$K46,"✔ Concluído")=7,"Concluído",IF(COUNTIF('E4 — Execução'!$E46:$K46,"✔ Concluído")+COUNTIF('E4 — Execução'!$E46:$K46,"🔄 Em andamento")&gt;0,"Em andamento","Não iniciado")))))))</f>
        <v/>
      </c>
      <c r="I64" s="234" t="str">
        <f>IF($B64="","",IF($H64&lt;&gt;"Concluído","Não iniciado",IF(COUNTIF(Lançamentos!$B$3:$B$1001,$B64)=0,"Bloqueado",IF('E5 — Validação'!$D46="","Bloqueado",IF(COUNTIF('E5 — Validação'!$E46:$I46,"⛔ Bloqueado")&gt;0,"Bloqueado",IF('E5 — Validação'!$I46="N/A","Bloqueado",IF(AND('E5 — Validação'!$E46="✔ Concluído",'E5 — Validação'!$F46="✔ Concluído",OR('E5 — Validação'!$G46="✔ Concluído",'E5 — Validação'!$G46="N/A"),'E5 — Validação'!$H46="✔ Concluído",'E5 — Validação'!$I46="✔ Concluído"),"Concluído",IF(COUNTIF('E5 — Validação'!$E46:$I46,"✔ Concluído")+COUNTIF('E5 — Validação'!$E46:$I46,"🔄 Em andamento")&gt;0,"Em andamento","Não iniciado"))))))))</f>
        <v/>
      </c>
      <c r="J64" s="234" t="str">
        <f>IF($B64="","",IF($I64&lt;&gt;"Concluído","Não iniciado",IF('E6 — Ajustes'!$N46="Não","N/A",IF(COUNTIF(Lançamentos!$B$3:$B$1001,$B64)=0,"Bloqueado",IF('E6 — Ajustes'!$D46="","Bloqueado",IF(COUNTIF('E6 — Ajustes'!$E46:$J46,"⛔ Bloqueado")&gt;0,"Bloqueado",IF(AND('E6 — Ajustes'!$E46="✔ Concluído",'E6 — Ajustes'!$F46="✔ Concluído",'E6 — Ajustes'!$G46="✔ Concluído",'E6 — Ajustes'!$H46="✔ Concluído",OR('E6 — Ajustes'!$I46="✔ Concluído",'E6 — Ajustes'!$I46="N/A"),'E6 — Ajustes'!$J46="✔ Concluído"),"Concluído",IF(COUNTIF('E6 — Ajustes'!$E46:$J46,"✔ Concluído")+COUNTIF('E6 — Ajustes'!$E46:$J46,"🔄 Em andamento")&gt;0,"Em andamento","Não iniciado"))))))))</f>
        <v/>
      </c>
      <c r="K64" s="234" t="str">
        <f>IF($B64="","",IF($I64&lt;&gt;"Concluído","Não iniciado",IF(AND($J64&lt;&gt;"Concluído",$J64&lt;&gt;"N/A"),"Não iniciado",IF(COUNTIF(Lançamentos!$B$3:$B$1001,$B64)=0,"Bloqueado",IF('E7 — Entrega'!$D46="","Bloqueado",IF(COUNTIF('E7 — Entrega'!$E46:$H46,"⛔ Bloqueado")&gt;0,"Bloqueado",IF(COUNTIF('E7 — Entrega'!$E46:$H46,"✔ Concluído")=4,"Concluído",IF(COUNTIF('E7 — Entrega'!$E46:$H46,"✔ Concluído")+COUNTIF('E7 — Entrega'!$E46:$H46,"🔄 Em andamento")&gt;0,"Em andamento","Não iniciado"))))))))</f>
        <v/>
      </c>
      <c r="L64" s="234" t="str">
        <f>IF($B64="","",IF($K64&lt;&gt;"Concluído","Não iniciado",IF(OR(COUNTIF('E08 — Estabilização Hypercare'!$E46:$J46,"⛔ Bloqueado")&gt;0,'E08 — Estabilização Hypercare'!$N46="⛔ Incidente Crítico — Encerramento Bloqueado",AND('E08 — Estabilização Hypercare'!$N46="🆕 Evolução Identificada — Nova Demanda Aberta",'E08 — Estabilização Hypercare'!$U46="")),"Bloqueado",IF(AND('E08 — Estabilização Hypercare'!$E46="✔ Concluído",'E08 — Estabilização Hypercare'!$F46="✔ Concluído",'E08 — Estabilização Hypercare'!$G46="✔ Concluído",OR('E08 — Estabilização Hypercare'!$H46="✔ Concluído",'E08 — Estabilização Hypercare'!$H46="N/A"),'E08 — Estabilização Hypercare'!$I46="✔ Concluído",'E08 — Estabilização Hypercare'!$J46="✔ Concluído",OR('E08 — Estabilização Hypercare'!$N46="✅ Estável — Demanda Encerrada",AND('E08 — Estabilização Hypercare'!$N46="🆕 Evolução Identificada — Nova Demanda Aberta",'E08 — Estabilização Hypercare'!$U46&lt;&gt;""))),"Concluído",IF(OR(COUNTIF('E08 — Estabilização Hypercare'!$E46:$J46,"✔ Concluído")&gt;0,COUNTIF('E08 — Estabilização Hypercare'!$E46:$J46,"🔄 Em andamento")&gt;0,'E08 — Estabilização Hypercare'!$N46&lt;&gt;""),"Em andamento","Não iniciado")))))</f>
        <v/>
      </c>
      <c r="M64" s="236" t="str" cm="1">
        <f t="array" ref="M64">IF(B64="","",_xlfn.IFS(E64&lt;&gt;"Concluído","E1 — Solicitação",F64&lt;&gt;"Concluído","E2 — Triagem",G64&lt;&gt;"Concluído","E3 — Levantamento ⚠",H64&lt;&gt;"Concluído","E4 — Execução",I64&lt;&gt;"Concluído","E5 — Validação ⚠",AND(J64&lt;&gt;"Concluído",J64&lt;&gt;"N/A"),"E6 — Ajustes",K64&lt;&gt;"Concluído","E7 — Entrega",L64&lt;&gt;"Concluído","E08 — Estabilização / Hypercare",TRUE,"✔ Fluxo concluído"))</f>
        <v/>
      </c>
      <c r="N64" s="237" t="str">
        <f t="shared" si="0"/>
        <v/>
      </c>
      <c r="O64" s="238"/>
    </row>
    <row r="65" spans="2:15" ht="15" customHeight="1" x14ac:dyDescent="0.35">
      <c r="B65" s="234" t="str">
        <f>IF(Lançamentos!$B42="","",Lançamentos!$B42)</f>
        <v/>
      </c>
      <c r="C65" s="235" t="str">
        <f>IF($B65="","",Lançamentos!$J42)</f>
        <v/>
      </c>
      <c r="D65" s="235" t="str">
        <f>IF($B65="","",Lançamentos!$H42)</f>
        <v/>
      </c>
      <c r="E65" s="234" t="str">
        <f>IF($B65="","",IF(COUNTIF(Lançamentos!$B$3:$B$1001,$B65)=0,"Bloqueado",IF(COUNTIF('E1 — Solicitação'!$E47:$L47,"⛔ Bloqueado")&gt;0,"Bloqueado",IF(COUNTIF('E1 — Solicitação'!$E47:$L47,"N/A")=8,"Bloqueado",IF(COUNTIF('E1 — Solicitação'!$E47:$L47,"✔ Concluído")+COUNTIF('E1 — Solicitação'!$E47:$L47,"N/A")=8,"Concluído",IF(COUNTIF('E1 — Solicitação'!$E47:$L47,"✔ Concluído")+COUNTIF('E1 — Solicitação'!$E47:$L47,"🔄 Em andamento")&gt;0,"Em andamento","Não iniciado"))))))</f>
        <v/>
      </c>
      <c r="F65" s="234" t="str">
        <f>IF($B65="","",IF($E65&lt;&gt;"Concluído","Não iniciado",IF(COUNTIF(Lançamentos!$B$3:$B$1001,$B65)=0,"Bloqueado",IF('E2 — Triagem'!$D47="","Bloqueado",IF(COUNTIF('E2 — Triagem'!$E47:$L47,"N/A")=8,"Bloqueado",IF(COUNTIF('E2 — Triagem'!$E47:$L47,"⛔ Bloqueado")&gt;0,"Bloqueado",IF(COUNTIF('E2 — Triagem'!$E47:$L47,"✔ Concluído")+COUNTIF('E2 — Triagem'!$E47:$L47,"N/A")=8,"Concluído",IF(COUNTIF('E2 — Triagem'!$E47:$L47,"✔ Concluído")+COUNTIF('E2 — Triagem'!$E47:$L47,"🔄 Em andamento")&gt;0,"Em andamento","Não iniciado"))))))))</f>
        <v/>
      </c>
      <c r="G65" s="234" t="str">
        <f>IF($B65="","",IF($F65&lt;&gt;"Concluído","Não iniciado",IF(COUNTIF(Lançamentos!$B$3:$B$1001,$B65)=0,"Bloqueado",IF('E3 — Levantamento'!$D47="","Bloqueado",IF(COUNTIF('E3 — Levantamento'!$E47:$I47,"⛔ Bloqueado")&gt;0,"Bloqueado",IF('E3 — Levantamento'!$I47="N/A","Bloqueado",IF(COUNTIF('E3 — Levantamento'!$E47:$I47,"✔ Concluído")=5,"Concluído",IF(COUNTIF('E3 — Levantamento'!$E47:$I47,"✔ Concluído")+COUNTIF('E3 — Levantamento'!$E47:$I47,"🔄 Em andamento")&gt;0,"Em andamento","Não iniciado"))))))))</f>
        <v/>
      </c>
      <c r="H65" s="234" t="str">
        <f>IF($B65="","",IF($G65&lt;&gt;"Concluído","Não iniciado",IF(COUNTIF(Lançamentos!$B$3:$B$1001,$B65)=0,"Bloqueado",IF('E4 — Execução'!$D47="","Bloqueado",IF(COUNTIF('E4 — Execução'!$E47:$K47,"⛔ Bloqueado")&gt;0,"Bloqueado",IF(COUNTIF('E4 — Execução'!$E47:$K47,"✔ Concluído")=7,"Concluído",IF(COUNTIF('E4 — Execução'!$E47:$K47,"✔ Concluído")+COUNTIF('E4 — Execução'!$E47:$K47,"🔄 Em andamento")&gt;0,"Em andamento","Não iniciado")))))))</f>
        <v/>
      </c>
      <c r="I65" s="234" t="str">
        <f>IF($B65="","",IF($H65&lt;&gt;"Concluído","Não iniciado",IF(COUNTIF(Lançamentos!$B$3:$B$1001,$B65)=0,"Bloqueado",IF('E5 — Validação'!$D47="","Bloqueado",IF(COUNTIF('E5 — Validação'!$E47:$I47,"⛔ Bloqueado")&gt;0,"Bloqueado",IF('E5 — Validação'!$I47="N/A","Bloqueado",IF(AND('E5 — Validação'!$E47="✔ Concluído",'E5 — Validação'!$F47="✔ Concluído",OR('E5 — Validação'!$G47="✔ Concluído",'E5 — Validação'!$G47="N/A"),'E5 — Validação'!$H47="✔ Concluído",'E5 — Validação'!$I47="✔ Concluído"),"Concluído",IF(COUNTIF('E5 — Validação'!$E47:$I47,"✔ Concluído")+COUNTIF('E5 — Validação'!$E47:$I47,"🔄 Em andamento")&gt;0,"Em andamento","Não iniciado"))))))))</f>
        <v/>
      </c>
      <c r="J65" s="234" t="str">
        <f>IF($B65="","",IF($I65&lt;&gt;"Concluído","Não iniciado",IF('E6 — Ajustes'!$N47="Não","N/A",IF(COUNTIF(Lançamentos!$B$3:$B$1001,$B65)=0,"Bloqueado",IF('E6 — Ajustes'!$D47="","Bloqueado",IF(COUNTIF('E6 — Ajustes'!$E47:$J47,"⛔ Bloqueado")&gt;0,"Bloqueado",IF(AND('E6 — Ajustes'!$E47="✔ Concluído",'E6 — Ajustes'!$F47="✔ Concluído",'E6 — Ajustes'!$G47="✔ Concluído",'E6 — Ajustes'!$H47="✔ Concluído",OR('E6 — Ajustes'!$I47="✔ Concluído",'E6 — Ajustes'!$I47="N/A"),'E6 — Ajustes'!$J47="✔ Concluído"),"Concluído",IF(COUNTIF('E6 — Ajustes'!$E47:$J47,"✔ Concluído")+COUNTIF('E6 — Ajustes'!$E47:$J47,"🔄 Em andamento")&gt;0,"Em andamento","Não iniciado"))))))))</f>
        <v/>
      </c>
      <c r="K65" s="234" t="str">
        <f>IF($B65="","",IF($I65&lt;&gt;"Concluído","Não iniciado",IF(AND($J65&lt;&gt;"Concluído",$J65&lt;&gt;"N/A"),"Não iniciado",IF(COUNTIF(Lançamentos!$B$3:$B$1001,$B65)=0,"Bloqueado",IF('E7 — Entrega'!$D47="","Bloqueado",IF(COUNTIF('E7 — Entrega'!$E47:$H47,"⛔ Bloqueado")&gt;0,"Bloqueado",IF(COUNTIF('E7 — Entrega'!$E47:$H47,"✔ Concluído")=4,"Concluído",IF(COUNTIF('E7 — Entrega'!$E47:$H47,"✔ Concluído")+COUNTIF('E7 — Entrega'!$E47:$H47,"🔄 Em andamento")&gt;0,"Em andamento","Não iniciado"))))))))</f>
        <v/>
      </c>
      <c r="L65" s="234" t="str">
        <f>IF($B65="","",IF($K65&lt;&gt;"Concluído","Não iniciado",IF(OR(COUNTIF('E08 — Estabilização Hypercare'!$E47:$J47,"⛔ Bloqueado")&gt;0,'E08 — Estabilização Hypercare'!$N47="⛔ Incidente Crítico — Encerramento Bloqueado",AND('E08 — Estabilização Hypercare'!$N47="🆕 Evolução Identificada — Nova Demanda Aberta",'E08 — Estabilização Hypercare'!$U47="")),"Bloqueado",IF(AND('E08 — Estabilização Hypercare'!$E47="✔ Concluído",'E08 — Estabilização Hypercare'!$F47="✔ Concluído",'E08 — Estabilização Hypercare'!$G47="✔ Concluído",OR('E08 — Estabilização Hypercare'!$H47="✔ Concluído",'E08 — Estabilização Hypercare'!$H47="N/A"),'E08 — Estabilização Hypercare'!$I47="✔ Concluído",'E08 — Estabilização Hypercare'!$J47="✔ Concluído",OR('E08 — Estabilização Hypercare'!$N47="✅ Estável — Demanda Encerrada",AND('E08 — Estabilização Hypercare'!$N47="🆕 Evolução Identificada — Nova Demanda Aberta",'E08 — Estabilização Hypercare'!$U47&lt;&gt;""))),"Concluído",IF(OR(COUNTIF('E08 — Estabilização Hypercare'!$E47:$J47,"✔ Concluído")&gt;0,COUNTIF('E08 — Estabilização Hypercare'!$E47:$J47,"🔄 Em andamento")&gt;0,'E08 — Estabilização Hypercare'!$N47&lt;&gt;""),"Em andamento","Não iniciado")))))</f>
        <v/>
      </c>
      <c r="M65" s="236" t="str" cm="1">
        <f t="array" ref="M65">IF(B65="","",_xlfn.IFS(E65&lt;&gt;"Concluído","E1 — Solicitação",F65&lt;&gt;"Concluído","E2 — Triagem",G65&lt;&gt;"Concluído","E3 — Levantamento ⚠",H65&lt;&gt;"Concluído","E4 — Execução",I65&lt;&gt;"Concluído","E5 — Validação ⚠",AND(J65&lt;&gt;"Concluído",J65&lt;&gt;"N/A"),"E6 — Ajustes",K65&lt;&gt;"Concluído","E7 — Entrega",L65&lt;&gt;"Concluído","E08 — Estabilização / Hypercare",TRUE,"✔ Fluxo concluído"))</f>
        <v/>
      </c>
      <c r="N65" s="237" t="str">
        <f t="shared" si="0"/>
        <v/>
      </c>
      <c r="O65" s="238"/>
    </row>
    <row r="66" spans="2:15" ht="15" customHeight="1" x14ac:dyDescent="0.35">
      <c r="B66" s="234" t="str">
        <f>IF(Lançamentos!$B43="","",Lançamentos!$B43)</f>
        <v/>
      </c>
      <c r="C66" s="235" t="str">
        <f>IF($B66="","",Lançamentos!$J43)</f>
        <v/>
      </c>
      <c r="D66" s="235" t="str">
        <f>IF($B66="","",Lançamentos!$H43)</f>
        <v/>
      </c>
      <c r="E66" s="234" t="str">
        <f>IF($B66="","",IF(COUNTIF(Lançamentos!$B$3:$B$1001,$B66)=0,"Bloqueado",IF(COUNTIF('E1 — Solicitação'!$E48:$L48,"⛔ Bloqueado")&gt;0,"Bloqueado",IF(COUNTIF('E1 — Solicitação'!$E48:$L48,"N/A")=8,"Bloqueado",IF(COUNTIF('E1 — Solicitação'!$E48:$L48,"✔ Concluído")+COUNTIF('E1 — Solicitação'!$E48:$L48,"N/A")=8,"Concluído",IF(COUNTIF('E1 — Solicitação'!$E48:$L48,"✔ Concluído")+COUNTIF('E1 — Solicitação'!$E48:$L48,"🔄 Em andamento")&gt;0,"Em andamento","Não iniciado"))))))</f>
        <v/>
      </c>
      <c r="F66" s="234" t="str">
        <f>IF($B66="","",IF($E66&lt;&gt;"Concluído","Não iniciado",IF(COUNTIF(Lançamentos!$B$3:$B$1001,$B66)=0,"Bloqueado",IF('E2 — Triagem'!$D48="","Bloqueado",IF(COUNTIF('E2 — Triagem'!$E48:$L48,"N/A")=8,"Bloqueado",IF(COUNTIF('E2 — Triagem'!$E48:$L48,"⛔ Bloqueado")&gt;0,"Bloqueado",IF(COUNTIF('E2 — Triagem'!$E48:$L48,"✔ Concluído")+COUNTIF('E2 — Triagem'!$E48:$L48,"N/A")=8,"Concluído",IF(COUNTIF('E2 — Triagem'!$E48:$L48,"✔ Concluído")+COUNTIF('E2 — Triagem'!$E48:$L48,"🔄 Em andamento")&gt;0,"Em andamento","Não iniciado"))))))))</f>
        <v/>
      </c>
      <c r="G66" s="234" t="str">
        <f>IF($B66="","",IF($F66&lt;&gt;"Concluído","Não iniciado",IF(COUNTIF(Lançamentos!$B$3:$B$1001,$B66)=0,"Bloqueado",IF('E3 — Levantamento'!$D48="","Bloqueado",IF(COUNTIF('E3 — Levantamento'!$E48:$I48,"⛔ Bloqueado")&gt;0,"Bloqueado",IF('E3 — Levantamento'!$I48="N/A","Bloqueado",IF(COUNTIF('E3 — Levantamento'!$E48:$I48,"✔ Concluído")=5,"Concluído",IF(COUNTIF('E3 — Levantamento'!$E48:$I48,"✔ Concluído")+COUNTIF('E3 — Levantamento'!$E48:$I48,"🔄 Em andamento")&gt;0,"Em andamento","Não iniciado"))))))))</f>
        <v/>
      </c>
      <c r="H66" s="234" t="str">
        <f>IF($B66="","",IF($G66&lt;&gt;"Concluído","Não iniciado",IF(COUNTIF(Lançamentos!$B$3:$B$1001,$B66)=0,"Bloqueado",IF('E4 — Execução'!$D48="","Bloqueado",IF(COUNTIF('E4 — Execução'!$E48:$K48,"⛔ Bloqueado")&gt;0,"Bloqueado",IF(COUNTIF('E4 — Execução'!$E48:$K48,"✔ Concluído")=7,"Concluído",IF(COUNTIF('E4 — Execução'!$E48:$K48,"✔ Concluído")+COUNTIF('E4 — Execução'!$E48:$K48,"🔄 Em andamento")&gt;0,"Em andamento","Não iniciado")))))))</f>
        <v/>
      </c>
      <c r="I66" s="234" t="str">
        <f>IF($B66="","",IF($H66&lt;&gt;"Concluído","Não iniciado",IF(COUNTIF(Lançamentos!$B$3:$B$1001,$B66)=0,"Bloqueado",IF('E5 — Validação'!$D48="","Bloqueado",IF(COUNTIF('E5 — Validação'!$E48:$I48,"⛔ Bloqueado")&gt;0,"Bloqueado",IF('E5 — Validação'!$I48="N/A","Bloqueado",IF(AND('E5 — Validação'!$E48="✔ Concluído",'E5 — Validação'!$F48="✔ Concluído",OR('E5 — Validação'!$G48="✔ Concluído",'E5 — Validação'!$G48="N/A"),'E5 — Validação'!$H48="✔ Concluído",'E5 — Validação'!$I48="✔ Concluído"),"Concluído",IF(COUNTIF('E5 — Validação'!$E48:$I48,"✔ Concluído")+COUNTIF('E5 — Validação'!$E48:$I48,"🔄 Em andamento")&gt;0,"Em andamento","Não iniciado"))))))))</f>
        <v/>
      </c>
      <c r="J66" s="234" t="str">
        <f>IF($B66="","",IF($I66&lt;&gt;"Concluído","Não iniciado",IF('E6 — Ajustes'!$N48="Não","N/A",IF(COUNTIF(Lançamentos!$B$3:$B$1001,$B66)=0,"Bloqueado",IF('E6 — Ajustes'!$D48="","Bloqueado",IF(COUNTIF('E6 — Ajustes'!$E48:$J48,"⛔ Bloqueado")&gt;0,"Bloqueado",IF(AND('E6 — Ajustes'!$E48="✔ Concluído",'E6 — Ajustes'!$F48="✔ Concluído",'E6 — Ajustes'!$G48="✔ Concluído",'E6 — Ajustes'!$H48="✔ Concluído",OR('E6 — Ajustes'!$I48="✔ Concluído",'E6 — Ajustes'!$I48="N/A"),'E6 — Ajustes'!$J48="✔ Concluído"),"Concluído",IF(COUNTIF('E6 — Ajustes'!$E48:$J48,"✔ Concluído")+COUNTIF('E6 — Ajustes'!$E48:$J48,"🔄 Em andamento")&gt;0,"Em andamento","Não iniciado"))))))))</f>
        <v/>
      </c>
      <c r="K66" s="234" t="str">
        <f>IF($B66="","",IF($I66&lt;&gt;"Concluído","Não iniciado",IF(AND($J66&lt;&gt;"Concluído",$J66&lt;&gt;"N/A"),"Não iniciado",IF(COUNTIF(Lançamentos!$B$3:$B$1001,$B66)=0,"Bloqueado",IF('E7 — Entrega'!$D48="","Bloqueado",IF(COUNTIF('E7 — Entrega'!$E48:$H48,"⛔ Bloqueado")&gt;0,"Bloqueado",IF(COUNTIF('E7 — Entrega'!$E48:$H48,"✔ Concluído")=4,"Concluído",IF(COUNTIF('E7 — Entrega'!$E48:$H48,"✔ Concluído")+COUNTIF('E7 — Entrega'!$E48:$H48,"🔄 Em andamento")&gt;0,"Em andamento","Não iniciado"))))))))</f>
        <v/>
      </c>
      <c r="L66" s="234" t="str">
        <f>IF($B66="","",IF($K66&lt;&gt;"Concluído","Não iniciado",IF(OR(COUNTIF('E08 — Estabilização Hypercare'!$E48:$J48,"⛔ Bloqueado")&gt;0,'E08 — Estabilização Hypercare'!$N48="⛔ Incidente Crítico — Encerramento Bloqueado",AND('E08 — Estabilização Hypercare'!$N48="🆕 Evolução Identificada — Nova Demanda Aberta",'E08 — Estabilização Hypercare'!$U48="")),"Bloqueado",IF(AND('E08 — Estabilização Hypercare'!$E48="✔ Concluído",'E08 — Estabilização Hypercare'!$F48="✔ Concluído",'E08 — Estabilização Hypercare'!$G48="✔ Concluído",OR('E08 — Estabilização Hypercare'!$H48="✔ Concluído",'E08 — Estabilização Hypercare'!$H48="N/A"),'E08 — Estabilização Hypercare'!$I48="✔ Concluído",'E08 — Estabilização Hypercare'!$J48="✔ Concluído",OR('E08 — Estabilização Hypercare'!$N48="✅ Estável — Demanda Encerrada",AND('E08 — Estabilização Hypercare'!$N48="🆕 Evolução Identificada — Nova Demanda Aberta",'E08 — Estabilização Hypercare'!$U48&lt;&gt;""))),"Concluído",IF(OR(COUNTIF('E08 — Estabilização Hypercare'!$E48:$J48,"✔ Concluído")&gt;0,COUNTIF('E08 — Estabilização Hypercare'!$E48:$J48,"🔄 Em andamento")&gt;0,'E08 — Estabilização Hypercare'!$N48&lt;&gt;""),"Em andamento","Não iniciado")))))</f>
        <v/>
      </c>
      <c r="M66" s="236" t="str" cm="1">
        <f t="array" ref="M66">IF(B66="","",_xlfn.IFS(E66&lt;&gt;"Concluído","E1 — Solicitação",F66&lt;&gt;"Concluído","E2 — Triagem",G66&lt;&gt;"Concluído","E3 — Levantamento ⚠",H66&lt;&gt;"Concluído","E4 — Execução",I66&lt;&gt;"Concluído","E5 — Validação ⚠",AND(J66&lt;&gt;"Concluído",J66&lt;&gt;"N/A"),"E6 — Ajustes",K66&lt;&gt;"Concluído","E7 — Entrega",L66&lt;&gt;"Concluído","E08 — Estabilização / Hypercare",TRUE,"✔ Fluxo concluído"))</f>
        <v/>
      </c>
      <c r="N66" s="237" t="str">
        <f t="shared" si="0"/>
        <v/>
      </c>
      <c r="O66" s="238"/>
    </row>
    <row r="67" spans="2:15" ht="15" customHeight="1" x14ac:dyDescent="0.35">
      <c r="B67" s="234" t="str">
        <f>IF(Lançamentos!$B44="","",Lançamentos!$B44)</f>
        <v/>
      </c>
      <c r="C67" s="235" t="str">
        <f>IF($B67="","",Lançamentos!$J44)</f>
        <v/>
      </c>
      <c r="D67" s="235" t="str">
        <f>IF($B67="","",Lançamentos!$H44)</f>
        <v/>
      </c>
      <c r="E67" s="234" t="str">
        <f>IF($B67="","",IF(COUNTIF(Lançamentos!$B$3:$B$1001,$B67)=0,"Bloqueado",IF(COUNTIF('E1 — Solicitação'!$E49:$L49,"⛔ Bloqueado")&gt;0,"Bloqueado",IF(COUNTIF('E1 — Solicitação'!$E49:$L49,"N/A")=8,"Bloqueado",IF(COUNTIF('E1 — Solicitação'!$E49:$L49,"✔ Concluído")+COUNTIF('E1 — Solicitação'!$E49:$L49,"N/A")=8,"Concluído",IF(COUNTIF('E1 — Solicitação'!$E49:$L49,"✔ Concluído")+COUNTIF('E1 — Solicitação'!$E49:$L49,"🔄 Em andamento")&gt;0,"Em andamento","Não iniciado"))))))</f>
        <v/>
      </c>
      <c r="F67" s="234" t="str">
        <f>IF($B67="","",IF($E67&lt;&gt;"Concluído","Não iniciado",IF(COUNTIF(Lançamentos!$B$3:$B$1001,$B67)=0,"Bloqueado",IF('E2 — Triagem'!$D49="","Bloqueado",IF(COUNTIF('E2 — Triagem'!$E49:$L49,"N/A")=8,"Bloqueado",IF(COUNTIF('E2 — Triagem'!$E49:$L49,"⛔ Bloqueado")&gt;0,"Bloqueado",IF(COUNTIF('E2 — Triagem'!$E49:$L49,"✔ Concluído")+COUNTIF('E2 — Triagem'!$E49:$L49,"N/A")=8,"Concluído",IF(COUNTIF('E2 — Triagem'!$E49:$L49,"✔ Concluído")+COUNTIF('E2 — Triagem'!$E49:$L49,"🔄 Em andamento")&gt;0,"Em andamento","Não iniciado"))))))))</f>
        <v/>
      </c>
      <c r="G67" s="234" t="str">
        <f>IF($B67="","",IF($F67&lt;&gt;"Concluído","Não iniciado",IF(COUNTIF(Lançamentos!$B$3:$B$1001,$B67)=0,"Bloqueado",IF('E3 — Levantamento'!$D49="","Bloqueado",IF(COUNTIF('E3 — Levantamento'!$E49:$I49,"⛔ Bloqueado")&gt;0,"Bloqueado",IF('E3 — Levantamento'!$I49="N/A","Bloqueado",IF(COUNTIF('E3 — Levantamento'!$E49:$I49,"✔ Concluído")=5,"Concluído",IF(COUNTIF('E3 — Levantamento'!$E49:$I49,"✔ Concluído")+COUNTIF('E3 — Levantamento'!$E49:$I49,"🔄 Em andamento")&gt;0,"Em andamento","Não iniciado"))))))))</f>
        <v/>
      </c>
      <c r="H67" s="234" t="str">
        <f>IF($B67="","",IF($G67&lt;&gt;"Concluído","Não iniciado",IF(COUNTIF(Lançamentos!$B$3:$B$1001,$B67)=0,"Bloqueado",IF('E4 — Execução'!$D49="","Bloqueado",IF(COUNTIF('E4 — Execução'!$E49:$K49,"⛔ Bloqueado")&gt;0,"Bloqueado",IF(COUNTIF('E4 — Execução'!$E49:$K49,"✔ Concluído")=7,"Concluído",IF(COUNTIF('E4 — Execução'!$E49:$K49,"✔ Concluído")+COUNTIF('E4 — Execução'!$E49:$K49,"🔄 Em andamento")&gt;0,"Em andamento","Não iniciado")))))))</f>
        <v/>
      </c>
      <c r="I67" s="234" t="str">
        <f>IF($B67="","",IF($H67&lt;&gt;"Concluído","Não iniciado",IF(COUNTIF(Lançamentos!$B$3:$B$1001,$B67)=0,"Bloqueado",IF('E5 — Validação'!$D49="","Bloqueado",IF(COUNTIF('E5 — Validação'!$E49:$I49,"⛔ Bloqueado")&gt;0,"Bloqueado",IF('E5 — Validação'!$I49="N/A","Bloqueado",IF(AND('E5 — Validação'!$E49="✔ Concluído",'E5 — Validação'!$F49="✔ Concluído",OR('E5 — Validação'!$G49="✔ Concluído",'E5 — Validação'!$G49="N/A"),'E5 — Validação'!$H49="✔ Concluído",'E5 — Validação'!$I49="✔ Concluído"),"Concluído",IF(COUNTIF('E5 — Validação'!$E49:$I49,"✔ Concluído")+COUNTIF('E5 — Validação'!$E49:$I49,"🔄 Em andamento")&gt;0,"Em andamento","Não iniciado"))))))))</f>
        <v/>
      </c>
      <c r="J67" s="234" t="str">
        <f>IF($B67="","",IF($I67&lt;&gt;"Concluído","Não iniciado",IF('E6 — Ajustes'!$N49="Não","N/A",IF(COUNTIF(Lançamentos!$B$3:$B$1001,$B67)=0,"Bloqueado",IF('E6 — Ajustes'!$D49="","Bloqueado",IF(COUNTIF('E6 — Ajustes'!$E49:$J49,"⛔ Bloqueado")&gt;0,"Bloqueado",IF(AND('E6 — Ajustes'!$E49="✔ Concluído",'E6 — Ajustes'!$F49="✔ Concluído",'E6 — Ajustes'!$G49="✔ Concluído",'E6 — Ajustes'!$H49="✔ Concluído",OR('E6 — Ajustes'!$I49="✔ Concluído",'E6 — Ajustes'!$I49="N/A"),'E6 — Ajustes'!$J49="✔ Concluído"),"Concluído",IF(COUNTIF('E6 — Ajustes'!$E49:$J49,"✔ Concluído")+COUNTIF('E6 — Ajustes'!$E49:$J49,"🔄 Em andamento")&gt;0,"Em andamento","Não iniciado"))))))))</f>
        <v/>
      </c>
      <c r="K67" s="234" t="str">
        <f>IF($B67="","",IF($I67&lt;&gt;"Concluído","Não iniciado",IF(AND($J67&lt;&gt;"Concluído",$J67&lt;&gt;"N/A"),"Não iniciado",IF(COUNTIF(Lançamentos!$B$3:$B$1001,$B67)=0,"Bloqueado",IF('E7 — Entrega'!$D49="","Bloqueado",IF(COUNTIF('E7 — Entrega'!$E49:$H49,"⛔ Bloqueado")&gt;0,"Bloqueado",IF(COUNTIF('E7 — Entrega'!$E49:$H49,"✔ Concluído")=4,"Concluído",IF(COUNTIF('E7 — Entrega'!$E49:$H49,"✔ Concluído")+COUNTIF('E7 — Entrega'!$E49:$H49,"🔄 Em andamento")&gt;0,"Em andamento","Não iniciado"))))))))</f>
        <v/>
      </c>
      <c r="L67" s="234" t="str">
        <f>IF($B67="","",IF($K67&lt;&gt;"Concluído","Não iniciado",IF(OR(COUNTIF('E08 — Estabilização Hypercare'!$E49:$J49,"⛔ Bloqueado")&gt;0,'E08 — Estabilização Hypercare'!$N49="⛔ Incidente Crítico — Encerramento Bloqueado",AND('E08 — Estabilização Hypercare'!$N49="🆕 Evolução Identificada — Nova Demanda Aberta",'E08 — Estabilização Hypercare'!$U49="")),"Bloqueado",IF(AND('E08 — Estabilização Hypercare'!$E49="✔ Concluído",'E08 — Estabilização Hypercare'!$F49="✔ Concluído",'E08 — Estabilização Hypercare'!$G49="✔ Concluído",OR('E08 — Estabilização Hypercare'!$H49="✔ Concluído",'E08 — Estabilização Hypercare'!$H49="N/A"),'E08 — Estabilização Hypercare'!$I49="✔ Concluído",'E08 — Estabilização Hypercare'!$J49="✔ Concluído",OR('E08 — Estabilização Hypercare'!$N49="✅ Estável — Demanda Encerrada",AND('E08 — Estabilização Hypercare'!$N49="🆕 Evolução Identificada — Nova Demanda Aberta",'E08 — Estabilização Hypercare'!$U49&lt;&gt;""))),"Concluído",IF(OR(COUNTIF('E08 — Estabilização Hypercare'!$E49:$J49,"✔ Concluído")&gt;0,COUNTIF('E08 — Estabilização Hypercare'!$E49:$J49,"🔄 Em andamento")&gt;0,'E08 — Estabilização Hypercare'!$N49&lt;&gt;""),"Em andamento","Não iniciado")))))</f>
        <v/>
      </c>
      <c r="M67" s="236" t="str" cm="1">
        <f t="array" ref="M67">IF(B67="","",_xlfn.IFS(E67&lt;&gt;"Concluído","E1 — Solicitação",F67&lt;&gt;"Concluído","E2 — Triagem",G67&lt;&gt;"Concluído","E3 — Levantamento ⚠",H67&lt;&gt;"Concluído","E4 — Execução",I67&lt;&gt;"Concluído","E5 — Validação ⚠",AND(J67&lt;&gt;"Concluído",J67&lt;&gt;"N/A"),"E6 — Ajustes",K67&lt;&gt;"Concluído","E7 — Entrega",L67&lt;&gt;"Concluído","E08 — Estabilização / Hypercare",TRUE,"✔ Fluxo concluído"))</f>
        <v/>
      </c>
      <c r="N67" s="237" t="str">
        <f t="shared" si="0"/>
        <v/>
      </c>
      <c r="O67" s="238"/>
    </row>
    <row r="68" spans="2:15" ht="15" customHeight="1" x14ac:dyDescent="0.35">
      <c r="B68" s="234" t="str">
        <f>IF(Lançamentos!$B45="","",Lançamentos!$B45)</f>
        <v/>
      </c>
      <c r="C68" s="235" t="str">
        <f>IF($B68="","",Lançamentos!$J45)</f>
        <v/>
      </c>
      <c r="D68" s="235" t="str">
        <f>IF($B68="","",Lançamentos!$H45)</f>
        <v/>
      </c>
      <c r="E68" s="234" t="str">
        <f>IF($B68="","",IF(COUNTIF(Lançamentos!$B$3:$B$1001,$B68)=0,"Bloqueado",IF(COUNTIF('E1 — Solicitação'!$E50:$L50,"⛔ Bloqueado")&gt;0,"Bloqueado",IF(COUNTIF('E1 — Solicitação'!$E50:$L50,"N/A")=8,"Bloqueado",IF(COUNTIF('E1 — Solicitação'!$E50:$L50,"✔ Concluído")+COUNTIF('E1 — Solicitação'!$E50:$L50,"N/A")=8,"Concluído",IF(COUNTIF('E1 — Solicitação'!$E50:$L50,"✔ Concluído")+COUNTIF('E1 — Solicitação'!$E50:$L50,"🔄 Em andamento")&gt;0,"Em andamento","Não iniciado"))))))</f>
        <v/>
      </c>
      <c r="F68" s="234" t="str">
        <f>IF($B68="","",IF($E68&lt;&gt;"Concluído","Não iniciado",IF(COUNTIF(Lançamentos!$B$3:$B$1001,$B68)=0,"Bloqueado",IF('E2 — Triagem'!$D50="","Bloqueado",IF(COUNTIF('E2 — Triagem'!$E50:$L50,"N/A")=8,"Bloqueado",IF(COUNTIF('E2 — Triagem'!$E50:$L50,"⛔ Bloqueado")&gt;0,"Bloqueado",IF(COUNTIF('E2 — Triagem'!$E50:$L50,"✔ Concluído")+COUNTIF('E2 — Triagem'!$E50:$L50,"N/A")=8,"Concluído",IF(COUNTIF('E2 — Triagem'!$E50:$L50,"✔ Concluído")+COUNTIF('E2 — Triagem'!$E50:$L50,"🔄 Em andamento")&gt;0,"Em andamento","Não iniciado"))))))))</f>
        <v/>
      </c>
      <c r="G68" s="234" t="str">
        <f>IF($B68="","",IF($F68&lt;&gt;"Concluído","Não iniciado",IF(COUNTIF(Lançamentos!$B$3:$B$1001,$B68)=0,"Bloqueado",IF('E3 — Levantamento'!$D50="","Bloqueado",IF(COUNTIF('E3 — Levantamento'!$E50:$I50,"⛔ Bloqueado")&gt;0,"Bloqueado",IF('E3 — Levantamento'!$I50="N/A","Bloqueado",IF(COUNTIF('E3 — Levantamento'!$E50:$I50,"✔ Concluído")=5,"Concluído",IF(COUNTIF('E3 — Levantamento'!$E50:$I50,"✔ Concluído")+COUNTIF('E3 — Levantamento'!$E50:$I50,"🔄 Em andamento")&gt;0,"Em andamento","Não iniciado"))))))))</f>
        <v/>
      </c>
      <c r="H68" s="234" t="str">
        <f>IF($B68="","",IF($G68&lt;&gt;"Concluído","Não iniciado",IF(COUNTIF(Lançamentos!$B$3:$B$1001,$B68)=0,"Bloqueado",IF('E4 — Execução'!$D50="","Bloqueado",IF(COUNTIF('E4 — Execução'!$E50:$K50,"⛔ Bloqueado")&gt;0,"Bloqueado",IF(COUNTIF('E4 — Execução'!$E50:$K50,"✔ Concluído")=7,"Concluído",IF(COUNTIF('E4 — Execução'!$E50:$K50,"✔ Concluído")+COUNTIF('E4 — Execução'!$E50:$K50,"🔄 Em andamento")&gt;0,"Em andamento","Não iniciado")))))))</f>
        <v/>
      </c>
      <c r="I68" s="234" t="str">
        <f>IF($B68="","",IF($H68&lt;&gt;"Concluído","Não iniciado",IF(COUNTIF(Lançamentos!$B$3:$B$1001,$B68)=0,"Bloqueado",IF('E5 — Validação'!$D50="","Bloqueado",IF(COUNTIF('E5 — Validação'!$E50:$I50,"⛔ Bloqueado")&gt;0,"Bloqueado",IF('E5 — Validação'!$I50="N/A","Bloqueado",IF(AND('E5 — Validação'!$E50="✔ Concluído",'E5 — Validação'!$F50="✔ Concluído",OR('E5 — Validação'!$G50="✔ Concluído",'E5 — Validação'!$G50="N/A"),'E5 — Validação'!$H50="✔ Concluído",'E5 — Validação'!$I50="✔ Concluído"),"Concluído",IF(COUNTIF('E5 — Validação'!$E50:$I50,"✔ Concluído")+COUNTIF('E5 — Validação'!$E50:$I50,"🔄 Em andamento")&gt;0,"Em andamento","Não iniciado"))))))))</f>
        <v/>
      </c>
      <c r="J68" s="234" t="str">
        <f>IF($B68="","",IF($I68&lt;&gt;"Concluído","Não iniciado",IF('E6 — Ajustes'!$N50="Não","N/A",IF(COUNTIF(Lançamentos!$B$3:$B$1001,$B68)=0,"Bloqueado",IF('E6 — Ajustes'!$D50="","Bloqueado",IF(COUNTIF('E6 — Ajustes'!$E50:$J50,"⛔ Bloqueado")&gt;0,"Bloqueado",IF(AND('E6 — Ajustes'!$E50="✔ Concluído",'E6 — Ajustes'!$F50="✔ Concluído",'E6 — Ajustes'!$G50="✔ Concluído",'E6 — Ajustes'!$H50="✔ Concluído",OR('E6 — Ajustes'!$I50="✔ Concluído",'E6 — Ajustes'!$I50="N/A"),'E6 — Ajustes'!$J50="✔ Concluído"),"Concluído",IF(COUNTIF('E6 — Ajustes'!$E50:$J50,"✔ Concluído")+COUNTIF('E6 — Ajustes'!$E50:$J50,"🔄 Em andamento")&gt;0,"Em andamento","Não iniciado"))))))))</f>
        <v/>
      </c>
      <c r="K68" s="234" t="str">
        <f>IF($B68="","",IF($I68&lt;&gt;"Concluído","Não iniciado",IF(AND($J68&lt;&gt;"Concluído",$J68&lt;&gt;"N/A"),"Não iniciado",IF(COUNTIF(Lançamentos!$B$3:$B$1001,$B68)=0,"Bloqueado",IF('E7 — Entrega'!$D50="","Bloqueado",IF(COUNTIF('E7 — Entrega'!$E50:$H50,"⛔ Bloqueado")&gt;0,"Bloqueado",IF(COUNTIF('E7 — Entrega'!$E50:$H50,"✔ Concluído")=4,"Concluído",IF(COUNTIF('E7 — Entrega'!$E50:$H50,"✔ Concluído")+COUNTIF('E7 — Entrega'!$E50:$H50,"🔄 Em andamento")&gt;0,"Em andamento","Não iniciado"))))))))</f>
        <v/>
      </c>
      <c r="L68" s="234" t="str">
        <f>IF($B68="","",IF($K68&lt;&gt;"Concluído","Não iniciado",IF(OR(COUNTIF('E08 — Estabilização Hypercare'!$E50:$J50,"⛔ Bloqueado")&gt;0,'E08 — Estabilização Hypercare'!$N50="⛔ Incidente Crítico — Encerramento Bloqueado",AND('E08 — Estabilização Hypercare'!$N50="🆕 Evolução Identificada — Nova Demanda Aberta",'E08 — Estabilização Hypercare'!$U50="")),"Bloqueado",IF(AND('E08 — Estabilização Hypercare'!$E50="✔ Concluído",'E08 — Estabilização Hypercare'!$F50="✔ Concluído",'E08 — Estabilização Hypercare'!$G50="✔ Concluído",OR('E08 — Estabilização Hypercare'!$H50="✔ Concluído",'E08 — Estabilização Hypercare'!$H50="N/A"),'E08 — Estabilização Hypercare'!$I50="✔ Concluído",'E08 — Estabilização Hypercare'!$J50="✔ Concluído",OR('E08 — Estabilização Hypercare'!$N50="✅ Estável — Demanda Encerrada",AND('E08 — Estabilização Hypercare'!$N50="🆕 Evolução Identificada — Nova Demanda Aberta",'E08 — Estabilização Hypercare'!$U50&lt;&gt;""))),"Concluído",IF(OR(COUNTIF('E08 — Estabilização Hypercare'!$E50:$J50,"✔ Concluído")&gt;0,COUNTIF('E08 — Estabilização Hypercare'!$E50:$J50,"🔄 Em andamento")&gt;0,'E08 — Estabilização Hypercare'!$N50&lt;&gt;""),"Em andamento","Não iniciado")))))</f>
        <v/>
      </c>
      <c r="M68" s="236" t="str" cm="1">
        <f t="array" ref="M68">IF(B68="","",_xlfn.IFS(E68&lt;&gt;"Concluído","E1 — Solicitação",F68&lt;&gt;"Concluído","E2 — Triagem",G68&lt;&gt;"Concluído","E3 — Levantamento ⚠",H68&lt;&gt;"Concluído","E4 — Execução",I68&lt;&gt;"Concluído","E5 — Validação ⚠",AND(J68&lt;&gt;"Concluído",J68&lt;&gt;"N/A"),"E6 — Ajustes",K68&lt;&gt;"Concluído","E7 — Entrega",L68&lt;&gt;"Concluído","E08 — Estabilização / Hypercare",TRUE,"✔ Fluxo concluído"))</f>
        <v/>
      </c>
      <c r="N68" s="237" t="str">
        <f t="shared" si="0"/>
        <v/>
      </c>
      <c r="O68" s="238"/>
    </row>
    <row r="69" spans="2:15" ht="15" customHeight="1" x14ac:dyDescent="0.35">
      <c r="B69" s="234" t="str">
        <f>IF(Lançamentos!$B46="","",Lançamentos!$B46)</f>
        <v/>
      </c>
      <c r="C69" s="235" t="str">
        <f>IF($B69="","",Lançamentos!$J46)</f>
        <v/>
      </c>
      <c r="D69" s="235" t="str">
        <f>IF($B69="","",Lançamentos!$H46)</f>
        <v/>
      </c>
      <c r="E69" s="234" t="str">
        <f>IF($B69="","",IF(COUNTIF(Lançamentos!$B$3:$B$1001,$B69)=0,"Bloqueado",IF(COUNTIF('E1 — Solicitação'!$E51:$L51,"⛔ Bloqueado")&gt;0,"Bloqueado",IF(COUNTIF('E1 — Solicitação'!$E51:$L51,"N/A")=8,"Bloqueado",IF(COUNTIF('E1 — Solicitação'!$E51:$L51,"✔ Concluído")+COUNTIF('E1 — Solicitação'!$E51:$L51,"N/A")=8,"Concluído",IF(COUNTIF('E1 — Solicitação'!$E51:$L51,"✔ Concluído")+COUNTIF('E1 — Solicitação'!$E51:$L51,"🔄 Em andamento")&gt;0,"Em andamento","Não iniciado"))))))</f>
        <v/>
      </c>
      <c r="F69" s="234" t="str">
        <f>IF($B69="","",IF($E69&lt;&gt;"Concluído","Não iniciado",IF(COUNTIF(Lançamentos!$B$3:$B$1001,$B69)=0,"Bloqueado",IF('E2 — Triagem'!$D51="","Bloqueado",IF(COUNTIF('E2 — Triagem'!$E51:$L51,"N/A")=8,"Bloqueado",IF(COUNTIF('E2 — Triagem'!$E51:$L51,"⛔ Bloqueado")&gt;0,"Bloqueado",IF(COUNTIF('E2 — Triagem'!$E51:$L51,"✔ Concluído")+COUNTIF('E2 — Triagem'!$E51:$L51,"N/A")=8,"Concluído",IF(COUNTIF('E2 — Triagem'!$E51:$L51,"✔ Concluído")+COUNTIF('E2 — Triagem'!$E51:$L51,"🔄 Em andamento")&gt;0,"Em andamento","Não iniciado"))))))))</f>
        <v/>
      </c>
      <c r="G69" s="234" t="str">
        <f>IF($B69="","",IF($F69&lt;&gt;"Concluído","Não iniciado",IF(COUNTIF(Lançamentos!$B$3:$B$1001,$B69)=0,"Bloqueado",IF('E3 — Levantamento'!$D51="","Bloqueado",IF(COUNTIF('E3 — Levantamento'!$E51:$I51,"⛔ Bloqueado")&gt;0,"Bloqueado",IF('E3 — Levantamento'!$I51="N/A","Bloqueado",IF(COUNTIF('E3 — Levantamento'!$E51:$I51,"✔ Concluído")=5,"Concluído",IF(COUNTIF('E3 — Levantamento'!$E51:$I51,"✔ Concluído")+COUNTIF('E3 — Levantamento'!$E51:$I51,"🔄 Em andamento")&gt;0,"Em andamento","Não iniciado"))))))))</f>
        <v/>
      </c>
      <c r="H69" s="234" t="str">
        <f>IF($B69="","",IF($G69&lt;&gt;"Concluído","Não iniciado",IF(COUNTIF(Lançamentos!$B$3:$B$1001,$B69)=0,"Bloqueado",IF('E4 — Execução'!$D51="","Bloqueado",IF(COUNTIF('E4 — Execução'!$E51:$K51,"⛔ Bloqueado")&gt;0,"Bloqueado",IF(COUNTIF('E4 — Execução'!$E51:$K51,"✔ Concluído")=7,"Concluído",IF(COUNTIF('E4 — Execução'!$E51:$K51,"✔ Concluído")+COUNTIF('E4 — Execução'!$E51:$K51,"🔄 Em andamento")&gt;0,"Em andamento","Não iniciado")))))))</f>
        <v/>
      </c>
      <c r="I69" s="234" t="str">
        <f>IF($B69="","",IF($H69&lt;&gt;"Concluído","Não iniciado",IF(COUNTIF(Lançamentos!$B$3:$B$1001,$B69)=0,"Bloqueado",IF('E5 — Validação'!$D51="","Bloqueado",IF(COUNTIF('E5 — Validação'!$E51:$I51,"⛔ Bloqueado")&gt;0,"Bloqueado",IF('E5 — Validação'!$I51="N/A","Bloqueado",IF(AND('E5 — Validação'!$E51="✔ Concluído",'E5 — Validação'!$F51="✔ Concluído",OR('E5 — Validação'!$G51="✔ Concluído",'E5 — Validação'!$G51="N/A"),'E5 — Validação'!$H51="✔ Concluído",'E5 — Validação'!$I51="✔ Concluído"),"Concluído",IF(COUNTIF('E5 — Validação'!$E51:$I51,"✔ Concluído")+COUNTIF('E5 — Validação'!$E51:$I51,"🔄 Em andamento")&gt;0,"Em andamento","Não iniciado"))))))))</f>
        <v/>
      </c>
      <c r="J69" s="234" t="str">
        <f>IF($B69="","",IF($I69&lt;&gt;"Concluído","Não iniciado",IF('E6 — Ajustes'!$N51="Não","N/A",IF(COUNTIF(Lançamentos!$B$3:$B$1001,$B69)=0,"Bloqueado",IF('E6 — Ajustes'!$D51="","Bloqueado",IF(COUNTIF('E6 — Ajustes'!$E51:$J51,"⛔ Bloqueado")&gt;0,"Bloqueado",IF(AND('E6 — Ajustes'!$E51="✔ Concluído",'E6 — Ajustes'!$F51="✔ Concluído",'E6 — Ajustes'!$G51="✔ Concluído",'E6 — Ajustes'!$H51="✔ Concluído",OR('E6 — Ajustes'!$I51="✔ Concluído",'E6 — Ajustes'!$I51="N/A"),'E6 — Ajustes'!$J51="✔ Concluído"),"Concluído",IF(COUNTIF('E6 — Ajustes'!$E51:$J51,"✔ Concluído")+COUNTIF('E6 — Ajustes'!$E51:$J51,"🔄 Em andamento")&gt;0,"Em andamento","Não iniciado"))))))))</f>
        <v/>
      </c>
      <c r="K69" s="234" t="str">
        <f>IF($B69="","",IF($I69&lt;&gt;"Concluído","Não iniciado",IF(AND($J69&lt;&gt;"Concluído",$J69&lt;&gt;"N/A"),"Não iniciado",IF(COUNTIF(Lançamentos!$B$3:$B$1001,$B69)=0,"Bloqueado",IF('E7 — Entrega'!$D51="","Bloqueado",IF(COUNTIF('E7 — Entrega'!$E51:$H51,"⛔ Bloqueado")&gt;0,"Bloqueado",IF(COUNTIF('E7 — Entrega'!$E51:$H51,"✔ Concluído")=4,"Concluído",IF(COUNTIF('E7 — Entrega'!$E51:$H51,"✔ Concluído")+COUNTIF('E7 — Entrega'!$E51:$H51,"🔄 Em andamento")&gt;0,"Em andamento","Não iniciado"))))))))</f>
        <v/>
      </c>
      <c r="L69" s="234" t="str">
        <f>IF($B69="","",IF($K69&lt;&gt;"Concluído","Não iniciado",IF(OR(COUNTIF('E08 — Estabilização Hypercare'!$E51:$J51,"⛔ Bloqueado")&gt;0,'E08 — Estabilização Hypercare'!$N51="⛔ Incidente Crítico — Encerramento Bloqueado",AND('E08 — Estabilização Hypercare'!$N51="🆕 Evolução Identificada — Nova Demanda Aberta",'E08 — Estabilização Hypercare'!$U51="")),"Bloqueado",IF(AND('E08 — Estabilização Hypercare'!$E51="✔ Concluído",'E08 — Estabilização Hypercare'!$F51="✔ Concluído",'E08 — Estabilização Hypercare'!$G51="✔ Concluído",OR('E08 — Estabilização Hypercare'!$H51="✔ Concluído",'E08 — Estabilização Hypercare'!$H51="N/A"),'E08 — Estabilização Hypercare'!$I51="✔ Concluído",'E08 — Estabilização Hypercare'!$J51="✔ Concluído",OR('E08 — Estabilização Hypercare'!$N51="✅ Estável — Demanda Encerrada",AND('E08 — Estabilização Hypercare'!$N51="🆕 Evolução Identificada — Nova Demanda Aberta",'E08 — Estabilização Hypercare'!$U51&lt;&gt;""))),"Concluído",IF(OR(COUNTIF('E08 — Estabilização Hypercare'!$E51:$J51,"✔ Concluído")&gt;0,COUNTIF('E08 — Estabilização Hypercare'!$E51:$J51,"🔄 Em andamento")&gt;0,'E08 — Estabilização Hypercare'!$N51&lt;&gt;""),"Em andamento","Não iniciado")))))</f>
        <v/>
      </c>
      <c r="M69" s="236" t="str" cm="1">
        <f t="array" ref="M69">IF(B69="","",_xlfn.IFS(E69&lt;&gt;"Concluído","E1 — Solicitação",F69&lt;&gt;"Concluído","E2 — Triagem",G69&lt;&gt;"Concluído","E3 — Levantamento ⚠",H69&lt;&gt;"Concluído","E4 — Execução",I69&lt;&gt;"Concluído","E5 — Validação ⚠",AND(J69&lt;&gt;"Concluído",J69&lt;&gt;"N/A"),"E6 — Ajustes",K69&lt;&gt;"Concluído","E7 — Entrega",L69&lt;&gt;"Concluído","E08 — Estabilização / Hypercare",TRUE,"✔ Fluxo concluído"))</f>
        <v/>
      </c>
      <c r="N69" s="237" t="str">
        <f t="shared" si="0"/>
        <v/>
      </c>
      <c r="O69" s="238"/>
    </row>
    <row r="70" spans="2:15" ht="15" customHeight="1" x14ac:dyDescent="0.35">
      <c r="B70" s="234" t="str">
        <f>IF(Lançamentos!$B47="","",Lançamentos!$B47)</f>
        <v/>
      </c>
      <c r="C70" s="235" t="str">
        <f>IF($B70="","",Lançamentos!$J47)</f>
        <v/>
      </c>
      <c r="D70" s="235" t="str">
        <f>IF($B70="","",Lançamentos!$H47)</f>
        <v/>
      </c>
      <c r="E70" s="234" t="str">
        <f>IF($B70="","",IF(COUNTIF(Lançamentos!$B$3:$B$1001,$B70)=0,"Bloqueado",IF(COUNTIF('E1 — Solicitação'!$E52:$L52,"⛔ Bloqueado")&gt;0,"Bloqueado",IF(COUNTIF('E1 — Solicitação'!$E52:$L52,"N/A")=8,"Bloqueado",IF(COUNTIF('E1 — Solicitação'!$E52:$L52,"✔ Concluído")+COUNTIF('E1 — Solicitação'!$E52:$L52,"N/A")=8,"Concluído",IF(COUNTIF('E1 — Solicitação'!$E52:$L52,"✔ Concluído")+COUNTIF('E1 — Solicitação'!$E52:$L52,"🔄 Em andamento")&gt;0,"Em andamento","Não iniciado"))))))</f>
        <v/>
      </c>
      <c r="F70" s="234" t="str">
        <f>IF($B70="","",IF($E70&lt;&gt;"Concluído","Não iniciado",IF(COUNTIF(Lançamentos!$B$3:$B$1001,$B70)=0,"Bloqueado",IF('E2 — Triagem'!$D52="","Bloqueado",IF(COUNTIF('E2 — Triagem'!$E52:$L52,"N/A")=8,"Bloqueado",IF(COUNTIF('E2 — Triagem'!$E52:$L52,"⛔ Bloqueado")&gt;0,"Bloqueado",IF(COUNTIF('E2 — Triagem'!$E52:$L52,"✔ Concluído")+COUNTIF('E2 — Triagem'!$E52:$L52,"N/A")=8,"Concluído",IF(COUNTIF('E2 — Triagem'!$E52:$L52,"✔ Concluído")+COUNTIF('E2 — Triagem'!$E52:$L52,"🔄 Em andamento")&gt;0,"Em andamento","Não iniciado"))))))))</f>
        <v/>
      </c>
      <c r="G70" s="234" t="str">
        <f>IF($B70="","",IF($F70&lt;&gt;"Concluído","Não iniciado",IF(COUNTIF(Lançamentos!$B$3:$B$1001,$B70)=0,"Bloqueado",IF('E3 — Levantamento'!$D52="","Bloqueado",IF(COUNTIF('E3 — Levantamento'!$E52:$I52,"⛔ Bloqueado")&gt;0,"Bloqueado",IF('E3 — Levantamento'!$I52="N/A","Bloqueado",IF(COUNTIF('E3 — Levantamento'!$E52:$I52,"✔ Concluído")=5,"Concluído",IF(COUNTIF('E3 — Levantamento'!$E52:$I52,"✔ Concluído")+COUNTIF('E3 — Levantamento'!$E52:$I52,"🔄 Em andamento")&gt;0,"Em andamento","Não iniciado"))))))))</f>
        <v/>
      </c>
      <c r="H70" s="234" t="str">
        <f>IF($B70="","",IF($G70&lt;&gt;"Concluído","Não iniciado",IF(COUNTIF(Lançamentos!$B$3:$B$1001,$B70)=0,"Bloqueado",IF('E4 — Execução'!$D52="","Bloqueado",IF(COUNTIF('E4 — Execução'!$E52:$K52,"⛔ Bloqueado")&gt;0,"Bloqueado",IF(COUNTIF('E4 — Execução'!$E52:$K52,"✔ Concluído")=7,"Concluído",IF(COUNTIF('E4 — Execução'!$E52:$K52,"✔ Concluído")+COUNTIF('E4 — Execução'!$E52:$K52,"🔄 Em andamento")&gt;0,"Em andamento","Não iniciado")))))))</f>
        <v/>
      </c>
      <c r="I70" s="234" t="str">
        <f>IF($B70="","",IF($H70&lt;&gt;"Concluído","Não iniciado",IF(COUNTIF(Lançamentos!$B$3:$B$1001,$B70)=0,"Bloqueado",IF('E5 — Validação'!$D52="","Bloqueado",IF(COUNTIF('E5 — Validação'!$E52:$I52,"⛔ Bloqueado")&gt;0,"Bloqueado",IF('E5 — Validação'!$I52="N/A","Bloqueado",IF(AND('E5 — Validação'!$E52="✔ Concluído",'E5 — Validação'!$F52="✔ Concluído",OR('E5 — Validação'!$G52="✔ Concluído",'E5 — Validação'!$G52="N/A"),'E5 — Validação'!$H52="✔ Concluído",'E5 — Validação'!$I52="✔ Concluído"),"Concluído",IF(COUNTIF('E5 — Validação'!$E52:$I52,"✔ Concluído")+COUNTIF('E5 — Validação'!$E52:$I52,"🔄 Em andamento")&gt;0,"Em andamento","Não iniciado"))))))))</f>
        <v/>
      </c>
      <c r="J70" s="234" t="str">
        <f>IF($B70="","",IF($I70&lt;&gt;"Concluído","Não iniciado",IF('E6 — Ajustes'!$N52="Não","N/A",IF(COUNTIF(Lançamentos!$B$3:$B$1001,$B70)=0,"Bloqueado",IF('E6 — Ajustes'!$D52="","Bloqueado",IF(COUNTIF('E6 — Ajustes'!$E52:$J52,"⛔ Bloqueado")&gt;0,"Bloqueado",IF(AND('E6 — Ajustes'!$E52="✔ Concluído",'E6 — Ajustes'!$F52="✔ Concluído",'E6 — Ajustes'!$G52="✔ Concluído",'E6 — Ajustes'!$H52="✔ Concluído",OR('E6 — Ajustes'!$I52="✔ Concluído",'E6 — Ajustes'!$I52="N/A"),'E6 — Ajustes'!$J52="✔ Concluído"),"Concluído",IF(COUNTIF('E6 — Ajustes'!$E52:$J52,"✔ Concluído")+COUNTIF('E6 — Ajustes'!$E52:$J52,"🔄 Em andamento")&gt;0,"Em andamento","Não iniciado"))))))))</f>
        <v/>
      </c>
      <c r="K70" s="234" t="str">
        <f>IF($B70="","",IF($I70&lt;&gt;"Concluído","Não iniciado",IF(AND($J70&lt;&gt;"Concluído",$J70&lt;&gt;"N/A"),"Não iniciado",IF(COUNTIF(Lançamentos!$B$3:$B$1001,$B70)=0,"Bloqueado",IF('E7 — Entrega'!$D52="","Bloqueado",IF(COUNTIF('E7 — Entrega'!$E52:$H52,"⛔ Bloqueado")&gt;0,"Bloqueado",IF(COUNTIF('E7 — Entrega'!$E52:$H52,"✔ Concluído")=4,"Concluído",IF(COUNTIF('E7 — Entrega'!$E52:$H52,"✔ Concluído")+COUNTIF('E7 — Entrega'!$E52:$H52,"🔄 Em andamento")&gt;0,"Em andamento","Não iniciado"))))))))</f>
        <v/>
      </c>
      <c r="L70" s="234" t="str">
        <f>IF($B70="","",IF($K70&lt;&gt;"Concluído","Não iniciado",IF(OR(COUNTIF('E08 — Estabilização Hypercare'!$E52:$J52,"⛔ Bloqueado")&gt;0,'E08 — Estabilização Hypercare'!$N52="⛔ Incidente Crítico — Encerramento Bloqueado",AND('E08 — Estabilização Hypercare'!$N52="🆕 Evolução Identificada — Nova Demanda Aberta",'E08 — Estabilização Hypercare'!$U52="")),"Bloqueado",IF(AND('E08 — Estabilização Hypercare'!$E52="✔ Concluído",'E08 — Estabilização Hypercare'!$F52="✔ Concluído",'E08 — Estabilização Hypercare'!$G52="✔ Concluído",OR('E08 — Estabilização Hypercare'!$H52="✔ Concluído",'E08 — Estabilização Hypercare'!$H52="N/A"),'E08 — Estabilização Hypercare'!$I52="✔ Concluído",'E08 — Estabilização Hypercare'!$J52="✔ Concluído",OR('E08 — Estabilização Hypercare'!$N52="✅ Estável — Demanda Encerrada",AND('E08 — Estabilização Hypercare'!$N52="🆕 Evolução Identificada — Nova Demanda Aberta",'E08 — Estabilização Hypercare'!$U52&lt;&gt;""))),"Concluído",IF(OR(COUNTIF('E08 — Estabilização Hypercare'!$E52:$J52,"✔ Concluído")&gt;0,COUNTIF('E08 — Estabilização Hypercare'!$E52:$J52,"🔄 Em andamento")&gt;0,'E08 — Estabilização Hypercare'!$N52&lt;&gt;""),"Em andamento","Não iniciado")))))</f>
        <v/>
      </c>
      <c r="M70" s="236" t="str" cm="1">
        <f t="array" ref="M70">IF(B70="","",_xlfn.IFS(E70&lt;&gt;"Concluído","E1 — Solicitação",F70&lt;&gt;"Concluído","E2 — Triagem",G70&lt;&gt;"Concluído","E3 — Levantamento ⚠",H70&lt;&gt;"Concluído","E4 — Execução",I70&lt;&gt;"Concluído","E5 — Validação ⚠",AND(J70&lt;&gt;"Concluído",J70&lt;&gt;"N/A"),"E6 — Ajustes",K70&lt;&gt;"Concluído","E7 — Entrega",L70&lt;&gt;"Concluído","E08 — Estabilização / Hypercare",TRUE,"✔ Fluxo concluído"))</f>
        <v/>
      </c>
      <c r="N70" s="237" t="str">
        <f t="shared" si="0"/>
        <v/>
      </c>
      <c r="O70" s="238"/>
    </row>
    <row r="71" spans="2:15" ht="15" customHeight="1" x14ac:dyDescent="0.35">
      <c r="B71" s="234" t="str">
        <f>IF(Lançamentos!$B48="","",Lançamentos!$B48)</f>
        <v/>
      </c>
      <c r="C71" s="235" t="str">
        <f>IF($B71="","",Lançamentos!$J48)</f>
        <v/>
      </c>
      <c r="D71" s="235" t="str">
        <f>IF($B71="","",Lançamentos!$H48)</f>
        <v/>
      </c>
      <c r="E71" s="234" t="str">
        <f>IF($B71="","",IF(COUNTIF(Lançamentos!$B$3:$B$1001,$B71)=0,"Bloqueado",IF(COUNTIF('E1 — Solicitação'!$E53:$L53,"⛔ Bloqueado")&gt;0,"Bloqueado",IF(COUNTIF('E1 — Solicitação'!$E53:$L53,"N/A")=8,"Bloqueado",IF(COUNTIF('E1 — Solicitação'!$E53:$L53,"✔ Concluído")+COUNTIF('E1 — Solicitação'!$E53:$L53,"N/A")=8,"Concluído",IF(COUNTIF('E1 — Solicitação'!$E53:$L53,"✔ Concluído")+COUNTIF('E1 — Solicitação'!$E53:$L53,"🔄 Em andamento")&gt;0,"Em andamento","Não iniciado"))))))</f>
        <v/>
      </c>
      <c r="F71" s="234" t="str">
        <f>IF($B71="","",IF($E71&lt;&gt;"Concluído","Não iniciado",IF(COUNTIF(Lançamentos!$B$3:$B$1001,$B71)=0,"Bloqueado",IF('E2 — Triagem'!$D53="","Bloqueado",IF(COUNTIF('E2 — Triagem'!$E53:$L53,"N/A")=8,"Bloqueado",IF(COUNTIF('E2 — Triagem'!$E53:$L53,"⛔ Bloqueado")&gt;0,"Bloqueado",IF(COUNTIF('E2 — Triagem'!$E53:$L53,"✔ Concluído")+COUNTIF('E2 — Triagem'!$E53:$L53,"N/A")=8,"Concluído",IF(COUNTIF('E2 — Triagem'!$E53:$L53,"✔ Concluído")+COUNTIF('E2 — Triagem'!$E53:$L53,"🔄 Em andamento")&gt;0,"Em andamento","Não iniciado"))))))))</f>
        <v/>
      </c>
      <c r="G71" s="234" t="str">
        <f>IF($B71="","",IF($F71&lt;&gt;"Concluído","Não iniciado",IF(COUNTIF(Lançamentos!$B$3:$B$1001,$B71)=0,"Bloqueado",IF('E3 — Levantamento'!$D53="","Bloqueado",IF(COUNTIF('E3 — Levantamento'!$E53:$I53,"⛔ Bloqueado")&gt;0,"Bloqueado",IF('E3 — Levantamento'!$I53="N/A","Bloqueado",IF(COUNTIF('E3 — Levantamento'!$E53:$I53,"✔ Concluído")=5,"Concluído",IF(COUNTIF('E3 — Levantamento'!$E53:$I53,"✔ Concluído")+COUNTIF('E3 — Levantamento'!$E53:$I53,"🔄 Em andamento")&gt;0,"Em andamento","Não iniciado"))))))))</f>
        <v/>
      </c>
      <c r="H71" s="234" t="str">
        <f>IF($B71="","",IF($G71&lt;&gt;"Concluído","Não iniciado",IF(COUNTIF(Lançamentos!$B$3:$B$1001,$B71)=0,"Bloqueado",IF('E4 — Execução'!$D53="","Bloqueado",IF(COUNTIF('E4 — Execução'!$E53:$K53,"⛔ Bloqueado")&gt;0,"Bloqueado",IF(COUNTIF('E4 — Execução'!$E53:$K53,"✔ Concluído")=7,"Concluído",IF(COUNTIF('E4 — Execução'!$E53:$K53,"✔ Concluído")+COUNTIF('E4 — Execução'!$E53:$K53,"🔄 Em andamento")&gt;0,"Em andamento","Não iniciado")))))))</f>
        <v/>
      </c>
      <c r="I71" s="234" t="str">
        <f>IF($B71="","",IF($H71&lt;&gt;"Concluído","Não iniciado",IF(COUNTIF(Lançamentos!$B$3:$B$1001,$B71)=0,"Bloqueado",IF('E5 — Validação'!$D53="","Bloqueado",IF(COUNTIF('E5 — Validação'!$E53:$I53,"⛔ Bloqueado")&gt;0,"Bloqueado",IF('E5 — Validação'!$I53="N/A","Bloqueado",IF(AND('E5 — Validação'!$E53="✔ Concluído",'E5 — Validação'!$F53="✔ Concluído",OR('E5 — Validação'!$G53="✔ Concluído",'E5 — Validação'!$G53="N/A"),'E5 — Validação'!$H53="✔ Concluído",'E5 — Validação'!$I53="✔ Concluído"),"Concluído",IF(COUNTIF('E5 — Validação'!$E53:$I53,"✔ Concluído")+COUNTIF('E5 — Validação'!$E53:$I53,"🔄 Em andamento")&gt;0,"Em andamento","Não iniciado"))))))))</f>
        <v/>
      </c>
      <c r="J71" s="234" t="str">
        <f>IF($B71="","",IF($I71&lt;&gt;"Concluído","Não iniciado",IF('E6 — Ajustes'!$N53="Não","N/A",IF(COUNTIF(Lançamentos!$B$3:$B$1001,$B71)=0,"Bloqueado",IF('E6 — Ajustes'!$D53="","Bloqueado",IF(COUNTIF('E6 — Ajustes'!$E53:$J53,"⛔ Bloqueado")&gt;0,"Bloqueado",IF(AND('E6 — Ajustes'!$E53="✔ Concluído",'E6 — Ajustes'!$F53="✔ Concluído",'E6 — Ajustes'!$G53="✔ Concluído",'E6 — Ajustes'!$H53="✔ Concluído",OR('E6 — Ajustes'!$I53="✔ Concluído",'E6 — Ajustes'!$I53="N/A"),'E6 — Ajustes'!$J53="✔ Concluído"),"Concluído",IF(COUNTIF('E6 — Ajustes'!$E53:$J53,"✔ Concluído")+COUNTIF('E6 — Ajustes'!$E53:$J53,"🔄 Em andamento")&gt;0,"Em andamento","Não iniciado"))))))))</f>
        <v/>
      </c>
      <c r="K71" s="234" t="str">
        <f>IF($B71="","",IF($I71&lt;&gt;"Concluído","Não iniciado",IF(AND($J71&lt;&gt;"Concluído",$J71&lt;&gt;"N/A"),"Não iniciado",IF(COUNTIF(Lançamentos!$B$3:$B$1001,$B71)=0,"Bloqueado",IF('E7 — Entrega'!$D53="","Bloqueado",IF(COUNTIF('E7 — Entrega'!$E53:$H53,"⛔ Bloqueado")&gt;0,"Bloqueado",IF(COUNTIF('E7 — Entrega'!$E53:$H53,"✔ Concluído")=4,"Concluído",IF(COUNTIF('E7 — Entrega'!$E53:$H53,"✔ Concluído")+COUNTIF('E7 — Entrega'!$E53:$H53,"🔄 Em andamento")&gt;0,"Em andamento","Não iniciado"))))))))</f>
        <v/>
      </c>
      <c r="L71" s="234" t="str">
        <f>IF($B71="","",IF($K71&lt;&gt;"Concluído","Não iniciado",IF(OR(COUNTIF('E08 — Estabilização Hypercare'!$E53:$J53,"⛔ Bloqueado")&gt;0,'E08 — Estabilização Hypercare'!$N53="⛔ Incidente Crítico — Encerramento Bloqueado",AND('E08 — Estabilização Hypercare'!$N53="🆕 Evolução Identificada — Nova Demanda Aberta",'E08 — Estabilização Hypercare'!$U53="")),"Bloqueado",IF(AND('E08 — Estabilização Hypercare'!$E53="✔ Concluído",'E08 — Estabilização Hypercare'!$F53="✔ Concluído",'E08 — Estabilização Hypercare'!$G53="✔ Concluído",OR('E08 — Estabilização Hypercare'!$H53="✔ Concluído",'E08 — Estabilização Hypercare'!$H53="N/A"),'E08 — Estabilização Hypercare'!$I53="✔ Concluído",'E08 — Estabilização Hypercare'!$J53="✔ Concluído",OR('E08 — Estabilização Hypercare'!$N53="✅ Estável — Demanda Encerrada",AND('E08 — Estabilização Hypercare'!$N53="🆕 Evolução Identificada — Nova Demanda Aberta",'E08 — Estabilização Hypercare'!$U53&lt;&gt;""))),"Concluído",IF(OR(COUNTIF('E08 — Estabilização Hypercare'!$E53:$J53,"✔ Concluído")&gt;0,COUNTIF('E08 — Estabilização Hypercare'!$E53:$J53,"🔄 Em andamento")&gt;0,'E08 — Estabilização Hypercare'!$N53&lt;&gt;""),"Em andamento","Não iniciado")))))</f>
        <v/>
      </c>
      <c r="M71" s="236" t="str" cm="1">
        <f t="array" ref="M71">IF(B71="","",_xlfn.IFS(E71&lt;&gt;"Concluído","E1 — Solicitação",F71&lt;&gt;"Concluído","E2 — Triagem",G71&lt;&gt;"Concluído","E3 — Levantamento ⚠",H71&lt;&gt;"Concluído","E4 — Execução",I71&lt;&gt;"Concluído","E5 — Validação ⚠",AND(J71&lt;&gt;"Concluído",J71&lt;&gt;"N/A"),"E6 — Ajustes",K71&lt;&gt;"Concluído","E7 — Entrega",L71&lt;&gt;"Concluído","E08 — Estabilização / Hypercare",TRUE,"✔ Fluxo concluído"))</f>
        <v/>
      </c>
      <c r="N71" s="237" t="str">
        <f t="shared" si="0"/>
        <v/>
      </c>
      <c r="O71" s="238"/>
    </row>
    <row r="72" spans="2:15" ht="15" customHeight="1" x14ac:dyDescent="0.35">
      <c r="B72" s="234" t="str">
        <f>IF(Lançamentos!$B49="","",Lançamentos!$B49)</f>
        <v/>
      </c>
      <c r="C72" s="235" t="str">
        <f>IF($B72="","",Lançamentos!$J49)</f>
        <v/>
      </c>
      <c r="D72" s="235" t="str">
        <f>IF($B72="","",Lançamentos!$H49)</f>
        <v/>
      </c>
      <c r="E72" s="234" t="str">
        <f>IF($B72="","",IF(COUNTIF(Lançamentos!$B$3:$B$1001,$B72)=0,"Bloqueado",IF(COUNTIF('E1 — Solicitação'!$E54:$L54,"⛔ Bloqueado")&gt;0,"Bloqueado",IF(COUNTIF('E1 — Solicitação'!$E54:$L54,"N/A")=8,"Bloqueado",IF(COUNTIF('E1 — Solicitação'!$E54:$L54,"✔ Concluído")+COUNTIF('E1 — Solicitação'!$E54:$L54,"N/A")=8,"Concluído",IF(COUNTIF('E1 — Solicitação'!$E54:$L54,"✔ Concluído")+COUNTIF('E1 — Solicitação'!$E54:$L54,"🔄 Em andamento")&gt;0,"Em andamento","Não iniciado"))))))</f>
        <v/>
      </c>
      <c r="F72" s="234" t="str">
        <f>IF($B72="","",IF($E72&lt;&gt;"Concluído","Não iniciado",IF(COUNTIF(Lançamentos!$B$3:$B$1001,$B72)=0,"Bloqueado",IF('E2 — Triagem'!$D54="","Bloqueado",IF(COUNTIF('E2 — Triagem'!$E54:$L54,"N/A")=8,"Bloqueado",IF(COUNTIF('E2 — Triagem'!$E54:$L54,"⛔ Bloqueado")&gt;0,"Bloqueado",IF(COUNTIF('E2 — Triagem'!$E54:$L54,"✔ Concluído")+COUNTIF('E2 — Triagem'!$E54:$L54,"N/A")=8,"Concluído",IF(COUNTIF('E2 — Triagem'!$E54:$L54,"✔ Concluído")+COUNTIF('E2 — Triagem'!$E54:$L54,"🔄 Em andamento")&gt;0,"Em andamento","Não iniciado"))))))))</f>
        <v/>
      </c>
      <c r="G72" s="234" t="str">
        <f>IF($B72="","",IF($F72&lt;&gt;"Concluído","Não iniciado",IF(COUNTIF(Lançamentos!$B$3:$B$1001,$B72)=0,"Bloqueado",IF('E3 — Levantamento'!$D54="","Bloqueado",IF(COUNTIF('E3 — Levantamento'!$E54:$I54,"⛔ Bloqueado")&gt;0,"Bloqueado",IF('E3 — Levantamento'!$I54="N/A","Bloqueado",IF(COUNTIF('E3 — Levantamento'!$E54:$I54,"✔ Concluído")=5,"Concluído",IF(COUNTIF('E3 — Levantamento'!$E54:$I54,"✔ Concluído")+COUNTIF('E3 — Levantamento'!$E54:$I54,"🔄 Em andamento")&gt;0,"Em andamento","Não iniciado"))))))))</f>
        <v/>
      </c>
      <c r="H72" s="234" t="str">
        <f>IF($B72="","",IF($G72&lt;&gt;"Concluído","Não iniciado",IF(COUNTIF(Lançamentos!$B$3:$B$1001,$B72)=0,"Bloqueado",IF('E4 — Execução'!$D54="","Bloqueado",IF(COUNTIF('E4 — Execução'!$E54:$K54,"⛔ Bloqueado")&gt;0,"Bloqueado",IF(COUNTIF('E4 — Execução'!$E54:$K54,"✔ Concluído")=7,"Concluído",IF(COUNTIF('E4 — Execução'!$E54:$K54,"✔ Concluído")+COUNTIF('E4 — Execução'!$E54:$K54,"🔄 Em andamento")&gt;0,"Em andamento","Não iniciado")))))))</f>
        <v/>
      </c>
      <c r="I72" s="234" t="str">
        <f>IF($B72="","",IF($H72&lt;&gt;"Concluído","Não iniciado",IF(COUNTIF(Lançamentos!$B$3:$B$1001,$B72)=0,"Bloqueado",IF('E5 — Validação'!$D54="","Bloqueado",IF(COUNTIF('E5 — Validação'!$E54:$I54,"⛔ Bloqueado")&gt;0,"Bloqueado",IF('E5 — Validação'!$I54="N/A","Bloqueado",IF(AND('E5 — Validação'!$E54="✔ Concluído",'E5 — Validação'!$F54="✔ Concluído",OR('E5 — Validação'!$G54="✔ Concluído",'E5 — Validação'!$G54="N/A"),'E5 — Validação'!$H54="✔ Concluído",'E5 — Validação'!$I54="✔ Concluído"),"Concluído",IF(COUNTIF('E5 — Validação'!$E54:$I54,"✔ Concluído")+COUNTIF('E5 — Validação'!$E54:$I54,"🔄 Em andamento")&gt;0,"Em andamento","Não iniciado"))))))))</f>
        <v/>
      </c>
      <c r="J72" s="234" t="str">
        <f>IF($B72="","",IF($I72&lt;&gt;"Concluído","Não iniciado",IF('E6 — Ajustes'!$N54="Não","N/A",IF(COUNTIF(Lançamentos!$B$3:$B$1001,$B72)=0,"Bloqueado",IF('E6 — Ajustes'!$D54="","Bloqueado",IF(COUNTIF('E6 — Ajustes'!$E54:$J54,"⛔ Bloqueado")&gt;0,"Bloqueado",IF(AND('E6 — Ajustes'!$E54="✔ Concluído",'E6 — Ajustes'!$F54="✔ Concluído",'E6 — Ajustes'!$G54="✔ Concluído",'E6 — Ajustes'!$H54="✔ Concluído",OR('E6 — Ajustes'!$I54="✔ Concluído",'E6 — Ajustes'!$I54="N/A"),'E6 — Ajustes'!$J54="✔ Concluído"),"Concluído",IF(COUNTIF('E6 — Ajustes'!$E54:$J54,"✔ Concluído")+COUNTIF('E6 — Ajustes'!$E54:$J54,"🔄 Em andamento")&gt;0,"Em andamento","Não iniciado"))))))))</f>
        <v/>
      </c>
      <c r="K72" s="234" t="str">
        <f>IF($B72="","",IF($I72&lt;&gt;"Concluído","Não iniciado",IF(AND($J72&lt;&gt;"Concluído",$J72&lt;&gt;"N/A"),"Não iniciado",IF(COUNTIF(Lançamentos!$B$3:$B$1001,$B72)=0,"Bloqueado",IF('E7 — Entrega'!$D54="","Bloqueado",IF(COUNTIF('E7 — Entrega'!$E54:$H54,"⛔ Bloqueado")&gt;0,"Bloqueado",IF(COUNTIF('E7 — Entrega'!$E54:$H54,"✔ Concluído")=4,"Concluído",IF(COUNTIF('E7 — Entrega'!$E54:$H54,"✔ Concluído")+COUNTIF('E7 — Entrega'!$E54:$H54,"🔄 Em andamento")&gt;0,"Em andamento","Não iniciado"))))))))</f>
        <v/>
      </c>
      <c r="L72" s="234" t="str">
        <f>IF($B72="","",IF($K72&lt;&gt;"Concluído","Não iniciado",IF(OR(COUNTIF('E08 — Estabilização Hypercare'!$E54:$J54,"⛔ Bloqueado")&gt;0,'E08 — Estabilização Hypercare'!$N54="⛔ Incidente Crítico — Encerramento Bloqueado",AND('E08 — Estabilização Hypercare'!$N54="🆕 Evolução Identificada — Nova Demanda Aberta",'E08 — Estabilização Hypercare'!$U54="")),"Bloqueado",IF(AND('E08 — Estabilização Hypercare'!$E54="✔ Concluído",'E08 — Estabilização Hypercare'!$F54="✔ Concluído",'E08 — Estabilização Hypercare'!$G54="✔ Concluído",OR('E08 — Estabilização Hypercare'!$H54="✔ Concluído",'E08 — Estabilização Hypercare'!$H54="N/A"),'E08 — Estabilização Hypercare'!$I54="✔ Concluído",'E08 — Estabilização Hypercare'!$J54="✔ Concluído",OR('E08 — Estabilização Hypercare'!$N54="✅ Estável — Demanda Encerrada",AND('E08 — Estabilização Hypercare'!$N54="🆕 Evolução Identificada — Nova Demanda Aberta",'E08 — Estabilização Hypercare'!$U54&lt;&gt;""))),"Concluído",IF(OR(COUNTIF('E08 — Estabilização Hypercare'!$E54:$J54,"✔ Concluído")&gt;0,COUNTIF('E08 — Estabilização Hypercare'!$E54:$J54,"🔄 Em andamento")&gt;0,'E08 — Estabilização Hypercare'!$N54&lt;&gt;""),"Em andamento","Não iniciado")))))</f>
        <v/>
      </c>
      <c r="M72" s="236" t="str" cm="1">
        <f t="array" ref="M72">IF(B72="","",_xlfn.IFS(E72&lt;&gt;"Concluído","E1 — Solicitação",F72&lt;&gt;"Concluído","E2 — Triagem",G72&lt;&gt;"Concluído","E3 — Levantamento ⚠",H72&lt;&gt;"Concluído","E4 — Execução",I72&lt;&gt;"Concluído","E5 — Validação ⚠",AND(J72&lt;&gt;"Concluído",J72&lt;&gt;"N/A"),"E6 — Ajustes",K72&lt;&gt;"Concluído","E7 — Entrega",L72&lt;&gt;"Concluído","E08 — Estabilização / Hypercare",TRUE,"✔ Fluxo concluído"))</f>
        <v/>
      </c>
      <c r="N72" s="237" t="str">
        <f t="shared" si="0"/>
        <v/>
      </c>
      <c r="O72" s="238"/>
    </row>
    <row r="73" spans="2:15" ht="15" customHeight="1" x14ac:dyDescent="0.35">
      <c r="B73" s="234" t="str">
        <f>IF(Lançamentos!$B50="","",Lançamentos!$B50)</f>
        <v/>
      </c>
      <c r="C73" s="235" t="str">
        <f>IF($B73="","",Lançamentos!$J50)</f>
        <v/>
      </c>
      <c r="D73" s="235" t="str">
        <f>IF($B73="","",Lançamentos!$H50)</f>
        <v/>
      </c>
      <c r="E73" s="234" t="str">
        <f>IF($B73="","",IF(COUNTIF(Lançamentos!$B$3:$B$1001,$B73)=0,"Bloqueado",IF(COUNTIF('E1 — Solicitação'!$E55:$L55,"⛔ Bloqueado")&gt;0,"Bloqueado",IF(COUNTIF('E1 — Solicitação'!$E55:$L55,"N/A")=8,"Bloqueado",IF(COUNTIF('E1 — Solicitação'!$E55:$L55,"✔ Concluído")+COUNTIF('E1 — Solicitação'!$E55:$L55,"N/A")=8,"Concluído",IF(COUNTIF('E1 — Solicitação'!$E55:$L55,"✔ Concluído")+COUNTIF('E1 — Solicitação'!$E55:$L55,"🔄 Em andamento")&gt;0,"Em andamento","Não iniciado"))))))</f>
        <v/>
      </c>
      <c r="F73" s="234" t="str">
        <f>IF($B73="","",IF($E73&lt;&gt;"Concluído","Não iniciado",IF(COUNTIF(Lançamentos!$B$3:$B$1001,$B73)=0,"Bloqueado",IF('E2 — Triagem'!$D55="","Bloqueado",IF(COUNTIF('E2 — Triagem'!$E55:$L55,"N/A")=8,"Bloqueado",IF(COUNTIF('E2 — Triagem'!$E55:$L55,"⛔ Bloqueado")&gt;0,"Bloqueado",IF(COUNTIF('E2 — Triagem'!$E55:$L55,"✔ Concluído")+COUNTIF('E2 — Triagem'!$E55:$L55,"N/A")=8,"Concluído",IF(COUNTIF('E2 — Triagem'!$E55:$L55,"✔ Concluído")+COUNTIF('E2 — Triagem'!$E55:$L55,"🔄 Em andamento")&gt;0,"Em andamento","Não iniciado"))))))))</f>
        <v/>
      </c>
      <c r="G73" s="234" t="str">
        <f>IF($B73="","",IF($F73&lt;&gt;"Concluído","Não iniciado",IF(COUNTIF(Lançamentos!$B$3:$B$1001,$B73)=0,"Bloqueado",IF('E3 — Levantamento'!$D55="","Bloqueado",IF(COUNTIF('E3 — Levantamento'!$E55:$I55,"⛔ Bloqueado")&gt;0,"Bloqueado",IF('E3 — Levantamento'!$I55="N/A","Bloqueado",IF(COUNTIF('E3 — Levantamento'!$E55:$I55,"✔ Concluído")=5,"Concluído",IF(COUNTIF('E3 — Levantamento'!$E55:$I55,"✔ Concluído")+COUNTIF('E3 — Levantamento'!$E55:$I55,"🔄 Em andamento")&gt;0,"Em andamento","Não iniciado"))))))))</f>
        <v/>
      </c>
      <c r="H73" s="234" t="str">
        <f>IF($B73="","",IF($G73&lt;&gt;"Concluído","Não iniciado",IF(COUNTIF(Lançamentos!$B$3:$B$1001,$B73)=0,"Bloqueado",IF('E4 — Execução'!$D55="","Bloqueado",IF(COUNTIF('E4 — Execução'!$E55:$K55,"⛔ Bloqueado")&gt;0,"Bloqueado",IF(COUNTIF('E4 — Execução'!$E55:$K55,"✔ Concluído")=7,"Concluído",IF(COUNTIF('E4 — Execução'!$E55:$K55,"✔ Concluído")+COUNTIF('E4 — Execução'!$E55:$K55,"🔄 Em andamento")&gt;0,"Em andamento","Não iniciado")))))))</f>
        <v/>
      </c>
      <c r="I73" s="234" t="str">
        <f>IF($B73="","",IF($H73&lt;&gt;"Concluído","Não iniciado",IF(COUNTIF(Lançamentos!$B$3:$B$1001,$B73)=0,"Bloqueado",IF('E5 — Validação'!$D55="","Bloqueado",IF(COUNTIF('E5 — Validação'!$E55:$I55,"⛔ Bloqueado")&gt;0,"Bloqueado",IF('E5 — Validação'!$I55="N/A","Bloqueado",IF(AND('E5 — Validação'!$E55="✔ Concluído",'E5 — Validação'!$F55="✔ Concluído",OR('E5 — Validação'!$G55="✔ Concluído",'E5 — Validação'!$G55="N/A"),'E5 — Validação'!$H55="✔ Concluído",'E5 — Validação'!$I55="✔ Concluído"),"Concluído",IF(COUNTIF('E5 — Validação'!$E55:$I55,"✔ Concluído")+COUNTIF('E5 — Validação'!$E55:$I55,"🔄 Em andamento")&gt;0,"Em andamento","Não iniciado"))))))))</f>
        <v/>
      </c>
      <c r="J73" s="234" t="str">
        <f>IF($B73="","",IF($I73&lt;&gt;"Concluído","Não iniciado",IF('E6 — Ajustes'!$N55="Não","N/A",IF(COUNTIF(Lançamentos!$B$3:$B$1001,$B73)=0,"Bloqueado",IF('E6 — Ajustes'!$D55="","Bloqueado",IF(COUNTIF('E6 — Ajustes'!$E55:$J55,"⛔ Bloqueado")&gt;0,"Bloqueado",IF(AND('E6 — Ajustes'!$E55="✔ Concluído",'E6 — Ajustes'!$F55="✔ Concluído",'E6 — Ajustes'!$G55="✔ Concluído",'E6 — Ajustes'!$H55="✔ Concluído",OR('E6 — Ajustes'!$I55="✔ Concluído",'E6 — Ajustes'!$I55="N/A"),'E6 — Ajustes'!$J55="✔ Concluído"),"Concluído",IF(COUNTIF('E6 — Ajustes'!$E55:$J55,"✔ Concluído")+COUNTIF('E6 — Ajustes'!$E55:$J55,"🔄 Em andamento")&gt;0,"Em andamento","Não iniciado"))))))))</f>
        <v/>
      </c>
      <c r="K73" s="234" t="str">
        <f>IF($B73="","",IF($I73&lt;&gt;"Concluído","Não iniciado",IF(AND($J73&lt;&gt;"Concluído",$J73&lt;&gt;"N/A"),"Não iniciado",IF(COUNTIF(Lançamentos!$B$3:$B$1001,$B73)=0,"Bloqueado",IF('E7 — Entrega'!$D55="","Bloqueado",IF(COUNTIF('E7 — Entrega'!$E55:$H55,"⛔ Bloqueado")&gt;0,"Bloqueado",IF(COUNTIF('E7 — Entrega'!$E55:$H55,"✔ Concluído")=4,"Concluído",IF(COUNTIF('E7 — Entrega'!$E55:$H55,"✔ Concluído")+COUNTIF('E7 — Entrega'!$E55:$H55,"🔄 Em andamento")&gt;0,"Em andamento","Não iniciado"))))))))</f>
        <v/>
      </c>
      <c r="L73" s="234" t="str">
        <f>IF($B73="","",IF($K73&lt;&gt;"Concluído","Não iniciado",IF(OR(COUNTIF('E08 — Estabilização Hypercare'!$E55:$J55,"⛔ Bloqueado")&gt;0,'E08 — Estabilização Hypercare'!$N55="⛔ Incidente Crítico — Encerramento Bloqueado",AND('E08 — Estabilização Hypercare'!$N55="🆕 Evolução Identificada — Nova Demanda Aberta",'E08 — Estabilização Hypercare'!$U55="")),"Bloqueado",IF(AND('E08 — Estabilização Hypercare'!$E55="✔ Concluído",'E08 — Estabilização Hypercare'!$F55="✔ Concluído",'E08 — Estabilização Hypercare'!$G55="✔ Concluído",OR('E08 — Estabilização Hypercare'!$H55="✔ Concluído",'E08 — Estabilização Hypercare'!$H55="N/A"),'E08 — Estabilização Hypercare'!$I55="✔ Concluído",'E08 — Estabilização Hypercare'!$J55="✔ Concluído",OR('E08 — Estabilização Hypercare'!$N55="✅ Estável — Demanda Encerrada",AND('E08 — Estabilização Hypercare'!$N55="🆕 Evolução Identificada — Nova Demanda Aberta",'E08 — Estabilização Hypercare'!$U55&lt;&gt;""))),"Concluído",IF(OR(COUNTIF('E08 — Estabilização Hypercare'!$E55:$J55,"✔ Concluído")&gt;0,COUNTIF('E08 — Estabilização Hypercare'!$E55:$J55,"🔄 Em andamento")&gt;0,'E08 — Estabilização Hypercare'!$N55&lt;&gt;""),"Em andamento","Não iniciado")))))</f>
        <v/>
      </c>
      <c r="M73" s="236" t="str" cm="1">
        <f t="array" ref="M73">IF(B73="","",_xlfn.IFS(E73&lt;&gt;"Concluído","E1 — Solicitação",F73&lt;&gt;"Concluído","E2 — Triagem",G73&lt;&gt;"Concluído","E3 — Levantamento ⚠",H73&lt;&gt;"Concluído","E4 — Execução",I73&lt;&gt;"Concluído","E5 — Validação ⚠",AND(J73&lt;&gt;"Concluído",J73&lt;&gt;"N/A"),"E6 — Ajustes",K73&lt;&gt;"Concluído","E7 — Entrega",L73&lt;&gt;"Concluído","E08 — Estabilização / Hypercare",TRUE,"✔ Fluxo concluído"))</f>
        <v/>
      </c>
      <c r="N73" s="237" t="str">
        <f t="shared" si="0"/>
        <v/>
      </c>
      <c r="O73" s="238"/>
    </row>
    <row r="74" spans="2:15" ht="15" customHeight="1" x14ac:dyDescent="0.35">
      <c r="B74" s="234" t="str">
        <f>IF(Lançamentos!$B51="","",Lançamentos!$B51)</f>
        <v/>
      </c>
      <c r="C74" s="235" t="str">
        <f>IF($B74="","",Lançamentos!$J51)</f>
        <v/>
      </c>
      <c r="D74" s="235" t="str">
        <f>IF($B74="","",Lançamentos!$H51)</f>
        <v/>
      </c>
      <c r="E74" s="234" t="str">
        <f>IF($B74="","",IF(COUNTIF(Lançamentos!$B$3:$B$1001,$B74)=0,"Bloqueado",IF(COUNTIF('E1 — Solicitação'!$E56:$L56,"⛔ Bloqueado")&gt;0,"Bloqueado",IF(COUNTIF('E1 — Solicitação'!$E56:$L56,"N/A")=8,"Bloqueado",IF(COUNTIF('E1 — Solicitação'!$E56:$L56,"✔ Concluído")+COUNTIF('E1 — Solicitação'!$E56:$L56,"N/A")=8,"Concluído",IF(COUNTIF('E1 — Solicitação'!$E56:$L56,"✔ Concluído")+COUNTIF('E1 — Solicitação'!$E56:$L56,"🔄 Em andamento")&gt;0,"Em andamento","Não iniciado"))))))</f>
        <v/>
      </c>
      <c r="F74" s="234" t="str">
        <f>IF($B74="","",IF($E74&lt;&gt;"Concluído","Não iniciado",IF(COUNTIF(Lançamentos!$B$3:$B$1001,$B74)=0,"Bloqueado",IF('E2 — Triagem'!$D56="","Bloqueado",IF(COUNTIF('E2 — Triagem'!$E56:$L56,"N/A")=8,"Bloqueado",IF(COUNTIF('E2 — Triagem'!$E56:$L56,"⛔ Bloqueado")&gt;0,"Bloqueado",IF(COUNTIF('E2 — Triagem'!$E56:$L56,"✔ Concluído")+COUNTIF('E2 — Triagem'!$E56:$L56,"N/A")=8,"Concluído",IF(COUNTIF('E2 — Triagem'!$E56:$L56,"✔ Concluído")+COUNTIF('E2 — Triagem'!$E56:$L56,"🔄 Em andamento")&gt;0,"Em andamento","Não iniciado"))))))))</f>
        <v/>
      </c>
      <c r="G74" s="234" t="str">
        <f>IF($B74="","",IF($F74&lt;&gt;"Concluído","Não iniciado",IF(COUNTIF(Lançamentos!$B$3:$B$1001,$B74)=0,"Bloqueado",IF('E3 — Levantamento'!$D56="","Bloqueado",IF(COUNTIF('E3 — Levantamento'!$E56:$I56,"⛔ Bloqueado")&gt;0,"Bloqueado",IF('E3 — Levantamento'!$I56="N/A","Bloqueado",IF(COUNTIF('E3 — Levantamento'!$E56:$I56,"✔ Concluído")=5,"Concluído",IF(COUNTIF('E3 — Levantamento'!$E56:$I56,"✔ Concluído")+COUNTIF('E3 — Levantamento'!$E56:$I56,"🔄 Em andamento")&gt;0,"Em andamento","Não iniciado"))))))))</f>
        <v/>
      </c>
      <c r="H74" s="234" t="str">
        <f>IF($B74="","",IF($G74&lt;&gt;"Concluído","Não iniciado",IF(COUNTIF(Lançamentos!$B$3:$B$1001,$B74)=0,"Bloqueado",IF('E4 — Execução'!$D56="","Bloqueado",IF(COUNTIF('E4 — Execução'!$E56:$K56,"⛔ Bloqueado")&gt;0,"Bloqueado",IF(COUNTIF('E4 — Execução'!$E56:$K56,"✔ Concluído")=7,"Concluído",IF(COUNTIF('E4 — Execução'!$E56:$K56,"✔ Concluído")+COUNTIF('E4 — Execução'!$E56:$K56,"🔄 Em andamento")&gt;0,"Em andamento","Não iniciado")))))))</f>
        <v/>
      </c>
      <c r="I74" s="234" t="str">
        <f>IF($B74="","",IF($H74&lt;&gt;"Concluído","Não iniciado",IF(COUNTIF(Lançamentos!$B$3:$B$1001,$B74)=0,"Bloqueado",IF('E5 — Validação'!$D56="","Bloqueado",IF(COUNTIF('E5 — Validação'!$E56:$I56,"⛔ Bloqueado")&gt;0,"Bloqueado",IF('E5 — Validação'!$I56="N/A","Bloqueado",IF(AND('E5 — Validação'!$E56="✔ Concluído",'E5 — Validação'!$F56="✔ Concluído",OR('E5 — Validação'!$G56="✔ Concluído",'E5 — Validação'!$G56="N/A"),'E5 — Validação'!$H56="✔ Concluído",'E5 — Validação'!$I56="✔ Concluído"),"Concluído",IF(COUNTIF('E5 — Validação'!$E56:$I56,"✔ Concluído")+COUNTIF('E5 — Validação'!$E56:$I56,"🔄 Em andamento")&gt;0,"Em andamento","Não iniciado"))))))))</f>
        <v/>
      </c>
      <c r="J74" s="234" t="str">
        <f>IF($B74="","",IF($I74&lt;&gt;"Concluído","Não iniciado",IF('E6 — Ajustes'!$N56="Não","N/A",IF(COUNTIF(Lançamentos!$B$3:$B$1001,$B74)=0,"Bloqueado",IF('E6 — Ajustes'!$D56="","Bloqueado",IF(COUNTIF('E6 — Ajustes'!$E56:$J56,"⛔ Bloqueado")&gt;0,"Bloqueado",IF(AND('E6 — Ajustes'!$E56="✔ Concluído",'E6 — Ajustes'!$F56="✔ Concluído",'E6 — Ajustes'!$G56="✔ Concluído",'E6 — Ajustes'!$H56="✔ Concluído",OR('E6 — Ajustes'!$I56="✔ Concluído",'E6 — Ajustes'!$I56="N/A"),'E6 — Ajustes'!$J56="✔ Concluído"),"Concluído",IF(COUNTIF('E6 — Ajustes'!$E56:$J56,"✔ Concluído")+COUNTIF('E6 — Ajustes'!$E56:$J56,"🔄 Em andamento")&gt;0,"Em andamento","Não iniciado"))))))))</f>
        <v/>
      </c>
      <c r="K74" s="234" t="str">
        <f>IF($B74="","",IF($I74&lt;&gt;"Concluído","Não iniciado",IF(AND($J74&lt;&gt;"Concluído",$J74&lt;&gt;"N/A"),"Não iniciado",IF(COUNTIF(Lançamentos!$B$3:$B$1001,$B74)=0,"Bloqueado",IF('E7 — Entrega'!$D56="","Bloqueado",IF(COUNTIF('E7 — Entrega'!$E56:$H56,"⛔ Bloqueado")&gt;0,"Bloqueado",IF(COUNTIF('E7 — Entrega'!$E56:$H56,"✔ Concluído")=4,"Concluído",IF(COUNTIF('E7 — Entrega'!$E56:$H56,"✔ Concluído")+COUNTIF('E7 — Entrega'!$E56:$H56,"🔄 Em andamento")&gt;0,"Em andamento","Não iniciado"))))))))</f>
        <v/>
      </c>
      <c r="L74" s="234" t="str">
        <f>IF($B74="","",IF($K74&lt;&gt;"Concluído","Não iniciado",IF(OR(COUNTIF('E08 — Estabilização Hypercare'!$E56:$J56,"⛔ Bloqueado")&gt;0,'E08 — Estabilização Hypercare'!$N56="⛔ Incidente Crítico — Encerramento Bloqueado",AND('E08 — Estabilização Hypercare'!$N56="🆕 Evolução Identificada — Nova Demanda Aberta",'E08 — Estabilização Hypercare'!$U56="")),"Bloqueado",IF(AND('E08 — Estabilização Hypercare'!$E56="✔ Concluído",'E08 — Estabilização Hypercare'!$F56="✔ Concluído",'E08 — Estabilização Hypercare'!$G56="✔ Concluído",OR('E08 — Estabilização Hypercare'!$H56="✔ Concluído",'E08 — Estabilização Hypercare'!$H56="N/A"),'E08 — Estabilização Hypercare'!$I56="✔ Concluído",'E08 — Estabilização Hypercare'!$J56="✔ Concluído",OR('E08 — Estabilização Hypercare'!$N56="✅ Estável — Demanda Encerrada",AND('E08 — Estabilização Hypercare'!$N56="🆕 Evolução Identificada — Nova Demanda Aberta",'E08 — Estabilização Hypercare'!$U56&lt;&gt;""))),"Concluído",IF(OR(COUNTIF('E08 — Estabilização Hypercare'!$E56:$J56,"✔ Concluído")&gt;0,COUNTIF('E08 — Estabilização Hypercare'!$E56:$J56,"🔄 Em andamento")&gt;0,'E08 — Estabilização Hypercare'!$N56&lt;&gt;""),"Em andamento","Não iniciado")))))</f>
        <v/>
      </c>
      <c r="M74" s="236" t="str" cm="1">
        <f t="array" ref="M74">IF(B74="","",_xlfn.IFS(E74&lt;&gt;"Concluído","E1 — Solicitação",F74&lt;&gt;"Concluído","E2 — Triagem",G74&lt;&gt;"Concluído","E3 — Levantamento ⚠",H74&lt;&gt;"Concluído","E4 — Execução",I74&lt;&gt;"Concluído","E5 — Validação ⚠",AND(J74&lt;&gt;"Concluído",J74&lt;&gt;"N/A"),"E6 — Ajustes",K74&lt;&gt;"Concluído","E7 — Entrega",L74&lt;&gt;"Concluído","E08 — Estabilização / Hypercare",TRUE,"✔ Fluxo concluído"))</f>
        <v/>
      </c>
      <c r="N74" s="237" t="str">
        <f t="shared" si="0"/>
        <v/>
      </c>
      <c r="O74" s="238"/>
    </row>
    <row r="75" spans="2:15" ht="15" customHeight="1" x14ac:dyDescent="0.35">
      <c r="B75" s="234" t="str">
        <f>IF(Lançamentos!$B52="","",Lançamentos!$B52)</f>
        <v/>
      </c>
      <c r="C75" s="235" t="str">
        <f>IF($B75="","",Lançamentos!$J52)</f>
        <v/>
      </c>
      <c r="D75" s="235" t="str">
        <f>IF($B75="","",Lançamentos!$H52)</f>
        <v/>
      </c>
      <c r="E75" s="234" t="str">
        <f>IF($B75="","",IF(COUNTIF(Lançamentos!$B$3:$B$1001,$B75)=0,"Bloqueado",IF(COUNTIF('E1 — Solicitação'!$E57:$L57,"⛔ Bloqueado")&gt;0,"Bloqueado",IF(COUNTIF('E1 — Solicitação'!$E57:$L57,"N/A")=8,"Bloqueado",IF(COUNTIF('E1 — Solicitação'!$E57:$L57,"✔ Concluído")+COUNTIF('E1 — Solicitação'!$E57:$L57,"N/A")=8,"Concluído",IF(COUNTIF('E1 — Solicitação'!$E57:$L57,"✔ Concluído")+COUNTIF('E1 — Solicitação'!$E57:$L57,"🔄 Em andamento")&gt;0,"Em andamento","Não iniciado"))))))</f>
        <v/>
      </c>
      <c r="F75" s="234" t="str">
        <f>IF($B75="","",IF($E75&lt;&gt;"Concluído","Não iniciado",IF(COUNTIF(Lançamentos!$B$3:$B$1001,$B75)=0,"Bloqueado",IF('E2 — Triagem'!$D57="","Bloqueado",IF(COUNTIF('E2 — Triagem'!$E57:$L57,"N/A")=8,"Bloqueado",IF(COUNTIF('E2 — Triagem'!$E57:$L57,"⛔ Bloqueado")&gt;0,"Bloqueado",IF(COUNTIF('E2 — Triagem'!$E57:$L57,"✔ Concluído")+COUNTIF('E2 — Triagem'!$E57:$L57,"N/A")=8,"Concluído",IF(COUNTIF('E2 — Triagem'!$E57:$L57,"✔ Concluído")+COUNTIF('E2 — Triagem'!$E57:$L57,"🔄 Em andamento")&gt;0,"Em andamento","Não iniciado"))))))))</f>
        <v/>
      </c>
      <c r="G75" s="234" t="str">
        <f>IF($B75="","",IF($F75&lt;&gt;"Concluído","Não iniciado",IF(COUNTIF(Lançamentos!$B$3:$B$1001,$B75)=0,"Bloqueado",IF('E3 — Levantamento'!$D57="","Bloqueado",IF(COUNTIF('E3 — Levantamento'!$E57:$I57,"⛔ Bloqueado")&gt;0,"Bloqueado",IF('E3 — Levantamento'!$I57="N/A","Bloqueado",IF(COUNTIF('E3 — Levantamento'!$E57:$I57,"✔ Concluído")=5,"Concluído",IF(COUNTIF('E3 — Levantamento'!$E57:$I57,"✔ Concluído")+COUNTIF('E3 — Levantamento'!$E57:$I57,"🔄 Em andamento")&gt;0,"Em andamento","Não iniciado"))))))))</f>
        <v/>
      </c>
      <c r="H75" s="234" t="str">
        <f>IF($B75="","",IF($G75&lt;&gt;"Concluído","Não iniciado",IF(COUNTIF(Lançamentos!$B$3:$B$1001,$B75)=0,"Bloqueado",IF('E4 — Execução'!$D57="","Bloqueado",IF(COUNTIF('E4 — Execução'!$E57:$K57,"⛔ Bloqueado")&gt;0,"Bloqueado",IF(COUNTIF('E4 — Execução'!$E57:$K57,"✔ Concluído")=7,"Concluído",IF(COUNTIF('E4 — Execução'!$E57:$K57,"✔ Concluído")+COUNTIF('E4 — Execução'!$E57:$K57,"🔄 Em andamento")&gt;0,"Em andamento","Não iniciado")))))))</f>
        <v/>
      </c>
      <c r="I75" s="234" t="str">
        <f>IF($B75="","",IF($H75&lt;&gt;"Concluído","Não iniciado",IF(COUNTIF(Lançamentos!$B$3:$B$1001,$B75)=0,"Bloqueado",IF('E5 — Validação'!$D57="","Bloqueado",IF(COUNTIF('E5 — Validação'!$E57:$I57,"⛔ Bloqueado")&gt;0,"Bloqueado",IF('E5 — Validação'!$I57="N/A","Bloqueado",IF(AND('E5 — Validação'!$E57="✔ Concluído",'E5 — Validação'!$F57="✔ Concluído",OR('E5 — Validação'!$G57="✔ Concluído",'E5 — Validação'!$G57="N/A"),'E5 — Validação'!$H57="✔ Concluído",'E5 — Validação'!$I57="✔ Concluído"),"Concluído",IF(COUNTIF('E5 — Validação'!$E57:$I57,"✔ Concluído")+COUNTIF('E5 — Validação'!$E57:$I57,"🔄 Em andamento")&gt;0,"Em andamento","Não iniciado"))))))))</f>
        <v/>
      </c>
      <c r="J75" s="234" t="str">
        <f>IF($B75="","",IF($I75&lt;&gt;"Concluído","Não iniciado",IF('E6 — Ajustes'!$N57="Não","N/A",IF(COUNTIF(Lançamentos!$B$3:$B$1001,$B75)=0,"Bloqueado",IF('E6 — Ajustes'!$D57="","Bloqueado",IF(COUNTIF('E6 — Ajustes'!$E57:$J57,"⛔ Bloqueado")&gt;0,"Bloqueado",IF(AND('E6 — Ajustes'!$E57="✔ Concluído",'E6 — Ajustes'!$F57="✔ Concluído",'E6 — Ajustes'!$G57="✔ Concluído",'E6 — Ajustes'!$H57="✔ Concluído",OR('E6 — Ajustes'!$I57="✔ Concluído",'E6 — Ajustes'!$I57="N/A"),'E6 — Ajustes'!$J57="✔ Concluído"),"Concluído",IF(COUNTIF('E6 — Ajustes'!$E57:$J57,"✔ Concluído")+COUNTIF('E6 — Ajustes'!$E57:$J57,"🔄 Em andamento")&gt;0,"Em andamento","Não iniciado"))))))))</f>
        <v/>
      </c>
      <c r="K75" s="234" t="str">
        <f>IF($B75="","",IF($I75&lt;&gt;"Concluído","Não iniciado",IF(AND($J75&lt;&gt;"Concluído",$J75&lt;&gt;"N/A"),"Não iniciado",IF(COUNTIF(Lançamentos!$B$3:$B$1001,$B75)=0,"Bloqueado",IF('E7 — Entrega'!$D57="","Bloqueado",IF(COUNTIF('E7 — Entrega'!$E57:$H57,"⛔ Bloqueado")&gt;0,"Bloqueado",IF(COUNTIF('E7 — Entrega'!$E57:$H57,"✔ Concluído")=4,"Concluído",IF(COUNTIF('E7 — Entrega'!$E57:$H57,"✔ Concluído")+COUNTIF('E7 — Entrega'!$E57:$H57,"🔄 Em andamento")&gt;0,"Em andamento","Não iniciado"))))))))</f>
        <v/>
      </c>
      <c r="L75" s="234" t="str">
        <f>IF($B75="","",IF($K75&lt;&gt;"Concluído","Não iniciado",IF(OR(COUNTIF('E08 — Estabilização Hypercare'!$E57:$J57,"⛔ Bloqueado")&gt;0,'E08 — Estabilização Hypercare'!$N57="⛔ Incidente Crítico — Encerramento Bloqueado",AND('E08 — Estabilização Hypercare'!$N57="🆕 Evolução Identificada — Nova Demanda Aberta",'E08 — Estabilização Hypercare'!$U57="")),"Bloqueado",IF(AND('E08 — Estabilização Hypercare'!$E57="✔ Concluído",'E08 — Estabilização Hypercare'!$F57="✔ Concluído",'E08 — Estabilização Hypercare'!$G57="✔ Concluído",OR('E08 — Estabilização Hypercare'!$H57="✔ Concluído",'E08 — Estabilização Hypercare'!$H57="N/A"),'E08 — Estabilização Hypercare'!$I57="✔ Concluído",'E08 — Estabilização Hypercare'!$J57="✔ Concluído",OR('E08 — Estabilização Hypercare'!$N57="✅ Estável — Demanda Encerrada",AND('E08 — Estabilização Hypercare'!$N57="🆕 Evolução Identificada — Nova Demanda Aberta",'E08 — Estabilização Hypercare'!$U57&lt;&gt;""))),"Concluído",IF(OR(COUNTIF('E08 — Estabilização Hypercare'!$E57:$J57,"✔ Concluído")&gt;0,COUNTIF('E08 — Estabilização Hypercare'!$E57:$J57,"🔄 Em andamento")&gt;0,'E08 — Estabilização Hypercare'!$N57&lt;&gt;""),"Em andamento","Não iniciado")))))</f>
        <v/>
      </c>
      <c r="M75" s="236" t="str" cm="1">
        <f t="array" ref="M75">IF(B75="","",_xlfn.IFS(E75&lt;&gt;"Concluído","E1 — Solicitação",F75&lt;&gt;"Concluído","E2 — Triagem",G75&lt;&gt;"Concluído","E3 — Levantamento ⚠",H75&lt;&gt;"Concluído","E4 — Execução",I75&lt;&gt;"Concluído","E5 — Validação ⚠",AND(J75&lt;&gt;"Concluído",J75&lt;&gt;"N/A"),"E6 — Ajustes",K75&lt;&gt;"Concluído","E7 — Entrega",L75&lt;&gt;"Concluído","E08 — Estabilização / Hypercare",TRUE,"✔ Fluxo concluído"))</f>
        <v/>
      </c>
      <c r="N75" s="237" t="str">
        <f t="shared" si="0"/>
        <v/>
      </c>
      <c r="O75" s="238"/>
    </row>
    <row r="76" spans="2:15" ht="15" customHeight="1" x14ac:dyDescent="0.35">
      <c r="B76" s="234" t="str">
        <f>IF(Lançamentos!$B53="","",Lançamentos!$B53)</f>
        <v/>
      </c>
      <c r="C76" s="235" t="str">
        <f>IF($B76="","",Lançamentos!$J53)</f>
        <v/>
      </c>
      <c r="D76" s="235" t="str">
        <f>IF($B76="","",Lançamentos!$H53)</f>
        <v/>
      </c>
      <c r="E76" s="234" t="str">
        <f>IF($B76="","",IF(COUNTIF(Lançamentos!$B$3:$B$1001,$B76)=0,"Bloqueado",IF(COUNTIF('E1 — Solicitação'!$E58:$L58,"⛔ Bloqueado")&gt;0,"Bloqueado",IF(COUNTIF('E1 — Solicitação'!$E58:$L58,"N/A")=8,"Bloqueado",IF(COUNTIF('E1 — Solicitação'!$E58:$L58,"✔ Concluído")+COUNTIF('E1 — Solicitação'!$E58:$L58,"N/A")=8,"Concluído",IF(COUNTIF('E1 — Solicitação'!$E58:$L58,"✔ Concluído")+COUNTIF('E1 — Solicitação'!$E58:$L58,"🔄 Em andamento")&gt;0,"Em andamento","Não iniciado"))))))</f>
        <v/>
      </c>
      <c r="F76" s="234" t="str">
        <f>IF($B76="","",IF($E76&lt;&gt;"Concluído","Não iniciado",IF(COUNTIF(Lançamentos!$B$3:$B$1001,$B76)=0,"Bloqueado",IF('E2 — Triagem'!$D58="","Bloqueado",IF(COUNTIF('E2 — Triagem'!$E58:$L58,"N/A")=8,"Bloqueado",IF(COUNTIF('E2 — Triagem'!$E58:$L58,"⛔ Bloqueado")&gt;0,"Bloqueado",IF(COUNTIF('E2 — Triagem'!$E58:$L58,"✔ Concluído")+COUNTIF('E2 — Triagem'!$E58:$L58,"N/A")=8,"Concluído",IF(COUNTIF('E2 — Triagem'!$E58:$L58,"✔ Concluído")+COUNTIF('E2 — Triagem'!$E58:$L58,"🔄 Em andamento")&gt;0,"Em andamento","Não iniciado"))))))))</f>
        <v/>
      </c>
      <c r="G76" s="234" t="str">
        <f>IF($B76="","",IF($F76&lt;&gt;"Concluído","Não iniciado",IF(COUNTIF(Lançamentos!$B$3:$B$1001,$B76)=0,"Bloqueado",IF('E3 — Levantamento'!$D58="","Bloqueado",IF(COUNTIF('E3 — Levantamento'!$E58:$I58,"⛔ Bloqueado")&gt;0,"Bloqueado",IF('E3 — Levantamento'!$I58="N/A","Bloqueado",IF(COUNTIF('E3 — Levantamento'!$E58:$I58,"✔ Concluído")=5,"Concluído",IF(COUNTIF('E3 — Levantamento'!$E58:$I58,"✔ Concluído")+COUNTIF('E3 — Levantamento'!$E58:$I58,"🔄 Em andamento")&gt;0,"Em andamento","Não iniciado"))))))))</f>
        <v/>
      </c>
      <c r="H76" s="234" t="str">
        <f>IF($B76="","",IF($G76&lt;&gt;"Concluído","Não iniciado",IF(COUNTIF(Lançamentos!$B$3:$B$1001,$B76)=0,"Bloqueado",IF('E4 — Execução'!$D58="","Bloqueado",IF(COUNTIF('E4 — Execução'!$E58:$K58,"⛔ Bloqueado")&gt;0,"Bloqueado",IF(COUNTIF('E4 — Execução'!$E58:$K58,"✔ Concluído")=7,"Concluído",IF(COUNTIF('E4 — Execução'!$E58:$K58,"✔ Concluído")+COUNTIF('E4 — Execução'!$E58:$K58,"🔄 Em andamento")&gt;0,"Em andamento","Não iniciado")))))))</f>
        <v/>
      </c>
      <c r="I76" s="234" t="str">
        <f>IF($B76="","",IF($H76&lt;&gt;"Concluído","Não iniciado",IF(COUNTIF(Lançamentos!$B$3:$B$1001,$B76)=0,"Bloqueado",IF('E5 — Validação'!$D58="","Bloqueado",IF(COUNTIF('E5 — Validação'!$E58:$I58,"⛔ Bloqueado")&gt;0,"Bloqueado",IF('E5 — Validação'!$I58="N/A","Bloqueado",IF(AND('E5 — Validação'!$E58="✔ Concluído",'E5 — Validação'!$F58="✔ Concluído",OR('E5 — Validação'!$G58="✔ Concluído",'E5 — Validação'!$G58="N/A"),'E5 — Validação'!$H58="✔ Concluído",'E5 — Validação'!$I58="✔ Concluído"),"Concluído",IF(COUNTIF('E5 — Validação'!$E58:$I58,"✔ Concluído")+COUNTIF('E5 — Validação'!$E58:$I58,"🔄 Em andamento")&gt;0,"Em andamento","Não iniciado"))))))))</f>
        <v/>
      </c>
      <c r="J76" s="234" t="str">
        <f>IF($B76="","",IF($I76&lt;&gt;"Concluído","Não iniciado",IF('E6 — Ajustes'!$N58="Não","N/A",IF(COUNTIF(Lançamentos!$B$3:$B$1001,$B76)=0,"Bloqueado",IF('E6 — Ajustes'!$D58="","Bloqueado",IF(COUNTIF('E6 — Ajustes'!$E58:$J58,"⛔ Bloqueado")&gt;0,"Bloqueado",IF(AND('E6 — Ajustes'!$E58="✔ Concluído",'E6 — Ajustes'!$F58="✔ Concluído",'E6 — Ajustes'!$G58="✔ Concluído",'E6 — Ajustes'!$H58="✔ Concluído",OR('E6 — Ajustes'!$I58="✔ Concluído",'E6 — Ajustes'!$I58="N/A"),'E6 — Ajustes'!$J58="✔ Concluído"),"Concluído",IF(COUNTIF('E6 — Ajustes'!$E58:$J58,"✔ Concluído")+COUNTIF('E6 — Ajustes'!$E58:$J58,"🔄 Em andamento")&gt;0,"Em andamento","Não iniciado"))))))))</f>
        <v/>
      </c>
      <c r="K76" s="234" t="str">
        <f>IF($B76="","",IF($I76&lt;&gt;"Concluído","Não iniciado",IF(AND($J76&lt;&gt;"Concluído",$J76&lt;&gt;"N/A"),"Não iniciado",IF(COUNTIF(Lançamentos!$B$3:$B$1001,$B76)=0,"Bloqueado",IF('E7 — Entrega'!$D58="","Bloqueado",IF(COUNTIF('E7 — Entrega'!$E58:$H58,"⛔ Bloqueado")&gt;0,"Bloqueado",IF(COUNTIF('E7 — Entrega'!$E58:$H58,"✔ Concluído")=4,"Concluído",IF(COUNTIF('E7 — Entrega'!$E58:$H58,"✔ Concluído")+COUNTIF('E7 — Entrega'!$E58:$H58,"🔄 Em andamento")&gt;0,"Em andamento","Não iniciado"))))))))</f>
        <v/>
      </c>
      <c r="L76" s="234" t="str">
        <f>IF($B76="","",IF($K76&lt;&gt;"Concluído","Não iniciado",IF(OR(COUNTIF('E08 — Estabilização Hypercare'!$E58:$J58,"⛔ Bloqueado")&gt;0,'E08 — Estabilização Hypercare'!$N58="⛔ Incidente Crítico — Encerramento Bloqueado",AND('E08 — Estabilização Hypercare'!$N58="🆕 Evolução Identificada — Nova Demanda Aberta",'E08 — Estabilização Hypercare'!$U58="")),"Bloqueado",IF(AND('E08 — Estabilização Hypercare'!$E58="✔ Concluído",'E08 — Estabilização Hypercare'!$F58="✔ Concluído",'E08 — Estabilização Hypercare'!$G58="✔ Concluído",OR('E08 — Estabilização Hypercare'!$H58="✔ Concluído",'E08 — Estabilização Hypercare'!$H58="N/A"),'E08 — Estabilização Hypercare'!$I58="✔ Concluído",'E08 — Estabilização Hypercare'!$J58="✔ Concluído",OR('E08 — Estabilização Hypercare'!$N58="✅ Estável — Demanda Encerrada",AND('E08 — Estabilização Hypercare'!$N58="🆕 Evolução Identificada — Nova Demanda Aberta",'E08 — Estabilização Hypercare'!$U58&lt;&gt;""))),"Concluído",IF(OR(COUNTIF('E08 — Estabilização Hypercare'!$E58:$J58,"✔ Concluído")&gt;0,COUNTIF('E08 — Estabilização Hypercare'!$E58:$J58,"🔄 Em andamento")&gt;0,'E08 — Estabilização Hypercare'!$N58&lt;&gt;""),"Em andamento","Não iniciado")))))</f>
        <v/>
      </c>
      <c r="M76" s="236" t="str" cm="1">
        <f t="array" ref="M76">IF(B76="","",_xlfn.IFS(E76&lt;&gt;"Concluído","E1 — Solicitação",F76&lt;&gt;"Concluído","E2 — Triagem",G76&lt;&gt;"Concluído","E3 — Levantamento ⚠",H76&lt;&gt;"Concluído","E4 — Execução",I76&lt;&gt;"Concluído","E5 — Validação ⚠",AND(J76&lt;&gt;"Concluído",J76&lt;&gt;"N/A"),"E6 — Ajustes",K76&lt;&gt;"Concluído","E7 — Entrega",L76&lt;&gt;"Concluído","E08 — Estabilização / Hypercare",TRUE,"✔ Fluxo concluído"))</f>
        <v/>
      </c>
      <c r="N76" s="237" t="str">
        <f t="shared" si="0"/>
        <v/>
      </c>
      <c r="O76" s="238"/>
    </row>
    <row r="77" spans="2:15" ht="15" customHeight="1" x14ac:dyDescent="0.35">
      <c r="B77" s="234" t="str">
        <f>IF(Lançamentos!$B54="","",Lançamentos!$B54)</f>
        <v/>
      </c>
      <c r="C77" s="235" t="str">
        <f>IF($B77="","",Lançamentos!$J54)</f>
        <v/>
      </c>
      <c r="D77" s="235" t="str">
        <f>IF($B77="","",Lançamentos!$H54)</f>
        <v/>
      </c>
      <c r="E77" s="234" t="str">
        <f>IF($B77="","",IF(COUNTIF(Lançamentos!$B$3:$B$1001,$B77)=0,"Bloqueado",IF(COUNTIF('E1 — Solicitação'!$E59:$L59,"⛔ Bloqueado")&gt;0,"Bloqueado",IF(COUNTIF('E1 — Solicitação'!$E59:$L59,"N/A")=8,"Bloqueado",IF(COUNTIF('E1 — Solicitação'!$E59:$L59,"✔ Concluído")+COUNTIF('E1 — Solicitação'!$E59:$L59,"N/A")=8,"Concluído",IF(COUNTIF('E1 — Solicitação'!$E59:$L59,"✔ Concluído")+COUNTIF('E1 — Solicitação'!$E59:$L59,"🔄 Em andamento")&gt;0,"Em andamento","Não iniciado"))))))</f>
        <v/>
      </c>
      <c r="F77" s="234" t="str">
        <f>IF($B77="","",IF($E77&lt;&gt;"Concluído","Não iniciado",IF(COUNTIF(Lançamentos!$B$3:$B$1001,$B77)=0,"Bloqueado",IF('E2 — Triagem'!$D59="","Bloqueado",IF(COUNTIF('E2 — Triagem'!$E59:$L59,"N/A")=8,"Bloqueado",IF(COUNTIF('E2 — Triagem'!$E59:$L59,"⛔ Bloqueado")&gt;0,"Bloqueado",IF(COUNTIF('E2 — Triagem'!$E59:$L59,"✔ Concluído")+COUNTIF('E2 — Triagem'!$E59:$L59,"N/A")=8,"Concluído",IF(COUNTIF('E2 — Triagem'!$E59:$L59,"✔ Concluído")+COUNTIF('E2 — Triagem'!$E59:$L59,"🔄 Em andamento")&gt;0,"Em andamento","Não iniciado"))))))))</f>
        <v/>
      </c>
      <c r="G77" s="234" t="str">
        <f>IF($B77="","",IF($F77&lt;&gt;"Concluído","Não iniciado",IF(COUNTIF(Lançamentos!$B$3:$B$1001,$B77)=0,"Bloqueado",IF('E3 — Levantamento'!$D59="","Bloqueado",IF(COUNTIF('E3 — Levantamento'!$E59:$I59,"⛔ Bloqueado")&gt;0,"Bloqueado",IF('E3 — Levantamento'!$I59="N/A","Bloqueado",IF(COUNTIF('E3 — Levantamento'!$E59:$I59,"✔ Concluído")=5,"Concluído",IF(COUNTIF('E3 — Levantamento'!$E59:$I59,"✔ Concluído")+COUNTIF('E3 — Levantamento'!$E59:$I59,"🔄 Em andamento")&gt;0,"Em andamento","Não iniciado"))))))))</f>
        <v/>
      </c>
      <c r="H77" s="234" t="str">
        <f>IF($B77="","",IF($G77&lt;&gt;"Concluído","Não iniciado",IF(COUNTIF(Lançamentos!$B$3:$B$1001,$B77)=0,"Bloqueado",IF('E4 — Execução'!$D59="","Bloqueado",IF(COUNTIF('E4 — Execução'!$E59:$K59,"⛔ Bloqueado")&gt;0,"Bloqueado",IF(COUNTIF('E4 — Execução'!$E59:$K59,"✔ Concluído")=7,"Concluído",IF(COUNTIF('E4 — Execução'!$E59:$K59,"✔ Concluído")+COUNTIF('E4 — Execução'!$E59:$K59,"🔄 Em andamento")&gt;0,"Em andamento","Não iniciado")))))))</f>
        <v/>
      </c>
      <c r="I77" s="234" t="str">
        <f>IF($B77="","",IF($H77&lt;&gt;"Concluído","Não iniciado",IF(COUNTIF(Lançamentos!$B$3:$B$1001,$B77)=0,"Bloqueado",IF('E5 — Validação'!$D59="","Bloqueado",IF(COUNTIF('E5 — Validação'!$E59:$I59,"⛔ Bloqueado")&gt;0,"Bloqueado",IF('E5 — Validação'!$I59="N/A","Bloqueado",IF(AND('E5 — Validação'!$E59="✔ Concluído",'E5 — Validação'!$F59="✔ Concluído",OR('E5 — Validação'!$G59="✔ Concluído",'E5 — Validação'!$G59="N/A"),'E5 — Validação'!$H59="✔ Concluído",'E5 — Validação'!$I59="✔ Concluído"),"Concluído",IF(COUNTIF('E5 — Validação'!$E59:$I59,"✔ Concluído")+COUNTIF('E5 — Validação'!$E59:$I59,"🔄 Em andamento")&gt;0,"Em andamento","Não iniciado"))))))))</f>
        <v/>
      </c>
      <c r="J77" s="234" t="str">
        <f>IF($B77="","",IF($I77&lt;&gt;"Concluído","Não iniciado",IF('E6 — Ajustes'!$N59="Não","N/A",IF(COUNTIF(Lançamentos!$B$3:$B$1001,$B77)=0,"Bloqueado",IF('E6 — Ajustes'!$D59="","Bloqueado",IF(COUNTIF('E6 — Ajustes'!$E59:$J59,"⛔ Bloqueado")&gt;0,"Bloqueado",IF(AND('E6 — Ajustes'!$E59="✔ Concluído",'E6 — Ajustes'!$F59="✔ Concluído",'E6 — Ajustes'!$G59="✔ Concluído",'E6 — Ajustes'!$H59="✔ Concluído",OR('E6 — Ajustes'!$I59="✔ Concluído",'E6 — Ajustes'!$I59="N/A"),'E6 — Ajustes'!$J59="✔ Concluído"),"Concluído",IF(COUNTIF('E6 — Ajustes'!$E59:$J59,"✔ Concluído")+COUNTIF('E6 — Ajustes'!$E59:$J59,"🔄 Em andamento")&gt;0,"Em andamento","Não iniciado"))))))))</f>
        <v/>
      </c>
      <c r="K77" s="234" t="str">
        <f>IF($B77="","",IF($I77&lt;&gt;"Concluído","Não iniciado",IF(AND($J77&lt;&gt;"Concluído",$J77&lt;&gt;"N/A"),"Não iniciado",IF(COUNTIF(Lançamentos!$B$3:$B$1001,$B77)=0,"Bloqueado",IF('E7 — Entrega'!$D59="","Bloqueado",IF(COUNTIF('E7 — Entrega'!$E59:$H59,"⛔ Bloqueado")&gt;0,"Bloqueado",IF(COUNTIF('E7 — Entrega'!$E59:$H59,"✔ Concluído")=4,"Concluído",IF(COUNTIF('E7 — Entrega'!$E59:$H59,"✔ Concluído")+COUNTIF('E7 — Entrega'!$E59:$H59,"🔄 Em andamento")&gt;0,"Em andamento","Não iniciado"))))))))</f>
        <v/>
      </c>
      <c r="L77" s="234" t="str">
        <f>IF($B77="","",IF($K77&lt;&gt;"Concluído","Não iniciado",IF(OR(COUNTIF('E08 — Estabilização Hypercare'!$E59:$J59,"⛔ Bloqueado")&gt;0,'E08 — Estabilização Hypercare'!$N59="⛔ Incidente Crítico — Encerramento Bloqueado",AND('E08 — Estabilização Hypercare'!$N59="🆕 Evolução Identificada — Nova Demanda Aberta",'E08 — Estabilização Hypercare'!$U59="")),"Bloqueado",IF(AND('E08 — Estabilização Hypercare'!$E59="✔ Concluído",'E08 — Estabilização Hypercare'!$F59="✔ Concluído",'E08 — Estabilização Hypercare'!$G59="✔ Concluído",OR('E08 — Estabilização Hypercare'!$H59="✔ Concluído",'E08 — Estabilização Hypercare'!$H59="N/A"),'E08 — Estabilização Hypercare'!$I59="✔ Concluído",'E08 — Estabilização Hypercare'!$J59="✔ Concluído",OR('E08 — Estabilização Hypercare'!$N59="✅ Estável — Demanda Encerrada",AND('E08 — Estabilização Hypercare'!$N59="🆕 Evolução Identificada — Nova Demanda Aberta",'E08 — Estabilização Hypercare'!$U59&lt;&gt;""))),"Concluído",IF(OR(COUNTIF('E08 — Estabilização Hypercare'!$E59:$J59,"✔ Concluído")&gt;0,COUNTIF('E08 — Estabilização Hypercare'!$E59:$J59,"🔄 Em andamento")&gt;0,'E08 — Estabilização Hypercare'!$N59&lt;&gt;""),"Em andamento","Não iniciado")))))</f>
        <v/>
      </c>
      <c r="M77" s="236" t="str" cm="1">
        <f t="array" ref="M77">IF(B77="","",_xlfn.IFS(E77&lt;&gt;"Concluído","E1 — Solicitação",F77&lt;&gt;"Concluído","E2 — Triagem",G77&lt;&gt;"Concluído","E3 — Levantamento ⚠",H77&lt;&gt;"Concluído","E4 — Execução",I77&lt;&gt;"Concluído","E5 — Validação ⚠",AND(J77&lt;&gt;"Concluído",J77&lt;&gt;"N/A"),"E6 — Ajustes",K77&lt;&gt;"Concluído","E7 — Entrega",L77&lt;&gt;"Concluído","E08 — Estabilização / Hypercare",TRUE,"✔ Fluxo concluído"))</f>
        <v/>
      </c>
      <c r="N77" s="237" t="str">
        <f t="shared" si="0"/>
        <v/>
      </c>
      <c r="O77" s="238"/>
    </row>
    <row r="78" spans="2:15" ht="15" customHeight="1" x14ac:dyDescent="0.35">
      <c r="B78" s="234" t="str">
        <f>IF(Lançamentos!$B55="","",Lançamentos!$B55)</f>
        <v/>
      </c>
      <c r="C78" s="235" t="str">
        <f>IF($B78="","",Lançamentos!$J55)</f>
        <v/>
      </c>
      <c r="D78" s="235" t="str">
        <f>IF($B78="","",Lançamentos!$H55)</f>
        <v/>
      </c>
      <c r="E78" s="234" t="str">
        <f>IF($B78="","",IF(COUNTIF(Lançamentos!$B$3:$B$1001,$B78)=0,"Bloqueado",IF(COUNTIF('E1 — Solicitação'!$E60:$L60,"⛔ Bloqueado")&gt;0,"Bloqueado",IF(COUNTIF('E1 — Solicitação'!$E60:$L60,"N/A")=8,"Bloqueado",IF(COUNTIF('E1 — Solicitação'!$E60:$L60,"✔ Concluído")+COUNTIF('E1 — Solicitação'!$E60:$L60,"N/A")=8,"Concluído",IF(COUNTIF('E1 — Solicitação'!$E60:$L60,"✔ Concluído")+COUNTIF('E1 — Solicitação'!$E60:$L60,"🔄 Em andamento")&gt;0,"Em andamento","Não iniciado"))))))</f>
        <v/>
      </c>
      <c r="F78" s="234" t="str">
        <f>IF($B78="","",IF($E78&lt;&gt;"Concluído","Não iniciado",IF(COUNTIF(Lançamentos!$B$3:$B$1001,$B78)=0,"Bloqueado",IF('E2 — Triagem'!$D60="","Bloqueado",IF(COUNTIF('E2 — Triagem'!$E60:$L60,"N/A")=8,"Bloqueado",IF(COUNTIF('E2 — Triagem'!$E60:$L60,"⛔ Bloqueado")&gt;0,"Bloqueado",IF(COUNTIF('E2 — Triagem'!$E60:$L60,"✔ Concluído")+COUNTIF('E2 — Triagem'!$E60:$L60,"N/A")=8,"Concluído",IF(COUNTIF('E2 — Triagem'!$E60:$L60,"✔ Concluído")+COUNTIF('E2 — Triagem'!$E60:$L60,"🔄 Em andamento")&gt;0,"Em andamento","Não iniciado"))))))))</f>
        <v/>
      </c>
      <c r="G78" s="234" t="str">
        <f>IF($B78="","",IF($F78&lt;&gt;"Concluído","Não iniciado",IF(COUNTIF(Lançamentos!$B$3:$B$1001,$B78)=0,"Bloqueado",IF('E3 — Levantamento'!$D60="","Bloqueado",IF(COUNTIF('E3 — Levantamento'!$E60:$I60,"⛔ Bloqueado")&gt;0,"Bloqueado",IF('E3 — Levantamento'!$I60="N/A","Bloqueado",IF(COUNTIF('E3 — Levantamento'!$E60:$I60,"✔ Concluído")=5,"Concluído",IF(COUNTIF('E3 — Levantamento'!$E60:$I60,"✔ Concluído")+COUNTIF('E3 — Levantamento'!$E60:$I60,"🔄 Em andamento")&gt;0,"Em andamento","Não iniciado"))))))))</f>
        <v/>
      </c>
      <c r="H78" s="234" t="str">
        <f>IF($B78="","",IF($G78&lt;&gt;"Concluído","Não iniciado",IF(COUNTIF(Lançamentos!$B$3:$B$1001,$B78)=0,"Bloqueado",IF('E4 — Execução'!$D60="","Bloqueado",IF(COUNTIF('E4 — Execução'!$E60:$K60,"⛔ Bloqueado")&gt;0,"Bloqueado",IF(COUNTIF('E4 — Execução'!$E60:$K60,"✔ Concluído")=7,"Concluído",IF(COUNTIF('E4 — Execução'!$E60:$K60,"✔ Concluído")+COUNTIF('E4 — Execução'!$E60:$K60,"🔄 Em andamento")&gt;0,"Em andamento","Não iniciado")))))))</f>
        <v/>
      </c>
      <c r="I78" s="234" t="str">
        <f>IF($B78="","",IF($H78&lt;&gt;"Concluído","Não iniciado",IF(COUNTIF(Lançamentos!$B$3:$B$1001,$B78)=0,"Bloqueado",IF('E5 — Validação'!$D60="","Bloqueado",IF(COUNTIF('E5 — Validação'!$E60:$I60,"⛔ Bloqueado")&gt;0,"Bloqueado",IF('E5 — Validação'!$I60="N/A","Bloqueado",IF(AND('E5 — Validação'!$E60="✔ Concluído",'E5 — Validação'!$F60="✔ Concluído",OR('E5 — Validação'!$G60="✔ Concluído",'E5 — Validação'!$G60="N/A"),'E5 — Validação'!$H60="✔ Concluído",'E5 — Validação'!$I60="✔ Concluído"),"Concluído",IF(COUNTIF('E5 — Validação'!$E60:$I60,"✔ Concluído")+COUNTIF('E5 — Validação'!$E60:$I60,"🔄 Em andamento")&gt;0,"Em andamento","Não iniciado"))))))))</f>
        <v/>
      </c>
      <c r="J78" s="234" t="str">
        <f>IF($B78="","",IF($I78&lt;&gt;"Concluído","Não iniciado",IF('E6 — Ajustes'!$N60="Não","N/A",IF(COUNTIF(Lançamentos!$B$3:$B$1001,$B78)=0,"Bloqueado",IF('E6 — Ajustes'!$D60="","Bloqueado",IF(COUNTIF('E6 — Ajustes'!$E60:$J60,"⛔ Bloqueado")&gt;0,"Bloqueado",IF(AND('E6 — Ajustes'!$E60="✔ Concluído",'E6 — Ajustes'!$F60="✔ Concluído",'E6 — Ajustes'!$G60="✔ Concluído",'E6 — Ajustes'!$H60="✔ Concluído",OR('E6 — Ajustes'!$I60="✔ Concluído",'E6 — Ajustes'!$I60="N/A"),'E6 — Ajustes'!$J60="✔ Concluído"),"Concluído",IF(COUNTIF('E6 — Ajustes'!$E60:$J60,"✔ Concluído")+COUNTIF('E6 — Ajustes'!$E60:$J60,"🔄 Em andamento")&gt;0,"Em andamento","Não iniciado"))))))))</f>
        <v/>
      </c>
      <c r="K78" s="234" t="str">
        <f>IF($B78="","",IF($I78&lt;&gt;"Concluído","Não iniciado",IF(AND($J78&lt;&gt;"Concluído",$J78&lt;&gt;"N/A"),"Não iniciado",IF(COUNTIF(Lançamentos!$B$3:$B$1001,$B78)=0,"Bloqueado",IF('E7 — Entrega'!$D60="","Bloqueado",IF(COUNTIF('E7 — Entrega'!$E60:$H60,"⛔ Bloqueado")&gt;0,"Bloqueado",IF(COUNTIF('E7 — Entrega'!$E60:$H60,"✔ Concluído")=4,"Concluído",IF(COUNTIF('E7 — Entrega'!$E60:$H60,"✔ Concluído")+COUNTIF('E7 — Entrega'!$E60:$H60,"🔄 Em andamento")&gt;0,"Em andamento","Não iniciado"))))))))</f>
        <v/>
      </c>
      <c r="L78" s="234" t="str">
        <f>IF($B78="","",IF($K78&lt;&gt;"Concluído","Não iniciado",IF(OR(COUNTIF('E08 — Estabilização Hypercare'!$E60:$J60,"⛔ Bloqueado")&gt;0,'E08 — Estabilização Hypercare'!$N60="⛔ Incidente Crítico — Encerramento Bloqueado",AND('E08 — Estabilização Hypercare'!$N60="🆕 Evolução Identificada — Nova Demanda Aberta",'E08 — Estabilização Hypercare'!$U60="")),"Bloqueado",IF(AND('E08 — Estabilização Hypercare'!$E60="✔ Concluído",'E08 — Estabilização Hypercare'!$F60="✔ Concluído",'E08 — Estabilização Hypercare'!$G60="✔ Concluído",OR('E08 — Estabilização Hypercare'!$H60="✔ Concluído",'E08 — Estabilização Hypercare'!$H60="N/A"),'E08 — Estabilização Hypercare'!$I60="✔ Concluído",'E08 — Estabilização Hypercare'!$J60="✔ Concluído",OR('E08 — Estabilização Hypercare'!$N60="✅ Estável — Demanda Encerrada",AND('E08 — Estabilização Hypercare'!$N60="🆕 Evolução Identificada — Nova Demanda Aberta",'E08 — Estabilização Hypercare'!$U60&lt;&gt;""))),"Concluído",IF(OR(COUNTIF('E08 — Estabilização Hypercare'!$E60:$J60,"✔ Concluído")&gt;0,COUNTIF('E08 — Estabilização Hypercare'!$E60:$J60,"🔄 Em andamento")&gt;0,'E08 — Estabilização Hypercare'!$N60&lt;&gt;""),"Em andamento","Não iniciado")))))</f>
        <v/>
      </c>
      <c r="M78" s="236" t="str" cm="1">
        <f t="array" ref="M78">IF(B78="","",_xlfn.IFS(E78&lt;&gt;"Concluído","E1 — Solicitação",F78&lt;&gt;"Concluído","E2 — Triagem",G78&lt;&gt;"Concluído","E3 — Levantamento ⚠",H78&lt;&gt;"Concluído","E4 — Execução",I78&lt;&gt;"Concluído","E5 — Validação ⚠",AND(J78&lt;&gt;"Concluído",J78&lt;&gt;"N/A"),"E6 — Ajustes",K78&lt;&gt;"Concluído","E7 — Entrega",L78&lt;&gt;"Concluído","E08 — Estabilização / Hypercare",TRUE,"✔ Fluxo concluído"))</f>
        <v/>
      </c>
      <c r="N78" s="237" t="str">
        <f t="shared" si="0"/>
        <v/>
      </c>
      <c r="O78" s="238"/>
    </row>
    <row r="79" spans="2:15" ht="15" customHeight="1" x14ac:dyDescent="0.35">
      <c r="B79" s="234" t="str">
        <f>IF(Lançamentos!$B56="","",Lançamentos!$B56)</f>
        <v/>
      </c>
      <c r="C79" s="235" t="str">
        <f>IF($B79="","",Lançamentos!$J56)</f>
        <v/>
      </c>
      <c r="D79" s="235" t="str">
        <f>IF($B79="","",Lançamentos!$H56)</f>
        <v/>
      </c>
      <c r="E79" s="234" t="str">
        <f>IF($B79="","",IF(COUNTIF(Lançamentos!$B$3:$B$1001,$B79)=0,"Bloqueado",IF(COUNTIF('E1 — Solicitação'!$E61:$L61,"⛔ Bloqueado")&gt;0,"Bloqueado",IF(COUNTIF('E1 — Solicitação'!$E61:$L61,"N/A")=8,"Bloqueado",IF(COUNTIF('E1 — Solicitação'!$E61:$L61,"✔ Concluído")+COUNTIF('E1 — Solicitação'!$E61:$L61,"N/A")=8,"Concluído",IF(COUNTIF('E1 — Solicitação'!$E61:$L61,"✔ Concluído")+COUNTIF('E1 — Solicitação'!$E61:$L61,"🔄 Em andamento")&gt;0,"Em andamento","Não iniciado"))))))</f>
        <v/>
      </c>
      <c r="F79" s="234" t="str">
        <f>IF($B79="","",IF($E79&lt;&gt;"Concluído","Não iniciado",IF(COUNTIF(Lançamentos!$B$3:$B$1001,$B79)=0,"Bloqueado",IF('E2 — Triagem'!$D61="","Bloqueado",IF(COUNTIF('E2 — Triagem'!$E61:$L61,"N/A")=8,"Bloqueado",IF(COUNTIF('E2 — Triagem'!$E61:$L61,"⛔ Bloqueado")&gt;0,"Bloqueado",IF(COUNTIF('E2 — Triagem'!$E61:$L61,"✔ Concluído")+COUNTIF('E2 — Triagem'!$E61:$L61,"N/A")=8,"Concluído",IF(COUNTIF('E2 — Triagem'!$E61:$L61,"✔ Concluído")+COUNTIF('E2 — Triagem'!$E61:$L61,"🔄 Em andamento")&gt;0,"Em andamento","Não iniciado"))))))))</f>
        <v/>
      </c>
      <c r="G79" s="234" t="str">
        <f>IF($B79="","",IF($F79&lt;&gt;"Concluído","Não iniciado",IF(COUNTIF(Lançamentos!$B$3:$B$1001,$B79)=0,"Bloqueado",IF('E3 — Levantamento'!$D61="","Bloqueado",IF(COUNTIF('E3 — Levantamento'!$E61:$I61,"⛔ Bloqueado")&gt;0,"Bloqueado",IF('E3 — Levantamento'!$I61="N/A","Bloqueado",IF(COUNTIF('E3 — Levantamento'!$E61:$I61,"✔ Concluído")=5,"Concluído",IF(COUNTIF('E3 — Levantamento'!$E61:$I61,"✔ Concluído")+COUNTIF('E3 — Levantamento'!$E61:$I61,"🔄 Em andamento")&gt;0,"Em andamento","Não iniciado"))))))))</f>
        <v/>
      </c>
      <c r="H79" s="234" t="str">
        <f>IF($B79="","",IF($G79&lt;&gt;"Concluído","Não iniciado",IF(COUNTIF(Lançamentos!$B$3:$B$1001,$B79)=0,"Bloqueado",IF('E4 — Execução'!$D61="","Bloqueado",IF(COUNTIF('E4 — Execução'!$E61:$K61,"⛔ Bloqueado")&gt;0,"Bloqueado",IF(COUNTIF('E4 — Execução'!$E61:$K61,"✔ Concluído")=7,"Concluído",IF(COUNTIF('E4 — Execução'!$E61:$K61,"✔ Concluído")+COUNTIF('E4 — Execução'!$E61:$K61,"🔄 Em andamento")&gt;0,"Em andamento","Não iniciado")))))))</f>
        <v/>
      </c>
      <c r="I79" s="234" t="str">
        <f>IF($B79="","",IF($H79&lt;&gt;"Concluído","Não iniciado",IF(COUNTIF(Lançamentos!$B$3:$B$1001,$B79)=0,"Bloqueado",IF('E5 — Validação'!$D61="","Bloqueado",IF(COUNTIF('E5 — Validação'!$E61:$I61,"⛔ Bloqueado")&gt;0,"Bloqueado",IF('E5 — Validação'!$I61="N/A","Bloqueado",IF(AND('E5 — Validação'!$E61="✔ Concluído",'E5 — Validação'!$F61="✔ Concluído",OR('E5 — Validação'!$G61="✔ Concluído",'E5 — Validação'!$G61="N/A"),'E5 — Validação'!$H61="✔ Concluído",'E5 — Validação'!$I61="✔ Concluído"),"Concluído",IF(COUNTIF('E5 — Validação'!$E61:$I61,"✔ Concluído")+COUNTIF('E5 — Validação'!$E61:$I61,"🔄 Em andamento")&gt;0,"Em andamento","Não iniciado"))))))))</f>
        <v/>
      </c>
      <c r="J79" s="234" t="str">
        <f>IF($B79="","",IF($I79&lt;&gt;"Concluído","Não iniciado",IF('E6 — Ajustes'!$N61="Não","N/A",IF(COUNTIF(Lançamentos!$B$3:$B$1001,$B79)=0,"Bloqueado",IF('E6 — Ajustes'!$D61="","Bloqueado",IF(COUNTIF('E6 — Ajustes'!$E61:$J61,"⛔ Bloqueado")&gt;0,"Bloqueado",IF(AND('E6 — Ajustes'!$E61="✔ Concluído",'E6 — Ajustes'!$F61="✔ Concluído",'E6 — Ajustes'!$G61="✔ Concluído",'E6 — Ajustes'!$H61="✔ Concluído",OR('E6 — Ajustes'!$I61="✔ Concluído",'E6 — Ajustes'!$I61="N/A"),'E6 — Ajustes'!$J61="✔ Concluído"),"Concluído",IF(COUNTIF('E6 — Ajustes'!$E61:$J61,"✔ Concluído")+COUNTIF('E6 — Ajustes'!$E61:$J61,"🔄 Em andamento")&gt;0,"Em andamento","Não iniciado"))))))))</f>
        <v/>
      </c>
      <c r="K79" s="234" t="str">
        <f>IF($B79="","",IF($I79&lt;&gt;"Concluído","Não iniciado",IF(AND($J79&lt;&gt;"Concluído",$J79&lt;&gt;"N/A"),"Não iniciado",IF(COUNTIF(Lançamentos!$B$3:$B$1001,$B79)=0,"Bloqueado",IF('E7 — Entrega'!$D61="","Bloqueado",IF(COUNTIF('E7 — Entrega'!$E61:$H61,"⛔ Bloqueado")&gt;0,"Bloqueado",IF(COUNTIF('E7 — Entrega'!$E61:$H61,"✔ Concluído")=4,"Concluído",IF(COUNTIF('E7 — Entrega'!$E61:$H61,"✔ Concluído")+COUNTIF('E7 — Entrega'!$E61:$H61,"🔄 Em andamento")&gt;0,"Em andamento","Não iniciado"))))))))</f>
        <v/>
      </c>
      <c r="L79" s="234" t="str">
        <f>IF($B79="","",IF($K79&lt;&gt;"Concluído","Não iniciado",IF(OR(COUNTIF('E08 — Estabilização Hypercare'!$E61:$J61,"⛔ Bloqueado")&gt;0,'E08 — Estabilização Hypercare'!$N61="⛔ Incidente Crítico — Encerramento Bloqueado",AND('E08 — Estabilização Hypercare'!$N61="🆕 Evolução Identificada — Nova Demanda Aberta",'E08 — Estabilização Hypercare'!$U61="")),"Bloqueado",IF(AND('E08 — Estabilização Hypercare'!$E61="✔ Concluído",'E08 — Estabilização Hypercare'!$F61="✔ Concluído",'E08 — Estabilização Hypercare'!$G61="✔ Concluído",OR('E08 — Estabilização Hypercare'!$H61="✔ Concluído",'E08 — Estabilização Hypercare'!$H61="N/A"),'E08 — Estabilização Hypercare'!$I61="✔ Concluído",'E08 — Estabilização Hypercare'!$J61="✔ Concluído",OR('E08 — Estabilização Hypercare'!$N61="✅ Estável — Demanda Encerrada",AND('E08 — Estabilização Hypercare'!$N61="🆕 Evolução Identificada — Nova Demanda Aberta",'E08 — Estabilização Hypercare'!$U61&lt;&gt;""))),"Concluído",IF(OR(COUNTIF('E08 — Estabilização Hypercare'!$E61:$J61,"✔ Concluído")&gt;0,COUNTIF('E08 — Estabilização Hypercare'!$E61:$J61,"🔄 Em andamento")&gt;0,'E08 — Estabilização Hypercare'!$N61&lt;&gt;""),"Em andamento","Não iniciado")))))</f>
        <v/>
      </c>
      <c r="M79" s="236" t="str" cm="1">
        <f t="array" ref="M79">IF(B79="","",_xlfn.IFS(E79&lt;&gt;"Concluído","E1 — Solicitação",F79&lt;&gt;"Concluído","E2 — Triagem",G79&lt;&gt;"Concluído","E3 — Levantamento ⚠",H79&lt;&gt;"Concluído","E4 — Execução",I79&lt;&gt;"Concluído","E5 — Validação ⚠",AND(J79&lt;&gt;"Concluído",J79&lt;&gt;"N/A"),"E6 — Ajustes",K79&lt;&gt;"Concluído","E7 — Entrega",L79&lt;&gt;"Concluído","E08 — Estabilização / Hypercare",TRUE,"✔ Fluxo concluído"))</f>
        <v/>
      </c>
      <c r="N79" s="237" t="str">
        <f t="shared" si="0"/>
        <v/>
      </c>
      <c r="O79" s="238"/>
    </row>
    <row r="80" spans="2:15" ht="15" customHeight="1" x14ac:dyDescent="0.35">
      <c r="B80" s="234" t="str">
        <f>IF(Lançamentos!$B57="","",Lançamentos!$B57)</f>
        <v/>
      </c>
      <c r="C80" s="235" t="str">
        <f>IF($B80="","",Lançamentos!$J57)</f>
        <v/>
      </c>
      <c r="D80" s="235" t="str">
        <f>IF($B80="","",Lançamentos!$H57)</f>
        <v/>
      </c>
      <c r="E80" s="234" t="str">
        <f>IF($B80="","",IF(COUNTIF(Lançamentos!$B$3:$B$1001,$B80)=0,"Bloqueado",IF(COUNTIF('E1 — Solicitação'!$E62:$L62,"⛔ Bloqueado")&gt;0,"Bloqueado",IF(COUNTIF('E1 — Solicitação'!$E62:$L62,"N/A")=8,"Bloqueado",IF(COUNTIF('E1 — Solicitação'!$E62:$L62,"✔ Concluído")+COUNTIF('E1 — Solicitação'!$E62:$L62,"N/A")=8,"Concluído",IF(COUNTIF('E1 — Solicitação'!$E62:$L62,"✔ Concluído")+COUNTIF('E1 — Solicitação'!$E62:$L62,"🔄 Em andamento")&gt;0,"Em andamento","Não iniciado"))))))</f>
        <v/>
      </c>
      <c r="F80" s="234" t="str">
        <f>IF($B80="","",IF($E80&lt;&gt;"Concluído","Não iniciado",IF(COUNTIF(Lançamentos!$B$3:$B$1001,$B80)=0,"Bloqueado",IF('E2 — Triagem'!$D62="","Bloqueado",IF(COUNTIF('E2 — Triagem'!$E62:$L62,"N/A")=8,"Bloqueado",IF(COUNTIF('E2 — Triagem'!$E62:$L62,"⛔ Bloqueado")&gt;0,"Bloqueado",IF(COUNTIF('E2 — Triagem'!$E62:$L62,"✔ Concluído")+COUNTIF('E2 — Triagem'!$E62:$L62,"N/A")=8,"Concluído",IF(COUNTIF('E2 — Triagem'!$E62:$L62,"✔ Concluído")+COUNTIF('E2 — Triagem'!$E62:$L62,"🔄 Em andamento")&gt;0,"Em andamento","Não iniciado"))))))))</f>
        <v/>
      </c>
      <c r="G80" s="234" t="str">
        <f>IF($B80="","",IF($F80&lt;&gt;"Concluído","Não iniciado",IF(COUNTIF(Lançamentos!$B$3:$B$1001,$B80)=0,"Bloqueado",IF('E3 — Levantamento'!$D62="","Bloqueado",IF(COUNTIF('E3 — Levantamento'!$E62:$I62,"⛔ Bloqueado")&gt;0,"Bloqueado",IF('E3 — Levantamento'!$I62="N/A","Bloqueado",IF(COUNTIF('E3 — Levantamento'!$E62:$I62,"✔ Concluído")=5,"Concluído",IF(COUNTIF('E3 — Levantamento'!$E62:$I62,"✔ Concluído")+COUNTIF('E3 — Levantamento'!$E62:$I62,"🔄 Em andamento")&gt;0,"Em andamento","Não iniciado"))))))))</f>
        <v/>
      </c>
      <c r="H80" s="234" t="str">
        <f>IF($B80="","",IF($G80&lt;&gt;"Concluído","Não iniciado",IF(COUNTIF(Lançamentos!$B$3:$B$1001,$B80)=0,"Bloqueado",IF('E4 — Execução'!$D62="","Bloqueado",IF(COUNTIF('E4 — Execução'!$E62:$K62,"⛔ Bloqueado")&gt;0,"Bloqueado",IF(COUNTIF('E4 — Execução'!$E62:$K62,"✔ Concluído")=7,"Concluído",IF(COUNTIF('E4 — Execução'!$E62:$K62,"✔ Concluído")+COUNTIF('E4 — Execução'!$E62:$K62,"🔄 Em andamento")&gt;0,"Em andamento","Não iniciado")))))))</f>
        <v/>
      </c>
      <c r="I80" s="234" t="str">
        <f>IF($B80="","",IF($H80&lt;&gt;"Concluído","Não iniciado",IF(COUNTIF(Lançamentos!$B$3:$B$1001,$B80)=0,"Bloqueado",IF('E5 — Validação'!$D62="","Bloqueado",IF(COUNTIF('E5 — Validação'!$E62:$I62,"⛔ Bloqueado")&gt;0,"Bloqueado",IF('E5 — Validação'!$I62="N/A","Bloqueado",IF(AND('E5 — Validação'!$E62="✔ Concluído",'E5 — Validação'!$F62="✔ Concluído",OR('E5 — Validação'!$G62="✔ Concluído",'E5 — Validação'!$G62="N/A"),'E5 — Validação'!$H62="✔ Concluído",'E5 — Validação'!$I62="✔ Concluído"),"Concluído",IF(COUNTIF('E5 — Validação'!$E62:$I62,"✔ Concluído")+COUNTIF('E5 — Validação'!$E62:$I62,"🔄 Em andamento")&gt;0,"Em andamento","Não iniciado"))))))))</f>
        <v/>
      </c>
      <c r="J80" s="234" t="str">
        <f>IF($B80="","",IF($I80&lt;&gt;"Concluído","Não iniciado",IF('E6 — Ajustes'!$N62="Não","N/A",IF(COUNTIF(Lançamentos!$B$3:$B$1001,$B80)=0,"Bloqueado",IF('E6 — Ajustes'!$D62="","Bloqueado",IF(COUNTIF('E6 — Ajustes'!$E62:$J62,"⛔ Bloqueado")&gt;0,"Bloqueado",IF(AND('E6 — Ajustes'!$E62="✔ Concluído",'E6 — Ajustes'!$F62="✔ Concluído",'E6 — Ajustes'!$G62="✔ Concluído",'E6 — Ajustes'!$H62="✔ Concluído",OR('E6 — Ajustes'!$I62="✔ Concluído",'E6 — Ajustes'!$I62="N/A"),'E6 — Ajustes'!$J62="✔ Concluído"),"Concluído",IF(COUNTIF('E6 — Ajustes'!$E62:$J62,"✔ Concluído")+COUNTIF('E6 — Ajustes'!$E62:$J62,"🔄 Em andamento")&gt;0,"Em andamento","Não iniciado"))))))))</f>
        <v/>
      </c>
      <c r="K80" s="234" t="str">
        <f>IF($B80="","",IF($I80&lt;&gt;"Concluído","Não iniciado",IF(AND($J80&lt;&gt;"Concluído",$J80&lt;&gt;"N/A"),"Não iniciado",IF(COUNTIF(Lançamentos!$B$3:$B$1001,$B80)=0,"Bloqueado",IF('E7 — Entrega'!$D62="","Bloqueado",IF(COUNTIF('E7 — Entrega'!$E62:$H62,"⛔ Bloqueado")&gt;0,"Bloqueado",IF(COUNTIF('E7 — Entrega'!$E62:$H62,"✔ Concluído")=4,"Concluído",IF(COUNTIF('E7 — Entrega'!$E62:$H62,"✔ Concluído")+COUNTIF('E7 — Entrega'!$E62:$H62,"🔄 Em andamento")&gt;0,"Em andamento","Não iniciado"))))))))</f>
        <v/>
      </c>
      <c r="L80" s="234" t="str">
        <f>IF($B80="","",IF($K80&lt;&gt;"Concluído","Não iniciado",IF(OR(COUNTIF('E08 — Estabilização Hypercare'!$E62:$J62,"⛔ Bloqueado")&gt;0,'E08 — Estabilização Hypercare'!$N62="⛔ Incidente Crítico — Encerramento Bloqueado",AND('E08 — Estabilização Hypercare'!$N62="🆕 Evolução Identificada — Nova Demanda Aberta",'E08 — Estabilização Hypercare'!$U62="")),"Bloqueado",IF(AND('E08 — Estabilização Hypercare'!$E62="✔ Concluído",'E08 — Estabilização Hypercare'!$F62="✔ Concluído",'E08 — Estabilização Hypercare'!$G62="✔ Concluído",OR('E08 — Estabilização Hypercare'!$H62="✔ Concluído",'E08 — Estabilização Hypercare'!$H62="N/A"),'E08 — Estabilização Hypercare'!$I62="✔ Concluído",'E08 — Estabilização Hypercare'!$J62="✔ Concluído",OR('E08 — Estabilização Hypercare'!$N62="✅ Estável — Demanda Encerrada",AND('E08 — Estabilização Hypercare'!$N62="🆕 Evolução Identificada — Nova Demanda Aberta",'E08 — Estabilização Hypercare'!$U62&lt;&gt;""))),"Concluído",IF(OR(COUNTIF('E08 — Estabilização Hypercare'!$E62:$J62,"✔ Concluído")&gt;0,COUNTIF('E08 — Estabilização Hypercare'!$E62:$J62,"🔄 Em andamento")&gt;0,'E08 — Estabilização Hypercare'!$N62&lt;&gt;""),"Em andamento","Não iniciado")))))</f>
        <v/>
      </c>
      <c r="M80" s="236" t="str" cm="1">
        <f t="array" ref="M80">IF(B80="","",_xlfn.IFS(E80&lt;&gt;"Concluído","E1 — Solicitação",F80&lt;&gt;"Concluído","E2 — Triagem",G80&lt;&gt;"Concluído","E3 — Levantamento ⚠",H80&lt;&gt;"Concluído","E4 — Execução",I80&lt;&gt;"Concluído","E5 — Validação ⚠",AND(J80&lt;&gt;"Concluído",J80&lt;&gt;"N/A"),"E6 — Ajustes",K80&lt;&gt;"Concluído","E7 — Entrega",L80&lt;&gt;"Concluído","E08 — Estabilização / Hypercare",TRUE,"✔ Fluxo concluído"))</f>
        <v/>
      </c>
      <c r="N80" s="237" t="str">
        <f t="shared" si="0"/>
        <v/>
      </c>
      <c r="O80" s="238"/>
    </row>
    <row r="81" spans="2:15" ht="15" customHeight="1" x14ac:dyDescent="0.35">
      <c r="B81" s="234" t="str">
        <f>IF(Lançamentos!$B58="","",Lançamentos!$B58)</f>
        <v/>
      </c>
      <c r="C81" s="235" t="str">
        <f>IF($B81="","",Lançamentos!$J58)</f>
        <v/>
      </c>
      <c r="D81" s="235" t="str">
        <f>IF($B81="","",Lançamentos!$H58)</f>
        <v/>
      </c>
      <c r="E81" s="234" t="str">
        <f>IF($B81="","",IF(COUNTIF(Lançamentos!$B$3:$B$1001,$B81)=0,"Bloqueado",IF(COUNTIF('E1 — Solicitação'!$E63:$L63,"⛔ Bloqueado")&gt;0,"Bloqueado",IF(COUNTIF('E1 — Solicitação'!$E63:$L63,"N/A")=8,"Bloqueado",IF(COUNTIF('E1 — Solicitação'!$E63:$L63,"✔ Concluído")+COUNTIF('E1 — Solicitação'!$E63:$L63,"N/A")=8,"Concluído",IF(COUNTIF('E1 — Solicitação'!$E63:$L63,"✔ Concluído")+COUNTIF('E1 — Solicitação'!$E63:$L63,"🔄 Em andamento")&gt;0,"Em andamento","Não iniciado"))))))</f>
        <v/>
      </c>
      <c r="F81" s="234" t="str">
        <f>IF($B81="","",IF($E81&lt;&gt;"Concluído","Não iniciado",IF(COUNTIF(Lançamentos!$B$3:$B$1001,$B81)=0,"Bloqueado",IF('E2 — Triagem'!$D63="","Bloqueado",IF(COUNTIF('E2 — Triagem'!$E63:$L63,"N/A")=8,"Bloqueado",IF(COUNTIF('E2 — Triagem'!$E63:$L63,"⛔ Bloqueado")&gt;0,"Bloqueado",IF(COUNTIF('E2 — Triagem'!$E63:$L63,"✔ Concluído")+COUNTIF('E2 — Triagem'!$E63:$L63,"N/A")=8,"Concluído",IF(COUNTIF('E2 — Triagem'!$E63:$L63,"✔ Concluído")+COUNTIF('E2 — Triagem'!$E63:$L63,"🔄 Em andamento")&gt;0,"Em andamento","Não iniciado"))))))))</f>
        <v/>
      </c>
      <c r="G81" s="234" t="str">
        <f>IF($B81="","",IF($F81&lt;&gt;"Concluído","Não iniciado",IF(COUNTIF(Lançamentos!$B$3:$B$1001,$B81)=0,"Bloqueado",IF('E3 — Levantamento'!$D63="","Bloqueado",IF(COUNTIF('E3 — Levantamento'!$E63:$I63,"⛔ Bloqueado")&gt;0,"Bloqueado",IF('E3 — Levantamento'!$I63="N/A","Bloqueado",IF(COUNTIF('E3 — Levantamento'!$E63:$I63,"✔ Concluído")=5,"Concluído",IF(COUNTIF('E3 — Levantamento'!$E63:$I63,"✔ Concluído")+COUNTIF('E3 — Levantamento'!$E63:$I63,"🔄 Em andamento")&gt;0,"Em andamento","Não iniciado"))))))))</f>
        <v/>
      </c>
      <c r="H81" s="234" t="str">
        <f>IF($B81="","",IF($G81&lt;&gt;"Concluído","Não iniciado",IF(COUNTIF(Lançamentos!$B$3:$B$1001,$B81)=0,"Bloqueado",IF('E4 — Execução'!$D63="","Bloqueado",IF(COUNTIF('E4 — Execução'!$E63:$K63,"⛔ Bloqueado")&gt;0,"Bloqueado",IF(COUNTIF('E4 — Execução'!$E63:$K63,"✔ Concluído")=7,"Concluído",IF(COUNTIF('E4 — Execução'!$E63:$K63,"✔ Concluído")+COUNTIF('E4 — Execução'!$E63:$K63,"🔄 Em andamento")&gt;0,"Em andamento","Não iniciado")))))))</f>
        <v/>
      </c>
      <c r="I81" s="234" t="str">
        <f>IF($B81="","",IF($H81&lt;&gt;"Concluído","Não iniciado",IF(COUNTIF(Lançamentos!$B$3:$B$1001,$B81)=0,"Bloqueado",IF('E5 — Validação'!$D63="","Bloqueado",IF(COUNTIF('E5 — Validação'!$E63:$I63,"⛔ Bloqueado")&gt;0,"Bloqueado",IF('E5 — Validação'!$I63="N/A","Bloqueado",IF(AND('E5 — Validação'!$E63="✔ Concluído",'E5 — Validação'!$F63="✔ Concluído",OR('E5 — Validação'!$G63="✔ Concluído",'E5 — Validação'!$G63="N/A"),'E5 — Validação'!$H63="✔ Concluído",'E5 — Validação'!$I63="✔ Concluído"),"Concluído",IF(COUNTIF('E5 — Validação'!$E63:$I63,"✔ Concluído")+COUNTIF('E5 — Validação'!$E63:$I63,"🔄 Em andamento")&gt;0,"Em andamento","Não iniciado"))))))))</f>
        <v/>
      </c>
      <c r="J81" s="234" t="str">
        <f>IF($B81="","",IF($I81&lt;&gt;"Concluído","Não iniciado",IF('E6 — Ajustes'!$N63="Não","N/A",IF(COUNTIF(Lançamentos!$B$3:$B$1001,$B81)=0,"Bloqueado",IF('E6 — Ajustes'!$D63="","Bloqueado",IF(COUNTIF('E6 — Ajustes'!$E63:$J63,"⛔ Bloqueado")&gt;0,"Bloqueado",IF(AND('E6 — Ajustes'!$E63="✔ Concluído",'E6 — Ajustes'!$F63="✔ Concluído",'E6 — Ajustes'!$G63="✔ Concluído",'E6 — Ajustes'!$H63="✔ Concluído",OR('E6 — Ajustes'!$I63="✔ Concluído",'E6 — Ajustes'!$I63="N/A"),'E6 — Ajustes'!$J63="✔ Concluído"),"Concluído",IF(COUNTIF('E6 — Ajustes'!$E63:$J63,"✔ Concluído")+COUNTIF('E6 — Ajustes'!$E63:$J63,"🔄 Em andamento")&gt;0,"Em andamento","Não iniciado"))))))))</f>
        <v/>
      </c>
      <c r="K81" s="234" t="str">
        <f>IF($B81="","",IF($I81&lt;&gt;"Concluído","Não iniciado",IF(AND($J81&lt;&gt;"Concluído",$J81&lt;&gt;"N/A"),"Não iniciado",IF(COUNTIF(Lançamentos!$B$3:$B$1001,$B81)=0,"Bloqueado",IF('E7 — Entrega'!$D63="","Bloqueado",IF(COUNTIF('E7 — Entrega'!$E63:$H63,"⛔ Bloqueado")&gt;0,"Bloqueado",IF(COUNTIF('E7 — Entrega'!$E63:$H63,"✔ Concluído")=4,"Concluído",IF(COUNTIF('E7 — Entrega'!$E63:$H63,"✔ Concluído")+COUNTIF('E7 — Entrega'!$E63:$H63,"🔄 Em andamento")&gt;0,"Em andamento","Não iniciado"))))))))</f>
        <v/>
      </c>
      <c r="L81" s="234" t="str">
        <f>IF($B81="","",IF($K81&lt;&gt;"Concluído","Não iniciado",IF(OR(COUNTIF('E08 — Estabilização Hypercare'!$E63:$J63,"⛔ Bloqueado")&gt;0,'E08 — Estabilização Hypercare'!$N63="⛔ Incidente Crítico — Encerramento Bloqueado",AND('E08 — Estabilização Hypercare'!$N63="🆕 Evolução Identificada — Nova Demanda Aberta",'E08 — Estabilização Hypercare'!$U63="")),"Bloqueado",IF(AND('E08 — Estabilização Hypercare'!$E63="✔ Concluído",'E08 — Estabilização Hypercare'!$F63="✔ Concluído",'E08 — Estabilização Hypercare'!$G63="✔ Concluído",OR('E08 — Estabilização Hypercare'!$H63="✔ Concluído",'E08 — Estabilização Hypercare'!$H63="N/A"),'E08 — Estabilização Hypercare'!$I63="✔ Concluído",'E08 — Estabilização Hypercare'!$J63="✔ Concluído",OR('E08 — Estabilização Hypercare'!$N63="✅ Estável — Demanda Encerrada",AND('E08 — Estabilização Hypercare'!$N63="🆕 Evolução Identificada — Nova Demanda Aberta",'E08 — Estabilização Hypercare'!$U63&lt;&gt;""))),"Concluído",IF(OR(COUNTIF('E08 — Estabilização Hypercare'!$E63:$J63,"✔ Concluído")&gt;0,COUNTIF('E08 — Estabilização Hypercare'!$E63:$J63,"🔄 Em andamento")&gt;0,'E08 — Estabilização Hypercare'!$N63&lt;&gt;""),"Em andamento","Não iniciado")))))</f>
        <v/>
      </c>
      <c r="M81" s="236" t="str" cm="1">
        <f t="array" ref="M81">IF(B81="","",_xlfn.IFS(E81&lt;&gt;"Concluído","E1 — Solicitação",F81&lt;&gt;"Concluído","E2 — Triagem",G81&lt;&gt;"Concluído","E3 — Levantamento ⚠",H81&lt;&gt;"Concluído","E4 — Execução",I81&lt;&gt;"Concluído","E5 — Validação ⚠",AND(J81&lt;&gt;"Concluído",J81&lt;&gt;"N/A"),"E6 — Ajustes",K81&lt;&gt;"Concluído","E7 — Entrega",L81&lt;&gt;"Concluído","E08 — Estabilização / Hypercare",TRUE,"✔ Fluxo concluído"))</f>
        <v/>
      </c>
      <c r="N81" s="237" t="str">
        <f t="shared" si="0"/>
        <v/>
      </c>
      <c r="O81" s="238"/>
    </row>
    <row r="82" spans="2:15" ht="15" customHeight="1" x14ac:dyDescent="0.35">
      <c r="B82" s="234" t="str">
        <f>IF(Lançamentos!$B59="","",Lançamentos!$B59)</f>
        <v/>
      </c>
      <c r="C82" s="235" t="str">
        <f>IF($B82="","",Lançamentos!$J59)</f>
        <v/>
      </c>
      <c r="D82" s="235" t="str">
        <f>IF($B82="","",Lançamentos!$H59)</f>
        <v/>
      </c>
      <c r="E82" s="234" t="str">
        <f>IF($B82="","",IF(COUNTIF(Lançamentos!$B$3:$B$1001,$B82)=0,"Bloqueado",IF(COUNTIF('E1 — Solicitação'!$E64:$L64,"⛔ Bloqueado")&gt;0,"Bloqueado",IF(COUNTIF('E1 — Solicitação'!$E64:$L64,"N/A")=8,"Bloqueado",IF(COUNTIF('E1 — Solicitação'!$E64:$L64,"✔ Concluído")+COUNTIF('E1 — Solicitação'!$E64:$L64,"N/A")=8,"Concluído",IF(COUNTIF('E1 — Solicitação'!$E64:$L64,"✔ Concluído")+COUNTIF('E1 — Solicitação'!$E64:$L64,"🔄 Em andamento")&gt;0,"Em andamento","Não iniciado"))))))</f>
        <v/>
      </c>
      <c r="F82" s="234" t="str">
        <f>IF($B82="","",IF($E82&lt;&gt;"Concluído","Não iniciado",IF(COUNTIF(Lançamentos!$B$3:$B$1001,$B82)=0,"Bloqueado",IF('E2 — Triagem'!$D64="","Bloqueado",IF(COUNTIF('E2 — Triagem'!$E64:$L64,"N/A")=8,"Bloqueado",IF(COUNTIF('E2 — Triagem'!$E64:$L64,"⛔ Bloqueado")&gt;0,"Bloqueado",IF(COUNTIF('E2 — Triagem'!$E64:$L64,"✔ Concluído")+COUNTIF('E2 — Triagem'!$E64:$L64,"N/A")=8,"Concluído",IF(COUNTIF('E2 — Triagem'!$E64:$L64,"✔ Concluído")+COUNTIF('E2 — Triagem'!$E64:$L64,"🔄 Em andamento")&gt;0,"Em andamento","Não iniciado"))))))))</f>
        <v/>
      </c>
      <c r="G82" s="234" t="str">
        <f>IF($B82="","",IF($F82&lt;&gt;"Concluído","Não iniciado",IF(COUNTIF(Lançamentos!$B$3:$B$1001,$B82)=0,"Bloqueado",IF('E3 — Levantamento'!$D64="","Bloqueado",IF(COUNTIF('E3 — Levantamento'!$E64:$I64,"⛔ Bloqueado")&gt;0,"Bloqueado",IF('E3 — Levantamento'!$I64="N/A","Bloqueado",IF(COUNTIF('E3 — Levantamento'!$E64:$I64,"✔ Concluído")=5,"Concluído",IF(COUNTIF('E3 — Levantamento'!$E64:$I64,"✔ Concluído")+COUNTIF('E3 — Levantamento'!$E64:$I64,"🔄 Em andamento")&gt;0,"Em andamento","Não iniciado"))))))))</f>
        <v/>
      </c>
      <c r="H82" s="234" t="str">
        <f>IF($B82="","",IF($G82&lt;&gt;"Concluído","Não iniciado",IF(COUNTIF(Lançamentos!$B$3:$B$1001,$B82)=0,"Bloqueado",IF('E4 — Execução'!$D64="","Bloqueado",IF(COUNTIF('E4 — Execução'!$E64:$K64,"⛔ Bloqueado")&gt;0,"Bloqueado",IF(COUNTIF('E4 — Execução'!$E64:$K64,"✔ Concluído")=7,"Concluído",IF(COUNTIF('E4 — Execução'!$E64:$K64,"✔ Concluído")+COUNTIF('E4 — Execução'!$E64:$K64,"🔄 Em andamento")&gt;0,"Em andamento","Não iniciado")))))))</f>
        <v/>
      </c>
      <c r="I82" s="234" t="str">
        <f>IF($B82="","",IF($H82&lt;&gt;"Concluído","Não iniciado",IF(COUNTIF(Lançamentos!$B$3:$B$1001,$B82)=0,"Bloqueado",IF('E5 — Validação'!$D64="","Bloqueado",IF(COUNTIF('E5 — Validação'!$E64:$I64,"⛔ Bloqueado")&gt;0,"Bloqueado",IF('E5 — Validação'!$I64="N/A","Bloqueado",IF(AND('E5 — Validação'!$E64="✔ Concluído",'E5 — Validação'!$F64="✔ Concluído",OR('E5 — Validação'!$G64="✔ Concluído",'E5 — Validação'!$G64="N/A"),'E5 — Validação'!$H64="✔ Concluído",'E5 — Validação'!$I64="✔ Concluído"),"Concluído",IF(COUNTIF('E5 — Validação'!$E64:$I64,"✔ Concluído")+COUNTIF('E5 — Validação'!$E64:$I64,"🔄 Em andamento")&gt;0,"Em andamento","Não iniciado"))))))))</f>
        <v/>
      </c>
      <c r="J82" s="234" t="str">
        <f>IF($B82="","",IF($I82&lt;&gt;"Concluído","Não iniciado",IF('E6 — Ajustes'!$N64="Não","N/A",IF(COUNTIF(Lançamentos!$B$3:$B$1001,$B82)=0,"Bloqueado",IF('E6 — Ajustes'!$D64="","Bloqueado",IF(COUNTIF('E6 — Ajustes'!$E64:$J64,"⛔ Bloqueado")&gt;0,"Bloqueado",IF(AND('E6 — Ajustes'!$E64="✔ Concluído",'E6 — Ajustes'!$F64="✔ Concluído",'E6 — Ajustes'!$G64="✔ Concluído",'E6 — Ajustes'!$H64="✔ Concluído",OR('E6 — Ajustes'!$I64="✔ Concluído",'E6 — Ajustes'!$I64="N/A"),'E6 — Ajustes'!$J64="✔ Concluído"),"Concluído",IF(COUNTIF('E6 — Ajustes'!$E64:$J64,"✔ Concluído")+COUNTIF('E6 — Ajustes'!$E64:$J64,"🔄 Em andamento")&gt;0,"Em andamento","Não iniciado"))))))))</f>
        <v/>
      </c>
      <c r="K82" s="234" t="str">
        <f>IF($B82="","",IF($I82&lt;&gt;"Concluído","Não iniciado",IF(AND($J82&lt;&gt;"Concluído",$J82&lt;&gt;"N/A"),"Não iniciado",IF(COUNTIF(Lançamentos!$B$3:$B$1001,$B82)=0,"Bloqueado",IF('E7 — Entrega'!$D64="","Bloqueado",IF(COUNTIF('E7 — Entrega'!$E64:$H64,"⛔ Bloqueado")&gt;0,"Bloqueado",IF(COUNTIF('E7 — Entrega'!$E64:$H64,"✔ Concluído")=4,"Concluído",IF(COUNTIF('E7 — Entrega'!$E64:$H64,"✔ Concluído")+COUNTIF('E7 — Entrega'!$E64:$H64,"🔄 Em andamento")&gt;0,"Em andamento","Não iniciado"))))))))</f>
        <v/>
      </c>
      <c r="L82" s="234" t="str">
        <f>IF($B82="","",IF($K82&lt;&gt;"Concluído","Não iniciado",IF(OR(COUNTIF('E08 — Estabilização Hypercare'!$E64:$J64,"⛔ Bloqueado")&gt;0,'E08 — Estabilização Hypercare'!$N64="⛔ Incidente Crítico — Encerramento Bloqueado",AND('E08 — Estabilização Hypercare'!$N64="🆕 Evolução Identificada — Nova Demanda Aberta",'E08 — Estabilização Hypercare'!$U64="")),"Bloqueado",IF(AND('E08 — Estabilização Hypercare'!$E64="✔ Concluído",'E08 — Estabilização Hypercare'!$F64="✔ Concluído",'E08 — Estabilização Hypercare'!$G64="✔ Concluído",OR('E08 — Estabilização Hypercare'!$H64="✔ Concluído",'E08 — Estabilização Hypercare'!$H64="N/A"),'E08 — Estabilização Hypercare'!$I64="✔ Concluído",'E08 — Estabilização Hypercare'!$J64="✔ Concluído",OR('E08 — Estabilização Hypercare'!$N64="✅ Estável — Demanda Encerrada",AND('E08 — Estabilização Hypercare'!$N64="🆕 Evolução Identificada — Nova Demanda Aberta",'E08 — Estabilização Hypercare'!$U64&lt;&gt;""))),"Concluído",IF(OR(COUNTIF('E08 — Estabilização Hypercare'!$E64:$J64,"✔ Concluído")&gt;0,COUNTIF('E08 — Estabilização Hypercare'!$E64:$J64,"🔄 Em andamento")&gt;0,'E08 — Estabilização Hypercare'!$N64&lt;&gt;""),"Em andamento","Não iniciado")))))</f>
        <v/>
      </c>
      <c r="M82" s="236" t="str" cm="1">
        <f t="array" ref="M82">IF(B82="","",_xlfn.IFS(E82&lt;&gt;"Concluído","E1 — Solicitação",F82&lt;&gt;"Concluído","E2 — Triagem",G82&lt;&gt;"Concluído","E3 — Levantamento ⚠",H82&lt;&gt;"Concluído","E4 — Execução",I82&lt;&gt;"Concluído","E5 — Validação ⚠",AND(J82&lt;&gt;"Concluído",J82&lt;&gt;"N/A"),"E6 — Ajustes",K82&lt;&gt;"Concluído","E7 — Entrega",L82&lt;&gt;"Concluído","E08 — Estabilização / Hypercare",TRUE,"✔ Fluxo concluído"))</f>
        <v/>
      </c>
      <c r="N82" s="237" t="str">
        <f t="shared" si="0"/>
        <v/>
      </c>
      <c r="O82" s="238"/>
    </row>
    <row r="83" spans="2:15" ht="15" customHeight="1" x14ac:dyDescent="0.35">
      <c r="B83" s="234" t="str">
        <f>IF(Lançamentos!$B60="","",Lançamentos!$B60)</f>
        <v/>
      </c>
      <c r="C83" s="235" t="str">
        <f>IF($B83="","",Lançamentos!$J60)</f>
        <v/>
      </c>
      <c r="D83" s="235" t="str">
        <f>IF($B83="","",Lançamentos!$H60)</f>
        <v/>
      </c>
      <c r="E83" s="234" t="str">
        <f>IF($B83="","",IF(COUNTIF(Lançamentos!$B$3:$B$1001,$B83)=0,"Bloqueado",IF(COUNTIF('E1 — Solicitação'!$E65:$L65,"⛔ Bloqueado")&gt;0,"Bloqueado",IF(COUNTIF('E1 — Solicitação'!$E65:$L65,"N/A")=8,"Bloqueado",IF(COUNTIF('E1 — Solicitação'!$E65:$L65,"✔ Concluído")+COUNTIF('E1 — Solicitação'!$E65:$L65,"N/A")=8,"Concluído",IF(COUNTIF('E1 — Solicitação'!$E65:$L65,"✔ Concluído")+COUNTIF('E1 — Solicitação'!$E65:$L65,"🔄 Em andamento")&gt;0,"Em andamento","Não iniciado"))))))</f>
        <v/>
      </c>
      <c r="F83" s="234" t="str">
        <f>IF($B83="","",IF($E83&lt;&gt;"Concluído","Não iniciado",IF(COUNTIF(Lançamentos!$B$3:$B$1001,$B83)=0,"Bloqueado",IF('E2 — Triagem'!$D65="","Bloqueado",IF(COUNTIF('E2 — Triagem'!$E65:$L65,"N/A")=8,"Bloqueado",IF(COUNTIF('E2 — Triagem'!$E65:$L65,"⛔ Bloqueado")&gt;0,"Bloqueado",IF(COUNTIF('E2 — Triagem'!$E65:$L65,"✔ Concluído")+COUNTIF('E2 — Triagem'!$E65:$L65,"N/A")=8,"Concluído",IF(COUNTIF('E2 — Triagem'!$E65:$L65,"✔ Concluído")+COUNTIF('E2 — Triagem'!$E65:$L65,"🔄 Em andamento")&gt;0,"Em andamento","Não iniciado"))))))))</f>
        <v/>
      </c>
      <c r="G83" s="234" t="str">
        <f>IF($B83="","",IF($F83&lt;&gt;"Concluído","Não iniciado",IF(COUNTIF(Lançamentos!$B$3:$B$1001,$B83)=0,"Bloqueado",IF('E3 — Levantamento'!$D65="","Bloqueado",IF(COUNTIF('E3 — Levantamento'!$E65:$I65,"⛔ Bloqueado")&gt;0,"Bloqueado",IF('E3 — Levantamento'!$I65="N/A","Bloqueado",IF(COUNTIF('E3 — Levantamento'!$E65:$I65,"✔ Concluído")=5,"Concluído",IF(COUNTIF('E3 — Levantamento'!$E65:$I65,"✔ Concluído")+COUNTIF('E3 — Levantamento'!$E65:$I65,"🔄 Em andamento")&gt;0,"Em andamento","Não iniciado"))))))))</f>
        <v/>
      </c>
      <c r="H83" s="234" t="str">
        <f>IF($B83="","",IF($G83&lt;&gt;"Concluído","Não iniciado",IF(COUNTIF(Lançamentos!$B$3:$B$1001,$B83)=0,"Bloqueado",IF('E4 — Execução'!$D65="","Bloqueado",IF(COUNTIF('E4 — Execução'!$E65:$K65,"⛔ Bloqueado")&gt;0,"Bloqueado",IF(COUNTIF('E4 — Execução'!$E65:$K65,"✔ Concluído")=7,"Concluído",IF(COUNTIF('E4 — Execução'!$E65:$K65,"✔ Concluído")+COUNTIF('E4 — Execução'!$E65:$K65,"🔄 Em andamento")&gt;0,"Em andamento","Não iniciado")))))))</f>
        <v/>
      </c>
      <c r="I83" s="234" t="str">
        <f>IF($B83="","",IF($H83&lt;&gt;"Concluído","Não iniciado",IF(COUNTIF(Lançamentos!$B$3:$B$1001,$B83)=0,"Bloqueado",IF('E5 — Validação'!$D65="","Bloqueado",IF(COUNTIF('E5 — Validação'!$E65:$I65,"⛔ Bloqueado")&gt;0,"Bloqueado",IF('E5 — Validação'!$I65="N/A","Bloqueado",IF(AND('E5 — Validação'!$E65="✔ Concluído",'E5 — Validação'!$F65="✔ Concluído",OR('E5 — Validação'!$G65="✔ Concluído",'E5 — Validação'!$G65="N/A"),'E5 — Validação'!$H65="✔ Concluído",'E5 — Validação'!$I65="✔ Concluído"),"Concluído",IF(COUNTIF('E5 — Validação'!$E65:$I65,"✔ Concluído")+COUNTIF('E5 — Validação'!$E65:$I65,"🔄 Em andamento")&gt;0,"Em andamento","Não iniciado"))))))))</f>
        <v/>
      </c>
      <c r="J83" s="234" t="str">
        <f>IF($B83="","",IF($I83&lt;&gt;"Concluído","Não iniciado",IF('E6 — Ajustes'!$N65="Não","N/A",IF(COUNTIF(Lançamentos!$B$3:$B$1001,$B83)=0,"Bloqueado",IF('E6 — Ajustes'!$D65="","Bloqueado",IF(COUNTIF('E6 — Ajustes'!$E65:$J65,"⛔ Bloqueado")&gt;0,"Bloqueado",IF(AND('E6 — Ajustes'!$E65="✔ Concluído",'E6 — Ajustes'!$F65="✔ Concluído",'E6 — Ajustes'!$G65="✔ Concluído",'E6 — Ajustes'!$H65="✔ Concluído",OR('E6 — Ajustes'!$I65="✔ Concluído",'E6 — Ajustes'!$I65="N/A"),'E6 — Ajustes'!$J65="✔ Concluído"),"Concluído",IF(COUNTIF('E6 — Ajustes'!$E65:$J65,"✔ Concluído")+COUNTIF('E6 — Ajustes'!$E65:$J65,"🔄 Em andamento")&gt;0,"Em andamento","Não iniciado"))))))))</f>
        <v/>
      </c>
      <c r="K83" s="234" t="str">
        <f>IF($B83="","",IF($I83&lt;&gt;"Concluído","Não iniciado",IF(AND($J83&lt;&gt;"Concluído",$J83&lt;&gt;"N/A"),"Não iniciado",IF(COUNTIF(Lançamentos!$B$3:$B$1001,$B83)=0,"Bloqueado",IF('E7 — Entrega'!$D65="","Bloqueado",IF(COUNTIF('E7 — Entrega'!$E65:$H65,"⛔ Bloqueado")&gt;0,"Bloqueado",IF(COUNTIF('E7 — Entrega'!$E65:$H65,"✔ Concluído")=4,"Concluído",IF(COUNTIF('E7 — Entrega'!$E65:$H65,"✔ Concluído")+COUNTIF('E7 — Entrega'!$E65:$H65,"🔄 Em andamento")&gt;0,"Em andamento","Não iniciado"))))))))</f>
        <v/>
      </c>
      <c r="L83" s="234" t="str">
        <f>IF($B83="","",IF($K83&lt;&gt;"Concluído","Não iniciado",IF(OR(COUNTIF('E08 — Estabilização Hypercare'!$E65:$J65,"⛔ Bloqueado")&gt;0,'E08 — Estabilização Hypercare'!$N65="⛔ Incidente Crítico — Encerramento Bloqueado",AND('E08 — Estabilização Hypercare'!$N65="🆕 Evolução Identificada — Nova Demanda Aberta",'E08 — Estabilização Hypercare'!$U65="")),"Bloqueado",IF(AND('E08 — Estabilização Hypercare'!$E65="✔ Concluído",'E08 — Estabilização Hypercare'!$F65="✔ Concluído",'E08 — Estabilização Hypercare'!$G65="✔ Concluído",OR('E08 — Estabilização Hypercare'!$H65="✔ Concluído",'E08 — Estabilização Hypercare'!$H65="N/A"),'E08 — Estabilização Hypercare'!$I65="✔ Concluído",'E08 — Estabilização Hypercare'!$J65="✔ Concluído",OR('E08 — Estabilização Hypercare'!$N65="✅ Estável — Demanda Encerrada",AND('E08 — Estabilização Hypercare'!$N65="🆕 Evolução Identificada — Nova Demanda Aberta",'E08 — Estabilização Hypercare'!$U65&lt;&gt;""))),"Concluído",IF(OR(COUNTIF('E08 — Estabilização Hypercare'!$E65:$J65,"✔ Concluído")&gt;0,COUNTIF('E08 — Estabilização Hypercare'!$E65:$J65,"🔄 Em andamento")&gt;0,'E08 — Estabilização Hypercare'!$N65&lt;&gt;""),"Em andamento","Não iniciado")))))</f>
        <v/>
      </c>
      <c r="M83" s="236" t="str" cm="1">
        <f t="array" ref="M83">IF(B83="","",_xlfn.IFS(E83&lt;&gt;"Concluído","E1 — Solicitação",F83&lt;&gt;"Concluído","E2 — Triagem",G83&lt;&gt;"Concluído","E3 — Levantamento ⚠",H83&lt;&gt;"Concluído","E4 — Execução",I83&lt;&gt;"Concluído","E5 — Validação ⚠",AND(J83&lt;&gt;"Concluído",J83&lt;&gt;"N/A"),"E6 — Ajustes",K83&lt;&gt;"Concluído","E7 — Entrega",L83&lt;&gt;"Concluído","E08 — Estabilização / Hypercare",TRUE,"✔ Fluxo concluído"))</f>
        <v/>
      </c>
      <c r="N83" s="237" t="str">
        <f t="shared" si="0"/>
        <v/>
      </c>
      <c r="O83" s="238"/>
    </row>
    <row r="84" spans="2:15" ht="15" customHeight="1" x14ac:dyDescent="0.35">
      <c r="B84" s="234" t="str">
        <f>IF(Lançamentos!$B61="","",Lançamentos!$B61)</f>
        <v/>
      </c>
      <c r="C84" s="235" t="str">
        <f>IF($B84="","",Lançamentos!$J61)</f>
        <v/>
      </c>
      <c r="D84" s="235" t="str">
        <f>IF($B84="","",Lançamentos!$H61)</f>
        <v/>
      </c>
      <c r="E84" s="234" t="str">
        <f>IF($B84="","",IF(COUNTIF(Lançamentos!$B$3:$B$1001,$B84)=0,"Bloqueado",IF(COUNTIF('E1 — Solicitação'!$E66:$L66,"⛔ Bloqueado")&gt;0,"Bloqueado",IF(COUNTIF('E1 — Solicitação'!$E66:$L66,"N/A")=8,"Bloqueado",IF(COUNTIF('E1 — Solicitação'!$E66:$L66,"✔ Concluído")+COUNTIF('E1 — Solicitação'!$E66:$L66,"N/A")=8,"Concluído",IF(COUNTIF('E1 — Solicitação'!$E66:$L66,"✔ Concluído")+COUNTIF('E1 — Solicitação'!$E66:$L66,"🔄 Em andamento")&gt;0,"Em andamento","Não iniciado"))))))</f>
        <v/>
      </c>
      <c r="F84" s="234" t="str">
        <f>IF($B84="","",IF($E84&lt;&gt;"Concluído","Não iniciado",IF(COUNTIF(Lançamentos!$B$3:$B$1001,$B84)=0,"Bloqueado",IF('E2 — Triagem'!$D66="","Bloqueado",IF(COUNTIF('E2 — Triagem'!$E66:$L66,"N/A")=8,"Bloqueado",IF(COUNTIF('E2 — Triagem'!$E66:$L66,"⛔ Bloqueado")&gt;0,"Bloqueado",IF(COUNTIF('E2 — Triagem'!$E66:$L66,"✔ Concluído")+COUNTIF('E2 — Triagem'!$E66:$L66,"N/A")=8,"Concluído",IF(COUNTIF('E2 — Triagem'!$E66:$L66,"✔ Concluído")+COUNTIF('E2 — Triagem'!$E66:$L66,"🔄 Em andamento")&gt;0,"Em andamento","Não iniciado"))))))))</f>
        <v/>
      </c>
      <c r="G84" s="234" t="str">
        <f>IF($B84="","",IF($F84&lt;&gt;"Concluído","Não iniciado",IF(COUNTIF(Lançamentos!$B$3:$B$1001,$B84)=0,"Bloqueado",IF('E3 — Levantamento'!$D66="","Bloqueado",IF(COUNTIF('E3 — Levantamento'!$E66:$I66,"⛔ Bloqueado")&gt;0,"Bloqueado",IF('E3 — Levantamento'!$I66="N/A","Bloqueado",IF(COUNTIF('E3 — Levantamento'!$E66:$I66,"✔ Concluído")=5,"Concluído",IF(COUNTIF('E3 — Levantamento'!$E66:$I66,"✔ Concluído")+COUNTIF('E3 — Levantamento'!$E66:$I66,"🔄 Em andamento")&gt;0,"Em andamento","Não iniciado"))))))))</f>
        <v/>
      </c>
      <c r="H84" s="234" t="str">
        <f>IF($B84="","",IF($G84&lt;&gt;"Concluído","Não iniciado",IF(COUNTIF(Lançamentos!$B$3:$B$1001,$B84)=0,"Bloqueado",IF('E4 — Execução'!$D66="","Bloqueado",IF(COUNTIF('E4 — Execução'!$E66:$K66,"⛔ Bloqueado")&gt;0,"Bloqueado",IF(COUNTIF('E4 — Execução'!$E66:$K66,"✔ Concluído")=7,"Concluído",IF(COUNTIF('E4 — Execução'!$E66:$K66,"✔ Concluído")+COUNTIF('E4 — Execução'!$E66:$K66,"🔄 Em andamento")&gt;0,"Em andamento","Não iniciado")))))))</f>
        <v/>
      </c>
      <c r="I84" s="234" t="str">
        <f>IF($B84="","",IF($H84&lt;&gt;"Concluído","Não iniciado",IF(COUNTIF(Lançamentos!$B$3:$B$1001,$B84)=0,"Bloqueado",IF('E5 — Validação'!$D66="","Bloqueado",IF(COUNTIF('E5 — Validação'!$E66:$I66,"⛔ Bloqueado")&gt;0,"Bloqueado",IF('E5 — Validação'!$I66="N/A","Bloqueado",IF(AND('E5 — Validação'!$E66="✔ Concluído",'E5 — Validação'!$F66="✔ Concluído",OR('E5 — Validação'!$G66="✔ Concluído",'E5 — Validação'!$G66="N/A"),'E5 — Validação'!$H66="✔ Concluído",'E5 — Validação'!$I66="✔ Concluído"),"Concluído",IF(COUNTIF('E5 — Validação'!$E66:$I66,"✔ Concluído")+COUNTIF('E5 — Validação'!$E66:$I66,"🔄 Em andamento")&gt;0,"Em andamento","Não iniciado"))))))))</f>
        <v/>
      </c>
      <c r="J84" s="234" t="str">
        <f>IF($B84="","",IF($I84&lt;&gt;"Concluído","Não iniciado",IF('E6 — Ajustes'!$N66="Não","N/A",IF(COUNTIF(Lançamentos!$B$3:$B$1001,$B84)=0,"Bloqueado",IF('E6 — Ajustes'!$D66="","Bloqueado",IF(COUNTIF('E6 — Ajustes'!$E66:$J66,"⛔ Bloqueado")&gt;0,"Bloqueado",IF(AND('E6 — Ajustes'!$E66="✔ Concluído",'E6 — Ajustes'!$F66="✔ Concluído",'E6 — Ajustes'!$G66="✔ Concluído",'E6 — Ajustes'!$H66="✔ Concluído",OR('E6 — Ajustes'!$I66="✔ Concluído",'E6 — Ajustes'!$I66="N/A"),'E6 — Ajustes'!$J66="✔ Concluído"),"Concluído",IF(COUNTIF('E6 — Ajustes'!$E66:$J66,"✔ Concluído")+COUNTIF('E6 — Ajustes'!$E66:$J66,"🔄 Em andamento")&gt;0,"Em andamento","Não iniciado"))))))))</f>
        <v/>
      </c>
      <c r="K84" s="234" t="str">
        <f>IF($B84="","",IF($I84&lt;&gt;"Concluído","Não iniciado",IF(AND($J84&lt;&gt;"Concluído",$J84&lt;&gt;"N/A"),"Não iniciado",IF(COUNTIF(Lançamentos!$B$3:$B$1001,$B84)=0,"Bloqueado",IF('E7 — Entrega'!$D66="","Bloqueado",IF(COUNTIF('E7 — Entrega'!$E66:$H66,"⛔ Bloqueado")&gt;0,"Bloqueado",IF(COUNTIF('E7 — Entrega'!$E66:$H66,"✔ Concluído")=4,"Concluído",IF(COUNTIF('E7 — Entrega'!$E66:$H66,"✔ Concluído")+COUNTIF('E7 — Entrega'!$E66:$H66,"🔄 Em andamento")&gt;0,"Em andamento","Não iniciado"))))))))</f>
        <v/>
      </c>
      <c r="L84" s="234" t="str">
        <f>IF($B84="","",IF($K84&lt;&gt;"Concluído","Não iniciado",IF(OR(COUNTIF('E08 — Estabilização Hypercare'!$E66:$J66,"⛔ Bloqueado")&gt;0,'E08 — Estabilização Hypercare'!$N66="⛔ Incidente Crítico — Encerramento Bloqueado",AND('E08 — Estabilização Hypercare'!$N66="🆕 Evolução Identificada — Nova Demanda Aberta",'E08 — Estabilização Hypercare'!$U66="")),"Bloqueado",IF(AND('E08 — Estabilização Hypercare'!$E66="✔ Concluído",'E08 — Estabilização Hypercare'!$F66="✔ Concluído",'E08 — Estabilização Hypercare'!$G66="✔ Concluído",OR('E08 — Estabilização Hypercare'!$H66="✔ Concluído",'E08 — Estabilização Hypercare'!$H66="N/A"),'E08 — Estabilização Hypercare'!$I66="✔ Concluído",'E08 — Estabilização Hypercare'!$J66="✔ Concluído",OR('E08 — Estabilização Hypercare'!$N66="✅ Estável — Demanda Encerrada",AND('E08 — Estabilização Hypercare'!$N66="🆕 Evolução Identificada — Nova Demanda Aberta",'E08 — Estabilização Hypercare'!$U66&lt;&gt;""))),"Concluído",IF(OR(COUNTIF('E08 — Estabilização Hypercare'!$E66:$J66,"✔ Concluído")&gt;0,COUNTIF('E08 — Estabilização Hypercare'!$E66:$J66,"🔄 Em andamento")&gt;0,'E08 — Estabilização Hypercare'!$N66&lt;&gt;""),"Em andamento","Não iniciado")))))</f>
        <v/>
      </c>
      <c r="M84" s="236" t="str" cm="1">
        <f t="array" ref="M84">IF(B84="","",_xlfn.IFS(E84&lt;&gt;"Concluído","E1 — Solicitação",F84&lt;&gt;"Concluído","E2 — Triagem",G84&lt;&gt;"Concluído","E3 — Levantamento ⚠",H84&lt;&gt;"Concluído","E4 — Execução",I84&lt;&gt;"Concluído","E5 — Validação ⚠",AND(J84&lt;&gt;"Concluído",J84&lt;&gt;"N/A"),"E6 — Ajustes",K84&lt;&gt;"Concluído","E7 — Entrega",L84&lt;&gt;"Concluído","E08 — Estabilização / Hypercare",TRUE,"✔ Fluxo concluído"))</f>
        <v/>
      </c>
      <c r="N84" s="237" t="str">
        <f t="shared" si="0"/>
        <v/>
      </c>
      <c r="O84" s="238"/>
    </row>
    <row r="85" spans="2:15" ht="15" customHeight="1" x14ac:dyDescent="0.35">
      <c r="B85" s="234" t="str">
        <f>IF(Lançamentos!$B62="","",Lançamentos!$B62)</f>
        <v/>
      </c>
      <c r="C85" s="235" t="str">
        <f>IF($B85="","",Lançamentos!$J62)</f>
        <v/>
      </c>
      <c r="D85" s="235" t="str">
        <f>IF($B85="","",Lançamentos!$H62)</f>
        <v/>
      </c>
      <c r="E85" s="234" t="str">
        <f>IF($B85="","",IF(COUNTIF(Lançamentos!$B$3:$B$1001,$B85)=0,"Bloqueado",IF(COUNTIF('E1 — Solicitação'!$E67:$L67,"⛔ Bloqueado")&gt;0,"Bloqueado",IF(COUNTIF('E1 — Solicitação'!$E67:$L67,"N/A")=8,"Bloqueado",IF(COUNTIF('E1 — Solicitação'!$E67:$L67,"✔ Concluído")+COUNTIF('E1 — Solicitação'!$E67:$L67,"N/A")=8,"Concluído",IF(COUNTIF('E1 — Solicitação'!$E67:$L67,"✔ Concluído")+COUNTIF('E1 — Solicitação'!$E67:$L67,"🔄 Em andamento")&gt;0,"Em andamento","Não iniciado"))))))</f>
        <v/>
      </c>
      <c r="F85" s="234" t="str">
        <f>IF($B85="","",IF($E85&lt;&gt;"Concluído","Não iniciado",IF(COUNTIF(Lançamentos!$B$3:$B$1001,$B85)=0,"Bloqueado",IF('E2 — Triagem'!$D67="","Bloqueado",IF(COUNTIF('E2 — Triagem'!$E67:$L67,"N/A")=8,"Bloqueado",IF(COUNTIF('E2 — Triagem'!$E67:$L67,"⛔ Bloqueado")&gt;0,"Bloqueado",IF(COUNTIF('E2 — Triagem'!$E67:$L67,"✔ Concluído")+COUNTIF('E2 — Triagem'!$E67:$L67,"N/A")=8,"Concluído",IF(COUNTIF('E2 — Triagem'!$E67:$L67,"✔ Concluído")+COUNTIF('E2 — Triagem'!$E67:$L67,"🔄 Em andamento")&gt;0,"Em andamento","Não iniciado"))))))))</f>
        <v/>
      </c>
      <c r="G85" s="234" t="str">
        <f>IF($B85="","",IF($F85&lt;&gt;"Concluído","Não iniciado",IF(COUNTIF(Lançamentos!$B$3:$B$1001,$B85)=0,"Bloqueado",IF('E3 — Levantamento'!$D67="","Bloqueado",IF(COUNTIF('E3 — Levantamento'!$E67:$I67,"⛔ Bloqueado")&gt;0,"Bloqueado",IF('E3 — Levantamento'!$I67="N/A","Bloqueado",IF(COUNTIF('E3 — Levantamento'!$E67:$I67,"✔ Concluído")=5,"Concluído",IF(COUNTIF('E3 — Levantamento'!$E67:$I67,"✔ Concluído")+COUNTIF('E3 — Levantamento'!$E67:$I67,"🔄 Em andamento")&gt;0,"Em andamento","Não iniciado"))))))))</f>
        <v/>
      </c>
      <c r="H85" s="234" t="str">
        <f>IF($B85="","",IF($G85&lt;&gt;"Concluído","Não iniciado",IF(COUNTIF(Lançamentos!$B$3:$B$1001,$B85)=0,"Bloqueado",IF('E4 — Execução'!$D67="","Bloqueado",IF(COUNTIF('E4 — Execução'!$E67:$K67,"⛔ Bloqueado")&gt;0,"Bloqueado",IF(COUNTIF('E4 — Execução'!$E67:$K67,"✔ Concluído")=7,"Concluído",IF(COUNTIF('E4 — Execução'!$E67:$K67,"✔ Concluído")+COUNTIF('E4 — Execução'!$E67:$K67,"🔄 Em andamento")&gt;0,"Em andamento","Não iniciado")))))))</f>
        <v/>
      </c>
      <c r="I85" s="234" t="str">
        <f>IF($B85="","",IF($H85&lt;&gt;"Concluído","Não iniciado",IF(COUNTIF(Lançamentos!$B$3:$B$1001,$B85)=0,"Bloqueado",IF('E5 — Validação'!$D67="","Bloqueado",IF(COUNTIF('E5 — Validação'!$E67:$I67,"⛔ Bloqueado")&gt;0,"Bloqueado",IF('E5 — Validação'!$I67="N/A","Bloqueado",IF(AND('E5 — Validação'!$E67="✔ Concluído",'E5 — Validação'!$F67="✔ Concluído",OR('E5 — Validação'!$G67="✔ Concluído",'E5 — Validação'!$G67="N/A"),'E5 — Validação'!$H67="✔ Concluído",'E5 — Validação'!$I67="✔ Concluído"),"Concluído",IF(COUNTIF('E5 — Validação'!$E67:$I67,"✔ Concluído")+COUNTIF('E5 — Validação'!$E67:$I67,"🔄 Em andamento")&gt;0,"Em andamento","Não iniciado"))))))))</f>
        <v/>
      </c>
      <c r="J85" s="234" t="str">
        <f>IF($B85="","",IF($I85&lt;&gt;"Concluído","Não iniciado",IF('E6 — Ajustes'!$N67="Não","N/A",IF(COUNTIF(Lançamentos!$B$3:$B$1001,$B85)=0,"Bloqueado",IF('E6 — Ajustes'!$D67="","Bloqueado",IF(COUNTIF('E6 — Ajustes'!$E67:$J67,"⛔ Bloqueado")&gt;0,"Bloqueado",IF(AND('E6 — Ajustes'!$E67="✔ Concluído",'E6 — Ajustes'!$F67="✔ Concluído",'E6 — Ajustes'!$G67="✔ Concluído",'E6 — Ajustes'!$H67="✔ Concluído",OR('E6 — Ajustes'!$I67="✔ Concluído",'E6 — Ajustes'!$I67="N/A"),'E6 — Ajustes'!$J67="✔ Concluído"),"Concluído",IF(COUNTIF('E6 — Ajustes'!$E67:$J67,"✔ Concluído")+COUNTIF('E6 — Ajustes'!$E67:$J67,"🔄 Em andamento")&gt;0,"Em andamento","Não iniciado"))))))))</f>
        <v/>
      </c>
      <c r="K85" s="234" t="str">
        <f>IF($B85="","",IF($I85&lt;&gt;"Concluído","Não iniciado",IF(AND($J85&lt;&gt;"Concluído",$J85&lt;&gt;"N/A"),"Não iniciado",IF(COUNTIF(Lançamentos!$B$3:$B$1001,$B85)=0,"Bloqueado",IF('E7 — Entrega'!$D67="","Bloqueado",IF(COUNTIF('E7 — Entrega'!$E67:$H67,"⛔ Bloqueado")&gt;0,"Bloqueado",IF(COUNTIF('E7 — Entrega'!$E67:$H67,"✔ Concluído")=4,"Concluído",IF(COUNTIF('E7 — Entrega'!$E67:$H67,"✔ Concluído")+COUNTIF('E7 — Entrega'!$E67:$H67,"🔄 Em andamento")&gt;0,"Em andamento","Não iniciado"))))))))</f>
        <v/>
      </c>
      <c r="L85" s="234" t="str">
        <f>IF($B85="","",IF($K85&lt;&gt;"Concluído","Não iniciado",IF(OR(COUNTIF('E08 — Estabilização Hypercare'!$E67:$J67,"⛔ Bloqueado")&gt;0,'E08 — Estabilização Hypercare'!$N67="⛔ Incidente Crítico — Encerramento Bloqueado",AND('E08 — Estabilização Hypercare'!$N67="🆕 Evolução Identificada — Nova Demanda Aberta",'E08 — Estabilização Hypercare'!$U67="")),"Bloqueado",IF(AND('E08 — Estabilização Hypercare'!$E67="✔ Concluído",'E08 — Estabilização Hypercare'!$F67="✔ Concluído",'E08 — Estabilização Hypercare'!$G67="✔ Concluído",OR('E08 — Estabilização Hypercare'!$H67="✔ Concluído",'E08 — Estabilização Hypercare'!$H67="N/A"),'E08 — Estabilização Hypercare'!$I67="✔ Concluído",'E08 — Estabilização Hypercare'!$J67="✔ Concluído",OR('E08 — Estabilização Hypercare'!$N67="✅ Estável — Demanda Encerrada",AND('E08 — Estabilização Hypercare'!$N67="🆕 Evolução Identificada — Nova Demanda Aberta",'E08 — Estabilização Hypercare'!$U67&lt;&gt;""))),"Concluído",IF(OR(COUNTIF('E08 — Estabilização Hypercare'!$E67:$J67,"✔ Concluído")&gt;0,COUNTIF('E08 — Estabilização Hypercare'!$E67:$J67,"🔄 Em andamento")&gt;0,'E08 — Estabilização Hypercare'!$N67&lt;&gt;""),"Em andamento","Não iniciado")))))</f>
        <v/>
      </c>
      <c r="M85" s="236" t="str" cm="1">
        <f t="array" ref="M85">IF(B85="","",_xlfn.IFS(E85&lt;&gt;"Concluído","E1 — Solicitação",F85&lt;&gt;"Concluído","E2 — Triagem",G85&lt;&gt;"Concluído","E3 — Levantamento ⚠",H85&lt;&gt;"Concluído","E4 — Execução",I85&lt;&gt;"Concluído","E5 — Validação ⚠",AND(J85&lt;&gt;"Concluído",J85&lt;&gt;"N/A"),"E6 — Ajustes",K85&lt;&gt;"Concluído","E7 — Entrega",L85&lt;&gt;"Concluído","E08 — Estabilização / Hypercare",TRUE,"✔ Fluxo concluído"))</f>
        <v/>
      </c>
      <c r="N85" s="237" t="str">
        <f t="shared" si="0"/>
        <v/>
      </c>
      <c r="O85" s="238"/>
    </row>
    <row r="86" spans="2:15" ht="15" customHeight="1" x14ac:dyDescent="0.35">
      <c r="B86" s="234" t="str">
        <f>IF(Lançamentos!$B63="","",Lançamentos!$B63)</f>
        <v/>
      </c>
      <c r="C86" s="235" t="str">
        <f>IF($B86="","",Lançamentos!$J63)</f>
        <v/>
      </c>
      <c r="D86" s="235" t="str">
        <f>IF($B86="","",Lançamentos!$H63)</f>
        <v/>
      </c>
      <c r="E86" s="234" t="str">
        <f>IF($B86="","",IF(COUNTIF(Lançamentos!$B$3:$B$1001,$B86)=0,"Bloqueado",IF(COUNTIF('E1 — Solicitação'!$E68:$L68,"⛔ Bloqueado")&gt;0,"Bloqueado",IF(COUNTIF('E1 — Solicitação'!$E68:$L68,"N/A")=8,"Bloqueado",IF(COUNTIF('E1 — Solicitação'!$E68:$L68,"✔ Concluído")+COUNTIF('E1 — Solicitação'!$E68:$L68,"N/A")=8,"Concluído",IF(COUNTIF('E1 — Solicitação'!$E68:$L68,"✔ Concluído")+COUNTIF('E1 — Solicitação'!$E68:$L68,"🔄 Em andamento")&gt;0,"Em andamento","Não iniciado"))))))</f>
        <v/>
      </c>
      <c r="F86" s="234" t="str">
        <f>IF($B86="","",IF($E86&lt;&gt;"Concluído","Não iniciado",IF(COUNTIF(Lançamentos!$B$3:$B$1001,$B86)=0,"Bloqueado",IF('E2 — Triagem'!$D68="","Bloqueado",IF(COUNTIF('E2 — Triagem'!$E68:$L68,"N/A")=8,"Bloqueado",IF(COUNTIF('E2 — Triagem'!$E68:$L68,"⛔ Bloqueado")&gt;0,"Bloqueado",IF(COUNTIF('E2 — Triagem'!$E68:$L68,"✔ Concluído")+COUNTIF('E2 — Triagem'!$E68:$L68,"N/A")=8,"Concluído",IF(COUNTIF('E2 — Triagem'!$E68:$L68,"✔ Concluído")+COUNTIF('E2 — Triagem'!$E68:$L68,"🔄 Em andamento")&gt;0,"Em andamento","Não iniciado"))))))))</f>
        <v/>
      </c>
      <c r="G86" s="234" t="str">
        <f>IF($B86="","",IF($F86&lt;&gt;"Concluído","Não iniciado",IF(COUNTIF(Lançamentos!$B$3:$B$1001,$B86)=0,"Bloqueado",IF('E3 — Levantamento'!$D68="","Bloqueado",IF(COUNTIF('E3 — Levantamento'!$E68:$I68,"⛔ Bloqueado")&gt;0,"Bloqueado",IF('E3 — Levantamento'!$I68="N/A","Bloqueado",IF(COUNTIF('E3 — Levantamento'!$E68:$I68,"✔ Concluído")=5,"Concluído",IF(COUNTIF('E3 — Levantamento'!$E68:$I68,"✔ Concluído")+COUNTIF('E3 — Levantamento'!$E68:$I68,"🔄 Em andamento")&gt;0,"Em andamento","Não iniciado"))))))))</f>
        <v/>
      </c>
      <c r="H86" s="234" t="str">
        <f>IF($B86="","",IF($G86&lt;&gt;"Concluído","Não iniciado",IF(COUNTIF(Lançamentos!$B$3:$B$1001,$B86)=0,"Bloqueado",IF('E4 — Execução'!$D68="","Bloqueado",IF(COUNTIF('E4 — Execução'!$E68:$K68,"⛔ Bloqueado")&gt;0,"Bloqueado",IF(COUNTIF('E4 — Execução'!$E68:$K68,"✔ Concluído")=7,"Concluído",IF(COUNTIF('E4 — Execução'!$E68:$K68,"✔ Concluído")+COUNTIF('E4 — Execução'!$E68:$K68,"🔄 Em andamento")&gt;0,"Em andamento","Não iniciado")))))))</f>
        <v/>
      </c>
      <c r="I86" s="234" t="str">
        <f>IF($B86="","",IF($H86&lt;&gt;"Concluído","Não iniciado",IF(COUNTIF(Lançamentos!$B$3:$B$1001,$B86)=0,"Bloqueado",IF('E5 — Validação'!$D68="","Bloqueado",IF(COUNTIF('E5 — Validação'!$E68:$I68,"⛔ Bloqueado")&gt;0,"Bloqueado",IF('E5 — Validação'!$I68="N/A","Bloqueado",IF(AND('E5 — Validação'!$E68="✔ Concluído",'E5 — Validação'!$F68="✔ Concluído",OR('E5 — Validação'!$G68="✔ Concluído",'E5 — Validação'!$G68="N/A"),'E5 — Validação'!$H68="✔ Concluído",'E5 — Validação'!$I68="✔ Concluído"),"Concluído",IF(COUNTIF('E5 — Validação'!$E68:$I68,"✔ Concluído")+COUNTIF('E5 — Validação'!$E68:$I68,"🔄 Em andamento")&gt;0,"Em andamento","Não iniciado"))))))))</f>
        <v/>
      </c>
      <c r="J86" s="234" t="str">
        <f>IF($B86="","",IF($I86&lt;&gt;"Concluído","Não iniciado",IF('E6 — Ajustes'!$N68="Não","N/A",IF(COUNTIF(Lançamentos!$B$3:$B$1001,$B86)=0,"Bloqueado",IF('E6 — Ajustes'!$D68="","Bloqueado",IF(COUNTIF('E6 — Ajustes'!$E68:$J68,"⛔ Bloqueado")&gt;0,"Bloqueado",IF(AND('E6 — Ajustes'!$E68="✔ Concluído",'E6 — Ajustes'!$F68="✔ Concluído",'E6 — Ajustes'!$G68="✔ Concluído",'E6 — Ajustes'!$H68="✔ Concluído",OR('E6 — Ajustes'!$I68="✔ Concluído",'E6 — Ajustes'!$I68="N/A"),'E6 — Ajustes'!$J68="✔ Concluído"),"Concluído",IF(COUNTIF('E6 — Ajustes'!$E68:$J68,"✔ Concluído")+COUNTIF('E6 — Ajustes'!$E68:$J68,"🔄 Em andamento")&gt;0,"Em andamento","Não iniciado"))))))))</f>
        <v/>
      </c>
      <c r="K86" s="234" t="str">
        <f>IF($B86="","",IF($I86&lt;&gt;"Concluído","Não iniciado",IF(AND($J86&lt;&gt;"Concluído",$J86&lt;&gt;"N/A"),"Não iniciado",IF(COUNTIF(Lançamentos!$B$3:$B$1001,$B86)=0,"Bloqueado",IF('E7 — Entrega'!$D68="","Bloqueado",IF(COUNTIF('E7 — Entrega'!$E68:$H68,"⛔ Bloqueado")&gt;0,"Bloqueado",IF(COUNTIF('E7 — Entrega'!$E68:$H68,"✔ Concluído")=4,"Concluído",IF(COUNTIF('E7 — Entrega'!$E68:$H68,"✔ Concluído")+COUNTIF('E7 — Entrega'!$E68:$H68,"🔄 Em andamento")&gt;0,"Em andamento","Não iniciado"))))))))</f>
        <v/>
      </c>
      <c r="L86" s="234" t="str">
        <f>IF($B86="","",IF($K86&lt;&gt;"Concluído","Não iniciado",IF(OR(COUNTIF('E08 — Estabilização Hypercare'!$E68:$J68,"⛔ Bloqueado")&gt;0,'E08 — Estabilização Hypercare'!$N68="⛔ Incidente Crítico — Encerramento Bloqueado",AND('E08 — Estabilização Hypercare'!$N68="🆕 Evolução Identificada — Nova Demanda Aberta",'E08 — Estabilização Hypercare'!$U68="")),"Bloqueado",IF(AND('E08 — Estabilização Hypercare'!$E68="✔ Concluído",'E08 — Estabilização Hypercare'!$F68="✔ Concluído",'E08 — Estabilização Hypercare'!$G68="✔ Concluído",OR('E08 — Estabilização Hypercare'!$H68="✔ Concluído",'E08 — Estabilização Hypercare'!$H68="N/A"),'E08 — Estabilização Hypercare'!$I68="✔ Concluído",'E08 — Estabilização Hypercare'!$J68="✔ Concluído",OR('E08 — Estabilização Hypercare'!$N68="✅ Estável — Demanda Encerrada",AND('E08 — Estabilização Hypercare'!$N68="🆕 Evolução Identificada — Nova Demanda Aberta",'E08 — Estabilização Hypercare'!$U68&lt;&gt;""))),"Concluído",IF(OR(COUNTIF('E08 — Estabilização Hypercare'!$E68:$J68,"✔ Concluído")&gt;0,COUNTIF('E08 — Estabilização Hypercare'!$E68:$J68,"🔄 Em andamento")&gt;0,'E08 — Estabilização Hypercare'!$N68&lt;&gt;""),"Em andamento","Não iniciado")))))</f>
        <v/>
      </c>
      <c r="M86" s="236" t="str" cm="1">
        <f t="array" ref="M86">IF(B86="","",_xlfn.IFS(E86&lt;&gt;"Concluído","E1 — Solicitação",F86&lt;&gt;"Concluído","E2 — Triagem",G86&lt;&gt;"Concluído","E3 — Levantamento ⚠",H86&lt;&gt;"Concluído","E4 — Execução",I86&lt;&gt;"Concluído","E5 — Validação ⚠",AND(J86&lt;&gt;"Concluído",J86&lt;&gt;"N/A"),"E6 — Ajustes",K86&lt;&gt;"Concluído","E7 — Entrega",L86&lt;&gt;"Concluído","E08 — Estabilização / Hypercare",TRUE,"✔ Fluxo concluído"))</f>
        <v/>
      </c>
      <c r="N86" s="237" t="str">
        <f t="shared" si="0"/>
        <v/>
      </c>
      <c r="O86" s="238"/>
    </row>
    <row r="87" spans="2:15" ht="15" customHeight="1" x14ac:dyDescent="0.35">
      <c r="B87" s="234" t="str">
        <f>IF(Lançamentos!$B64="","",Lançamentos!$B64)</f>
        <v/>
      </c>
      <c r="C87" s="235" t="str">
        <f>IF($B87="","",Lançamentos!$J64)</f>
        <v/>
      </c>
      <c r="D87" s="235" t="str">
        <f>IF($B87="","",Lançamentos!$H64)</f>
        <v/>
      </c>
      <c r="E87" s="234" t="str">
        <f>IF($B87="","",IF(COUNTIF(Lançamentos!$B$3:$B$1001,$B87)=0,"Bloqueado",IF(COUNTIF('E1 — Solicitação'!$E69:$L69,"⛔ Bloqueado")&gt;0,"Bloqueado",IF(COUNTIF('E1 — Solicitação'!$E69:$L69,"N/A")=8,"Bloqueado",IF(COUNTIF('E1 — Solicitação'!$E69:$L69,"✔ Concluído")+COUNTIF('E1 — Solicitação'!$E69:$L69,"N/A")=8,"Concluído",IF(COUNTIF('E1 — Solicitação'!$E69:$L69,"✔ Concluído")+COUNTIF('E1 — Solicitação'!$E69:$L69,"🔄 Em andamento")&gt;0,"Em andamento","Não iniciado"))))))</f>
        <v/>
      </c>
      <c r="F87" s="234" t="str">
        <f>IF($B87="","",IF($E87&lt;&gt;"Concluído","Não iniciado",IF(COUNTIF(Lançamentos!$B$3:$B$1001,$B87)=0,"Bloqueado",IF('E2 — Triagem'!$D69="","Bloqueado",IF(COUNTIF('E2 — Triagem'!$E69:$L69,"N/A")=8,"Bloqueado",IF(COUNTIF('E2 — Triagem'!$E69:$L69,"⛔ Bloqueado")&gt;0,"Bloqueado",IF(COUNTIF('E2 — Triagem'!$E69:$L69,"✔ Concluído")+COUNTIF('E2 — Triagem'!$E69:$L69,"N/A")=8,"Concluído",IF(COUNTIF('E2 — Triagem'!$E69:$L69,"✔ Concluído")+COUNTIF('E2 — Triagem'!$E69:$L69,"🔄 Em andamento")&gt;0,"Em andamento","Não iniciado"))))))))</f>
        <v/>
      </c>
      <c r="G87" s="234" t="str">
        <f>IF($B87="","",IF($F87&lt;&gt;"Concluído","Não iniciado",IF(COUNTIF(Lançamentos!$B$3:$B$1001,$B87)=0,"Bloqueado",IF('E3 — Levantamento'!$D69="","Bloqueado",IF(COUNTIF('E3 — Levantamento'!$E69:$I69,"⛔ Bloqueado")&gt;0,"Bloqueado",IF('E3 — Levantamento'!$I69="N/A","Bloqueado",IF(COUNTIF('E3 — Levantamento'!$E69:$I69,"✔ Concluído")=5,"Concluído",IF(COUNTIF('E3 — Levantamento'!$E69:$I69,"✔ Concluído")+COUNTIF('E3 — Levantamento'!$E69:$I69,"🔄 Em andamento")&gt;0,"Em andamento","Não iniciado"))))))))</f>
        <v/>
      </c>
      <c r="H87" s="234" t="str">
        <f>IF($B87="","",IF($G87&lt;&gt;"Concluído","Não iniciado",IF(COUNTIF(Lançamentos!$B$3:$B$1001,$B87)=0,"Bloqueado",IF('E4 — Execução'!$D69="","Bloqueado",IF(COUNTIF('E4 — Execução'!$E69:$K69,"⛔ Bloqueado")&gt;0,"Bloqueado",IF(COUNTIF('E4 — Execução'!$E69:$K69,"✔ Concluído")=7,"Concluído",IF(COUNTIF('E4 — Execução'!$E69:$K69,"✔ Concluído")+COUNTIF('E4 — Execução'!$E69:$K69,"🔄 Em andamento")&gt;0,"Em andamento","Não iniciado")))))))</f>
        <v/>
      </c>
      <c r="I87" s="234" t="str">
        <f>IF($B87="","",IF($H87&lt;&gt;"Concluído","Não iniciado",IF(COUNTIF(Lançamentos!$B$3:$B$1001,$B87)=0,"Bloqueado",IF('E5 — Validação'!$D69="","Bloqueado",IF(COUNTIF('E5 — Validação'!$E69:$I69,"⛔ Bloqueado")&gt;0,"Bloqueado",IF('E5 — Validação'!$I69="N/A","Bloqueado",IF(AND('E5 — Validação'!$E69="✔ Concluído",'E5 — Validação'!$F69="✔ Concluído",OR('E5 — Validação'!$G69="✔ Concluído",'E5 — Validação'!$G69="N/A"),'E5 — Validação'!$H69="✔ Concluído",'E5 — Validação'!$I69="✔ Concluído"),"Concluído",IF(COUNTIF('E5 — Validação'!$E69:$I69,"✔ Concluído")+COUNTIF('E5 — Validação'!$E69:$I69,"🔄 Em andamento")&gt;0,"Em andamento","Não iniciado"))))))))</f>
        <v/>
      </c>
      <c r="J87" s="234" t="str">
        <f>IF($B87="","",IF($I87&lt;&gt;"Concluído","Não iniciado",IF('E6 — Ajustes'!$N69="Não","N/A",IF(COUNTIF(Lançamentos!$B$3:$B$1001,$B87)=0,"Bloqueado",IF('E6 — Ajustes'!$D69="","Bloqueado",IF(COUNTIF('E6 — Ajustes'!$E69:$J69,"⛔ Bloqueado")&gt;0,"Bloqueado",IF(AND('E6 — Ajustes'!$E69="✔ Concluído",'E6 — Ajustes'!$F69="✔ Concluído",'E6 — Ajustes'!$G69="✔ Concluído",'E6 — Ajustes'!$H69="✔ Concluído",OR('E6 — Ajustes'!$I69="✔ Concluído",'E6 — Ajustes'!$I69="N/A"),'E6 — Ajustes'!$J69="✔ Concluído"),"Concluído",IF(COUNTIF('E6 — Ajustes'!$E69:$J69,"✔ Concluído")+COUNTIF('E6 — Ajustes'!$E69:$J69,"🔄 Em andamento")&gt;0,"Em andamento","Não iniciado"))))))))</f>
        <v/>
      </c>
      <c r="K87" s="234" t="str">
        <f>IF($B87="","",IF($I87&lt;&gt;"Concluído","Não iniciado",IF(AND($J87&lt;&gt;"Concluído",$J87&lt;&gt;"N/A"),"Não iniciado",IF(COUNTIF(Lançamentos!$B$3:$B$1001,$B87)=0,"Bloqueado",IF('E7 — Entrega'!$D69="","Bloqueado",IF(COUNTIF('E7 — Entrega'!$E69:$H69,"⛔ Bloqueado")&gt;0,"Bloqueado",IF(COUNTIF('E7 — Entrega'!$E69:$H69,"✔ Concluído")=4,"Concluído",IF(COUNTIF('E7 — Entrega'!$E69:$H69,"✔ Concluído")+COUNTIF('E7 — Entrega'!$E69:$H69,"🔄 Em andamento")&gt;0,"Em andamento","Não iniciado"))))))))</f>
        <v/>
      </c>
      <c r="L87" s="234" t="str">
        <f>IF($B87="","",IF($K87&lt;&gt;"Concluído","Não iniciado",IF(OR(COUNTIF('E08 — Estabilização Hypercare'!$E69:$J69,"⛔ Bloqueado")&gt;0,'E08 — Estabilização Hypercare'!$N69="⛔ Incidente Crítico — Encerramento Bloqueado",AND('E08 — Estabilização Hypercare'!$N69="🆕 Evolução Identificada — Nova Demanda Aberta",'E08 — Estabilização Hypercare'!$U69="")),"Bloqueado",IF(AND('E08 — Estabilização Hypercare'!$E69="✔ Concluído",'E08 — Estabilização Hypercare'!$F69="✔ Concluído",'E08 — Estabilização Hypercare'!$G69="✔ Concluído",OR('E08 — Estabilização Hypercare'!$H69="✔ Concluído",'E08 — Estabilização Hypercare'!$H69="N/A"),'E08 — Estabilização Hypercare'!$I69="✔ Concluído",'E08 — Estabilização Hypercare'!$J69="✔ Concluído",OR('E08 — Estabilização Hypercare'!$N69="✅ Estável — Demanda Encerrada",AND('E08 — Estabilização Hypercare'!$N69="🆕 Evolução Identificada — Nova Demanda Aberta",'E08 — Estabilização Hypercare'!$U69&lt;&gt;""))),"Concluído",IF(OR(COUNTIF('E08 — Estabilização Hypercare'!$E69:$J69,"✔ Concluído")&gt;0,COUNTIF('E08 — Estabilização Hypercare'!$E69:$J69,"🔄 Em andamento")&gt;0,'E08 — Estabilização Hypercare'!$N69&lt;&gt;""),"Em andamento","Não iniciado")))))</f>
        <v/>
      </c>
      <c r="M87" s="236" t="str" cm="1">
        <f t="array" ref="M87">IF(B87="","",_xlfn.IFS(E87&lt;&gt;"Concluído","E1 — Solicitação",F87&lt;&gt;"Concluído","E2 — Triagem",G87&lt;&gt;"Concluído","E3 — Levantamento ⚠",H87&lt;&gt;"Concluído","E4 — Execução",I87&lt;&gt;"Concluído","E5 — Validação ⚠",AND(J87&lt;&gt;"Concluído",J87&lt;&gt;"N/A"),"E6 — Ajustes",K87&lt;&gt;"Concluído","E7 — Entrega",L87&lt;&gt;"Concluído","E08 — Estabilização / Hypercare",TRUE,"✔ Fluxo concluído"))</f>
        <v/>
      </c>
      <c r="N87" s="237" t="str">
        <f t="shared" si="0"/>
        <v/>
      </c>
      <c r="O87" s="238"/>
    </row>
    <row r="88" spans="2:15" ht="15" customHeight="1" x14ac:dyDescent="0.35">
      <c r="B88" s="234" t="str">
        <f>IF(Lançamentos!$B65="","",Lançamentos!$B65)</f>
        <v/>
      </c>
      <c r="C88" s="235" t="str">
        <f>IF($B88="","",Lançamentos!$J65)</f>
        <v/>
      </c>
      <c r="D88" s="235" t="str">
        <f>IF($B88="","",Lançamentos!$H65)</f>
        <v/>
      </c>
      <c r="E88" s="234" t="str">
        <f>IF($B88="","",IF(COUNTIF(Lançamentos!$B$3:$B$1001,$B88)=0,"Bloqueado",IF(COUNTIF('E1 — Solicitação'!$E70:$L70,"⛔ Bloqueado")&gt;0,"Bloqueado",IF(COUNTIF('E1 — Solicitação'!$E70:$L70,"N/A")=8,"Bloqueado",IF(COUNTIF('E1 — Solicitação'!$E70:$L70,"✔ Concluído")+COUNTIF('E1 — Solicitação'!$E70:$L70,"N/A")=8,"Concluído",IF(COUNTIF('E1 — Solicitação'!$E70:$L70,"✔ Concluído")+COUNTIF('E1 — Solicitação'!$E70:$L70,"🔄 Em andamento")&gt;0,"Em andamento","Não iniciado"))))))</f>
        <v/>
      </c>
      <c r="F88" s="234" t="str">
        <f>IF($B88="","",IF($E88&lt;&gt;"Concluído","Não iniciado",IF(COUNTIF(Lançamentos!$B$3:$B$1001,$B88)=0,"Bloqueado",IF('E2 — Triagem'!$D70="","Bloqueado",IF(COUNTIF('E2 — Triagem'!$E70:$L70,"N/A")=8,"Bloqueado",IF(COUNTIF('E2 — Triagem'!$E70:$L70,"⛔ Bloqueado")&gt;0,"Bloqueado",IF(COUNTIF('E2 — Triagem'!$E70:$L70,"✔ Concluído")+COUNTIF('E2 — Triagem'!$E70:$L70,"N/A")=8,"Concluído",IF(COUNTIF('E2 — Triagem'!$E70:$L70,"✔ Concluído")+COUNTIF('E2 — Triagem'!$E70:$L70,"🔄 Em andamento")&gt;0,"Em andamento","Não iniciado"))))))))</f>
        <v/>
      </c>
      <c r="G88" s="234" t="str">
        <f>IF($B88="","",IF($F88&lt;&gt;"Concluído","Não iniciado",IF(COUNTIF(Lançamentos!$B$3:$B$1001,$B88)=0,"Bloqueado",IF('E3 — Levantamento'!$D70="","Bloqueado",IF(COUNTIF('E3 — Levantamento'!$E70:$I70,"⛔ Bloqueado")&gt;0,"Bloqueado",IF('E3 — Levantamento'!$I70="N/A","Bloqueado",IF(COUNTIF('E3 — Levantamento'!$E70:$I70,"✔ Concluído")=5,"Concluído",IF(COUNTIF('E3 — Levantamento'!$E70:$I70,"✔ Concluído")+COUNTIF('E3 — Levantamento'!$E70:$I70,"🔄 Em andamento")&gt;0,"Em andamento","Não iniciado"))))))))</f>
        <v/>
      </c>
      <c r="H88" s="234" t="str">
        <f>IF($B88="","",IF($G88&lt;&gt;"Concluído","Não iniciado",IF(COUNTIF(Lançamentos!$B$3:$B$1001,$B88)=0,"Bloqueado",IF('E4 — Execução'!$D70="","Bloqueado",IF(COUNTIF('E4 — Execução'!$E70:$K70,"⛔ Bloqueado")&gt;0,"Bloqueado",IF(COUNTIF('E4 — Execução'!$E70:$K70,"✔ Concluído")=7,"Concluído",IF(COUNTIF('E4 — Execução'!$E70:$K70,"✔ Concluído")+COUNTIF('E4 — Execução'!$E70:$K70,"🔄 Em andamento")&gt;0,"Em andamento","Não iniciado")))))))</f>
        <v/>
      </c>
      <c r="I88" s="234" t="str">
        <f>IF($B88="","",IF($H88&lt;&gt;"Concluído","Não iniciado",IF(COUNTIF(Lançamentos!$B$3:$B$1001,$B88)=0,"Bloqueado",IF('E5 — Validação'!$D70="","Bloqueado",IF(COUNTIF('E5 — Validação'!$E70:$I70,"⛔ Bloqueado")&gt;0,"Bloqueado",IF('E5 — Validação'!$I70="N/A","Bloqueado",IF(AND('E5 — Validação'!$E70="✔ Concluído",'E5 — Validação'!$F70="✔ Concluído",OR('E5 — Validação'!$G70="✔ Concluído",'E5 — Validação'!$G70="N/A"),'E5 — Validação'!$H70="✔ Concluído",'E5 — Validação'!$I70="✔ Concluído"),"Concluído",IF(COUNTIF('E5 — Validação'!$E70:$I70,"✔ Concluído")+COUNTIF('E5 — Validação'!$E70:$I70,"🔄 Em andamento")&gt;0,"Em andamento","Não iniciado"))))))))</f>
        <v/>
      </c>
      <c r="J88" s="234" t="str">
        <f>IF($B88="","",IF($I88&lt;&gt;"Concluído","Não iniciado",IF('E6 — Ajustes'!$N70="Não","N/A",IF(COUNTIF(Lançamentos!$B$3:$B$1001,$B88)=0,"Bloqueado",IF('E6 — Ajustes'!$D70="","Bloqueado",IF(COUNTIF('E6 — Ajustes'!$E70:$J70,"⛔ Bloqueado")&gt;0,"Bloqueado",IF(AND('E6 — Ajustes'!$E70="✔ Concluído",'E6 — Ajustes'!$F70="✔ Concluído",'E6 — Ajustes'!$G70="✔ Concluído",'E6 — Ajustes'!$H70="✔ Concluído",OR('E6 — Ajustes'!$I70="✔ Concluído",'E6 — Ajustes'!$I70="N/A"),'E6 — Ajustes'!$J70="✔ Concluído"),"Concluído",IF(COUNTIF('E6 — Ajustes'!$E70:$J70,"✔ Concluído")+COUNTIF('E6 — Ajustes'!$E70:$J70,"🔄 Em andamento")&gt;0,"Em andamento","Não iniciado"))))))))</f>
        <v/>
      </c>
      <c r="K88" s="234" t="str">
        <f>IF($B88="","",IF($I88&lt;&gt;"Concluído","Não iniciado",IF(AND($J88&lt;&gt;"Concluído",$J88&lt;&gt;"N/A"),"Não iniciado",IF(COUNTIF(Lançamentos!$B$3:$B$1001,$B88)=0,"Bloqueado",IF('E7 — Entrega'!$D70="","Bloqueado",IF(COUNTIF('E7 — Entrega'!$E70:$H70,"⛔ Bloqueado")&gt;0,"Bloqueado",IF(COUNTIF('E7 — Entrega'!$E70:$H70,"✔ Concluído")=4,"Concluído",IF(COUNTIF('E7 — Entrega'!$E70:$H70,"✔ Concluído")+COUNTIF('E7 — Entrega'!$E70:$H70,"🔄 Em andamento")&gt;0,"Em andamento","Não iniciado"))))))))</f>
        <v/>
      </c>
      <c r="L88" s="234" t="str">
        <f>IF($B88="","",IF($K88&lt;&gt;"Concluído","Não iniciado",IF(OR(COUNTIF('E08 — Estabilização Hypercare'!$E70:$J70,"⛔ Bloqueado")&gt;0,'E08 — Estabilização Hypercare'!$N70="⛔ Incidente Crítico — Encerramento Bloqueado",AND('E08 — Estabilização Hypercare'!$N70="🆕 Evolução Identificada — Nova Demanda Aberta",'E08 — Estabilização Hypercare'!$U70="")),"Bloqueado",IF(AND('E08 — Estabilização Hypercare'!$E70="✔ Concluído",'E08 — Estabilização Hypercare'!$F70="✔ Concluído",'E08 — Estabilização Hypercare'!$G70="✔ Concluído",OR('E08 — Estabilização Hypercare'!$H70="✔ Concluído",'E08 — Estabilização Hypercare'!$H70="N/A"),'E08 — Estabilização Hypercare'!$I70="✔ Concluído",'E08 — Estabilização Hypercare'!$J70="✔ Concluído",OR('E08 — Estabilização Hypercare'!$N70="✅ Estável — Demanda Encerrada",AND('E08 — Estabilização Hypercare'!$N70="🆕 Evolução Identificada — Nova Demanda Aberta",'E08 — Estabilização Hypercare'!$U70&lt;&gt;""))),"Concluído",IF(OR(COUNTIF('E08 — Estabilização Hypercare'!$E70:$J70,"✔ Concluído")&gt;0,COUNTIF('E08 — Estabilização Hypercare'!$E70:$J70,"🔄 Em andamento")&gt;0,'E08 — Estabilização Hypercare'!$N70&lt;&gt;""),"Em andamento","Não iniciado")))))</f>
        <v/>
      </c>
      <c r="M88" s="236" t="str" cm="1">
        <f t="array" ref="M88">IF(B88="","",_xlfn.IFS(E88&lt;&gt;"Concluído","E1 — Solicitação",F88&lt;&gt;"Concluído","E2 — Triagem",G88&lt;&gt;"Concluído","E3 — Levantamento ⚠",H88&lt;&gt;"Concluído","E4 — Execução",I88&lt;&gt;"Concluído","E5 — Validação ⚠",AND(J88&lt;&gt;"Concluído",J88&lt;&gt;"N/A"),"E6 — Ajustes",K88&lt;&gt;"Concluído","E7 — Entrega",L88&lt;&gt;"Concluído","E08 — Estabilização / Hypercare",TRUE,"✔ Fluxo concluído"))</f>
        <v/>
      </c>
      <c r="N88" s="237" t="str">
        <f t="shared" si="0"/>
        <v/>
      </c>
      <c r="O88" s="238"/>
    </row>
    <row r="89" spans="2:15" ht="15" customHeight="1" x14ac:dyDescent="0.35">
      <c r="B89" s="234" t="str">
        <f>IF(Lançamentos!$B66="","",Lançamentos!$B66)</f>
        <v/>
      </c>
      <c r="C89" s="235" t="str">
        <f>IF($B89="","",Lançamentos!$J66)</f>
        <v/>
      </c>
      <c r="D89" s="235" t="str">
        <f>IF($B89="","",Lançamentos!$H66)</f>
        <v/>
      </c>
      <c r="E89" s="234" t="str">
        <f>IF($B89="","",IF(COUNTIF(Lançamentos!$B$3:$B$1001,$B89)=0,"Bloqueado",IF(COUNTIF('E1 — Solicitação'!$E71:$L71,"⛔ Bloqueado")&gt;0,"Bloqueado",IF(COUNTIF('E1 — Solicitação'!$E71:$L71,"N/A")=8,"Bloqueado",IF(COUNTIF('E1 — Solicitação'!$E71:$L71,"✔ Concluído")+COUNTIF('E1 — Solicitação'!$E71:$L71,"N/A")=8,"Concluído",IF(COUNTIF('E1 — Solicitação'!$E71:$L71,"✔ Concluído")+COUNTIF('E1 — Solicitação'!$E71:$L71,"🔄 Em andamento")&gt;0,"Em andamento","Não iniciado"))))))</f>
        <v/>
      </c>
      <c r="F89" s="234" t="str">
        <f>IF($B89="","",IF($E89&lt;&gt;"Concluído","Não iniciado",IF(COUNTIF(Lançamentos!$B$3:$B$1001,$B89)=0,"Bloqueado",IF('E2 — Triagem'!$D71="","Bloqueado",IF(COUNTIF('E2 — Triagem'!$E71:$L71,"N/A")=8,"Bloqueado",IF(COUNTIF('E2 — Triagem'!$E71:$L71,"⛔ Bloqueado")&gt;0,"Bloqueado",IF(COUNTIF('E2 — Triagem'!$E71:$L71,"✔ Concluído")+COUNTIF('E2 — Triagem'!$E71:$L71,"N/A")=8,"Concluído",IF(COUNTIF('E2 — Triagem'!$E71:$L71,"✔ Concluído")+COUNTIF('E2 — Triagem'!$E71:$L71,"🔄 Em andamento")&gt;0,"Em andamento","Não iniciado"))))))))</f>
        <v/>
      </c>
      <c r="G89" s="234" t="str">
        <f>IF($B89="","",IF($F89&lt;&gt;"Concluído","Não iniciado",IF(COUNTIF(Lançamentos!$B$3:$B$1001,$B89)=0,"Bloqueado",IF('E3 — Levantamento'!$D71="","Bloqueado",IF(COUNTIF('E3 — Levantamento'!$E71:$I71,"⛔ Bloqueado")&gt;0,"Bloqueado",IF('E3 — Levantamento'!$I71="N/A","Bloqueado",IF(COUNTIF('E3 — Levantamento'!$E71:$I71,"✔ Concluído")=5,"Concluído",IF(COUNTIF('E3 — Levantamento'!$E71:$I71,"✔ Concluído")+COUNTIF('E3 — Levantamento'!$E71:$I71,"🔄 Em andamento")&gt;0,"Em andamento","Não iniciado"))))))))</f>
        <v/>
      </c>
      <c r="H89" s="234" t="str">
        <f>IF($B89="","",IF($G89&lt;&gt;"Concluído","Não iniciado",IF(COUNTIF(Lançamentos!$B$3:$B$1001,$B89)=0,"Bloqueado",IF('E4 — Execução'!$D71="","Bloqueado",IF(COUNTIF('E4 — Execução'!$E71:$K71,"⛔ Bloqueado")&gt;0,"Bloqueado",IF(COUNTIF('E4 — Execução'!$E71:$K71,"✔ Concluído")=7,"Concluído",IF(COUNTIF('E4 — Execução'!$E71:$K71,"✔ Concluído")+COUNTIF('E4 — Execução'!$E71:$K71,"🔄 Em andamento")&gt;0,"Em andamento","Não iniciado")))))))</f>
        <v/>
      </c>
      <c r="I89" s="234" t="str">
        <f>IF($B89="","",IF($H89&lt;&gt;"Concluído","Não iniciado",IF(COUNTIF(Lançamentos!$B$3:$B$1001,$B89)=0,"Bloqueado",IF('E5 — Validação'!$D71="","Bloqueado",IF(COUNTIF('E5 — Validação'!$E71:$I71,"⛔ Bloqueado")&gt;0,"Bloqueado",IF('E5 — Validação'!$I71="N/A","Bloqueado",IF(AND('E5 — Validação'!$E71="✔ Concluído",'E5 — Validação'!$F71="✔ Concluído",OR('E5 — Validação'!$G71="✔ Concluído",'E5 — Validação'!$G71="N/A"),'E5 — Validação'!$H71="✔ Concluído",'E5 — Validação'!$I71="✔ Concluído"),"Concluído",IF(COUNTIF('E5 — Validação'!$E71:$I71,"✔ Concluído")+COUNTIF('E5 — Validação'!$E71:$I71,"🔄 Em andamento")&gt;0,"Em andamento","Não iniciado"))))))))</f>
        <v/>
      </c>
      <c r="J89" s="234" t="str">
        <f>IF($B89="","",IF($I89&lt;&gt;"Concluído","Não iniciado",IF('E6 — Ajustes'!$N71="Não","N/A",IF(COUNTIF(Lançamentos!$B$3:$B$1001,$B89)=0,"Bloqueado",IF('E6 — Ajustes'!$D71="","Bloqueado",IF(COUNTIF('E6 — Ajustes'!$E71:$J71,"⛔ Bloqueado")&gt;0,"Bloqueado",IF(AND('E6 — Ajustes'!$E71="✔ Concluído",'E6 — Ajustes'!$F71="✔ Concluído",'E6 — Ajustes'!$G71="✔ Concluído",'E6 — Ajustes'!$H71="✔ Concluído",OR('E6 — Ajustes'!$I71="✔ Concluído",'E6 — Ajustes'!$I71="N/A"),'E6 — Ajustes'!$J71="✔ Concluído"),"Concluído",IF(COUNTIF('E6 — Ajustes'!$E71:$J71,"✔ Concluído")+COUNTIF('E6 — Ajustes'!$E71:$J71,"🔄 Em andamento")&gt;0,"Em andamento","Não iniciado"))))))))</f>
        <v/>
      </c>
      <c r="K89" s="234" t="str">
        <f>IF($B89="","",IF($I89&lt;&gt;"Concluído","Não iniciado",IF(AND($J89&lt;&gt;"Concluído",$J89&lt;&gt;"N/A"),"Não iniciado",IF(COUNTIF(Lançamentos!$B$3:$B$1001,$B89)=0,"Bloqueado",IF('E7 — Entrega'!$D71="","Bloqueado",IF(COUNTIF('E7 — Entrega'!$E71:$H71,"⛔ Bloqueado")&gt;0,"Bloqueado",IF(COUNTIF('E7 — Entrega'!$E71:$H71,"✔ Concluído")=4,"Concluído",IF(COUNTIF('E7 — Entrega'!$E71:$H71,"✔ Concluído")+COUNTIF('E7 — Entrega'!$E71:$H71,"🔄 Em andamento")&gt;0,"Em andamento","Não iniciado"))))))))</f>
        <v/>
      </c>
      <c r="L89" s="234" t="str">
        <f>IF($B89="","",IF($K89&lt;&gt;"Concluído","Não iniciado",IF(OR(COUNTIF('E08 — Estabilização Hypercare'!$E71:$J71,"⛔ Bloqueado")&gt;0,'E08 — Estabilização Hypercare'!$N71="⛔ Incidente Crítico — Encerramento Bloqueado",AND('E08 — Estabilização Hypercare'!$N71="🆕 Evolução Identificada — Nova Demanda Aberta",'E08 — Estabilização Hypercare'!$U71="")),"Bloqueado",IF(AND('E08 — Estabilização Hypercare'!$E71="✔ Concluído",'E08 — Estabilização Hypercare'!$F71="✔ Concluído",'E08 — Estabilização Hypercare'!$G71="✔ Concluído",OR('E08 — Estabilização Hypercare'!$H71="✔ Concluído",'E08 — Estabilização Hypercare'!$H71="N/A"),'E08 — Estabilização Hypercare'!$I71="✔ Concluído",'E08 — Estabilização Hypercare'!$J71="✔ Concluído",OR('E08 — Estabilização Hypercare'!$N71="✅ Estável — Demanda Encerrada",AND('E08 — Estabilização Hypercare'!$N71="🆕 Evolução Identificada — Nova Demanda Aberta",'E08 — Estabilização Hypercare'!$U71&lt;&gt;""))),"Concluído",IF(OR(COUNTIF('E08 — Estabilização Hypercare'!$E71:$J71,"✔ Concluído")&gt;0,COUNTIF('E08 — Estabilização Hypercare'!$E71:$J71,"🔄 Em andamento")&gt;0,'E08 — Estabilização Hypercare'!$N71&lt;&gt;""),"Em andamento","Não iniciado")))))</f>
        <v/>
      </c>
      <c r="M89" s="236" t="str" cm="1">
        <f t="array" ref="M89">IF(B89="","",_xlfn.IFS(E89&lt;&gt;"Concluído","E1 — Solicitação",F89&lt;&gt;"Concluído","E2 — Triagem",G89&lt;&gt;"Concluído","E3 — Levantamento ⚠",H89&lt;&gt;"Concluído","E4 — Execução",I89&lt;&gt;"Concluído","E5 — Validação ⚠",AND(J89&lt;&gt;"Concluído",J89&lt;&gt;"N/A"),"E6 — Ajustes",K89&lt;&gt;"Concluído","E7 — Entrega",L89&lt;&gt;"Concluído","E08 — Estabilização / Hypercare",TRUE,"✔ Fluxo concluído"))</f>
        <v/>
      </c>
      <c r="N89" s="237" t="str">
        <f t="shared" si="0"/>
        <v/>
      </c>
      <c r="O89" s="238"/>
    </row>
    <row r="90" spans="2:15" ht="15" customHeight="1" x14ac:dyDescent="0.35">
      <c r="B90" s="234" t="str">
        <f>IF(Lançamentos!$B67="","",Lançamentos!$B67)</f>
        <v/>
      </c>
      <c r="C90" s="235" t="str">
        <f>IF($B90="","",Lançamentos!$J67)</f>
        <v/>
      </c>
      <c r="D90" s="235" t="str">
        <f>IF($B90="","",Lançamentos!$H67)</f>
        <v/>
      </c>
      <c r="E90" s="234" t="str">
        <f>IF($B90="","",IF(COUNTIF(Lançamentos!$B$3:$B$1001,$B90)=0,"Bloqueado",IF(COUNTIF('E1 — Solicitação'!$E72:$L72,"⛔ Bloqueado")&gt;0,"Bloqueado",IF(COUNTIF('E1 — Solicitação'!$E72:$L72,"N/A")=8,"Bloqueado",IF(COUNTIF('E1 — Solicitação'!$E72:$L72,"✔ Concluído")+COUNTIF('E1 — Solicitação'!$E72:$L72,"N/A")=8,"Concluído",IF(COUNTIF('E1 — Solicitação'!$E72:$L72,"✔ Concluído")+COUNTIF('E1 — Solicitação'!$E72:$L72,"🔄 Em andamento")&gt;0,"Em andamento","Não iniciado"))))))</f>
        <v/>
      </c>
      <c r="F90" s="234" t="str">
        <f>IF($B90="","",IF($E90&lt;&gt;"Concluído","Não iniciado",IF(COUNTIF(Lançamentos!$B$3:$B$1001,$B90)=0,"Bloqueado",IF('E2 — Triagem'!$D72="","Bloqueado",IF(COUNTIF('E2 — Triagem'!$E72:$L72,"N/A")=8,"Bloqueado",IF(COUNTIF('E2 — Triagem'!$E72:$L72,"⛔ Bloqueado")&gt;0,"Bloqueado",IF(COUNTIF('E2 — Triagem'!$E72:$L72,"✔ Concluído")+COUNTIF('E2 — Triagem'!$E72:$L72,"N/A")=8,"Concluído",IF(COUNTIF('E2 — Triagem'!$E72:$L72,"✔ Concluído")+COUNTIF('E2 — Triagem'!$E72:$L72,"🔄 Em andamento")&gt;0,"Em andamento","Não iniciado"))))))))</f>
        <v/>
      </c>
      <c r="G90" s="234" t="str">
        <f>IF($B90="","",IF($F90&lt;&gt;"Concluído","Não iniciado",IF(COUNTIF(Lançamentos!$B$3:$B$1001,$B90)=0,"Bloqueado",IF('E3 — Levantamento'!$D72="","Bloqueado",IF(COUNTIF('E3 — Levantamento'!$E72:$I72,"⛔ Bloqueado")&gt;0,"Bloqueado",IF('E3 — Levantamento'!$I72="N/A","Bloqueado",IF(COUNTIF('E3 — Levantamento'!$E72:$I72,"✔ Concluído")=5,"Concluído",IF(COUNTIF('E3 — Levantamento'!$E72:$I72,"✔ Concluído")+COUNTIF('E3 — Levantamento'!$E72:$I72,"🔄 Em andamento")&gt;0,"Em andamento","Não iniciado"))))))))</f>
        <v/>
      </c>
      <c r="H90" s="234" t="str">
        <f>IF($B90="","",IF($G90&lt;&gt;"Concluído","Não iniciado",IF(COUNTIF(Lançamentos!$B$3:$B$1001,$B90)=0,"Bloqueado",IF('E4 — Execução'!$D72="","Bloqueado",IF(COUNTIF('E4 — Execução'!$E72:$K72,"⛔ Bloqueado")&gt;0,"Bloqueado",IF(COUNTIF('E4 — Execução'!$E72:$K72,"✔ Concluído")=7,"Concluído",IF(COUNTIF('E4 — Execução'!$E72:$K72,"✔ Concluído")+COUNTIF('E4 — Execução'!$E72:$K72,"🔄 Em andamento")&gt;0,"Em andamento","Não iniciado")))))))</f>
        <v/>
      </c>
      <c r="I90" s="234" t="str">
        <f>IF($B90="","",IF($H90&lt;&gt;"Concluído","Não iniciado",IF(COUNTIF(Lançamentos!$B$3:$B$1001,$B90)=0,"Bloqueado",IF('E5 — Validação'!$D72="","Bloqueado",IF(COUNTIF('E5 — Validação'!$E72:$I72,"⛔ Bloqueado")&gt;0,"Bloqueado",IF('E5 — Validação'!$I72="N/A","Bloqueado",IF(AND('E5 — Validação'!$E72="✔ Concluído",'E5 — Validação'!$F72="✔ Concluído",OR('E5 — Validação'!$G72="✔ Concluído",'E5 — Validação'!$G72="N/A"),'E5 — Validação'!$H72="✔ Concluído",'E5 — Validação'!$I72="✔ Concluído"),"Concluído",IF(COUNTIF('E5 — Validação'!$E72:$I72,"✔ Concluído")+COUNTIF('E5 — Validação'!$E72:$I72,"🔄 Em andamento")&gt;0,"Em andamento","Não iniciado"))))))))</f>
        <v/>
      </c>
      <c r="J90" s="234" t="str">
        <f>IF($B90="","",IF($I90&lt;&gt;"Concluído","Não iniciado",IF('E6 — Ajustes'!$N72="Não","N/A",IF(COUNTIF(Lançamentos!$B$3:$B$1001,$B90)=0,"Bloqueado",IF('E6 — Ajustes'!$D72="","Bloqueado",IF(COUNTIF('E6 — Ajustes'!$E72:$J72,"⛔ Bloqueado")&gt;0,"Bloqueado",IF(AND('E6 — Ajustes'!$E72="✔ Concluído",'E6 — Ajustes'!$F72="✔ Concluído",'E6 — Ajustes'!$G72="✔ Concluído",'E6 — Ajustes'!$H72="✔ Concluído",OR('E6 — Ajustes'!$I72="✔ Concluído",'E6 — Ajustes'!$I72="N/A"),'E6 — Ajustes'!$J72="✔ Concluído"),"Concluído",IF(COUNTIF('E6 — Ajustes'!$E72:$J72,"✔ Concluído")+COUNTIF('E6 — Ajustes'!$E72:$J72,"🔄 Em andamento")&gt;0,"Em andamento","Não iniciado"))))))))</f>
        <v/>
      </c>
      <c r="K90" s="234" t="str">
        <f>IF($B90="","",IF($I90&lt;&gt;"Concluído","Não iniciado",IF(AND($J90&lt;&gt;"Concluído",$J90&lt;&gt;"N/A"),"Não iniciado",IF(COUNTIF(Lançamentos!$B$3:$B$1001,$B90)=0,"Bloqueado",IF('E7 — Entrega'!$D72="","Bloqueado",IF(COUNTIF('E7 — Entrega'!$E72:$H72,"⛔ Bloqueado")&gt;0,"Bloqueado",IF(COUNTIF('E7 — Entrega'!$E72:$H72,"✔ Concluído")=4,"Concluído",IF(COUNTIF('E7 — Entrega'!$E72:$H72,"✔ Concluído")+COUNTIF('E7 — Entrega'!$E72:$H72,"🔄 Em andamento")&gt;0,"Em andamento","Não iniciado"))))))))</f>
        <v/>
      </c>
      <c r="L90" s="234" t="str">
        <f>IF($B90="","",IF($K90&lt;&gt;"Concluído","Não iniciado",IF(OR(COUNTIF('E08 — Estabilização Hypercare'!$E72:$J72,"⛔ Bloqueado")&gt;0,'E08 — Estabilização Hypercare'!$N72="⛔ Incidente Crítico — Encerramento Bloqueado",AND('E08 — Estabilização Hypercare'!$N72="🆕 Evolução Identificada — Nova Demanda Aberta",'E08 — Estabilização Hypercare'!$U72="")),"Bloqueado",IF(AND('E08 — Estabilização Hypercare'!$E72="✔ Concluído",'E08 — Estabilização Hypercare'!$F72="✔ Concluído",'E08 — Estabilização Hypercare'!$G72="✔ Concluído",OR('E08 — Estabilização Hypercare'!$H72="✔ Concluído",'E08 — Estabilização Hypercare'!$H72="N/A"),'E08 — Estabilização Hypercare'!$I72="✔ Concluído",'E08 — Estabilização Hypercare'!$J72="✔ Concluído",OR('E08 — Estabilização Hypercare'!$N72="✅ Estável — Demanda Encerrada",AND('E08 — Estabilização Hypercare'!$N72="🆕 Evolução Identificada — Nova Demanda Aberta",'E08 — Estabilização Hypercare'!$U72&lt;&gt;""))),"Concluído",IF(OR(COUNTIF('E08 — Estabilização Hypercare'!$E72:$J72,"✔ Concluído")&gt;0,COUNTIF('E08 — Estabilização Hypercare'!$E72:$J72,"🔄 Em andamento")&gt;0,'E08 — Estabilização Hypercare'!$N72&lt;&gt;""),"Em andamento","Não iniciado")))))</f>
        <v/>
      </c>
      <c r="M90" s="236" t="str" cm="1">
        <f t="array" ref="M90">IF(B90="","",_xlfn.IFS(E90&lt;&gt;"Concluído","E1 — Solicitação",F90&lt;&gt;"Concluído","E2 — Triagem",G90&lt;&gt;"Concluído","E3 — Levantamento ⚠",H90&lt;&gt;"Concluído","E4 — Execução",I90&lt;&gt;"Concluído","E5 — Validação ⚠",AND(J90&lt;&gt;"Concluído",J90&lt;&gt;"N/A"),"E6 — Ajustes",K90&lt;&gt;"Concluído","E7 — Entrega",L90&lt;&gt;"Concluído","E08 — Estabilização / Hypercare",TRUE,"✔ Fluxo concluído"))</f>
        <v/>
      </c>
      <c r="N90" s="237" t="str">
        <f t="shared" si="0"/>
        <v/>
      </c>
      <c r="O90" s="238"/>
    </row>
    <row r="91" spans="2:15" ht="15" customHeight="1" x14ac:dyDescent="0.35">
      <c r="B91" s="234" t="str">
        <f>IF(Lançamentos!$B68="","",Lançamentos!$B68)</f>
        <v/>
      </c>
      <c r="C91" s="235" t="str">
        <f>IF($B91="","",Lançamentos!$J68)</f>
        <v/>
      </c>
      <c r="D91" s="235" t="str">
        <f>IF($B91="","",Lançamentos!$H68)</f>
        <v/>
      </c>
      <c r="E91" s="234" t="str">
        <f>IF($B91="","",IF(COUNTIF(Lançamentos!$B$3:$B$1001,$B91)=0,"Bloqueado",IF(COUNTIF('E1 — Solicitação'!$E73:$L73,"⛔ Bloqueado")&gt;0,"Bloqueado",IF(COUNTIF('E1 — Solicitação'!$E73:$L73,"N/A")=8,"Bloqueado",IF(COUNTIF('E1 — Solicitação'!$E73:$L73,"✔ Concluído")+COUNTIF('E1 — Solicitação'!$E73:$L73,"N/A")=8,"Concluído",IF(COUNTIF('E1 — Solicitação'!$E73:$L73,"✔ Concluído")+COUNTIF('E1 — Solicitação'!$E73:$L73,"🔄 Em andamento")&gt;0,"Em andamento","Não iniciado"))))))</f>
        <v/>
      </c>
      <c r="F91" s="234" t="str">
        <f>IF($B91="","",IF($E91&lt;&gt;"Concluído","Não iniciado",IF(COUNTIF(Lançamentos!$B$3:$B$1001,$B91)=0,"Bloqueado",IF('E2 — Triagem'!$D73="","Bloqueado",IF(COUNTIF('E2 — Triagem'!$E73:$L73,"N/A")=8,"Bloqueado",IF(COUNTIF('E2 — Triagem'!$E73:$L73,"⛔ Bloqueado")&gt;0,"Bloqueado",IF(COUNTIF('E2 — Triagem'!$E73:$L73,"✔ Concluído")+COUNTIF('E2 — Triagem'!$E73:$L73,"N/A")=8,"Concluído",IF(COUNTIF('E2 — Triagem'!$E73:$L73,"✔ Concluído")+COUNTIF('E2 — Triagem'!$E73:$L73,"🔄 Em andamento")&gt;0,"Em andamento","Não iniciado"))))))))</f>
        <v/>
      </c>
      <c r="G91" s="234" t="str">
        <f>IF($B91="","",IF($F91&lt;&gt;"Concluído","Não iniciado",IF(COUNTIF(Lançamentos!$B$3:$B$1001,$B91)=0,"Bloqueado",IF('E3 — Levantamento'!$D73="","Bloqueado",IF(COUNTIF('E3 — Levantamento'!$E73:$I73,"⛔ Bloqueado")&gt;0,"Bloqueado",IF('E3 — Levantamento'!$I73="N/A","Bloqueado",IF(COUNTIF('E3 — Levantamento'!$E73:$I73,"✔ Concluído")=5,"Concluído",IF(COUNTIF('E3 — Levantamento'!$E73:$I73,"✔ Concluído")+COUNTIF('E3 — Levantamento'!$E73:$I73,"🔄 Em andamento")&gt;0,"Em andamento","Não iniciado"))))))))</f>
        <v/>
      </c>
      <c r="H91" s="234" t="str">
        <f>IF($B91="","",IF($G91&lt;&gt;"Concluído","Não iniciado",IF(COUNTIF(Lançamentos!$B$3:$B$1001,$B91)=0,"Bloqueado",IF('E4 — Execução'!$D73="","Bloqueado",IF(COUNTIF('E4 — Execução'!$E73:$K73,"⛔ Bloqueado")&gt;0,"Bloqueado",IF(COUNTIF('E4 — Execução'!$E73:$K73,"✔ Concluído")=7,"Concluído",IF(COUNTIF('E4 — Execução'!$E73:$K73,"✔ Concluído")+COUNTIF('E4 — Execução'!$E73:$K73,"🔄 Em andamento")&gt;0,"Em andamento","Não iniciado")))))))</f>
        <v/>
      </c>
      <c r="I91" s="234" t="str">
        <f>IF($B91="","",IF($H91&lt;&gt;"Concluído","Não iniciado",IF(COUNTIF(Lançamentos!$B$3:$B$1001,$B91)=0,"Bloqueado",IF('E5 — Validação'!$D73="","Bloqueado",IF(COUNTIF('E5 — Validação'!$E73:$I73,"⛔ Bloqueado")&gt;0,"Bloqueado",IF('E5 — Validação'!$I73="N/A","Bloqueado",IF(AND('E5 — Validação'!$E73="✔ Concluído",'E5 — Validação'!$F73="✔ Concluído",OR('E5 — Validação'!$G73="✔ Concluído",'E5 — Validação'!$G73="N/A"),'E5 — Validação'!$H73="✔ Concluído",'E5 — Validação'!$I73="✔ Concluído"),"Concluído",IF(COUNTIF('E5 — Validação'!$E73:$I73,"✔ Concluído")+COUNTIF('E5 — Validação'!$E73:$I73,"🔄 Em andamento")&gt;0,"Em andamento","Não iniciado"))))))))</f>
        <v/>
      </c>
      <c r="J91" s="234" t="str">
        <f>IF($B91="","",IF($I91&lt;&gt;"Concluído","Não iniciado",IF('E6 — Ajustes'!$N73="Não","N/A",IF(COUNTIF(Lançamentos!$B$3:$B$1001,$B91)=0,"Bloqueado",IF('E6 — Ajustes'!$D73="","Bloqueado",IF(COUNTIF('E6 — Ajustes'!$E73:$J73,"⛔ Bloqueado")&gt;0,"Bloqueado",IF(AND('E6 — Ajustes'!$E73="✔ Concluído",'E6 — Ajustes'!$F73="✔ Concluído",'E6 — Ajustes'!$G73="✔ Concluído",'E6 — Ajustes'!$H73="✔ Concluído",OR('E6 — Ajustes'!$I73="✔ Concluído",'E6 — Ajustes'!$I73="N/A"),'E6 — Ajustes'!$J73="✔ Concluído"),"Concluído",IF(COUNTIF('E6 — Ajustes'!$E73:$J73,"✔ Concluído")+COUNTIF('E6 — Ajustes'!$E73:$J73,"🔄 Em andamento")&gt;0,"Em andamento","Não iniciado"))))))))</f>
        <v/>
      </c>
      <c r="K91" s="234" t="str">
        <f>IF($B91="","",IF($I91&lt;&gt;"Concluído","Não iniciado",IF(AND($J91&lt;&gt;"Concluído",$J91&lt;&gt;"N/A"),"Não iniciado",IF(COUNTIF(Lançamentos!$B$3:$B$1001,$B91)=0,"Bloqueado",IF('E7 — Entrega'!$D73="","Bloqueado",IF(COUNTIF('E7 — Entrega'!$E73:$H73,"⛔ Bloqueado")&gt;0,"Bloqueado",IF(COUNTIF('E7 — Entrega'!$E73:$H73,"✔ Concluído")=4,"Concluído",IF(COUNTIF('E7 — Entrega'!$E73:$H73,"✔ Concluído")+COUNTIF('E7 — Entrega'!$E73:$H73,"🔄 Em andamento")&gt;0,"Em andamento","Não iniciado"))))))))</f>
        <v/>
      </c>
      <c r="L91" s="234" t="str">
        <f>IF($B91="","",IF($K91&lt;&gt;"Concluído","Não iniciado",IF(OR(COUNTIF('E08 — Estabilização Hypercare'!$E73:$J73,"⛔ Bloqueado")&gt;0,'E08 — Estabilização Hypercare'!$N73="⛔ Incidente Crítico — Encerramento Bloqueado",AND('E08 — Estabilização Hypercare'!$N73="🆕 Evolução Identificada — Nova Demanda Aberta",'E08 — Estabilização Hypercare'!$U73="")),"Bloqueado",IF(AND('E08 — Estabilização Hypercare'!$E73="✔ Concluído",'E08 — Estabilização Hypercare'!$F73="✔ Concluído",'E08 — Estabilização Hypercare'!$G73="✔ Concluído",OR('E08 — Estabilização Hypercare'!$H73="✔ Concluído",'E08 — Estabilização Hypercare'!$H73="N/A"),'E08 — Estabilização Hypercare'!$I73="✔ Concluído",'E08 — Estabilização Hypercare'!$J73="✔ Concluído",OR('E08 — Estabilização Hypercare'!$N73="✅ Estável — Demanda Encerrada",AND('E08 — Estabilização Hypercare'!$N73="🆕 Evolução Identificada — Nova Demanda Aberta",'E08 — Estabilização Hypercare'!$U73&lt;&gt;""))),"Concluído",IF(OR(COUNTIF('E08 — Estabilização Hypercare'!$E73:$J73,"✔ Concluído")&gt;0,COUNTIF('E08 — Estabilização Hypercare'!$E73:$J73,"🔄 Em andamento")&gt;0,'E08 — Estabilização Hypercare'!$N73&lt;&gt;""),"Em andamento","Não iniciado")))))</f>
        <v/>
      </c>
      <c r="M91" s="236" t="str" cm="1">
        <f t="array" ref="M91">IF(B91="","",_xlfn.IFS(E91&lt;&gt;"Concluído","E1 — Solicitação",F91&lt;&gt;"Concluído","E2 — Triagem",G91&lt;&gt;"Concluído","E3 — Levantamento ⚠",H91&lt;&gt;"Concluído","E4 — Execução",I91&lt;&gt;"Concluído","E5 — Validação ⚠",AND(J91&lt;&gt;"Concluído",J91&lt;&gt;"N/A"),"E6 — Ajustes",K91&lt;&gt;"Concluído","E7 — Entrega",L91&lt;&gt;"Concluído","E08 — Estabilização / Hypercare",TRUE,"✔ Fluxo concluído"))</f>
        <v/>
      </c>
      <c r="N91" s="237" t="str">
        <f t="shared" ref="N91:N154" si="1">IF(B91="","",(COUNTIF(E91:L91,"Concluído")+COUNTIF(E91:L91,"N/A"))/8)</f>
        <v/>
      </c>
      <c r="O91" s="238"/>
    </row>
    <row r="92" spans="2:15" ht="15" customHeight="1" x14ac:dyDescent="0.35">
      <c r="B92" s="234" t="str">
        <f>IF(Lançamentos!$B69="","",Lançamentos!$B69)</f>
        <v/>
      </c>
      <c r="C92" s="235" t="str">
        <f>IF($B92="","",Lançamentos!$J69)</f>
        <v/>
      </c>
      <c r="D92" s="235" t="str">
        <f>IF($B92="","",Lançamentos!$H69)</f>
        <v/>
      </c>
      <c r="E92" s="234" t="str">
        <f>IF($B92="","",IF(COUNTIF(Lançamentos!$B$3:$B$1001,$B92)=0,"Bloqueado",IF(COUNTIF('E1 — Solicitação'!$E74:$L74,"⛔ Bloqueado")&gt;0,"Bloqueado",IF(COUNTIF('E1 — Solicitação'!$E74:$L74,"N/A")=8,"Bloqueado",IF(COUNTIF('E1 — Solicitação'!$E74:$L74,"✔ Concluído")+COUNTIF('E1 — Solicitação'!$E74:$L74,"N/A")=8,"Concluído",IF(COUNTIF('E1 — Solicitação'!$E74:$L74,"✔ Concluído")+COUNTIF('E1 — Solicitação'!$E74:$L74,"🔄 Em andamento")&gt;0,"Em andamento","Não iniciado"))))))</f>
        <v/>
      </c>
      <c r="F92" s="234" t="str">
        <f>IF($B92="","",IF($E92&lt;&gt;"Concluído","Não iniciado",IF(COUNTIF(Lançamentos!$B$3:$B$1001,$B92)=0,"Bloqueado",IF('E2 — Triagem'!$D74="","Bloqueado",IF(COUNTIF('E2 — Triagem'!$E74:$L74,"N/A")=8,"Bloqueado",IF(COUNTIF('E2 — Triagem'!$E74:$L74,"⛔ Bloqueado")&gt;0,"Bloqueado",IF(COUNTIF('E2 — Triagem'!$E74:$L74,"✔ Concluído")+COUNTIF('E2 — Triagem'!$E74:$L74,"N/A")=8,"Concluído",IF(COUNTIF('E2 — Triagem'!$E74:$L74,"✔ Concluído")+COUNTIF('E2 — Triagem'!$E74:$L74,"🔄 Em andamento")&gt;0,"Em andamento","Não iniciado"))))))))</f>
        <v/>
      </c>
      <c r="G92" s="234" t="str">
        <f>IF($B92="","",IF($F92&lt;&gt;"Concluído","Não iniciado",IF(COUNTIF(Lançamentos!$B$3:$B$1001,$B92)=0,"Bloqueado",IF('E3 — Levantamento'!$D74="","Bloqueado",IF(COUNTIF('E3 — Levantamento'!$E74:$I74,"⛔ Bloqueado")&gt;0,"Bloqueado",IF('E3 — Levantamento'!$I74="N/A","Bloqueado",IF(COUNTIF('E3 — Levantamento'!$E74:$I74,"✔ Concluído")=5,"Concluído",IF(COUNTIF('E3 — Levantamento'!$E74:$I74,"✔ Concluído")+COUNTIF('E3 — Levantamento'!$E74:$I74,"🔄 Em andamento")&gt;0,"Em andamento","Não iniciado"))))))))</f>
        <v/>
      </c>
      <c r="H92" s="234" t="str">
        <f>IF($B92="","",IF($G92&lt;&gt;"Concluído","Não iniciado",IF(COUNTIF(Lançamentos!$B$3:$B$1001,$B92)=0,"Bloqueado",IF('E4 — Execução'!$D74="","Bloqueado",IF(COUNTIF('E4 — Execução'!$E74:$K74,"⛔ Bloqueado")&gt;0,"Bloqueado",IF(COUNTIF('E4 — Execução'!$E74:$K74,"✔ Concluído")=7,"Concluído",IF(COUNTIF('E4 — Execução'!$E74:$K74,"✔ Concluído")+COUNTIF('E4 — Execução'!$E74:$K74,"🔄 Em andamento")&gt;0,"Em andamento","Não iniciado")))))))</f>
        <v/>
      </c>
      <c r="I92" s="234" t="str">
        <f>IF($B92="","",IF($H92&lt;&gt;"Concluído","Não iniciado",IF(COUNTIF(Lançamentos!$B$3:$B$1001,$B92)=0,"Bloqueado",IF('E5 — Validação'!$D74="","Bloqueado",IF(COUNTIF('E5 — Validação'!$E74:$I74,"⛔ Bloqueado")&gt;0,"Bloqueado",IF('E5 — Validação'!$I74="N/A","Bloqueado",IF(AND('E5 — Validação'!$E74="✔ Concluído",'E5 — Validação'!$F74="✔ Concluído",OR('E5 — Validação'!$G74="✔ Concluído",'E5 — Validação'!$G74="N/A"),'E5 — Validação'!$H74="✔ Concluído",'E5 — Validação'!$I74="✔ Concluído"),"Concluído",IF(COUNTIF('E5 — Validação'!$E74:$I74,"✔ Concluído")+COUNTIF('E5 — Validação'!$E74:$I74,"🔄 Em andamento")&gt;0,"Em andamento","Não iniciado"))))))))</f>
        <v/>
      </c>
      <c r="J92" s="234" t="str">
        <f>IF($B92="","",IF($I92&lt;&gt;"Concluído","Não iniciado",IF('E6 — Ajustes'!$N74="Não","N/A",IF(COUNTIF(Lançamentos!$B$3:$B$1001,$B92)=0,"Bloqueado",IF('E6 — Ajustes'!$D74="","Bloqueado",IF(COUNTIF('E6 — Ajustes'!$E74:$J74,"⛔ Bloqueado")&gt;0,"Bloqueado",IF(AND('E6 — Ajustes'!$E74="✔ Concluído",'E6 — Ajustes'!$F74="✔ Concluído",'E6 — Ajustes'!$G74="✔ Concluído",'E6 — Ajustes'!$H74="✔ Concluído",OR('E6 — Ajustes'!$I74="✔ Concluído",'E6 — Ajustes'!$I74="N/A"),'E6 — Ajustes'!$J74="✔ Concluído"),"Concluído",IF(COUNTIF('E6 — Ajustes'!$E74:$J74,"✔ Concluído")+COUNTIF('E6 — Ajustes'!$E74:$J74,"🔄 Em andamento")&gt;0,"Em andamento","Não iniciado"))))))))</f>
        <v/>
      </c>
      <c r="K92" s="234" t="str">
        <f>IF($B92="","",IF($I92&lt;&gt;"Concluído","Não iniciado",IF(AND($J92&lt;&gt;"Concluído",$J92&lt;&gt;"N/A"),"Não iniciado",IF(COUNTIF(Lançamentos!$B$3:$B$1001,$B92)=0,"Bloqueado",IF('E7 — Entrega'!$D74="","Bloqueado",IF(COUNTIF('E7 — Entrega'!$E74:$H74,"⛔ Bloqueado")&gt;0,"Bloqueado",IF(COUNTIF('E7 — Entrega'!$E74:$H74,"✔ Concluído")=4,"Concluído",IF(COUNTIF('E7 — Entrega'!$E74:$H74,"✔ Concluído")+COUNTIF('E7 — Entrega'!$E74:$H74,"🔄 Em andamento")&gt;0,"Em andamento","Não iniciado"))))))))</f>
        <v/>
      </c>
      <c r="L92" s="234" t="str">
        <f>IF($B92="","",IF($K92&lt;&gt;"Concluído","Não iniciado",IF(OR(COUNTIF('E08 — Estabilização Hypercare'!$E74:$J74,"⛔ Bloqueado")&gt;0,'E08 — Estabilização Hypercare'!$N74="⛔ Incidente Crítico — Encerramento Bloqueado",AND('E08 — Estabilização Hypercare'!$N74="🆕 Evolução Identificada — Nova Demanda Aberta",'E08 — Estabilização Hypercare'!$U74="")),"Bloqueado",IF(AND('E08 — Estabilização Hypercare'!$E74="✔ Concluído",'E08 — Estabilização Hypercare'!$F74="✔ Concluído",'E08 — Estabilização Hypercare'!$G74="✔ Concluído",OR('E08 — Estabilização Hypercare'!$H74="✔ Concluído",'E08 — Estabilização Hypercare'!$H74="N/A"),'E08 — Estabilização Hypercare'!$I74="✔ Concluído",'E08 — Estabilização Hypercare'!$J74="✔ Concluído",OR('E08 — Estabilização Hypercare'!$N74="✅ Estável — Demanda Encerrada",AND('E08 — Estabilização Hypercare'!$N74="🆕 Evolução Identificada — Nova Demanda Aberta",'E08 — Estabilização Hypercare'!$U74&lt;&gt;""))),"Concluído",IF(OR(COUNTIF('E08 — Estabilização Hypercare'!$E74:$J74,"✔ Concluído")&gt;0,COUNTIF('E08 — Estabilização Hypercare'!$E74:$J74,"🔄 Em andamento")&gt;0,'E08 — Estabilização Hypercare'!$N74&lt;&gt;""),"Em andamento","Não iniciado")))))</f>
        <v/>
      </c>
      <c r="M92" s="236" t="str" cm="1">
        <f t="array" ref="M92">IF(B92="","",_xlfn.IFS(E92&lt;&gt;"Concluído","E1 — Solicitação",F92&lt;&gt;"Concluído","E2 — Triagem",G92&lt;&gt;"Concluído","E3 — Levantamento ⚠",H92&lt;&gt;"Concluído","E4 — Execução",I92&lt;&gt;"Concluído","E5 — Validação ⚠",AND(J92&lt;&gt;"Concluído",J92&lt;&gt;"N/A"),"E6 — Ajustes",K92&lt;&gt;"Concluído","E7 — Entrega",L92&lt;&gt;"Concluído","E08 — Estabilização / Hypercare",TRUE,"✔ Fluxo concluído"))</f>
        <v/>
      </c>
      <c r="N92" s="237" t="str">
        <f t="shared" si="1"/>
        <v/>
      </c>
      <c r="O92" s="238"/>
    </row>
    <row r="93" spans="2:15" ht="15" customHeight="1" x14ac:dyDescent="0.35">
      <c r="B93" s="234" t="str">
        <f>IF(Lançamentos!$B70="","",Lançamentos!$B70)</f>
        <v/>
      </c>
      <c r="C93" s="235" t="str">
        <f>IF($B93="","",Lançamentos!$J70)</f>
        <v/>
      </c>
      <c r="D93" s="235" t="str">
        <f>IF($B93="","",Lançamentos!$H70)</f>
        <v/>
      </c>
      <c r="E93" s="234" t="str">
        <f>IF($B93="","",IF(COUNTIF(Lançamentos!$B$3:$B$1001,$B93)=0,"Bloqueado",IF(COUNTIF('E1 — Solicitação'!$E75:$L75,"⛔ Bloqueado")&gt;0,"Bloqueado",IF(COUNTIF('E1 — Solicitação'!$E75:$L75,"N/A")=8,"Bloqueado",IF(COUNTIF('E1 — Solicitação'!$E75:$L75,"✔ Concluído")+COUNTIF('E1 — Solicitação'!$E75:$L75,"N/A")=8,"Concluído",IF(COUNTIF('E1 — Solicitação'!$E75:$L75,"✔ Concluído")+COUNTIF('E1 — Solicitação'!$E75:$L75,"🔄 Em andamento")&gt;0,"Em andamento","Não iniciado"))))))</f>
        <v/>
      </c>
      <c r="F93" s="234" t="str">
        <f>IF($B93="","",IF($E93&lt;&gt;"Concluído","Não iniciado",IF(COUNTIF(Lançamentos!$B$3:$B$1001,$B93)=0,"Bloqueado",IF('E2 — Triagem'!$D75="","Bloqueado",IF(COUNTIF('E2 — Triagem'!$E75:$L75,"N/A")=8,"Bloqueado",IF(COUNTIF('E2 — Triagem'!$E75:$L75,"⛔ Bloqueado")&gt;0,"Bloqueado",IF(COUNTIF('E2 — Triagem'!$E75:$L75,"✔ Concluído")+COUNTIF('E2 — Triagem'!$E75:$L75,"N/A")=8,"Concluído",IF(COUNTIF('E2 — Triagem'!$E75:$L75,"✔ Concluído")+COUNTIF('E2 — Triagem'!$E75:$L75,"🔄 Em andamento")&gt;0,"Em andamento","Não iniciado"))))))))</f>
        <v/>
      </c>
      <c r="G93" s="234" t="str">
        <f>IF($B93="","",IF($F93&lt;&gt;"Concluído","Não iniciado",IF(COUNTIF(Lançamentos!$B$3:$B$1001,$B93)=0,"Bloqueado",IF('E3 — Levantamento'!$D75="","Bloqueado",IF(COUNTIF('E3 — Levantamento'!$E75:$I75,"⛔ Bloqueado")&gt;0,"Bloqueado",IF('E3 — Levantamento'!$I75="N/A","Bloqueado",IF(COUNTIF('E3 — Levantamento'!$E75:$I75,"✔ Concluído")=5,"Concluído",IF(COUNTIF('E3 — Levantamento'!$E75:$I75,"✔ Concluído")+COUNTIF('E3 — Levantamento'!$E75:$I75,"🔄 Em andamento")&gt;0,"Em andamento","Não iniciado"))))))))</f>
        <v/>
      </c>
      <c r="H93" s="234" t="str">
        <f>IF($B93="","",IF($G93&lt;&gt;"Concluído","Não iniciado",IF(COUNTIF(Lançamentos!$B$3:$B$1001,$B93)=0,"Bloqueado",IF('E4 — Execução'!$D75="","Bloqueado",IF(COUNTIF('E4 — Execução'!$E75:$K75,"⛔ Bloqueado")&gt;0,"Bloqueado",IF(COUNTIF('E4 — Execução'!$E75:$K75,"✔ Concluído")=7,"Concluído",IF(COUNTIF('E4 — Execução'!$E75:$K75,"✔ Concluído")+COUNTIF('E4 — Execução'!$E75:$K75,"🔄 Em andamento")&gt;0,"Em andamento","Não iniciado")))))))</f>
        <v/>
      </c>
      <c r="I93" s="234" t="str">
        <f>IF($B93="","",IF($H93&lt;&gt;"Concluído","Não iniciado",IF(COUNTIF(Lançamentos!$B$3:$B$1001,$B93)=0,"Bloqueado",IF('E5 — Validação'!$D75="","Bloqueado",IF(COUNTIF('E5 — Validação'!$E75:$I75,"⛔ Bloqueado")&gt;0,"Bloqueado",IF('E5 — Validação'!$I75="N/A","Bloqueado",IF(AND('E5 — Validação'!$E75="✔ Concluído",'E5 — Validação'!$F75="✔ Concluído",OR('E5 — Validação'!$G75="✔ Concluído",'E5 — Validação'!$G75="N/A"),'E5 — Validação'!$H75="✔ Concluído",'E5 — Validação'!$I75="✔ Concluído"),"Concluído",IF(COUNTIF('E5 — Validação'!$E75:$I75,"✔ Concluído")+COUNTIF('E5 — Validação'!$E75:$I75,"🔄 Em andamento")&gt;0,"Em andamento","Não iniciado"))))))))</f>
        <v/>
      </c>
      <c r="J93" s="234" t="str">
        <f>IF($B93="","",IF($I93&lt;&gt;"Concluído","Não iniciado",IF('E6 — Ajustes'!$N75="Não","N/A",IF(COUNTIF(Lançamentos!$B$3:$B$1001,$B93)=0,"Bloqueado",IF('E6 — Ajustes'!$D75="","Bloqueado",IF(COUNTIF('E6 — Ajustes'!$E75:$J75,"⛔ Bloqueado")&gt;0,"Bloqueado",IF(AND('E6 — Ajustes'!$E75="✔ Concluído",'E6 — Ajustes'!$F75="✔ Concluído",'E6 — Ajustes'!$G75="✔ Concluído",'E6 — Ajustes'!$H75="✔ Concluído",OR('E6 — Ajustes'!$I75="✔ Concluído",'E6 — Ajustes'!$I75="N/A"),'E6 — Ajustes'!$J75="✔ Concluído"),"Concluído",IF(COUNTIF('E6 — Ajustes'!$E75:$J75,"✔ Concluído")+COUNTIF('E6 — Ajustes'!$E75:$J75,"🔄 Em andamento")&gt;0,"Em andamento","Não iniciado"))))))))</f>
        <v/>
      </c>
      <c r="K93" s="234" t="str">
        <f>IF($B93="","",IF($I93&lt;&gt;"Concluído","Não iniciado",IF(AND($J93&lt;&gt;"Concluído",$J93&lt;&gt;"N/A"),"Não iniciado",IF(COUNTIF(Lançamentos!$B$3:$B$1001,$B93)=0,"Bloqueado",IF('E7 — Entrega'!$D75="","Bloqueado",IF(COUNTIF('E7 — Entrega'!$E75:$H75,"⛔ Bloqueado")&gt;0,"Bloqueado",IF(COUNTIF('E7 — Entrega'!$E75:$H75,"✔ Concluído")=4,"Concluído",IF(COUNTIF('E7 — Entrega'!$E75:$H75,"✔ Concluído")+COUNTIF('E7 — Entrega'!$E75:$H75,"🔄 Em andamento")&gt;0,"Em andamento","Não iniciado"))))))))</f>
        <v/>
      </c>
      <c r="L93" s="234" t="str">
        <f>IF($B93="","",IF($K93&lt;&gt;"Concluído","Não iniciado",IF(OR(COUNTIF('E08 — Estabilização Hypercare'!$E75:$J75,"⛔ Bloqueado")&gt;0,'E08 — Estabilização Hypercare'!$N75="⛔ Incidente Crítico — Encerramento Bloqueado",AND('E08 — Estabilização Hypercare'!$N75="🆕 Evolução Identificada — Nova Demanda Aberta",'E08 — Estabilização Hypercare'!$U75="")),"Bloqueado",IF(AND('E08 — Estabilização Hypercare'!$E75="✔ Concluído",'E08 — Estabilização Hypercare'!$F75="✔ Concluído",'E08 — Estabilização Hypercare'!$G75="✔ Concluído",OR('E08 — Estabilização Hypercare'!$H75="✔ Concluído",'E08 — Estabilização Hypercare'!$H75="N/A"),'E08 — Estabilização Hypercare'!$I75="✔ Concluído",'E08 — Estabilização Hypercare'!$J75="✔ Concluído",OR('E08 — Estabilização Hypercare'!$N75="✅ Estável — Demanda Encerrada",AND('E08 — Estabilização Hypercare'!$N75="🆕 Evolução Identificada — Nova Demanda Aberta",'E08 — Estabilização Hypercare'!$U75&lt;&gt;""))),"Concluído",IF(OR(COUNTIF('E08 — Estabilização Hypercare'!$E75:$J75,"✔ Concluído")&gt;0,COUNTIF('E08 — Estabilização Hypercare'!$E75:$J75,"🔄 Em andamento")&gt;0,'E08 — Estabilização Hypercare'!$N75&lt;&gt;""),"Em andamento","Não iniciado")))))</f>
        <v/>
      </c>
      <c r="M93" s="236" t="str" cm="1">
        <f t="array" ref="M93">IF(B93="","",_xlfn.IFS(E93&lt;&gt;"Concluído","E1 — Solicitação",F93&lt;&gt;"Concluído","E2 — Triagem",G93&lt;&gt;"Concluído","E3 — Levantamento ⚠",H93&lt;&gt;"Concluído","E4 — Execução",I93&lt;&gt;"Concluído","E5 — Validação ⚠",AND(J93&lt;&gt;"Concluído",J93&lt;&gt;"N/A"),"E6 — Ajustes",K93&lt;&gt;"Concluído","E7 — Entrega",L93&lt;&gt;"Concluído","E08 — Estabilização / Hypercare",TRUE,"✔ Fluxo concluído"))</f>
        <v/>
      </c>
      <c r="N93" s="237" t="str">
        <f t="shared" si="1"/>
        <v/>
      </c>
      <c r="O93" s="238"/>
    </row>
    <row r="94" spans="2:15" ht="15" customHeight="1" x14ac:dyDescent="0.35">
      <c r="B94" s="234" t="str">
        <f>IF(Lançamentos!$B71="","",Lançamentos!$B71)</f>
        <v/>
      </c>
      <c r="C94" s="235" t="str">
        <f>IF($B94="","",Lançamentos!$J71)</f>
        <v/>
      </c>
      <c r="D94" s="235" t="str">
        <f>IF($B94="","",Lançamentos!$H71)</f>
        <v/>
      </c>
      <c r="E94" s="234" t="str">
        <f>IF($B94="","",IF(COUNTIF(Lançamentos!$B$3:$B$1001,$B94)=0,"Bloqueado",IF(COUNTIF('E1 — Solicitação'!$E76:$L76,"⛔ Bloqueado")&gt;0,"Bloqueado",IF(COUNTIF('E1 — Solicitação'!$E76:$L76,"N/A")=8,"Bloqueado",IF(COUNTIF('E1 — Solicitação'!$E76:$L76,"✔ Concluído")+COUNTIF('E1 — Solicitação'!$E76:$L76,"N/A")=8,"Concluído",IF(COUNTIF('E1 — Solicitação'!$E76:$L76,"✔ Concluído")+COUNTIF('E1 — Solicitação'!$E76:$L76,"🔄 Em andamento")&gt;0,"Em andamento","Não iniciado"))))))</f>
        <v/>
      </c>
      <c r="F94" s="234" t="str">
        <f>IF($B94="","",IF($E94&lt;&gt;"Concluído","Não iniciado",IF(COUNTIF(Lançamentos!$B$3:$B$1001,$B94)=0,"Bloqueado",IF('E2 — Triagem'!$D76="","Bloqueado",IF(COUNTIF('E2 — Triagem'!$E76:$L76,"N/A")=8,"Bloqueado",IF(COUNTIF('E2 — Triagem'!$E76:$L76,"⛔ Bloqueado")&gt;0,"Bloqueado",IF(COUNTIF('E2 — Triagem'!$E76:$L76,"✔ Concluído")+COUNTIF('E2 — Triagem'!$E76:$L76,"N/A")=8,"Concluído",IF(COUNTIF('E2 — Triagem'!$E76:$L76,"✔ Concluído")+COUNTIF('E2 — Triagem'!$E76:$L76,"🔄 Em andamento")&gt;0,"Em andamento","Não iniciado"))))))))</f>
        <v/>
      </c>
      <c r="G94" s="234" t="str">
        <f>IF($B94="","",IF($F94&lt;&gt;"Concluído","Não iniciado",IF(COUNTIF(Lançamentos!$B$3:$B$1001,$B94)=0,"Bloqueado",IF('E3 — Levantamento'!$D76="","Bloqueado",IF(COUNTIF('E3 — Levantamento'!$E76:$I76,"⛔ Bloqueado")&gt;0,"Bloqueado",IF('E3 — Levantamento'!$I76="N/A","Bloqueado",IF(COUNTIF('E3 — Levantamento'!$E76:$I76,"✔ Concluído")=5,"Concluído",IF(COUNTIF('E3 — Levantamento'!$E76:$I76,"✔ Concluído")+COUNTIF('E3 — Levantamento'!$E76:$I76,"🔄 Em andamento")&gt;0,"Em andamento","Não iniciado"))))))))</f>
        <v/>
      </c>
      <c r="H94" s="234" t="str">
        <f>IF($B94="","",IF($G94&lt;&gt;"Concluído","Não iniciado",IF(COUNTIF(Lançamentos!$B$3:$B$1001,$B94)=0,"Bloqueado",IF('E4 — Execução'!$D76="","Bloqueado",IF(COUNTIF('E4 — Execução'!$E76:$K76,"⛔ Bloqueado")&gt;0,"Bloqueado",IF(COUNTIF('E4 — Execução'!$E76:$K76,"✔ Concluído")=7,"Concluído",IF(COUNTIF('E4 — Execução'!$E76:$K76,"✔ Concluído")+COUNTIF('E4 — Execução'!$E76:$K76,"🔄 Em andamento")&gt;0,"Em andamento","Não iniciado")))))))</f>
        <v/>
      </c>
      <c r="I94" s="234" t="str">
        <f>IF($B94="","",IF($H94&lt;&gt;"Concluído","Não iniciado",IF(COUNTIF(Lançamentos!$B$3:$B$1001,$B94)=0,"Bloqueado",IF('E5 — Validação'!$D76="","Bloqueado",IF(COUNTIF('E5 — Validação'!$E76:$I76,"⛔ Bloqueado")&gt;0,"Bloqueado",IF('E5 — Validação'!$I76="N/A","Bloqueado",IF(AND('E5 — Validação'!$E76="✔ Concluído",'E5 — Validação'!$F76="✔ Concluído",OR('E5 — Validação'!$G76="✔ Concluído",'E5 — Validação'!$G76="N/A"),'E5 — Validação'!$H76="✔ Concluído",'E5 — Validação'!$I76="✔ Concluído"),"Concluído",IF(COUNTIF('E5 — Validação'!$E76:$I76,"✔ Concluído")+COUNTIF('E5 — Validação'!$E76:$I76,"🔄 Em andamento")&gt;0,"Em andamento","Não iniciado"))))))))</f>
        <v/>
      </c>
      <c r="J94" s="234" t="str">
        <f>IF($B94="","",IF($I94&lt;&gt;"Concluído","Não iniciado",IF('E6 — Ajustes'!$N76="Não","N/A",IF(COUNTIF(Lançamentos!$B$3:$B$1001,$B94)=0,"Bloqueado",IF('E6 — Ajustes'!$D76="","Bloqueado",IF(COUNTIF('E6 — Ajustes'!$E76:$J76,"⛔ Bloqueado")&gt;0,"Bloqueado",IF(AND('E6 — Ajustes'!$E76="✔ Concluído",'E6 — Ajustes'!$F76="✔ Concluído",'E6 — Ajustes'!$G76="✔ Concluído",'E6 — Ajustes'!$H76="✔ Concluído",OR('E6 — Ajustes'!$I76="✔ Concluído",'E6 — Ajustes'!$I76="N/A"),'E6 — Ajustes'!$J76="✔ Concluído"),"Concluído",IF(COUNTIF('E6 — Ajustes'!$E76:$J76,"✔ Concluído")+COUNTIF('E6 — Ajustes'!$E76:$J76,"🔄 Em andamento")&gt;0,"Em andamento","Não iniciado"))))))))</f>
        <v/>
      </c>
      <c r="K94" s="234" t="str">
        <f>IF($B94="","",IF($I94&lt;&gt;"Concluído","Não iniciado",IF(AND($J94&lt;&gt;"Concluído",$J94&lt;&gt;"N/A"),"Não iniciado",IF(COUNTIF(Lançamentos!$B$3:$B$1001,$B94)=0,"Bloqueado",IF('E7 — Entrega'!$D76="","Bloqueado",IF(COUNTIF('E7 — Entrega'!$E76:$H76,"⛔ Bloqueado")&gt;0,"Bloqueado",IF(COUNTIF('E7 — Entrega'!$E76:$H76,"✔ Concluído")=4,"Concluído",IF(COUNTIF('E7 — Entrega'!$E76:$H76,"✔ Concluído")+COUNTIF('E7 — Entrega'!$E76:$H76,"🔄 Em andamento")&gt;0,"Em andamento","Não iniciado"))))))))</f>
        <v/>
      </c>
      <c r="L94" s="234" t="str">
        <f>IF($B94="","",IF($K94&lt;&gt;"Concluído","Não iniciado",IF(OR(COUNTIF('E08 — Estabilização Hypercare'!$E76:$J76,"⛔ Bloqueado")&gt;0,'E08 — Estabilização Hypercare'!$N76="⛔ Incidente Crítico — Encerramento Bloqueado",AND('E08 — Estabilização Hypercare'!$N76="🆕 Evolução Identificada — Nova Demanda Aberta",'E08 — Estabilização Hypercare'!$U76="")),"Bloqueado",IF(AND('E08 — Estabilização Hypercare'!$E76="✔ Concluído",'E08 — Estabilização Hypercare'!$F76="✔ Concluído",'E08 — Estabilização Hypercare'!$G76="✔ Concluído",OR('E08 — Estabilização Hypercare'!$H76="✔ Concluído",'E08 — Estabilização Hypercare'!$H76="N/A"),'E08 — Estabilização Hypercare'!$I76="✔ Concluído",'E08 — Estabilização Hypercare'!$J76="✔ Concluído",OR('E08 — Estabilização Hypercare'!$N76="✅ Estável — Demanda Encerrada",AND('E08 — Estabilização Hypercare'!$N76="🆕 Evolução Identificada — Nova Demanda Aberta",'E08 — Estabilização Hypercare'!$U76&lt;&gt;""))),"Concluído",IF(OR(COUNTIF('E08 — Estabilização Hypercare'!$E76:$J76,"✔ Concluído")&gt;0,COUNTIF('E08 — Estabilização Hypercare'!$E76:$J76,"🔄 Em andamento")&gt;0,'E08 — Estabilização Hypercare'!$N76&lt;&gt;""),"Em andamento","Não iniciado")))))</f>
        <v/>
      </c>
      <c r="M94" s="236" t="str" cm="1">
        <f t="array" ref="M94">IF(B94="","",_xlfn.IFS(E94&lt;&gt;"Concluído","E1 — Solicitação",F94&lt;&gt;"Concluído","E2 — Triagem",G94&lt;&gt;"Concluído","E3 — Levantamento ⚠",H94&lt;&gt;"Concluído","E4 — Execução",I94&lt;&gt;"Concluído","E5 — Validação ⚠",AND(J94&lt;&gt;"Concluído",J94&lt;&gt;"N/A"),"E6 — Ajustes",K94&lt;&gt;"Concluído","E7 — Entrega",L94&lt;&gt;"Concluído","E08 — Estabilização / Hypercare",TRUE,"✔ Fluxo concluído"))</f>
        <v/>
      </c>
      <c r="N94" s="237" t="str">
        <f t="shared" si="1"/>
        <v/>
      </c>
      <c r="O94" s="238"/>
    </row>
    <row r="95" spans="2:15" ht="15" customHeight="1" x14ac:dyDescent="0.35">
      <c r="B95" s="234" t="str">
        <f>IF(Lançamentos!$B72="","",Lançamentos!$B72)</f>
        <v/>
      </c>
      <c r="C95" s="235" t="str">
        <f>IF($B95="","",Lançamentos!$J72)</f>
        <v/>
      </c>
      <c r="D95" s="235" t="str">
        <f>IF($B95="","",Lançamentos!$H72)</f>
        <v/>
      </c>
      <c r="E95" s="234" t="str">
        <f>IF($B95="","",IF(COUNTIF(Lançamentos!$B$3:$B$1001,$B95)=0,"Bloqueado",IF(COUNTIF('E1 — Solicitação'!$E77:$L77,"⛔ Bloqueado")&gt;0,"Bloqueado",IF(COUNTIF('E1 — Solicitação'!$E77:$L77,"N/A")=8,"Bloqueado",IF(COUNTIF('E1 — Solicitação'!$E77:$L77,"✔ Concluído")+COUNTIF('E1 — Solicitação'!$E77:$L77,"N/A")=8,"Concluído",IF(COUNTIF('E1 — Solicitação'!$E77:$L77,"✔ Concluído")+COUNTIF('E1 — Solicitação'!$E77:$L77,"🔄 Em andamento")&gt;0,"Em andamento","Não iniciado"))))))</f>
        <v/>
      </c>
      <c r="F95" s="234" t="str">
        <f>IF($B95="","",IF($E95&lt;&gt;"Concluído","Não iniciado",IF(COUNTIF(Lançamentos!$B$3:$B$1001,$B95)=0,"Bloqueado",IF('E2 — Triagem'!$D77="","Bloqueado",IF(COUNTIF('E2 — Triagem'!$E77:$L77,"N/A")=8,"Bloqueado",IF(COUNTIF('E2 — Triagem'!$E77:$L77,"⛔ Bloqueado")&gt;0,"Bloqueado",IF(COUNTIF('E2 — Triagem'!$E77:$L77,"✔ Concluído")+COUNTIF('E2 — Triagem'!$E77:$L77,"N/A")=8,"Concluído",IF(COUNTIF('E2 — Triagem'!$E77:$L77,"✔ Concluído")+COUNTIF('E2 — Triagem'!$E77:$L77,"🔄 Em andamento")&gt;0,"Em andamento","Não iniciado"))))))))</f>
        <v/>
      </c>
      <c r="G95" s="234" t="str">
        <f>IF($B95="","",IF($F95&lt;&gt;"Concluído","Não iniciado",IF(COUNTIF(Lançamentos!$B$3:$B$1001,$B95)=0,"Bloqueado",IF('E3 — Levantamento'!$D77="","Bloqueado",IF(COUNTIF('E3 — Levantamento'!$E77:$I77,"⛔ Bloqueado")&gt;0,"Bloqueado",IF('E3 — Levantamento'!$I77="N/A","Bloqueado",IF(COUNTIF('E3 — Levantamento'!$E77:$I77,"✔ Concluído")=5,"Concluído",IF(COUNTIF('E3 — Levantamento'!$E77:$I77,"✔ Concluído")+COUNTIF('E3 — Levantamento'!$E77:$I77,"🔄 Em andamento")&gt;0,"Em andamento","Não iniciado"))))))))</f>
        <v/>
      </c>
      <c r="H95" s="234" t="str">
        <f>IF($B95="","",IF($G95&lt;&gt;"Concluído","Não iniciado",IF(COUNTIF(Lançamentos!$B$3:$B$1001,$B95)=0,"Bloqueado",IF('E4 — Execução'!$D77="","Bloqueado",IF(COUNTIF('E4 — Execução'!$E77:$K77,"⛔ Bloqueado")&gt;0,"Bloqueado",IF(COUNTIF('E4 — Execução'!$E77:$K77,"✔ Concluído")=7,"Concluído",IF(COUNTIF('E4 — Execução'!$E77:$K77,"✔ Concluído")+COUNTIF('E4 — Execução'!$E77:$K77,"🔄 Em andamento")&gt;0,"Em andamento","Não iniciado")))))))</f>
        <v/>
      </c>
      <c r="I95" s="234" t="str">
        <f>IF($B95="","",IF($H95&lt;&gt;"Concluído","Não iniciado",IF(COUNTIF(Lançamentos!$B$3:$B$1001,$B95)=0,"Bloqueado",IF('E5 — Validação'!$D77="","Bloqueado",IF(COUNTIF('E5 — Validação'!$E77:$I77,"⛔ Bloqueado")&gt;0,"Bloqueado",IF('E5 — Validação'!$I77="N/A","Bloqueado",IF(AND('E5 — Validação'!$E77="✔ Concluído",'E5 — Validação'!$F77="✔ Concluído",OR('E5 — Validação'!$G77="✔ Concluído",'E5 — Validação'!$G77="N/A"),'E5 — Validação'!$H77="✔ Concluído",'E5 — Validação'!$I77="✔ Concluído"),"Concluído",IF(COUNTIF('E5 — Validação'!$E77:$I77,"✔ Concluído")+COUNTIF('E5 — Validação'!$E77:$I77,"🔄 Em andamento")&gt;0,"Em andamento","Não iniciado"))))))))</f>
        <v/>
      </c>
      <c r="J95" s="234" t="str">
        <f>IF($B95="","",IF($I95&lt;&gt;"Concluído","Não iniciado",IF('E6 — Ajustes'!$N77="Não","N/A",IF(COUNTIF(Lançamentos!$B$3:$B$1001,$B95)=0,"Bloqueado",IF('E6 — Ajustes'!$D77="","Bloqueado",IF(COUNTIF('E6 — Ajustes'!$E77:$J77,"⛔ Bloqueado")&gt;0,"Bloqueado",IF(AND('E6 — Ajustes'!$E77="✔ Concluído",'E6 — Ajustes'!$F77="✔ Concluído",'E6 — Ajustes'!$G77="✔ Concluído",'E6 — Ajustes'!$H77="✔ Concluído",OR('E6 — Ajustes'!$I77="✔ Concluído",'E6 — Ajustes'!$I77="N/A"),'E6 — Ajustes'!$J77="✔ Concluído"),"Concluído",IF(COUNTIF('E6 — Ajustes'!$E77:$J77,"✔ Concluído")+COUNTIF('E6 — Ajustes'!$E77:$J77,"🔄 Em andamento")&gt;0,"Em andamento","Não iniciado"))))))))</f>
        <v/>
      </c>
      <c r="K95" s="234" t="str">
        <f>IF($B95="","",IF($I95&lt;&gt;"Concluído","Não iniciado",IF(AND($J95&lt;&gt;"Concluído",$J95&lt;&gt;"N/A"),"Não iniciado",IF(COUNTIF(Lançamentos!$B$3:$B$1001,$B95)=0,"Bloqueado",IF('E7 — Entrega'!$D77="","Bloqueado",IF(COUNTIF('E7 — Entrega'!$E77:$H77,"⛔ Bloqueado")&gt;0,"Bloqueado",IF(COUNTIF('E7 — Entrega'!$E77:$H77,"✔ Concluído")=4,"Concluído",IF(COUNTIF('E7 — Entrega'!$E77:$H77,"✔ Concluído")+COUNTIF('E7 — Entrega'!$E77:$H77,"🔄 Em andamento")&gt;0,"Em andamento","Não iniciado"))))))))</f>
        <v/>
      </c>
      <c r="L95" s="234" t="str">
        <f>IF($B95="","",IF($K95&lt;&gt;"Concluído","Não iniciado",IF(OR(COUNTIF('E08 — Estabilização Hypercare'!$E77:$J77,"⛔ Bloqueado")&gt;0,'E08 — Estabilização Hypercare'!$N77="⛔ Incidente Crítico — Encerramento Bloqueado",AND('E08 — Estabilização Hypercare'!$N77="🆕 Evolução Identificada — Nova Demanda Aberta",'E08 — Estabilização Hypercare'!$U77="")),"Bloqueado",IF(AND('E08 — Estabilização Hypercare'!$E77="✔ Concluído",'E08 — Estabilização Hypercare'!$F77="✔ Concluído",'E08 — Estabilização Hypercare'!$G77="✔ Concluído",OR('E08 — Estabilização Hypercare'!$H77="✔ Concluído",'E08 — Estabilização Hypercare'!$H77="N/A"),'E08 — Estabilização Hypercare'!$I77="✔ Concluído",'E08 — Estabilização Hypercare'!$J77="✔ Concluído",OR('E08 — Estabilização Hypercare'!$N77="✅ Estável — Demanda Encerrada",AND('E08 — Estabilização Hypercare'!$N77="🆕 Evolução Identificada — Nova Demanda Aberta",'E08 — Estabilização Hypercare'!$U77&lt;&gt;""))),"Concluído",IF(OR(COUNTIF('E08 — Estabilização Hypercare'!$E77:$J77,"✔ Concluído")&gt;0,COUNTIF('E08 — Estabilização Hypercare'!$E77:$J77,"🔄 Em andamento")&gt;0,'E08 — Estabilização Hypercare'!$N77&lt;&gt;""),"Em andamento","Não iniciado")))))</f>
        <v/>
      </c>
      <c r="M95" s="236" t="str" cm="1">
        <f t="array" ref="M95">IF(B95="","",_xlfn.IFS(E95&lt;&gt;"Concluído","E1 — Solicitação",F95&lt;&gt;"Concluído","E2 — Triagem",G95&lt;&gt;"Concluído","E3 — Levantamento ⚠",H95&lt;&gt;"Concluído","E4 — Execução",I95&lt;&gt;"Concluído","E5 — Validação ⚠",AND(J95&lt;&gt;"Concluído",J95&lt;&gt;"N/A"),"E6 — Ajustes",K95&lt;&gt;"Concluído","E7 — Entrega",L95&lt;&gt;"Concluído","E08 — Estabilização / Hypercare",TRUE,"✔ Fluxo concluído"))</f>
        <v/>
      </c>
      <c r="N95" s="237" t="str">
        <f t="shared" si="1"/>
        <v/>
      </c>
      <c r="O95" s="238"/>
    </row>
    <row r="96" spans="2:15" ht="15" customHeight="1" x14ac:dyDescent="0.35">
      <c r="B96" s="234" t="str">
        <f>IF(Lançamentos!$B73="","",Lançamentos!$B73)</f>
        <v/>
      </c>
      <c r="C96" s="235" t="str">
        <f>IF($B96="","",Lançamentos!$J73)</f>
        <v/>
      </c>
      <c r="D96" s="235" t="str">
        <f>IF($B96="","",Lançamentos!$H73)</f>
        <v/>
      </c>
      <c r="E96" s="234" t="str">
        <f>IF($B96="","",IF(COUNTIF(Lançamentos!$B$3:$B$1001,$B96)=0,"Bloqueado",IF(COUNTIF('E1 — Solicitação'!$E78:$L78,"⛔ Bloqueado")&gt;0,"Bloqueado",IF(COUNTIF('E1 — Solicitação'!$E78:$L78,"N/A")=8,"Bloqueado",IF(COUNTIF('E1 — Solicitação'!$E78:$L78,"✔ Concluído")+COUNTIF('E1 — Solicitação'!$E78:$L78,"N/A")=8,"Concluído",IF(COUNTIF('E1 — Solicitação'!$E78:$L78,"✔ Concluído")+COUNTIF('E1 — Solicitação'!$E78:$L78,"🔄 Em andamento")&gt;0,"Em andamento","Não iniciado"))))))</f>
        <v/>
      </c>
      <c r="F96" s="234" t="str">
        <f>IF($B96="","",IF($E96&lt;&gt;"Concluído","Não iniciado",IF(COUNTIF(Lançamentos!$B$3:$B$1001,$B96)=0,"Bloqueado",IF('E2 — Triagem'!$D78="","Bloqueado",IF(COUNTIF('E2 — Triagem'!$E78:$L78,"N/A")=8,"Bloqueado",IF(COUNTIF('E2 — Triagem'!$E78:$L78,"⛔ Bloqueado")&gt;0,"Bloqueado",IF(COUNTIF('E2 — Triagem'!$E78:$L78,"✔ Concluído")+COUNTIF('E2 — Triagem'!$E78:$L78,"N/A")=8,"Concluído",IF(COUNTIF('E2 — Triagem'!$E78:$L78,"✔ Concluído")+COUNTIF('E2 — Triagem'!$E78:$L78,"🔄 Em andamento")&gt;0,"Em andamento","Não iniciado"))))))))</f>
        <v/>
      </c>
      <c r="G96" s="234" t="str">
        <f>IF($B96="","",IF($F96&lt;&gt;"Concluído","Não iniciado",IF(COUNTIF(Lançamentos!$B$3:$B$1001,$B96)=0,"Bloqueado",IF('E3 — Levantamento'!$D78="","Bloqueado",IF(COUNTIF('E3 — Levantamento'!$E78:$I78,"⛔ Bloqueado")&gt;0,"Bloqueado",IF('E3 — Levantamento'!$I78="N/A","Bloqueado",IF(COUNTIF('E3 — Levantamento'!$E78:$I78,"✔ Concluído")=5,"Concluído",IF(COUNTIF('E3 — Levantamento'!$E78:$I78,"✔ Concluído")+COUNTIF('E3 — Levantamento'!$E78:$I78,"🔄 Em andamento")&gt;0,"Em andamento","Não iniciado"))))))))</f>
        <v/>
      </c>
      <c r="H96" s="234" t="str">
        <f>IF($B96="","",IF($G96&lt;&gt;"Concluído","Não iniciado",IF(COUNTIF(Lançamentos!$B$3:$B$1001,$B96)=0,"Bloqueado",IF('E4 — Execução'!$D78="","Bloqueado",IF(COUNTIF('E4 — Execução'!$E78:$K78,"⛔ Bloqueado")&gt;0,"Bloqueado",IF(COUNTIF('E4 — Execução'!$E78:$K78,"✔ Concluído")=7,"Concluído",IF(COUNTIF('E4 — Execução'!$E78:$K78,"✔ Concluído")+COUNTIF('E4 — Execução'!$E78:$K78,"🔄 Em andamento")&gt;0,"Em andamento","Não iniciado")))))))</f>
        <v/>
      </c>
      <c r="I96" s="234" t="str">
        <f>IF($B96="","",IF($H96&lt;&gt;"Concluído","Não iniciado",IF(COUNTIF(Lançamentos!$B$3:$B$1001,$B96)=0,"Bloqueado",IF('E5 — Validação'!$D78="","Bloqueado",IF(COUNTIF('E5 — Validação'!$E78:$I78,"⛔ Bloqueado")&gt;0,"Bloqueado",IF('E5 — Validação'!$I78="N/A","Bloqueado",IF(AND('E5 — Validação'!$E78="✔ Concluído",'E5 — Validação'!$F78="✔ Concluído",OR('E5 — Validação'!$G78="✔ Concluído",'E5 — Validação'!$G78="N/A"),'E5 — Validação'!$H78="✔ Concluído",'E5 — Validação'!$I78="✔ Concluído"),"Concluído",IF(COUNTIF('E5 — Validação'!$E78:$I78,"✔ Concluído")+COUNTIF('E5 — Validação'!$E78:$I78,"🔄 Em andamento")&gt;0,"Em andamento","Não iniciado"))))))))</f>
        <v/>
      </c>
      <c r="J96" s="234" t="str">
        <f>IF($B96="","",IF($I96&lt;&gt;"Concluído","Não iniciado",IF('E6 — Ajustes'!$N78="Não","N/A",IF(COUNTIF(Lançamentos!$B$3:$B$1001,$B96)=0,"Bloqueado",IF('E6 — Ajustes'!$D78="","Bloqueado",IF(COUNTIF('E6 — Ajustes'!$E78:$J78,"⛔ Bloqueado")&gt;0,"Bloqueado",IF(AND('E6 — Ajustes'!$E78="✔ Concluído",'E6 — Ajustes'!$F78="✔ Concluído",'E6 — Ajustes'!$G78="✔ Concluído",'E6 — Ajustes'!$H78="✔ Concluído",OR('E6 — Ajustes'!$I78="✔ Concluído",'E6 — Ajustes'!$I78="N/A"),'E6 — Ajustes'!$J78="✔ Concluído"),"Concluído",IF(COUNTIF('E6 — Ajustes'!$E78:$J78,"✔ Concluído")+COUNTIF('E6 — Ajustes'!$E78:$J78,"🔄 Em andamento")&gt;0,"Em andamento","Não iniciado"))))))))</f>
        <v/>
      </c>
      <c r="K96" s="234" t="str">
        <f>IF($B96="","",IF($I96&lt;&gt;"Concluído","Não iniciado",IF(AND($J96&lt;&gt;"Concluído",$J96&lt;&gt;"N/A"),"Não iniciado",IF(COUNTIF(Lançamentos!$B$3:$B$1001,$B96)=0,"Bloqueado",IF('E7 — Entrega'!$D78="","Bloqueado",IF(COUNTIF('E7 — Entrega'!$E78:$H78,"⛔ Bloqueado")&gt;0,"Bloqueado",IF(COUNTIF('E7 — Entrega'!$E78:$H78,"✔ Concluído")=4,"Concluído",IF(COUNTIF('E7 — Entrega'!$E78:$H78,"✔ Concluído")+COUNTIF('E7 — Entrega'!$E78:$H78,"🔄 Em andamento")&gt;0,"Em andamento","Não iniciado"))))))))</f>
        <v/>
      </c>
      <c r="L96" s="234" t="str">
        <f>IF($B96="","",IF($K96&lt;&gt;"Concluído","Não iniciado",IF(OR(COUNTIF('E08 — Estabilização Hypercare'!$E78:$J78,"⛔ Bloqueado")&gt;0,'E08 — Estabilização Hypercare'!$N78="⛔ Incidente Crítico — Encerramento Bloqueado",AND('E08 — Estabilização Hypercare'!$N78="🆕 Evolução Identificada — Nova Demanda Aberta",'E08 — Estabilização Hypercare'!$U78="")),"Bloqueado",IF(AND('E08 — Estabilização Hypercare'!$E78="✔ Concluído",'E08 — Estabilização Hypercare'!$F78="✔ Concluído",'E08 — Estabilização Hypercare'!$G78="✔ Concluído",OR('E08 — Estabilização Hypercare'!$H78="✔ Concluído",'E08 — Estabilização Hypercare'!$H78="N/A"),'E08 — Estabilização Hypercare'!$I78="✔ Concluído",'E08 — Estabilização Hypercare'!$J78="✔ Concluído",OR('E08 — Estabilização Hypercare'!$N78="✅ Estável — Demanda Encerrada",AND('E08 — Estabilização Hypercare'!$N78="🆕 Evolução Identificada — Nova Demanda Aberta",'E08 — Estabilização Hypercare'!$U78&lt;&gt;""))),"Concluído",IF(OR(COUNTIF('E08 — Estabilização Hypercare'!$E78:$J78,"✔ Concluído")&gt;0,COUNTIF('E08 — Estabilização Hypercare'!$E78:$J78,"🔄 Em andamento")&gt;0,'E08 — Estabilização Hypercare'!$N78&lt;&gt;""),"Em andamento","Não iniciado")))))</f>
        <v/>
      </c>
      <c r="M96" s="236" t="str" cm="1">
        <f t="array" ref="M96">IF(B96="","",_xlfn.IFS(E96&lt;&gt;"Concluído","E1 — Solicitação",F96&lt;&gt;"Concluído","E2 — Triagem",G96&lt;&gt;"Concluído","E3 — Levantamento ⚠",H96&lt;&gt;"Concluído","E4 — Execução",I96&lt;&gt;"Concluído","E5 — Validação ⚠",AND(J96&lt;&gt;"Concluído",J96&lt;&gt;"N/A"),"E6 — Ajustes",K96&lt;&gt;"Concluído","E7 — Entrega",L96&lt;&gt;"Concluído","E08 — Estabilização / Hypercare",TRUE,"✔ Fluxo concluído"))</f>
        <v/>
      </c>
      <c r="N96" s="237" t="str">
        <f t="shared" si="1"/>
        <v/>
      </c>
      <c r="O96" s="238"/>
    </row>
    <row r="97" spans="2:15" ht="15" customHeight="1" x14ac:dyDescent="0.35">
      <c r="B97" s="234" t="str">
        <f>IF(Lançamentos!$B74="","",Lançamentos!$B74)</f>
        <v/>
      </c>
      <c r="C97" s="235" t="str">
        <f>IF($B97="","",Lançamentos!$J74)</f>
        <v/>
      </c>
      <c r="D97" s="235" t="str">
        <f>IF($B97="","",Lançamentos!$H74)</f>
        <v/>
      </c>
      <c r="E97" s="234" t="str">
        <f>IF($B97="","",IF(COUNTIF(Lançamentos!$B$3:$B$1001,$B97)=0,"Bloqueado",IF(COUNTIF('E1 — Solicitação'!$E79:$L79,"⛔ Bloqueado")&gt;0,"Bloqueado",IF(COUNTIF('E1 — Solicitação'!$E79:$L79,"N/A")=8,"Bloqueado",IF(COUNTIF('E1 — Solicitação'!$E79:$L79,"✔ Concluído")+COUNTIF('E1 — Solicitação'!$E79:$L79,"N/A")=8,"Concluído",IF(COUNTIF('E1 — Solicitação'!$E79:$L79,"✔ Concluído")+COUNTIF('E1 — Solicitação'!$E79:$L79,"🔄 Em andamento")&gt;0,"Em andamento","Não iniciado"))))))</f>
        <v/>
      </c>
      <c r="F97" s="234" t="str">
        <f>IF($B97="","",IF($E97&lt;&gt;"Concluído","Não iniciado",IF(COUNTIF(Lançamentos!$B$3:$B$1001,$B97)=0,"Bloqueado",IF('E2 — Triagem'!$D79="","Bloqueado",IF(COUNTIF('E2 — Triagem'!$E79:$L79,"N/A")=8,"Bloqueado",IF(COUNTIF('E2 — Triagem'!$E79:$L79,"⛔ Bloqueado")&gt;0,"Bloqueado",IF(COUNTIF('E2 — Triagem'!$E79:$L79,"✔ Concluído")+COUNTIF('E2 — Triagem'!$E79:$L79,"N/A")=8,"Concluído",IF(COUNTIF('E2 — Triagem'!$E79:$L79,"✔ Concluído")+COUNTIF('E2 — Triagem'!$E79:$L79,"🔄 Em andamento")&gt;0,"Em andamento","Não iniciado"))))))))</f>
        <v/>
      </c>
      <c r="G97" s="234" t="str">
        <f>IF($B97="","",IF($F97&lt;&gt;"Concluído","Não iniciado",IF(COUNTIF(Lançamentos!$B$3:$B$1001,$B97)=0,"Bloqueado",IF('E3 — Levantamento'!$D79="","Bloqueado",IF(COUNTIF('E3 — Levantamento'!$E79:$I79,"⛔ Bloqueado")&gt;0,"Bloqueado",IF('E3 — Levantamento'!$I79="N/A","Bloqueado",IF(COUNTIF('E3 — Levantamento'!$E79:$I79,"✔ Concluído")=5,"Concluído",IF(COUNTIF('E3 — Levantamento'!$E79:$I79,"✔ Concluído")+COUNTIF('E3 — Levantamento'!$E79:$I79,"🔄 Em andamento")&gt;0,"Em andamento","Não iniciado"))))))))</f>
        <v/>
      </c>
      <c r="H97" s="234" t="str">
        <f>IF($B97="","",IF($G97&lt;&gt;"Concluído","Não iniciado",IF(COUNTIF(Lançamentos!$B$3:$B$1001,$B97)=0,"Bloqueado",IF('E4 — Execução'!$D79="","Bloqueado",IF(COUNTIF('E4 — Execução'!$E79:$K79,"⛔ Bloqueado")&gt;0,"Bloqueado",IF(COUNTIF('E4 — Execução'!$E79:$K79,"✔ Concluído")=7,"Concluído",IF(COUNTIF('E4 — Execução'!$E79:$K79,"✔ Concluído")+COUNTIF('E4 — Execução'!$E79:$K79,"🔄 Em andamento")&gt;0,"Em andamento","Não iniciado")))))))</f>
        <v/>
      </c>
      <c r="I97" s="234" t="str">
        <f>IF($B97="","",IF($H97&lt;&gt;"Concluído","Não iniciado",IF(COUNTIF(Lançamentos!$B$3:$B$1001,$B97)=0,"Bloqueado",IF('E5 — Validação'!$D79="","Bloqueado",IF(COUNTIF('E5 — Validação'!$E79:$I79,"⛔ Bloqueado")&gt;0,"Bloqueado",IF('E5 — Validação'!$I79="N/A","Bloqueado",IF(AND('E5 — Validação'!$E79="✔ Concluído",'E5 — Validação'!$F79="✔ Concluído",OR('E5 — Validação'!$G79="✔ Concluído",'E5 — Validação'!$G79="N/A"),'E5 — Validação'!$H79="✔ Concluído",'E5 — Validação'!$I79="✔ Concluído"),"Concluído",IF(COUNTIF('E5 — Validação'!$E79:$I79,"✔ Concluído")+COUNTIF('E5 — Validação'!$E79:$I79,"🔄 Em andamento")&gt;0,"Em andamento","Não iniciado"))))))))</f>
        <v/>
      </c>
      <c r="J97" s="234" t="str">
        <f>IF($B97="","",IF($I97&lt;&gt;"Concluído","Não iniciado",IF('E6 — Ajustes'!$N79="Não","N/A",IF(COUNTIF(Lançamentos!$B$3:$B$1001,$B97)=0,"Bloqueado",IF('E6 — Ajustes'!$D79="","Bloqueado",IF(COUNTIF('E6 — Ajustes'!$E79:$J79,"⛔ Bloqueado")&gt;0,"Bloqueado",IF(AND('E6 — Ajustes'!$E79="✔ Concluído",'E6 — Ajustes'!$F79="✔ Concluído",'E6 — Ajustes'!$G79="✔ Concluído",'E6 — Ajustes'!$H79="✔ Concluído",OR('E6 — Ajustes'!$I79="✔ Concluído",'E6 — Ajustes'!$I79="N/A"),'E6 — Ajustes'!$J79="✔ Concluído"),"Concluído",IF(COUNTIF('E6 — Ajustes'!$E79:$J79,"✔ Concluído")+COUNTIF('E6 — Ajustes'!$E79:$J79,"🔄 Em andamento")&gt;0,"Em andamento","Não iniciado"))))))))</f>
        <v/>
      </c>
      <c r="K97" s="234" t="str">
        <f>IF($B97="","",IF($I97&lt;&gt;"Concluído","Não iniciado",IF(AND($J97&lt;&gt;"Concluído",$J97&lt;&gt;"N/A"),"Não iniciado",IF(COUNTIF(Lançamentos!$B$3:$B$1001,$B97)=0,"Bloqueado",IF('E7 — Entrega'!$D79="","Bloqueado",IF(COUNTIF('E7 — Entrega'!$E79:$H79,"⛔ Bloqueado")&gt;0,"Bloqueado",IF(COUNTIF('E7 — Entrega'!$E79:$H79,"✔ Concluído")=4,"Concluído",IF(COUNTIF('E7 — Entrega'!$E79:$H79,"✔ Concluído")+COUNTIF('E7 — Entrega'!$E79:$H79,"🔄 Em andamento")&gt;0,"Em andamento","Não iniciado"))))))))</f>
        <v/>
      </c>
      <c r="L97" s="234" t="str">
        <f>IF($B97="","",IF($K97&lt;&gt;"Concluído","Não iniciado",IF(OR(COUNTIF('E08 — Estabilização Hypercare'!$E79:$J79,"⛔ Bloqueado")&gt;0,'E08 — Estabilização Hypercare'!$N79="⛔ Incidente Crítico — Encerramento Bloqueado",AND('E08 — Estabilização Hypercare'!$N79="🆕 Evolução Identificada — Nova Demanda Aberta",'E08 — Estabilização Hypercare'!$U79="")),"Bloqueado",IF(AND('E08 — Estabilização Hypercare'!$E79="✔ Concluído",'E08 — Estabilização Hypercare'!$F79="✔ Concluído",'E08 — Estabilização Hypercare'!$G79="✔ Concluído",OR('E08 — Estabilização Hypercare'!$H79="✔ Concluído",'E08 — Estabilização Hypercare'!$H79="N/A"),'E08 — Estabilização Hypercare'!$I79="✔ Concluído",'E08 — Estabilização Hypercare'!$J79="✔ Concluído",OR('E08 — Estabilização Hypercare'!$N79="✅ Estável — Demanda Encerrada",AND('E08 — Estabilização Hypercare'!$N79="🆕 Evolução Identificada — Nova Demanda Aberta",'E08 — Estabilização Hypercare'!$U79&lt;&gt;""))),"Concluído",IF(OR(COUNTIF('E08 — Estabilização Hypercare'!$E79:$J79,"✔ Concluído")&gt;0,COUNTIF('E08 — Estabilização Hypercare'!$E79:$J79,"🔄 Em andamento")&gt;0,'E08 — Estabilização Hypercare'!$N79&lt;&gt;""),"Em andamento","Não iniciado")))))</f>
        <v/>
      </c>
      <c r="M97" s="236" t="str" cm="1">
        <f t="array" ref="M97">IF(B97="","",_xlfn.IFS(E97&lt;&gt;"Concluído","E1 — Solicitação",F97&lt;&gt;"Concluído","E2 — Triagem",G97&lt;&gt;"Concluído","E3 — Levantamento ⚠",H97&lt;&gt;"Concluído","E4 — Execução",I97&lt;&gt;"Concluído","E5 — Validação ⚠",AND(J97&lt;&gt;"Concluído",J97&lt;&gt;"N/A"),"E6 — Ajustes",K97&lt;&gt;"Concluído","E7 — Entrega",L97&lt;&gt;"Concluído","E08 — Estabilização / Hypercare",TRUE,"✔ Fluxo concluído"))</f>
        <v/>
      </c>
      <c r="N97" s="237" t="str">
        <f t="shared" si="1"/>
        <v/>
      </c>
      <c r="O97" s="238"/>
    </row>
    <row r="98" spans="2:15" ht="15" customHeight="1" x14ac:dyDescent="0.35">
      <c r="B98" s="234" t="str">
        <f>IF(Lançamentos!$B75="","",Lançamentos!$B75)</f>
        <v/>
      </c>
      <c r="C98" s="235" t="str">
        <f>IF($B98="","",Lançamentos!$J75)</f>
        <v/>
      </c>
      <c r="D98" s="235" t="str">
        <f>IF($B98="","",Lançamentos!$H75)</f>
        <v/>
      </c>
      <c r="E98" s="234" t="str">
        <f>IF($B98="","",IF(COUNTIF(Lançamentos!$B$3:$B$1001,$B98)=0,"Bloqueado",IF(COUNTIF('E1 — Solicitação'!$E80:$L80,"⛔ Bloqueado")&gt;0,"Bloqueado",IF(COUNTIF('E1 — Solicitação'!$E80:$L80,"N/A")=8,"Bloqueado",IF(COUNTIF('E1 — Solicitação'!$E80:$L80,"✔ Concluído")+COUNTIF('E1 — Solicitação'!$E80:$L80,"N/A")=8,"Concluído",IF(COUNTIF('E1 — Solicitação'!$E80:$L80,"✔ Concluído")+COUNTIF('E1 — Solicitação'!$E80:$L80,"🔄 Em andamento")&gt;0,"Em andamento","Não iniciado"))))))</f>
        <v/>
      </c>
      <c r="F98" s="234" t="str">
        <f>IF($B98="","",IF($E98&lt;&gt;"Concluído","Não iniciado",IF(COUNTIF(Lançamentos!$B$3:$B$1001,$B98)=0,"Bloqueado",IF('E2 — Triagem'!$D80="","Bloqueado",IF(COUNTIF('E2 — Triagem'!$E80:$L80,"N/A")=8,"Bloqueado",IF(COUNTIF('E2 — Triagem'!$E80:$L80,"⛔ Bloqueado")&gt;0,"Bloqueado",IF(COUNTIF('E2 — Triagem'!$E80:$L80,"✔ Concluído")+COUNTIF('E2 — Triagem'!$E80:$L80,"N/A")=8,"Concluído",IF(COUNTIF('E2 — Triagem'!$E80:$L80,"✔ Concluído")+COUNTIF('E2 — Triagem'!$E80:$L80,"🔄 Em andamento")&gt;0,"Em andamento","Não iniciado"))))))))</f>
        <v/>
      </c>
      <c r="G98" s="234" t="str">
        <f>IF($B98="","",IF($F98&lt;&gt;"Concluído","Não iniciado",IF(COUNTIF(Lançamentos!$B$3:$B$1001,$B98)=0,"Bloqueado",IF('E3 — Levantamento'!$D80="","Bloqueado",IF(COUNTIF('E3 — Levantamento'!$E80:$I80,"⛔ Bloqueado")&gt;0,"Bloqueado",IF('E3 — Levantamento'!$I80="N/A","Bloqueado",IF(COUNTIF('E3 — Levantamento'!$E80:$I80,"✔ Concluído")=5,"Concluído",IF(COUNTIF('E3 — Levantamento'!$E80:$I80,"✔ Concluído")+COUNTIF('E3 — Levantamento'!$E80:$I80,"🔄 Em andamento")&gt;0,"Em andamento","Não iniciado"))))))))</f>
        <v/>
      </c>
      <c r="H98" s="234" t="str">
        <f>IF($B98="","",IF($G98&lt;&gt;"Concluído","Não iniciado",IF(COUNTIF(Lançamentos!$B$3:$B$1001,$B98)=0,"Bloqueado",IF('E4 — Execução'!$D80="","Bloqueado",IF(COUNTIF('E4 — Execução'!$E80:$K80,"⛔ Bloqueado")&gt;0,"Bloqueado",IF(COUNTIF('E4 — Execução'!$E80:$K80,"✔ Concluído")=7,"Concluído",IF(COUNTIF('E4 — Execução'!$E80:$K80,"✔ Concluído")+COUNTIF('E4 — Execução'!$E80:$K80,"🔄 Em andamento")&gt;0,"Em andamento","Não iniciado")))))))</f>
        <v/>
      </c>
      <c r="I98" s="234" t="str">
        <f>IF($B98="","",IF($H98&lt;&gt;"Concluído","Não iniciado",IF(COUNTIF(Lançamentos!$B$3:$B$1001,$B98)=0,"Bloqueado",IF('E5 — Validação'!$D80="","Bloqueado",IF(COUNTIF('E5 — Validação'!$E80:$I80,"⛔ Bloqueado")&gt;0,"Bloqueado",IF('E5 — Validação'!$I80="N/A","Bloqueado",IF(AND('E5 — Validação'!$E80="✔ Concluído",'E5 — Validação'!$F80="✔ Concluído",OR('E5 — Validação'!$G80="✔ Concluído",'E5 — Validação'!$G80="N/A"),'E5 — Validação'!$H80="✔ Concluído",'E5 — Validação'!$I80="✔ Concluído"),"Concluído",IF(COUNTIF('E5 — Validação'!$E80:$I80,"✔ Concluído")+COUNTIF('E5 — Validação'!$E80:$I80,"🔄 Em andamento")&gt;0,"Em andamento","Não iniciado"))))))))</f>
        <v/>
      </c>
      <c r="J98" s="234" t="str">
        <f>IF($B98="","",IF($I98&lt;&gt;"Concluído","Não iniciado",IF('E6 — Ajustes'!$N80="Não","N/A",IF(COUNTIF(Lançamentos!$B$3:$B$1001,$B98)=0,"Bloqueado",IF('E6 — Ajustes'!$D80="","Bloqueado",IF(COUNTIF('E6 — Ajustes'!$E80:$J80,"⛔ Bloqueado")&gt;0,"Bloqueado",IF(AND('E6 — Ajustes'!$E80="✔ Concluído",'E6 — Ajustes'!$F80="✔ Concluído",'E6 — Ajustes'!$G80="✔ Concluído",'E6 — Ajustes'!$H80="✔ Concluído",OR('E6 — Ajustes'!$I80="✔ Concluído",'E6 — Ajustes'!$I80="N/A"),'E6 — Ajustes'!$J80="✔ Concluído"),"Concluído",IF(COUNTIF('E6 — Ajustes'!$E80:$J80,"✔ Concluído")+COUNTIF('E6 — Ajustes'!$E80:$J80,"🔄 Em andamento")&gt;0,"Em andamento","Não iniciado"))))))))</f>
        <v/>
      </c>
      <c r="K98" s="234" t="str">
        <f>IF($B98="","",IF($I98&lt;&gt;"Concluído","Não iniciado",IF(AND($J98&lt;&gt;"Concluído",$J98&lt;&gt;"N/A"),"Não iniciado",IF(COUNTIF(Lançamentos!$B$3:$B$1001,$B98)=0,"Bloqueado",IF('E7 — Entrega'!$D80="","Bloqueado",IF(COUNTIF('E7 — Entrega'!$E80:$H80,"⛔ Bloqueado")&gt;0,"Bloqueado",IF(COUNTIF('E7 — Entrega'!$E80:$H80,"✔ Concluído")=4,"Concluído",IF(COUNTIF('E7 — Entrega'!$E80:$H80,"✔ Concluído")+COUNTIF('E7 — Entrega'!$E80:$H80,"🔄 Em andamento")&gt;0,"Em andamento","Não iniciado"))))))))</f>
        <v/>
      </c>
      <c r="L98" s="234" t="str">
        <f>IF($B98="","",IF($K98&lt;&gt;"Concluído","Não iniciado",IF(OR(COUNTIF('E08 — Estabilização Hypercare'!$E80:$J80,"⛔ Bloqueado")&gt;0,'E08 — Estabilização Hypercare'!$N80="⛔ Incidente Crítico — Encerramento Bloqueado",AND('E08 — Estabilização Hypercare'!$N80="🆕 Evolução Identificada — Nova Demanda Aberta",'E08 — Estabilização Hypercare'!$U80="")),"Bloqueado",IF(AND('E08 — Estabilização Hypercare'!$E80="✔ Concluído",'E08 — Estabilização Hypercare'!$F80="✔ Concluído",'E08 — Estabilização Hypercare'!$G80="✔ Concluído",OR('E08 — Estabilização Hypercare'!$H80="✔ Concluído",'E08 — Estabilização Hypercare'!$H80="N/A"),'E08 — Estabilização Hypercare'!$I80="✔ Concluído",'E08 — Estabilização Hypercare'!$J80="✔ Concluído",OR('E08 — Estabilização Hypercare'!$N80="✅ Estável — Demanda Encerrada",AND('E08 — Estabilização Hypercare'!$N80="🆕 Evolução Identificada — Nova Demanda Aberta",'E08 — Estabilização Hypercare'!$U80&lt;&gt;""))),"Concluído",IF(OR(COUNTIF('E08 — Estabilização Hypercare'!$E80:$J80,"✔ Concluído")&gt;0,COUNTIF('E08 — Estabilização Hypercare'!$E80:$J80,"🔄 Em andamento")&gt;0,'E08 — Estabilização Hypercare'!$N80&lt;&gt;""),"Em andamento","Não iniciado")))))</f>
        <v/>
      </c>
      <c r="M98" s="236" t="str" cm="1">
        <f t="array" ref="M98">IF(B98="","",_xlfn.IFS(E98&lt;&gt;"Concluído","E1 — Solicitação",F98&lt;&gt;"Concluído","E2 — Triagem",G98&lt;&gt;"Concluído","E3 — Levantamento ⚠",H98&lt;&gt;"Concluído","E4 — Execução",I98&lt;&gt;"Concluído","E5 — Validação ⚠",AND(J98&lt;&gt;"Concluído",J98&lt;&gt;"N/A"),"E6 — Ajustes",K98&lt;&gt;"Concluído","E7 — Entrega",L98&lt;&gt;"Concluído","E08 — Estabilização / Hypercare",TRUE,"✔ Fluxo concluído"))</f>
        <v/>
      </c>
      <c r="N98" s="237" t="str">
        <f t="shared" si="1"/>
        <v/>
      </c>
      <c r="O98" s="238"/>
    </row>
    <row r="99" spans="2:15" ht="15" customHeight="1" x14ac:dyDescent="0.35">
      <c r="B99" s="234" t="str">
        <f>IF(Lançamentos!$B76="","",Lançamentos!$B76)</f>
        <v/>
      </c>
      <c r="C99" s="235" t="str">
        <f>IF($B99="","",Lançamentos!$J76)</f>
        <v/>
      </c>
      <c r="D99" s="235" t="str">
        <f>IF($B99="","",Lançamentos!$H76)</f>
        <v/>
      </c>
      <c r="E99" s="234" t="str">
        <f>IF($B99="","",IF(COUNTIF(Lançamentos!$B$3:$B$1001,$B99)=0,"Bloqueado",IF(COUNTIF('E1 — Solicitação'!$E81:$L81,"⛔ Bloqueado")&gt;0,"Bloqueado",IF(COUNTIF('E1 — Solicitação'!$E81:$L81,"N/A")=8,"Bloqueado",IF(COUNTIF('E1 — Solicitação'!$E81:$L81,"✔ Concluído")+COUNTIF('E1 — Solicitação'!$E81:$L81,"N/A")=8,"Concluído",IF(COUNTIF('E1 — Solicitação'!$E81:$L81,"✔ Concluído")+COUNTIF('E1 — Solicitação'!$E81:$L81,"🔄 Em andamento")&gt;0,"Em andamento","Não iniciado"))))))</f>
        <v/>
      </c>
      <c r="F99" s="234" t="str">
        <f>IF($B99="","",IF($E99&lt;&gt;"Concluído","Não iniciado",IF(COUNTIF(Lançamentos!$B$3:$B$1001,$B99)=0,"Bloqueado",IF('E2 — Triagem'!$D81="","Bloqueado",IF(COUNTIF('E2 — Triagem'!$E81:$L81,"N/A")=8,"Bloqueado",IF(COUNTIF('E2 — Triagem'!$E81:$L81,"⛔ Bloqueado")&gt;0,"Bloqueado",IF(COUNTIF('E2 — Triagem'!$E81:$L81,"✔ Concluído")+COUNTIF('E2 — Triagem'!$E81:$L81,"N/A")=8,"Concluído",IF(COUNTIF('E2 — Triagem'!$E81:$L81,"✔ Concluído")+COUNTIF('E2 — Triagem'!$E81:$L81,"🔄 Em andamento")&gt;0,"Em andamento","Não iniciado"))))))))</f>
        <v/>
      </c>
      <c r="G99" s="234" t="str">
        <f>IF($B99="","",IF($F99&lt;&gt;"Concluído","Não iniciado",IF(COUNTIF(Lançamentos!$B$3:$B$1001,$B99)=0,"Bloqueado",IF('E3 — Levantamento'!$D81="","Bloqueado",IF(COUNTIF('E3 — Levantamento'!$E81:$I81,"⛔ Bloqueado")&gt;0,"Bloqueado",IF('E3 — Levantamento'!$I81="N/A","Bloqueado",IF(COUNTIF('E3 — Levantamento'!$E81:$I81,"✔ Concluído")=5,"Concluído",IF(COUNTIF('E3 — Levantamento'!$E81:$I81,"✔ Concluído")+COUNTIF('E3 — Levantamento'!$E81:$I81,"🔄 Em andamento")&gt;0,"Em andamento","Não iniciado"))))))))</f>
        <v/>
      </c>
      <c r="H99" s="234" t="str">
        <f>IF($B99="","",IF($G99&lt;&gt;"Concluído","Não iniciado",IF(COUNTIF(Lançamentos!$B$3:$B$1001,$B99)=0,"Bloqueado",IF('E4 — Execução'!$D81="","Bloqueado",IF(COUNTIF('E4 — Execução'!$E81:$K81,"⛔ Bloqueado")&gt;0,"Bloqueado",IF(COUNTIF('E4 — Execução'!$E81:$K81,"✔ Concluído")=7,"Concluído",IF(COUNTIF('E4 — Execução'!$E81:$K81,"✔ Concluído")+COUNTIF('E4 — Execução'!$E81:$K81,"🔄 Em andamento")&gt;0,"Em andamento","Não iniciado")))))))</f>
        <v/>
      </c>
      <c r="I99" s="234" t="str">
        <f>IF($B99="","",IF($H99&lt;&gt;"Concluído","Não iniciado",IF(COUNTIF(Lançamentos!$B$3:$B$1001,$B99)=0,"Bloqueado",IF('E5 — Validação'!$D81="","Bloqueado",IF(COUNTIF('E5 — Validação'!$E81:$I81,"⛔ Bloqueado")&gt;0,"Bloqueado",IF('E5 — Validação'!$I81="N/A","Bloqueado",IF(AND('E5 — Validação'!$E81="✔ Concluído",'E5 — Validação'!$F81="✔ Concluído",OR('E5 — Validação'!$G81="✔ Concluído",'E5 — Validação'!$G81="N/A"),'E5 — Validação'!$H81="✔ Concluído",'E5 — Validação'!$I81="✔ Concluído"),"Concluído",IF(COUNTIF('E5 — Validação'!$E81:$I81,"✔ Concluído")+COUNTIF('E5 — Validação'!$E81:$I81,"🔄 Em andamento")&gt;0,"Em andamento","Não iniciado"))))))))</f>
        <v/>
      </c>
      <c r="J99" s="234" t="str">
        <f>IF($B99="","",IF($I99&lt;&gt;"Concluído","Não iniciado",IF('E6 — Ajustes'!$N81="Não","N/A",IF(COUNTIF(Lançamentos!$B$3:$B$1001,$B99)=0,"Bloqueado",IF('E6 — Ajustes'!$D81="","Bloqueado",IF(COUNTIF('E6 — Ajustes'!$E81:$J81,"⛔ Bloqueado")&gt;0,"Bloqueado",IF(AND('E6 — Ajustes'!$E81="✔ Concluído",'E6 — Ajustes'!$F81="✔ Concluído",'E6 — Ajustes'!$G81="✔ Concluído",'E6 — Ajustes'!$H81="✔ Concluído",OR('E6 — Ajustes'!$I81="✔ Concluído",'E6 — Ajustes'!$I81="N/A"),'E6 — Ajustes'!$J81="✔ Concluído"),"Concluído",IF(COUNTIF('E6 — Ajustes'!$E81:$J81,"✔ Concluído")+COUNTIF('E6 — Ajustes'!$E81:$J81,"🔄 Em andamento")&gt;0,"Em andamento","Não iniciado"))))))))</f>
        <v/>
      </c>
      <c r="K99" s="234" t="str">
        <f>IF($B99="","",IF($I99&lt;&gt;"Concluído","Não iniciado",IF(AND($J99&lt;&gt;"Concluído",$J99&lt;&gt;"N/A"),"Não iniciado",IF(COUNTIF(Lançamentos!$B$3:$B$1001,$B99)=0,"Bloqueado",IF('E7 — Entrega'!$D81="","Bloqueado",IF(COUNTIF('E7 — Entrega'!$E81:$H81,"⛔ Bloqueado")&gt;0,"Bloqueado",IF(COUNTIF('E7 — Entrega'!$E81:$H81,"✔ Concluído")=4,"Concluído",IF(COUNTIF('E7 — Entrega'!$E81:$H81,"✔ Concluído")+COUNTIF('E7 — Entrega'!$E81:$H81,"🔄 Em andamento")&gt;0,"Em andamento","Não iniciado"))))))))</f>
        <v/>
      </c>
      <c r="L99" s="234" t="str">
        <f>IF($B99="","",IF($K99&lt;&gt;"Concluído","Não iniciado",IF(OR(COUNTIF('E08 — Estabilização Hypercare'!$E81:$J81,"⛔ Bloqueado")&gt;0,'E08 — Estabilização Hypercare'!$N81="⛔ Incidente Crítico — Encerramento Bloqueado",AND('E08 — Estabilização Hypercare'!$N81="🆕 Evolução Identificada — Nova Demanda Aberta",'E08 — Estabilização Hypercare'!$U81="")),"Bloqueado",IF(AND('E08 — Estabilização Hypercare'!$E81="✔ Concluído",'E08 — Estabilização Hypercare'!$F81="✔ Concluído",'E08 — Estabilização Hypercare'!$G81="✔ Concluído",OR('E08 — Estabilização Hypercare'!$H81="✔ Concluído",'E08 — Estabilização Hypercare'!$H81="N/A"),'E08 — Estabilização Hypercare'!$I81="✔ Concluído",'E08 — Estabilização Hypercare'!$J81="✔ Concluído",OR('E08 — Estabilização Hypercare'!$N81="✅ Estável — Demanda Encerrada",AND('E08 — Estabilização Hypercare'!$N81="🆕 Evolução Identificada — Nova Demanda Aberta",'E08 — Estabilização Hypercare'!$U81&lt;&gt;""))),"Concluído",IF(OR(COUNTIF('E08 — Estabilização Hypercare'!$E81:$J81,"✔ Concluído")&gt;0,COUNTIF('E08 — Estabilização Hypercare'!$E81:$J81,"🔄 Em andamento")&gt;0,'E08 — Estabilização Hypercare'!$N81&lt;&gt;""),"Em andamento","Não iniciado")))))</f>
        <v/>
      </c>
      <c r="M99" s="236" t="str" cm="1">
        <f t="array" ref="M99">IF(B99="","",_xlfn.IFS(E99&lt;&gt;"Concluído","E1 — Solicitação",F99&lt;&gt;"Concluído","E2 — Triagem",G99&lt;&gt;"Concluído","E3 — Levantamento ⚠",H99&lt;&gt;"Concluído","E4 — Execução",I99&lt;&gt;"Concluído","E5 — Validação ⚠",AND(J99&lt;&gt;"Concluído",J99&lt;&gt;"N/A"),"E6 — Ajustes",K99&lt;&gt;"Concluído","E7 — Entrega",L99&lt;&gt;"Concluído","E08 — Estabilização / Hypercare",TRUE,"✔ Fluxo concluído"))</f>
        <v/>
      </c>
      <c r="N99" s="237" t="str">
        <f t="shared" si="1"/>
        <v/>
      </c>
      <c r="O99" s="238"/>
    </row>
    <row r="100" spans="2:15" ht="15" customHeight="1" x14ac:dyDescent="0.35">
      <c r="B100" s="234" t="str">
        <f>IF(Lançamentos!$B77="","",Lançamentos!$B77)</f>
        <v/>
      </c>
      <c r="C100" s="235" t="str">
        <f>IF($B100="","",Lançamentos!$J77)</f>
        <v/>
      </c>
      <c r="D100" s="235" t="str">
        <f>IF($B100="","",Lançamentos!$H77)</f>
        <v/>
      </c>
      <c r="E100" s="234" t="str">
        <f>IF($B100="","",IF(COUNTIF(Lançamentos!$B$3:$B$1001,$B100)=0,"Bloqueado",IF(COUNTIF('E1 — Solicitação'!$E82:$L82,"⛔ Bloqueado")&gt;0,"Bloqueado",IF(COUNTIF('E1 — Solicitação'!$E82:$L82,"N/A")=8,"Bloqueado",IF(COUNTIF('E1 — Solicitação'!$E82:$L82,"✔ Concluído")+COUNTIF('E1 — Solicitação'!$E82:$L82,"N/A")=8,"Concluído",IF(COUNTIF('E1 — Solicitação'!$E82:$L82,"✔ Concluído")+COUNTIF('E1 — Solicitação'!$E82:$L82,"🔄 Em andamento")&gt;0,"Em andamento","Não iniciado"))))))</f>
        <v/>
      </c>
      <c r="F100" s="234" t="str">
        <f>IF($B100="","",IF($E100&lt;&gt;"Concluído","Não iniciado",IF(COUNTIF(Lançamentos!$B$3:$B$1001,$B100)=0,"Bloqueado",IF('E2 — Triagem'!$D82="","Bloqueado",IF(COUNTIF('E2 — Triagem'!$E82:$L82,"N/A")=8,"Bloqueado",IF(COUNTIF('E2 — Triagem'!$E82:$L82,"⛔ Bloqueado")&gt;0,"Bloqueado",IF(COUNTIF('E2 — Triagem'!$E82:$L82,"✔ Concluído")+COUNTIF('E2 — Triagem'!$E82:$L82,"N/A")=8,"Concluído",IF(COUNTIF('E2 — Triagem'!$E82:$L82,"✔ Concluído")+COUNTIF('E2 — Triagem'!$E82:$L82,"🔄 Em andamento")&gt;0,"Em andamento","Não iniciado"))))))))</f>
        <v/>
      </c>
      <c r="G100" s="234" t="str">
        <f>IF($B100="","",IF($F100&lt;&gt;"Concluído","Não iniciado",IF(COUNTIF(Lançamentos!$B$3:$B$1001,$B100)=0,"Bloqueado",IF('E3 — Levantamento'!$D82="","Bloqueado",IF(COUNTIF('E3 — Levantamento'!$E82:$I82,"⛔ Bloqueado")&gt;0,"Bloqueado",IF('E3 — Levantamento'!$I82="N/A","Bloqueado",IF(COUNTIF('E3 — Levantamento'!$E82:$I82,"✔ Concluído")=5,"Concluído",IF(COUNTIF('E3 — Levantamento'!$E82:$I82,"✔ Concluído")+COUNTIF('E3 — Levantamento'!$E82:$I82,"🔄 Em andamento")&gt;0,"Em andamento","Não iniciado"))))))))</f>
        <v/>
      </c>
      <c r="H100" s="234" t="str">
        <f>IF($B100="","",IF($G100&lt;&gt;"Concluído","Não iniciado",IF(COUNTIF(Lançamentos!$B$3:$B$1001,$B100)=0,"Bloqueado",IF('E4 — Execução'!$D82="","Bloqueado",IF(COUNTIF('E4 — Execução'!$E82:$K82,"⛔ Bloqueado")&gt;0,"Bloqueado",IF(COUNTIF('E4 — Execução'!$E82:$K82,"✔ Concluído")=7,"Concluído",IF(COUNTIF('E4 — Execução'!$E82:$K82,"✔ Concluído")+COUNTIF('E4 — Execução'!$E82:$K82,"🔄 Em andamento")&gt;0,"Em andamento","Não iniciado")))))))</f>
        <v/>
      </c>
      <c r="I100" s="234" t="str">
        <f>IF($B100="","",IF($H100&lt;&gt;"Concluído","Não iniciado",IF(COUNTIF(Lançamentos!$B$3:$B$1001,$B100)=0,"Bloqueado",IF('E5 — Validação'!$D82="","Bloqueado",IF(COUNTIF('E5 — Validação'!$E82:$I82,"⛔ Bloqueado")&gt;0,"Bloqueado",IF('E5 — Validação'!$I82="N/A","Bloqueado",IF(AND('E5 — Validação'!$E82="✔ Concluído",'E5 — Validação'!$F82="✔ Concluído",OR('E5 — Validação'!$G82="✔ Concluído",'E5 — Validação'!$G82="N/A"),'E5 — Validação'!$H82="✔ Concluído",'E5 — Validação'!$I82="✔ Concluído"),"Concluído",IF(COUNTIF('E5 — Validação'!$E82:$I82,"✔ Concluído")+COUNTIF('E5 — Validação'!$E82:$I82,"🔄 Em andamento")&gt;0,"Em andamento","Não iniciado"))))))))</f>
        <v/>
      </c>
      <c r="J100" s="234" t="str">
        <f>IF($B100="","",IF($I100&lt;&gt;"Concluído","Não iniciado",IF('E6 — Ajustes'!$N82="Não","N/A",IF(COUNTIF(Lançamentos!$B$3:$B$1001,$B100)=0,"Bloqueado",IF('E6 — Ajustes'!$D82="","Bloqueado",IF(COUNTIF('E6 — Ajustes'!$E82:$J82,"⛔ Bloqueado")&gt;0,"Bloqueado",IF(AND('E6 — Ajustes'!$E82="✔ Concluído",'E6 — Ajustes'!$F82="✔ Concluído",'E6 — Ajustes'!$G82="✔ Concluído",'E6 — Ajustes'!$H82="✔ Concluído",OR('E6 — Ajustes'!$I82="✔ Concluído",'E6 — Ajustes'!$I82="N/A"),'E6 — Ajustes'!$J82="✔ Concluído"),"Concluído",IF(COUNTIF('E6 — Ajustes'!$E82:$J82,"✔ Concluído")+COUNTIF('E6 — Ajustes'!$E82:$J82,"🔄 Em andamento")&gt;0,"Em andamento","Não iniciado"))))))))</f>
        <v/>
      </c>
      <c r="K100" s="234" t="str">
        <f>IF($B100="","",IF($I100&lt;&gt;"Concluído","Não iniciado",IF(AND($J100&lt;&gt;"Concluído",$J100&lt;&gt;"N/A"),"Não iniciado",IF(COUNTIF(Lançamentos!$B$3:$B$1001,$B100)=0,"Bloqueado",IF('E7 — Entrega'!$D82="","Bloqueado",IF(COUNTIF('E7 — Entrega'!$E82:$H82,"⛔ Bloqueado")&gt;0,"Bloqueado",IF(COUNTIF('E7 — Entrega'!$E82:$H82,"✔ Concluído")=4,"Concluído",IF(COUNTIF('E7 — Entrega'!$E82:$H82,"✔ Concluído")+COUNTIF('E7 — Entrega'!$E82:$H82,"🔄 Em andamento")&gt;0,"Em andamento","Não iniciado"))))))))</f>
        <v/>
      </c>
      <c r="L100" s="234" t="str">
        <f>IF($B100="","",IF($K100&lt;&gt;"Concluído","Não iniciado",IF(OR(COUNTIF('E08 — Estabilização Hypercare'!$E82:$J82,"⛔ Bloqueado")&gt;0,'E08 — Estabilização Hypercare'!$N82="⛔ Incidente Crítico — Encerramento Bloqueado",AND('E08 — Estabilização Hypercare'!$N82="🆕 Evolução Identificada — Nova Demanda Aberta",'E08 — Estabilização Hypercare'!$U82="")),"Bloqueado",IF(AND('E08 — Estabilização Hypercare'!$E82="✔ Concluído",'E08 — Estabilização Hypercare'!$F82="✔ Concluído",'E08 — Estabilização Hypercare'!$G82="✔ Concluído",OR('E08 — Estabilização Hypercare'!$H82="✔ Concluído",'E08 — Estabilização Hypercare'!$H82="N/A"),'E08 — Estabilização Hypercare'!$I82="✔ Concluído",'E08 — Estabilização Hypercare'!$J82="✔ Concluído",OR('E08 — Estabilização Hypercare'!$N82="✅ Estável — Demanda Encerrada",AND('E08 — Estabilização Hypercare'!$N82="🆕 Evolução Identificada — Nova Demanda Aberta",'E08 — Estabilização Hypercare'!$U82&lt;&gt;""))),"Concluído",IF(OR(COUNTIF('E08 — Estabilização Hypercare'!$E82:$J82,"✔ Concluído")&gt;0,COUNTIF('E08 — Estabilização Hypercare'!$E82:$J82,"🔄 Em andamento")&gt;0,'E08 — Estabilização Hypercare'!$N82&lt;&gt;""),"Em andamento","Não iniciado")))))</f>
        <v/>
      </c>
      <c r="M100" s="236" t="str" cm="1">
        <f t="array" ref="M100">IF(B100="","",_xlfn.IFS(E100&lt;&gt;"Concluído","E1 — Solicitação",F100&lt;&gt;"Concluído","E2 — Triagem",G100&lt;&gt;"Concluído","E3 — Levantamento ⚠",H100&lt;&gt;"Concluído","E4 — Execução",I100&lt;&gt;"Concluído","E5 — Validação ⚠",AND(J100&lt;&gt;"Concluído",J100&lt;&gt;"N/A"),"E6 — Ajustes",K100&lt;&gt;"Concluído","E7 — Entrega",L100&lt;&gt;"Concluído","E08 — Estabilização / Hypercare",TRUE,"✔ Fluxo concluído"))</f>
        <v/>
      </c>
      <c r="N100" s="237" t="str">
        <f t="shared" si="1"/>
        <v/>
      </c>
      <c r="O100" s="238"/>
    </row>
    <row r="101" spans="2:15" ht="15" customHeight="1" x14ac:dyDescent="0.35">
      <c r="B101" s="234" t="str">
        <f>IF(Lançamentos!$B78="","",Lançamentos!$B78)</f>
        <v/>
      </c>
      <c r="C101" s="235" t="str">
        <f>IF($B101="","",Lançamentos!$J78)</f>
        <v/>
      </c>
      <c r="D101" s="235" t="str">
        <f>IF($B101="","",Lançamentos!$H78)</f>
        <v/>
      </c>
      <c r="E101" s="234" t="str">
        <f>IF($B101="","",IF(COUNTIF(Lançamentos!$B$3:$B$1001,$B101)=0,"Bloqueado",IF(COUNTIF('E1 — Solicitação'!$E83:$L83,"⛔ Bloqueado")&gt;0,"Bloqueado",IF(COUNTIF('E1 — Solicitação'!$E83:$L83,"N/A")=8,"Bloqueado",IF(COUNTIF('E1 — Solicitação'!$E83:$L83,"✔ Concluído")+COUNTIF('E1 — Solicitação'!$E83:$L83,"N/A")=8,"Concluído",IF(COUNTIF('E1 — Solicitação'!$E83:$L83,"✔ Concluído")+COUNTIF('E1 — Solicitação'!$E83:$L83,"🔄 Em andamento")&gt;0,"Em andamento","Não iniciado"))))))</f>
        <v/>
      </c>
      <c r="F101" s="234" t="str">
        <f>IF($B101="","",IF($E101&lt;&gt;"Concluído","Não iniciado",IF(COUNTIF(Lançamentos!$B$3:$B$1001,$B101)=0,"Bloqueado",IF('E2 — Triagem'!$D83="","Bloqueado",IF(COUNTIF('E2 — Triagem'!$E83:$L83,"N/A")=8,"Bloqueado",IF(COUNTIF('E2 — Triagem'!$E83:$L83,"⛔ Bloqueado")&gt;0,"Bloqueado",IF(COUNTIF('E2 — Triagem'!$E83:$L83,"✔ Concluído")+COUNTIF('E2 — Triagem'!$E83:$L83,"N/A")=8,"Concluído",IF(COUNTIF('E2 — Triagem'!$E83:$L83,"✔ Concluído")+COUNTIF('E2 — Triagem'!$E83:$L83,"🔄 Em andamento")&gt;0,"Em andamento","Não iniciado"))))))))</f>
        <v/>
      </c>
      <c r="G101" s="234" t="str">
        <f>IF($B101="","",IF($F101&lt;&gt;"Concluído","Não iniciado",IF(COUNTIF(Lançamentos!$B$3:$B$1001,$B101)=0,"Bloqueado",IF('E3 — Levantamento'!$D83="","Bloqueado",IF(COUNTIF('E3 — Levantamento'!$E83:$I83,"⛔ Bloqueado")&gt;0,"Bloqueado",IF('E3 — Levantamento'!$I83="N/A","Bloqueado",IF(COUNTIF('E3 — Levantamento'!$E83:$I83,"✔ Concluído")=5,"Concluído",IF(COUNTIF('E3 — Levantamento'!$E83:$I83,"✔ Concluído")+COUNTIF('E3 — Levantamento'!$E83:$I83,"🔄 Em andamento")&gt;0,"Em andamento","Não iniciado"))))))))</f>
        <v/>
      </c>
      <c r="H101" s="234" t="str">
        <f>IF($B101="","",IF($G101&lt;&gt;"Concluído","Não iniciado",IF(COUNTIF(Lançamentos!$B$3:$B$1001,$B101)=0,"Bloqueado",IF('E4 — Execução'!$D83="","Bloqueado",IF(COUNTIF('E4 — Execução'!$E83:$K83,"⛔ Bloqueado")&gt;0,"Bloqueado",IF(COUNTIF('E4 — Execução'!$E83:$K83,"✔ Concluído")=7,"Concluído",IF(COUNTIF('E4 — Execução'!$E83:$K83,"✔ Concluído")+COUNTIF('E4 — Execução'!$E83:$K83,"🔄 Em andamento")&gt;0,"Em andamento","Não iniciado")))))))</f>
        <v/>
      </c>
      <c r="I101" s="234" t="str">
        <f>IF($B101="","",IF($H101&lt;&gt;"Concluído","Não iniciado",IF(COUNTIF(Lançamentos!$B$3:$B$1001,$B101)=0,"Bloqueado",IF('E5 — Validação'!$D83="","Bloqueado",IF(COUNTIF('E5 — Validação'!$E83:$I83,"⛔ Bloqueado")&gt;0,"Bloqueado",IF('E5 — Validação'!$I83="N/A","Bloqueado",IF(AND('E5 — Validação'!$E83="✔ Concluído",'E5 — Validação'!$F83="✔ Concluído",OR('E5 — Validação'!$G83="✔ Concluído",'E5 — Validação'!$G83="N/A"),'E5 — Validação'!$H83="✔ Concluído",'E5 — Validação'!$I83="✔ Concluído"),"Concluído",IF(COUNTIF('E5 — Validação'!$E83:$I83,"✔ Concluído")+COUNTIF('E5 — Validação'!$E83:$I83,"🔄 Em andamento")&gt;0,"Em andamento","Não iniciado"))))))))</f>
        <v/>
      </c>
      <c r="J101" s="234" t="str">
        <f>IF($B101="","",IF($I101&lt;&gt;"Concluído","Não iniciado",IF('E6 — Ajustes'!$N83="Não","N/A",IF(COUNTIF(Lançamentos!$B$3:$B$1001,$B101)=0,"Bloqueado",IF('E6 — Ajustes'!$D83="","Bloqueado",IF(COUNTIF('E6 — Ajustes'!$E83:$J83,"⛔ Bloqueado")&gt;0,"Bloqueado",IF(AND('E6 — Ajustes'!$E83="✔ Concluído",'E6 — Ajustes'!$F83="✔ Concluído",'E6 — Ajustes'!$G83="✔ Concluído",'E6 — Ajustes'!$H83="✔ Concluído",OR('E6 — Ajustes'!$I83="✔ Concluído",'E6 — Ajustes'!$I83="N/A"),'E6 — Ajustes'!$J83="✔ Concluído"),"Concluído",IF(COUNTIF('E6 — Ajustes'!$E83:$J83,"✔ Concluído")+COUNTIF('E6 — Ajustes'!$E83:$J83,"🔄 Em andamento")&gt;0,"Em andamento","Não iniciado"))))))))</f>
        <v/>
      </c>
      <c r="K101" s="234" t="str">
        <f>IF($B101="","",IF($I101&lt;&gt;"Concluído","Não iniciado",IF(AND($J101&lt;&gt;"Concluído",$J101&lt;&gt;"N/A"),"Não iniciado",IF(COUNTIF(Lançamentos!$B$3:$B$1001,$B101)=0,"Bloqueado",IF('E7 — Entrega'!$D83="","Bloqueado",IF(COUNTIF('E7 — Entrega'!$E83:$H83,"⛔ Bloqueado")&gt;0,"Bloqueado",IF(COUNTIF('E7 — Entrega'!$E83:$H83,"✔ Concluído")=4,"Concluído",IF(COUNTIF('E7 — Entrega'!$E83:$H83,"✔ Concluído")+COUNTIF('E7 — Entrega'!$E83:$H83,"🔄 Em andamento")&gt;0,"Em andamento","Não iniciado"))))))))</f>
        <v/>
      </c>
      <c r="L101" s="234" t="str">
        <f>IF($B101="","",IF($K101&lt;&gt;"Concluído","Não iniciado",IF(OR(COUNTIF('E08 — Estabilização Hypercare'!$E83:$J83,"⛔ Bloqueado")&gt;0,'E08 — Estabilização Hypercare'!$N83="⛔ Incidente Crítico — Encerramento Bloqueado",AND('E08 — Estabilização Hypercare'!$N83="🆕 Evolução Identificada — Nova Demanda Aberta",'E08 — Estabilização Hypercare'!$U83="")),"Bloqueado",IF(AND('E08 — Estabilização Hypercare'!$E83="✔ Concluído",'E08 — Estabilização Hypercare'!$F83="✔ Concluído",'E08 — Estabilização Hypercare'!$G83="✔ Concluído",OR('E08 — Estabilização Hypercare'!$H83="✔ Concluído",'E08 — Estabilização Hypercare'!$H83="N/A"),'E08 — Estabilização Hypercare'!$I83="✔ Concluído",'E08 — Estabilização Hypercare'!$J83="✔ Concluído",OR('E08 — Estabilização Hypercare'!$N83="✅ Estável — Demanda Encerrada",AND('E08 — Estabilização Hypercare'!$N83="🆕 Evolução Identificada — Nova Demanda Aberta",'E08 — Estabilização Hypercare'!$U83&lt;&gt;""))),"Concluído",IF(OR(COUNTIF('E08 — Estabilização Hypercare'!$E83:$J83,"✔ Concluído")&gt;0,COUNTIF('E08 — Estabilização Hypercare'!$E83:$J83,"🔄 Em andamento")&gt;0,'E08 — Estabilização Hypercare'!$N83&lt;&gt;""),"Em andamento","Não iniciado")))))</f>
        <v/>
      </c>
      <c r="M101" s="236" t="str" cm="1">
        <f t="array" ref="M101">IF(B101="","",_xlfn.IFS(E101&lt;&gt;"Concluído","E1 — Solicitação",F101&lt;&gt;"Concluído","E2 — Triagem",G101&lt;&gt;"Concluído","E3 — Levantamento ⚠",H101&lt;&gt;"Concluído","E4 — Execução",I101&lt;&gt;"Concluído","E5 — Validação ⚠",AND(J101&lt;&gt;"Concluído",J101&lt;&gt;"N/A"),"E6 — Ajustes",K101&lt;&gt;"Concluído","E7 — Entrega",L101&lt;&gt;"Concluído","E08 — Estabilização / Hypercare",TRUE,"✔ Fluxo concluído"))</f>
        <v/>
      </c>
      <c r="N101" s="237" t="str">
        <f t="shared" si="1"/>
        <v/>
      </c>
      <c r="O101" s="238"/>
    </row>
    <row r="102" spans="2:15" ht="15" customHeight="1" x14ac:dyDescent="0.35">
      <c r="B102" s="234" t="str">
        <f>IF(Lançamentos!$B79="","",Lançamentos!$B79)</f>
        <v/>
      </c>
      <c r="C102" s="235" t="str">
        <f>IF($B102="","",Lançamentos!$J79)</f>
        <v/>
      </c>
      <c r="D102" s="235" t="str">
        <f>IF($B102="","",Lançamentos!$H79)</f>
        <v/>
      </c>
      <c r="E102" s="234" t="str">
        <f>IF($B102="","",IF(COUNTIF(Lançamentos!$B$3:$B$1001,$B102)=0,"Bloqueado",IF(COUNTIF('E1 — Solicitação'!$E84:$L84,"⛔ Bloqueado")&gt;0,"Bloqueado",IF(COUNTIF('E1 — Solicitação'!$E84:$L84,"N/A")=8,"Bloqueado",IF(COUNTIF('E1 — Solicitação'!$E84:$L84,"✔ Concluído")+COUNTIF('E1 — Solicitação'!$E84:$L84,"N/A")=8,"Concluído",IF(COUNTIF('E1 — Solicitação'!$E84:$L84,"✔ Concluído")+COUNTIF('E1 — Solicitação'!$E84:$L84,"🔄 Em andamento")&gt;0,"Em andamento","Não iniciado"))))))</f>
        <v/>
      </c>
      <c r="F102" s="234" t="str">
        <f>IF($B102="","",IF($E102&lt;&gt;"Concluído","Não iniciado",IF(COUNTIF(Lançamentos!$B$3:$B$1001,$B102)=0,"Bloqueado",IF('E2 — Triagem'!$D84="","Bloqueado",IF(COUNTIF('E2 — Triagem'!$E84:$L84,"N/A")=8,"Bloqueado",IF(COUNTIF('E2 — Triagem'!$E84:$L84,"⛔ Bloqueado")&gt;0,"Bloqueado",IF(COUNTIF('E2 — Triagem'!$E84:$L84,"✔ Concluído")+COUNTIF('E2 — Triagem'!$E84:$L84,"N/A")=8,"Concluído",IF(COUNTIF('E2 — Triagem'!$E84:$L84,"✔ Concluído")+COUNTIF('E2 — Triagem'!$E84:$L84,"🔄 Em andamento")&gt;0,"Em andamento","Não iniciado"))))))))</f>
        <v/>
      </c>
      <c r="G102" s="234" t="str">
        <f>IF($B102="","",IF($F102&lt;&gt;"Concluído","Não iniciado",IF(COUNTIF(Lançamentos!$B$3:$B$1001,$B102)=0,"Bloqueado",IF('E3 — Levantamento'!$D84="","Bloqueado",IF(COUNTIF('E3 — Levantamento'!$E84:$I84,"⛔ Bloqueado")&gt;0,"Bloqueado",IF('E3 — Levantamento'!$I84="N/A","Bloqueado",IF(COUNTIF('E3 — Levantamento'!$E84:$I84,"✔ Concluído")=5,"Concluído",IF(COUNTIF('E3 — Levantamento'!$E84:$I84,"✔ Concluído")+COUNTIF('E3 — Levantamento'!$E84:$I84,"🔄 Em andamento")&gt;0,"Em andamento","Não iniciado"))))))))</f>
        <v/>
      </c>
      <c r="H102" s="234" t="str">
        <f>IF($B102="","",IF($G102&lt;&gt;"Concluído","Não iniciado",IF(COUNTIF(Lançamentos!$B$3:$B$1001,$B102)=0,"Bloqueado",IF('E4 — Execução'!$D84="","Bloqueado",IF(COUNTIF('E4 — Execução'!$E84:$K84,"⛔ Bloqueado")&gt;0,"Bloqueado",IF(COUNTIF('E4 — Execução'!$E84:$K84,"✔ Concluído")=7,"Concluído",IF(COUNTIF('E4 — Execução'!$E84:$K84,"✔ Concluído")+COUNTIF('E4 — Execução'!$E84:$K84,"🔄 Em andamento")&gt;0,"Em andamento","Não iniciado")))))))</f>
        <v/>
      </c>
      <c r="I102" s="234" t="str">
        <f>IF($B102="","",IF($H102&lt;&gt;"Concluído","Não iniciado",IF(COUNTIF(Lançamentos!$B$3:$B$1001,$B102)=0,"Bloqueado",IF('E5 — Validação'!$D84="","Bloqueado",IF(COUNTIF('E5 — Validação'!$E84:$I84,"⛔ Bloqueado")&gt;0,"Bloqueado",IF('E5 — Validação'!$I84="N/A","Bloqueado",IF(AND('E5 — Validação'!$E84="✔ Concluído",'E5 — Validação'!$F84="✔ Concluído",OR('E5 — Validação'!$G84="✔ Concluído",'E5 — Validação'!$G84="N/A"),'E5 — Validação'!$H84="✔ Concluído",'E5 — Validação'!$I84="✔ Concluído"),"Concluído",IF(COUNTIF('E5 — Validação'!$E84:$I84,"✔ Concluído")+COUNTIF('E5 — Validação'!$E84:$I84,"🔄 Em andamento")&gt;0,"Em andamento","Não iniciado"))))))))</f>
        <v/>
      </c>
      <c r="J102" s="234" t="str">
        <f>IF($B102="","",IF($I102&lt;&gt;"Concluído","Não iniciado",IF('E6 — Ajustes'!$N84="Não","N/A",IF(COUNTIF(Lançamentos!$B$3:$B$1001,$B102)=0,"Bloqueado",IF('E6 — Ajustes'!$D84="","Bloqueado",IF(COUNTIF('E6 — Ajustes'!$E84:$J84,"⛔ Bloqueado")&gt;0,"Bloqueado",IF(AND('E6 — Ajustes'!$E84="✔ Concluído",'E6 — Ajustes'!$F84="✔ Concluído",'E6 — Ajustes'!$G84="✔ Concluído",'E6 — Ajustes'!$H84="✔ Concluído",OR('E6 — Ajustes'!$I84="✔ Concluído",'E6 — Ajustes'!$I84="N/A"),'E6 — Ajustes'!$J84="✔ Concluído"),"Concluído",IF(COUNTIF('E6 — Ajustes'!$E84:$J84,"✔ Concluído")+COUNTIF('E6 — Ajustes'!$E84:$J84,"🔄 Em andamento")&gt;0,"Em andamento","Não iniciado"))))))))</f>
        <v/>
      </c>
      <c r="K102" s="234" t="str">
        <f>IF($B102="","",IF($I102&lt;&gt;"Concluído","Não iniciado",IF(AND($J102&lt;&gt;"Concluído",$J102&lt;&gt;"N/A"),"Não iniciado",IF(COUNTIF(Lançamentos!$B$3:$B$1001,$B102)=0,"Bloqueado",IF('E7 — Entrega'!$D84="","Bloqueado",IF(COUNTIF('E7 — Entrega'!$E84:$H84,"⛔ Bloqueado")&gt;0,"Bloqueado",IF(COUNTIF('E7 — Entrega'!$E84:$H84,"✔ Concluído")=4,"Concluído",IF(COUNTIF('E7 — Entrega'!$E84:$H84,"✔ Concluído")+COUNTIF('E7 — Entrega'!$E84:$H84,"🔄 Em andamento")&gt;0,"Em andamento","Não iniciado"))))))))</f>
        <v/>
      </c>
      <c r="L102" s="234" t="str">
        <f>IF($B102="","",IF($K102&lt;&gt;"Concluído","Não iniciado",IF(OR(COUNTIF('E08 — Estabilização Hypercare'!$E84:$J84,"⛔ Bloqueado")&gt;0,'E08 — Estabilização Hypercare'!$N84="⛔ Incidente Crítico — Encerramento Bloqueado",AND('E08 — Estabilização Hypercare'!$N84="🆕 Evolução Identificada — Nova Demanda Aberta",'E08 — Estabilização Hypercare'!$U84="")),"Bloqueado",IF(AND('E08 — Estabilização Hypercare'!$E84="✔ Concluído",'E08 — Estabilização Hypercare'!$F84="✔ Concluído",'E08 — Estabilização Hypercare'!$G84="✔ Concluído",OR('E08 — Estabilização Hypercare'!$H84="✔ Concluído",'E08 — Estabilização Hypercare'!$H84="N/A"),'E08 — Estabilização Hypercare'!$I84="✔ Concluído",'E08 — Estabilização Hypercare'!$J84="✔ Concluído",OR('E08 — Estabilização Hypercare'!$N84="✅ Estável — Demanda Encerrada",AND('E08 — Estabilização Hypercare'!$N84="🆕 Evolução Identificada — Nova Demanda Aberta",'E08 — Estabilização Hypercare'!$U84&lt;&gt;""))),"Concluído",IF(OR(COUNTIF('E08 — Estabilização Hypercare'!$E84:$J84,"✔ Concluído")&gt;0,COUNTIF('E08 — Estabilização Hypercare'!$E84:$J84,"🔄 Em andamento")&gt;0,'E08 — Estabilização Hypercare'!$N84&lt;&gt;""),"Em andamento","Não iniciado")))))</f>
        <v/>
      </c>
      <c r="M102" s="236" t="str" cm="1">
        <f t="array" ref="M102">IF(B102="","",_xlfn.IFS(E102&lt;&gt;"Concluído","E1 — Solicitação",F102&lt;&gt;"Concluído","E2 — Triagem",G102&lt;&gt;"Concluído","E3 — Levantamento ⚠",H102&lt;&gt;"Concluído","E4 — Execução",I102&lt;&gt;"Concluído","E5 — Validação ⚠",AND(J102&lt;&gt;"Concluído",J102&lt;&gt;"N/A"),"E6 — Ajustes",K102&lt;&gt;"Concluído","E7 — Entrega",L102&lt;&gt;"Concluído","E08 — Estabilização / Hypercare",TRUE,"✔ Fluxo concluído"))</f>
        <v/>
      </c>
      <c r="N102" s="237" t="str">
        <f t="shared" si="1"/>
        <v/>
      </c>
      <c r="O102" s="238"/>
    </row>
    <row r="103" spans="2:15" ht="15" customHeight="1" x14ac:dyDescent="0.35">
      <c r="B103" s="234" t="str">
        <f>IF(Lançamentos!$B80="","",Lançamentos!$B80)</f>
        <v/>
      </c>
      <c r="C103" s="235" t="str">
        <f>IF($B103="","",Lançamentos!$J80)</f>
        <v/>
      </c>
      <c r="D103" s="235" t="str">
        <f>IF($B103="","",Lançamentos!$H80)</f>
        <v/>
      </c>
      <c r="E103" s="234" t="str">
        <f>IF($B103="","",IF(COUNTIF(Lançamentos!$B$3:$B$1001,$B103)=0,"Bloqueado",IF(COUNTIF('E1 — Solicitação'!$E85:$L85,"⛔ Bloqueado")&gt;0,"Bloqueado",IF(COUNTIF('E1 — Solicitação'!$E85:$L85,"N/A")=8,"Bloqueado",IF(COUNTIF('E1 — Solicitação'!$E85:$L85,"✔ Concluído")+COUNTIF('E1 — Solicitação'!$E85:$L85,"N/A")=8,"Concluído",IF(COUNTIF('E1 — Solicitação'!$E85:$L85,"✔ Concluído")+COUNTIF('E1 — Solicitação'!$E85:$L85,"🔄 Em andamento")&gt;0,"Em andamento","Não iniciado"))))))</f>
        <v/>
      </c>
      <c r="F103" s="234" t="str">
        <f>IF($B103="","",IF($E103&lt;&gt;"Concluído","Não iniciado",IF(COUNTIF(Lançamentos!$B$3:$B$1001,$B103)=0,"Bloqueado",IF('E2 — Triagem'!$D85="","Bloqueado",IF(COUNTIF('E2 — Triagem'!$E85:$L85,"N/A")=8,"Bloqueado",IF(COUNTIF('E2 — Triagem'!$E85:$L85,"⛔ Bloqueado")&gt;0,"Bloqueado",IF(COUNTIF('E2 — Triagem'!$E85:$L85,"✔ Concluído")+COUNTIF('E2 — Triagem'!$E85:$L85,"N/A")=8,"Concluído",IF(COUNTIF('E2 — Triagem'!$E85:$L85,"✔ Concluído")+COUNTIF('E2 — Triagem'!$E85:$L85,"🔄 Em andamento")&gt;0,"Em andamento","Não iniciado"))))))))</f>
        <v/>
      </c>
      <c r="G103" s="234" t="str">
        <f>IF($B103="","",IF($F103&lt;&gt;"Concluído","Não iniciado",IF(COUNTIF(Lançamentos!$B$3:$B$1001,$B103)=0,"Bloqueado",IF('E3 — Levantamento'!$D85="","Bloqueado",IF(COUNTIF('E3 — Levantamento'!$E85:$I85,"⛔ Bloqueado")&gt;0,"Bloqueado",IF('E3 — Levantamento'!$I85="N/A","Bloqueado",IF(COUNTIF('E3 — Levantamento'!$E85:$I85,"✔ Concluído")=5,"Concluído",IF(COUNTIF('E3 — Levantamento'!$E85:$I85,"✔ Concluído")+COUNTIF('E3 — Levantamento'!$E85:$I85,"🔄 Em andamento")&gt;0,"Em andamento","Não iniciado"))))))))</f>
        <v/>
      </c>
      <c r="H103" s="234" t="str">
        <f>IF($B103="","",IF($G103&lt;&gt;"Concluído","Não iniciado",IF(COUNTIF(Lançamentos!$B$3:$B$1001,$B103)=0,"Bloqueado",IF('E4 — Execução'!$D85="","Bloqueado",IF(COUNTIF('E4 — Execução'!$E85:$K85,"⛔ Bloqueado")&gt;0,"Bloqueado",IF(COUNTIF('E4 — Execução'!$E85:$K85,"✔ Concluído")=7,"Concluído",IF(COUNTIF('E4 — Execução'!$E85:$K85,"✔ Concluído")+COUNTIF('E4 — Execução'!$E85:$K85,"🔄 Em andamento")&gt;0,"Em andamento","Não iniciado")))))))</f>
        <v/>
      </c>
      <c r="I103" s="234" t="str">
        <f>IF($B103="","",IF($H103&lt;&gt;"Concluído","Não iniciado",IF(COUNTIF(Lançamentos!$B$3:$B$1001,$B103)=0,"Bloqueado",IF('E5 — Validação'!$D85="","Bloqueado",IF(COUNTIF('E5 — Validação'!$E85:$I85,"⛔ Bloqueado")&gt;0,"Bloqueado",IF('E5 — Validação'!$I85="N/A","Bloqueado",IF(AND('E5 — Validação'!$E85="✔ Concluído",'E5 — Validação'!$F85="✔ Concluído",OR('E5 — Validação'!$G85="✔ Concluído",'E5 — Validação'!$G85="N/A"),'E5 — Validação'!$H85="✔ Concluído",'E5 — Validação'!$I85="✔ Concluído"),"Concluído",IF(COUNTIF('E5 — Validação'!$E85:$I85,"✔ Concluído")+COUNTIF('E5 — Validação'!$E85:$I85,"🔄 Em andamento")&gt;0,"Em andamento","Não iniciado"))))))))</f>
        <v/>
      </c>
      <c r="J103" s="234" t="str">
        <f>IF($B103="","",IF($I103&lt;&gt;"Concluído","Não iniciado",IF('E6 — Ajustes'!$N85="Não","N/A",IF(COUNTIF(Lançamentos!$B$3:$B$1001,$B103)=0,"Bloqueado",IF('E6 — Ajustes'!$D85="","Bloqueado",IF(COUNTIF('E6 — Ajustes'!$E85:$J85,"⛔ Bloqueado")&gt;0,"Bloqueado",IF(AND('E6 — Ajustes'!$E85="✔ Concluído",'E6 — Ajustes'!$F85="✔ Concluído",'E6 — Ajustes'!$G85="✔ Concluído",'E6 — Ajustes'!$H85="✔ Concluído",OR('E6 — Ajustes'!$I85="✔ Concluído",'E6 — Ajustes'!$I85="N/A"),'E6 — Ajustes'!$J85="✔ Concluído"),"Concluído",IF(COUNTIF('E6 — Ajustes'!$E85:$J85,"✔ Concluído")+COUNTIF('E6 — Ajustes'!$E85:$J85,"🔄 Em andamento")&gt;0,"Em andamento","Não iniciado"))))))))</f>
        <v/>
      </c>
      <c r="K103" s="234" t="str">
        <f>IF($B103="","",IF($I103&lt;&gt;"Concluído","Não iniciado",IF(AND($J103&lt;&gt;"Concluído",$J103&lt;&gt;"N/A"),"Não iniciado",IF(COUNTIF(Lançamentos!$B$3:$B$1001,$B103)=0,"Bloqueado",IF('E7 — Entrega'!$D85="","Bloqueado",IF(COUNTIF('E7 — Entrega'!$E85:$H85,"⛔ Bloqueado")&gt;0,"Bloqueado",IF(COUNTIF('E7 — Entrega'!$E85:$H85,"✔ Concluído")=4,"Concluído",IF(COUNTIF('E7 — Entrega'!$E85:$H85,"✔ Concluído")+COUNTIF('E7 — Entrega'!$E85:$H85,"🔄 Em andamento")&gt;0,"Em andamento","Não iniciado"))))))))</f>
        <v/>
      </c>
      <c r="L103" s="234" t="str">
        <f>IF($B103="","",IF($K103&lt;&gt;"Concluído","Não iniciado",IF(OR(COUNTIF('E08 — Estabilização Hypercare'!$E85:$J85,"⛔ Bloqueado")&gt;0,'E08 — Estabilização Hypercare'!$N85="⛔ Incidente Crítico — Encerramento Bloqueado",AND('E08 — Estabilização Hypercare'!$N85="🆕 Evolução Identificada — Nova Demanda Aberta",'E08 — Estabilização Hypercare'!$U85="")),"Bloqueado",IF(AND('E08 — Estabilização Hypercare'!$E85="✔ Concluído",'E08 — Estabilização Hypercare'!$F85="✔ Concluído",'E08 — Estabilização Hypercare'!$G85="✔ Concluído",OR('E08 — Estabilização Hypercare'!$H85="✔ Concluído",'E08 — Estabilização Hypercare'!$H85="N/A"),'E08 — Estabilização Hypercare'!$I85="✔ Concluído",'E08 — Estabilização Hypercare'!$J85="✔ Concluído",OR('E08 — Estabilização Hypercare'!$N85="✅ Estável — Demanda Encerrada",AND('E08 — Estabilização Hypercare'!$N85="🆕 Evolução Identificada — Nova Demanda Aberta",'E08 — Estabilização Hypercare'!$U85&lt;&gt;""))),"Concluído",IF(OR(COUNTIF('E08 — Estabilização Hypercare'!$E85:$J85,"✔ Concluído")&gt;0,COUNTIF('E08 — Estabilização Hypercare'!$E85:$J85,"🔄 Em andamento")&gt;0,'E08 — Estabilização Hypercare'!$N85&lt;&gt;""),"Em andamento","Não iniciado")))))</f>
        <v/>
      </c>
      <c r="M103" s="236" t="str" cm="1">
        <f t="array" ref="M103">IF(B103="","",_xlfn.IFS(E103&lt;&gt;"Concluído","E1 — Solicitação",F103&lt;&gt;"Concluído","E2 — Triagem",G103&lt;&gt;"Concluído","E3 — Levantamento ⚠",H103&lt;&gt;"Concluído","E4 — Execução",I103&lt;&gt;"Concluído","E5 — Validação ⚠",AND(J103&lt;&gt;"Concluído",J103&lt;&gt;"N/A"),"E6 — Ajustes",K103&lt;&gt;"Concluído","E7 — Entrega",L103&lt;&gt;"Concluído","E08 — Estabilização / Hypercare",TRUE,"✔ Fluxo concluído"))</f>
        <v/>
      </c>
      <c r="N103" s="237" t="str">
        <f t="shared" si="1"/>
        <v/>
      </c>
      <c r="O103" s="238"/>
    </row>
    <row r="104" spans="2:15" ht="15" customHeight="1" x14ac:dyDescent="0.35">
      <c r="B104" s="234" t="str">
        <f>IF(Lançamentos!$B81="","",Lançamentos!$B81)</f>
        <v/>
      </c>
      <c r="C104" s="235" t="str">
        <f>IF($B104="","",Lançamentos!$J81)</f>
        <v/>
      </c>
      <c r="D104" s="235" t="str">
        <f>IF($B104="","",Lançamentos!$H81)</f>
        <v/>
      </c>
      <c r="E104" s="234" t="str">
        <f>IF($B104="","",IF(COUNTIF(Lançamentos!$B$3:$B$1001,$B104)=0,"Bloqueado",IF(COUNTIF('E1 — Solicitação'!$E86:$L86,"⛔ Bloqueado")&gt;0,"Bloqueado",IF(COUNTIF('E1 — Solicitação'!$E86:$L86,"N/A")=8,"Bloqueado",IF(COUNTIF('E1 — Solicitação'!$E86:$L86,"✔ Concluído")+COUNTIF('E1 — Solicitação'!$E86:$L86,"N/A")=8,"Concluído",IF(COUNTIF('E1 — Solicitação'!$E86:$L86,"✔ Concluído")+COUNTIF('E1 — Solicitação'!$E86:$L86,"🔄 Em andamento")&gt;0,"Em andamento","Não iniciado"))))))</f>
        <v/>
      </c>
      <c r="F104" s="234" t="str">
        <f>IF($B104="","",IF($E104&lt;&gt;"Concluído","Não iniciado",IF(COUNTIF(Lançamentos!$B$3:$B$1001,$B104)=0,"Bloqueado",IF('E2 — Triagem'!$D86="","Bloqueado",IF(COUNTIF('E2 — Triagem'!$E86:$L86,"N/A")=8,"Bloqueado",IF(COUNTIF('E2 — Triagem'!$E86:$L86,"⛔ Bloqueado")&gt;0,"Bloqueado",IF(COUNTIF('E2 — Triagem'!$E86:$L86,"✔ Concluído")+COUNTIF('E2 — Triagem'!$E86:$L86,"N/A")=8,"Concluído",IF(COUNTIF('E2 — Triagem'!$E86:$L86,"✔ Concluído")+COUNTIF('E2 — Triagem'!$E86:$L86,"🔄 Em andamento")&gt;0,"Em andamento","Não iniciado"))))))))</f>
        <v/>
      </c>
      <c r="G104" s="234" t="str">
        <f>IF($B104="","",IF($F104&lt;&gt;"Concluído","Não iniciado",IF(COUNTIF(Lançamentos!$B$3:$B$1001,$B104)=0,"Bloqueado",IF('E3 — Levantamento'!$D86="","Bloqueado",IF(COUNTIF('E3 — Levantamento'!$E86:$I86,"⛔ Bloqueado")&gt;0,"Bloqueado",IF('E3 — Levantamento'!$I86="N/A","Bloqueado",IF(COUNTIF('E3 — Levantamento'!$E86:$I86,"✔ Concluído")=5,"Concluído",IF(COUNTIF('E3 — Levantamento'!$E86:$I86,"✔ Concluído")+COUNTIF('E3 — Levantamento'!$E86:$I86,"🔄 Em andamento")&gt;0,"Em andamento","Não iniciado"))))))))</f>
        <v/>
      </c>
      <c r="H104" s="234" t="str">
        <f>IF($B104="","",IF($G104&lt;&gt;"Concluído","Não iniciado",IF(COUNTIF(Lançamentos!$B$3:$B$1001,$B104)=0,"Bloqueado",IF('E4 — Execução'!$D86="","Bloqueado",IF(COUNTIF('E4 — Execução'!$E86:$K86,"⛔ Bloqueado")&gt;0,"Bloqueado",IF(COUNTIF('E4 — Execução'!$E86:$K86,"✔ Concluído")=7,"Concluído",IF(COUNTIF('E4 — Execução'!$E86:$K86,"✔ Concluído")+COUNTIF('E4 — Execução'!$E86:$K86,"🔄 Em andamento")&gt;0,"Em andamento","Não iniciado")))))))</f>
        <v/>
      </c>
      <c r="I104" s="234" t="str">
        <f>IF($B104="","",IF($H104&lt;&gt;"Concluído","Não iniciado",IF(COUNTIF(Lançamentos!$B$3:$B$1001,$B104)=0,"Bloqueado",IF('E5 — Validação'!$D86="","Bloqueado",IF(COUNTIF('E5 — Validação'!$E86:$I86,"⛔ Bloqueado")&gt;0,"Bloqueado",IF('E5 — Validação'!$I86="N/A","Bloqueado",IF(AND('E5 — Validação'!$E86="✔ Concluído",'E5 — Validação'!$F86="✔ Concluído",OR('E5 — Validação'!$G86="✔ Concluído",'E5 — Validação'!$G86="N/A"),'E5 — Validação'!$H86="✔ Concluído",'E5 — Validação'!$I86="✔ Concluído"),"Concluído",IF(COUNTIF('E5 — Validação'!$E86:$I86,"✔ Concluído")+COUNTIF('E5 — Validação'!$E86:$I86,"🔄 Em andamento")&gt;0,"Em andamento","Não iniciado"))))))))</f>
        <v/>
      </c>
      <c r="J104" s="234" t="str">
        <f>IF($B104="","",IF($I104&lt;&gt;"Concluído","Não iniciado",IF('E6 — Ajustes'!$N86="Não","N/A",IF(COUNTIF(Lançamentos!$B$3:$B$1001,$B104)=0,"Bloqueado",IF('E6 — Ajustes'!$D86="","Bloqueado",IF(COUNTIF('E6 — Ajustes'!$E86:$J86,"⛔ Bloqueado")&gt;0,"Bloqueado",IF(AND('E6 — Ajustes'!$E86="✔ Concluído",'E6 — Ajustes'!$F86="✔ Concluído",'E6 — Ajustes'!$G86="✔ Concluído",'E6 — Ajustes'!$H86="✔ Concluído",OR('E6 — Ajustes'!$I86="✔ Concluído",'E6 — Ajustes'!$I86="N/A"),'E6 — Ajustes'!$J86="✔ Concluído"),"Concluído",IF(COUNTIF('E6 — Ajustes'!$E86:$J86,"✔ Concluído")+COUNTIF('E6 — Ajustes'!$E86:$J86,"🔄 Em andamento")&gt;0,"Em andamento","Não iniciado"))))))))</f>
        <v/>
      </c>
      <c r="K104" s="234" t="str">
        <f>IF($B104="","",IF($I104&lt;&gt;"Concluído","Não iniciado",IF(AND($J104&lt;&gt;"Concluído",$J104&lt;&gt;"N/A"),"Não iniciado",IF(COUNTIF(Lançamentos!$B$3:$B$1001,$B104)=0,"Bloqueado",IF('E7 — Entrega'!$D86="","Bloqueado",IF(COUNTIF('E7 — Entrega'!$E86:$H86,"⛔ Bloqueado")&gt;0,"Bloqueado",IF(COUNTIF('E7 — Entrega'!$E86:$H86,"✔ Concluído")=4,"Concluído",IF(COUNTIF('E7 — Entrega'!$E86:$H86,"✔ Concluído")+COUNTIF('E7 — Entrega'!$E86:$H86,"🔄 Em andamento")&gt;0,"Em andamento","Não iniciado"))))))))</f>
        <v/>
      </c>
      <c r="L104" s="234" t="str">
        <f>IF($B104="","",IF($K104&lt;&gt;"Concluído","Não iniciado",IF(OR(COUNTIF('E08 — Estabilização Hypercare'!$E86:$J86,"⛔ Bloqueado")&gt;0,'E08 — Estabilização Hypercare'!$N86="⛔ Incidente Crítico — Encerramento Bloqueado",AND('E08 — Estabilização Hypercare'!$N86="🆕 Evolução Identificada — Nova Demanda Aberta",'E08 — Estabilização Hypercare'!$U86="")),"Bloqueado",IF(AND('E08 — Estabilização Hypercare'!$E86="✔ Concluído",'E08 — Estabilização Hypercare'!$F86="✔ Concluído",'E08 — Estabilização Hypercare'!$G86="✔ Concluído",OR('E08 — Estabilização Hypercare'!$H86="✔ Concluído",'E08 — Estabilização Hypercare'!$H86="N/A"),'E08 — Estabilização Hypercare'!$I86="✔ Concluído",'E08 — Estabilização Hypercare'!$J86="✔ Concluído",OR('E08 — Estabilização Hypercare'!$N86="✅ Estável — Demanda Encerrada",AND('E08 — Estabilização Hypercare'!$N86="🆕 Evolução Identificada — Nova Demanda Aberta",'E08 — Estabilização Hypercare'!$U86&lt;&gt;""))),"Concluído",IF(OR(COUNTIF('E08 — Estabilização Hypercare'!$E86:$J86,"✔ Concluído")&gt;0,COUNTIF('E08 — Estabilização Hypercare'!$E86:$J86,"🔄 Em andamento")&gt;0,'E08 — Estabilização Hypercare'!$N86&lt;&gt;""),"Em andamento","Não iniciado")))))</f>
        <v/>
      </c>
      <c r="M104" s="236" t="str" cm="1">
        <f t="array" ref="M104">IF(B104="","",_xlfn.IFS(E104&lt;&gt;"Concluído","E1 — Solicitação",F104&lt;&gt;"Concluído","E2 — Triagem",G104&lt;&gt;"Concluído","E3 — Levantamento ⚠",H104&lt;&gt;"Concluído","E4 — Execução",I104&lt;&gt;"Concluído","E5 — Validação ⚠",AND(J104&lt;&gt;"Concluído",J104&lt;&gt;"N/A"),"E6 — Ajustes",K104&lt;&gt;"Concluído","E7 — Entrega",L104&lt;&gt;"Concluído","E08 — Estabilização / Hypercare",TRUE,"✔ Fluxo concluído"))</f>
        <v/>
      </c>
      <c r="N104" s="237" t="str">
        <f t="shared" si="1"/>
        <v/>
      </c>
      <c r="O104" s="238"/>
    </row>
    <row r="105" spans="2:15" ht="15" customHeight="1" x14ac:dyDescent="0.35">
      <c r="B105" s="234" t="str">
        <f>IF(Lançamentos!$B82="","",Lançamentos!$B82)</f>
        <v/>
      </c>
      <c r="C105" s="235" t="str">
        <f>IF($B105="","",Lançamentos!$J82)</f>
        <v/>
      </c>
      <c r="D105" s="235" t="str">
        <f>IF($B105="","",Lançamentos!$H82)</f>
        <v/>
      </c>
      <c r="E105" s="234" t="str">
        <f>IF($B105="","",IF(COUNTIF(Lançamentos!$B$3:$B$1001,$B105)=0,"Bloqueado",IF(COUNTIF('E1 — Solicitação'!$E87:$L87,"⛔ Bloqueado")&gt;0,"Bloqueado",IF(COUNTIF('E1 — Solicitação'!$E87:$L87,"N/A")=8,"Bloqueado",IF(COUNTIF('E1 — Solicitação'!$E87:$L87,"✔ Concluído")+COUNTIF('E1 — Solicitação'!$E87:$L87,"N/A")=8,"Concluído",IF(COUNTIF('E1 — Solicitação'!$E87:$L87,"✔ Concluído")+COUNTIF('E1 — Solicitação'!$E87:$L87,"🔄 Em andamento")&gt;0,"Em andamento","Não iniciado"))))))</f>
        <v/>
      </c>
      <c r="F105" s="234" t="str">
        <f>IF($B105="","",IF($E105&lt;&gt;"Concluído","Não iniciado",IF(COUNTIF(Lançamentos!$B$3:$B$1001,$B105)=0,"Bloqueado",IF('E2 — Triagem'!$D87="","Bloqueado",IF(COUNTIF('E2 — Triagem'!$E87:$L87,"N/A")=8,"Bloqueado",IF(COUNTIF('E2 — Triagem'!$E87:$L87,"⛔ Bloqueado")&gt;0,"Bloqueado",IF(COUNTIF('E2 — Triagem'!$E87:$L87,"✔ Concluído")+COUNTIF('E2 — Triagem'!$E87:$L87,"N/A")=8,"Concluído",IF(COUNTIF('E2 — Triagem'!$E87:$L87,"✔ Concluído")+COUNTIF('E2 — Triagem'!$E87:$L87,"🔄 Em andamento")&gt;0,"Em andamento","Não iniciado"))))))))</f>
        <v/>
      </c>
      <c r="G105" s="234" t="str">
        <f>IF($B105="","",IF($F105&lt;&gt;"Concluído","Não iniciado",IF(COUNTIF(Lançamentos!$B$3:$B$1001,$B105)=0,"Bloqueado",IF('E3 — Levantamento'!$D87="","Bloqueado",IF(COUNTIF('E3 — Levantamento'!$E87:$I87,"⛔ Bloqueado")&gt;0,"Bloqueado",IF('E3 — Levantamento'!$I87="N/A","Bloqueado",IF(COUNTIF('E3 — Levantamento'!$E87:$I87,"✔ Concluído")=5,"Concluído",IF(COUNTIF('E3 — Levantamento'!$E87:$I87,"✔ Concluído")+COUNTIF('E3 — Levantamento'!$E87:$I87,"🔄 Em andamento")&gt;0,"Em andamento","Não iniciado"))))))))</f>
        <v/>
      </c>
      <c r="H105" s="234" t="str">
        <f>IF($B105="","",IF($G105&lt;&gt;"Concluído","Não iniciado",IF(COUNTIF(Lançamentos!$B$3:$B$1001,$B105)=0,"Bloqueado",IF('E4 — Execução'!$D87="","Bloqueado",IF(COUNTIF('E4 — Execução'!$E87:$K87,"⛔ Bloqueado")&gt;0,"Bloqueado",IF(COUNTIF('E4 — Execução'!$E87:$K87,"✔ Concluído")=7,"Concluído",IF(COUNTIF('E4 — Execução'!$E87:$K87,"✔ Concluído")+COUNTIF('E4 — Execução'!$E87:$K87,"🔄 Em andamento")&gt;0,"Em andamento","Não iniciado")))))))</f>
        <v/>
      </c>
      <c r="I105" s="234" t="str">
        <f>IF($B105="","",IF($H105&lt;&gt;"Concluído","Não iniciado",IF(COUNTIF(Lançamentos!$B$3:$B$1001,$B105)=0,"Bloqueado",IF('E5 — Validação'!$D87="","Bloqueado",IF(COUNTIF('E5 — Validação'!$E87:$I87,"⛔ Bloqueado")&gt;0,"Bloqueado",IF('E5 — Validação'!$I87="N/A","Bloqueado",IF(AND('E5 — Validação'!$E87="✔ Concluído",'E5 — Validação'!$F87="✔ Concluído",OR('E5 — Validação'!$G87="✔ Concluído",'E5 — Validação'!$G87="N/A"),'E5 — Validação'!$H87="✔ Concluído",'E5 — Validação'!$I87="✔ Concluído"),"Concluído",IF(COUNTIF('E5 — Validação'!$E87:$I87,"✔ Concluído")+COUNTIF('E5 — Validação'!$E87:$I87,"🔄 Em andamento")&gt;0,"Em andamento","Não iniciado"))))))))</f>
        <v/>
      </c>
      <c r="J105" s="234" t="str">
        <f>IF($B105="","",IF($I105&lt;&gt;"Concluído","Não iniciado",IF('E6 — Ajustes'!$N87="Não","N/A",IF(COUNTIF(Lançamentos!$B$3:$B$1001,$B105)=0,"Bloqueado",IF('E6 — Ajustes'!$D87="","Bloqueado",IF(COUNTIF('E6 — Ajustes'!$E87:$J87,"⛔ Bloqueado")&gt;0,"Bloqueado",IF(AND('E6 — Ajustes'!$E87="✔ Concluído",'E6 — Ajustes'!$F87="✔ Concluído",'E6 — Ajustes'!$G87="✔ Concluído",'E6 — Ajustes'!$H87="✔ Concluído",OR('E6 — Ajustes'!$I87="✔ Concluído",'E6 — Ajustes'!$I87="N/A"),'E6 — Ajustes'!$J87="✔ Concluído"),"Concluído",IF(COUNTIF('E6 — Ajustes'!$E87:$J87,"✔ Concluído")+COUNTIF('E6 — Ajustes'!$E87:$J87,"🔄 Em andamento")&gt;0,"Em andamento","Não iniciado"))))))))</f>
        <v/>
      </c>
      <c r="K105" s="234" t="str">
        <f>IF($B105="","",IF($I105&lt;&gt;"Concluído","Não iniciado",IF(AND($J105&lt;&gt;"Concluído",$J105&lt;&gt;"N/A"),"Não iniciado",IF(COUNTIF(Lançamentos!$B$3:$B$1001,$B105)=0,"Bloqueado",IF('E7 — Entrega'!$D87="","Bloqueado",IF(COUNTIF('E7 — Entrega'!$E87:$H87,"⛔ Bloqueado")&gt;0,"Bloqueado",IF(COUNTIF('E7 — Entrega'!$E87:$H87,"✔ Concluído")=4,"Concluído",IF(COUNTIF('E7 — Entrega'!$E87:$H87,"✔ Concluído")+COUNTIF('E7 — Entrega'!$E87:$H87,"🔄 Em andamento")&gt;0,"Em andamento","Não iniciado"))))))))</f>
        <v/>
      </c>
      <c r="L105" s="234" t="str">
        <f>IF($B105="","",IF($K105&lt;&gt;"Concluído","Não iniciado",IF(OR(COUNTIF('E08 — Estabilização Hypercare'!$E87:$J87,"⛔ Bloqueado")&gt;0,'E08 — Estabilização Hypercare'!$N87="⛔ Incidente Crítico — Encerramento Bloqueado",AND('E08 — Estabilização Hypercare'!$N87="🆕 Evolução Identificada — Nova Demanda Aberta",'E08 — Estabilização Hypercare'!$U87="")),"Bloqueado",IF(AND('E08 — Estabilização Hypercare'!$E87="✔ Concluído",'E08 — Estabilização Hypercare'!$F87="✔ Concluído",'E08 — Estabilização Hypercare'!$G87="✔ Concluído",OR('E08 — Estabilização Hypercare'!$H87="✔ Concluído",'E08 — Estabilização Hypercare'!$H87="N/A"),'E08 — Estabilização Hypercare'!$I87="✔ Concluído",'E08 — Estabilização Hypercare'!$J87="✔ Concluído",OR('E08 — Estabilização Hypercare'!$N87="✅ Estável — Demanda Encerrada",AND('E08 — Estabilização Hypercare'!$N87="🆕 Evolução Identificada — Nova Demanda Aberta",'E08 — Estabilização Hypercare'!$U87&lt;&gt;""))),"Concluído",IF(OR(COUNTIF('E08 — Estabilização Hypercare'!$E87:$J87,"✔ Concluído")&gt;0,COUNTIF('E08 — Estabilização Hypercare'!$E87:$J87,"🔄 Em andamento")&gt;0,'E08 — Estabilização Hypercare'!$N87&lt;&gt;""),"Em andamento","Não iniciado")))))</f>
        <v/>
      </c>
      <c r="M105" s="236" t="str" cm="1">
        <f t="array" ref="M105">IF(B105="","",_xlfn.IFS(E105&lt;&gt;"Concluído","E1 — Solicitação",F105&lt;&gt;"Concluído","E2 — Triagem",G105&lt;&gt;"Concluído","E3 — Levantamento ⚠",H105&lt;&gt;"Concluído","E4 — Execução",I105&lt;&gt;"Concluído","E5 — Validação ⚠",AND(J105&lt;&gt;"Concluído",J105&lt;&gt;"N/A"),"E6 — Ajustes",K105&lt;&gt;"Concluído","E7 — Entrega",L105&lt;&gt;"Concluído","E08 — Estabilização / Hypercare",TRUE,"✔ Fluxo concluído"))</f>
        <v/>
      </c>
      <c r="N105" s="237" t="str">
        <f t="shared" si="1"/>
        <v/>
      </c>
      <c r="O105" s="238"/>
    </row>
    <row r="106" spans="2:15" ht="15" customHeight="1" x14ac:dyDescent="0.35">
      <c r="B106" s="234" t="str">
        <f>IF(Lançamentos!$B83="","",Lançamentos!$B83)</f>
        <v/>
      </c>
      <c r="C106" s="235" t="str">
        <f>IF($B106="","",Lançamentos!$J83)</f>
        <v/>
      </c>
      <c r="D106" s="235" t="str">
        <f>IF($B106="","",Lançamentos!$H83)</f>
        <v/>
      </c>
      <c r="E106" s="234" t="str">
        <f>IF($B106="","",IF(COUNTIF(Lançamentos!$B$3:$B$1001,$B106)=0,"Bloqueado",IF(COUNTIF('E1 — Solicitação'!$E88:$L88,"⛔ Bloqueado")&gt;0,"Bloqueado",IF(COUNTIF('E1 — Solicitação'!$E88:$L88,"N/A")=8,"Bloqueado",IF(COUNTIF('E1 — Solicitação'!$E88:$L88,"✔ Concluído")+COUNTIF('E1 — Solicitação'!$E88:$L88,"N/A")=8,"Concluído",IF(COUNTIF('E1 — Solicitação'!$E88:$L88,"✔ Concluído")+COUNTIF('E1 — Solicitação'!$E88:$L88,"🔄 Em andamento")&gt;0,"Em andamento","Não iniciado"))))))</f>
        <v/>
      </c>
      <c r="F106" s="234" t="str">
        <f>IF($B106="","",IF($E106&lt;&gt;"Concluído","Não iniciado",IF(COUNTIF(Lançamentos!$B$3:$B$1001,$B106)=0,"Bloqueado",IF('E2 — Triagem'!$D88="","Bloqueado",IF(COUNTIF('E2 — Triagem'!$E88:$L88,"N/A")=8,"Bloqueado",IF(COUNTIF('E2 — Triagem'!$E88:$L88,"⛔ Bloqueado")&gt;0,"Bloqueado",IF(COUNTIF('E2 — Triagem'!$E88:$L88,"✔ Concluído")+COUNTIF('E2 — Triagem'!$E88:$L88,"N/A")=8,"Concluído",IF(COUNTIF('E2 — Triagem'!$E88:$L88,"✔ Concluído")+COUNTIF('E2 — Triagem'!$E88:$L88,"🔄 Em andamento")&gt;0,"Em andamento","Não iniciado"))))))))</f>
        <v/>
      </c>
      <c r="G106" s="234" t="str">
        <f>IF($B106="","",IF($F106&lt;&gt;"Concluído","Não iniciado",IF(COUNTIF(Lançamentos!$B$3:$B$1001,$B106)=0,"Bloqueado",IF('E3 — Levantamento'!$D88="","Bloqueado",IF(COUNTIF('E3 — Levantamento'!$E88:$I88,"⛔ Bloqueado")&gt;0,"Bloqueado",IF('E3 — Levantamento'!$I88="N/A","Bloqueado",IF(COUNTIF('E3 — Levantamento'!$E88:$I88,"✔ Concluído")=5,"Concluído",IF(COUNTIF('E3 — Levantamento'!$E88:$I88,"✔ Concluído")+COUNTIF('E3 — Levantamento'!$E88:$I88,"🔄 Em andamento")&gt;0,"Em andamento","Não iniciado"))))))))</f>
        <v/>
      </c>
      <c r="H106" s="234" t="str">
        <f>IF($B106="","",IF($G106&lt;&gt;"Concluído","Não iniciado",IF(COUNTIF(Lançamentos!$B$3:$B$1001,$B106)=0,"Bloqueado",IF('E4 — Execução'!$D88="","Bloqueado",IF(COUNTIF('E4 — Execução'!$E88:$K88,"⛔ Bloqueado")&gt;0,"Bloqueado",IF(COUNTIF('E4 — Execução'!$E88:$K88,"✔ Concluído")=7,"Concluído",IF(COUNTIF('E4 — Execução'!$E88:$K88,"✔ Concluído")+COUNTIF('E4 — Execução'!$E88:$K88,"🔄 Em andamento")&gt;0,"Em andamento","Não iniciado")))))))</f>
        <v/>
      </c>
      <c r="I106" s="234" t="str">
        <f>IF($B106="","",IF($H106&lt;&gt;"Concluído","Não iniciado",IF(COUNTIF(Lançamentos!$B$3:$B$1001,$B106)=0,"Bloqueado",IF('E5 — Validação'!$D88="","Bloqueado",IF(COUNTIF('E5 — Validação'!$E88:$I88,"⛔ Bloqueado")&gt;0,"Bloqueado",IF('E5 — Validação'!$I88="N/A","Bloqueado",IF(AND('E5 — Validação'!$E88="✔ Concluído",'E5 — Validação'!$F88="✔ Concluído",OR('E5 — Validação'!$G88="✔ Concluído",'E5 — Validação'!$G88="N/A"),'E5 — Validação'!$H88="✔ Concluído",'E5 — Validação'!$I88="✔ Concluído"),"Concluído",IF(COUNTIF('E5 — Validação'!$E88:$I88,"✔ Concluído")+COUNTIF('E5 — Validação'!$E88:$I88,"🔄 Em andamento")&gt;0,"Em andamento","Não iniciado"))))))))</f>
        <v/>
      </c>
      <c r="J106" s="234" t="str">
        <f>IF($B106="","",IF($I106&lt;&gt;"Concluído","Não iniciado",IF('E6 — Ajustes'!$N88="Não","N/A",IF(COUNTIF(Lançamentos!$B$3:$B$1001,$B106)=0,"Bloqueado",IF('E6 — Ajustes'!$D88="","Bloqueado",IF(COUNTIF('E6 — Ajustes'!$E88:$J88,"⛔ Bloqueado")&gt;0,"Bloqueado",IF(AND('E6 — Ajustes'!$E88="✔ Concluído",'E6 — Ajustes'!$F88="✔ Concluído",'E6 — Ajustes'!$G88="✔ Concluído",'E6 — Ajustes'!$H88="✔ Concluído",OR('E6 — Ajustes'!$I88="✔ Concluído",'E6 — Ajustes'!$I88="N/A"),'E6 — Ajustes'!$J88="✔ Concluído"),"Concluído",IF(COUNTIF('E6 — Ajustes'!$E88:$J88,"✔ Concluído")+COUNTIF('E6 — Ajustes'!$E88:$J88,"🔄 Em andamento")&gt;0,"Em andamento","Não iniciado"))))))))</f>
        <v/>
      </c>
      <c r="K106" s="234" t="str">
        <f>IF($B106="","",IF($I106&lt;&gt;"Concluído","Não iniciado",IF(AND($J106&lt;&gt;"Concluído",$J106&lt;&gt;"N/A"),"Não iniciado",IF(COUNTIF(Lançamentos!$B$3:$B$1001,$B106)=0,"Bloqueado",IF('E7 — Entrega'!$D88="","Bloqueado",IF(COUNTIF('E7 — Entrega'!$E88:$H88,"⛔ Bloqueado")&gt;0,"Bloqueado",IF(COUNTIF('E7 — Entrega'!$E88:$H88,"✔ Concluído")=4,"Concluído",IF(COUNTIF('E7 — Entrega'!$E88:$H88,"✔ Concluído")+COUNTIF('E7 — Entrega'!$E88:$H88,"🔄 Em andamento")&gt;0,"Em andamento","Não iniciado"))))))))</f>
        <v/>
      </c>
      <c r="L106" s="234" t="str">
        <f>IF($B106="","",IF($K106&lt;&gt;"Concluído","Não iniciado",IF(OR(COUNTIF('E08 — Estabilização Hypercare'!$E88:$J88,"⛔ Bloqueado")&gt;0,'E08 — Estabilização Hypercare'!$N88="⛔ Incidente Crítico — Encerramento Bloqueado",AND('E08 — Estabilização Hypercare'!$N88="🆕 Evolução Identificada — Nova Demanda Aberta",'E08 — Estabilização Hypercare'!$U88="")),"Bloqueado",IF(AND('E08 — Estabilização Hypercare'!$E88="✔ Concluído",'E08 — Estabilização Hypercare'!$F88="✔ Concluído",'E08 — Estabilização Hypercare'!$G88="✔ Concluído",OR('E08 — Estabilização Hypercare'!$H88="✔ Concluído",'E08 — Estabilização Hypercare'!$H88="N/A"),'E08 — Estabilização Hypercare'!$I88="✔ Concluído",'E08 — Estabilização Hypercare'!$J88="✔ Concluído",OR('E08 — Estabilização Hypercare'!$N88="✅ Estável — Demanda Encerrada",AND('E08 — Estabilização Hypercare'!$N88="🆕 Evolução Identificada — Nova Demanda Aberta",'E08 — Estabilização Hypercare'!$U88&lt;&gt;""))),"Concluído",IF(OR(COUNTIF('E08 — Estabilização Hypercare'!$E88:$J88,"✔ Concluído")&gt;0,COUNTIF('E08 — Estabilização Hypercare'!$E88:$J88,"🔄 Em andamento")&gt;0,'E08 — Estabilização Hypercare'!$N88&lt;&gt;""),"Em andamento","Não iniciado")))))</f>
        <v/>
      </c>
      <c r="M106" s="236" t="str" cm="1">
        <f t="array" ref="M106">IF(B106="","",_xlfn.IFS(E106&lt;&gt;"Concluído","E1 — Solicitação",F106&lt;&gt;"Concluído","E2 — Triagem",G106&lt;&gt;"Concluído","E3 — Levantamento ⚠",H106&lt;&gt;"Concluído","E4 — Execução",I106&lt;&gt;"Concluído","E5 — Validação ⚠",AND(J106&lt;&gt;"Concluído",J106&lt;&gt;"N/A"),"E6 — Ajustes",K106&lt;&gt;"Concluído","E7 — Entrega",L106&lt;&gt;"Concluído","E08 — Estabilização / Hypercare",TRUE,"✔ Fluxo concluído"))</f>
        <v/>
      </c>
      <c r="N106" s="237" t="str">
        <f t="shared" si="1"/>
        <v/>
      </c>
      <c r="O106" s="238"/>
    </row>
    <row r="107" spans="2:15" ht="15" customHeight="1" x14ac:dyDescent="0.35">
      <c r="B107" s="234" t="str">
        <f>IF(Lançamentos!$B84="","",Lançamentos!$B84)</f>
        <v/>
      </c>
      <c r="C107" s="235" t="str">
        <f>IF($B107="","",Lançamentos!$J84)</f>
        <v/>
      </c>
      <c r="D107" s="235" t="str">
        <f>IF($B107="","",Lançamentos!$H84)</f>
        <v/>
      </c>
      <c r="E107" s="234" t="str">
        <f>IF($B107="","",IF(COUNTIF(Lançamentos!$B$3:$B$1001,$B107)=0,"Bloqueado",IF(COUNTIF('E1 — Solicitação'!$E89:$L89,"⛔ Bloqueado")&gt;0,"Bloqueado",IF(COUNTIF('E1 — Solicitação'!$E89:$L89,"N/A")=8,"Bloqueado",IF(COUNTIF('E1 — Solicitação'!$E89:$L89,"✔ Concluído")+COUNTIF('E1 — Solicitação'!$E89:$L89,"N/A")=8,"Concluído",IF(COUNTIF('E1 — Solicitação'!$E89:$L89,"✔ Concluído")+COUNTIF('E1 — Solicitação'!$E89:$L89,"🔄 Em andamento")&gt;0,"Em andamento","Não iniciado"))))))</f>
        <v/>
      </c>
      <c r="F107" s="234" t="str">
        <f>IF($B107="","",IF($E107&lt;&gt;"Concluído","Não iniciado",IF(COUNTIF(Lançamentos!$B$3:$B$1001,$B107)=0,"Bloqueado",IF('E2 — Triagem'!$D89="","Bloqueado",IF(COUNTIF('E2 — Triagem'!$E89:$L89,"N/A")=8,"Bloqueado",IF(COUNTIF('E2 — Triagem'!$E89:$L89,"⛔ Bloqueado")&gt;0,"Bloqueado",IF(COUNTIF('E2 — Triagem'!$E89:$L89,"✔ Concluído")+COUNTIF('E2 — Triagem'!$E89:$L89,"N/A")=8,"Concluído",IF(COUNTIF('E2 — Triagem'!$E89:$L89,"✔ Concluído")+COUNTIF('E2 — Triagem'!$E89:$L89,"🔄 Em andamento")&gt;0,"Em andamento","Não iniciado"))))))))</f>
        <v/>
      </c>
      <c r="G107" s="234" t="str">
        <f>IF($B107="","",IF($F107&lt;&gt;"Concluído","Não iniciado",IF(COUNTIF(Lançamentos!$B$3:$B$1001,$B107)=0,"Bloqueado",IF('E3 — Levantamento'!$D89="","Bloqueado",IF(COUNTIF('E3 — Levantamento'!$E89:$I89,"⛔ Bloqueado")&gt;0,"Bloqueado",IF('E3 — Levantamento'!$I89="N/A","Bloqueado",IF(COUNTIF('E3 — Levantamento'!$E89:$I89,"✔ Concluído")=5,"Concluído",IF(COUNTIF('E3 — Levantamento'!$E89:$I89,"✔ Concluído")+COUNTIF('E3 — Levantamento'!$E89:$I89,"🔄 Em andamento")&gt;0,"Em andamento","Não iniciado"))))))))</f>
        <v/>
      </c>
      <c r="H107" s="234" t="str">
        <f>IF($B107="","",IF($G107&lt;&gt;"Concluído","Não iniciado",IF(COUNTIF(Lançamentos!$B$3:$B$1001,$B107)=0,"Bloqueado",IF('E4 — Execução'!$D89="","Bloqueado",IF(COUNTIF('E4 — Execução'!$E89:$K89,"⛔ Bloqueado")&gt;0,"Bloqueado",IF(COUNTIF('E4 — Execução'!$E89:$K89,"✔ Concluído")=7,"Concluído",IF(COUNTIF('E4 — Execução'!$E89:$K89,"✔ Concluído")+COUNTIF('E4 — Execução'!$E89:$K89,"🔄 Em andamento")&gt;0,"Em andamento","Não iniciado")))))))</f>
        <v/>
      </c>
      <c r="I107" s="234" t="str">
        <f>IF($B107="","",IF($H107&lt;&gt;"Concluído","Não iniciado",IF(COUNTIF(Lançamentos!$B$3:$B$1001,$B107)=0,"Bloqueado",IF('E5 — Validação'!$D89="","Bloqueado",IF(COUNTIF('E5 — Validação'!$E89:$I89,"⛔ Bloqueado")&gt;0,"Bloqueado",IF('E5 — Validação'!$I89="N/A","Bloqueado",IF(AND('E5 — Validação'!$E89="✔ Concluído",'E5 — Validação'!$F89="✔ Concluído",OR('E5 — Validação'!$G89="✔ Concluído",'E5 — Validação'!$G89="N/A"),'E5 — Validação'!$H89="✔ Concluído",'E5 — Validação'!$I89="✔ Concluído"),"Concluído",IF(COUNTIF('E5 — Validação'!$E89:$I89,"✔ Concluído")+COUNTIF('E5 — Validação'!$E89:$I89,"🔄 Em andamento")&gt;0,"Em andamento","Não iniciado"))))))))</f>
        <v/>
      </c>
      <c r="J107" s="234" t="str">
        <f>IF($B107="","",IF($I107&lt;&gt;"Concluído","Não iniciado",IF('E6 — Ajustes'!$N89="Não","N/A",IF(COUNTIF(Lançamentos!$B$3:$B$1001,$B107)=0,"Bloqueado",IF('E6 — Ajustes'!$D89="","Bloqueado",IF(COUNTIF('E6 — Ajustes'!$E89:$J89,"⛔ Bloqueado")&gt;0,"Bloqueado",IF(AND('E6 — Ajustes'!$E89="✔ Concluído",'E6 — Ajustes'!$F89="✔ Concluído",'E6 — Ajustes'!$G89="✔ Concluído",'E6 — Ajustes'!$H89="✔ Concluído",OR('E6 — Ajustes'!$I89="✔ Concluído",'E6 — Ajustes'!$I89="N/A"),'E6 — Ajustes'!$J89="✔ Concluído"),"Concluído",IF(COUNTIF('E6 — Ajustes'!$E89:$J89,"✔ Concluído")+COUNTIF('E6 — Ajustes'!$E89:$J89,"🔄 Em andamento")&gt;0,"Em andamento","Não iniciado"))))))))</f>
        <v/>
      </c>
      <c r="K107" s="234" t="str">
        <f>IF($B107="","",IF($I107&lt;&gt;"Concluído","Não iniciado",IF(AND($J107&lt;&gt;"Concluído",$J107&lt;&gt;"N/A"),"Não iniciado",IF(COUNTIF(Lançamentos!$B$3:$B$1001,$B107)=0,"Bloqueado",IF('E7 — Entrega'!$D89="","Bloqueado",IF(COUNTIF('E7 — Entrega'!$E89:$H89,"⛔ Bloqueado")&gt;0,"Bloqueado",IF(COUNTIF('E7 — Entrega'!$E89:$H89,"✔ Concluído")=4,"Concluído",IF(COUNTIF('E7 — Entrega'!$E89:$H89,"✔ Concluído")+COUNTIF('E7 — Entrega'!$E89:$H89,"🔄 Em andamento")&gt;0,"Em andamento","Não iniciado"))))))))</f>
        <v/>
      </c>
      <c r="L107" s="234" t="str">
        <f>IF($B107="","",IF($K107&lt;&gt;"Concluído","Não iniciado",IF(OR(COUNTIF('E08 — Estabilização Hypercare'!$E89:$J89,"⛔ Bloqueado")&gt;0,'E08 — Estabilização Hypercare'!$N89="⛔ Incidente Crítico — Encerramento Bloqueado",AND('E08 — Estabilização Hypercare'!$N89="🆕 Evolução Identificada — Nova Demanda Aberta",'E08 — Estabilização Hypercare'!$U89="")),"Bloqueado",IF(AND('E08 — Estabilização Hypercare'!$E89="✔ Concluído",'E08 — Estabilização Hypercare'!$F89="✔ Concluído",'E08 — Estabilização Hypercare'!$G89="✔ Concluído",OR('E08 — Estabilização Hypercare'!$H89="✔ Concluído",'E08 — Estabilização Hypercare'!$H89="N/A"),'E08 — Estabilização Hypercare'!$I89="✔ Concluído",'E08 — Estabilização Hypercare'!$J89="✔ Concluído",OR('E08 — Estabilização Hypercare'!$N89="✅ Estável — Demanda Encerrada",AND('E08 — Estabilização Hypercare'!$N89="🆕 Evolução Identificada — Nova Demanda Aberta",'E08 — Estabilização Hypercare'!$U89&lt;&gt;""))),"Concluído",IF(OR(COUNTIF('E08 — Estabilização Hypercare'!$E89:$J89,"✔ Concluído")&gt;0,COUNTIF('E08 — Estabilização Hypercare'!$E89:$J89,"🔄 Em andamento")&gt;0,'E08 — Estabilização Hypercare'!$N89&lt;&gt;""),"Em andamento","Não iniciado")))))</f>
        <v/>
      </c>
      <c r="M107" s="236" t="str" cm="1">
        <f t="array" ref="M107">IF(B107="","",_xlfn.IFS(E107&lt;&gt;"Concluído","E1 — Solicitação",F107&lt;&gt;"Concluído","E2 — Triagem",G107&lt;&gt;"Concluído","E3 — Levantamento ⚠",H107&lt;&gt;"Concluído","E4 — Execução",I107&lt;&gt;"Concluído","E5 — Validação ⚠",AND(J107&lt;&gt;"Concluído",J107&lt;&gt;"N/A"),"E6 — Ajustes",K107&lt;&gt;"Concluído","E7 — Entrega",L107&lt;&gt;"Concluído","E08 — Estabilização / Hypercare",TRUE,"✔ Fluxo concluído"))</f>
        <v/>
      </c>
      <c r="N107" s="237" t="str">
        <f t="shared" si="1"/>
        <v/>
      </c>
      <c r="O107" s="238"/>
    </row>
    <row r="108" spans="2:15" ht="15" customHeight="1" x14ac:dyDescent="0.35">
      <c r="B108" s="234" t="str">
        <f>IF(Lançamentos!$B85="","",Lançamentos!$B85)</f>
        <v/>
      </c>
      <c r="C108" s="235" t="str">
        <f>IF($B108="","",Lançamentos!$J85)</f>
        <v/>
      </c>
      <c r="D108" s="235" t="str">
        <f>IF($B108="","",Lançamentos!$H85)</f>
        <v/>
      </c>
      <c r="E108" s="234" t="str">
        <f>IF($B108="","",IF(COUNTIF(Lançamentos!$B$3:$B$1001,$B108)=0,"Bloqueado",IF(COUNTIF('E1 — Solicitação'!$E90:$L90,"⛔ Bloqueado")&gt;0,"Bloqueado",IF(COUNTIF('E1 — Solicitação'!$E90:$L90,"N/A")=8,"Bloqueado",IF(COUNTIF('E1 — Solicitação'!$E90:$L90,"✔ Concluído")+COUNTIF('E1 — Solicitação'!$E90:$L90,"N/A")=8,"Concluído",IF(COUNTIF('E1 — Solicitação'!$E90:$L90,"✔ Concluído")+COUNTIF('E1 — Solicitação'!$E90:$L90,"🔄 Em andamento")&gt;0,"Em andamento","Não iniciado"))))))</f>
        <v/>
      </c>
      <c r="F108" s="234" t="str">
        <f>IF($B108="","",IF($E108&lt;&gt;"Concluído","Não iniciado",IF(COUNTIF(Lançamentos!$B$3:$B$1001,$B108)=0,"Bloqueado",IF('E2 — Triagem'!$D90="","Bloqueado",IF(COUNTIF('E2 — Triagem'!$E90:$L90,"N/A")=8,"Bloqueado",IF(COUNTIF('E2 — Triagem'!$E90:$L90,"⛔ Bloqueado")&gt;0,"Bloqueado",IF(COUNTIF('E2 — Triagem'!$E90:$L90,"✔ Concluído")+COUNTIF('E2 — Triagem'!$E90:$L90,"N/A")=8,"Concluído",IF(COUNTIF('E2 — Triagem'!$E90:$L90,"✔ Concluído")+COUNTIF('E2 — Triagem'!$E90:$L90,"🔄 Em andamento")&gt;0,"Em andamento","Não iniciado"))))))))</f>
        <v/>
      </c>
      <c r="G108" s="234" t="str">
        <f>IF($B108="","",IF($F108&lt;&gt;"Concluído","Não iniciado",IF(COUNTIF(Lançamentos!$B$3:$B$1001,$B108)=0,"Bloqueado",IF('E3 — Levantamento'!$D90="","Bloqueado",IF(COUNTIF('E3 — Levantamento'!$E90:$I90,"⛔ Bloqueado")&gt;0,"Bloqueado",IF('E3 — Levantamento'!$I90="N/A","Bloqueado",IF(COUNTIF('E3 — Levantamento'!$E90:$I90,"✔ Concluído")=5,"Concluído",IF(COUNTIF('E3 — Levantamento'!$E90:$I90,"✔ Concluído")+COUNTIF('E3 — Levantamento'!$E90:$I90,"🔄 Em andamento")&gt;0,"Em andamento","Não iniciado"))))))))</f>
        <v/>
      </c>
      <c r="H108" s="234" t="str">
        <f>IF($B108="","",IF($G108&lt;&gt;"Concluído","Não iniciado",IF(COUNTIF(Lançamentos!$B$3:$B$1001,$B108)=0,"Bloqueado",IF('E4 — Execução'!$D90="","Bloqueado",IF(COUNTIF('E4 — Execução'!$E90:$K90,"⛔ Bloqueado")&gt;0,"Bloqueado",IF(COUNTIF('E4 — Execução'!$E90:$K90,"✔ Concluído")=7,"Concluído",IF(COUNTIF('E4 — Execução'!$E90:$K90,"✔ Concluído")+COUNTIF('E4 — Execução'!$E90:$K90,"🔄 Em andamento")&gt;0,"Em andamento","Não iniciado")))))))</f>
        <v/>
      </c>
      <c r="I108" s="234" t="str">
        <f>IF($B108="","",IF($H108&lt;&gt;"Concluído","Não iniciado",IF(COUNTIF(Lançamentos!$B$3:$B$1001,$B108)=0,"Bloqueado",IF('E5 — Validação'!$D90="","Bloqueado",IF(COUNTIF('E5 — Validação'!$E90:$I90,"⛔ Bloqueado")&gt;0,"Bloqueado",IF('E5 — Validação'!$I90="N/A","Bloqueado",IF(AND('E5 — Validação'!$E90="✔ Concluído",'E5 — Validação'!$F90="✔ Concluído",OR('E5 — Validação'!$G90="✔ Concluído",'E5 — Validação'!$G90="N/A"),'E5 — Validação'!$H90="✔ Concluído",'E5 — Validação'!$I90="✔ Concluído"),"Concluído",IF(COUNTIF('E5 — Validação'!$E90:$I90,"✔ Concluído")+COUNTIF('E5 — Validação'!$E90:$I90,"🔄 Em andamento")&gt;0,"Em andamento","Não iniciado"))))))))</f>
        <v/>
      </c>
      <c r="J108" s="234" t="str">
        <f>IF($B108="","",IF($I108&lt;&gt;"Concluído","Não iniciado",IF('E6 — Ajustes'!$N90="Não","N/A",IF(COUNTIF(Lançamentos!$B$3:$B$1001,$B108)=0,"Bloqueado",IF('E6 — Ajustes'!$D90="","Bloqueado",IF(COUNTIF('E6 — Ajustes'!$E90:$J90,"⛔ Bloqueado")&gt;0,"Bloqueado",IF(AND('E6 — Ajustes'!$E90="✔ Concluído",'E6 — Ajustes'!$F90="✔ Concluído",'E6 — Ajustes'!$G90="✔ Concluído",'E6 — Ajustes'!$H90="✔ Concluído",OR('E6 — Ajustes'!$I90="✔ Concluído",'E6 — Ajustes'!$I90="N/A"),'E6 — Ajustes'!$J90="✔ Concluído"),"Concluído",IF(COUNTIF('E6 — Ajustes'!$E90:$J90,"✔ Concluído")+COUNTIF('E6 — Ajustes'!$E90:$J90,"🔄 Em andamento")&gt;0,"Em andamento","Não iniciado"))))))))</f>
        <v/>
      </c>
      <c r="K108" s="234" t="str">
        <f>IF($B108="","",IF($I108&lt;&gt;"Concluído","Não iniciado",IF(AND($J108&lt;&gt;"Concluído",$J108&lt;&gt;"N/A"),"Não iniciado",IF(COUNTIF(Lançamentos!$B$3:$B$1001,$B108)=0,"Bloqueado",IF('E7 — Entrega'!$D90="","Bloqueado",IF(COUNTIF('E7 — Entrega'!$E90:$H90,"⛔ Bloqueado")&gt;0,"Bloqueado",IF(COUNTIF('E7 — Entrega'!$E90:$H90,"✔ Concluído")=4,"Concluído",IF(COUNTIF('E7 — Entrega'!$E90:$H90,"✔ Concluído")+COUNTIF('E7 — Entrega'!$E90:$H90,"🔄 Em andamento")&gt;0,"Em andamento","Não iniciado"))))))))</f>
        <v/>
      </c>
      <c r="L108" s="234" t="str">
        <f>IF($B108="","",IF($K108&lt;&gt;"Concluído","Não iniciado",IF(OR(COUNTIF('E08 — Estabilização Hypercare'!$E90:$J90,"⛔ Bloqueado")&gt;0,'E08 — Estabilização Hypercare'!$N90="⛔ Incidente Crítico — Encerramento Bloqueado",AND('E08 — Estabilização Hypercare'!$N90="🆕 Evolução Identificada — Nova Demanda Aberta",'E08 — Estabilização Hypercare'!$U90="")),"Bloqueado",IF(AND('E08 — Estabilização Hypercare'!$E90="✔ Concluído",'E08 — Estabilização Hypercare'!$F90="✔ Concluído",'E08 — Estabilização Hypercare'!$G90="✔ Concluído",OR('E08 — Estabilização Hypercare'!$H90="✔ Concluído",'E08 — Estabilização Hypercare'!$H90="N/A"),'E08 — Estabilização Hypercare'!$I90="✔ Concluído",'E08 — Estabilização Hypercare'!$J90="✔ Concluído",OR('E08 — Estabilização Hypercare'!$N90="✅ Estável — Demanda Encerrada",AND('E08 — Estabilização Hypercare'!$N90="🆕 Evolução Identificada — Nova Demanda Aberta",'E08 — Estabilização Hypercare'!$U90&lt;&gt;""))),"Concluído",IF(OR(COUNTIF('E08 — Estabilização Hypercare'!$E90:$J90,"✔ Concluído")&gt;0,COUNTIF('E08 — Estabilização Hypercare'!$E90:$J90,"🔄 Em andamento")&gt;0,'E08 — Estabilização Hypercare'!$N90&lt;&gt;""),"Em andamento","Não iniciado")))))</f>
        <v/>
      </c>
      <c r="M108" s="236" t="str" cm="1">
        <f t="array" ref="M108">IF(B108="","",_xlfn.IFS(E108&lt;&gt;"Concluído","E1 — Solicitação",F108&lt;&gt;"Concluído","E2 — Triagem",G108&lt;&gt;"Concluído","E3 — Levantamento ⚠",H108&lt;&gt;"Concluído","E4 — Execução",I108&lt;&gt;"Concluído","E5 — Validação ⚠",AND(J108&lt;&gt;"Concluído",J108&lt;&gt;"N/A"),"E6 — Ajustes",K108&lt;&gt;"Concluído","E7 — Entrega",L108&lt;&gt;"Concluído","E08 — Estabilização / Hypercare",TRUE,"✔ Fluxo concluído"))</f>
        <v/>
      </c>
      <c r="N108" s="237" t="str">
        <f t="shared" si="1"/>
        <v/>
      </c>
      <c r="O108" s="238"/>
    </row>
    <row r="109" spans="2:15" ht="15" customHeight="1" x14ac:dyDescent="0.35">
      <c r="B109" s="234" t="str">
        <f>IF(Lançamentos!$B86="","",Lançamentos!$B86)</f>
        <v/>
      </c>
      <c r="C109" s="235" t="str">
        <f>IF($B109="","",Lançamentos!$J86)</f>
        <v/>
      </c>
      <c r="D109" s="235" t="str">
        <f>IF($B109="","",Lançamentos!$H86)</f>
        <v/>
      </c>
      <c r="E109" s="234" t="str">
        <f>IF($B109="","",IF(COUNTIF(Lançamentos!$B$3:$B$1001,$B109)=0,"Bloqueado",IF(COUNTIF('E1 — Solicitação'!$E91:$L91,"⛔ Bloqueado")&gt;0,"Bloqueado",IF(COUNTIF('E1 — Solicitação'!$E91:$L91,"N/A")=8,"Bloqueado",IF(COUNTIF('E1 — Solicitação'!$E91:$L91,"✔ Concluído")+COUNTIF('E1 — Solicitação'!$E91:$L91,"N/A")=8,"Concluído",IF(COUNTIF('E1 — Solicitação'!$E91:$L91,"✔ Concluído")+COUNTIF('E1 — Solicitação'!$E91:$L91,"🔄 Em andamento")&gt;0,"Em andamento","Não iniciado"))))))</f>
        <v/>
      </c>
      <c r="F109" s="234" t="str">
        <f>IF($B109="","",IF($E109&lt;&gt;"Concluído","Não iniciado",IF(COUNTIF(Lançamentos!$B$3:$B$1001,$B109)=0,"Bloqueado",IF('E2 — Triagem'!$D91="","Bloqueado",IF(COUNTIF('E2 — Triagem'!$E91:$L91,"N/A")=8,"Bloqueado",IF(COUNTIF('E2 — Triagem'!$E91:$L91,"⛔ Bloqueado")&gt;0,"Bloqueado",IF(COUNTIF('E2 — Triagem'!$E91:$L91,"✔ Concluído")+COUNTIF('E2 — Triagem'!$E91:$L91,"N/A")=8,"Concluído",IF(COUNTIF('E2 — Triagem'!$E91:$L91,"✔ Concluído")+COUNTIF('E2 — Triagem'!$E91:$L91,"🔄 Em andamento")&gt;0,"Em andamento","Não iniciado"))))))))</f>
        <v/>
      </c>
      <c r="G109" s="234" t="str">
        <f>IF($B109="","",IF($F109&lt;&gt;"Concluído","Não iniciado",IF(COUNTIF(Lançamentos!$B$3:$B$1001,$B109)=0,"Bloqueado",IF('E3 — Levantamento'!$D91="","Bloqueado",IF(COUNTIF('E3 — Levantamento'!$E91:$I91,"⛔ Bloqueado")&gt;0,"Bloqueado",IF('E3 — Levantamento'!$I91="N/A","Bloqueado",IF(COUNTIF('E3 — Levantamento'!$E91:$I91,"✔ Concluído")=5,"Concluído",IF(COUNTIF('E3 — Levantamento'!$E91:$I91,"✔ Concluído")+COUNTIF('E3 — Levantamento'!$E91:$I91,"🔄 Em andamento")&gt;0,"Em andamento","Não iniciado"))))))))</f>
        <v/>
      </c>
      <c r="H109" s="234" t="str">
        <f>IF($B109="","",IF($G109&lt;&gt;"Concluído","Não iniciado",IF(COUNTIF(Lançamentos!$B$3:$B$1001,$B109)=0,"Bloqueado",IF('E4 — Execução'!$D91="","Bloqueado",IF(COUNTIF('E4 — Execução'!$E91:$K91,"⛔ Bloqueado")&gt;0,"Bloqueado",IF(COUNTIF('E4 — Execução'!$E91:$K91,"✔ Concluído")=7,"Concluído",IF(COUNTIF('E4 — Execução'!$E91:$K91,"✔ Concluído")+COUNTIF('E4 — Execução'!$E91:$K91,"🔄 Em andamento")&gt;0,"Em andamento","Não iniciado")))))))</f>
        <v/>
      </c>
      <c r="I109" s="234" t="str">
        <f>IF($B109="","",IF($H109&lt;&gt;"Concluído","Não iniciado",IF(COUNTIF(Lançamentos!$B$3:$B$1001,$B109)=0,"Bloqueado",IF('E5 — Validação'!$D91="","Bloqueado",IF(COUNTIF('E5 — Validação'!$E91:$I91,"⛔ Bloqueado")&gt;0,"Bloqueado",IF('E5 — Validação'!$I91="N/A","Bloqueado",IF(AND('E5 — Validação'!$E91="✔ Concluído",'E5 — Validação'!$F91="✔ Concluído",OR('E5 — Validação'!$G91="✔ Concluído",'E5 — Validação'!$G91="N/A"),'E5 — Validação'!$H91="✔ Concluído",'E5 — Validação'!$I91="✔ Concluído"),"Concluído",IF(COUNTIF('E5 — Validação'!$E91:$I91,"✔ Concluído")+COUNTIF('E5 — Validação'!$E91:$I91,"🔄 Em andamento")&gt;0,"Em andamento","Não iniciado"))))))))</f>
        <v/>
      </c>
      <c r="J109" s="234" t="str">
        <f>IF($B109="","",IF($I109&lt;&gt;"Concluído","Não iniciado",IF('E6 — Ajustes'!$N91="Não","N/A",IF(COUNTIF(Lançamentos!$B$3:$B$1001,$B109)=0,"Bloqueado",IF('E6 — Ajustes'!$D91="","Bloqueado",IF(COUNTIF('E6 — Ajustes'!$E91:$J91,"⛔ Bloqueado")&gt;0,"Bloqueado",IF(AND('E6 — Ajustes'!$E91="✔ Concluído",'E6 — Ajustes'!$F91="✔ Concluído",'E6 — Ajustes'!$G91="✔ Concluído",'E6 — Ajustes'!$H91="✔ Concluído",OR('E6 — Ajustes'!$I91="✔ Concluído",'E6 — Ajustes'!$I91="N/A"),'E6 — Ajustes'!$J91="✔ Concluído"),"Concluído",IF(COUNTIF('E6 — Ajustes'!$E91:$J91,"✔ Concluído")+COUNTIF('E6 — Ajustes'!$E91:$J91,"🔄 Em andamento")&gt;0,"Em andamento","Não iniciado"))))))))</f>
        <v/>
      </c>
      <c r="K109" s="234" t="str">
        <f>IF($B109="","",IF($I109&lt;&gt;"Concluído","Não iniciado",IF(AND($J109&lt;&gt;"Concluído",$J109&lt;&gt;"N/A"),"Não iniciado",IF(COUNTIF(Lançamentos!$B$3:$B$1001,$B109)=0,"Bloqueado",IF('E7 — Entrega'!$D91="","Bloqueado",IF(COUNTIF('E7 — Entrega'!$E91:$H91,"⛔ Bloqueado")&gt;0,"Bloqueado",IF(COUNTIF('E7 — Entrega'!$E91:$H91,"✔ Concluído")=4,"Concluído",IF(COUNTIF('E7 — Entrega'!$E91:$H91,"✔ Concluído")+COUNTIF('E7 — Entrega'!$E91:$H91,"🔄 Em andamento")&gt;0,"Em andamento","Não iniciado"))))))))</f>
        <v/>
      </c>
      <c r="L109" s="234" t="str">
        <f>IF($B109="","",IF($K109&lt;&gt;"Concluído","Não iniciado",IF(OR(COUNTIF('E08 — Estabilização Hypercare'!$E91:$J91,"⛔ Bloqueado")&gt;0,'E08 — Estabilização Hypercare'!$N91="⛔ Incidente Crítico — Encerramento Bloqueado",AND('E08 — Estabilização Hypercare'!$N91="🆕 Evolução Identificada — Nova Demanda Aberta",'E08 — Estabilização Hypercare'!$U91="")),"Bloqueado",IF(AND('E08 — Estabilização Hypercare'!$E91="✔ Concluído",'E08 — Estabilização Hypercare'!$F91="✔ Concluído",'E08 — Estabilização Hypercare'!$G91="✔ Concluído",OR('E08 — Estabilização Hypercare'!$H91="✔ Concluído",'E08 — Estabilização Hypercare'!$H91="N/A"),'E08 — Estabilização Hypercare'!$I91="✔ Concluído",'E08 — Estabilização Hypercare'!$J91="✔ Concluído",OR('E08 — Estabilização Hypercare'!$N91="✅ Estável — Demanda Encerrada",AND('E08 — Estabilização Hypercare'!$N91="🆕 Evolução Identificada — Nova Demanda Aberta",'E08 — Estabilização Hypercare'!$U91&lt;&gt;""))),"Concluído",IF(OR(COUNTIF('E08 — Estabilização Hypercare'!$E91:$J91,"✔ Concluído")&gt;0,COUNTIF('E08 — Estabilização Hypercare'!$E91:$J91,"🔄 Em andamento")&gt;0,'E08 — Estabilização Hypercare'!$N91&lt;&gt;""),"Em andamento","Não iniciado")))))</f>
        <v/>
      </c>
      <c r="M109" s="236" t="str" cm="1">
        <f t="array" ref="M109">IF(B109="","",_xlfn.IFS(E109&lt;&gt;"Concluído","E1 — Solicitação",F109&lt;&gt;"Concluído","E2 — Triagem",G109&lt;&gt;"Concluído","E3 — Levantamento ⚠",H109&lt;&gt;"Concluído","E4 — Execução",I109&lt;&gt;"Concluído","E5 — Validação ⚠",AND(J109&lt;&gt;"Concluído",J109&lt;&gt;"N/A"),"E6 — Ajustes",K109&lt;&gt;"Concluído","E7 — Entrega",L109&lt;&gt;"Concluído","E08 — Estabilização / Hypercare",TRUE,"✔ Fluxo concluído"))</f>
        <v/>
      </c>
      <c r="N109" s="237" t="str">
        <f t="shared" si="1"/>
        <v/>
      </c>
      <c r="O109" s="238"/>
    </row>
    <row r="110" spans="2:15" ht="15" customHeight="1" x14ac:dyDescent="0.35">
      <c r="B110" s="234" t="str">
        <f>IF(Lançamentos!$B87="","",Lançamentos!$B87)</f>
        <v/>
      </c>
      <c r="C110" s="235" t="str">
        <f>IF($B110="","",Lançamentos!$J87)</f>
        <v/>
      </c>
      <c r="D110" s="235" t="str">
        <f>IF($B110="","",Lançamentos!$H87)</f>
        <v/>
      </c>
      <c r="E110" s="234" t="str">
        <f>IF($B110="","",IF(COUNTIF(Lançamentos!$B$3:$B$1001,$B110)=0,"Bloqueado",IF(COUNTIF('E1 — Solicitação'!$E92:$L92,"⛔ Bloqueado")&gt;0,"Bloqueado",IF(COUNTIF('E1 — Solicitação'!$E92:$L92,"N/A")=8,"Bloqueado",IF(COUNTIF('E1 — Solicitação'!$E92:$L92,"✔ Concluído")+COUNTIF('E1 — Solicitação'!$E92:$L92,"N/A")=8,"Concluído",IF(COUNTIF('E1 — Solicitação'!$E92:$L92,"✔ Concluído")+COUNTIF('E1 — Solicitação'!$E92:$L92,"🔄 Em andamento")&gt;0,"Em andamento","Não iniciado"))))))</f>
        <v/>
      </c>
      <c r="F110" s="234" t="str">
        <f>IF($B110="","",IF($E110&lt;&gt;"Concluído","Não iniciado",IF(COUNTIF(Lançamentos!$B$3:$B$1001,$B110)=0,"Bloqueado",IF('E2 — Triagem'!$D92="","Bloqueado",IF(COUNTIF('E2 — Triagem'!$E92:$L92,"N/A")=8,"Bloqueado",IF(COUNTIF('E2 — Triagem'!$E92:$L92,"⛔ Bloqueado")&gt;0,"Bloqueado",IF(COUNTIF('E2 — Triagem'!$E92:$L92,"✔ Concluído")+COUNTIF('E2 — Triagem'!$E92:$L92,"N/A")=8,"Concluído",IF(COUNTIF('E2 — Triagem'!$E92:$L92,"✔ Concluído")+COUNTIF('E2 — Triagem'!$E92:$L92,"🔄 Em andamento")&gt;0,"Em andamento","Não iniciado"))))))))</f>
        <v/>
      </c>
      <c r="G110" s="234" t="str">
        <f>IF($B110="","",IF($F110&lt;&gt;"Concluído","Não iniciado",IF(COUNTIF(Lançamentos!$B$3:$B$1001,$B110)=0,"Bloqueado",IF('E3 — Levantamento'!$D92="","Bloqueado",IF(COUNTIF('E3 — Levantamento'!$E92:$I92,"⛔ Bloqueado")&gt;0,"Bloqueado",IF('E3 — Levantamento'!$I92="N/A","Bloqueado",IF(COUNTIF('E3 — Levantamento'!$E92:$I92,"✔ Concluído")=5,"Concluído",IF(COUNTIF('E3 — Levantamento'!$E92:$I92,"✔ Concluído")+COUNTIF('E3 — Levantamento'!$E92:$I92,"🔄 Em andamento")&gt;0,"Em andamento","Não iniciado"))))))))</f>
        <v/>
      </c>
      <c r="H110" s="234" t="str">
        <f>IF($B110="","",IF($G110&lt;&gt;"Concluído","Não iniciado",IF(COUNTIF(Lançamentos!$B$3:$B$1001,$B110)=0,"Bloqueado",IF('E4 — Execução'!$D92="","Bloqueado",IF(COUNTIF('E4 — Execução'!$E92:$K92,"⛔ Bloqueado")&gt;0,"Bloqueado",IF(COUNTIF('E4 — Execução'!$E92:$K92,"✔ Concluído")=7,"Concluído",IF(COUNTIF('E4 — Execução'!$E92:$K92,"✔ Concluído")+COUNTIF('E4 — Execução'!$E92:$K92,"🔄 Em andamento")&gt;0,"Em andamento","Não iniciado")))))))</f>
        <v/>
      </c>
      <c r="I110" s="234" t="str">
        <f>IF($B110="","",IF($H110&lt;&gt;"Concluído","Não iniciado",IF(COUNTIF(Lançamentos!$B$3:$B$1001,$B110)=0,"Bloqueado",IF('E5 — Validação'!$D92="","Bloqueado",IF(COUNTIF('E5 — Validação'!$E92:$I92,"⛔ Bloqueado")&gt;0,"Bloqueado",IF('E5 — Validação'!$I92="N/A","Bloqueado",IF(AND('E5 — Validação'!$E92="✔ Concluído",'E5 — Validação'!$F92="✔ Concluído",OR('E5 — Validação'!$G92="✔ Concluído",'E5 — Validação'!$G92="N/A"),'E5 — Validação'!$H92="✔ Concluído",'E5 — Validação'!$I92="✔ Concluído"),"Concluído",IF(COUNTIF('E5 — Validação'!$E92:$I92,"✔ Concluído")+COUNTIF('E5 — Validação'!$E92:$I92,"🔄 Em andamento")&gt;0,"Em andamento","Não iniciado"))))))))</f>
        <v/>
      </c>
      <c r="J110" s="234" t="str">
        <f>IF($B110="","",IF($I110&lt;&gt;"Concluído","Não iniciado",IF('E6 — Ajustes'!$N92="Não","N/A",IF(COUNTIF(Lançamentos!$B$3:$B$1001,$B110)=0,"Bloqueado",IF('E6 — Ajustes'!$D92="","Bloqueado",IF(COUNTIF('E6 — Ajustes'!$E92:$J92,"⛔ Bloqueado")&gt;0,"Bloqueado",IF(AND('E6 — Ajustes'!$E92="✔ Concluído",'E6 — Ajustes'!$F92="✔ Concluído",'E6 — Ajustes'!$G92="✔ Concluído",'E6 — Ajustes'!$H92="✔ Concluído",OR('E6 — Ajustes'!$I92="✔ Concluído",'E6 — Ajustes'!$I92="N/A"),'E6 — Ajustes'!$J92="✔ Concluído"),"Concluído",IF(COUNTIF('E6 — Ajustes'!$E92:$J92,"✔ Concluído")+COUNTIF('E6 — Ajustes'!$E92:$J92,"🔄 Em andamento")&gt;0,"Em andamento","Não iniciado"))))))))</f>
        <v/>
      </c>
      <c r="K110" s="234" t="str">
        <f>IF($B110="","",IF($I110&lt;&gt;"Concluído","Não iniciado",IF(AND($J110&lt;&gt;"Concluído",$J110&lt;&gt;"N/A"),"Não iniciado",IF(COUNTIF(Lançamentos!$B$3:$B$1001,$B110)=0,"Bloqueado",IF('E7 — Entrega'!$D92="","Bloqueado",IF(COUNTIF('E7 — Entrega'!$E92:$H92,"⛔ Bloqueado")&gt;0,"Bloqueado",IF(COUNTIF('E7 — Entrega'!$E92:$H92,"✔ Concluído")=4,"Concluído",IF(COUNTIF('E7 — Entrega'!$E92:$H92,"✔ Concluído")+COUNTIF('E7 — Entrega'!$E92:$H92,"🔄 Em andamento")&gt;0,"Em andamento","Não iniciado"))))))))</f>
        <v/>
      </c>
      <c r="L110" s="234" t="str">
        <f>IF($B110="","",IF($K110&lt;&gt;"Concluído","Não iniciado",IF(OR(COUNTIF('E08 — Estabilização Hypercare'!$E92:$J92,"⛔ Bloqueado")&gt;0,'E08 — Estabilização Hypercare'!$N92="⛔ Incidente Crítico — Encerramento Bloqueado",AND('E08 — Estabilização Hypercare'!$N92="🆕 Evolução Identificada — Nova Demanda Aberta",'E08 — Estabilização Hypercare'!$U92="")),"Bloqueado",IF(AND('E08 — Estabilização Hypercare'!$E92="✔ Concluído",'E08 — Estabilização Hypercare'!$F92="✔ Concluído",'E08 — Estabilização Hypercare'!$G92="✔ Concluído",OR('E08 — Estabilização Hypercare'!$H92="✔ Concluído",'E08 — Estabilização Hypercare'!$H92="N/A"),'E08 — Estabilização Hypercare'!$I92="✔ Concluído",'E08 — Estabilização Hypercare'!$J92="✔ Concluído",OR('E08 — Estabilização Hypercare'!$N92="✅ Estável — Demanda Encerrada",AND('E08 — Estabilização Hypercare'!$N92="🆕 Evolução Identificada — Nova Demanda Aberta",'E08 — Estabilização Hypercare'!$U92&lt;&gt;""))),"Concluído",IF(OR(COUNTIF('E08 — Estabilização Hypercare'!$E92:$J92,"✔ Concluído")&gt;0,COUNTIF('E08 — Estabilização Hypercare'!$E92:$J92,"🔄 Em andamento")&gt;0,'E08 — Estabilização Hypercare'!$N92&lt;&gt;""),"Em andamento","Não iniciado")))))</f>
        <v/>
      </c>
      <c r="M110" s="236" t="str" cm="1">
        <f t="array" ref="M110">IF(B110="","",_xlfn.IFS(E110&lt;&gt;"Concluído","E1 — Solicitação",F110&lt;&gt;"Concluído","E2 — Triagem",G110&lt;&gt;"Concluído","E3 — Levantamento ⚠",H110&lt;&gt;"Concluído","E4 — Execução",I110&lt;&gt;"Concluído","E5 — Validação ⚠",AND(J110&lt;&gt;"Concluído",J110&lt;&gt;"N/A"),"E6 — Ajustes",K110&lt;&gt;"Concluído","E7 — Entrega",L110&lt;&gt;"Concluído","E08 — Estabilização / Hypercare",TRUE,"✔ Fluxo concluído"))</f>
        <v/>
      </c>
      <c r="N110" s="237" t="str">
        <f t="shared" si="1"/>
        <v/>
      </c>
      <c r="O110" s="238"/>
    </row>
    <row r="111" spans="2:15" ht="15" customHeight="1" x14ac:dyDescent="0.35">
      <c r="B111" s="234" t="str">
        <f>IF(Lançamentos!$B88="","",Lançamentos!$B88)</f>
        <v/>
      </c>
      <c r="C111" s="235" t="str">
        <f>IF($B111="","",Lançamentos!$J88)</f>
        <v/>
      </c>
      <c r="D111" s="235" t="str">
        <f>IF($B111="","",Lançamentos!$H88)</f>
        <v/>
      </c>
      <c r="E111" s="234" t="str">
        <f>IF($B111="","",IF(COUNTIF(Lançamentos!$B$3:$B$1001,$B111)=0,"Bloqueado",IF(COUNTIF('E1 — Solicitação'!$E93:$L93,"⛔ Bloqueado")&gt;0,"Bloqueado",IF(COUNTIF('E1 — Solicitação'!$E93:$L93,"N/A")=8,"Bloqueado",IF(COUNTIF('E1 — Solicitação'!$E93:$L93,"✔ Concluído")+COUNTIF('E1 — Solicitação'!$E93:$L93,"N/A")=8,"Concluído",IF(COUNTIF('E1 — Solicitação'!$E93:$L93,"✔ Concluído")+COUNTIF('E1 — Solicitação'!$E93:$L93,"🔄 Em andamento")&gt;0,"Em andamento","Não iniciado"))))))</f>
        <v/>
      </c>
      <c r="F111" s="234" t="str">
        <f>IF($B111="","",IF($E111&lt;&gt;"Concluído","Não iniciado",IF(COUNTIF(Lançamentos!$B$3:$B$1001,$B111)=0,"Bloqueado",IF('E2 — Triagem'!$D93="","Bloqueado",IF(COUNTIF('E2 — Triagem'!$E93:$L93,"N/A")=8,"Bloqueado",IF(COUNTIF('E2 — Triagem'!$E93:$L93,"⛔ Bloqueado")&gt;0,"Bloqueado",IF(COUNTIF('E2 — Triagem'!$E93:$L93,"✔ Concluído")+COUNTIF('E2 — Triagem'!$E93:$L93,"N/A")=8,"Concluído",IF(COUNTIF('E2 — Triagem'!$E93:$L93,"✔ Concluído")+COUNTIF('E2 — Triagem'!$E93:$L93,"🔄 Em andamento")&gt;0,"Em andamento","Não iniciado"))))))))</f>
        <v/>
      </c>
      <c r="G111" s="234" t="str">
        <f>IF($B111="","",IF($F111&lt;&gt;"Concluído","Não iniciado",IF(COUNTIF(Lançamentos!$B$3:$B$1001,$B111)=0,"Bloqueado",IF('E3 — Levantamento'!$D93="","Bloqueado",IF(COUNTIF('E3 — Levantamento'!$E93:$I93,"⛔ Bloqueado")&gt;0,"Bloqueado",IF('E3 — Levantamento'!$I93="N/A","Bloqueado",IF(COUNTIF('E3 — Levantamento'!$E93:$I93,"✔ Concluído")=5,"Concluído",IF(COUNTIF('E3 — Levantamento'!$E93:$I93,"✔ Concluído")+COUNTIF('E3 — Levantamento'!$E93:$I93,"🔄 Em andamento")&gt;0,"Em andamento","Não iniciado"))))))))</f>
        <v/>
      </c>
      <c r="H111" s="234" t="str">
        <f>IF($B111="","",IF($G111&lt;&gt;"Concluído","Não iniciado",IF(COUNTIF(Lançamentos!$B$3:$B$1001,$B111)=0,"Bloqueado",IF('E4 — Execução'!$D93="","Bloqueado",IF(COUNTIF('E4 — Execução'!$E93:$K93,"⛔ Bloqueado")&gt;0,"Bloqueado",IF(COUNTIF('E4 — Execução'!$E93:$K93,"✔ Concluído")=7,"Concluído",IF(COUNTIF('E4 — Execução'!$E93:$K93,"✔ Concluído")+COUNTIF('E4 — Execução'!$E93:$K93,"🔄 Em andamento")&gt;0,"Em andamento","Não iniciado")))))))</f>
        <v/>
      </c>
      <c r="I111" s="234" t="str">
        <f>IF($B111="","",IF($H111&lt;&gt;"Concluído","Não iniciado",IF(COUNTIF(Lançamentos!$B$3:$B$1001,$B111)=0,"Bloqueado",IF('E5 — Validação'!$D93="","Bloqueado",IF(COUNTIF('E5 — Validação'!$E93:$I93,"⛔ Bloqueado")&gt;0,"Bloqueado",IF('E5 — Validação'!$I93="N/A","Bloqueado",IF(AND('E5 — Validação'!$E93="✔ Concluído",'E5 — Validação'!$F93="✔ Concluído",OR('E5 — Validação'!$G93="✔ Concluído",'E5 — Validação'!$G93="N/A"),'E5 — Validação'!$H93="✔ Concluído",'E5 — Validação'!$I93="✔ Concluído"),"Concluído",IF(COUNTIF('E5 — Validação'!$E93:$I93,"✔ Concluído")+COUNTIF('E5 — Validação'!$E93:$I93,"🔄 Em andamento")&gt;0,"Em andamento","Não iniciado"))))))))</f>
        <v/>
      </c>
      <c r="J111" s="234" t="str">
        <f>IF($B111="","",IF($I111&lt;&gt;"Concluído","Não iniciado",IF('E6 — Ajustes'!$N93="Não","N/A",IF(COUNTIF(Lançamentos!$B$3:$B$1001,$B111)=0,"Bloqueado",IF('E6 — Ajustes'!$D93="","Bloqueado",IF(COUNTIF('E6 — Ajustes'!$E93:$J93,"⛔ Bloqueado")&gt;0,"Bloqueado",IF(AND('E6 — Ajustes'!$E93="✔ Concluído",'E6 — Ajustes'!$F93="✔ Concluído",'E6 — Ajustes'!$G93="✔ Concluído",'E6 — Ajustes'!$H93="✔ Concluído",OR('E6 — Ajustes'!$I93="✔ Concluído",'E6 — Ajustes'!$I93="N/A"),'E6 — Ajustes'!$J93="✔ Concluído"),"Concluído",IF(COUNTIF('E6 — Ajustes'!$E93:$J93,"✔ Concluído")+COUNTIF('E6 — Ajustes'!$E93:$J93,"🔄 Em andamento")&gt;0,"Em andamento","Não iniciado"))))))))</f>
        <v/>
      </c>
      <c r="K111" s="234" t="str">
        <f>IF($B111="","",IF($I111&lt;&gt;"Concluído","Não iniciado",IF(AND($J111&lt;&gt;"Concluído",$J111&lt;&gt;"N/A"),"Não iniciado",IF(COUNTIF(Lançamentos!$B$3:$B$1001,$B111)=0,"Bloqueado",IF('E7 — Entrega'!$D93="","Bloqueado",IF(COUNTIF('E7 — Entrega'!$E93:$H93,"⛔ Bloqueado")&gt;0,"Bloqueado",IF(COUNTIF('E7 — Entrega'!$E93:$H93,"✔ Concluído")=4,"Concluído",IF(COUNTIF('E7 — Entrega'!$E93:$H93,"✔ Concluído")+COUNTIF('E7 — Entrega'!$E93:$H93,"🔄 Em andamento")&gt;0,"Em andamento","Não iniciado"))))))))</f>
        <v/>
      </c>
      <c r="L111" s="234" t="str">
        <f>IF($B111="","",IF($K111&lt;&gt;"Concluído","Não iniciado",IF(OR(COUNTIF('E08 — Estabilização Hypercare'!$E93:$J93,"⛔ Bloqueado")&gt;0,'E08 — Estabilização Hypercare'!$N93="⛔ Incidente Crítico — Encerramento Bloqueado",AND('E08 — Estabilização Hypercare'!$N93="🆕 Evolução Identificada — Nova Demanda Aberta",'E08 — Estabilização Hypercare'!$U93="")),"Bloqueado",IF(AND('E08 — Estabilização Hypercare'!$E93="✔ Concluído",'E08 — Estabilização Hypercare'!$F93="✔ Concluído",'E08 — Estabilização Hypercare'!$G93="✔ Concluído",OR('E08 — Estabilização Hypercare'!$H93="✔ Concluído",'E08 — Estabilização Hypercare'!$H93="N/A"),'E08 — Estabilização Hypercare'!$I93="✔ Concluído",'E08 — Estabilização Hypercare'!$J93="✔ Concluído",OR('E08 — Estabilização Hypercare'!$N93="✅ Estável — Demanda Encerrada",AND('E08 — Estabilização Hypercare'!$N93="🆕 Evolução Identificada — Nova Demanda Aberta",'E08 — Estabilização Hypercare'!$U93&lt;&gt;""))),"Concluído",IF(OR(COUNTIF('E08 — Estabilização Hypercare'!$E93:$J93,"✔ Concluído")&gt;0,COUNTIF('E08 — Estabilização Hypercare'!$E93:$J93,"🔄 Em andamento")&gt;0,'E08 — Estabilização Hypercare'!$N93&lt;&gt;""),"Em andamento","Não iniciado")))))</f>
        <v/>
      </c>
      <c r="M111" s="236" t="str" cm="1">
        <f t="array" ref="M111">IF(B111="","",_xlfn.IFS(E111&lt;&gt;"Concluído","E1 — Solicitação",F111&lt;&gt;"Concluído","E2 — Triagem",G111&lt;&gt;"Concluído","E3 — Levantamento ⚠",H111&lt;&gt;"Concluído","E4 — Execução",I111&lt;&gt;"Concluído","E5 — Validação ⚠",AND(J111&lt;&gt;"Concluído",J111&lt;&gt;"N/A"),"E6 — Ajustes",K111&lt;&gt;"Concluído","E7 — Entrega",L111&lt;&gt;"Concluído","E08 — Estabilização / Hypercare",TRUE,"✔ Fluxo concluído"))</f>
        <v/>
      </c>
      <c r="N111" s="237" t="str">
        <f t="shared" si="1"/>
        <v/>
      </c>
      <c r="O111" s="238"/>
    </row>
    <row r="112" spans="2:15" ht="15" customHeight="1" x14ac:dyDescent="0.35">
      <c r="B112" s="234" t="str">
        <f>IF(Lançamentos!$B89="","",Lançamentos!$B89)</f>
        <v/>
      </c>
      <c r="C112" s="235" t="str">
        <f>IF($B112="","",Lançamentos!$J89)</f>
        <v/>
      </c>
      <c r="D112" s="235" t="str">
        <f>IF($B112="","",Lançamentos!$H89)</f>
        <v/>
      </c>
      <c r="E112" s="234" t="str">
        <f>IF($B112="","",IF(COUNTIF(Lançamentos!$B$3:$B$1001,$B112)=0,"Bloqueado",IF(COUNTIF('E1 — Solicitação'!$E94:$L94,"⛔ Bloqueado")&gt;0,"Bloqueado",IF(COUNTIF('E1 — Solicitação'!$E94:$L94,"N/A")=8,"Bloqueado",IF(COUNTIF('E1 — Solicitação'!$E94:$L94,"✔ Concluído")+COUNTIF('E1 — Solicitação'!$E94:$L94,"N/A")=8,"Concluído",IF(COUNTIF('E1 — Solicitação'!$E94:$L94,"✔ Concluído")+COUNTIF('E1 — Solicitação'!$E94:$L94,"🔄 Em andamento")&gt;0,"Em andamento","Não iniciado"))))))</f>
        <v/>
      </c>
      <c r="F112" s="234" t="str">
        <f>IF($B112="","",IF($E112&lt;&gt;"Concluído","Não iniciado",IF(COUNTIF(Lançamentos!$B$3:$B$1001,$B112)=0,"Bloqueado",IF('E2 — Triagem'!$D94="","Bloqueado",IF(COUNTIF('E2 — Triagem'!$E94:$L94,"N/A")=8,"Bloqueado",IF(COUNTIF('E2 — Triagem'!$E94:$L94,"⛔ Bloqueado")&gt;0,"Bloqueado",IF(COUNTIF('E2 — Triagem'!$E94:$L94,"✔ Concluído")+COUNTIF('E2 — Triagem'!$E94:$L94,"N/A")=8,"Concluído",IF(COUNTIF('E2 — Triagem'!$E94:$L94,"✔ Concluído")+COUNTIF('E2 — Triagem'!$E94:$L94,"🔄 Em andamento")&gt;0,"Em andamento","Não iniciado"))))))))</f>
        <v/>
      </c>
      <c r="G112" s="234" t="str">
        <f>IF($B112="","",IF($F112&lt;&gt;"Concluído","Não iniciado",IF(COUNTIF(Lançamentos!$B$3:$B$1001,$B112)=0,"Bloqueado",IF('E3 — Levantamento'!$D94="","Bloqueado",IF(COUNTIF('E3 — Levantamento'!$E94:$I94,"⛔ Bloqueado")&gt;0,"Bloqueado",IF('E3 — Levantamento'!$I94="N/A","Bloqueado",IF(COUNTIF('E3 — Levantamento'!$E94:$I94,"✔ Concluído")=5,"Concluído",IF(COUNTIF('E3 — Levantamento'!$E94:$I94,"✔ Concluído")+COUNTIF('E3 — Levantamento'!$E94:$I94,"🔄 Em andamento")&gt;0,"Em andamento","Não iniciado"))))))))</f>
        <v/>
      </c>
      <c r="H112" s="234" t="str">
        <f>IF($B112="","",IF($G112&lt;&gt;"Concluído","Não iniciado",IF(COUNTIF(Lançamentos!$B$3:$B$1001,$B112)=0,"Bloqueado",IF('E4 — Execução'!$D94="","Bloqueado",IF(COUNTIF('E4 — Execução'!$E94:$K94,"⛔ Bloqueado")&gt;0,"Bloqueado",IF(COUNTIF('E4 — Execução'!$E94:$K94,"✔ Concluído")=7,"Concluído",IF(COUNTIF('E4 — Execução'!$E94:$K94,"✔ Concluído")+COUNTIF('E4 — Execução'!$E94:$K94,"🔄 Em andamento")&gt;0,"Em andamento","Não iniciado")))))))</f>
        <v/>
      </c>
      <c r="I112" s="234" t="str">
        <f>IF($B112="","",IF($H112&lt;&gt;"Concluído","Não iniciado",IF(COUNTIF(Lançamentos!$B$3:$B$1001,$B112)=0,"Bloqueado",IF('E5 — Validação'!$D94="","Bloqueado",IF(COUNTIF('E5 — Validação'!$E94:$I94,"⛔ Bloqueado")&gt;0,"Bloqueado",IF('E5 — Validação'!$I94="N/A","Bloqueado",IF(AND('E5 — Validação'!$E94="✔ Concluído",'E5 — Validação'!$F94="✔ Concluído",OR('E5 — Validação'!$G94="✔ Concluído",'E5 — Validação'!$G94="N/A"),'E5 — Validação'!$H94="✔ Concluído",'E5 — Validação'!$I94="✔ Concluído"),"Concluído",IF(COUNTIF('E5 — Validação'!$E94:$I94,"✔ Concluído")+COUNTIF('E5 — Validação'!$E94:$I94,"🔄 Em andamento")&gt;0,"Em andamento","Não iniciado"))))))))</f>
        <v/>
      </c>
      <c r="J112" s="234" t="str">
        <f>IF($B112="","",IF($I112&lt;&gt;"Concluído","Não iniciado",IF('E6 — Ajustes'!$N94="Não","N/A",IF(COUNTIF(Lançamentos!$B$3:$B$1001,$B112)=0,"Bloqueado",IF('E6 — Ajustes'!$D94="","Bloqueado",IF(COUNTIF('E6 — Ajustes'!$E94:$J94,"⛔ Bloqueado")&gt;0,"Bloqueado",IF(AND('E6 — Ajustes'!$E94="✔ Concluído",'E6 — Ajustes'!$F94="✔ Concluído",'E6 — Ajustes'!$G94="✔ Concluído",'E6 — Ajustes'!$H94="✔ Concluído",OR('E6 — Ajustes'!$I94="✔ Concluído",'E6 — Ajustes'!$I94="N/A"),'E6 — Ajustes'!$J94="✔ Concluído"),"Concluído",IF(COUNTIF('E6 — Ajustes'!$E94:$J94,"✔ Concluído")+COUNTIF('E6 — Ajustes'!$E94:$J94,"🔄 Em andamento")&gt;0,"Em andamento","Não iniciado"))))))))</f>
        <v/>
      </c>
      <c r="K112" s="234" t="str">
        <f>IF($B112="","",IF($I112&lt;&gt;"Concluído","Não iniciado",IF(AND($J112&lt;&gt;"Concluído",$J112&lt;&gt;"N/A"),"Não iniciado",IF(COUNTIF(Lançamentos!$B$3:$B$1001,$B112)=0,"Bloqueado",IF('E7 — Entrega'!$D94="","Bloqueado",IF(COUNTIF('E7 — Entrega'!$E94:$H94,"⛔ Bloqueado")&gt;0,"Bloqueado",IF(COUNTIF('E7 — Entrega'!$E94:$H94,"✔ Concluído")=4,"Concluído",IF(COUNTIF('E7 — Entrega'!$E94:$H94,"✔ Concluído")+COUNTIF('E7 — Entrega'!$E94:$H94,"🔄 Em andamento")&gt;0,"Em andamento","Não iniciado"))))))))</f>
        <v/>
      </c>
      <c r="L112" s="234" t="str">
        <f>IF($B112="","",IF($K112&lt;&gt;"Concluído","Não iniciado",IF(OR(COUNTIF('E08 — Estabilização Hypercare'!$E94:$J94,"⛔ Bloqueado")&gt;0,'E08 — Estabilização Hypercare'!$N94="⛔ Incidente Crítico — Encerramento Bloqueado",AND('E08 — Estabilização Hypercare'!$N94="🆕 Evolução Identificada — Nova Demanda Aberta",'E08 — Estabilização Hypercare'!$U94="")),"Bloqueado",IF(AND('E08 — Estabilização Hypercare'!$E94="✔ Concluído",'E08 — Estabilização Hypercare'!$F94="✔ Concluído",'E08 — Estabilização Hypercare'!$G94="✔ Concluído",OR('E08 — Estabilização Hypercare'!$H94="✔ Concluído",'E08 — Estabilização Hypercare'!$H94="N/A"),'E08 — Estabilização Hypercare'!$I94="✔ Concluído",'E08 — Estabilização Hypercare'!$J94="✔ Concluído",OR('E08 — Estabilização Hypercare'!$N94="✅ Estável — Demanda Encerrada",AND('E08 — Estabilização Hypercare'!$N94="🆕 Evolução Identificada — Nova Demanda Aberta",'E08 — Estabilização Hypercare'!$U94&lt;&gt;""))),"Concluído",IF(OR(COUNTIF('E08 — Estabilização Hypercare'!$E94:$J94,"✔ Concluído")&gt;0,COUNTIF('E08 — Estabilização Hypercare'!$E94:$J94,"🔄 Em andamento")&gt;0,'E08 — Estabilização Hypercare'!$N94&lt;&gt;""),"Em andamento","Não iniciado")))))</f>
        <v/>
      </c>
      <c r="M112" s="236" t="str" cm="1">
        <f t="array" ref="M112">IF(B112="","",_xlfn.IFS(E112&lt;&gt;"Concluído","E1 — Solicitação",F112&lt;&gt;"Concluído","E2 — Triagem",G112&lt;&gt;"Concluído","E3 — Levantamento ⚠",H112&lt;&gt;"Concluído","E4 — Execução",I112&lt;&gt;"Concluído","E5 — Validação ⚠",AND(J112&lt;&gt;"Concluído",J112&lt;&gt;"N/A"),"E6 — Ajustes",K112&lt;&gt;"Concluído","E7 — Entrega",L112&lt;&gt;"Concluído","E08 — Estabilização / Hypercare",TRUE,"✔ Fluxo concluído"))</f>
        <v/>
      </c>
      <c r="N112" s="237" t="str">
        <f t="shared" si="1"/>
        <v/>
      </c>
      <c r="O112" s="238"/>
    </row>
    <row r="113" spans="2:15" ht="15" customHeight="1" x14ac:dyDescent="0.35">
      <c r="B113" s="234" t="str">
        <f>IF(Lançamentos!$B90="","",Lançamentos!$B90)</f>
        <v/>
      </c>
      <c r="C113" s="235" t="str">
        <f>IF($B113="","",Lançamentos!$J90)</f>
        <v/>
      </c>
      <c r="D113" s="235" t="str">
        <f>IF($B113="","",Lançamentos!$H90)</f>
        <v/>
      </c>
      <c r="E113" s="234" t="str">
        <f>IF($B113="","",IF(COUNTIF(Lançamentos!$B$3:$B$1001,$B113)=0,"Bloqueado",IF(COUNTIF('E1 — Solicitação'!$E95:$L95,"⛔ Bloqueado")&gt;0,"Bloqueado",IF(COUNTIF('E1 — Solicitação'!$E95:$L95,"N/A")=8,"Bloqueado",IF(COUNTIF('E1 — Solicitação'!$E95:$L95,"✔ Concluído")+COUNTIF('E1 — Solicitação'!$E95:$L95,"N/A")=8,"Concluído",IF(COUNTIF('E1 — Solicitação'!$E95:$L95,"✔ Concluído")+COUNTIF('E1 — Solicitação'!$E95:$L95,"🔄 Em andamento")&gt;0,"Em andamento","Não iniciado"))))))</f>
        <v/>
      </c>
      <c r="F113" s="234" t="str">
        <f>IF($B113="","",IF($E113&lt;&gt;"Concluído","Não iniciado",IF(COUNTIF(Lançamentos!$B$3:$B$1001,$B113)=0,"Bloqueado",IF('E2 — Triagem'!$D95="","Bloqueado",IF(COUNTIF('E2 — Triagem'!$E95:$L95,"N/A")=8,"Bloqueado",IF(COUNTIF('E2 — Triagem'!$E95:$L95,"⛔ Bloqueado")&gt;0,"Bloqueado",IF(COUNTIF('E2 — Triagem'!$E95:$L95,"✔ Concluído")+COUNTIF('E2 — Triagem'!$E95:$L95,"N/A")=8,"Concluído",IF(COUNTIF('E2 — Triagem'!$E95:$L95,"✔ Concluído")+COUNTIF('E2 — Triagem'!$E95:$L95,"🔄 Em andamento")&gt;0,"Em andamento","Não iniciado"))))))))</f>
        <v/>
      </c>
      <c r="G113" s="234" t="str">
        <f>IF($B113="","",IF($F113&lt;&gt;"Concluído","Não iniciado",IF(COUNTIF(Lançamentos!$B$3:$B$1001,$B113)=0,"Bloqueado",IF('E3 — Levantamento'!$D95="","Bloqueado",IF(COUNTIF('E3 — Levantamento'!$E95:$I95,"⛔ Bloqueado")&gt;0,"Bloqueado",IF('E3 — Levantamento'!$I95="N/A","Bloqueado",IF(COUNTIF('E3 — Levantamento'!$E95:$I95,"✔ Concluído")=5,"Concluído",IF(COUNTIF('E3 — Levantamento'!$E95:$I95,"✔ Concluído")+COUNTIF('E3 — Levantamento'!$E95:$I95,"🔄 Em andamento")&gt;0,"Em andamento","Não iniciado"))))))))</f>
        <v/>
      </c>
      <c r="H113" s="234" t="str">
        <f>IF($B113="","",IF($G113&lt;&gt;"Concluído","Não iniciado",IF(COUNTIF(Lançamentos!$B$3:$B$1001,$B113)=0,"Bloqueado",IF('E4 — Execução'!$D95="","Bloqueado",IF(COUNTIF('E4 — Execução'!$E95:$K95,"⛔ Bloqueado")&gt;0,"Bloqueado",IF(COUNTIF('E4 — Execução'!$E95:$K95,"✔ Concluído")=7,"Concluído",IF(COUNTIF('E4 — Execução'!$E95:$K95,"✔ Concluído")+COUNTIF('E4 — Execução'!$E95:$K95,"🔄 Em andamento")&gt;0,"Em andamento","Não iniciado")))))))</f>
        <v/>
      </c>
      <c r="I113" s="234" t="str">
        <f>IF($B113="","",IF($H113&lt;&gt;"Concluído","Não iniciado",IF(COUNTIF(Lançamentos!$B$3:$B$1001,$B113)=0,"Bloqueado",IF('E5 — Validação'!$D95="","Bloqueado",IF(COUNTIF('E5 — Validação'!$E95:$I95,"⛔ Bloqueado")&gt;0,"Bloqueado",IF('E5 — Validação'!$I95="N/A","Bloqueado",IF(AND('E5 — Validação'!$E95="✔ Concluído",'E5 — Validação'!$F95="✔ Concluído",OR('E5 — Validação'!$G95="✔ Concluído",'E5 — Validação'!$G95="N/A"),'E5 — Validação'!$H95="✔ Concluído",'E5 — Validação'!$I95="✔ Concluído"),"Concluído",IF(COUNTIF('E5 — Validação'!$E95:$I95,"✔ Concluído")+COUNTIF('E5 — Validação'!$E95:$I95,"🔄 Em andamento")&gt;0,"Em andamento","Não iniciado"))))))))</f>
        <v/>
      </c>
      <c r="J113" s="234" t="str">
        <f>IF($B113="","",IF($I113&lt;&gt;"Concluído","Não iniciado",IF('E6 — Ajustes'!$N95="Não","N/A",IF(COUNTIF(Lançamentos!$B$3:$B$1001,$B113)=0,"Bloqueado",IF('E6 — Ajustes'!$D95="","Bloqueado",IF(COUNTIF('E6 — Ajustes'!$E95:$J95,"⛔ Bloqueado")&gt;0,"Bloqueado",IF(AND('E6 — Ajustes'!$E95="✔ Concluído",'E6 — Ajustes'!$F95="✔ Concluído",'E6 — Ajustes'!$G95="✔ Concluído",'E6 — Ajustes'!$H95="✔ Concluído",OR('E6 — Ajustes'!$I95="✔ Concluído",'E6 — Ajustes'!$I95="N/A"),'E6 — Ajustes'!$J95="✔ Concluído"),"Concluído",IF(COUNTIF('E6 — Ajustes'!$E95:$J95,"✔ Concluído")+COUNTIF('E6 — Ajustes'!$E95:$J95,"🔄 Em andamento")&gt;0,"Em andamento","Não iniciado"))))))))</f>
        <v/>
      </c>
      <c r="K113" s="234" t="str">
        <f>IF($B113="","",IF($I113&lt;&gt;"Concluído","Não iniciado",IF(AND($J113&lt;&gt;"Concluído",$J113&lt;&gt;"N/A"),"Não iniciado",IF(COUNTIF(Lançamentos!$B$3:$B$1001,$B113)=0,"Bloqueado",IF('E7 — Entrega'!$D95="","Bloqueado",IF(COUNTIF('E7 — Entrega'!$E95:$H95,"⛔ Bloqueado")&gt;0,"Bloqueado",IF(COUNTIF('E7 — Entrega'!$E95:$H95,"✔ Concluído")=4,"Concluído",IF(COUNTIF('E7 — Entrega'!$E95:$H95,"✔ Concluído")+COUNTIF('E7 — Entrega'!$E95:$H95,"🔄 Em andamento")&gt;0,"Em andamento","Não iniciado"))))))))</f>
        <v/>
      </c>
      <c r="L113" s="234" t="str">
        <f>IF($B113="","",IF($K113&lt;&gt;"Concluído","Não iniciado",IF(OR(COUNTIF('E08 — Estabilização Hypercare'!$E95:$J95,"⛔ Bloqueado")&gt;0,'E08 — Estabilização Hypercare'!$N95="⛔ Incidente Crítico — Encerramento Bloqueado",AND('E08 — Estabilização Hypercare'!$N95="🆕 Evolução Identificada — Nova Demanda Aberta",'E08 — Estabilização Hypercare'!$U95="")),"Bloqueado",IF(AND('E08 — Estabilização Hypercare'!$E95="✔ Concluído",'E08 — Estabilização Hypercare'!$F95="✔ Concluído",'E08 — Estabilização Hypercare'!$G95="✔ Concluído",OR('E08 — Estabilização Hypercare'!$H95="✔ Concluído",'E08 — Estabilização Hypercare'!$H95="N/A"),'E08 — Estabilização Hypercare'!$I95="✔ Concluído",'E08 — Estabilização Hypercare'!$J95="✔ Concluído",OR('E08 — Estabilização Hypercare'!$N95="✅ Estável — Demanda Encerrada",AND('E08 — Estabilização Hypercare'!$N95="🆕 Evolução Identificada — Nova Demanda Aberta",'E08 — Estabilização Hypercare'!$U95&lt;&gt;""))),"Concluído",IF(OR(COUNTIF('E08 — Estabilização Hypercare'!$E95:$J95,"✔ Concluído")&gt;0,COUNTIF('E08 — Estabilização Hypercare'!$E95:$J95,"🔄 Em andamento")&gt;0,'E08 — Estabilização Hypercare'!$N95&lt;&gt;""),"Em andamento","Não iniciado")))))</f>
        <v/>
      </c>
      <c r="M113" s="236" t="str" cm="1">
        <f t="array" ref="M113">IF(B113="","",_xlfn.IFS(E113&lt;&gt;"Concluído","E1 — Solicitação",F113&lt;&gt;"Concluído","E2 — Triagem",G113&lt;&gt;"Concluído","E3 — Levantamento ⚠",H113&lt;&gt;"Concluído","E4 — Execução",I113&lt;&gt;"Concluído","E5 — Validação ⚠",AND(J113&lt;&gt;"Concluído",J113&lt;&gt;"N/A"),"E6 — Ajustes",K113&lt;&gt;"Concluído","E7 — Entrega",L113&lt;&gt;"Concluído","E08 — Estabilização / Hypercare",TRUE,"✔ Fluxo concluído"))</f>
        <v/>
      </c>
      <c r="N113" s="237" t="str">
        <f t="shared" si="1"/>
        <v/>
      </c>
      <c r="O113" s="238"/>
    </row>
    <row r="114" spans="2:15" ht="15" customHeight="1" x14ac:dyDescent="0.35">
      <c r="B114" s="234" t="str">
        <f>IF(Lançamentos!$B91="","",Lançamentos!$B91)</f>
        <v/>
      </c>
      <c r="C114" s="235" t="str">
        <f>IF($B114="","",Lançamentos!$J91)</f>
        <v/>
      </c>
      <c r="D114" s="235" t="str">
        <f>IF($B114="","",Lançamentos!$H91)</f>
        <v/>
      </c>
      <c r="E114" s="234" t="str">
        <f>IF($B114="","",IF(COUNTIF(Lançamentos!$B$3:$B$1001,$B114)=0,"Bloqueado",IF(COUNTIF('E1 — Solicitação'!$E96:$L96,"⛔ Bloqueado")&gt;0,"Bloqueado",IF(COUNTIF('E1 — Solicitação'!$E96:$L96,"N/A")=8,"Bloqueado",IF(COUNTIF('E1 — Solicitação'!$E96:$L96,"✔ Concluído")+COUNTIF('E1 — Solicitação'!$E96:$L96,"N/A")=8,"Concluído",IF(COUNTIF('E1 — Solicitação'!$E96:$L96,"✔ Concluído")+COUNTIF('E1 — Solicitação'!$E96:$L96,"🔄 Em andamento")&gt;0,"Em andamento","Não iniciado"))))))</f>
        <v/>
      </c>
      <c r="F114" s="234" t="str">
        <f>IF($B114="","",IF($E114&lt;&gt;"Concluído","Não iniciado",IF(COUNTIF(Lançamentos!$B$3:$B$1001,$B114)=0,"Bloqueado",IF('E2 — Triagem'!$D96="","Bloqueado",IF(COUNTIF('E2 — Triagem'!$E96:$L96,"N/A")=8,"Bloqueado",IF(COUNTIF('E2 — Triagem'!$E96:$L96,"⛔ Bloqueado")&gt;0,"Bloqueado",IF(COUNTIF('E2 — Triagem'!$E96:$L96,"✔ Concluído")+COUNTIF('E2 — Triagem'!$E96:$L96,"N/A")=8,"Concluído",IF(COUNTIF('E2 — Triagem'!$E96:$L96,"✔ Concluído")+COUNTIF('E2 — Triagem'!$E96:$L96,"🔄 Em andamento")&gt;0,"Em andamento","Não iniciado"))))))))</f>
        <v/>
      </c>
      <c r="G114" s="234" t="str">
        <f>IF($B114="","",IF($F114&lt;&gt;"Concluído","Não iniciado",IF(COUNTIF(Lançamentos!$B$3:$B$1001,$B114)=0,"Bloqueado",IF('E3 — Levantamento'!$D96="","Bloqueado",IF(COUNTIF('E3 — Levantamento'!$E96:$I96,"⛔ Bloqueado")&gt;0,"Bloqueado",IF('E3 — Levantamento'!$I96="N/A","Bloqueado",IF(COUNTIF('E3 — Levantamento'!$E96:$I96,"✔ Concluído")=5,"Concluído",IF(COUNTIF('E3 — Levantamento'!$E96:$I96,"✔ Concluído")+COUNTIF('E3 — Levantamento'!$E96:$I96,"🔄 Em andamento")&gt;0,"Em andamento","Não iniciado"))))))))</f>
        <v/>
      </c>
      <c r="H114" s="234" t="str">
        <f>IF($B114="","",IF($G114&lt;&gt;"Concluído","Não iniciado",IF(COUNTIF(Lançamentos!$B$3:$B$1001,$B114)=0,"Bloqueado",IF('E4 — Execução'!$D96="","Bloqueado",IF(COUNTIF('E4 — Execução'!$E96:$K96,"⛔ Bloqueado")&gt;0,"Bloqueado",IF(COUNTIF('E4 — Execução'!$E96:$K96,"✔ Concluído")=7,"Concluído",IF(COUNTIF('E4 — Execução'!$E96:$K96,"✔ Concluído")+COUNTIF('E4 — Execução'!$E96:$K96,"🔄 Em andamento")&gt;0,"Em andamento","Não iniciado")))))))</f>
        <v/>
      </c>
      <c r="I114" s="234" t="str">
        <f>IF($B114="","",IF($H114&lt;&gt;"Concluído","Não iniciado",IF(COUNTIF(Lançamentos!$B$3:$B$1001,$B114)=0,"Bloqueado",IF('E5 — Validação'!$D96="","Bloqueado",IF(COUNTIF('E5 — Validação'!$E96:$I96,"⛔ Bloqueado")&gt;0,"Bloqueado",IF('E5 — Validação'!$I96="N/A","Bloqueado",IF(AND('E5 — Validação'!$E96="✔ Concluído",'E5 — Validação'!$F96="✔ Concluído",OR('E5 — Validação'!$G96="✔ Concluído",'E5 — Validação'!$G96="N/A"),'E5 — Validação'!$H96="✔ Concluído",'E5 — Validação'!$I96="✔ Concluído"),"Concluído",IF(COUNTIF('E5 — Validação'!$E96:$I96,"✔ Concluído")+COUNTIF('E5 — Validação'!$E96:$I96,"🔄 Em andamento")&gt;0,"Em andamento","Não iniciado"))))))))</f>
        <v/>
      </c>
      <c r="J114" s="234" t="str">
        <f>IF($B114="","",IF($I114&lt;&gt;"Concluído","Não iniciado",IF('E6 — Ajustes'!$N96="Não","N/A",IF(COUNTIF(Lançamentos!$B$3:$B$1001,$B114)=0,"Bloqueado",IF('E6 — Ajustes'!$D96="","Bloqueado",IF(COUNTIF('E6 — Ajustes'!$E96:$J96,"⛔ Bloqueado")&gt;0,"Bloqueado",IF(AND('E6 — Ajustes'!$E96="✔ Concluído",'E6 — Ajustes'!$F96="✔ Concluído",'E6 — Ajustes'!$G96="✔ Concluído",'E6 — Ajustes'!$H96="✔ Concluído",OR('E6 — Ajustes'!$I96="✔ Concluído",'E6 — Ajustes'!$I96="N/A"),'E6 — Ajustes'!$J96="✔ Concluído"),"Concluído",IF(COUNTIF('E6 — Ajustes'!$E96:$J96,"✔ Concluído")+COUNTIF('E6 — Ajustes'!$E96:$J96,"🔄 Em andamento")&gt;0,"Em andamento","Não iniciado"))))))))</f>
        <v/>
      </c>
      <c r="K114" s="234" t="str">
        <f>IF($B114="","",IF($I114&lt;&gt;"Concluído","Não iniciado",IF(AND($J114&lt;&gt;"Concluído",$J114&lt;&gt;"N/A"),"Não iniciado",IF(COUNTIF(Lançamentos!$B$3:$B$1001,$B114)=0,"Bloqueado",IF('E7 — Entrega'!$D96="","Bloqueado",IF(COUNTIF('E7 — Entrega'!$E96:$H96,"⛔ Bloqueado")&gt;0,"Bloqueado",IF(COUNTIF('E7 — Entrega'!$E96:$H96,"✔ Concluído")=4,"Concluído",IF(COUNTIF('E7 — Entrega'!$E96:$H96,"✔ Concluído")+COUNTIF('E7 — Entrega'!$E96:$H96,"🔄 Em andamento")&gt;0,"Em andamento","Não iniciado"))))))))</f>
        <v/>
      </c>
      <c r="L114" s="234" t="str">
        <f>IF($B114="","",IF($K114&lt;&gt;"Concluído","Não iniciado",IF(OR(COUNTIF('E08 — Estabilização Hypercare'!$E96:$J96,"⛔ Bloqueado")&gt;0,'E08 — Estabilização Hypercare'!$N96="⛔ Incidente Crítico — Encerramento Bloqueado",AND('E08 — Estabilização Hypercare'!$N96="🆕 Evolução Identificada — Nova Demanda Aberta",'E08 — Estabilização Hypercare'!$U96="")),"Bloqueado",IF(AND('E08 — Estabilização Hypercare'!$E96="✔ Concluído",'E08 — Estabilização Hypercare'!$F96="✔ Concluído",'E08 — Estabilização Hypercare'!$G96="✔ Concluído",OR('E08 — Estabilização Hypercare'!$H96="✔ Concluído",'E08 — Estabilização Hypercare'!$H96="N/A"),'E08 — Estabilização Hypercare'!$I96="✔ Concluído",'E08 — Estabilização Hypercare'!$J96="✔ Concluído",OR('E08 — Estabilização Hypercare'!$N96="✅ Estável — Demanda Encerrada",AND('E08 — Estabilização Hypercare'!$N96="🆕 Evolução Identificada — Nova Demanda Aberta",'E08 — Estabilização Hypercare'!$U96&lt;&gt;""))),"Concluído",IF(OR(COUNTIF('E08 — Estabilização Hypercare'!$E96:$J96,"✔ Concluído")&gt;0,COUNTIF('E08 — Estabilização Hypercare'!$E96:$J96,"🔄 Em andamento")&gt;0,'E08 — Estabilização Hypercare'!$N96&lt;&gt;""),"Em andamento","Não iniciado")))))</f>
        <v/>
      </c>
      <c r="M114" s="236" t="str" cm="1">
        <f t="array" ref="M114">IF(B114="","",_xlfn.IFS(E114&lt;&gt;"Concluído","E1 — Solicitação",F114&lt;&gt;"Concluído","E2 — Triagem",G114&lt;&gt;"Concluído","E3 — Levantamento ⚠",H114&lt;&gt;"Concluído","E4 — Execução",I114&lt;&gt;"Concluído","E5 — Validação ⚠",AND(J114&lt;&gt;"Concluído",J114&lt;&gt;"N/A"),"E6 — Ajustes",K114&lt;&gt;"Concluído","E7 — Entrega",L114&lt;&gt;"Concluído","E08 — Estabilização / Hypercare",TRUE,"✔ Fluxo concluído"))</f>
        <v/>
      </c>
      <c r="N114" s="237" t="str">
        <f t="shared" si="1"/>
        <v/>
      </c>
      <c r="O114" s="238"/>
    </row>
    <row r="115" spans="2:15" ht="15" customHeight="1" x14ac:dyDescent="0.35">
      <c r="B115" s="234" t="str">
        <f>IF(Lançamentos!$B92="","",Lançamentos!$B92)</f>
        <v/>
      </c>
      <c r="C115" s="235" t="str">
        <f>IF($B115="","",Lançamentos!$J92)</f>
        <v/>
      </c>
      <c r="D115" s="235" t="str">
        <f>IF($B115="","",Lançamentos!$H92)</f>
        <v/>
      </c>
      <c r="E115" s="234" t="str">
        <f>IF($B115="","",IF(COUNTIF(Lançamentos!$B$3:$B$1001,$B115)=0,"Bloqueado",IF(COUNTIF('E1 — Solicitação'!$E97:$L97,"⛔ Bloqueado")&gt;0,"Bloqueado",IF(COUNTIF('E1 — Solicitação'!$E97:$L97,"N/A")=8,"Bloqueado",IF(COUNTIF('E1 — Solicitação'!$E97:$L97,"✔ Concluído")+COUNTIF('E1 — Solicitação'!$E97:$L97,"N/A")=8,"Concluído",IF(COUNTIF('E1 — Solicitação'!$E97:$L97,"✔ Concluído")+COUNTIF('E1 — Solicitação'!$E97:$L97,"🔄 Em andamento")&gt;0,"Em andamento","Não iniciado"))))))</f>
        <v/>
      </c>
      <c r="F115" s="234" t="str">
        <f>IF($B115="","",IF($E115&lt;&gt;"Concluído","Não iniciado",IF(COUNTIF(Lançamentos!$B$3:$B$1001,$B115)=0,"Bloqueado",IF('E2 — Triagem'!$D97="","Bloqueado",IF(COUNTIF('E2 — Triagem'!$E97:$L97,"N/A")=8,"Bloqueado",IF(COUNTIF('E2 — Triagem'!$E97:$L97,"⛔ Bloqueado")&gt;0,"Bloqueado",IF(COUNTIF('E2 — Triagem'!$E97:$L97,"✔ Concluído")+COUNTIF('E2 — Triagem'!$E97:$L97,"N/A")=8,"Concluído",IF(COUNTIF('E2 — Triagem'!$E97:$L97,"✔ Concluído")+COUNTIF('E2 — Triagem'!$E97:$L97,"🔄 Em andamento")&gt;0,"Em andamento","Não iniciado"))))))))</f>
        <v/>
      </c>
      <c r="G115" s="234" t="str">
        <f>IF($B115="","",IF($F115&lt;&gt;"Concluído","Não iniciado",IF(COUNTIF(Lançamentos!$B$3:$B$1001,$B115)=0,"Bloqueado",IF('E3 — Levantamento'!$D97="","Bloqueado",IF(COUNTIF('E3 — Levantamento'!$E97:$I97,"⛔ Bloqueado")&gt;0,"Bloqueado",IF('E3 — Levantamento'!$I97="N/A","Bloqueado",IF(COUNTIF('E3 — Levantamento'!$E97:$I97,"✔ Concluído")=5,"Concluído",IF(COUNTIF('E3 — Levantamento'!$E97:$I97,"✔ Concluído")+COUNTIF('E3 — Levantamento'!$E97:$I97,"🔄 Em andamento")&gt;0,"Em andamento","Não iniciado"))))))))</f>
        <v/>
      </c>
      <c r="H115" s="234" t="str">
        <f>IF($B115="","",IF($G115&lt;&gt;"Concluído","Não iniciado",IF(COUNTIF(Lançamentos!$B$3:$B$1001,$B115)=0,"Bloqueado",IF('E4 — Execução'!$D97="","Bloqueado",IF(COUNTIF('E4 — Execução'!$E97:$K97,"⛔ Bloqueado")&gt;0,"Bloqueado",IF(COUNTIF('E4 — Execução'!$E97:$K97,"✔ Concluído")=7,"Concluído",IF(COUNTIF('E4 — Execução'!$E97:$K97,"✔ Concluído")+COUNTIF('E4 — Execução'!$E97:$K97,"🔄 Em andamento")&gt;0,"Em andamento","Não iniciado")))))))</f>
        <v/>
      </c>
      <c r="I115" s="234" t="str">
        <f>IF($B115="","",IF($H115&lt;&gt;"Concluído","Não iniciado",IF(COUNTIF(Lançamentos!$B$3:$B$1001,$B115)=0,"Bloqueado",IF('E5 — Validação'!$D97="","Bloqueado",IF(COUNTIF('E5 — Validação'!$E97:$I97,"⛔ Bloqueado")&gt;0,"Bloqueado",IF('E5 — Validação'!$I97="N/A","Bloqueado",IF(AND('E5 — Validação'!$E97="✔ Concluído",'E5 — Validação'!$F97="✔ Concluído",OR('E5 — Validação'!$G97="✔ Concluído",'E5 — Validação'!$G97="N/A"),'E5 — Validação'!$H97="✔ Concluído",'E5 — Validação'!$I97="✔ Concluído"),"Concluído",IF(COUNTIF('E5 — Validação'!$E97:$I97,"✔ Concluído")+COUNTIF('E5 — Validação'!$E97:$I97,"🔄 Em andamento")&gt;0,"Em andamento","Não iniciado"))))))))</f>
        <v/>
      </c>
      <c r="J115" s="234" t="str">
        <f>IF($B115="","",IF($I115&lt;&gt;"Concluído","Não iniciado",IF('E6 — Ajustes'!$N97="Não","N/A",IF(COUNTIF(Lançamentos!$B$3:$B$1001,$B115)=0,"Bloqueado",IF('E6 — Ajustes'!$D97="","Bloqueado",IF(COUNTIF('E6 — Ajustes'!$E97:$J97,"⛔ Bloqueado")&gt;0,"Bloqueado",IF(AND('E6 — Ajustes'!$E97="✔ Concluído",'E6 — Ajustes'!$F97="✔ Concluído",'E6 — Ajustes'!$G97="✔ Concluído",'E6 — Ajustes'!$H97="✔ Concluído",OR('E6 — Ajustes'!$I97="✔ Concluído",'E6 — Ajustes'!$I97="N/A"),'E6 — Ajustes'!$J97="✔ Concluído"),"Concluído",IF(COUNTIF('E6 — Ajustes'!$E97:$J97,"✔ Concluído")+COUNTIF('E6 — Ajustes'!$E97:$J97,"🔄 Em andamento")&gt;0,"Em andamento","Não iniciado"))))))))</f>
        <v/>
      </c>
      <c r="K115" s="234" t="str">
        <f>IF($B115="","",IF($I115&lt;&gt;"Concluído","Não iniciado",IF(AND($J115&lt;&gt;"Concluído",$J115&lt;&gt;"N/A"),"Não iniciado",IF(COUNTIF(Lançamentos!$B$3:$B$1001,$B115)=0,"Bloqueado",IF('E7 — Entrega'!$D97="","Bloqueado",IF(COUNTIF('E7 — Entrega'!$E97:$H97,"⛔ Bloqueado")&gt;0,"Bloqueado",IF(COUNTIF('E7 — Entrega'!$E97:$H97,"✔ Concluído")=4,"Concluído",IF(COUNTIF('E7 — Entrega'!$E97:$H97,"✔ Concluído")+COUNTIF('E7 — Entrega'!$E97:$H97,"🔄 Em andamento")&gt;0,"Em andamento","Não iniciado"))))))))</f>
        <v/>
      </c>
      <c r="L115" s="234" t="str">
        <f>IF($B115="","",IF($K115&lt;&gt;"Concluído","Não iniciado",IF(OR(COUNTIF('E08 — Estabilização Hypercare'!$E97:$J97,"⛔ Bloqueado")&gt;0,'E08 — Estabilização Hypercare'!$N97="⛔ Incidente Crítico — Encerramento Bloqueado",AND('E08 — Estabilização Hypercare'!$N97="🆕 Evolução Identificada — Nova Demanda Aberta",'E08 — Estabilização Hypercare'!$U97="")),"Bloqueado",IF(AND('E08 — Estabilização Hypercare'!$E97="✔ Concluído",'E08 — Estabilização Hypercare'!$F97="✔ Concluído",'E08 — Estabilização Hypercare'!$G97="✔ Concluído",OR('E08 — Estabilização Hypercare'!$H97="✔ Concluído",'E08 — Estabilização Hypercare'!$H97="N/A"),'E08 — Estabilização Hypercare'!$I97="✔ Concluído",'E08 — Estabilização Hypercare'!$J97="✔ Concluído",OR('E08 — Estabilização Hypercare'!$N97="✅ Estável — Demanda Encerrada",AND('E08 — Estabilização Hypercare'!$N97="🆕 Evolução Identificada — Nova Demanda Aberta",'E08 — Estabilização Hypercare'!$U97&lt;&gt;""))),"Concluído",IF(OR(COUNTIF('E08 — Estabilização Hypercare'!$E97:$J97,"✔ Concluído")&gt;0,COUNTIF('E08 — Estabilização Hypercare'!$E97:$J97,"🔄 Em andamento")&gt;0,'E08 — Estabilização Hypercare'!$N97&lt;&gt;""),"Em andamento","Não iniciado")))))</f>
        <v/>
      </c>
      <c r="M115" s="236" t="str" cm="1">
        <f t="array" ref="M115">IF(B115="","",_xlfn.IFS(E115&lt;&gt;"Concluído","E1 — Solicitação",F115&lt;&gt;"Concluído","E2 — Triagem",G115&lt;&gt;"Concluído","E3 — Levantamento ⚠",H115&lt;&gt;"Concluído","E4 — Execução",I115&lt;&gt;"Concluído","E5 — Validação ⚠",AND(J115&lt;&gt;"Concluído",J115&lt;&gt;"N/A"),"E6 — Ajustes",K115&lt;&gt;"Concluído","E7 — Entrega",L115&lt;&gt;"Concluído","E08 — Estabilização / Hypercare",TRUE,"✔ Fluxo concluído"))</f>
        <v/>
      </c>
      <c r="N115" s="237" t="str">
        <f t="shared" si="1"/>
        <v/>
      </c>
      <c r="O115" s="238"/>
    </row>
    <row r="116" spans="2:15" ht="15" customHeight="1" x14ac:dyDescent="0.35">
      <c r="B116" s="234" t="str">
        <f>IF(Lançamentos!$B93="","",Lançamentos!$B93)</f>
        <v/>
      </c>
      <c r="C116" s="235" t="str">
        <f>IF($B116="","",Lançamentos!$J93)</f>
        <v/>
      </c>
      <c r="D116" s="235" t="str">
        <f>IF($B116="","",Lançamentos!$H93)</f>
        <v/>
      </c>
      <c r="E116" s="234" t="str">
        <f>IF($B116="","",IF(COUNTIF(Lançamentos!$B$3:$B$1001,$B116)=0,"Bloqueado",IF(COUNTIF('E1 — Solicitação'!$E98:$L98,"⛔ Bloqueado")&gt;0,"Bloqueado",IF(COUNTIF('E1 — Solicitação'!$E98:$L98,"N/A")=8,"Bloqueado",IF(COUNTIF('E1 — Solicitação'!$E98:$L98,"✔ Concluído")+COUNTIF('E1 — Solicitação'!$E98:$L98,"N/A")=8,"Concluído",IF(COUNTIF('E1 — Solicitação'!$E98:$L98,"✔ Concluído")+COUNTIF('E1 — Solicitação'!$E98:$L98,"🔄 Em andamento")&gt;0,"Em andamento","Não iniciado"))))))</f>
        <v/>
      </c>
      <c r="F116" s="234" t="str">
        <f>IF($B116="","",IF($E116&lt;&gt;"Concluído","Não iniciado",IF(COUNTIF(Lançamentos!$B$3:$B$1001,$B116)=0,"Bloqueado",IF('E2 — Triagem'!$D98="","Bloqueado",IF(COUNTIF('E2 — Triagem'!$E98:$L98,"N/A")=8,"Bloqueado",IF(COUNTIF('E2 — Triagem'!$E98:$L98,"⛔ Bloqueado")&gt;0,"Bloqueado",IF(COUNTIF('E2 — Triagem'!$E98:$L98,"✔ Concluído")+COUNTIF('E2 — Triagem'!$E98:$L98,"N/A")=8,"Concluído",IF(COUNTIF('E2 — Triagem'!$E98:$L98,"✔ Concluído")+COUNTIF('E2 — Triagem'!$E98:$L98,"🔄 Em andamento")&gt;0,"Em andamento","Não iniciado"))))))))</f>
        <v/>
      </c>
      <c r="G116" s="234" t="str">
        <f>IF($B116="","",IF($F116&lt;&gt;"Concluído","Não iniciado",IF(COUNTIF(Lançamentos!$B$3:$B$1001,$B116)=0,"Bloqueado",IF('E3 — Levantamento'!$D98="","Bloqueado",IF(COUNTIF('E3 — Levantamento'!$E98:$I98,"⛔ Bloqueado")&gt;0,"Bloqueado",IF('E3 — Levantamento'!$I98="N/A","Bloqueado",IF(COUNTIF('E3 — Levantamento'!$E98:$I98,"✔ Concluído")=5,"Concluído",IF(COUNTIF('E3 — Levantamento'!$E98:$I98,"✔ Concluído")+COUNTIF('E3 — Levantamento'!$E98:$I98,"🔄 Em andamento")&gt;0,"Em andamento","Não iniciado"))))))))</f>
        <v/>
      </c>
      <c r="H116" s="234" t="str">
        <f>IF($B116="","",IF($G116&lt;&gt;"Concluído","Não iniciado",IF(COUNTIF(Lançamentos!$B$3:$B$1001,$B116)=0,"Bloqueado",IF('E4 — Execução'!$D98="","Bloqueado",IF(COUNTIF('E4 — Execução'!$E98:$K98,"⛔ Bloqueado")&gt;0,"Bloqueado",IF(COUNTIF('E4 — Execução'!$E98:$K98,"✔ Concluído")=7,"Concluído",IF(COUNTIF('E4 — Execução'!$E98:$K98,"✔ Concluído")+COUNTIF('E4 — Execução'!$E98:$K98,"🔄 Em andamento")&gt;0,"Em andamento","Não iniciado")))))))</f>
        <v/>
      </c>
      <c r="I116" s="234" t="str">
        <f>IF($B116="","",IF($H116&lt;&gt;"Concluído","Não iniciado",IF(COUNTIF(Lançamentos!$B$3:$B$1001,$B116)=0,"Bloqueado",IF('E5 — Validação'!$D98="","Bloqueado",IF(COUNTIF('E5 — Validação'!$E98:$I98,"⛔ Bloqueado")&gt;0,"Bloqueado",IF('E5 — Validação'!$I98="N/A","Bloqueado",IF(AND('E5 — Validação'!$E98="✔ Concluído",'E5 — Validação'!$F98="✔ Concluído",OR('E5 — Validação'!$G98="✔ Concluído",'E5 — Validação'!$G98="N/A"),'E5 — Validação'!$H98="✔ Concluído",'E5 — Validação'!$I98="✔ Concluído"),"Concluído",IF(COUNTIF('E5 — Validação'!$E98:$I98,"✔ Concluído")+COUNTIF('E5 — Validação'!$E98:$I98,"🔄 Em andamento")&gt;0,"Em andamento","Não iniciado"))))))))</f>
        <v/>
      </c>
      <c r="J116" s="234" t="str">
        <f>IF($B116="","",IF($I116&lt;&gt;"Concluído","Não iniciado",IF('E6 — Ajustes'!$N98="Não","N/A",IF(COUNTIF(Lançamentos!$B$3:$B$1001,$B116)=0,"Bloqueado",IF('E6 — Ajustes'!$D98="","Bloqueado",IF(COUNTIF('E6 — Ajustes'!$E98:$J98,"⛔ Bloqueado")&gt;0,"Bloqueado",IF(AND('E6 — Ajustes'!$E98="✔ Concluído",'E6 — Ajustes'!$F98="✔ Concluído",'E6 — Ajustes'!$G98="✔ Concluído",'E6 — Ajustes'!$H98="✔ Concluído",OR('E6 — Ajustes'!$I98="✔ Concluído",'E6 — Ajustes'!$I98="N/A"),'E6 — Ajustes'!$J98="✔ Concluído"),"Concluído",IF(COUNTIF('E6 — Ajustes'!$E98:$J98,"✔ Concluído")+COUNTIF('E6 — Ajustes'!$E98:$J98,"🔄 Em andamento")&gt;0,"Em andamento","Não iniciado"))))))))</f>
        <v/>
      </c>
      <c r="K116" s="234" t="str">
        <f>IF($B116="","",IF($I116&lt;&gt;"Concluído","Não iniciado",IF(AND($J116&lt;&gt;"Concluído",$J116&lt;&gt;"N/A"),"Não iniciado",IF(COUNTIF(Lançamentos!$B$3:$B$1001,$B116)=0,"Bloqueado",IF('E7 — Entrega'!$D98="","Bloqueado",IF(COUNTIF('E7 — Entrega'!$E98:$H98,"⛔ Bloqueado")&gt;0,"Bloqueado",IF(COUNTIF('E7 — Entrega'!$E98:$H98,"✔ Concluído")=4,"Concluído",IF(COUNTIF('E7 — Entrega'!$E98:$H98,"✔ Concluído")+COUNTIF('E7 — Entrega'!$E98:$H98,"🔄 Em andamento")&gt;0,"Em andamento","Não iniciado"))))))))</f>
        <v/>
      </c>
      <c r="L116" s="234" t="str">
        <f>IF($B116="","",IF($K116&lt;&gt;"Concluído","Não iniciado",IF(OR(COUNTIF('E08 — Estabilização Hypercare'!$E98:$J98,"⛔ Bloqueado")&gt;0,'E08 — Estabilização Hypercare'!$N98="⛔ Incidente Crítico — Encerramento Bloqueado",AND('E08 — Estabilização Hypercare'!$N98="🆕 Evolução Identificada — Nova Demanda Aberta",'E08 — Estabilização Hypercare'!$U98="")),"Bloqueado",IF(AND('E08 — Estabilização Hypercare'!$E98="✔ Concluído",'E08 — Estabilização Hypercare'!$F98="✔ Concluído",'E08 — Estabilização Hypercare'!$G98="✔ Concluído",OR('E08 — Estabilização Hypercare'!$H98="✔ Concluído",'E08 — Estabilização Hypercare'!$H98="N/A"),'E08 — Estabilização Hypercare'!$I98="✔ Concluído",'E08 — Estabilização Hypercare'!$J98="✔ Concluído",OR('E08 — Estabilização Hypercare'!$N98="✅ Estável — Demanda Encerrada",AND('E08 — Estabilização Hypercare'!$N98="🆕 Evolução Identificada — Nova Demanda Aberta",'E08 — Estabilização Hypercare'!$U98&lt;&gt;""))),"Concluído",IF(OR(COUNTIF('E08 — Estabilização Hypercare'!$E98:$J98,"✔ Concluído")&gt;0,COUNTIF('E08 — Estabilização Hypercare'!$E98:$J98,"🔄 Em andamento")&gt;0,'E08 — Estabilização Hypercare'!$N98&lt;&gt;""),"Em andamento","Não iniciado")))))</f>
        <v/>
      </c>
      <c r="M116" s="236" t="str" cm="1">
        <f t="array" ref="M116">IF(B116="","",_xlfn.IFS(E116&lt;&gt;"Concluído","E1 — Solicitação",F116&lt;&gt;"Concluído","E2 — Triagem",G116&lt;&gt;"Concluído","E3 — Levantamento ⚠",H116&lt;&gt;"Concluído","E4 — Execução",I116&lt;&gt;"Concluído","E5 — Validação ⚠",AND(J116&lt;&gt;"Concluído",J116&lt;&gt;"N/A"),"E6 — Ajustes",K116&lt;&gt;"Concluído","E7 — Entrega",L116&lt;&gt;"Concluído","E08 — Estabilização / Hypercare",TRUE,"✔ Fluxo concluído"))</f>
        <v/>
      </c>
      <c r="N116" s="237" t="str">
        <f t="shared" si="1"/>
        <v/>
      </c>
      <c r="O116" s="238"/>
    </row>
    <row r="117" spans="2:15" ht="15" customHeight="1" x14ac:dyDescent="0.35">
      <c r="B117" s="234" t="str">
        <f>IF(Lançamentos!$B94="","",Lançamentos!$B94)</f>
        <v/>
      </c>
      <c r="C117" s="235" t="str">
        <f>IF($B117="","",Lançamentos!$J94)</f>
        <v/>
      </c>
      <c r="D117" s="235" t="str">
        <f>IF($B117="","",Lançamentos!$H94)</f>
        <v/>
      </c>
      <c r="E117" s="234" t="str">
        <f>IF($B117="","",IF(COUNTIF(Lançamentos!$B$3:$B$1001,$B117)=0,"Bloqueado",IF(COUNTIF('E1 — Solicitação'!$E99:$L99,"⛔ Bloqueado")&gt;0,"Bloqueado",IF(COUNTIF('E1 — Solicitação'!$E99:$L99,"N/A")=8,"Bloqueado",IF(COUNTIF('E1 — Solicitação'!$E99:$L99,"✔ Concluído")+COUNTIF('E1 — Solicitação'!$E99:$L99,"N/A")=8,"Concluído",IF(COUNTIF('E1 — Solicitação'!$E99:$L99,"✔ Concluído")+COUNTIF('E1 — Solicitação'!$E99:$L99,"🔄 Em andamento")&gt;0,"Em andamento","Não iniciado"))))))</f>
        <v/>
      </c>
      <c r="F117" s="234" t="str">
        <f>IF($B117="","",IF($E117&lt;&gt;"Concluído","Não iniciado",IF(COUNTIF(Lançamentos!$B$3:$B$1001,$B117)=0,"Bloqueado",IF('E2 — Triagem'!$D99="","Bloqueado",IF(COUNTIF('E2 — Triagem'!$E99:$L99,"N/A")=8,"Bloqueado",IF(COUNTIF('E2 — Triagem'!$E99:$L99,"⛔ Bloqueado")&gt;0,"Bloqueado",IF(COUNTIF('E2 — Triagem'!$E99:$L99,"✔ Concluído")+COUNTIF('E2 — Triagem'!$E99:$L99,"N/A")=8,"Concluído",IF(COUNTIF('E2 — Triagem'!$E99:$L99,"✔ Concluído")+COUNTIF('E2 — Triagem'!$E99:$L99,"🔄 Em andamento")&gt;0,"Em andamento","Não iniciado"))))))))</f>
        <v/>
      </c>
      <c r="G117" s="234" t="str">
        <f>IF($B117="","",IF($F117&lt;&gt;"Concluído","Não iniciado",IF(COUNTIF(Lançamentos!$B$3:$B$1001,$B117)=0,"Bloqueado",IF('E3 — Levantamento'!$D99="","Bloqueado",IF(COUNTIF('E3 — Levantamento'!$E99:$I99,"⛔ Bloqueado")&gt;0,"Bloqueado",IF('E3 — Levantamento'!$I99="N/A","Bloqueado",IF(COUNTIF('E3 — Levantamento'!$E99:$I99,"✔ Concluído")=5,"Concluído",IF(COUNTIF('E3 — Levantamento'!$E99:$I99,"✔ Concluído")+COUNTIF('E3 — Levantamento'!$E99:$I99,"🔄 Em andamento")&gt;0,"Em andamento","Não iniciado"))))))))</f>
        <v/>
      </c>
      <c r="H117" s="234" t="str">
        <f>IF($B117="","",IF($G117&lt;&gt;"Concluído","Não iniciado",IF(COUNTIF(Lançamentos!$B$3:$B$1001,$B117)=0,"Bloqueado",IF('E4 — Execução'!$D99="","Bloqueado",IF(COUNTIF('E4 — Execução'!$E99:$K99,"⛔ Bloqueado")&gt;0,"Bloqueado",IF(COUNTIF('E4 — Execução'!$E99:$K99,"✔ Concluído")=7,"Concluído",IF(COUNTIF('E4 — Execução'!$E99:$K99,"✔ Concluído")+COUNTIF('E4 — Execução'!$E99:$K99,"🔄 Em andamento")&gt;0,"Em andamento","Não iniciado")))))))</f>
        <v/>
      </c>
      <c r="I117" s="234" t="str">
        <f>IF($B117="","",IF($H117&lt;&gt;"Concluído","Não iniciado",IF(COUNTIF(Lançamentos!$B$3:$B$1001,$B117)=0,"Bloqueado",IF('E5 — Validação'!$D99="","Bloqueado",IF(COUNTIF('E5 — Validação'!$E99:$I99,"⛔ Bloqueado")&gt;0,"Bloqueado",IF('E5 — Validação'!$I99="N/A","Bloqueado",IF(AND('E5 — Validação'!$E99="✔ Concluído",'E5 — Validação'!$F99="✔ Concluído",OR('E5 — Validação'!$G99="✔ Concluído",'E5 — Validação'!$G99="N/A"),'E5 — Validação'!$H99="✔ Concluído",'E5 — Validação'!$I99="✔ Concluído"),"Concluído",IF(COUNTIF('E5 — Validação'!$E99:$I99,"✔ Concluído")+COUNTIF('E5 — Validação'!$E99:$I99,"🔄 Em andamento")&gt;0,"Em andamento","Não iniciado"))))))))</f>
        <v/>
      </c>
      <c r="J117" s="234" t="str">
        <f>IF($B117="","",IF($I117&lt;&gt;"Concluído","Não iniciado",IF('E6 — Ajustes'!$N99="Não","N/A",IF(COUNTIF(Lançamentos!$B$3:$B$1001,$B117)=0,"Bloqueado",IF('E6 — Ajustes'!$D99="","Bloqueado",IF(COUNTIF('E6 — Ajustes'!$E99:$J99,"⛔ Bloqueado")&gt;0,"Bloqueado",IF(AND('E6 — Ajustes'!$E99="✔ Concluído",'E6 — Ajustes'!$F99="✔ Concluído",'E6 — Ajustes'!$G99="✔ Concluído",'E6 — Ajustes'!$H99="✔ Concluído",OR('E6 — Ajustes'!$I99="✔ Concluído",'E6 — Ajustes'!$I99="N/A"),'E6 — Ajustes'!$J99="✔ Concluído"),"Concluído",IF(COUNTIF('E6 — Ajustes'!$E99:$J99,"✔ Concluído")+COUNTIF('E6 — Ajustes'!$E99:$J99,"🔄 Em andamento")&gt;0,"Em andamento","Não iniciado"))))))))</f>
        <v/>
      </c>
      <c r="K117" s="234" t="str">
        <f>IF($B117="","",IF($I117&lt;&gt;"Concluído","Não iniciado",IF(AND($J117&lt;&gt;"Concluído",$J117&lt;&gt;"N/A"),"Não iniciado",IF(COUNTIF(Lançamentos!$B$3:$B$1001,$B117)=0,"Bloqueado",IF('E7 — Entrega'!$D99="","Bloqueado",IF(COUNTIF('E7 — Entrega'!$E99:$H99,"⛔ Bloqueado")&gt;0,"Bloqueado",IF(COUNTIF('E7 — Entrega'!$E99:$H99,"✔ Concluído")=4,"Concluído",IF(COUNTIF('E7 — Entrega'!$E99:$H99,"✔ Concluído")+COUNTIF('E7 — Entrega'!$E99:$H99,"🔄 Em andamento")&gt;0,"Em andamento","Não iniciado"))))))))</f>
        <v/>
      </c>
      <c r="L117" s="234" t="str">
        <f>IF($B117="","",IF($K117&lt;&gt;"Concluído","Não iniciado",IF(OR(COUNTIF('E08 — Estabilização Hypercare'!$E99:$J99,"⛔ Bloqueado")&gt;0,'E08 — Estabilização Hypercare'!$N99="⛔ Incidente Crítico — Encerramento Bloqueado",AND('E08 — Estabilização Hypercare'!$N99="🆕 Evolução Identificada — Nova Demanda Aberta",'E08 — Estabilização Hypercare'!$U99="")),"Bloqueado",IF(AND('E08 — Estabilização Hypercare'!$E99="✔ Concluído",'E08 — Estabilização Hypercare'!$F99="✔ Concluído",'E08 — Estabilização Hypercare'!$G99="✔ Concluído",OR('E08 — Estabilização Hypercare'!$H99="✔ Concluído",'E08 — Estabilização Hypercare'!$H99="N/A"),'E08 — Estabilização Hypercare'!$I99="✔ Concluído",'E08 — Estabilização Hypercare'!$J99="✔ Concluído",OR('E08 — Estabilização Hypercare'!$N99="✅ Estável — Demanda Encerrada",AND('E08 — Estabilização Hypercare'!$N99="🆕 Evolução Identificada — Nova Demanda Aberta",'E08 — Estabilização Hypercare'!$U99&lt;&gt;""))),"Concluído",IF(OR(COUNTIF('E08 — Estabilização Hypercare'!$E99:$J99,"✔ Concluído")&gt;0,COUNTIF('E08 — Estabilização Hypercare'!$E99:$J99,"🔄 Em andamento")&gt;0,'E08 — Estabilização Hypercare'!$N99&lt;&gt;""),"Em andamento","Não iniciado")))))</f>
        <v/>
      </c>
      <c r="M117" s="236" t="str" cm="1">
        <f t="array" ref="M117">IF(B117="","",_xlfn.IFS(E117&lt;&gt;"Concluído","E1 — Solicitação",F117&lt;&gt;"Concluído","E2 — Triagem",G117&lt;&gt;"Concluído","E3 — Levantamento ⚠",H117&lt;&gt;"Concluído","E4 — Execução",I117&lt;&gt;"Concluído","E5 — Validação ⚠",AND(J117&lt;&gt;"Concluído",J117&lt;&gt;"N/A"),"E6 — Ajustes",K117&lt;&gt;"Concluído","E7 — Entrega",L117&lt;&gt;"Concluído","E08 — Estabilização / Hypercare",TRUE,"✔ Fluxo concluído"))</f>
        <v/>
      </c>
      <c r="N117" s="237" t="str">
        <f t="shared" si="1"/>
        <v/>
      </c>
      <c r="O117" s="238"/>
    </row>
    <row r="118" spans="2:15" ht="15" customHeight="1" x14ac:dyDescent="0.35">
      <c r="B118" s="234" t="str">
        <f>IF(Lançamentos!$B95="","",Lançamentos!$B95)</f>
        <v/>
      </c>
      <c r="C118" s="235" t="str">
        <f>IF($B118="","",Lançamentos!$J95)</f>
        <v/>
      </c>
      <c r="D118" s="235" t="str">
        <f>IF($B118="","",Lançamentos!$H95)</f>
        <v/>
      </c>
      <c r="E118" s="234" t="str">
        <f>IF($B118="","",IF(COUNTIF(Lançamentos!$B$3:$B$1001,$B118)=0,"Bloqueado",IF(COUNTIF('E1 — Solicitação'!$E100:$L100,"⛔ Bloqueado")&gt;0,"Bloqueado",IF(COUNTIF('E1 — Solicitação'!$E100:$L100,"N/A")=8,"Bloqueado",IF(COUNTIF('E1 — Solicitação'!$E100:$L100,"✔ Concluído")+COUNTIF('E1 — Solicitação'!$E100:$L100,"N/A")=8,"Concluído",IF(COUNTIF('E1 — Solicitação'!$E100:$L100,"✔ Concluído")+COUNTIF('E1 — Solicitação'!$E100:$L100,"🔄 Em andamento")&gt;0,"Em andamento","Não iniciado"))))))</f>
        <v/>
      </c>
      <c r="F118" s="234" t="str">
        <f>IF($B118="","",IF($E118&lt;&gt;"Concluído","Não iniciado",IF(COUNTIF(Lançamentos!$B$3:$B$1001,$B118)=0,"Bloqueado",IF('E2 — Triagem'!$D100="","Bloqueado",IF(COUNTIF('E2 — Triagem'!$E100:$L100,"N/A")=8,"Bloqueado",IF(COUNTIF('E2 — Triagem'!$E100:$L100,"⛔ Bloqueado")&gt;0,"Bloqueado",IF(COUNTIF('E2 — Triagem'!$E100:$L100,"✔ Concluído")+COUNTIF('E2 — Triagem'!$E100:$L100,"N/A")=8,"Concluído",IF(COUNTIF('E2 — Triagem'!$E100:$L100,"✔ Concluído")+COUNTIF('E2 — Triagem'!$E100:$L100,"🔄 Em andamento")&gt;0,"Em andamento","Não iniciado"))))))))</f>
        <v/>
      </c>
      <c r="G118" s="234" t="str">
        <f>IF($B118="","",IF($F118&lt;&gt;"Concluído","Não iniciado",IF(COUNTIF(Lançamentos!$B$3:$B$1001,$B118)=0,"Bloqueado",IF('E3 — Levantamento'!$D100="","Bloqueado",IF(COUNTIF('E3 — Levantamento'!$E100:$I100,"⛔ Bloqueado")&gt;0,"Bloqueado",IF('E3 — Levantamento'!$I100="N/A","Bloqueado",IF(COUNTIF('E3 — Levantamento'!$E100:$I100,"✔ Concluído")=5,"Concluído",IF(COUNTIF('E3 — Levantamento'!$E100:$I100,"✔ Concluído")+COUNTIF('E3 — Levantamento'!$E100:$I100,"🔄 Em andamento")&gt;0,"Em andamento","Não iniciado"))))))))</f>
        <v/>
      </c>
      <c r="H118" s="234" t="str">
        <f>IF($B118="","",IF($G118&lt;&gt;"Concluído","Não iniciado",IF(COUNTIF(Lançamentos!$B$3:$B$1001,$B118)=0,"Bloqueado",IF('E4 — Execução'!$D100="","Bloqueado",IF(COUNTIF('E4 — Execução'!$E100:$K100,"⛔ Bloqueado")&gt;0,"Bloqueado",IF(COUNTIF('E4 — Execução'!$E100:$K100,"✔ Concluído")=7,"Concluído",IF(COUNTIF('E4 — Execução'!$E100:$K100,"✔ Concluído")+COUNTIF('E4 — Execução'!$E100:$K100,"🔄 Em andamento")&gt;0,"Em andamento","Não iniciado")))))))</f>
        <v/>
      </c>
      <c r="I118" s="234" t="str">
        <f>IF($B118="","",IF($H118&lt;&gt;"Concluído","Não iniciado",IF(COUNTIF(Lançamentos!$B$3:$B$1001,$B118)=0,"Bloqueado",IF('E5 — Validação'!$D100="","Bloqueado",IF(COUNTIF('E5 — Validação'!$E100:$I100,"⛔ Bloqueado")&gt;0,"Bloqueado",IF('E5 — Validação'!$I100="N/A","Bloqueado",IF(AND('E5 — Validação'!$E100="✔ Concluído",'E5 — Validação'!$F100="✔ Concluído",OR('E5 — Validação'!$G100="✔ Concluído",'E5 — Validação'!$G100="N/A"),'E5 — Validação'!$H100="✔ Concluído",'E5 — Validação'!$I100="✔ Concluído"),"Concluído",IF(COUNTIF('E5 — Validação'!$E100:$I100,"✔ Concluído")+COUNTIF('E5 — Validação'!$E100:$I100,"🔄 Em andamento")&gt;0,"Em andamento","Não iniciado"))))))))</f>
        <v/>
      </c>
      <c r="J118" s="234" t="str">
        <f>IF($B118="","",IF($I118&lt;&gt;"Concluído","Não iniciado",IF('E6 — Ajustes'!$N100="Não","N/A",IF(COUNTIF(Lançamentos!$B$3:$B$1001,$B118)=0,"Bloqueado",IF('E6 — Ajustes'!$D100="","Bloqueado",IF(COUNTIF('E6 — Ajustes'!$E100:$J100,"⛔ Bloqueado")&gt;0,"Bloqueado",IF(AND('E6 — Ajustes'!$E100="✔ Concluído",'E6 — Ajustes'!$F100="✔ Concluído",'E6 — Ajustes'!$G100="✔ Concluído",'E6 — Ajustes'!$H100="✔ Concluído",OR('E6 — Ajustes'!$I100="✔ Concluído",'E6 — Ajustes'!$I100="N/A"),'E6 — Ajustes'!$J100="✔ Concluído"),"Concluído",IF(COUNTIF('E6 — Ajustes'!$E100:$J100,"✔ Concluído")+COUNTIF('E6 — Ajustes'!$E100:$J100,"🔄 Em andamento")&gt;0,"Em andamento","Não iniciado"))))))))</f>
        <v/>
      </c>
      <c r="K118" s="234" t="str">
        <f>IF($B118="","",IF($I118&lt;&gt;"Concluído","Não iniciado",IF(AND($J118&lt;&gt;"Concluído",$J118&lt;&gt;"N/A"),"Não iniciado",IF(COUNTIF(Lançamentos!$B$3:$B$1001,$B118)=0,"Bloqueado",IF('E7 — Entrega'!$D100="","Bloqueado",IF(COUNTIF('E7 — Entrega'!$E100:$H100,"⛔ Bloqueado")&gt;0,"Bloqueado",IF(COUNTIF('E7 — Entrega'!$E100:$H100,"✔ Concluído")=4,"Concluído",IF(COUNTIF('E7 — Entrega'!$E100:$H100,"✔ Concluído")+COUNTIF('E7 — Entrega'!$E100:$H100,"🔄 Em andamento")&gt;0,"Em andamento","Não iniciado"))))))))</f>
        <v/>
      </c>
      <c r="L118" s="234" t="str">
        <f>IF($B118="","",IF($K118&lt;&gt;"Concluído","Não iniciado",IF(OR(COUNTIF('E08 — Estabilização Hypercare'!$E100:$J100,"⛔ Bloqueado")&gt;0,'E08 — Estabilização Hypercare'!$N100="⛔ Incidente Crítico — Encerramento Bloqueado",AND('E08 — Estabilização Hypercare'!$N100="🆕 Evolução Identificada — Nova Demanda Aberta",'E08 — Estabilização Hypercare'!$U100="")),"Bloqueado",IF(AND('E08 — Estabilização Hypercare'!$E100="✔ Concluído",'E08 — Estabilização Hypercare'!$F100="✔ Concluído",'E08 — Estabilização Hypercare'!$G100="✔ Concluído",OR('E08 — Estabilização Hypercare'!$H100="✔ Concluído",'E08 — Estabilização Hypercare'!$H100="N/A"),'E08 — Estabilização Hypercare'!$I100="✔ Concluído",'E08 — Estabilização Hypercare'!$J100="✔ Concluído",OR('E08 — Estabilização Hypercare'!$N100="✅ Estável — Demanda Encerrada",AND('E08 — Estabilização Hypercare'!$N100="🆕 Evolução Identificada — Nova Demanda Aberta",'E08 — Estabilização Hypercare'!$U100&lt;&gt;""))),"Concluído",IF(OR(COUNTIF('E08 — Estabilização Hypercare'!$E100:$J100,"✔ Concluído")&gt;0,COUNTIF('E08 — Estabilização Hypercare'!$E100:$J100,"🔄 Em andamento")&gt;0,'E08 — Estabilização Hypercare'!$N100&lt;&gt;""),"Em andamento","Não iniciado")))))</f>
        <v/>
      </c>
      <c r="M118" s="236" t="str" cm="1">
        <f t="array" ref="M118">IF(B118="","",_xlfn.IFS(E118&lt;&gt;"Concluído","E1 — Solicitação",F118&lt;&gt;"Concluído","E2 — Triagem",G118&lt;&gt;"Concluído","E3 — Levantamento ⚠",H118&lt;&gt;"Concluído","E4 — Execução",I118&lt;&gt;"Concluído","E5 — Validação ⚠",AND(J118&lt;&gt;"Concluído",J118&lt;&gt;"N/A"),"E6 — Ajustes",K118&lt;&gt;"Concluído","E7 — Entrega",L118&lt;&gt;"Concluído","E08 — Estabilização / Hypercare",TRUE,"✔ Fluxo concluído"))</f>
        <v/>
      </c>
      <c r="N118" s="237" t="str">
        <f t="shared" si="1"/>
        <v/>
      </c>
      <c r="O118" s="238"/>
    </row>
    <row r="119" spans="2:15" ht="15" customHeight="1" x14ac:dyDescent="0.35">
      <c r="B119" s="234" t="str">
        <f>IF(Lançamentos!$B96="","",Lançamentos!$B96)</f>
        <v/>
      </c>
      <c r="C119" s="235" t="str">
        <f>IF($B119="","",Lançamentos!$J96)</f>
        <v/>
      </c>
      <c r="D119" s="235" t="str">
        <f>IF($B119="","",Lançamentos!$H96)</f>
        <v/>
      </c>
      <c r="E119" s="234" t="str">
        <f>IF($B119="","",IF(COUNTIF(Lançamentos!$B$3:$B$1001,$B119)=0,"Bloqueado",IF(COUNTIF('E1 — Solicitação'!$E101:$L101,"⛔ Bloqueado")&gt;0,"Bloqueado",IF(COUNTIF('E1 — Solicitação'!$E101:$L101,"N/A")=8,"Bloqueado",IF(COUNTIF('E1 — Solicitação'!$E101:$L101,"✔ Concluído")+COUNTIF('E1 — Solicitação'!$E101:$L101,"N/A")=8,"Concluído",IF(COUNTIF('E1 — Solicitação'!$E101:$L101,"✔ Concluído")+COUNTIF('E1 — Solicitação'!$E101:$L101,"🔄 Em andamento")&gt;0,"Em andamento","Não iniciado"))))))</f>
        <v/>
      </c>
      <c r="F119" s="234" t="str">
        <f>IF($B119="","",IF($E119&lt;&gt;"Concluído","Não iniciado",IF(COUNTIF(Lançamentos!$B$3:$B$1001,$B119)=0,"Bloqueado",IF('E2 — Triagem'!$D101="","Bloqueado",IF(COUNTIF('E2 — Triagem'!$E101:$L101,"N/A")=8,"Bloqueado",IF(COUNTIF('E2 — Triagem'!$E101:$L101,"⛔ Bloqueado")&gt;0,"Bloqueado",IF(COUNTIF('E2 — Triagem'!$E101:$L101,"✔ Concluído")+COUNTIF('E2 — Triagem'!$E101:$L101,"N/A")=8,"Concluído",IF(COUNTIF('E2 — Triagem'!$E101:$L101,"✔ Concluído")+COUNTIF('E2 — Triagem'!$E101:$L101,"🔄 Em andamento")&gt;0,"Em andamento","Não iniciado"))))))))</f>
        <v/>
      </c>
      <c r="G119" s="234" t="str">
        <f>IF($B119="","",IF($F119&lt;&gt;"Concluído","Não iniciado",IF(COUNTIF(Lançamentos!$B$3:$B$1001,$B119)=0,"Bloqueado",IF('E3 — Levantamento'!$D101="","Bloqueado",IF(COUNTIF('E3 — Levantamento'!$E101:$I101,"⛔ Bloqueado")&gt;0,"Bloqueado",IF('E3 — Levantamento'!$I101="N/A","Bloqueado",IF(COUNTIF('E3 — Levantamento'!$E101:$I101,"✔ Concluído")=5,"Concluído",IF(COUNTIF('E3 — Levantamento'!$E101:$I101,"✔ Concluído")+COUNTIF('E3 — Levantamento'!$E101:$I101,"🔄 Em andamento")&gt;0,"Em andamento","Não iniciado"))))))))</f>
        <v/>
      </c>
      <c r="H119" s="234" t="str">
        <f>IF($B119="","",IF($G119&lt;&gt;"Concluído","Não iniciado",IF(COUNTIF(Lançamentos!$B$3:$B$1001,$B119)=0,"Bloqueado",IF('E4 — Execução'!$D101="","Bloqueado",IF(COUNTIF('E4 — Execução'!$E101:$K101,"⛔ Bloqueado")&gt;0,"Bloqueado",IF(COUNTIF('E4 — Execução'!$E101:$K101,"✔ Concluído")=7,"Concluído",IF(COUNTIF('E4 — Execução'!$E101:$K101,"✔ Concluído")+COUNTIF('E4 — Execução'!$E101:$K101,"🔄 Em andamento")&gt;0,"Em andamento","Não iniciado")))))))</f>
        <v/>
      </c>
      <c r="I119" s="234" t="str">
        <f>IF($B119="","",IF($H119&lt;&gt;"Concluído","Não iniciado",IF(COUNTIF(Lançamentos!$B$3:$B$1001,$B119)=0,"Bloqueado",IF('E5 — Validação'!$D101="","Bloqueado",IF(COUNTIF('E5 — Validação'!$E101:$I101,"⛔ Bloqueado")&gt;0,"Bloqueado",IF('E5 — Validação'!$I101="N/A","Bloqueado",IF(AND('E5 — Validação'!$E101="✔ Concluído",'E5 — Validação'!$F101="✔ Concluído",OR('E5 — Validação'!$G101="✔ Concluído",'E5 — Validação'!$G101="N/A"),'E5 — Validação'!$H101="✔ Concluído",'E5 — Validação'!$I101="✔ Concluído"),"Concluído",IF(COUNTIF('E5 — Validação'!$E101:$I101,"✔ Concluído")+COUNTIF('E5 — Validação'!$E101:$I101,"🔄 Em andamento")&gt;0,"Em andamento","Não iniciado"))))))))</f>
        <v/>
      </c>
      <c r="J119" s="234" t="str">
        <f>IF($B119="","",IF($I119&lt;&gt;"Concluído","Não iniciado",IF('E6 — Ajustes'!$N101="Não","N/A",IF(COUNTIF(Lançamentos!$B$3:$B$1001,$B119)=0,"Bloqueado",IF('E6 — Ajustes'!$D101="","Bloqueado",IF(COUNTIF('E6 — Ajustes'!$E101:$J101,"⛔ Bloqueado")&gt;0,"Bloqueado",IF(AND('E6 — Ajustes'!$E101="✔ Concluído",'E6 — Ajustes'!$F101="✔ Concluído",'E6 — Ajustes'!$G101="✔ Concluído",'E6 — Ajustes'!$H101="✔ Concluído",OR('E6 — Ajustes'!$I101="✔ Concluído",'E6 — Ajustes'!$I101="N/A"),'E6 — Ajustes'!$J101="✔ Concluído"),"Concluído",IF(COUNTIF('E6 — Ajustes'!$E101:$J101,"✔ Concluído")+COUNTIF('E6 — Ajustes'!$E101:$J101,"🔄 Em andamento")&gt;0,"Em andamento","Não iniciado"))))))))</f>
        <v/>
      </c>
      <c r="K119" s="234" t="str">
        <f>IF($B119="","",IF($I119&lt;&gt;"Concluído","Não iniciado",IF(AND($J119&lt;&gt;"Concluído",$J119&lt;&gt;"N/A"),"Não iniciado",IF(COUNTIF(Lançamentos!$B$3:$B$1001,$B119)=0,"Bloqueado",IF('E7 — Entrega'!$D101="","Bloqueado",IF(COUNTIF('E7 — Entrega'!$E101:$H101,"⛔ Bloqueado")&gt;0,"Bloqueado",IF(COUNTIF('E7 — Entrega'!$E101:$H101,"✔ Concluído")=4,"Concluído",IF(COUNTIF('E7 — Entrega'!$E101:$H101,"✔ Concluído")+COUNTIF('E7 — Entrega'!$E101:$H101,"🔄 Em andamento")&gt;0,"Em andamento","Não iniciado"))))))))</f>
        <v/>
      </c>
      <c r="L119" s="234" t="str">
        <f>IF($B119="","",IF($K119&lt;&gt;"Concluído","Não iniciado",IF(OR(COUNTIF('E08 — Estabilização Hypercare'!$E101:$J101,"⛔ Bloqueado")&gt;0,'E08 — Estabilização Hypercare'!$N101="⛔ Incidente Crítico — Encerramento Bloqueado",AND('E08 — Estabilização Hypercare'!$N101="🆕 Evolução Identificada — Nova Demanda Aberta",'E08 — Estabilização Hypercare'!$U101="")),"Bloqueado",IF(AND('E08 — Estabilização Hypercare'!$E101="✔ Concluído",'E08 — Estabilização Hypercare'!$F101="✔ Concluído",'E08 — Estabilização Hypercare'!$G101="✔ Concluído",OR('E08 — Estabilização Hypercare'!$H101="✔ Concluído",'E08 — Estabilização Hypercare'!$H101="N/A"),'E08 — Estabilização Hypercare'!$I101="✔ Concluído",'E08 — Estabilização Hypercare'!$J101="✔ Concluído",OR('E08 — Estabilização Hypercare'!$N101="✅ Estável — Demanda Encerrada",AND('E08 — Estabilização Hypercare'!$N101="🆕 Evolução Identificada — Nova Demanda Aberta",'E08 — Estabilização Hypercare'!$U101&lt;&gt;""))),"Concluído",IF(OR(COUNTIF('E08 — Estabilização Hypercare'!$E101:$J101,"✔ Concluído")&gt;0,COUNTIF('E08 — Estabilização Hypercare'!$E101:$J101,"🔄 Em andamento")&gt;0,'E08 — Estabilização Hypercare'!$N101&lt;&gt;""),"Em andamento","Não iniciado")))))</f>
        <v/>
      </c>
      <c r="M119" s="236" t="str" cm="1">
        <f t="array" ref="M119">IF(B119="","",_xlfn.IFS(E119&lt;&gt;"Concluído","E1 — Solicitação",F119&lt;&gt;"Concluído","E2 — Triagem",G119&lt;&gt;"Concluído","E3 — Levantamento ⚠",H119&lt;&gt;"Concluído","E4 — Execução",I119&lt;&gt;"Concluído","E5 — Validação ⚠",AND(J119&lt;&gt;"Concluído",J119&lt;&gt;"N/A"),"E6 — Ajustes",K119&lt;&gt;"Concluído","E7 — Entrega",L119&lt;&gt;"Concluído","E08 — Estabilização / Hypercare",TRUE,"✔ Fluxo concluído"))</f>
        <v/>
      </c>
      <c r="N119" s="237" t="str">
        <f t="shared" si="1"/>
        <v/>
      </c>
      <c r="O119" s="238"/>
    </row>
    <row r="120" spans="2:15" ht="15" customHeight="1" x14ac:dyDescent="0.35">
      <c r="B120" s="234" t="str">
        <f>IF(Lançamentos!$B97="","",Lançamentos!$B97)</f>
        <v/>
      </c>
      <c r="C120" s="235" t="str">
        <f>IF($B120="","",Lançamentos!$J97)</f>
        <v/>
      </c>
      <c r="D120" s="235" t="str">
        <f>IF($B120="","",Lançamentos!$H97)</f>
        <v/>
      </c>
      <c r="E120" s="234" t="str">
        <f>IF($B120="","",IF(COUNTIF(Lançamentos!$B$3:$B$1001,$B120)=0,"Bloqueado",IF(COUNTIF('E1 — Solicitação'!$E102:$L102,"⛔ Bloqueado")&gt;0,"Bloqueado",IF(COUNTIF('E1 — Solicitação'!$E102:$L102,"N/A")=8,"Bloqueado",IF(COUNTIF('E1 — Solicitação'!$E102:$L102,"✔ Concluído")+COUNTIF('E1 — Solicitação'!$E102:$L102,"N/A")=8,"Concluído",IF(COUNTIF('E1 — Solicitação'!$E102:$L102,"✔ Concluído")+COUNTIF('E1 — Solicitação'!$E102:$L102,"🔄 Em andamento")&gt;0,"Em andamento","Não iniciado"))))))</f>
        <v/>
      </c>
      <c r="F120" s="234" t="str">
        <f>IF($B120="","",IF($E120&lt;&gt;"Concluído","Não iniciado",IF(COUNTIF(Lançamentos!$B$3:$B$1001,$B120)=0,"Bloqueado",IF('E2 — Triagem'!$D102="","Bloqueado",IF(COUNTIF('E2 — Triagem'!$E102:$L102,"N/A")=8,"Bloqueado",IF(COUNTIF('E2 — Triagem'!$E102:$L102,"⛔ Bloqueado")&gt;0,"Bloqueado",IF(COUNTIF('E2 — Triagem'!$E102:$L102,"✔ Concluído")+COUNTIF('E2 — Triagem'!$E102:$L102,"N/A")=8,"Concluído",IF(COUNTIF('E2 — Triagem'!$E102:$L102,"✔ Concluído")+COUNTIF('E2 — Triagem'!$E102:$L102,"🔄 Em andamento")&gt;0,"Em andamento","Não iniciado"))))))))</f>
        <v/>
      </c>
      <c r="G120" s="234" t="str">
        <f>IF($B120="","",IF($F120&lt;&gt;"Concluído","Não iniciado",IF(COUNTIF(Lançamentos!$B$3:$B$1001,$B120)=0,"Bloqueado",IF('E3 — Levantamento'!$D102="","Bloqueado",IF(COUNTIF('E3 — Levantamento'!$E102:$I102,"⛔ Bloqueado")&gt;0,"Bloqueado",IF('E3 — Levantamento'!$I102="N/A","Bloqueado",IF(COUNTIF('E3 — Levantamento'!$E102:$I102,"✔ Concluído")=5,"Concluído",IF(COUNTIF('E3 — Levantamento'!$E102:$I102,"✔ Concluído")+COUNTIF('E3 — Levantamento'!$E102:$I102,"🔄 Em andamento")&gt;0,"Em andamento","Não iniciado"))))))))</f>
        <v/>
      </c>
      <c r="H120" s="234" t="str">
        <f>IF($B120="","",IF($G120&lt;&gt;"Concluído","Não iniciado",IF(COUNTIF(Lançamentos!$B$3:$B$1001,$B120)=0,"Bloqueado",IF('E4 — Execução'!$D102="","Bloqueado",IF(COUNTIF('E4 — Execução'!$E102:$K102,"⛔ Bloqueado")&gt;0,"Bloqueado",IF(COUNTIF('E4 — Execução'!$E102:$K102,"✔ Concluído")=7,"Concluído",IF(COUNTIF('E4 — Execução'!$E102:$K102,"✔ Concluído")+COUNTIF('E4 — Execução'!$E102:$K102,"🔄 Em andamento")&gt;0,"Em andamento","Não iniciado")))))))</f>
        <v/>
      </c>
      <c r="I120" s="234" t="str">
        <f>IF($B120="","",IF($H120&lt;&gt;"Concluído","Não iniciado",IF(COUNTIF(Lançamentos!$B$3:$B$1001,$B120)=0,"Bloqueado",IF('E5 — Validação'!$D102="","Bloqueado",IF(COUNTIF('E5 — Validação'!$E102:$I102,"⛔ Bloqueado")&gt;0,"Bloqueado",IF('E5 — Validação'!$I102="N/A","Bloqueado",IF(AND('E5 — Validação'!$E102="✔ Concluído",'E5 — Validação'!$F102="✔ Concluído",OR('E5 — Validação'!$G102="✔ Concluído",'E5 — Validação'!$G102="N/A"),'E5 — Validação'!$H102="✔ Concluído",'E5 — Validação'!$I102="✔ Concluído"),"Concluído",IF(COUNTIF('E5 — Validação'!$E102:$I102,"✔ Concluído")+COUNTIF('E5 — Validação'!$E102:$I102,"🔄 Em andamento")&gt;0,"Em andamento","Não iniciado"))))))))</f>
        <v/>
      </c>
      <c r="J120" s="234" t="str">
        <f>IF($B120="","",IF($I120&lt;&gt;"Concluído","Não iniciado",IF('E6 — Ajustes'!$N102="Não","N/A",IF(COUNTIF(Lançamentos!$B$3:$B$1001,$B120)=0,"Bloqueado",IF('E6 — Ajustes'!$D102="","Bloqueado",IF(COUNTIF('E6 — Ajustes'!$E102:$J102,"⛔ Bloqueado")&gt;0,"Bloqueado",IF(AND('E6 — Ajustes'!$E102="✔ Concluído",'E6 — Ajustes'!$F102="✔ Concluído",'E6 — Ajustes'!$G102="✔ Concluído",'E6 — Ajustes'!$H102="✔ Concluído",OR('E6 — Ajustes'!$I102="✔ Concluído",'E6 — Ajustes'!$I102="N/A"),'E6 — Ajustes'!$J102="✔ Concluído"),"Concluído",IF(COUNTIF('E6 — Ajustes'!$E102:$J102,"✔ Concluído")+COUNTIF('E6 — Ajustes'!$E102:$J102,"🔄 Em andamento")&gt;0,"Em andamento","Não iniciado"))))))))</f>
        <v/>
      </c>
      <c r="K120" s="234" t="str">
        <f>IF($B120="","",IF($I120&lt;&gt;"Concluído","Não iniciado",IF(AND($J120&lt;&gt;"Concluído",$J120&lt;&gt;"N/A"),"Não iniciado",IF(COUNTIF(Lançamentos!$B$3:$B$1001,$B120)=0,"Bloqueado",IF('E7 — Entrega'!$D102="","Bloqueado",IF(COUNTIF('E7 — Entrega'!$E102:$H102,"⛔ Bloqueado")&gt;0,"Bloqueado",IF(COUNTIF('E7 — Entrega'!$E102:$H102,"✔ Concluído")=4,"Concluído",IF(COUNTIF('E7 — Entrega'!$E102:$H102,"✔ Concluído")+COUNTIF('E7 — Entrega'!$E102:$H102,"🔄 Em andamento")&gt;0,"Em andamento","Não iniciado"))))))))</f>
        <v/>
      </c>
      <c r="L120" s="234" t="str">
        <f>IF($B120="","",IF($K120&lt;&gt;"Concluído","Não iniciado",IF(OR(COUNTIF('E08 — Estabilização Hypercare'!$E102:$J102,"⛔ Bloqueado")&gt;0,'E08 — Estabilização Hypercare'!$N102="⛔ Incidente Crítico — Encerramento Bloqueado",AND('E08 — Estabilização Hypercare'!$N102="🆕 Evolução Identificada — Nova Demanda Aberta",'E08 — Estabilização Hypercare'!$U102="")),"Bloqueado",IF(AND('E08 — Estabilização Hypercare'!$E102="✔ Concluído",'E08 — Estabilização Hypercare'!$F102="✔ Concluído",'E08 — Estabilização Hypercare'!$G102="✔ Concluído",OR('E08 — Estabilização Hypercare'!$H102="✔ Concluído",'E08 — Estabilização Hypercare'!$H102="N/A"),'E08 — Estabilização Hypercare'!$I102="✔ Concluído",'E08 — Estabilização Hypercare'!$J102="✔ Concluído",OR('E08 — Estabilização Hypercare'!$N102="✅ Estável — Demanda Encerrada",AND('E08 — Estabilização Hypercare'!$N102="🆕 Evolução Identificada — Nova Demanda Aberta",'E08 — Estabilização Hypercare'!$U102&lt;&gt;""))),"Concluído",IF(OR(COUNTIF('E08 — Estabilização Hypercare'!$E102:$J102,"✔ Concluído")&gt;0,COUNTIF('E08 — Estabilização Hypercare'!$E102:$J102,"🔄 Em andamento")&gt;0,'E08 — Estabilização Hypercare'!$N102&lt;&gt;""),"Em andamento","Não iniciado")))))</f>
        <v/>
      </c>
      <c r="M120" s="236" t="str" cm="1">
        <f t="array" ref="M120">IF(B120="","",_xlfn.IFS(E120&lt;&gt;"Concluído","E1 — Solicitação",F120&lt;&gt;"Concluído","E2 — Triagem",G120&lt;&gt;"Concluído","E3 — Levantamento ⚠",H120&lt;&gt;"Concluído","E4 — Execução",I120&lt;&gt;"Concluído","E5 — Validação ⚠",AND(J120&lt;&gt;"Concluído",J120&lt;&gt;"N/A"),"E6 — Ajustes",K120&lt;&gt;"Concluído","E7 — Entrega",L120&lt;&gt;"Concluído","E08 — Estabilização / Hypercare",TRUE,"✔ Fluxo concluído"))</f>
        <v/>
      </c>
      <c r="N120" s="237" t="str">
        <f t="shared" si="1"/>
        <v/>
      </c>
      <c r="O120" s="238"/>
    </row>
    <row r="121" spans="2:15" ht="15" customHeight="1" x14ac:dyDescent="0.35">
      <c r="B121" s="234" t="str">
        <f>IF(Lançamentos!$B98="","",Lançamentos!$B98)</f>
        <v/>
      </c>
      <c r="C121" s="235" t="str">
        <f>IF($B121="","",Lançamentos!$J98)</f>
        <v/>
      </c>
      <c r="D121" s="235" t="str">
        <f>IF($B121="","",Lançamentos!$H98)</f>
        <v/>
      </c>
      <c r="E121" s="234" t="str">
        <f>IF($B121="","",IF(COUNTIF(Lançamentos!$B$3:$B$1001,$B121)=0,"Bloqueado",IF(COUNTIF('E1 — Solicitação'!$E103:$L103,"⛔ Bloqueado")&gt;0,"Bloqueado",IF(COUNTIF('E1 — Solicitação'!$E103:$L103,"N/A")=8,"Bloqueado",IF(COUNTIF('E1 — Solicitação'!$E103:$L103,"✔ Concluído")+COUNTIF('E1 — Solicitação'!$E103:$L103,"N/A")=8,"Concluído",IF(COUNTIF('E1 — Solicitação'!$E103:$L103,"✔ Concluído")+COUNTIF('E1 — Solicitação'!$E103:$L103,"🔄 Em andamento")&gt;0,"Em andamento","Não iniciado"))))))</f>
        <v/>
      </c>
      <c r="F121" s="234" t="str">
        <f>IF($B121="","",IF($E121&lt;&gt;"Concluído","Não iniciado",IF(COUNTIF(Lançamentos!$B$3:$B$1001,$B121)=0,"Bloqueado",IF('E2 — Triagem'!$D103="","Bloqueado",IF(COUNTIF('E2 — Triagem'!$E103:$L103,"N/A")=8,"Bloqueado",IF(COUNTIF('E2 — Triagem'!$E103:$L103,"⛔ Bloqueado")&gt;0,"Bloqueado",IF(COUNTIF('E2 — Triagem'!$E103:$L103,"✔ Concluído")+COUNTIF('E2 — Triagem'!$E103:$L103,"N/A")=8,"Concluído",IF(COUNTIF('E2 — Triagem'!$E103:$L103,"✔ Concluído")+COUNTIF('E2 — Triagem'!$E103:$L103,"🔄 Em andamento")&gt;0,"Em andamento","Não iniciado"))))))))</f>
        <v/>
      </c>
      <c r="G121" s="234" t="str">
        <f>IF($B121="","",IF($F121&lt;&gt;"Concluído","Não iniciado",IF(COUNTIF(Lançamentos!$B$3:$B$1001,$B121)=0,"Bloqueado",IF('E3 — Levantamento'!$D103="","Bloqueado",IF(COUNTIF('E3 — Levantamento'!$E103:$I103,"⛔ Bloqueado")&gt;0,"Bloqueado",IF('E3 — Levantamento'!$I103="N/A","Bloqueado",IF(COUNTIF('E3 — Levantamento'!$E103:$I103,"✔ Concluído")=5,"Concluído",IF(COUNTIF('E3 — Levantamento'!$E103:$I103,"✔ Concluído")+COUNTIF('E3 — Levantamento'!$E103:$I103,"🔄 Em andamento")&gt;0,"Em andamento","Não iniciado"))))))))</f>
        <v/>
      </c>
      <c r="H121" s="234" t="str">
        <f>IF($B121="","",IF($G121&lt;&gt;"Concluído","Não iniciado",IF(COUNTIF(Lançamentos!$B$3:$B$1001,$B121)=0,"Bloqueado",IF('E4 — Execução'!$D103="","Bloqueado",IF(COUNTIF('E4 — Execução'!$E103:$K103,"⛔ Bloqueado")&gt;0,"Bloqueado",IF(COUNTIF('E4 — Execução'!$E103:$K103,"✔ Concluído")=7,"Concluído",IF(COUNTIF('E4 — Execução'!$E103:$K103,"✔ Concluído")+COUNTIF('E4 — Execução'!$E103:$K103,"🔄 Em andamento")&gt;0,"Em andamento","Não iniciado")))))))</f>
        <v/>
      </c>
      <c r="I121" s="234" t="str">
        <f>IF($B121="","",IF($H121&lt;&gt;"Concluído","Não iniciado",IF(COUNTIF(Lançamentos!$B$3:$B$1001,$B121)=0,"Bloqueado",IF('E5 — Validação'!$D103="","Bloqueado",IF(COUNTIF('E5 — Validação'!$E103:$I103,"⛔ Bloqueado")&gt;0,"Bloqueado",IF('E5 — Validação'!$I103="N/A","Bloqueado",IF(AND('E5 — Validação'!$E103="✔ Concluído",'E5 — Validação'!$F103="✔ Concluído",OR('E5 — Validação'!$G103="✔ Concluído",'E5 — Validação'!$G103="N/A"),'E5 — Validação'!$H103="✔ Concluído",'E5 — Validação'!$I103="✔ Concluído"),"Concluído",IF(COUNTIF('E5 — Validação'!$E103:$I103,"✔ Concluído")+COUNTIF('E5 — Validação'!$E103:$I103,"🔄 Em andamento")&gt;0,"Em andamento","Não iniciado"))))))))</f>
        <v/>
      </c>
      <c r="J121" s="234" t="str">
        <f>IF($B121="","",IF($I121&lt;&gt;"Concluído","Não iniciado",IF('E6 — Ajustes'!$N103="Não","N/A",IF(COUNTIF(Lançamentos!$B$3:$B$1001,$B121)=0,"Bloqueado",IF('E6 — Ajustes'!$D103="","Bloqueado",IF(COUNTIF('E6 — Ajustes'!$E103:$J103,"⛔ Bloqueado")&gt;0,"Bloqueado",IF(AND('E6 — Ajustes'!$E103="✔ Concluído",'E6 — Ajustes'!$F103="✔ Concluído",'E6 — Ajustes'!$G103="✔ Concluído",'E6 — Ajustes'!$H103="✔ Concluído",OR('E6 — Ajustes'!$I103="✔ Concluído",'E6 — Ajustes'!$I103="N/A"),'E6 — Ajustes'!$J103="✔ Concluído"),"Concluído",IF(COUNTIF('E6 — Ajustes'!$E103:$J103,"✔ Concluído")+COUNTIF('E6 — Ajustes'!$E103:$J103,"🔄 Em andamento")&gt;0,"Em andamento","Não iniciado"))))))))</f>
        <v/>
      </c>
      <c r="K121" s="234" t="str">
        <f>IF($B121="","",IF($I121&lt;&gt;"Concluído","Não iniciado",IF(AND($J121&lt;&gt;"Concluído",$J121&lt;&gt;"N/A"),"Não iniciado",IF(COUNTIF(Lançamentos!$B$3:$B$1001,$B121)=0,"Bloqueado",IF('E7 — Entrega'!$D103="","Bloqueado",IF(COUNTIF('E7 — Entrega'!$E103:$H103,"⛔ Bloqueado")&gt;0,"Bloqueado",IF(COUNTIF('E7 — Entrega'!$E103:$H103,"✔ Concluído")=4,"Concluído",IF(COUNTIF('E7 — Entrega'!$E103:$H103,"✔ Concluído")+COUNTIF('E7 — Entrega'!$E103:$H103,"🔄 Em andamento")&gt;0,"Em andamento","Não iniciado"))))))))</f>
        <v/>
      </c>
      <c r="L121" s="234" t="str">
        <f>IF($B121="","",IF($K121&lt;&gt;"Concluído","Não iniciado",IF(OR(COUNTIF('E08 — Estabilização Hypercare'!$E103:$J103,"⛔ Bloqueado")&gt;0,'E08 — Estabilização Hypercare'!$N103="⛔ Incidente Crítico — Encerramento Bloqueado",AND('E08 — Estabilização Hypercare'!$N103="🆕 Evolução Identificada — Nova Demanda Aberta",'E08 — Estabilização Hypercare'!$U103="")),"Bloqueado",IF(AND('E08 — Estabilização Hypercare'!$E103="✔ Concluído",'E08 — Estabilização Hypercare'!$F103="✔ Concluído",'E08 — Estabilização Hypercare'!$G103="✔ Concluído",OR('E08 — Estabilização Hypercare'!$H103="✔ Concluído",'E08 — Estabilização Hypercare'!$H103="N/A"),'E08 — Estabilização Hypercare'!$I103="✔ Concluído",'E08 — Estabilização Hypercare'!$J103="✔ Concluído",OR('E08 — Estabilização Hypercare'!$N103="✅ Estável — Demanda Encerrada",AND('E08 — Estabilização Hypercare'!$N103="🆕 Evolução Identificada — Nova Demanda Aberta",'E08 — Estabilização Hypercare'!$U103&lt;&gt;""))),"Concluído",IF(OR(COUNTIF('E08 — Estabilização Hypercare'!$E103:$J103,"✔ Concluído")&gt;0,COUNTIF('E08 — Estabilização Hypercare'!$E103:$J103,"🔄 Em andamento")&gt;0,'E08 — Estabilização Hypercare'!$N103&lt;&gt;""),"Em andamento","Não iniciado")))))</f>
        <v/>
      </c>
      <c r="M121" s="236" t="str" cm="1">
        <f t="array" ref="M121">IF(B121="","",_xlfn.IFS(E121&lt;&gt;"Concluído","E1 — Solicitação",F121&lt;&gt;"Concluído","E2 — Triagem",G121&lt;&gt;"Concluído","E3 — Levantamento ⚠",H121&lt;&gt;"Concluído","E4 — Execução",I121&lt;&gt;"Concluído","E5 — Validação ⚠",AND(J121&lt;&gt;"Concluído",J121&lt;&gt;"N/A"),"E6 — Ajustes",K121&lt;&gt;"Concluído","E7 — Entrega",L121&lt;&gt;"Concluído","E08 — Estabilização / Hypercare",TRUE,"✔ Fluxo concluído"))</f>
        <v/>
      </c>
      <c r="N121" s="237" t="str">
        <f t="shared" si="1"/>
        <v/>
      </c>
      <c r="O121" s="238"/>
    </row>
    <row r="122" spans="2:15" ht="15" customHeight="1" x14ac:dyDescent="0.35">
      <c r="B122" s="234" t="str">
        <f>IF(Lançamentos!$B99="","",Lançamentos!$B99)</f>
        <v/>
      </c>
      <c r="C122" s="235" t="str">
        <f>IF($B122="","",Lançamentos!$J99)</f>
        <v/>
      </c>
      <c r="D122" s="235" t="str">
        <f>IF($B122="","",Lançamentos!$H99)</f>
        <v/>
      </c>
      <c r="E122" s="234" t="str">
        <f>IF($B122="","",IF(COUNTIF(Lançamentos!$B$3:$B$1001,$B122)=0,"Bloqueado",IF(COUNTIF('E1 — Solicitação'!$E104:$L104,"⛔ Bloqueado")&gt;0,"Bloqueado",IF(COUNTIF('E1 — Solicitação'!$E104:$L104,"N/A")=8,"Bloqueado",IF(COUNTIF('E1 — Solicitação'!$E104:$L104,"✔ Concluído")+COUNTIF('E1 — Solicitação'!$E104:$L104,"N/A")=8,"Concluído",IF(COUNTIF('E1 — Solicitação'!$E104:$L104,"✔ Concluído")+COUNTIF('E1 — Solicitação'!$E104:$L104,"🔄 Em andamento")&gt;0,"Em andamento","Não iniciado"))))))</f>
        <v/>
      </c>
      <c r="F122" s="234" t="str">
        <f>IF($B122="","",IF($E122&lt;&gt;"Concluído","Não iniciado",IF(COUNTIF(Lançamentos!$B$3:$B$1001,$B122)=0,"Bloqueado",IF('E2 — Triagem'!$D104="","Bloqueado",IF(COUNTIF('E2 — Triagem'!$E104:$L104,"N/A")=8,"Bloqueado",IF(COUNTIF('E2 — Triagem'!$E104:$L104,"⛔ Bloqueado")&gt;0,"Bloqueado",IF(COUNTIF('E2 — Triagem'!$E104:$L104,"✔ Concluído")+COUNTIF('E2 — Triagem'!$E104:$L104,"N/A")=8,"Concluído",IF(COUNTIF('E2 — Triagem'!$E104:$L104,"✔ Concluído")+COUNTIF('E2 — Triagem'!$E104:$L104,"🔄 Em andamento")&gt;0,"Em andamento","Não iniciado"))))))))</f>
        <v/>
      </c>
      <c r="G122" s="234" t="str">
        <f>IF($B122="","",IF($F122&lt;&gt;"Concluído","Não iniciado",IF(COUNTIF(Lançamentos!$B$3:$B$1001,$B122)=0,"Bloqueado",IF('E3 — Levantamento'!$D104="","Bloqueado",IF(COUNTIF('E3 — Levantamento'!$E104:$I104,"⛔ Bloqueado")&gt;0,"Bloqueado",IF('E3 — Levantamento'!$I104="N/A","Bloqueado",IF(COUNTIF('E3 — Levantamento'!$E104:$I104,"✔ Concluído")=5,"Concluído",IF(COUNTIF('E3 — Levantamento'!$E104:$I104,"✔ Concluído")+COUNTIF('E3 — Levantamento'!$E104:$I104,"🔄 Em andamento")&gt;0,"Em andamento","Não iniciado"))))))))</f>
        <v/>
      </c>
      <c r="H122" s="234" t="str">
        <f>IF($B122="","",IF($G122&lt;&gt;"Concluído","Não iniciado",IF(COUNTIF(Lançamentos!$B$3:$B$1001,$B122)=0,"Bloqueado",IF('E4 — Execução'!$D104="","Bloqueado",IF(COUNTIF('E4 — Execução'!$E104:$K104,"⛔ Bloqueado")&gt;0,"Bloqueado",IF(COUNTIF('E4 — Execução'!$E104:$K104,"✔ Concluído")=7,"Concluído",IF(COUNTIF('E4 — Execução'!$E104:$K104,"✔ Concluído")+COUNTIF('E4 — Execução'!$E104:$K104,"🔄 Em andamento")&gt;0,"Em andamento","Não iniciado")))))))</f>
        <v/>
      </c>
      <c r="I122" s="234" t="str">
        <f>IF($B122="","",IF($H122&lt;&gt;"Concluído","Não iniciado",IF(COUNTIF(Lançamentos!$B$3:$B$1001,$B122)=0,"Bloqueado",IF('E5 — Validação'!$D104="","Bloqueado",IF(COUNTIF('E5 — Validação'!$E104:$I104,"⛔ Bloqueado")&gt;0,"Bloqueado",IF('E5 — Validação'!$I104="N/A","Bloqueado",IF(AND('E5 — Validação'!$E104="✔ Concluído",'E5 — Validação'!$F104="✔ Concluído",OR('E5 — Validação'!$G104="✔ Concluído",'E5 — Validação'!$G104="N/A"),'E5 — Validação'!$H104="✔ Concluído",'E5 — Validação'!$I104="✔ Concluído"),"Concluído",IF(COUNTIF('E5 — Validação'!$E104:$I104,"✔ Concluído")+COUNTIF('E5 — Validação'!$E104:$I104,"🔄 Em andamento")&gt;0,"Em andamento","Não iniciado"))))))))</f>
        <v/>
      </c>
      <c r="J122" s="234" t="str">
        <f>IF($B122="","",IF($I122&lt;&gt;"Concluído","Não iniciado",IF('E6 — Ajustes'!$N104="Não","N/A",IF(COUNTIF(Lançamentos!$B$3:$B$1001,$B122)=0,"Bloqueado",IF('E6 — Ajustes'!$D104="","Bloqueado",IF(COUNTIF('E6 — Ajustes'!$E104:$J104,"⛔ Bloqueado")&gt;0,"Bloqueado",IF(AND('E6 — Ajustes'!$E104="✔ Concluído",'E6 — Ajustes'!$F104="✔ Concluído",'E6 — Ajustes'!$G104="✔ Concluído",'E6 — Ajustes'!$H104="✔ Concluído",OR('E6 — Ajustes'!$I104="✔ Concluído",'E6 — Ajustes'!$I104="N/A"),'E6 — Ajustes'!$J104="✔ Concluído"),"Concluído",IF(COUNTIF('E6 — Ajustes'!$E104:$J104,"✔ Concluído")+COUNTIF('E6 — Ajustes'!$E104:$J104,"🔄 Em andamento")&gt;0,"Em andamento","Não iniciado"))))))))</f>
        <v/>
      </c>
      <c r="K122" s="234" t="str">
        <f>IF($B122="","",IF($I122&lt;&gt;"Concluído","Não iniciado",IF(AND($J122&lt;&gt;"Concluído",$J122&lt;&gt;"N/A"),"Não iniciado",IF(COUNTIF(Lançamentos!$B$3:$B$1001,$B122)=0,"Bloqueado",IF('E7 — Entrega'!$D104="","Bloqueado",IF(COUNTIF('E7 — Entrega'!$E104:$H104,"⛔ Bloqueado")&gt;0,"Bloqueado",IF(COUNTIF('E7 — Entrega'!$E104:$H104,"✔ Concluído")=4,"Concluído",IF(COUNTIF('E7 — Entrega'!$E104:$H104,"✔ Concluído")+COUNTIF('E7 — Entrega'!$E104:$H104,"🔄 Em andamento")&gt;0,"Em andamento","Não iniciado"))))))))</f>
        <v/>
      </c>
      <c r="L122" s="234" t="str">
        <f>IF($B122="","",IF($K122&lt;&gt;"Concluído","Não iniciado",IF(OR(COUNTIF('E08 — Estabilização Hypercare'!$E104:$J104,"⛔ Bloqueado")&gt;0,'E08 — Estabilização Hypercare'!$N104="⛔ Incidente Crítico — Encerramento Bloqueado",AND('E08 — Estabilização Hypercare'!$N104="🆕 Evolução Identificada — Nova Demanda Aberta",'E08 — Estabilização Hypercare'!$U104="")),"Bloqueado",IF(AND('E08 — Estabilização Hypercare'!$E104="✔ Concluído",'E08 — Estabilização Hypercare'!$F104="✔ Concluído",'E08 — Estabilização Hypercare'!$G104="✔ Concluído",OR('E08 — Estabilização Hypercare'!$H104="✔ Concluído",'E08 — Estabilização Hypercare'!$H104="N/A"),'E08 — Estabilização Hypercare'!$I104="✔ Concluído",'E08 — Estabilização Hypercare'!$J104="✔ Concluído",OR('E08 — Estabilização Hypercare'!$N104="✅ Estável — Demanda Encerrada",AND('E08 — Estabilização Hypercare'!$N104="🆕 Evolução Identificada — Nova Demanda Aberta",'E08 — Estabilização Hypercare'!$U104&lt;&gt;""))),"Concluído",IF(OR(COUNTIF('E08 — Estabilização Hypercare'!$E104:$J104,"✔ Concluído")&gt;0,COUNTIF('E08 — Estabilização Hypercare'!$E104:$J104,"🔄 Em andamento")&gt;0,'E08 — Estabilização Hypercare'!$N104&lt;&gt;""),"Em andamento","Não iniciado")))))</f>
        <v/>
      </c>
      <c r="M122" s="236" t="str" cm="1">
        <f t="array" ref="M122">IF(B122="","",_xlfn.IFS(E122&lt;&gt;"Concluído","E1 — Solicitação",F122&lt;&gt;"Concluído","E2 — Triagem",G122&lt;&gt;"Concluído","E3 — Levantamento ⚠",H122&lt;&gt;"Concluído","E4 — Execução",I122&lt;&gt;"Concluído","E5 — Validação ⚠",AND(J122&lt;&gt;"Concluído",J122&lt;&gt;"N/A"),"E6 — Ajustes",K122&lt;&gt;"Concluído","E7 — Entrega",L122&lt;&gt;"Concluído","E08 — Estabilização / Hypercare",TRUE,"✔ Fluxo concluído"))</f>
        <v/>
      </c>
      <c r="N122" s="237" t="str">
        <f t="shared" si="1"/>
        <v/>
      </c>
      <c r="O122" s="238"/>
    </row>
    <row r="123" spans="2:15" ht="15" customHeight="1" x14ac:dyDescent="0.35">
      <c r="B123" s="234" t="str">
        <f>IF(Lançamentos!$B100="","",Lançamentos!$B100)</f>
        <v/>
      </c>
      <c r="C123" s="235" t="str">
        <f>IF($B123="","",Lançamentos!$J100)</f>
        <v/>
      </c>
      <c r="D123" s="235" t="str">
        <f>IF($B123="","",Lançamentos!$H100)</f>
        <v/>
      </c>
      <c r="E123" s="234" t="str">
        <f>IF($B123="","",IF(COUNTIF(Lançamentos!$B$3:$B$1001,$B123)=0,"Bloqueado",IF(COUNTIF('E1 — Solicitação'!$E105:$L105,"⛔ Bloqueado")&gt;0,"Bloqueado",IF(COUNTIF('E1 — Solicitação'!$E105:$L105,"N/A")=8,"Bloqueado",IF(COUNTIF('E1 — Solicitação'!$E105:$L105,"✔ Concluído")+COUNTIF('E1 — Solicitação'!$E105:$L105,"N/A")=8,"Concluído",IF(COUNTIF('E1 — Solicitação'!$E105:$L105,"✔ Concluído")+COUNTIF('E1 — Solicitação'!$E105:$L105,"🔄 Em andamento")&gt;0,"Em andamento","Não iniciado"))))))</f>
        <v/>
      </c>
      <c r="F123" s="234" t="str">
        <f>IF($B123="","",IF($E123&lt;&gt;"Concluído","Não iniciado",IF(COUNTIF(Lançamentos!$B$3:$B$1001,$B123)=0,"Bloqueado",IF('E2 — Triagem'!$D105="","Bloqueado",IF(COUNTIF('E2 — Triagem'!$E105:$L105,"N/A")=8,"Bloqueado",IF(COUNTIF('E2 — Triagem'!$E105:$L105,"⛔ Bloqueado")&gt;0,"Bloqueado",IF(COUNTIF('E2 — Triagem'!$E105:$L105,"✔ Concluído")+COUNTIF('E2 — Triagem'!$E105:$L105,"N/A")=8,"Concluído",IF(COUNTIF('E2 — Triagem'!$E105:$L105,"✔ Concluído")+COUNTIF('E2 — Triagem'!$E105:$L105,"🔄 Em andamento")&gt;0,"Em andamento","Não iniciado"))))))))</f>
        <v/>
      </c>
      <c r="G123" s="234" t="str">
        <f>IF($B123="","",IF($F123&lt;&gt;"Concluído","Não iniciado",IF(COUNTIF(Lançamentos!$B$3:$B$1001,$B123)=0,"Bloqueado",IF('E3 — Levantamento'!$D105="","Bloqueado",IF(COUNTIF('E3 — Levantamento'!$E105:$I105,"⛔ Bloqueado")&gt;0,"Bloqueado",IF('E3 — Levantamento'!$I105="N/A","Bloqueado",IF(COUNTIF('E3 — Levantamento'!$E105:$I105,"✔ Concluído")=5,"Concluído",IF(COUNTIF('E3 — Levantamento'!$E105:$I105,"✔ Concluído")+COUNTIF('E3 — Levantamento'!$E105:$I105,"🔄 Em andamento")&gt;0,"Em andamento","Não iniciado"))))))))</f>
        <v/>
      </c>
      <c r="H123" s="234" t="str">
        <f>IF($B123="","",IF($G123&lt;&gt;"Concluído","Não iniciado",IF(COUNTIF(Lançamentos!$B$3:$B$1001,$B123)=0,"Bloqueado",IF('E4 — Execução'!$D105="","Bloqueado",IF(COUNTIF('E4 — Execução'!$E105:$K105,"⛔ Bloqueado")&gt;0,"Bloqueado",IF(COUNTIF('E4 — Execução'!$E105:$K105,"✔ Concluído")=7,"Concluído",IF(COUNTIF('E4 — Execução'!$E105:$K105,"✔ Concluído")+COUNTIF('E4 — Execução'!$E105:$K105,"🔄 Em andamento")&gt;0,"Em andamento","Não iniciado")))))))</f>
        <v/>
      </c>
      <c r="I123" s="234" t="str">
        <f>IF($B123="","",IF($H123&lt;&gt;"Concluído","Não iniciado",IF(COUNTIF(Lançamentos!$B$3:$B$1001,$B123)=0,"Bloqueado",IF('E5 — Validação'!$D105="","Bloqueado",IF(COUNTIF('E5 — Validação'!$E105:$I105,"⛔ Bloqueado")&gt;0,"Bloqueado",IF('E5 — Validação'!$I105="N/A","Bloqueado",IF(AND('E5 — Validação'!$E105="✔ Concluído",'E5 — Validação'!$F105="✔ Concluído",OR('E5 — Validação'!$G105="✔ Concluído",'E5 — Validação'!$G105="N/A"),'E5 — Validação'!$H105="✔ Concluído",'E5 — Validação'!$I105="✔ Concluído"),"Concluído",IF(COUNTIF('E5 — Validação'!$E105:$I105,"✔ Concluído")+COUNTIF('E5 — Validação'!$E105:$I105,"🔄 Em andamento")&gt;0,"Em andamento","Não iniciado"))))))))</f>
        <v/>
      </c>
      <c r="J123" s="234" t="str">
        <f>IF($B123="","",IF($I123&lt;&gt;"Concluído","Não iniciado",IF('E6 — Ajustes'!$N105="Não","N/A",IF(COUNTIF(Lançamentos!$B$3:$B$1001,$B123)=0,"Bloqueado",IF('E6 — Ajustes'!$D105="","Bloqueado",IF(COUNTIF('E6 — Ajustes'!$E105:$J105,"⛔ Bloqueado")&gt;0,"Bloqueado",IF(AND('E6 — Ajustes'!$E105="✔ Concluído",'E6 — Ajustes'!$F105="✔ Concluído",'E6 — Ajustes'!$G105="✔ Concluído",'E6 — Ajustes'!$H105="✔ Concluído",OR('E6 — Ajustes'!$I105="✔ Concluído",'E6 — Ajustes'!$I105="N/A"),'E6 — Ajustes'!$J105="✔ Concluído"),"Concluído",IF(COUNTIF('E6 — Ajustes'!$E105:$J105,"✔ Concluído")+COUNTIF('E6 — Ajustes'!$E105:$J105,"🔄 Em andamento")&gt;0,"Em andamento","Não iniciado"))))))))</f>
        <v/>
      </c>
      <c r="K123" s="234" t="str">
        <f>IF($B123="","",IF($I123&lt;&gt;"Concluído","Não iniciado",IF(AND($J123&lt;&gt;"Concluído",$J123&lt;&gt;"N/A"),"Não iniciado",IF(COUNTIF(Lançamentos!$B$3:$B$1001,$B123)=0,"Bloqueado",IF('E7 — Entrega'!$D105="","Bloqueado",IF(COUNTIF('E7 — Entrega'!$E105:$H105,"⛔ Bloqueado")&gt;0,"Bloqueado",IF(COUNTIF('E7 — Entrega'!$E105:$H105,"✔ Concluído")=4,"Concluído",IF(COUNTIF('E7 — Entrega'!$E105:$H105,"✔ Concluído")+COUNTIF('E7 — Entrega'!$E105:$H105,"🔄 Em andamento")&gt;0,"Em andamento","Não iniciado"))))))))</f>
        <v/>
      </c>
      <c r="L123" s="234" t="str">
        <f>IF($B123="","",IF($K123&lt;&gt;"Concluído","Não iniciado",IF(OR(COUNTIF('E08 — Estabilização Hypercare'!$E105:$J105,"⛔ Bloqueado")&gt;0,'E08 — Estabilização Hypercare'!$N105="⛔ Incidente Crítico — Encerramento Bloqueado",AND('E08 — Estabilização Hypercare'!$N105="🆕 Evolução Identificada — Nova Demanda Aberta",'E08 — Estabilização Hypercare'!$U105="")),"Bloqueado",IF(AND('E08 — Estabilização Hypercare'!$E105="✔ Concluído",'E08 — Estabilização Hypercare'!$F105="✔ Concluído",'E08 — Estabilização Hypercare'!$G105="✔ Concluído",OR('E08 — Estabilização Hypercare'!$H105="✔ Concluído",'E08 — Estabilização Hypercare'!$H105="N/A"),'E08 — Estabilização Hypercare'!$I105="✔ Concluído",'E08 — Estabilização Hypercare'!$J105="✔ Concluído",OR('E08 — Estabilização Hypercare'!$N105="✅ Estável — Demanda Encerrada",AND('E08 — Estabilização Hypercare'!$N105="🆕 Evolução Identificada — Nova Demanda Aberta",'E08 — Estabilização Hypercare'!$U105&lt;&gt;""))),"Concluído",IF(OR(COUNTIF('E08 — Estabilização Hypercare'!$E105:$J105,"✔ Concluído")&gt;0,COUNTIF('E08 — Estabilização Hypercare'!$E105:$J105,"🔄 Em andamento")&gt;0,'E08 — Estabilização Hypercare'!$N105&lt;&gt;""),"Em andamento","Não iniciado")))))</f>
        <v/>
      </c>
      <c r="M123" s="236" t="str" cm="1">
        <f t="array" ref="M123">IF(B123="","",_xlfn.IFS(E123&lt;&gt;"Concluído","E1 — Solicitação",F123&lt;&gt;"Concluído","E2 — Triagem",G123&lt;&gt;"Concluído","E3 — Levantamento ⚠",H123&lt;&gt;"Concluído","E4 — Execução",I123&lt;&gt;"Concluído","E5 — Validação ⚠",AND(J123&lt;&gt;"Concluído",J123&lt;&gt;"N/A"),"E6 — Ajustes",K123&lt;&gt;"Concluído","E7 — Entrega",L123&lt;&gt;"Concluído","E08 — Estabilização / Hypercare",TRUE,"✔ Fluxo concluído"))</f>
        <v/>
      </c>
      <c r="N123" s="237" t="str">
        <f t="shared" si="1"/>
        <v/>
      </c>
      <c r="O123" s="238"/>
    </row>
    <row r="124" spans="2:15" ht="15" customHeight="1" x14ac:dyDescent="0.35">
      <c r="B124" s="234" t="str">
        <f>IF(Lançamentos!$B101="","",Lançamentos!$B101)</f>
        <v/>
      </c>
      <c r="C124" s="235" t="str">
        <f>IF($B124="","",Lançamentos!$J101)</f>
        <v/>
      </c>
      <c r="D124" s="235" t="str">
        <f>IF($B124="","",Lançamentos!$H101)</f>
        <v/>
      </c>
      <c r="E124" s="234" t="str">
        <f>IF($B124="","",IF(COUNTIF(Lançamentos!$B$3:$B$1001,$B124)=0,"Bloqueado",IF(COUNTIF('E1 — Solicitação'!$E106:$L106,"⛔ Bloqueado")&gt;0,"Bloqueado",IF(COUNTIF('E1 — Solicitação'!$E106:$L106,"N/A")=8,"Bloqueado",IF(COUNTIF('E1 — Solicitação'!$E106:$L106,"✔ Concluído")+COUNTIF('E1 — Solicitação'!$E106:$L106,"N/A")=8,"Concluído",IF(COUNTIF('E1 — Solicitação'!$E106:$L106,"✔ Concluído")+COUNTIF('E1 — Solicitação'!$E106:$L106,"🔄 Em andamento")&gt;0,"Em andamento","Não iniciado"))))))</f>
        <v/>
      </c>
      <c r="F124" s="234" t="str">
        <f>IF($B124="","",IF($E124&lt;&gt;"Concluído","Não iniciado",IF(COUNTIF(Lançamentos!$B$3:$B$1001,$B124)=0,"Bloqueado",IF('E2 — Triagem'!$D106="","Bloqueado",IF(COUNTIF('E2 — Triagem'!$E106:$L106,"N/A")=8,"Bloqueado",IF(COUNTIF('E2 — Triagem'!$E106:$L106,"⛔ Bloqueado")&gt;0,"Bloqueado",IF(COUNTIF('E2 — Triagem'!$E106:$L106,"✔ Concluído")+COUNTIF('E2 — Triagem'!$E106:$L106,"N/A")=8,"Concluído",IF(COUNTIF('E2 — Triagem'!$E106:$L106,"✔ Concluído")+COUNTIF('E2 — Triagem'!$E106:$L106,"🔄 Em andamento")&gt;0,"Em andamento","Não iniciado"))))))))</f>
        <v/>
      </c>
      <c r="G124" s="234" t="str">
        <f>IF($B124="","",IF($F124&lt;&gt;"Concluído","Não iniciado",IF(COUNTIF(Lançamentos!$B$3:$B$1001,$B124)=0,"Bloqueado",IF('E3 — Levantamento'!$D106="","Bloqueado",IF(COUNTIF('E3 — Levantamento'!$E106:$I106,"⛔ Bloqueado")&gt;0,"Bloqueado",IF('E3 — Levantamento'!$I106="N/A","Bloqueado",IF(COUNTIF('E3 — Levantamento'!$E106:$I106,"✔ Concluído")=5,"Concluído",IF(COUNTIF('E3 — Levantamento'!$E106:$I106,"✔ Concluído")+COUNTIF('E3 — Levantamento'!$E106:$I106,"🔄 Em andamento")&gt;0,"Em andamento","Não iniciado"))))))))</f>
        <v/>
      </c>
      <c r="H124" s="234" t="str">
        <f>IF($B124="","",IF($G124&lt;&gt;"Concluído","Não iniciado",IF(COUNTIF(Lançamentos!$B$3:$B$1001,$B124)=0,"Bloqueado",IF('E4 — Execução'!$D106="","Bloqueado",IF(COUNTIF('E4 — Execução'!$E106:$K106,"⛔ Bloqueado")&gt;0,"Bloqueado",IF(COUNTIF('E4 — Execução'!$E106:$K106,"✔ Concluído")=7,"Concluído",IF(COUNTIF('E4 — Execução'!$E106:$K106,"✔ Concluído")+COUNTIF('E4 — Execução'!$E106:$K106,"🔄 Em andamento")&gt;0,"Em andamento","Não iniciado")))))))</f>
        <v/>
      </c>
      <c r="I124" s="234" t="str">
        <f>IF($B124="","",IF($H124&lt;&gt;"Concluído","Não iniciado",IF(COUNTIF(Lançamentos!$B$3:$B$1001,$B124)=0,"Bloqueado",IF('E5 — Validação'!$D106="","Bloqueado",IF(COUNTIF('E5 — Validação'!$E106:$I106,"⛔ Bloqueado")&gt;0,"Bloqueado",IF('E5 — Validação'!$I106="N/A","Bloqueado",IF(AND('E5 — Validação'!$E106="✔ Concluído",'E5 — Validação'!$F106="✔ Concluído",OR('E5 — Validação'!$G106="✔ Concluído",'E5 — Validação'!$G106="N/A"),'E5 — Validação'!$H106="✔ Concluído",'E5 — Validação'!$I106="✔ Concluído"),"Concluído",IF(COUNTIF('E5 — Validação'!$E106:$I106,"✔ Concluído")+COUNTIF('E5 — Validação'!$E106:$I106,"🔄 Em andamento")&gt;0,"Em andamento","Não iniciado"))))))))</f>
        <v/>
      </c>
      <c r="J124" s="234" t="str">
        <f>IF($B124="","",IF($I124&lt;&gt;"Concluído","Não iniciado",IF('E6 — Ajustes'!$N106="Não","N/A",IF(COUNTIF(Lançamentos!$B$3:$B$1001,$B124)=0,"Bloqueado",IF('E6 — Ajustes'!$D106="","Bloqueado",IF(COUNTIF('E6 — Ajustes'!$E106:$J106,"⛔ Bloqueado")&gt;0,"Bloqueado",IF(AND('E6 — Ajustes'!$E106="✔ Concluído",'E6 — Ajustes'!$F106="✔ Concluído",'E6 — Ajustes'!$G106="✔ Concluído",'E6 — Ajustes'!$H106="✔ Concluído",OR('E6 — Ajustes'!$I106="✔ Concluído",'E6 — Ajustes'!$I106="N/A"),'E6 — Ajustes'!$J106="✔ Concluído"),"Concluído",IF(COUNTIF('E6 — Ajustes'!$E106:$J106,"✔ Concluído")+COUNTIF('E6 — Ajustes'!$E106:$J106,"🔄 Em andamento")&gt;0,"Em andamento","Não iniciado"))))))))</f>
        <v/>
      </c>
      <c r="K124" s="234" t="str">
        <f>IF($B124="","",IF($I124&lt;&gt;"Concluído","Não iniciado",IF(AND($J124&lt;&gt;"Concluído",$J124&lt;&gt;"N/A"),"Não iniciado",IF(COUNTIF(Lançamentos!$B$3:$B$1001,$B124)=0,"Bloqueado",IF('E7 — Entrega'!$D106="","Bloqueado",IF(COUNTIF('E7 — Entrega'!$E106:$H106,"⛔ Bloqueado")&gt;0,"Bloqueado",IF(COUNTIF('E7 — Entrega'!$E106:$H106,"✔ Concluído")=4,"Concluído",IF(COUNTIF('E7 — Entrega'!$E106:$H106,"✔ Concluído")+COUNTIF('E7 — Entrega'!$E106:$H106,"🔄 Em andamento")&gt;0,"Em andamento","Não iniciado"))))))))</f>
        <v/>
      </c>
      <c r="L124" s="234" t="str">
        <f>IF($B124="","",IF($K124&lt;&gt;"Concluído","Não iniciado",IF(OR(COUNTIF('E08 — Estabilização Hypercare'!$E106:$J106,"⛔ Bloqueado")&gt;0,'E08 — Estabilização Hypercare'!$N106="⛔ Incidente Crítico — Encerramento Bloqueado",AND('E08 — Estabilização Hypercare'!$N106="🆕 Evolução Identificada — Nova Demanda Aberta",'E08 — Estabilização Hypercare'!$U106="")),"Bloqueado",IF(AND('E08 — Estabilização Hypercare'!$E106="✔ Concluído",'E08 — Estabilização Hypercare'!$F106="✔ Concluído",'E08 — Estabilização Hypercare'!$G106="✔ Concluído",OR('E08 — Estabilização Hypercare'!$H106="✔ Concluído",'E08 — Estabilização Hypercare'!$H106="N/A"),'E08 — Estabilização Hypercare'!$I106="✔ Concluído",'E08 — Estabilização Hypercare'!$J106="✔ Concluído",OR('E08 — Estabilização Hypercare'!$N106="✅ Estável — Demanda Encerrada",AND('E08 — Estabilização Hypercare'!$N106="🆕 Evolução Identificada — Nova Demanda Aberta",'E08 — Estabilização Hypercare'!$U106&lt;&gt;""))),"Concluído",IF(OR(COUNTIF('E08 — Estabilização Hypercare'!$E106:$J106,"✔ Concluído")&gt;0,COUNTIF('E08 — Estabilização Hypercare'!$E106:$J106,"🔄 Em andamento")&gt;0,'E08 — Estabilização Hypercare'!$N106&lt;&gt;""),"Em andamento","Não iniciado")))))</f>
        <v/>
      </c>
      <c r="M124" s="236" t="str" cm="1">
        <f t="array" ref="M124">IF(B124="","",_xlfn.IFS(E124&lt;&gt;"Concluído","E1 — Solicitação",F124&lt;&gt;"Concluído","E2 — Triagem",G124&lt;&gt;"Concluído","E3 — Levantamento ⚠",H124&lt;&gt;"Concluído","E4 — Execução",I124&lt;&gt;"Concluído","E5 — Validação ⚠",AND(J124&lt;&gt;"Concluído",J124&lt;&gt;"N/A"),"E6 — Ajustes",K124&lt;&gt;"Concluído","E7 — Entrega",L124&lt;&gt;"Concluído","E08 — Estabilização / Hypercare",TRUE,"✔ Fluxo concluído"))</f>
        <v/>
      </c>
      <c r="N124" s="237" t="str">
        <f t="shared" si="1"/>
        <v/>
      </c>
      <c r="O124" s="238"/>
    </row>
    <row r="125" spans="2:15" ht="15" customHeight="1" x14ac:dyDescent="0.35">
      <c r="B125" s="234" t="str">
        <f>IF(Lançamentos!$B102="","",Lançamentos!$B102)</f>
        <v/>
      </c>
      <c r="C125" s="235" t="str">
        <f>IF($B125="","",Lançamentos!$J102)</f>
        <v/>
      </c>
      <c r="D125" s="235" t="str">
        <f>IF($B125="","",Lançamentos!$H102)</f>
        <v/>
      </c>
      <c r="E125" s="234" t="str">
        <f>IF($B125="","",IF(COUNTIF(Lançamentos!$B$3:$B$1001,$B125)=0,"Bloqueado",IF(COUNTIF('E1 — Solicitação'!$E107:$L107,"⛔ Bloqueado")&gt;0,"Bloqueado",IF(COUNTIF('E1 — Solicitação'!$E107:$L107,"N/A")=8,"Bloqueado",IF(COUNTIF('E1 — Solicitação'!$E107:$L107,"✔ Concluído")+COUNTIF('E1 — Solicitação'!$E107:$L107,"N/A")=8,"Concluído",IF(COUNTIF('E1 — Solicitação'!$E107:$L107,"✔ Concluído")+COUNTIF('E1 — Solicitação'!$E107:$L107,"🔄 Em andamento")&gt;0,"Em andamento","Não iniciado"))))))</f>
        <v/>
      </c>
      <c r="F125" s="234" t="str">
        <f>IF($B125="","",IF($E125&lt;&gt;"Concluído","Não iniciado",IF(COUNTIF(Lançamentos!$B$3:$B$1001,$B125)=0,"Bloqueado",IF('E2 — Triagem'!$D107="","Bloqueado",IF(COUNTIF('E2 — Triagem'!$E107:$L107,"N/A")=8,"Bloqueado",IF(COUNTIF('E2 — Triagem'!$E107:$L107,"⛔ Bloqueado")&gt;0,"Bloqueado",IF(COUNTIF('E2 — Triagem'!$E107:$L107,"✔ Concluído")+COUNTIF('E2 — Triagem'!$E107:$L107,"N/A")=8,"Concluído",IF(COUNTIF('E2 — Triagem'!$E107:$L107,"✔ Concluído")+COUNTIF('E2 — Triagem'!$E107:$L107,"🔄 Em andamento")&gt;0,"Em andamento","Não iniciado"))))))))</f>
        <v/>
      </c>
      <c r="G125" s="234" t="str">
        <f>IF($B125="","",IF($F125&lt;&gt;"Concluído","Não iniciado",IF(COUNTIF(Lançamentos!$B$3:$B$1001,$B125)=0,"Bloqueado",IF('E3 — Levantamento'!$D107="","Bloqueado",IF(COUNTIF('E3 — Levantamento'!$E107:$I107,"⛔ Bloqueado")&gt;0,"Bloqueado",IF('E3 — Levantamento'!$I107="N/A","Bloqueado",IF(COUNTIF('E3 — Levantamento'!$E107:$I107,"✔ Concluído")=5,"Concluído",IF(COUNTIF('E3 — Levantamento'!$E107:$I107,"✔ Concluído")+COUNTIF('E3 — Levantamento'!$E107:$I107,"🔄 Em andamento")&gt;0,"Em andamento","Não iniciado"))))))))</f>
        <v/>
      </c>
      <c r="H125" s="234" t="str">
        <f>IF($B125="","",IF($G125&lt;&gt;"Concluído","Não iniciado",IF(COUNTIF(Lançamentos!$B$3:$B$1001,$B125)=0,"Bloqueado",IF('E4 — Execução'!$D107="","Bloqueado",IF(COUNTIF('E4 — Execução'!$E107:$K107,"⛔ Bloqueado")&gt;0,"Bloqueado",IF(COUNTIF('E4 — Execução'!$E107:$K107,"✔ Concluído")=7,"Concluído",IF(COUNTIF('E4 — Execução'!$E107:$K107,"✔ Concluído")+COUNTIF('E4 — Execução'!$E107:$K107,"🔄 Em andamento")&gt;0,"Em andamento","Não iniciado")))))))</f>
        <v/>
      </c>
      <c r="I125" s="234" t="str">
        <f>IF($B125="","",IF($H125&lt;&gt;"Concluído","Não iniciado",IF(COUNTIF(Lançamentos!$B$3:$B$1001,$B125)=0,"Bloqueado",IF('E5 — Validação'!$D107="","Bloqueado",IF(COUNTIF('E5 — Validação'!$E107:$I107,"⛔ Bloqueado")&gt;0,"Bloqueado",IF('E5 — Validação'!$I107="N/A","Bloqueado",IF(AND('E5 — Validação'!$E107="✔ Concluído",'E5 — Validação'!$F107="✔ Concluído",OR('E5 — Validação'!$G107="✔ Concluído",'E5 — Validação'!$G107="N/A"),'E5 — Validação'!$H107="✔ Concluído",'E5 — Validação'!$I107="✔ Concluído"),"Concluído",IF(COUNTIF('E5 — Validação'!$E107:$I107,"✔ Concluído")+COUNTIF('E5 — Validação'!$E107:$I107,"🔄 Em andamento")&gt;0,"Em andamento","Não iniciado"))))))))</f>
        <v/>
      </c>
      <c r="J125" s="234" t="str">
        <f>IF($B125="","",IF($I125&lt;&gt;"Concluído","Não iniciado",IF('E6 — Ajustes'!$N107="Não","N/A",IF(COUNTIF(Lançamentos!$B$3:$B$1001,$B125)=0,"Bloqueado",IF('E6 — Ajustes'!$D107="","Bloqueado",IF(COUNTIF('E6 — Ajustes'!$E107:$J107,"⛔ Bloqueado")&gt;0,"Bloqueado",IF(AND('E6 — Ajustes'!$E107="✔ Concluído",'E6 — Ajustes'!$F107="✔ Concluído",'E6 — Ajustes'!$G107="✔ Concluído",'E6 — Ajustes'!$H107="✔ Concluído",OR('E6 — Ajustes'!$I107="✔ Concluído",'E6 — Ajustes'!$I107="N/A"),'E6 — Ajustes'!$J107="✔ Concluído"),"Concluído",IF(COUNTIF('E6 — Ajustes'!$E107:$J107,"✔ Concluído")+COUNTIF('E6 — Ajustes'!$E107:$J107,"🔄 Em andamento")&gt;0,"Em andamento","Não iniciado"))))))))</f>
        <v/>
      </c>
      <c r="K125" s="234" t="str">
        <f>IF($B125="","",IF($I125&lt;&gt;"Concluído","Não iniciado",IF(AND($J125&lt;&gt;"Concluído",$J125&lt;&gt;"N/A"),"Não iniciado",IF(COUNTIF(Lançamentos!$B$3:$B$1001,$B125)=0,"Bloqueado",IF('E7 — Entrega'!$D107="","Bloqueado",IF(COUNTIF('E7 — Entrega'!$E107:$H107,"⛔ Bloqueado")&gt;0,"Bloqueado",IF(COUNTIF('E7 — Entrega'!$E107:$H107,"✔ Concluído")=4,"Concluído",IF(COUNTIF('E7 — Entrega'!$E107:$H107,"✔ Concluído")+COUNTIF('E7 — Entrega'!$E107:$H107,"🔄 Em andamento")&gt;0,"Em andamento","Não iniciado"))))))))</f>
        <v/>
      </c>
      <c r="L125" s="234" t="str">
        <f>IF($B125="","",IF($K125&lt;&gt;"Concluído","Não iniciado",IF(OR(COUNTIF('E08 — Estabilização Hypercare'!$E107:$J107,"⛔ Bloqueado")&gt;0,'E08 — Estabilização Hypercare'!$N107="⛔ Incidente Crítico — Encerramento Bloqueado",AND('E08 — Estabilização Hypercare'!$N107="🆕 Evolução Identificada — Nova Demanda Aberta",'E08 — Estabilização Hypercare'!$U107="")),"Bloqueado",IF(AND('E08 — Estabilização Hypercare'!$E107="✔ Concluído",'E08 — Estabilização Hypercare'!$F107="✔ Concluído",'E08 — Estabilização Hypercare'!$G107="✔ Concluído",OR('E08 — Estabilização Hypercare'!$H107="✔ Concluído",'E08 — Estabilização Hypercare'!$H107="N/A"),'E08 — Estabilização Hypercare'!$I107="✔ Concluído",'E08 — Estabilização Hypercare'!$J107="✔ Concluído",OR('E08 — Estabilização Hypercare'!$N107="✅ Estável — Demanda Encerrada",AND('E08 — Estabilização Hypercare'!$N107="🆕 Evolução Identificada — Nova Demanda Aberta",'E08 — Estabilização Hypercare'!$U107&lt;&gt;""))),"Concluído",IF(OR(COUNTIF('E08 — Estabilização Hypercare'!$E107:$J107,"✔ Concluído")&gt;0,COUNTIF('E08 — Estabilização Hypercare'!$E107:$J107,"🔄 Em andamento")&gt;0,'E08 — Estabilização Hypercare'!$N107&lt;&gt;""),"Em andamento","Não iniciado")))))</f>
        <v/>
      </c>
      <c r="M125" s="236" t="str" cm="1">
        <f t="array" ref="M125">IF(B125="","",_xlfn.IFS(E125&lt;&gt;"Concluído","E1 — Solicitação",F125&lt;&gt;"Concluído","E2 — Triagem",G125&lt;&gt;"Concluído","E3 — Levantamento ⚠",H125&lt;&gt;"Concluído","E4 — Execução",I125&lt;&gt;"Concluído","E5 — Validação ⚠",AND(J125&lt;&gt;"Concluído",J125&lt;&gt;"N/A"),"E6 — Ajustes",K125&lt;&gt;"Concluído","E7 — Entrega",L125&lt;&gt;"Concluído","E08 — Estabilização / Hypercare",TRUE,"✔ Fluxo concluído"))</f>
        <v/>
      </c>
      <c r="N125" s="237" t="str">
        <f t="shared" si="1"/>
        <v/>
      </c>
      <c r="O125" s="238"/>
    </row>
    <row r="126" spans="2:15" ht="15" customHeight="1" x14ac:dyDescent="0.35">
      <c r="B126" s="234" t="str">
        <f>IF(Lançamentos!$B103="","",Lançamentos!$B103)</f>
        <v/>
      </c>
      <c r="C126" s="235" t="str">
        <f>IF($B126="","",Lançamentos!$J103)</f>
        <v/>
      </c>
      <c r="D126" s="235" t="str">
        <f>IF($B126="","",Lançamentos!$H103)</f>
        <v/>
      </c>
      <c r="E126" s="234" t="str">
        <f>IF($B126="","",IF(COUNTIF(Lançamentos!$B$3:$B$1001,$B126)=0,"Bloqueado",IF(COUNTIF('E1 — Solicitação'!$E108:$L108,"⛔ Bloqueado")&gt;0,"Bloqueado",IF(COUNTIF('E1 — Solicitação'!$E108:$L108,"N/A")=8,"Bloqueado",IF(COUNTIF('E1 — Solicitação'!$E108:$L108,"✔ Concluído")+COUNTIF('E1 — Solicitação'!$E108:$L108,"N/A")=8,"Concluído",IF(COUNTIF('E1 — Solicitação'!$E108:$L108,"✔ Concluído")+COUNTIF('E1 — Solicitação'!$E108:$L108,"🔄 Em andamento")&gt;0,"Em andamento","Não iniciado"))))))</f>
        <v/>
      </c>
      <c r="F126" s="234" t="str">
        <f>IF($B126="","",IF($E126&lt;&gt;"Concluído","Não iniciado",IF(COUNTIF(Lançamentos!$B$3:$B$1001,$B126)=0,"Bloqueado",IF('E2 — Triagem'!$D108="","Bloqueado",IF(COUNTIF('E2 — Triagem'!$E108:$L108,"N/A")=8,"Bloqueado",IF(COUNTIF('E2 — Triagem'!$E108:$L108,"⛔ Bloqueado")&gt;0,"Bloqueado",IF(COUNTIF('E2 — Triagem'!$E108:$L108,"✔ Concluído")+COUNTIF('E2 — Triagem'!$E108:$L108,"N/A")=8,"Concluído",IF(COUNTIF('E2 — Triagem'!$E108:$L108,"✔ Concluído")+COUNTIF('E2 — Triagem'!$E108:$L108,"🔄 Em andamento")&gt;0,"Em andamento","Não iniciado"))))))))</f>
        <v/>
      </c>
      <c r="G126" s="234" t="str">
        <f>IF($B126="","",IF($F126&lt;&gt;"Concluído","Não iniciado",IF(COUNTIF(Lançamentos!$B$3:$B$1001,$B126)=0,"Bloqueado",IF('E3 — Levantamento'!$D108="","Bloqueado",IF(COUNTIF('E3 — Levantamento'!$E108:$I108,"⛔ Bloqueado")&gt;0,"Bloqueado",IF('E3 — Levantamento'!$I108="N/A","Bloqueado",IF(COUNTIF('E3 — Levantamento'!$E108:$I108,"✔ Concluído")=5,"Concluído",IF(COUNTIF('E3 — Levantamento'!$E108:$I108,"✔ Concluído")+COUNTIF('E3 — Levantamento'!$E108:$I108,"🔄 Em andamento")&gt;0,"Em andamento","Não iniciado"))))))))</f>
        <v/>
      </c>
      <c r="H126" s="234" t="str">
        <f>IF($B126="","",IF($G126&lt;&gt;"Concluído","Não iniciado",IF(COUNTIF(Lançamentos!$B$3:$B$1001,$B126)=0,"Bloqueado",IF('E4 — Execução'!$D108="","Bloqueado",IF(COUNTIF('E4 — Execução'!$E108:$K108,"⛔ Bloqueado")&gt;0,"Bloqueado",IF(COUNTIF('E4 — Execução'!$E108:$K108,"✔ Concluído")=7,"Concluído",IF(COUNTIF('E4 — Execução'!$E108:$K108,"✔ Concluído")+COUNTIF('E4 — Execução'!$E108:$K108,"🔄 Em andamento")&gt;0,"Em andamento","Não iniciado")))))))</f>
        <v/>
      </c>
      <c r="I126" s="234" t="str">
        <f>IF($B126="","",IF($H126&lt;&gt;"Concluído","Não iniciado",IF(COUNTIF(Lançamentos!$B$3:$B$1001,$B126)=0,"Bloqueado",IF('E5 — Validação'!$D108="","Bloqueado",IF(COUNTIF('E5 — Validação'!$E108:$I108,"⛔ Bloqueado")&gt;0,"Bloqueado",IF('E5 — Validação'!$I108="N/A","Bloqueado",IF(AND('E5 — Validação'!$E108="✔ Concluído",'E5 — Validação'!$F108="✔ Concluído",OR('E5 — Validação'!$G108="✔ Concluído",'E5 — Validação'!$G108="N/A"),'E5 — Validação'!$H108="✔ Concluído",'E5 — Validação'!$I108="✔ Concluído"),"Concluído",IF(COUNTIF('E5 — Validação'!$E108:$I108,"✔ Concluído")+COUNTIF('E5 — Validação'!$E108:$I108,"🔄 Em andamento")&gt;0,"Em andamento","Não iniciado"))))))))</f>
        <v/>
      </c>
      <c r="J126" s="234" t="str">
        <f>IF($B126="","",IF($I126&lt;&gt;"Concluído","Não iniciado",IF('E6 — Ajustes'!$N108="Não","N/A",IF(COUNTIF(Lançamentos!$B$3:$B$1001,$B126)=0,"Bloqueado",IF('E6 — Ajustes'!$D108="","Bloqueado",IF(COUNTIF('E6 — Ajustes'!$E108:$J108,"⛔ Bloqueado")&gt;0,"Bloqueado",IF(AND('E6 — Ajustes'!$E108="✔ Concluído",'E6 — Ajustes'!$F108="✔ Concluído",'E6 — Ajustes'!$G108="✔ Concluído",'E6 — Ajustes'!$H108="✔ Concluído",OR('E6 — Ajustes'!$I108="✔ Concluído",'E6 — Ajustes'!$I108="N/A"),'E6 — Ajustes'!$J108="✔ Concluído"),"Concluído",IF(COUNTIF('E6 — Ajustes'!$E108:$J108,"✔ Concluído")+COUNTIF('E6 — Ajustes'!$E108:$J108,"🔄 Em andamento")&gt;0,"Em andamento","Não iniciado"))))))))</f>
        <v/>
      </c>
      <c r="K126" s="234" t="str">
        <f>IF($B126="","",IF($I126&lt;&gt;"Concluído","Não iniciado",IF(AND($J126&lt;&gt;"Concluído",$J126&lt;&gt;"N/A"),"Não iniciado",IF(COUNTIF(Lançamentos!$B$3:$B$1001,$B126)=0,"Bloqueado",IF('E7 — Entrega'!$D108="","Bloqueado",IF(COUNTIF('E7 — Entrega'!$E108:$H108,"⛔ Bloqueado")&gt;0,"Bloqueado",IF(COUNTIF('E7 — Entrega'!$E108:$H108,"✔ Concluído")=4,"Concluído",IF(COUNTIF('E7 — Entrega'!$E108:$H108,"✔ Concluído")+COUNTIF('E7 — Entrega'!$E108:$H108,"🔄 Em andamento")&gt;0,"Em andamento","Não iniciado"))))))))</f>
        <v/>
      </c>
      <c r="L126" s="234" t="str">
        <f>IF($B126="","",IF($K126&lt;&gt;"Concluído","Não iniciado",IF(OR(COUNTIF('E08 — Estabilização Hypercare'!$E108:$J108,"⛔ Bloqueado")&gt;0,'E08 — Estabilização Hypercare'!$N108="⛔ Incidente Crítico — Encerramento Bloqueado",AND('E08 — Estabilização Hypercare'!$N108="🆕 Evolução Identificada — Nova Demanda Aberta",'E08 — Estabilização Hypercare'!$U108="")),"Bloqueado",IF(AND('E08 — Estabilização Hypercare'!$E108="✔ Concluído",'E08 — Estabilização Hypercare'!$F108="✔ Concluído",'E08 — Estabilização Hypercare'!$G108="✔ Concluído",OR('E08 — Estabilização Hypercare'!$H108="✔ Concluído",'E08 — Estabilização Hypercare'!$H108="N/A"),'E08 — Estabilização Hypercare'!$I108="✔ Concluído",'E08 — Estabilização Hypercare'!$J108="✔ Concluído",OR('E08 — Estabilização Hypercare'!$N108="✅ Estável — Demanda Encerrada",AND('E08 — Estabilização Hypercare'!$N108="🆕 Evolução Identificada — Nova Demanda Aberta",'E08 — Estabilização Hypercare'!$U108&lt;&gt;""))),"Concluído",IF(OR(COUNTIF('E08 — Estabilização Hypercare'!$E108:$J108,"✔ Concluído")&gt;0,COUNTIF('E08 — Estabilização Hypercare'!$E108:$J108,"🔄 Em andamento")&gt;0,'E08 — Estabilização Hypercare'!$N108&lt;&gt;""),"Em andamento","Não iniciado")))))</f>
        <v/>
      </c>
      <c r="M126" s="236" t="str" cm="1">
        <f t="array" ref="M126">IF(B126="","",_xlfn.IFS(E126&lt;&gt;"Concluído","E1 — Solicitação",F126&lt;&gt;"Concluído","E2 — Triagem",G126&lt;&gt;"Concluído","E3 — Levantamento ⚠",H126&lt;&gt;"Concluído","E4 — Execução",I126&lt;&gt;"Concluído","E5 — Validação ⚠",AND(J126&lt;&gt;"Concluído",J126&lt;&gt;"N/A"),"E6 — Ajustes",K126&lt;&gt;"Concluído","E7 — Entrega",L126&lt;&gt;"Concluído","E08 — Estabilização / Hypercare",TRUE,"✔ Fluxo concluído"))</f>
        <v/>
      </c>
      <c r="N126" s="237" t="str">
        <f t="shared" si="1"/>
        <v/>
      </c>
      <c r="O126" s="238"/>
    </row>
    <row r="127" spans="2:15" ht="15" customHeight="1" x14ac:dyDescent="0.35">
      <c r="B127" s="234" t="str">
        <f>IF(Lançamentos!$B104="","",Lançamentos!$B104)</f>
        <v/>
      </c>
      <c r="C127" s="235" t="str">
        <f>IF($B127="","",Lançamentos!$J104)</f>
        <v/>
      </c>
      <c r="D127" s="235" t="str">
        <f>IF($B127="","",Lançamentos!$H104)</f>
        <v/>
      </c>
      <c r="E127" s="234" t="str">
        <f>IF($B127="","",IF(COUNTIF(Lançamentos!$B$3:$B$1001,$B127)=0,"Bloqueado",IF(COUNTIF('E1 — Solicitação'!$E109:$L109,"⛔ Bloqueado")&gt;0,"Bloqueado",IF(COUNTIF('E1 — Solicitação'!$E109:$L109,"N/A")=8,"Bloqueado",IF(COUNTIF('E1 — Solicitação'!$E109:$L109,"✔ Concluído")+COUNTIF('E1 — Solicitação'!$E109:$L109,"N/A")=8,"Concluído",IF(COUNTIF('E1 — Solicitação'!$E109:$L109,"✔ Concluído")+COUNTIF('E1 — Solicitação'!$E109:$L109,"🔄 Em andamento")&gt;0,"Em andamento","Não iniciado"))))))</f>
        <v/>
      </c>
      <c r="F127" s="234" t="str">
        <f>IF($B127="","",IF($E127&lt;&gt;"Concluído","Não iniciado",IF(COUNTIF(Lançamentos!$B$3:$B$1001,$B127)=0,"Bloqueado",IF('E2 — Triagem'!$D109="","Bloqueado",IF(COUNTIF('E2 — Triagem'!$E109:$L109,"N/A")=8,"Bloqueado",IF(COUNTIF('E2 — Triagem'!$E109:$L109,"⛔ Bloqueado")&gt;0,"Bloqueado",IF(COUNTIF('E2 — Triagem'!$E109:$L109,"✔ Concluído")+COUNTIF('E2 — Triagem'!$E109:$L109,"N/A")=8,"Concluído",IF(COUNTIF('E2 — Triagem'!$E109:$L109,"✔ Concluído")+COUNTIF('E2 — Triagem'!$E109:$L109,"🔄 Em andamento")&gt;0,"Em andamento","Não iniciado"))))))))</f>
        <v/>
      </c>
      <c r="G127" s="234" t="str">
        <f>IF($B127="","",IF($F127&lt;&gt;"Concluído","Não iniciado",IF(COUNTIF(Lançamentos!$B$3:$B$1001,$B127)=0,"Bloqueado",IF('E3 — Levantamento'!$D109="","Bloqueado",IF(COUNTIF('E3 — Levantamento'!$E109:$I109,"⛔ Bloqueado")&gt;0,"Bloqueado",IF('E3 — Levantamento'!$I109="N/A","Bloqueado",IF(COUNTIF('E3 — Levantamento'!$E109:$I109,"✔ Concluído")=5,"Concluído",IF(COUNTIF('E3 — Levantamento'!$E109:$I109,"✔ Concluído")+COUNTIF('E3 — Levantamento'!$E109:$I109,"🔄 Em andamento")&gt;0,"Em andamento","Não iniciado"))))))))</f>
        <v/>
      </c>
      <c r="H127" s="234" t="str">
        <f>IF($B127="","",IF($G127&lt;&gt;"Concluído","Não iniciado",IF(COUNTIF(Lançamentos!$B$3:$B$1001,$B127)=0,"Bloqueado",IF('E4 — Execução'!$D109="","Bloqueado",IF(COUNTIF('E4 — Execução'!$E109:$K109,"⛔ Bloqueado")&gt;0,"Bloqueado",IF(COUNTIF('E4 — Execução'!$E109:$K109,"✔ Concluído")=7,"Concluído",IF(COUNTIF('E4 — Execução'!$E109:$K109,"✔ Concluído")+COUNTIF('E4 — Execução'!$E109:$K109,"🔄 Em andamento")&gt;0,"Em andamento","Não iniciado")))))))</f>
        <v/>
      </c>
      <c r="I127" s="234" t="str">
        <f>IF($B127="","",IF($H127&lt;&gt;"Concluído","Não iniciado",IF(COUNTIF(Lançamentos!$B$3:$B$1001,$B127)=0,"Bloqueado",IF('E5 — Validação'!$D109="","Bloqueado",IF(COUNTIF('E5 — Validação'!$E109:$I109,"⛔ Bloqueado")&gt;0,"Bloqueado",IF('E5 — Validação'!$I109="N/A","Bloqueado",IF(AND('E5 — Validação'!$E109="✔ Concluído",'E5 — Validação'!$F109="✔ Concluído",OR('E5 — Validação'!$G109="✔ Concluído",'E5 — Validação'!$G109="N/A"),'E5 — Validação'!$H109="✔ Concluído",'E5 — Validação'!$I109="✔ Concluído"),"Concluído",IF(COUNTIF('E5 — Validação'!$E109:$I109,"✔ Concluído")+COUNTIF('E5 — Validação'!$E109:$I109,"🔄 Em andamento")&gt;0,"Em andamento","Não iniciado"))))))))</f>
        <v/>
      </c>
      <c r="J127" s="234" t="str">
        <f>IF($B127="","",IF($I127&lt;&gt;"Concluído","Não iniciado",IF('E6 — Ajustes'!$N109="Não","N/A",IF(COUNTIF(Lançamentos!$B$3:$B$1001,$B127)=0,"Bloqueado",IF('E6 — Ajustes'!$D109="","Bloqueado",IF(COUNTIF('E6 — Ajustes'!$E109:$J109,"⛔ Bloqueado")&gt;0,"Bloqueado",IF(AND('E6 — Ajustes'!$E109="✔ Concluído",'E6 — Ajustes'!$F109="✔ Concluído",'E6 — Ajustes'!$G109="✔ Concluído",'E6 — Ajustes'!$H109="✔ Concluído",OR('E6 — Ajustes'!$I109="✔ Concluído",'E6 — Ajustes'!$I109="N/A"),'E6 — Ajustes'!$J109="✔ Concluído"),"Concluído",IF(COUNTIF('E6 — Ajustes'!$E109:$J109,"✔ Concluído")+COUNTIF('E6 — Ajustes'!$E109:$J109,"🔄 Em andamento")&gt;0,"Em andamento","Não iniciado"))))))))</f>
        <v/>
      </c>
      <c r="K127" s="234" t="str">
        <f>IF($B127="","",IF($I127&lt;&gt;"Concluído","Não iniciado",IF(AND($J127&lt;&gt;"Concluído",$J127&lt;&gt;"N/A"),"Não iniciado",IF(COUNTIF(Lançamentos!$B$3:$B$1001,$B127)=0,"Bloqueado",IF('E7 — Entrega'!$D109="","Bloqueado",IF(COUNTIF('E7 — Entrega'!$E109:$H109,"⛔ Bloqueado")&gt;0,"Bloqueado",IF(COUNTIF('E7 — Entrega'!$E109:$H109,"✔ Concluído")=4,"Concluído",IF(COUNTIF('E7 — Entrega'!$E109:$H109,"✔ Concluído")+COUNTIF('E7 — Entrega'!$E109:$H109,"🔄 Em andamento")&gt;0,"Em andamento","Não iniciado"))))))))</f>
        <v/>
      </c>
      <c r="L127" s="234" t="str">
        <f>IF($B127="","",IF($K127&lt;&gt;"Concluído","Não iniciado",IF(OR(COUNTIF('E08 — Estabilização Hypercare'!$E109:$J109,"⛔ Bloqueado")&gt;0,'E08 — Estabilização Hypercare'!$N109="⛔ Incidente Crítico — Encerramento Bloqueado",AND('E08 — Estabilização Hypercare'!$N109="🆕 Evolução Identificada — Nova Demanda Aberta",'E08 — Estabilização Hypercare'!$U109="")),"Bloqueado",IF(AND('E08 — Estabilização Hypercare'!$E109="✔ Concluído",'E08 — Estabilização Hypercare'!$F109="✔ Concluído",'E08 — Estabilização Hypercare'!$G109="✔ Concluído",OR('E08 — Estabilização Hypercare'!$H109="✔ Concluído",'E08 — Estabilização Hypercare'!$H109="N/A"),'E08 — Estabilização Hypercare'!$I109="✔ Concluído",'E08 — Estabilização Hypercare'!$J109="✔ Concluído",OR('E08 — Estabilização Hypercare'!$N109="✅ Estável — Demanda Encerrada",AND('E08 — Estabilização Hypercare'!$N109="🆕 Evolução Identificada — Nova Demanda Aberta",'E08 — Estabilização Hypercare'!$U109&lt;&gt;""))),"Concluído",IF(OR(COUNTIF('E08 — Estabilização Hypercare'!$E109:$J109,"✔ Concluído")&gt;0,COUNTIF('E08 — Estabilização Hypercare'!$E109:$J109,"🔄 Em andamento")&gt;0,'E08 — Estabilização Hypercare'!$N109&lt;&gt;""),"Em andamento","Não iniciado")))))</f>
        <v/>
      </c>
      <c r="M127" s="236" t="str" cm="1">
        <f t="array" ref="M127">IF(B127="","",_xlfn.IFS(E127&lt;&gt;"Concluído","E1 — Solicitação",F127&lt;&gt;"Concluído","E2 — Triagem",G127&lt;&gt;"Concluído","E3 — Levantamento ⚠",H127&lt;&gt;"Concluído","E4 — Execução",I127&lt;&gt;"Concluído","E5 — Validação ⚠",AND(J127&lt;&gt;"Concluído",J127&lt;&gt;"N/A"),"E6 — Ajustes",K127&lt;&gt;"Concluído","E7 — Entrega",L127&lt;&gt;"Concluído","E08 — Estabilização / Hypercare",TRUE,"✔ Fluxo concluído"))</f>
        <v/>
      </c>
      <c r="N127" s="237" t="str">
        <f t="shared" si="1"/>
        <v/>
      </c>
      <c r="O127" s="238"/>
    </row>
    <row r="128" spans="2:15" ht="15" customHeight="1" x14ac:dyDescent="0.35">
      <c r="B128" s="234" t="str">
        <f>IF(Lançamentos!$B105="","",Lançamentos!$B105)</f>
        <v/>
      </c>
      <c r="C128" s="235" t="str">
        <f>IF($B128="","",Lançamentos!$J105)</f>
        <v/>
      </c>
      <c r="D128" s="235" t="str">
        <f>IF($B128="","",Lançamentos!$H105)</f>
        <v/>
      </c>
      <c r="E128" s="234" t="str">
        <f>IF($B128="","",IF(COUNTIF(Lançamentos!$B$3:$B$1001,$B128)=0,"Bloqueado",IF(COUNTIF('E1 — Solicitação'!$E110:$L110,"⛔ Bloqueado")&gt;0,"Bloqueado",IF(COUNTIF('E1 — Solicitação'!$E110:$L110,"N/A")=8,"Bloqueado",IF(COUNTIF('E1 — Solicitação'!$E110:$L110,"✔ Concluído")+COUNTIF('E1 — Solicitação'!$E110:$L110,"N/A")=8,"Concluído",IF(COUNTIF('E1 — Solicitação'!$E110:$L110,"✔ Concluído")+COUNTIF('E1 — Solicitação'!$E110:$L110,"🔄 Em andamento")&gt;0,"Em andamento","Não iniciado"))))))</f>
        <v/>
      </c>
      <c r="F128" s="234" t="str">
        <f>IF($B128="","",IF($E128&lt;&gt;"Concluído","Não iniciado",IF(COUNTIF(Lançamentos!$B$3:$B$1001,$B128)=0,"Bloqueado",IF('E2 — Triagem'!$D110="","Bloqueado",IF(COUNTIF('E2 — Triagem'!$E110:$L110,"N/A")=8,"Bloqueado",IF(COUNTIF('E2 — Triagem'!$E110:$L110,"⛔ Bloqueado")&gt;0,"Bloqueado",IF(COUNTIF('E2 — Triagem'!$E110:$L110,"✔ Concluído")+COUNTIF('E2 — Triagem'!$E110:$L110,"N/A")=8,"Concluído",IF(COUNTIF('E2 — Triagem'!$E110:$L110,"✔ Concluído")+COUNTIF('E2 — Triagem'!$E110:$L110,"🔄 Em andamento")&gt;0,"Em andamento","Não iniciado"))))))))</f>
        <v/>
      </c>
      <c r="G128" s="234" t="str">
        <f>IF($B128="","",IF($F128&lt;&gt;"Concluído","Não iniciado",IF(COUNTIF(Lançamentos!$B$3:$B$1001,$B128)=0,"Bloqueado",IF('E3 — Levantamento'!$D110="","Bloqueado",IF(COUNTIF('E3 — Levantamento'!$E110:$I110,"⛔ Bloqueado")&gt;0,"Bloqueado",IF('E3 — Levantamento'!$I110="N/A","Bloqueado",IF(COUNTIF('E3 — Levantamento'!$E110:$I110,"✔ Concluído")=5,"Concluído",IF(COUNTIF('E3 — Levantamento'!$E110:$I110,"✔ Concluído")+COUNTIF('E3 — Levantamento'!$E110:$I110,"🔄 Em andamento")&gt;0,"Em andamento","Não iniciado"))))))))</f>
        <v/>
      </c>
      <c r="H128" s="234" t="str">
        <f>IF($B128="","",IF($G128&lt;&gt;"Concluído","Não iniciado",IF(COUNTIF(Lançamentos!$B$3:$B$1001,$B128)=0,"Bloqueado",IF('E4 — Execução'!$D110="","Bloqueado",IF(COUNTIF('E4 — Execução'!$E110:$K110,"⛔ Bloqueado")&gt;0,"Bloqueado",IF(COUNTIF('E4 — Execução'!$E110:$K110,"✔ Concluído")=7,"Concluído",IF(COUNTIF('E4 — Execução'!$E110:$K110,"✔ Concluído")+COUNTIF('E4 — Execução'!$E110:$K110,"🔄 Em andamento")&gt;0,"Em andamento","Não iniciado")))))))</f>
        <v/>
      </c>
      <c r="I128" s="234" t="str">
        <f>IF($B128="","",IF($H128&lt;&gt;"Concluído","Não iniciado",IF(COUNTIF(Lançamentos!$B$3:$B$1001,$B128)=0,"Bloqueado",IF('E5 — Validação'!$D110="","Bloqueado",IF(COUNTIF('E5 — Validação'!$E110:$I110,"⛔ Bloqueado")&gt;0,"Bloqueado",IF('E5 — Validação'!$I110="N/A","Bloqueado",IF(AND('E5 — Validação'!$E110="✔ Concluído",'E5 — Validação'!$F110="✔ Concluído",OR('E5 — Validação'!$G110="✔ Concluído",'E5 — Validação'!$G110="N/A"),'E5 — Validação'!$H110="✔ Concluído",'E5 — Validação'!$I110="✔ Concluído"),"Concluído",IF(COUNTIF('E5 — Validação'!$E110:$I110,"✔ Concluído")+COUNTIF('E5 — Validação'!$E110:$I110,"🔄 Em andamento")&gt;0,"Em andamento","Não iniciado"))))))))</f>
        <v/>
      </c>
      <c r="J128" s="234" t="str">
        <f>IF($B128="","",IF($I128&lt;&gt;"Concluído","Não iniciado",IF('E6 — Ajustes'!$N110="Não","N/A",IF(COUNTIF(Lançamentos!$B$3:$B$1001,$B128)=0,"Bloqueado",IF('E6 — Ajustes'!$D110="","Bloqueado",IF(COUNTIF('E6 — Ajustes'!$E110:$J110,"⛔ Bloqueado")&gt;0,"Bloqueado",IF(AND('E6 — Ajustes'!$E110="✔ Concluído",'E6 — Ajustes'!$F110="✔ Concluído",'E6 — Ajustes'!$G110="✔ Concluído",'E6 — Ajustes'!$H110="✔ Concluído",OR('E6 — Ajustes'!$I110="✔ Concluído",'E6 — Ajustes'!$I110="N/A"),'E6 — Ajustes'!$J110="✔ Concluído"),"Concluído",IF(COUNTIF('E6 — Ajustes'!$E110:$J110,"✔ Concluído")+COUNTIF('E6 — Ajustes'!$E110:$J110,"🔄 Em andamento")&gt;0,"Em andamento","Não iniciado"))))))))</f>
        <v/>
      </c>
      <c r="K128" s="234" t="str">
        <f>IF($B128="","",IF($I128&lt;&gt;"Concluído","Não iniciado",IF(AND($J128&lt;&gt;"Concluído",$J128&lt;&gt;"N/A"),"Não iniciado",IF(COUNTIF(Lançamentos!$B$3:$B$1001,$B128)=0,"Bloqueado",IF('E7 — Entrega'!$D110="","Bloqueado",IF(COUNTIF('E7 — Entrega'!$E110:$H110,"⛔ Bloqueado")&gt;0,"Bloqueado",IF(COUNTIF('E7 — Entrega'!$E110:$H110,"✔ Concluído")=4,"Concluído",IF(COUNTIF('E7 — Entrega'!$E110:$H110,"✔ Concluído")+COUNTIF('E7 — Entrega'!$E110:$H110,"🔄 Em andamento")&gt;0,"Em andamento","Não iniciado"))))))))</f>
        <v/>
      </c>
      <c r="L128" s="234" t="str">
        <f>IF($B128="","",IF($K128&lt;&gt;"Concluído","Não iniciado",IF(OR(COUNTIF('E08 — Estabilização Hypercare'!$E110:$J110,"⛔ Bloqueado")&gt;0,'E08 — Estabilização Hypercare'!$N110="⛔ Incidente Crítico — Encerramento Bloqueado",AND('E08 — Estabilização Hypercare'!$N110="🆕 Evolução Identificada — Nova Demanda Aberta",'E08 — Estabilização Hypercare'!$U110="")),"Bloqueado",IF(AND('E08 — Estabilização Hypercare'!$E110="✔ Concluído",'E08 — Estabilização Hypercare'!$F110="✔ Concluído",'E08 — Estabilização Hypercare'!$G110="✔ Concluído",OR('E08 — Estabilização Hypercare'!$H110="✔ Concluído",'E08 — Estabilização Hypercare'!$H110="N/A"),'E08 — Estabilização Hypercare'!$I110="✔ Concluído",'E08 — Estabilização Hypercare'!$J110="✔ Concluído",OR('E08 — Estabilização Hypercare'!$N110="✅ Estável — Demanda Encerrada",AND('E08 — Estabilização Hypercare'!$N110="🆕 Evolução Identificada — Nova Demanda Aberta",'E08 — Estabilização Hypercare'!$U110&lt;&gt;""))),"Concluído",IF(OR(COUNTIF('E08 — Estabilização Hypercare'!$E110:$J110,"✔ Concluído")&gt;0,COUNTIF('E08 — Estabilização Hypercare'!$E110:$J110,"🔄 Em andamento")&gt;0,'E08 — Estabilização Hypercare'!$N110&lt;&gt;""),"Em andamento","Não iniciado")))))</f>
        <v/>
      </c>
      <c r="M128" s="236" t="str" cm="1">
        <f t="array" ref="M128">IF(B128="","",_xlfn.IFS(E128&lt;&gt;"Concluído","E1 — Solicitação",F128&lt;&gt;"Concluído","E2 — Triagem",G128&lt;&gt;"Concluído","E3 — Levantamento ⚠",H128&lt;&gt;"Concluído","E4 — Execução",I128&lt;&gt;"Concluído","E5 — Validação ⚠",AND(J128&lt;&gt;"Concluído",J128&lt;&gt;"N/A"),"E6 — Ajustes",K128&lt;&gt;"Concluído","E7 — Entrega",L128&lt;&gt;"Concluído","E08 — Estabilização / Hypercare",TRUE,"✔ Fluxo concluído"))</f>
        <v/>
      </c>
      <c r="N128" s="237" t="str">
        <f t="shared" si="1"/>
        <v/>
      </c>
      <c r="O128" s="238"/>
    </row>
    <row r="129" spans="2:15" ht="15" customHeight="1" x14ac:dyDescent="0.35">
      <c r="B129" s="234" t="str">
        <f>IF(Lançamentos!$B106="","",Lançamentos!$B106)</f>
        <v/>
      </c>
      <c r="C129" s="235" t="str">
        <f>IF($B129="","",Lançamentos!$J106)</f>
        <v/>
      </c>
      <c r="D129" s="235" t="str">
        <f>IF($B129="","",Lançamentos!$H106)</f>
        <v/>
      </c>
      <c r="E129" s="234" t="str">
        <f>IF($B129="","",IF(COUNTIF(Lançamentos!$B$3:$B$1001,$B129)=0,"Bloqueado",IF(COUNTIF('E1 — Solicitação'!$E111:$L111,"⛔ Bloqueado")&gt;0,"Bloqueado",IF(COUNTIF('E1 — Solicitação'!$E111:$L111,"N/A")=8,"Bloqueado",IF(COUNTIF('E1 — Solicitação'!$E111:$L111,"✔ Concluído")+COUNTIF('E1 — Solicitação'!$E111:$L111,"N/A")=8,"Concluído",IF(COUNTIF('E1 — Solicitação'!$E111:$L111,"✔ Concluído")+COUNTIF('E1 — Solicitação'!$E111:$L111,"🔄 Em andamento")&gt;0,"Em andamento","Não iniciado"))))))</f>
        <v/>
      </c>
      <c r="F129" s="234" t="str">
        <f>IF($B129="","",IF($E129&lt;&gt;"Concluído","Não iniciado",IF(COUNTIF(Lançamentos!$B$3:$B$1001,$B129)=0,"Bloqueado",IF('E2 — Triagem'!$D111="","Bloqueado",IF(COUNTIF('E2 — Triagem'!$E111:$L111,"N/A")=8,"Bloqueado",IF(COUNTIF('E2 — Triagem'!$E111:$L111,"⛔ Bloqueado")&gt;0,"Bloqueado",IF(COUNTIF('E2 — Triagem'!$E111:$L111,"✔ Concluído")+COUNTIF('E2 — Triagem'!$E111:$L111,"N/A")=8,"Concluído",IF(COUNTIF('E2 — Triagem'!$E111:$L111,"✔ Concluído")+COUNTIF('E2 — Triagem'!$E111:$L111,"🔄 Em andamento")&gt;0,"Em andamento","Não iniciado"))))))))</f>
        <v/>
      </c>
      <c r="G129" s="234" t="str">
        <f>IF($B129="","",IF($F129&lt;&gt;"Concluído","Não iniciado",IF(COUNTIF(Lançamentos!$B$3:$B$1001,$B129)=0,"Bloqueado",IF('E3 — Levantamento'!$D111="","Bloqueado",IF(COUNTIF('E3 — Levantamento'!$E111:$I111,"⛔ Bloqueado")&gt;0,"Bloqueado",IF('E3 — Levantamento'!$I111="N/A","Bloqueado",IF(COUNTIF('E3 — Levantamento'!$E111:$I111,"✔ Concluído")=5,"Concluído",IF(COUNTIF('E3 — Levantamento'!$E111:$I111,"✔ Concluído")+COUNTIF('E3 — Levantamento'!$E111:$I111,"🔄 Em andamento")&gt;0,"Em andamento","Não iniciado"))))))))</f>
        <v/>
      </c>
      <c r="H129" s="234" t="str">
        <f>IF($B129="","",IF($G129&lt;&gt;"Concluído","Não iniciado",IF(COUNTIF(Lançamentos!$B$3:$B$1001,$B129)=0,"Bloqueado",IF('E4 — Execução'!$D111="","Bloqueado",IF(COUNTIF('E4 — Execução'!$E111:$K111,"⛔ Bloqueado")&gt;0,"Bloqueado",IF(COUNTIF('E4 — Execução'!$E111:$K111,"✔ Concluído")=7,"Concluído",IF(COUNTIF('E4 — Execução'!$E111:$K111,"✔ Concluído")+COUNTIF('E4 — Execução'!$E111:$K111,"🔄 Em andamento")&gt;0,"Em andamento","Não iniciado")))))))</f>
        <v/>
      </c>
      <c r="I129" s="234" t="str">
        <f>IF($B129="","",IF($H129&lt;&gt;"Concluído","Não iniciado",IF(COUNTIF(Lançamentos!$B$3:$B$1001,$B129)=0,"Bloqueado",IF('E5 — Validação'!$D111="","Bloqueado",IF(COUNTIF('E5 — Validação'!$E111:$I111,"⛔ Bloqueado")&gt;0,"Bloqueado",IF('E5 — Validação'!$I111="N/A","Bloqueado",IF(AND('E5 — Validação'!$E111="✔ Concluído",'E5 — Validação'!$F111="✔ Concluído",OR('E5 — Validação'!$G111="✔ Concluído",'E5 — Validação'!$G111="N/A"),'E5 — Validação'!$H111="✔ Concluído",'E5 — Validação'!$I111="✔ Concluído"),"Concluído",IF(COUNTIF('E5 — Validação'!$E111:$I111,"✔ Concluído")+COUNTIF('E5 — Validação'!$E111:$I111,"🔄 Em andamento")&gt;0,"Em andamento","Não iniciado"))))))))</f>
        <v/>
      </c>
      <c r="J129" s="234" t="str">
        <f>IF($B129="","",IF($I129&lt;&gt;"Concluído","Não iniciado",IF('E6 — Ajustes'!$N111="Não","N/A",IF(COUNTIF(Lançamentos!$B$3:$B$1001,$B129)=0,"Bloqueado",IF('E6 — Ajustes'!$D111="","Bloqueado",IF(COUNTIF('E6 — Ajustes'!$E111:$J111,"⛔ Bloqueado")&gt;0,"Bloqueado",IF(AND('E6 — Ajustes'!$E111="✔ Concluído",'E6 — Ajustes'!$F111="✔ Concluído",'E6 — Ajustes'!$G111="✔ Concluído",'E6 — Ajustes'!$H111="✔ Concluído",OR('E6 — Ajustes'!$I111="✔ Concluído",'E6 — Ajustes'!$I111="N/A"),'E6 — Ajustes'!$J111="✔ Concluído"),"Concluído",IF(COUNTIF('E6 — Ajustes'!$E111:$J111,"✔ Concluído")+COUNTIF('E6 — Ajustes'!$E111:$J111,"🔄 Em andamento")&gt;0,"Em andamento","Não iniciado"))))))))</f>
        <v/>
      </c>
      <c r="K129" s="234" t="str">
        <f>IF($B129="","",IF($I129&lt;&gt;"Concluído","Não iniciado",IF(AND($J129&lt;&gt;"Concluído",$J129&lt;&gt;"N/A"),"Não iniciado",IF(COUNTIF(Lançamentos!$B$3:$B$1001,$B129)=0,"Bloqueado",IF('E7 — Entrega'!$D111="","Bloqueado",IF(COUNTIF('E7 — Entrega'!$E111:$H111,"⛔ Bloqueado")&gt;0,"Bloqueado",IF(COUNTIF('E7 — Entrega'!$E111:$H111,"✔ Concluído")=4,"Concluído",IF(COUNTIF('E7 — Entrega'!$E111:$H111,"✔ Concluído")+COUNTIF('E7 — Entrega'!$E111:$H111,"🔄 Em andamento")&gt;0,"Em andamento","Não iniciado"))))))))</f>
        <v/>
      </c>
      <c r="L129" s="234" t="str">
        <f>IF($B129="","",IF($K129&lt;&gt;"Concluído","Não iniciado",IF(OR(COUNTIF('E08 — Estabilização Hypercare'!$E111:$J111,"⛔ Bloqueado")&gt;0,'E08 — Estabilização Hypercare'!$N111="⛔ Incidente Crítico — Encerramento Bloqueado",AND('E08 — Estabilização Hypercare'!$N111="🆕 Evolução Identificada — Nova Demanda Aberta",'E08 — Estabilização Hypercare'!$U111="")),"Bloqueado",IF(AND('E08 — Estabilização Hypercare'!$E111="✔ Concluído",'E08 — Estabilização Hypercare'!$F111="✔ Concluído",'E08 — Estabilização Hypercare'!$G111="✔ Concluído",OR('E08 — Estabilização Hypercare'!$H111="✔ Concluído",'E08 — Estabilização Hypercare'!$H111="N/A"),'E08 — Estabilização Hypercare'!$I111="✔ Concluído",'E08 — Estabilização Hypercare'!$J111="✔ Concluído",OR('E08 — Estabilização Hypercare'!$N111="✅ Estável — Demanda Encerrada",AND('E08 — Estabilização Hypercare'!$N111="🆕 Evolução Identificada — Nova Demanda Aberta",'E08 — Estabilização Hypercare'!$U111&lt;&gt;""))),"Concluído",IF(OR(COUNTIF('E08 — Estabilização Hypercare'!$E111:$J111,"✔ Concluído")&gt;0,COUNTIF('E08 — Estabilização Hypercare'!$E111:$J111,"🔄 Em andamento")&gt;0,'E08 — Estabilização Hypercare'!$N111&lt;&gt;""),"Em andamento","Não iniciado")))))</f>
        <v/>
      </c>
      <c r="M129" s="236" t="str" cm="1">
        <f t="array" ref="M129">IF(B129="","",_xlfn.IFS(E129&lt;&gt;"Concluído","E1 — Solicitação",F129&lt;&gt;"Concluído","E2 — Triagem",G129&lt;&gt;"Concluído","E3 — Levantamento ⚠",H129&lt;&gt;"Concluído","E4 — Execução",I129&lt;&gt;"Concluído","E5 — Validação ⚠",AND(J129&lt;&gt;"Concluído",J129&lt;&gt;"N/A"),"E6 — Ajustes",K129&lt;&gt;"Concluído","E7 — Entrega",L129&lt;&gt;"Concluído","E08 — Estabilização / Hypercare",TRUE,"✔ Fluxo concluído"))</f>
        <v/>
      </c>
      <c r="N129" s="237" t="str">
        <f t="shared" si="1"/>
        <v/>
      </c>
      <c r="O129" s="238"/>
    </row>
    <row r="130" spans="2:15" ht="15" customHeight="1" x14ac:dyDescent="0.35">
      <c r="B130" s="234" t="str">
        <f>IF(Lançamentos!$B107="","",Lançamentos!$B107)</f>
        <v/>
      </c>
      <c r="C130" s="235" t="str">
        <f>IF($B130="","",Lançamentos!$J107)</f>
        <v/>
      </c>
      <c r="D130" s="235" t="str">
        <f>IF($B130="","",Lançamentos!$H107)</f>
        <v/>
      </c>
      <c r="E130" s="234" t="str">
        <f>IF($B130="","",IF(COUNTIF(Lançamentos!$B$3:$B$1001,$B130)=0,"Bloqueado",IF(COUNTIF('E1 — Solicitação'!$E112:$L112,"⛔ Bloqueado")&gt;0,"Bloqueado",IF(COUNTIF('E1 — Solicitação'!$E112:$L112,"N/A")=8,"Bloqueado",IF(COUNTIF('E1 — Solicitação'!$E112:$L112,"✔ Concluído")+COUNTIF('E1 — Solicitação'!$E112:$L112,"N/A")=8,"Concluído",IF(COUNTIF('E1 — Solicitação'!$E112:$L112,"✔ Concluído")+COUNTIF('E1 — Solicitação'!$E112:$L112,"🔄 Em andamento")&gt;0,"Em andamento","Não iniciado"))))))</f>
        <v/>
      </c>
      <c r="F130" s="234" t="str">
        <f>IF($B130="","",IF($E130&lt;&gt;"Concluído","Não iniciado",IF(COUNTIF(Lançamentos!$B$3:$B$1001,$B130)=0,"Bloqueado",IF('E2 — Triagem'!$D112="","Bloqueado",IF(COUNTIF('E2 — Triagem'!$E112:$L112,"N/A")=8,"Bloqueado",IF(COUNTIF('E2 — Triagem'!$E112:$L112,"⛔ Bloqueado")&gt;0,"Bloqueado",IF(COUNTIF('E2 — Triagem'!$E112:$L112,"✔ Concluído")+COUNTIF('E2 — Triagem'!$E112:$L112,"N/A")=8,"Concluído",IF(COUNTIF('E2 — Triagem'!$E112:$L112,"✔ Concluído")+COUNTIF('E2 — Triagem'!$E112:$L112,"🔄 Em andamento")&gt;0,"Em andamento","Não iniciado"))))))))</f>
        <v/>
      </c>
      <c r="G130" s="234" t="str">
        <f>IF($B130="","",IF($F130&lt;&gt;"Concluído","Não iniciado",IF(COUNTIF(Lançamentos!$B$3:$B$1001,$B130)=0,"Bloqueado",IF('E3 — Levantamento'!$D112="","Bloqueado",IF(COUNTIF('E3 — Levantamento'!$E112:$I112,"⛔ Bloqueado")&gt;0,"Bloqueado",IF('E3 — Levantamento'!$I112="N/A","Bloqueado",IF(COUNTIF('E3 — Levantamento'!$E112:$I112,"✔ Concluído")=5,"Concluído",IF(COUNTIF('E3 — Levantamento'!$E112:$I112,"✔ Concluído")+COUNTIF('E3 — Levantamento'!$E112:$I112,"🔄 Em andamento")&gt;0,"Em andamento","Não iniciado"))))))))</f>
        <v/>
      </c>
      <c r="H130" s="234" t="str">
        <f>IF($B130="","",IF($G130&lt;&gt;"Concluído","Não iniciado",IF(COUNTIF(Lançamentos!$B$3:$B$1001,$B130)=0,"Bloqueado",IF('E4 — Execução'!$D112="","Bloqueado",IF(COUNTIF('E4 — Execução'!$E112:$K112,"⛔ Bloqueado")&gt;0,"Bloqueado",IF(COUNTIF('E4 — Execução'!$E112:$K112,"✔ Concluído")=7,"Concluído",IF(COUNTIF('E4 — Execução'!$E112:$K112,"✔ Concluído")+COUNTIF('E4 — Execução'!$E112:$K112,"🔄 Em andamento")&gt;0,"Em andamento","Não iniciado")))))))</f>
        <v/>
      </c>
      <c r="I130" s="234" t="str">
        <f>IF($B130="","",IF($H130&lt;&gt;"Concluído","Não iniciado",IF(COUNTIF(Lançamentos!$B$3:$B$1001,$B130)=0,"Bloqueado",IF('E5 — Validação'!$D112="","Bloqueado",IF(COUNTIF('E5 — Validação'!$E112:$I112,"⛔ Bloqueado")&gt;0,"Bloqueado",IF('E5 — Validação'!$I112="N/A","Bloqueado",IF(AND('E5 — Validação'!$E112="✔ Concluído",'E5 — Validação'!$F112="✔ Concluído",OR('E5 — Validação'!$G112="✔ Concluído",'E5 — Validação'!$G112="N/A"),'E5 — Validação'!$H112="✔ Concluído",'E5 — Validação'!$I112="✔ Concluído"),"Concluído",IF(COUNTIF('E5 — Validação'!$E112:$I112,"✔ Concluído")+COUNTIF('E5 — Validação'!$E112:$I112,"🔄 Em andamento")&gt;0,"Em andamento","Não iniciado"))))))))</f>
        <v/>
      </c>
      <c r="J130" s="234" t="str">
        <f>IF($B130="","",IF($I130&lt;&gt;"Concluído","Não iniciado",IF('E6 — Ajustes'!$N112="Não","N/A",IF(COUNTIF(Lançamentos!$B$3:$B$1001,$B130)=0,"Bloqueado",IF('E6 — Ajustes'!$D112="","Bloqueado",IF(COUNTIF('E6 — Ajustes'!$E112:$J112,"⛔ Bloqueado")&gt;0,"Bloqueado",IF(AND('E6 — Ajustes'!$E112="✔ Concluído",'E6 — Ajustes'!$F112="✔ Concluído",'E6 — Ajustes'!$G112="✔ Concluído",'E6 — Ajustes'!$H112="✔ Concluído",OR('E6 — Ajustes'!$I112="✔ Concluído",'E6 — Ajustes'!$I112="N/A"),'E6 — Ajustes'!$J112="✔ Concluído"),"Concluído",IF(COUNTIF('E6 — Ajustes'!$E112:$J112,"✔ Concluído")+COUNTIF('E6 — Ajustes'!$E112:$J112,"🔄 Em andamento")&gt;0,"Em andamento","Não iniciado"))))))))</f>
        <v/>
      </c>
      <c r="K130" s="234" t="str">
        <f>IF($B130="","",IF($I130&lt;&gt;"Concluído","Não iniciado",IF(AND($J130&lt;&gt;"Concluído",$J130&lt;&gt;"N/A"),"Não iniciado",IF(COUNTIF(Lançamentos!$B$3:$B$1001,$B130)=0,"Bloqueado",IF('E7 — Entrega'!$D112="","Bloqueado",IF(COUNTIF('E7 — Entrega'!$E112:$H112,"⛔ Bloqueado")&gt;0,"Bloqueado",IF(COUNTIF('E7 — Entrega'!$E112:$H112,"✔ Concluído")=4,"Concluído",IF(COUNTIF('E7 — Entrega'!$E112:$H112,"✔ Concluído")+COUNTIF('E7 — Entrega'!$E112:$H112,"🔄 Em andamento")&gt;0,"Em andamento","Não iniciado"))))))))</f>
        <v/>
      </c>
      <c r="L130" s="234" t="str">
        <f>IF($B130="","",IF($K130&lt;&gt;"Concluído","Não iniciado",IF(OR(COUNTIF('E08 — Estabilização Hypercare'!$E112:$J112,"⛔ Bloqueado")&gt;0,'E08 — Estabilização Hypercare'!$N112="⛔ Incidente Crítico — Encerramento Bloqueado",AND('E08 — Estabilização Hypercare'!$N112="🆕 Evolução Identificada — Nova Demanda Aberta",'E08 — Estabilização Hypercare'!$U112="")),"Bloqueado",IF(AND('E08 — Estabilização Hypercare'!$E112="✔ Concluído",'E08 — Estabilização Hypercare'!$F112="✔ Concluído",'E08 — Estabilização Hypercare'!$G112="✔ Concluído",OR('E08 — Estabilização Hypercare'!$H112="✔ Concluído",'E08 — Estabilização Hypercare'!$H112="N/A"),'E08 — Estabilização Hypercare'!$I112="✔ Concluído",'E08 — Estabilização Hypercare'!$J112="✔ Concluído",OR('E08 — Estabilização Hypercare'!$N112="✅ Estável — Demanda Encerrada",AND('E08 — Estabilização Hypercare'!$N112="🆕 Evolução Identificada — Nova Demanda Aberta",'E08 — Estabilização Hypercare'!$U112&lt;&gt;""))),"Concluído",IF(OR(COUNTIF('E08 — Estabilização Hypercare'!$E112:$J112,"✔ Concluído")&gt;0,COUNTIF('E08 — Estabilização Hypercare'!$E112:$J112,"🔄 Em andamento")&gt;0,'E08 — Estabilização Hypercare'!$N112&lt;&gt;""),"Em andamento","Não iniciado")))))</f>
        <v/>
      </c>
      <c r="M130" s="236" t="str" cm="1">
        <f t="array" ref="M130">IF(B130="","",_xlfn.IFS(E130&lt;&gt;"Concluído","E1 — Solicitação",F130&lt;&gt;"Concluído","E2 — Triagem",G130&lt;&gt;"Concluído","E3 — Levantamento ⚠",H130&lt;&gt;"Concluído","E4 — Execução",I130&lt;&gt;"Concluído","E5 — Validação ⚠",AND(J130&lt;&gt;"Concluído",J130&lt;&gt;"N/A"),"E6 — Ajustes",K130&lt;&gt;"Concluído","E7 — Entrega",L130&lt;&gt;"Concluído","E08 — Estabilização / Hypercare",TRUE,"✔ Fluxo concluído"))</f>
        <v/>
      </c>
      <c r="N130" s="237" t="str">
        <f t="shared" si="1"/>
        <v/>
      </c>
      <c r="O130" s="238"/>
    </row>
    <row r="131" spans="2:15" ht="15" customHeight="1" x14ac:dyDescent="0.35">
      <c r="B131" s="234" t="str">
        <f>IF(Lançamentos!$B108="","",Lançamentos!$B108)</f>
        <v/>
      </c>
      <c r="C131" s="235" t="str">
        <f>IF($B131="","",Lançamentos!$J108)</f>
        <v/>
      </c>
      <c r="D131" s="235" t="str">
        <f>IF($B131="","",Lançamentos!$H108)</f>
        <v/>
      </c>
      <c r="E131" s="234" t="str">
        <f>IF($B131="","",IF(COUNTIF(Lançamentos!$B$3:$B$1001,$B131)=0,"Bloqueado",IF(COUNTIF('E1 — Solicitação'!$E113:$L113,"⛔ Bloqueado")&gt;0,"Bloqueado",IF(COUNTIF('E1 — Solicitação'!$E113:$L113,"N/A")=8,"Bloqueado",IF(COUNTIF('E1 — Solicitação'!$E113:$L113,"✔ Concluído")+COUNTIF('E1 — Solicitação'!$E113:$L113,"N/A")=8,"Concluído",IF(COUNTIF('E1 — Solicitação'!$E113:$L113,"✔ Concluído")+COUNTIF('E1 — Solicitação'!$E113:$L113,"🔄 Em andamento")&gt;0,"Em andamento","Não iniciado"))))))</f>
        <v/>
      </c>
      <c r="F131" s="234" t="str">
        <f>IF($B131="","",IF($E131&lt;&gt;"Concluído","Não iniciado",IF(COUNTIF(Lançamentos!$B$3:$B$1001,$B131)=0,"Bloqueado",IF('E2 — Triagem'!$D113="","Bloqueado",IF(COUNTIF('E2 — Triagem'!$E113:$L113,"N/A")=8,"Bloqueado",IF(COUNTIF('E2 — Triagem'!$E113:$L113,"⛔ Bloqueado")&gt;0,"Bloqueado",IF(COUNTIF('E2 — Triagem'!$E113:$L113,"✔ Concluído")+COUNTIF('E2 — Triagem'!$E113:$L113,"N/A")=8,"Concluído",IF(COUNTIF('E2 — Triagem'!$E113:$L113,"✔ Concluído")+COUNTIF('E2 — Triagem'!$E113:$L113,"🔄 Em andamento")&gt;0,"Em andamento","Não iniciado"))))))))</f>
        <v/>
      </c>
      <c r="G131" s="234" t="str">
        <f>IF($B131="","",IF($F131&lt;&gt;"Concluído","Não iniciado",IF(COUNTIF(Lançamentos!$B$3:$B$1001,$B131)=0,"Bloqueado",IF('E3 — Levantamento'!$D113="","Bloqueado",IF(COUNTIF('E3 — Levantamento'!$E113:$I113,"⛔ Bloqueado")&gt;0,"Bloqueado",IF('E3 — Levantamento'!$I113="N/A","Bloqueado",IF(COUNTIF('E3 — Levantamento'!$E113:$I113,"✔ Concluído")=5,"Concluído",IF(COUNTIF('E3 — Levantamento'!$E113:$I113,"✔ Concluído")+COUNTIF('E3 — Levantamento'!$E113:$I113,"🔄 Em andamento")&gt;0,"Em andamento","Não iniciado"))))))))</f>
        <v/>
      </c>
      <c r="H131" s="234" t="str">
        <f>IF($B131="","",IF($G131&lt;&gt;"Concluído","Não iniciado",IF(COUNTIF(Lançamentos!$B$3:$B$1001,$B131)=0,"Bloqueado",IF('E4 — Execução'!$D113="","Bloqueado",IF(COUNTIF('E4 — Execução'!$E113:$K113,"⛔ Bloqueado")&gt;0,"Bloqueado",IF(COUNTIF('E4 — Execução'!$E113:$K113,"✔ Concluído")=7,"Concluído",IF(COUNTIF('E4 — Execução'!$E113:$K113,"✔ Concluído")+COUNTIF('E4 — Execução'!$E113:$K113,"🔄 Em andamento")&gt;0,"Em andamento","Não iniciado")))))))</f>
        <v/>
      </c>
      <c r="I131" s="234" t="str">
        <f>IF($B131="","",IF($H131&lt;&gt;"Concluído","Não iniciado",IF(COUNTIF(Lançamentos!$B$3:$B$1001,$B131)=0,"Bloqueado",IF('E5 — Validação'!$D113="","Bloqueado",IF(COUNTIF('E5 — Validação'!$E113:$I113,"⛔ Bloqueado")&gt;0,"Bloqueado",IF('E5 — Validação'!$I113="N/A","Bloqueado",IF(AND('E5 — Validação'!$E113="✔ Concluído",'E5 — Validação'!$F113="✔ Concluído",OR('E5 — Validação'!$G113="✔ Concluído",'E5 — Validação'!$G113="N/A"),'E5 — Validação'!$H113="✔ Concluído",'E5 — Validação'!$I113="✔ Concluído"),"Concluído",IF(COUNTIF('E5 — Validação'!$E113:$I113,"✔ Concluído")+COUNTIF('E5 — Validação'!$E113:$I113,"🔄 Em andamento")&gt;0,"Em andamento","Não iniciado"))))))))</f>
        <v/>
      </c>
      <c r="J131" s="234" t="str">
        <f>IF($B131="","",IF($I131&lt;&gt;"Concluído","Não iniciado",IF('E6 — Ajustes'!$N113="Não","N/A",IF(COUNTIF(Lançamentos!$B$3:$B$1001,$B131)=0,"Bloqueado",IF('E6 — Ajustes'!$D113="","Bloqueado",IF(COUNTIF('E6 — Ajustes'!$E113:$J113,"⛔ Bloqueado")&gt;0,"Bloqueado",IF(AND('E6 — Ajustes'!$E113="✔ Concluído",'E6 — Ajustes'!$F113="✔ Concluído",'E6 — Ajustes'!$G113="✔ Concluído",'E6 — Ajustes'!$H113="✔ Concluído",OR('E6 — Ajustes'!$I113="✔ Concluído",'E6 — Ajustes'!$I113="N/A"),'E6 — Ajustes'!$J113="✔ Concluído"),"Concluído",IF(COUNTIF('E6 — Ajustes'!$E113:$J113,"✔ Concluído")+COUNTIF('E6 — Ajustes'!$E113:$J113,"🔄 Em andamento")&gt;0,"Em andamento","Não iniciado"))))))))</f>
        <v/>
      </c>
      <c r="K131" s="234" t="str">
        <f>IF($B131="","",IF($I131&lt;&gt;"Concluído","Não iniciado",IF(AND($J131&lt;&gt;"Concluído",$J131&lt;&gt;"N/A"),"Não iniciado",IF(COUNTIF(Lançamentos!$B$3:$B$1001,$B131)=0,"Bloqueado",IF('E7 — Entrega'!$D113="","Bloqueado",IF(COUNTIF('E7 — Entrega'!$E113:$H113,"⛔ Bloqueado")&gt;0,"Bloqueado",IF(COUNTIF('E7 — Entrega'!$E113:$H113,"✔ Concluído")=4,"Concluído",IF(COUNTIF('E7 — Entrega'!$E113:$H113,"✔ Concluído")+COUNTIF('E7 — Entrega'!$E113:$H113,"🔄 Em andamento")&gt;0,"Em andamento","Não iniciado"))))))))</f>
        <v/>
      </c>
      <c r="L131" s="234" t="str">
        <f>IF($B131="","",IF($K131&lt;&gt;"Concluído","Não iniciado",IF(OR(COUNTIF('E08 — Estabilização Hypercare'!$E113:$J113,"⛔ Bloqueado")&gt;0,'E08 — Estabilização Hypercare'!$N113="⛔ Incidente Crítico — Encerramento Bloqueado",AND('E08 — Estabilização Hypercare'!$N113="🆕 Evolução Identificada — Nova Demanda Aberta",'E08 — Estabilização Hypercare'!$U113="")),"Bloqueado",IF(AND('E08 — Estabilização Hypercare'!$E113="✔ Concluído",'E08 — Estabilização Hypercare'!$F113="✔ Concluído",'E08 — Estabilização Hypercare'!$G113="✔ Concluído",OR('E08 — Estabilização Hypercare'!$H113="✔ Concluído",'E08 — Estabilização Hypercare'!$H113="N/A"),'E08 — Estabilização Hypercare'!$I113="✔ Concluído",'E08 — Estabilização Hypercare'!$J113="✔ Concluído",OR('E08 — Estabilização Hypercare'!$N113="✅ Estável — Demanda Encerrada",AND('E08 — Estabilização Hypercare'!$N113="🆕 Evolução Identificada — Nova Demanda Aberta",'E08 — Estabilização Hypercare'!$U113&lt;&gt;""))),"Concluído",IF(OR(COUNTIF('E08 — Estabilização Hypercare'!$E113:$J113,"✔ Concluído")&gt;0,COUNTIF('E08 — Estabilização Hypercare'!$E113:$J113,"🔄 Em andamento")&gt;0,'E08 — Estabilização Hypercare'!$N113&lt;&gt;""),"Em andamento","Não iniciado")))))</f>
        <v/>
      </c>
      <c r="M131" s="236" t="str" cm="1">
        <f t="array" ref="M131">IF(B131="","",_xlfn.IFS(E131&lt;&gt;"Concluído","E1 — Solicitação",F131&lt;&gt;"Concluído","E2 — Triagem",G131&lt;&gt;"Concluído","E3 — Levantamento ⚠",H131&lt;&gt;"Concluído","E4 — Execução",I131&lt;&gt;"Concluído","E5 — Validação ⚠",AND(J131&lt;&gt;"Concluído",J131&lt;&gt;"N/A"),"E6 — Ajustes",K131&lt;&gt;"Concluído","E7 — Entrega",L131&lt;&gt;"Concluído","E08 — Estabilização / Hypercare",TRUE,"✔ Fluxo concluído"))</f>
        <v/>
      </c>
      <c r="N131" s="237" t="str">
        <f t="shared" si="1"/>
        <v/>
      </c>
      <c r="O131" s="238"/>
    </row>
    <row r="132" spans="2:15" ht="15" customHeight="1" x14ac:dyDescent="0.35">
      <c r="B132" s="234" t="str">
        <f>IF(Lançamentos!$B109="","",Lançamentos!$B109)</f>
        <v/>
      </c>
      <c r="C132" s="235" t="str">
        <f>IF($B132="","",Lançamentos!$J109)</f>
        <v/>
      </c>
      <c r="D132" s="235" t="str">
        <f>IF($B132="","",Lançamentos!$H109)</f>
        <v/>
      </c>
      <c r="E132" s="234" t="str">
        <f>IF($B132="","",IF(COUNTIF(Lançamentos!$B$3:$B$1001,$B132)=0,"Bloqueado",IF(COUNTIF('E1 — Solicitação'!$E114:$L114,"⛔ Bloqueado")&gt;0,"Bloqueado",IF(COUNTIF('E1 — Solicitação'!$E114:$L114,"N/A")=8,"Bloqueado",IF(COUNTIF('E1 — Solicitação'!$E114:$L114,"✔ Concluído")+COUNTIF('E1 — Solicitação'!$E114:$L114,"N/A")=8,"Concluído",IF(COUNTIF('E1 — Solicitação'!$E114:$L114,"✔ Concluído")+COUNTIF('E1 — Solicitação'!$E114:$L114,"🔄 Em andamento")&gt;0,"Em andamento","Não iniciado"))))))</f>
        <v/>
      </c>
      <c r="F132" s="234" t="str">
        <f>IF($B132="","",IF($E132&lt;&gt;"Concluído","Não iniciado",IF(COUNTIF(Lançamentos!$B$3:$B$1001,$B132)=0,"Bloqueado",IF('E2 — Triagem'!$D114="","Bloqueado",IF(COUNTIF('E2 — Triagem'!$E114:$L114,"N/A")=8,"Bloqueado",IF(COUNTIF('E2 — Triagem'!$E114:$L114,"⛔ Bloqueado")&gt;0,"Bloqueado",IF(COUNTIF('E2 — Triagem'!$E114:$L114,"✔ Concluído")+COUNTIF('E2 — Triagem'!$E114:$L114,"N/A")=8,"Concluído",IF(COUNTIF('E2 — Triagem'!$E114:$L114,"✔ Concluído")+COUNTIF('E2 — Triagem'!$E114:$L114,"🔄 Em andamento")&gt;0,"Em andamento","Não iniciado"))))))))</f>
        <v/>
      </c>
      <c r="G132" s="234" t="str">
        <f>IF($B132="","",IF($F132&lt;&gt;"Concluído","Não iniciado",IF(COUNTIF(Lançamentos!$B$3:$B$1001,$B132)=0,"Bloqueado",IF('E3 — Levantamento'!$D114="","Bloqueado",IF(COUNTIF('E3 — Levantamento'!$E114:$I114,"⛔ Bloqueado")&gt;0,"Bloqueado",IF('E3 — Levantamento'!$I114="N/A","Bloqueado",IF(COUNTIF('E3 — Levantamento'!$E114:$I114,"✔ Concluído")=5,"Concluído",IF(COUNTIF('E3 — Levantamento'!$E114:$I114,"✔ Concluído")+COUNTIF('E3 — Levantamento'!$E114:$I114,"🔄 Em andamento")&gt;0,"Em andamento","Não iniciado"))))))))</f>
        <v/>
      </c>
      <c r="H132" s="234" t="str">
        <f>IF($B132="","",IF($G132&lt;&gt;"Concluído","Não iniciado",IF(COUNTIF(Lançamentos!$B$3:$B$1001,$B132)=0,"Bloqueado",IF('E4 — Execução'!$D114="","Bloqueado",IF(COUNTIF('E4 — Execução'!$E114:$K114,"⛔ Bloqueado")&gt;0,"Bloqueado",IF(COUNTIF('E4 — Execução'!$E114:$K114,"✔ Concluído")=7,"Concluído",IF(COUNTIF('E4 — Execução'!$E114:$K114,"✔ Concluído")+COUNTIF('E4 — Execução'!$E114:$K114,"🔄 Em andamento")&gt;0,"Em andamento","Não iniciado")))))))</f>
        <v/>
      </c>
      <c r="I132" s="234" t="str">
        <f>IF($B132="","",IF($H132&lt;&gt;"Concluído","Não iniciado",IF(COUNTIF(Lançamentos!$B$3:$B$1001,$B132)=0,"Bloqueado",IF('E5 — Validação'!$D114="","Bloqueado",IF(COUNTIF('E5 — Validação'!$E114:$I114,"⛔ Bloqueado")&gt;0,"Bloqueado",IF('E5 — Validação'!$I114="N/A","Bloqueado",IF(AND('E5 — Validação'!$E114="✔ Concluído",'E5 — Validação'!$F114="✔ Concluído",OR('E5 — Validação'!$G114="✔ Concluído",'E5 — Validação'!$G114="N/A"),'E5 — Validação'!$H114="✔ Concluído",'E5 — Validação'!$I114="✔ Concluído"),"Concluído",IF(COUNTIF('E5 — Validação'!$E114:$I114,"✔ Concluído")+COUNTIF('E5 — Validação'!$E114:$I114,"🔄 Em andamento")&gt;0,"Em andamento","Não iniciado"))))))))</f>
        <v/>
      </c>
      <c r="J132" s="234" t="str">
        <f>IF($B132="","",IF($I132&lt;&gt;"Concluído","Não iniciado",IF('E6 — Ajustes'!$N114="Não","N/A",IF(COUNTIF(Lançamentos!$B$3:$B$1001,$B132)=0,"Bloqueado",IF('E6 — Ajustes'!$D114="","Bloqueado",IF(COUNTIF('E6 — Ajustes'!$E114:$J114,"⛔ Bloqueado")&gt;0,"Bloqueado",IF(AND('E6 — Ajustes'!$E114="✔ Concluído",'E6 — Ajustes'!$F114="✔ Concluído",'E6 — Ajustes'!$G114="✔ Concluído",'E6 — Ajustes'!$H114="✔ Concluído",OR('E6 — Ajustes'!$I114="✔ Concluído",'E6 — Ajustes'!$I114="N/A"),'E6 — Ajustes'!$J114="✔ Concluído"),"Concluído",IF(COUNTIF('E6 — Ajustes'!$E114:$J114,"✔ Concluído")+COUNTIF('E6 — Ajustes'!$E114:$J114,"🔄 Em andamento")&gt;0,"Em andamento","Não iniciado"))))))))</f>
        <v/>
      </c>
      <c r="K132" s="234" t="str">
        <f>IF($B132="","",IF($I132&lt;&gt;"Concluído","Não iniciado",IF(AND($J132&lt;&gt;"Concluído",$J132&lt;&gt;"N/A"),"Não iniciado",IF(COUNTIF(Lançamentos!$B$3:$B$1001,$B132)=0,"Bloqueado",IF('E7 — Entrega'!$D114="","Bloqueado",IF(COUNTIF('E7 — Entrega'!$E114:$H114,"⛔ Bloqueado")&gt;0,"Bloqueado",IF(COUNTIF('E7 — Entrega'!$E114:$H114,"✔ Concluído")=4,"Concluído",IF(COUNTIF('E7 — Entrega'!$E114:$H114,"✔ Concluído")+COUNTIF('E7 — Entrega'!$E114:$H114,"🔄 Em andamento")&gt;0,"Em andamento","Não iniciado"))))))))</f>
        <v/>
      </c>
      <c r="L132" s="234" t="str">
        <f>IF($B132="","",IF($K132&lt;&gt;"Concluído","Não iniciado",IF(OR(COUNTIF('E08 — Estabilização Hypercare'!$E114:$J114,"⛔ Bloqueado")&gt;0,'E08 — Estabilização Hypercare'!$N114="⛔ Incidente Crítico — Encerramento Bloqueado",AND('E08 — Estabilização Hypercare'!$N114="🆕 Evolução Identificada — Nova Demanda Aberta",'E08 — Estabilização Hypercare'!$U114="")),"Bloqueado",IF(AND('E08 — Estabilização Hypercare'!$E114="✔ Concluído",'E08 — Estabilização Hypercare'!$F114="✔ Concluído",'E08 — Estabilização Hypercare'!$G114="✔ Concluído",OR('E08 — Estabilização Hypercare'!$H114="✔ Concluído",'E08 — Estabilização Hypercare'!$H114="N/A"),'E08 — Estabilização Hypercare'!$I114="✔ Concluído",'E08 — Estabilização Hypercare'!$J114="✔ Concluído",OR('E08 — Estabilização Hypercare'!$N114="✅ Estável — Demanda Encerrada",AND('E08 — Estabilização Hypercare'!$N114="🆕 Evolução Identificada — Nova Demanda Aberta",'E08 — Estabilização Hypercare'!$U114&lt;&gt;""))),"Concluído",IF(OR(COUNTIF('E08 — Estabilização Hypercare'!$E114:$J114,"✔ Concluído")&gt;0,COUNTIF('E08 — Estabilização Hypercare'!$E114:$J114,"🔄 Em andamento")&gt;0,'E08 — Estabilização Hypercare'!$N114&lt;&gt;""),"Em andamento","Não iniciado")))))</f>
        <v/>
      </c>
      <c r="M132" s="236" t="str" cm="1">
        <f t="array" ref="M132">IF(B132="","",_xlfn.IFS(E132&lt;&gt;"Concluído","E1 — Solicitação",F132&lt;&gt;"Concluído","E2 — Triagem",G132&lt;&gt;"Concluído","E3 — Levantamento ⚠",H132&lt;&gt;"Concluído","E4 — Execução",I132&lt;&gt;"Concluído","E5 — Validação ⚠",AND(J132&lt;&gt;"Concluído",J132&lt;&gt;"N/A"),"E6 — Ajustes",K132&lt;&gt;"Concluído","E7 — Entrega",L132&lt;&gt;"Concluído","E08 — Estabilização / Hypercare",TRUE,"✔ Fluxo concluído"))</f>
        <v/>
      </c>
      <c r="N132" s="237" t="str">
        <f t="shared" si="1"/>
        <v/>
      </c>
      <c r="O132" s="238"/>
    </row>
    <row r="133" spans="2:15" ht="15" customHeight="1" x14ac:dyDescent="0.35">
      <c r="B133" s="234" t="str">
        <f>IF(Lançamentos!$B110="","",Lançamentos!$B110)</f>
        <v/>
      </c>
      <c r="C133" s="235" t="str">
        <f>IF($B133="","",Lançamentos!$J110)</f>
        <v/>
      </c>
      <c r="D133" s="235" t="str">
        <f>IF($B133="","",Lançamentos!$H110)</f>
        <v/>
      </c>
      <c r="E133" s="234" t="str">
        <f>IF($B133="","",IF(COUNTIF(Lançamentos!$B$3:$B$1001,$B133)=0,"Bloqueado",IF(COUNTIF('E1 — Solicitação'!$E115:$L115,"⛔ Bloqueado")&gt;0,"Bloqueado",IF(COUNTIF('E1 — Solicitação'!$E115:$L115,"N/A")=8,"Bloqueado",IF(COUNTIF('E1 — Solicitação'!$E115:$L115,"✔ Concluído")+COUNTIF('E1 — Solicitação'!$E115:$L115,"N/A")=8,"Concluído",IF(COUNTIF('E1 — Solicitação'!$E115:$L115,"✔ Concluído")+COUNTIF('E1 — Solicitação'!$E115:$L115,"🔄 Em andamento")&gt;0,"Em andamento","Não iniciado"))))))</f>
        <v/>
      </c>
      <c r="F133" s="234" t="str">
        <f>IF($B133="","",IF($E133&lt;&gt;"Concluído","Não iniciado",IF(COUNTIF(Lançamentos!$B$3:$B$1001,$B133)=0,"Bloqueado",IF('E2 — Triagem'!$D115="","Bloqueado",IF(COUNTIF('E2 — Triagem'!$E115:$L115,"N/A")=8,"Bloqueado",IF(COUNTIF('E2 — Triagem'!$E115:$L115,"⛔ Bloqueado")&gt;0,"Bloqueado",IF(COUNTIF('E2 — Triagem'!$E115:$L115,"✔ Concluído")+COUNTIF('E2 — Triagem'!$E115:$L115,"N/A")=8,"Concluído",IF(COUNTIF('E2 — Triagem'!$E115:$L115,"✔ Concluído")+COUNTIF('E2 — Triagem'!$E115:$L115,"🔄 Em andamento")&gt;0,"Em andamento","Não iniciado"))))))))</f>
        <v/>
      </c>
      <c r="G133" s="234" t="str">
        <f>IF($B133="","",IF($F133&lt;&gt;"Concluído","Não iniciado",IF(COUNTIF(Lançamentos!$B$3:$B$1001,$B133)=0,"Bloqueado",IF('E3 — Levantamento'!$D115="","Bloqueado",IF(COUNTIF('E3 — Levantamento'!$E115:$I115,"⛔ Bloqueado")&gt;0,"Bloqueado",IF('E3 — Levantamento'!$I115="N/A","Bloqueado",IF(COUNTIF('E3 — Levantamento'!$E115:$I115,"✔ Concluído")=5,"Concluído",IF(COUNTIF('E3 — Levantamento'!$E115:$I115,"✔ Concluído")+COUNTIF('E3 — Levantamento'!$E115:$I115,"🔄 Em andamento")&gt;0,"Em andamento","Não iniciado"))))))))</f>
        <v/>
      </c>
      <c r="H133" s="234" t="str">
        <f>IF($B133="","",IF($G133&lt;&gt;"Concluído","Não iniciado",IF(COUNTIF(Lançamentos!$B$3:$B$1001,$B133)=0,"Bloqueado",IF('E4 — Execução'!$D115="","Bloqueado",IF(COUNTIF('E4 — Execução'!$E115:$K115,"⛔ Bloqueado")&gt;0,"Bloqueado",IF(COUNTIF('E4 — Execução'!$E115:$K115,"✔ Concluído")=7,"Concluído",IF(COUNTIF('E4 — Execução'!$E115:$K115,"✔ Concluído")+COUNTIF('E4 — Execução'!$E115:$K115,"🔄 Em andamento")&gt;0,"Em andamento","Não iniciado")))))))</f>
        <v/>
      </c>
      <c r="I133" s="234" t="str">
        <f>IF($B133="","",IF($H133&lt;&gt;"Concluído","Não iniciado",IF(COUNTIF(Lançamentos!$B$3:$B$1001,$B133)=0,"Bloqueado",IF('E5 — Validação'!$D115="","Bloqueado",IF(COUNTIF('E5 — Validação'!$E115:$I115,"⛔ Bloqueado")&gt;0,"Bloqueado",IF('E5 — Validação'!$I115="N/A","Bloqueado",IF(AND('E5 — Validação'!$E115="✔ Concluído",'E5 — Validação'!$F115="✔ Concluído",OR('E5 — Validação'!$G115="✔ Concluído",'E5 — Validação'!$G115="N/A"),'E5 — Validação'!$H115="✔ Concluído",'E5 — Validação'!$I115="✔ Concluído"),"Concluído",IF(COUNTIF('E5 — Validação'!$E115:$I115,"✔ Concluído")+COUNTIF('E5 — Validação'!$E115:$I115,"🔄 Em andamento")&gt;0,"Em andamento","Não iniciado"))))))))</f>
        <v/>
      </c>
      <c r="J133" s="234" t="str">
        <f>IF($B133="","",IF($I133&lt;&gt;"Concluído","Não iniciado",IF('E6 — Ajustes'!$N115="Não","N/A",IF(COUNTIF(Lançamentos!$B$3:$B$1001,$B133)=0,"Bloqueado",IF('E6 — Ajustes'!$D115="","Bloqueado",IF(COUNTIF('E6 — Ajustes'!$E115:$J115,"⛔ Bloqueado")&gt;0,"Bloqueado",IF(AND('E6 — Ajustes'!$E115="✔ Concluído",'E6 — Ajustes'!$F115="✔ Concluído",'E6 — Ajustes'!$G115="✔ Concluído",'E6 — Ajustes'!$H115="✔ Concluído",OR('E6 — Ajustes'!$I115="✔ Concluído",'E6 — Ajustes'!$I115="N/A"),'E6 — Ajustes'!$J115="✔ Concluído"),"Concluído",IF(COUNTIF('E6 — Ajustes'!$E115:$J115,"✔ Concluído")+COUNTIF('E6 — Ajustes'!$E115:$J115,"🔄 Em andamento")&gt;0,"Em andamento","Não iniciado"))))))))</f>
        <v/>
      </c>
      <c r="K133" s="234" t="str">
        <f>IF($B133="","",IF($I133&lt;&gt;"Concluído","Não iniciado",IF(AND($J133&lt;&gt;"Concluído",$J133&lt;&gt;"N/A"),"Não iniciado",IF(COUNTIF(Lançamentos!$B$3:$B$1001,$B133)=0,"Bloqueado",IF('E7 — Entrega'!$D115="","Bloqueado",IF(COUNTIF('E7 — Entrega'!$E115:$H115,"⛔ Bloqueado")&gt;0,"Bloqueado",IF(COUNTIF('E7 — Entrega'!$E115:$H115,"✔ Concluído")=4,"Concluído",IF(COUNTIF('E7 — Entrega'!$E115:$H115,"✔ Concluído")+COUNTIF('E7 — Entrega'!$E115:$H115,"🔄 Em andamento")&gt;0,"Em andamento","Não iniciado"))))))))</f>
        <v/>
      </c>
      <c r="L133" s="234" t="str">
        <f>IF($B133="","",IF($K133&lt;&gt;"Concluído","Não iniciado",IF(OR(COUNTIF('E08 — Estabilização Hypercare'!$E115:$J115,"⛔ Bloqueado")&gt;0,'E08 — Estabilização Hypercare'!$N115="⛔ Incidente Crítico — Encerramento Bloqueado",AND('E08 — Estabilização Hypercare'!$N115="🆕 Evolução Identificada — Nova Demanda Aberta",'E08 — Estabilização Hypercare'!$U115="")),"Bloqueado",IF(AND('E08 — Estabilização Hypercare'!$E115="✔ Concluído",'E08 — Estabilização Hypercare'!$F115="✔ Concluído",'E08 — Estabilização Hypercare'!$G115="✔ Concluído",OR('E08 — Estabilização Hypercare'!$H115="✔ Concluído",'E08 — Estabilização Hypercare'!$H115="N/A"),'E08 — Estabilização Hypercare'!$I115="✔ Concluído",'E08 — Estabilização Hypercare'!$J115="✔ Concluído",OR('E08 — Estabilização Hypercare'!$N115="✅ Estável — Demanda Encerrada",AND('E08 — Estabilização Hypercare'!$N115="🆕 Evolução Identificada — Nova Demanda Aberta",'E08 — Estabilização Hypercare'!$U115&lt;&gt;""))),"Concluído",IF(OR(COUNTIF('E08 — Estabilização Hypercare'!$E115:$J115,"✔ Concluído")&gt;0,COUNTIF('E08 — Estabilização Hypercare'!$E115:$J115,"🔄 Em andamento")&gt;0,'E08 — Estabilização Hypercare'!$N115&lt;&gt;""),"Em andamento","Não iniciado")))))</f>
        <v/>
      </c>
      <c r="M133" s="236" t="str" cm="1">
        <f t="array" ref="M133">IF(B133="","",_xlfn.IFS(E133&lt;&gt;"Concluído","E1 — Solicitação",F133&lt;&gt;"Concluído","E2 — Triagem",G133&lt;&gt;"Concluído","E3 — Levantamento ⚠",H133&lt;&gt;"Concluído","E4 — Execução",I133&lt;&gt;"Concluído","E5 — Validação ⚠",AND(J133&lt;&gt;"Concluído",J133&lt;&gt;"N/A"),"E6 — Ajustes",K133&lt;&gt;"Concluído","E7 — Entrega",L133&lt;&gt;"Concluído","E08 — Estabilização / Hypercare",TRUE,"✔ Fluxo concluído"))</f>
        <v/>
      </c>
      <c r="N133" s="237" t="str">
        <f t="shared" si="1"/>
        <v/>
      </c>
      <c r="O133" s="238"/>
    </row>
    <row r="134" spans="2:15" ht="15" customHeight="1" x14ac:dyDescent="0.35">
      <c r="B134" s="234" t="str">
        <f>IF(Lançamentos!$B111="","",Lançamentos!$B111)</f>
        <v/>
      </c>
      <c r="C134" s="235" t="str">
        <f>IF($B134="","",Lançamentos!$J111)</f>
        <v/>
      </c>
      <c r="D134" s="235" t="str">
        <f>IF($B134="","",Lançamentos!$H111)</f>
        <v/>
      </c>
      <c r="E134" s="234" t="str">
        <f>IF($B134="","",IF(COUNTIF(Lançamentos!$B$3:$B$1001,$B134)=0,"Bloqueado",IF(COUNTIF('E1 — Solicitação'!$E116:$L116,"⛔ Bloqueado")&gt;0,"Bloqueado",IF(COUNTIF('E1 — Solicitação'!$E116:$L116,"N/A")=8,"Bloqueado",IF(COUNTIF('E1 — Solicitação'!$E116:$L116,"✔ Concluído")+COUNTIF('E1 — Solicitação'!$E116:$L116,"N/A")=8,"Concluído",IF(COUNTIF('E1 — Solicitação'!$E116:$L116,"✔ Concluído")+COUNTIF('E1 — Solicitação'!$E116:$L116,"🔄 Em andamento")&gt;0,"Em andamento","Não iniciado"))))))</f>
        <v/>
      </c>
      <c r="F134" s="234" t="str">
        <f>IF($B134="","",IF($E134&lt;&gt;"Concluído","Não iniciado",IF(COUNTIF(Lançamentos!$B$3:$B$1001,$B134)=0,"Bloqueado",IF('E2 — Triagem'!$D116="","Bloqueado",IF(COUNTIF('E2 — Triagem'!$E116:$L116,"N/A")=8,"Bloqueado",IF(COUNTIF('E2 — Triagem'!$E116:$L116,"⛔ Bloqueado")&gt;0,"Bloqueado",IF(COUNTIF('E2 — Triagem'!$E116:$L116,"✔ Concluído")+COUNTIF('E2 — Triagem'!$E116:$L116,"N/A")=8,"Concluído",IF(COUNTIF('E2 — Triagem'!$E116:$L116,"✔ Concluído")+COUNTIF('E2 — Triagem'!$E116:$L116,"🔄 Em andamento")&gt;0,"Em andamento","Não iniciado"))))))))</f>
        <v/>
      </c>
      <c r="G134" s="234" t="str">
        <f>IF($B134="","",IF($F134&lt;&gt;"Concluído","Não iniciado",IF(COUNTIF(Lançamentos!$B$3:$B$1001,$B134)=0,"Bloqueado",IF('E3 — Levantamento'!$D116="","Bloqueado",IF(COUNTIF('E3 — Levantamento'!$E116:$I116,"⛔ Bloqueado")&gt;0,"Bloqueado",IF('E3 — Levantamento'!$I116="N/A","Bloqueado",IF(COUNTIF('E3 — Levantamento'!$E116:$I116,"✔ Concluído")=5,"Concluído",IF(COUNTIF('E3 — Levantamento'!$E116:$I116,"✔ Concluído")+COUNTIF('E3 — Levantamento'!$E116:$I116,"🔄 Em andamento")&gt;0,"Em andamento","Não iniciado"))))))))</f>
        <v/>
      </c>
      <c r="H134" s="234" t="str">
        <f>IF($B134="","",IF($G134&lt;&gt;"Concluído","Não iniciado",IF(COUNTIF(Lançamentos!$B$3:$B$1001,$B134)=0,"Bloqueado",IF('E4 — Execução'!$D116="","Bloqueado",IF(COUNTIF('E4 — Execução'!$E116:$K116,"⛔ Bloqueado")&gt;0,"Bloqueado",IF(COUNTIF('E4 — Execução'!$E116:$K116,"✔ Concluído")=7,"Concluído",IF(COUNTIF('E4 — Execução'!$E116:$K116,"✔ Concluído")+COUNTIF('E4 — Execução'!$E116:$K116,"🔄 Em andamento")&gt;0,"Em andamento","Não iniciado")))))))</f>
        <v/>
      </c>
      <c r="I134" s="234" t="str">
        <f>IF($B134="","",IF($H134&lt;&gt;"Concluído","Não iniciado",IF(COUNTIF(Lançamentos!$B$3:$B$1001,$B134)=0,"Bloqueado",IF('E5 — Validação'!$D116="","Bloqueado",IF(COUNTIF('E5 — Validação'!$E116:$I116,"⛔ Bloqueado")&gt;0,"Bloqueado",IF('E5 — Validação'!$I116="N/A","Bloqueado",IF(AND('E5 — Validação'!$E116="✔ Concluído",'E5 — Validação'!$F116="✔ Concluído",OR('E5 — Validação'!$G116="✔ Concluído",'E5 — Validação'!$G116="N/A"),'E5 — Validação'!$H116="✔ Concluído",'E5 — Validação'!$I116="✔ Concluído"),"Concluído",IF(COUNTIF('E5 — Validação'!$E116:$I116,"✔ Concluído")+COUNTIF('E5 — Validação'!$E116:$I116,"🔄 Em andamento")&gt;0,"Em andamento","Não iniciado"))))))))</f>
        <v/>
      </c>
      <c r="J134" s="234" t="str">
        <f>IF($B134="","",IF($I134&lt;&gt;"Concluído","Não iniciado",IF('E6 — Ajustes'!$N116="Não","N/A",IF(COUNTIF(Lançamentos!$B$3:$B$1001,$B134)=0,"Bloqueado",IF('E6 — Ajustes'!$D116="","Bloqueado",IF(COUNTIF('E6 — Ajustes'!$E116:$J116,"⛔ Bloqueado")&gt;0,"Bloqueado",IF(AND('E6 — Ajustes'!$E116="✔ Concluído",'E6 — Ajustes'!$F116="✔ Concluído",'E6 — Ajustes'!$G116="✔ Concluído",'E6 — Ajustes'!$H116="✔ Concluído",OR('E6 — Ajustes'!$I116="✔ Concluído",'E6 — Ajustes'!$I116="N/A"),'E6 — Ajustes'!$J116="✔ Concluído"),"Concluído",IF(COUNTIF('E6 — Ajustes'!$E116:$J116,"✔ Concluído")+COUNTIF('E6 — Ajustes'!$E116:$J116,"🔄 Em andamento")&gt;0,"Em andamento","Não iniciado"))))))))</f>
        <v/>
      </c>
      <c r="K134" s="234" t="str">
        <f>IF($B134="","",IF($I134&lt;&gt;"Concluído","Não iniciado",IF(AND($J134&lt;&gt;"Concluído",$J134&lt;&gt;"N/A"),"Não iniciado",IF(COUNTIF(Lançamentos!$B$3:$B$1001,$B134)=0,"Bloqueado",IF('E7 — Entrega'!$D116="","Bloqueado",IF(COUNTIF('E7 — Entrega'!$E116:$H116,"⛔ Bloqueado")&gt;0,"Bloqueado",IF(COUNTIF('E7 — Entrega'!$E116:$H116,"✔ Concluído")=4,"Concluído",IF(COUNTIF('E7 — Entrega'!$E116:$H116,"✔ Concluído")+COUNTIF('E7 — Entrega'!$E116:$H116,"🔄 Em andamento")&gt;0,"Em andamento","Não iniciado"))))))))</f>
        <v/>
      </c>
      <c r="L134" s="234" t="str">
        <f>IF($B134="","",IF($K134&lt;&gt;"Concluído","Não iniciado",IF(OR(COUNTIF('E08 — Estabilização Hypercare'!$E116:$J116,"⛔ Bloqueado")&gt;0,'E08 — Estabilização Hypercare'!$N116="⛔ Incidente Crítico — Encerramento Bloqueado",AND('E08 — Estabilização Hypercare'!$N116="🆕 Evolução Identificada — Nova Demanda Aberta",'E08 — Estabilização Hypercare'!$U116="")),"Bloqueado",IF(AND('E08 — Estabilização Hypercare'!$E116="✔ Concluído",'E08 — Estabilização Hypercare'!$F116="✔ Concluído",'E08 — Estabilização Hypercare'!$G116="✔ Concluído",OR('E08 — Estabilização Hypercare'!$H116="✔ Concluído",'E08 — Estabilização Hypercare'!$H116="N/A"),'E08 — Estabilização Hypercare'!$I116="✔ Concluído",'E08 — Estabilização Hypercare'!$J116="✔ Concluído",OR('E08 — Estabilização Hypercare'!$N116="✅ Estável — Demanda Encerrada",AND('E08 — Estabilização Hypercare'!$N116="🆕 Evolução Identificada — Nova Demanda Aberta",'E08 — Estabilização Hypercare'!$U116&lt;&gt;""))),"Concluído",IF(OR(COUNTIF('E08 — Estabilização Hypercare'!$E116:$J116,"✔ Concluído")&gt;0,COUNTIF('E08 — Estabilização Hypercare'!$E116:$J116,"🔄 Em andamento")&gt;0,'E08 — Estabilização Hypercare'!$N116&lt;&gt;""),"Em andamento","Não iniciado")))))</f>
        <v/>
      </c>
      <c r="M134" s="236" t="str" cm="1">
        <f t="array" ref="M134">IF(B134="","",_xlfn.IFS(E134&lt;&gt;"Concluído","E1 — Solicitação",F134&lt;&gt;"Concluído","E2 — Triagem",G134&lt;&gt;"Concluído","E3 — Levantamento ⚠",H134&lt;&gt;"Concluído","E4 — Execução",I134&lt;&gt;"Concluído","E5 — Validação ⚠",AND(J134&lt;&gt;"Concluído",J134&lt;&gt;"N/A"),"E6 — Ajustes",K134&lt;&gt;"Concluído","E7 — Entrega",L134&lt;&gt;"Concluído","E08 — Estabilização / Hypercare",TRUE,"✔ Fluxo concluído"))</f>
        <v/>
      </c>
      <c r="N134" s="237" t="str">
        <f t="shared" si="1"/>
        <v/>
      </c>
      <c r="O134" s="238"/>
    </row>
    <row r="135" spans="2:15" ht="15" customHeight="1" x14ac:dyDescent="0.35">
      <c r="B135" s="234" t="str">
        <f>IF(Lançamentos!$B112="","",Lançamentos!$B112)</f>
        <v/>
      </c>
      <c r="C135" s="235" t="str">
        <f>IF($B135="","",Lançamentos!$J112)</f>
        <v/>
      </c>
      <c r="D135" s="235" t="str">
        <f>IF($B135="","",Lançamentos!$H112)</f>
        <v/>
      </c>
      <c r="E135" s="234" t="str">
        <f>IF($B135="","",IF(COUNTIF(Lançamentos!$B$3:$B$1001,$B135)=0,"Bloqueado",IF(COUNTIF('E1 — Solicitação'!$E117:$L117,"⛔ Bloqueado")&gt;0,"Bloqueado",IF(COUNTIF('E1 — Solicitação'!$E117:$L117,"N/A")=8,"Bloqueado",IF(COUNTIF('E1 — Solicitação'!$E117:$L117,"✔ Concluído")+COUNTIF('E1 — Solicitação'!$E117:$L117,"N/A")=8,"Concluído",IF(COUNTIF('E1 — Solicitação'!$E117:$L117,"✔ Concluído")+COUNTIF('E1 — Solicitação'!$E117:$L117,"🔄 Em andamento")&gt;0,"Em andamento","Não iniciado"))))))</f>
        <v/>
      </c>
      <c r="F135" s="234" t="str">
        <f>IF($B135="","",IF($E135&lt;&gt;"Concluído","Não iniciado",IF(COUNTIF(Lançamentos!$B$3:$B$1001,$B135)=0,"Bloqueado",IF('E2 — Triagem'!$D117="","Bloqueado",IF(COUNTIF('E2 — Triagem'!$E117:$L117,"N/A")=8,"Bloqueado",IF(COUNTIF('E2 — Triagem'!$E117:$L117,"⛔ Bloqueado")&gt;0,"Bloqueado",IF(COUNTIF('E2 — Triagem'!$E117:$L117,"✔ Concluído")+COUNTIF('E2 — Triagem'!$E117:$L117,"N/A")=8,"Concluído",IF(COUNTIF('E2 — Triagem'!$E117:$L117,"✔ Concluído")+COUNTIF('E2 — Triagem'!$E117:$L117,"🔄 Em andamento")&gt;0,"Em andamento","Não iniciado"))))))))</f>
        <v/>
      </c>
      <c r="G135" s="234" t="str">
        <f>IF($B135="","",IF($F135&lt;&gt;"Concluído","Não iniciado",IF(COUNTIF(Lançamentos!$B$3:$B$1001,$B135)=0,"Bloqueado",IF('E3 — Levantamento'!$D117="","Bloqueado",IF(COUNTIF('E3 — Levantamento'!$E117:$I117,"⛔ Bloqueado")&gt;0,"Bloqueado",IF('E3 — Levantamento'!$I117="N/A","Bloqueado",IF(COUNTIF('E3 — Levantamento'!$E117:$I117,"✔ Concluído")=5,"Concluído",IF(COUNTIF('E3 — Levantamento'!$E117:$I117,"✔ Concluído")+COUNTIF('E3 — Levantamento'!$E117:$I117,"🔄 Em andamento")&gt;0,"Em andamento","Não iniciado"))))))))</f>
        <v/>
      </c>
      <c r="H135" s="234" t="str">
        <f>IF($B135="","",IF($G135&lt;&gt;"Concluído","Não iniciado",IF(COUNTIF(Lançamentos!$B$3:$B$1001,$B135)=0,"Bloqueado",IF('E4 — Execução'!$D117="","Bloqueado",IF(COUNTIF('E4 — Execução'!$E117:$K117,"⛔ Bloqueado")&gt;0,"Bloqueado",IF(COUNTIF('E4 — Execução'!$E117:$K117,"✔ Concluído")=7,"Concluído",IF(COUNTIF('E4 — Execução'!$E117:$K117,"✔ Concluído")+COUNTIF('E4 — Execução'!$E117:$K117,"🔄 Em andamento")&gt;0,"Em andamento","Não iniciado")))))))</f>
        <v/>
      </c>
      <c r="I135" s="234" t="str">
        <f>IF($B135="","",IF($H135&lt;&gt;"Concluído","Não iniciado",IF(COUNTIF(Lançamentos!$B$3:$B$1001,$B135)=0,"Bloqueado",IF('E5 — Validação'!$D117="","Bloqueado",IF(COUNTIF('E5 — Validação'!$E117:$I117,"⛔ Bloqueado")&gt;0,"Bloqueado",IF('E5 — Validação'!$I117="N/A","Bloqueado",IF(AND('E5 — Validação'!$E117="✔ Concluído",'E5 — Validação'!$F117="✔ Concluído",OR('E5 — Validação'!$G117="✔ Concluído",'E5 — Validação'!$G117="N/A"),'E5 — Validação'!$H117="✔ Concluído",'E5 — Validação'!$I117="✔ Concluído"),"Concluído",IF(COUNTIF('E5 — Validação'!$E117:$I117,"✔ Concluído")+COUNTIF('E5 — Validação'!$E117:$I117,"🔄 Em andamento")&gt;0,"Em andamento","Não iniciado"))))))))</f>
        <v/>
      </c>
      <c r="J135" s="234" t="str">
        <f>IF($B135="","",IF($I135&lt;&gt;"Concluído","Não iniciado",IF('E6 — Ajustes'!$N117="Não","N/A",IF(COUNTIF(Lançamentos!$B$3:$B$1001,$B135)=0,"Bloqueado",IF('E6 — Ajustes'!$D117="","Bloqueado",IF(COUNTIF('E6 — Ajustes'!$E117:$J117,"⛔ Bloqueado")&gt;0,"Bloqueado",IF(AND('E6 — Ajustes'!$E117="✔ Concluído",'E6 — Ajustes'!$F117="✔ Concluído",'E6 — Ajustes'!$G117="✔ Concluído",'E6 — Ajustes'!$H117="✔ Concluído",OR('E6 — Ajustes'!$I117="✔ Concluído",'E6 — Ajustes'!$I117="N/A"),'E6 — Ajustes'!$J117="✔ Concluído"),"Concluído",IF(COUNTIF('E6 — Ajustes'!$E117:$J117,"✔ Concluído")+COUNTIF('E6 — Ajustes'!$E117:$J117,"🔄 Em andamento")&gt;0,"Em andamento","Não iniciado"))))))))</f>
        <v/>
      </c>
      <c r="K135" s="234" t="str">
        <f>IF($B135="","",IF($I135&lt;&gt;"Concluído","Não iniciado",IF(AND($J135&lt;&gt;"Concluído",$J135&lt;&gt;"N/A"),"Não iniciado",IF(COUNTIF(Lançamentos!$B$3:$B$1001,$B135)=0,"Bloqueado",IF('E7 — Entrega'!$D117="","Bloqueado",IF(COUNTIF('E7 — Entrega'!$E117:$H117,"⛔ Bloqueado")&gt;0,"Bloqueado",IF(COUNTIF('E7 — Entrega'!$E117:$H117,"✔ Concluído")=4,"Concluído",IF(COUNTIF('E7 — Entrega'!$E117:$H117,"✔ Concluído")+COUNTIF('E7 — Entrega'!$E117:$H117,"🔄 Em andamento")&gt;0,"Em andamento","Não iniciado"))))))))</f>
        <v/>
      </c>
      <c r="L135" s="234" t="str">
        <f>IF($B135="","",IF($K135&lt;&gt;"Concluído","Não iniciado",IF(OR(COUNTIF('E08 — Estabilização Hypercare'!$E117:$J117,"⛔ Bloqueado")&gt;0,'E08 — Estabilização Hypercare'!$N117="⛔ Incidente Crítico — Encerramento Bloqueado",AND('E08 — Estabilização Hypercare'!$N117="🆕 Evolução Identificada — Nova Demanda Aberta",'E08 — Estabilização Hypercare'!$U117="")),"Bloqueado",IF(AND('E08 — Estabilização Hypercare'!$E117="✔ Concluído",'E08 — Estabilização Hypercare'!$F117="✔ Concluído",'E08 — Estabilização Hypercare'!$G117="✔ Concluído",OR('E08 — Estabilização Hypercare'!$H117="✔ Concluído",'E08 — Estabilização Hypercare'!$H117="N/A"),'E08 — Estabilização Hypercare'!$I117="✔ Concluído",'E08 — Estabilização Hypercare'!$J117="✔ Concluído",OR('E08 — Estabilização Hypercare'!$N117="✅ Estável — Demanda Encerrada",AND('E08 — Estabilização Hypercare'!$N117="🆕 Evolução Identificada — Nova Demanda Aberta",'E08 — Estabilização Hypercare'!$U117&lt;&gt;""))),"Concluído",IF(OR(COUNTIF('E08 — Estabilização Hypercare'!$E117:$J117,"✔ Concluído")&gt;0,COUNTIF('E08 — Estabilização Hypercare'!$E117:$J117,"🔄 Em andamento")&gt;0,'E08 — Estabilização Hypercare'!$N117&lt;&gt;""),"Em andamento","Não iniciado")))))</f>
        <v/>
      </c>
      <c r="M135" s="236" t="str" cm="1">
        <f t="array" ref="M135">IF(B135="","",_xlfn.IFS(E135&lt;&gt;"Concluído","E1 — Solicitação",F135&lt;&gt;"Concluído","E2 — Triagem",G135&lt;&gt;"Concluído","E3 — Levantamento ⚠",H135&lt;&gt;"Concluído","E4 — Execução",I135&lt;&gt;"Concluído","E5 — Validação ⚠",AND(J135&lt;&gt;"Concluído",J135&lt;&gt;"N/A"),"E6 — Ajustes",K135&lt;&gt;"Concluído","E7 — Entrega",L135&lt;&gt;"Concluído","E08 — Estabilização / Hypercare",TRUE,"✔ Fluxo concluído"))</f>
        <v/>
      </c>
      <c r="N135" s="237" t="str">
        <f t="shared" si="1"/>
        <v/>
      </c>
      <c r="O135" s="238"/>
    </row>
    <row r="136" spans="2:15" ht="15" customHeight="1" x14ac:dyDescent="0.35">
      <c r="B136" s="234" t="str">
        <f>IF(Lançamentos!$B113="","",Lançamentos!$B113)</f>
        <v/>
      </c>
      <c r="C136" s="235" t="str">
        <f>IF($B136="","",Lançamentos!$J113)</f>
        <v/>
      </c>
      <c r="D136" s="235" t="str">
        <f>IF($B136="","",Lançamentos!$H113)</f>
        <v/>
      </c>
      <c r="E136" s="234" t="str">
        <f>IF($B136="","",IF(COUNTIF(Lançamentos!$B$3:$B$1001,$B136)=0,"Bloqueado",IF(COUNTIF('E1 — Solicitação'!$E118:$L118,"⛔ Bloqueado")&gt;0,"Bloqueado",IF(COUNTIF('E1 — Solicitação'!$E118:$L118,"N/A")=8,"Bloqueado",IF(COUNTIF('E1 — Solicitação'!$E118:$L118,"✔ Concluído")+COUNTIF('E1 — Solicitação'!$E118:$L118,"N/A")=8,"Concluído",IF(COUNTIF('E1 — Solicitação'!$E118:$L118,"✔ Concluído")+COUNTIF('E1 — Solicitação'!$E118:$L118,"🔄 Em andamento")&gt;0,"Em andamento","Não iniciado"))))))</f>
        <v/>
      </c>
      <c r="F136" s="234" t="str">
        <f>IF($B136="","",IF($E136&lt;&gt;"Concluído","Não iniciado",IF(COUNTIF(Lançamentos!$B$3:$B$1001,$B136)=0,"Bloqueado",IF('E2 — Triagem'!$D118="","Bloqueado",IF(COUNTIF('E2 — Triagem'!$E118:$L118,"N/A")=8,"Bloqueado",IF(COUNTIF('E2 — Triagem'!$E118:$L118,"⛔ Bloqueado")&gt;0,"Bloqueado",IF(COUNTIF('E2 — Triagem'!$E118:$L118,"✔ Concluído")+COUNTIF('E2 — Triagem'!$E118:$L118,"N/A")=8,"Concluído",IF(COUNTIF('E2 — Triagem'!$E118:$L118,"✔ Concluído")+COUNTIF('E2 — Triagem'!$E118:$L118,"🔄 Em andamento")&gt;0,"Em andamento","Não iniciado"))))))))</f>
        <v/>
      </c>
      <c r="G136" s="234" t="str">
        <f>IF($B136="","",IF($F136&lt;&gt;"Concluído","Não iniciado",IF(COUNTIF(Lançamentos!$B$3:$B$1001,$B136)=0,"Bloqueado",IF('E3 — Levantamento'!$D118="","Bloqueado",IF(COUNTIF('E3 — Levantamento'!$E118:$I118,"⛔ Bloqueado")&gt;0,"Bloqueado",IF('E3 — Levantamento'!$I118="N/A","Bloqueado",IF(COUNTIF('E3 — Levantamento'!$E118:$I118,"✔ Concluído")=5,"Concluído",IF(COUNTIF('E3 — Levantamento'!$E118:$I118,"✔ Concluído")+COUNTIF('E3 — Levantamento'!$E118:$I118,"🔄 Em andamento")&gt;0,"Em andamento","Não iniciado"))))))))</f>
        <v/>
      </c>
      <c r="H136" s="234" t="str">
        <f>IF($B136="","",IF($G136&lt;&gt;"Concluído","Não iniciado",IF(COUNTIF(Lançamentos!$B$3:$B$1001,$B136)=0,"Bloqueado",IF('E4 — Execução'!$D118="","Bloqueado",IF(COUNTIF('E4 — Execução'!$E118:$K118,"⛔ Bloqueado")&gt;0,"Bloqueado",IF(COUNTIF('E4 — Execução'!$E118:$K118,"✔ Concluído")=7,"Concluído",IF(COUNTIF('E4 — Execução'!$E118:$K118,"✔ Concluído")+COUNTIF('E4 — Execução'!$E118:$K118,"🔄 Em andamento")&gt;0,"Em andamento","Não iniciado")))))))</f>
        <v/>
      </c>
      <c r="I136" s="234" t="str">
        <f>IF($B136="","",IF($H136&lt;&gt;"Concluído","Não iniciado",IF(COUNTIF(Lançamentos!$B$3:$B$1001,$B136)=0,"Bloqueado",IF('E5 — Validação'!$D118="","Bloqueado",IF(COUNTIF('E5 — Validação'!$E118:$I118,"⛔ Bloqueado")&gt;0,"Bloqueado",IF('E5 — Validação'!$I118="N/A","Bloqueado",IF(AND('E5 — Validação'!$E118="✔ Concluído",'E5 — Validação'!$F118="✔ Concluído",OR('E5 — Validação'!$G118="✔ Concluído",'E5 — Validação'!$G118="N/A"),'E5 — Validação'!$H118="✔ Concluído",'E5 — Validação'!$I118="✔ Concluído"),"Concluído",IF(COUNTIF('E5 — Validação'!$E118:$I118,"✔ Concluído")+COUNTIF('E5 — Validação'!$E118:$I118,"🔄 Em andamento")&gt;0,"Em andamento","Não iniciado"))))))))</f>
        <v/>
      </c>
      <c r="J136" s="234" t="str">
        <f>IF($B136="","",IF($I136&lt;&gt;"Concluído","Não iniciado",IF('E6 — Ajustes'!$N118="Não","N/A",IF(COUNTIF(Lançamentos!$B$3:$B$1001,$B136)=0,"Bloqueado",IF('E6 — Ajustes'!$D118="","Bloqueado",IF(COUNTIF('E6 — Ajustes'!$E118:$J118,"⛔ Bloqueado")&gt;0,"Bloqueado",IF(AND('E6 — Ajustes'!$E118="✔ Concluído",'E6 — Ajustes'!$F118="✔ Concluído",'E6 — Ajustes'!$G118="✔ Concluído",'E6 — Ajustes'!$H118="✔ Concluído",OR('E6 — Ajustes'!$I118="✔ Concluído",'E6 — Ajustes'!$I118="N/A"),'E6 — Ajustes'!$J118="✔ Concluído"),"Concluído",IF(COUNTIF('E6 — Ajustes'!$E118:$J118,"✔ Concluído")+COUNTIF('E6 — Ajustes'!$E118:$J118,"🔄 Em andamento")&gt;0,"Em andamento","Não iniciado"))))))))</f>
        <v/>
      </c>
      <c r="K136" s="234" t="str">
        <f>IF($B136="","",IF($I136&lt;&gt;"Concluído","Não iniciado",IF(AND($J136&lt;&gt;"Concluído",$J136&lt;&gt;"N/A"),"Não iniciado",IF(COUNTIF(Lançamentos!$B$3:$B$1001,$B136)=0,"Bloqueado",IF('E7 — Entrega'!$D118="","Bloqueado",IF(COUNTIF('E7 — Entrega'!$E118:$H118,"⛔ Bloqueado")&gt;0,"Bloqueado",IF(COUNTIF('E7 — Entrega'!$E118:$H118,"✔ Concluído")=4,"Concluído",IF(COUNTIF('E7 — Entrega'!$E118:$H118,"✔ Concluído")+COUNTIF('E7 — Entrega'!$E118:$H118,"🔄 Em andamento")&gt;0,"Em andamento","Não iniciado"))))))))</f>
        <v/>
      </c>
      <c r="L136" s="234" t="str">
        <f>IF($B136="","",IF($K136&lt;&gt;"Concluído","Não iniciado",IF(OR(COUNTIF('E08 — Estabilização Hypercare'!$E118:$J118,"⛔ Bloqueado")&gt;0,'E08 — Estabilização Hypercare'!$N118="⛔ Incidente Crítico — Encerramento Bloqueado",AND('E08 — Estabilização Hypercare'!$N118="🆕 Evolução Identificada — Nova Demanda Aberta",'E08 — Estabilização Hypercare'!$U118="")),"Bloqueado",IF(AND('E08 — Estabilização Hypercare'!$E118="✔ Concluído",'E08 — Estabilização Hypercare'!$F118="✔ Concluído",'E08 — Estabilização Hypercare'!$G118="✔ Concluído",OR('E08 — Estabilização Hypercare'!$H118="✔ Concluído",'E08 — Estabilização Hypercare'!$H118="N/A"),'E08 — Estabilização Hypercare'!$I118="✔ Concluído",'E08 — Estabilização Hypercare'!$J118="✔ Concluído",OR('E08 — Estabilização Hypercare'!$N118="✅ Estável — Demanda Encerrada",AND('E08 — Estabilização Hypercare'!$N118="🆕 Evolução Identificada — Nova Demanda Aberta",'E08 — Estabilização Hypercare'!$U118&lt;&gt;""))),"Concluído",IF(OR(COUNTIF('E08 — Estabilização Hypercare'!$E118:$J118,"✔ Concluído")&gt;0,COUNTIF('E08 — Estabilização Hypercare'!$E118:$J118,"🔄 Em andamento")&gt;0,'E08 — Estabilização Hypercare'!$N118&lt;&gt;""),"Em andamento","Não iniciado")))))</f>
        <v/>
      </c>
      <c r="M136" s="236" t="str" cm="1">
        <f t="array" ref="M136">IF(B136="","",_xlfn.IFS(E136&lt;&gt;"Concluído","E1 — Solicitação",F136&lt;&gt;"Concluído","E2 — Triagem",G136&lt;&gt;"Concluído","E3 — Levantamento ⚠",H136&lt;&gt;"Concluído","E4 — Execução",I136&lt;&gt;"Concluído","E5 — Validação ⚠",AND(J136&lt;&gt;"Concluído",J136&lt;&gt;"N/A"),"E6 — Ajustes",K136&lt;&gt;"Concluído","E7 — Entrega",L136&lt;&gt;"Concluído","E08 — Estabilização / Hypercare",TRUE,"✔ Fluxo concluído"))</f>
        <v/>
      </c>
      <c r="N136" s="237" t="str">
        <f t="shared" si="1"/>
        <v/>
      </c>
      <c r="O136" s="238"/>
    </row>
    <row r="137" spans="2:15" ht="15" customHeight="1" x14ac:dyDescent="0.35">
      <c r="B137" s="234" t="str">
        <f>IF(Lançamentos!$B114="","",Lançamentos!$B114)</f>
        <v/>
      </c>
      <c r="C137" s="235" t="str">
        <f>IF($B137="","",Lançamentos!$J114)</f>
        <v/>
      </c>
      <c r="D137" s="235" t="str">
        <f>IF($B137="","",Lançamentos!$H114)</f>
        <v/>
      </c>
      <c r="E137" s="234" t="str">
        <f>IF($B137="","",IF(COUNTIF(Lançamentos!$B$3:$B$1001,$B137)=0,"Bloqueado",IF(COUNTIF('E1 — Solicitação'!$E119:$L119,"⛔ Bloqueado")&gt;0,"Bloqueado",IF(COUNTIF('E1 — Solicitação'!$E119:$L119,"N/A")=8,"Bloqueado",IF(COUNTIF('E1 — Solicitação'!$E119:$L119,"✔ Concluído")+COUNTIF('E1 — Solicitação'!$E119:$L119,"N/A")=8,"Concluído",IF(COUNTIF('E1 — Solicitação'!$E119:$L119,"✔ Concluído")+COUNTIF('E1 — Solicitação'!$E119:$L119,"🔄 Em andamento")&gt;0,"Em andamento","Não iniciado"))))))</f>
        <v/>
      </c>
      <c r="F137" s="234" t="str">
        <f>IF($B137="","",IF($E137&lt;&gt;"Concluído","Não iniciado",IF(COUNTIF(Lançamentos!$B$3:$B$1001,$B137)=0,"Bloqueado",IF('E2 — Triagem'!$D119="","Bloqueado",IF(COUNTIF('E2 — Triagem'!$E119:$L119,"N/A")=8,"Bloqueado",IF(COUNTIF('E2 — Triagem'!$E119:$L119,"⛔ Bloqueado")&gt;0,"Bloqueado",IF(COUNTIF('E2 — Triagem'!$E119:$L119,"✔ Concluído")+COUNTIF('E2 — Triagem'!$E119:$L119,"N/A")=8,"Concluído",IF(COUNTIF('E2 — Triagem'!$E119:$L119,"✔ Concluído")+COUNTIF('E2 — Triagem'!$E119:$L119,"🔄 Em andamento")&gt;0,"Em andamento","Não iniciado"))))))))</f>
        <v/>
      </c>
      <c r="G137" s="234" t="str">
        <f>IF($B137="","",IF($F137&lt;&gt;"Concluído","Não iniciado",IF(COUNTIF(Lançamentos!$B$3:$B$1001,$B137)=0,"Bloqueado",IF('E3 — Levantamento'!$D119="","Bloqueado",IF(COUNTIF('E3 — Levantamento'!$E119:$I119,"⛔ Bloqueado")&gt;0,"Bloqueado",IF('E3 — Levantamento'!$I119="N/A","Bloqueado",IF(COUNTIF('E3 — Levantamento'!$E119:$I119,"✔ Concluído")=5,"Concluído",IF(COUNTIF('E3 — Levantamento'!$E119:$I119,"✔ Concluído")+COUNTIF('E3 — Levantamento'!$E119:$I119,"🔄 Em andamento")&gt;0,"Em andamento","Não iniciado"))))))))</f>
        <v/>
      </c>
      <c r="H137" s="234" t="str">
        <f>IF($B137="","",IF($G137&lt;&gt;"Concluído","Não iniciado",IF(COUNTIF(Lançamentos!$B$3:$B$1001,$B137)=0,"Bloqueado",IF('E4 — Execução'!$D119="","Bloqueado",IF(COUNTIF('E4 — Execução'!$E119:$K119,"⛔ Bloqueado")&gt;0,"Bloqueado",IF(COUNTIF('E4 — Execução'!$E119:$K119,"✔ Concluído")=7,"Concluído",IF(COUNTIF('E4 — Execução'!$E119:$K119,"✔ Concluído")+COUNTIF('E4 — Execução'!$E119:$K119,"🔄 Em andamento")&gt;0,"Em andamento","Não iniciado")))))))</f>
        <v/>
      </c>
      <c r="I137" s="234" t="str">
        <f>IF($B137="","",IF($H137&lt;&gt;"Concluído","Não iniciado",IF(COUNTIF(Lançamentos!$B$3:$B$1001,$B137)=0,"Bloqueado",IF('E5 — Validação'!$D119="","Bloqueado",IF(COUNTIF('E5 — Validação'!$E119:$I119,"⛔ Bloqueado")&gt;0,"Bloqueado",IF('E5 — Validação'!$I119="N/A","Bloqueado",IF(AND('E5 — Validação'!$E119="✔ Concluído",'E5 — Validação'!$F119="✔ Concluído",OR('E5 — Validação'!$G119="✔ Concluído",'E5 — Validação'!$G119="N/A"),'E5 — Validação'!$H119="✔ Concluído",'E5 — Validação'!$I119="✔ Concluído"),"Concluído",IF(COUNTIF('E5 — Validação'!$E119:$I119,"✔ Concluído")+COUNTIF('E5 — Validação'!$E119:$I119,"🔄 Em andamento")&gt;0,"Em andamento","Não iniciado"))))))))</f>
        <v/>
      </c>
      <c r="J137" s="234" t="str">
        <f>IF($B137="","",IF($I137&lt;&gt;"Concluído","Não iniciado",IF('E6 — Ajustes'!$N119="Não","N/A",IF(COUNTIF(Lançamentos!$B$3:$B$1001,$B137)=0,"Bloqueado",IF('E6 — Ajustes'!$D119="","Bloqueado",IF(COUNTIF('E6 — Ajustes'!$E119:$J119,"⛔ Bloqueado")&gt;0,"Bloqueado",IF(AND('E6 — Ajustes'!$E119="✔ Concluído",'E6 — Ajustes'!$F119="✔ Concluído",'E6 — Ajustes'!$G119="✔ Concluído",'E6 — Ajustes'!$H119="✔ Concluído",OR('E6 — Ajustes'!$I119="✔ Concluído",'E6 — Ajustes'!$I119="N/A"),'E6 — Ajustes'!$J119="✔ Concluído"),"Concluído",IF(COUNTIF('E6 — Ajustes'!$E119:$J119,"✔ Concluído")+COUNTIF('E6 — Ajustes'!$E119:$J119,"🔄 Em andamento")&gt;0,"Em andamento","Não iniciado"))))))))</f>
        <v/>
      </c>
      <c r="K137" s="234" t="str">
        <f>IF($B137="","",IF($I137&lt;&gt;"Concluído","Não iniciado",IF(AND($J137&lt;&gt;"Concluído",$J137&lt;&gt;"N/A"),"Não iniciado",IF(COUNTIF(Lançamentos!$B$3:$B$1001,$B137)=0,"Bloqueado",IF('E7 — Entrega'!$D119="","Bloqueado",IF(COUNTIF('E7 — Entrega'!$E119:$H119,"⛔ Bloqueado")&gt;0,"Bloqueado",IF(COUNTIF('E7 — Entrega'!$E119:$H119,"✔ Concluído")=4,"Concluído",IF(COUNTIF('E7 — Entrega'!$E119:$H119,"✔ Concluído")+COUNTIF('E7 — Entrega'!$E119:$H119,"🔄 Em andamento")&gt;0,"Em andamento","Não iniciado"))))))))</f>
        <v/>
      </c>
      <c r="L137" s="234" t="str">
        <f>IF($B137="","",IF($K137&lt;&gt;"Concluído","Não iniciado",IF(OR(COUNTIF('E08 — Estabilização Hypercare'!$E119:$J119,"⛔ Bloqueado")&gt;0,'E08 — Estabilização Hypercare'!$N119="⛔ Incidente Crítico — Encerramento Bloqueado",AND('E08 — Estabilização Hypercare'!$N119="🆕 Evolução Identificada — Nova Demanda Aberta",'E08 — Estabilização Hypercare'!$U119="")),"Bloqueado",IF(AND('E08 — Estabilização Hypercare'!$E119="✔ Concluído",'E08 — Estabilização Hypercare'!$F119="✔ Concluído",'E08 — Estabilização Hypercare'!$G119="✔ Concluído",OR('E08 — Estabilização Hypercare'!$H119="✔ Concluído",'E08 — Estabilização Hypercare'!$H119="N/A"),'E08 — Estabilização Hypercare'!$I119="✔ Concluído",'E08 — Estabilização Hypercare'!$J119="✔ Concluído",OR('E08 — Estabilização Hypercare'!$N119="✅ Estável — Demanda Encerrada",AND('E08 — Estabilização Hypercare'!$N119="🆕 Evolução Identificada — Nova Demanda Aberta",'E08 — Estabilização Hypercare'!$U119&lt;&gt;""))),"Concluído",IF(OR(COUNTIF('E08 — Estabilização Hypercare'!$E119:$J119,"✔ Concluído")&gt;0,COUNTIF('E08 — Estabilização Hypercare'!$E119:$J119,"🔄 Em andamento")&gt;0,'E08 — Estabilização Hypercare'!$N119&lt;&gt;""),"Em andamento","Não iniciado")))))</f>
        <v/>
      </c>
      <c r="M137" s="236" t="str" cm="1">
        <f t="array" ref="M137">IF(B137="","",_xlfn.IFS(E137&lt;&gt;"Concluído","E1 — Solicitação",F137&lt;&gt;"Concluído","E2 — Triagem",G137&lt;&gt;"Concluído","E3 — Levantamento ⚠",H137&lt;&gt;"Concluído","E4 — Execução",I137&lt;&gt;"Concluído","E5 — Validação ⚠",AND(J137&lt;&gt;"Concluído",J137&lt;&gt;"N/A"),"E6 — Ajustes",K137&lt;&gt;"Concluído","E7 — Entrega",L137&lt;&gt;"Concluído","E08 — Estabilização / Hypercare",TRUE,"✔ Fluxo concluído"))</f>
        <v/>
      </c>
      <c r="N137" s="237" t="str">
        <f t="shared" si="1"/>
        <v/>
      </c>
      <c r="O137" s="238"/>
    </row>
    <row r="138" spans="2:15" ht="15" customHeight="1" x14ac:dyDescent="0.35">
      <c r="B138" s="234" t="str">
        <f>IF(Lançamentos!$B115="","",Lançamentos!$B115)</f>
        <v/>
      </c>
      <c r="C138" s="235" t="str">
        <f>IF($B138="","",Lançamentos!$J115)</f>
        <v/>
      </c>
      <c r="D138" s="235" t="str">
        <f>IF($B138="","",Lançamentos!$H115)</f>
        <v/>
      </c>
      <c r="E138" s="234" t="str">
        <f>IF($B138="","",IF(COUNTIF(Lançamentos!$B$3:$B$1001,$B138)=0,"Bloqueado",IF(COUNTIF('E1 — Solicitação'!$E120:$L120,"⛔ Bloqueado")&gt;0,"Bloqueado",IF(COUNTIF('E1 — Solicitação'!$E120:$L120,"N/A")=8,"Bloqueado",IF(COUNTIF('E1 — Solicitação'!$E120:$L120,"✔ Concluído")+COUNTIF('E1 — Solicitação'!$E120:$L120,"N/A")=8,"Concluído",IF(COUNTIF('E1 — Solicitação'!$E120:$L120,"✔ Concluído")+COUNTIF('E1 — Solicitação'!$E120:$L120,"🔄 Em andamento")&gt;0,"Em andamento","Não iniciado"))))))</f>
        <v/>
      </c>
      <c r="F138" s="234" t="str">
        <f>IF($B138="","",IF($E138&lt;&gt;"Concluído","Não iniciado",IF(COUNTIF(Lançamentos!$B$3:$B$1001,$B138)=0,"Bloqueado",IF('E2 — Triagem'!$D120="","Bloqueado",IF(COUNTIF('E2 — Triagem'!$E120:$L120,"N/A")=8,"Bloqueado",IF(COUNTIF('E2 — Triagem'!$E120:$L120,"⛔ Bloqueado")&gt;0,"Bloqueado",IF(COUNTIF('E2 — Triagem'!$E120:$L120,"✔ Concluído")+COUNTIF('E2 — Triagem'!$E120:$L120,"N/A")=8,"Concluído",IF(COUNTIF('E2 — Triagem'!$E120:$L120,"✔ Concluído")+COUNTIF('E2 — Triagem'!$E120:$L120,"🔄 Em andamento")&gt;0,"Em andamento","Não iniciado"))))))))</f>
        <v/>
      </c>
      <c r="G138" s="234" t="str">
        <f>IF($B138="","",IF($F138&lt;&gt;"Concluído","Não iniciado",IF(COUNTIF(Lançamentos!$B$3:$B$1001,$B138)=0,"Bloqueado",IF('E3 — Levantamento'!$D120="","Bloqueado",IF(COUNTIF('E3 — Levantamento'!$E120:$I120,"⛔ Bloqueado")&gt;0,"Bloqueado",IF('E3 — Levantamento'!$I120="N/A","Bloqueado",IF(COUNTIF('E3 — Levantamento'!$E120:$I120,"✔ Concluído")=5,"Concluído",IF(COUNTIF('E3 — Levantamento'!$E120:$I120,"✔ Concluído")+COUNTIF('E3 — Levantamento'!$E120:$I120,"🔄 Em andamento")&gt;0,"Em andamento","Não iniciado"))))))))</f>
        <v/>
      </c>
      <c r="H138" s="234" t="str">
        <f>IF($B138="","",IF($G138&lt;&gt;"Concluído","Não iniciado",IF(COUNTIF(Lançamentos!$B$3:$B$1001,$B138)=0,"Bloqueado",IF('E4 — Execução'!$D120="","Bloqueado",IF(COUNTIF('E4 — Execução'!$E120:$K120,"⛔ Bloqueado")&gt;0,"Bloqueado",IF(COUNTIF('E4 — Execução'!$E120:$K120,"✔ Concluído")=7,"Concluído",IF(COUNTIF('E4 — Execução'!$E120:$K120,"✔ Concluído")+COUNTIF('E4 — Execução'!$E120:$K120,"🔄 Em andamento")&gt;0,"Em andamento","Não iniciado")))))))</f>
        <v/>
      </c>
      <c r="I138" s="234" t="str">
        <f>IF($B138="","",IF($H138&lt;&gt;"Concluído","Não iniciado",IF(COUNTIF(Lançamentos!$B$3:$B$1001,$B138)=0,"Bloqueado",IF('E5 — Validação'!$D120="","Bloqueado",IF(COUNTIF('E5 — Validação'!$E120:$I120,"⛔ Bloqueado")&gt;0,"Bloqueado",IF('E5 — Validação'!$I120="N/A","Bloqueado",IF(AND('E5 — Validação'!$E120="✔ Concluído",'E5 — Validação'!$F120="✔ Concluído",OR('E5 — Validação'!$G120="✔ Concluído",'E5 — Validação'!$G120="N/A"),'E5 — Validação'!$H120="✔ Concluído",'E5 — Validação'!$I120="✔ Concluído"),"Concluído",IF(COUNTIF('E5 — Validação'!$E120:$I120,"✔ Concluído")+COUNTIF('E5 — Validação'!$E120:$I120,"🔄 Em andamento")&gt;0,"Em andamento","Não iniciado"))))))))</f>
        <v/>
      </c>
      <c r="J138" s="234" t="str">
        <f>IF($B138="","",IF($I138&lt;&gt;"Concluído","Não iniciado",IF('E6 — Ajustes'!$N120="Não","N/A",IF(COUNTIF(Lançamentos!$B$3:$B$1001,$B138)=0,"Bloqueado",IF('E6 — Ajustes'!$D120="","Bloqueado",IF(COUNTIF('E6 — Ajustes'!$E120:$J120,"⛔ Bloqueado")&gt;0,"Bloqueado",IF(AND('E6 — Ajustes'!$E120="✔ Concluído",'E6 — Ajustes'!$F120="✔ Concluído",'E6 — Ajustes'!$G120="✔ Concluído",'E6 — Ajustes'!$H120="✔ Concluído",OR('E6 — Ajustes'!$I120="✔ Concluído",'E6 — Ajustes'!$I120="N/A"),'E6 — Ajustes'!$J120="✔ Concluído"),"Concluído",IF(COUNTIF('E6 — Ajustes'!$E120:$J120,"✔ Concluído")+COUNTIF('E6 — Ajustes'!$E120:$J120,"🔄 Em andamento")&gt;0,"Em andamento","Não iniciado"))))))))</f>
        <v/>
      </c>
      <c r="K138" s="234" t="str">
        <f>IF($B138="","",IF($I138&lt;&gt;"Concluído","Não iniciado",IF(AND($J138&lt;&gt;"Concluído",$J138&lt;&gt;"N/A"),"Não iniciado",IF(COUNTIF(Lançamentos!$B$3:$B$1001,$B138)=0,"Bloqueado",IF('E7 — Entrega'!$D120="","Bloqueado",IF(COUNTIF('E7 — Entrega'!$E120:$H120,"⛔ Bloqueado")&gt;0,"Bloqueado",IF(COUNTIF('E7 — Entrega'!$E120:$H120,"✔ Concluído")=4,"Concluído",IF(COUNTIF('E7 — Entrega'!$E120:$H120,"✔ Concluído")+COUNTIF('E7 — Entrega'!$E120:$H120,"🔄 Em andamento")&gt;0,"Em andamento","Não iniciado"))))))))</f>
        <v/>
      </c>
      <c r="L138" s="234" t="str">
        <f>IF($B138="","",IF($K138&lt;&gt;"Concluído","Não iniciado",IF(OR(COUNTIF('E08 — Estabilização Hypercare'!$E120:$J120,"⛔ Bloqueado")&gt;0,'E08 — Estabilização Hypercare'!$N120="⛔ Incidente Crítico — Encerramento Bloqueado",AND('E08 — Estabilização Hypercare'!$N120="🆕 Evolução Identificada — Nova Demanda Aberta",'E08 — Estabilização Hypercare'!$U120="")),"Bloqueado",IF(AND('E08 — Estabilização Hypercare'!$E120="✔ Concluído",'E08 — Estabilização Hypercare'!$F120="✔ Concluído",'E08 — Estabilização Hypercare'!$G120="✔ Concluído",OR('E08 — Estabilização Hypercare'!$H120="✔ Concluído",'E08 — Estabilização Hypercare'!$H120="N/A"),'E08 — Estabilização Hypercare'!$I120="✔ Concluído",'E08 — Estabilização Hypercare'!$J120="✔ Concluído",OR('E08 — Estabilização Hypercare'!$N120="✅ Estável — Demanda Encerrada",AND('E08 — Estabilização Hypercare'!$N120="🆕 Evolução Identificada — Nova Demanda Aberta",'E08 — Estabilização Hypercare'!$U120&lt;&gt;""))),"Concluído",IF(OR(COUNTIF('E08 — Estabilização Hypercare'!$E120:$J120,"✔ Concluído")&gt;0,COUNTIF('E08 — Estabilização Hypercare'!$E120:$J120,"🔄 Em andamento")&gt;0,'E08 — Estabilização Hypercare'!$N120&lt;&gt;""),"Em andamento","Não iniciado")))))</f>
        <v/>
      </c>
      <c r="M138" s="236" t="str" cm="1">
        <f t="array" ref="M138">IF(B138="","",_xlfn.IFS(E138&lt;&gt;"Concluído","E1 — Solicitação",F138&lt;&gt;"Concluído","E2 — Triagem",G138&lt;&gt;"Concluído","E3 — Levantamento ⚠",H138&lt;&gt;"Concluído","E4 — Execução",I138&lt;&gt;"Concluído","E5 — Validação ⚠",AND(J138&lt;&gt;"Concluído",J138&lt;&gt;"N/A"),"E6 — Ajustes",K138&lt;&gt;"Concluído","E7 — Entrega",L138&lt;&gt;"Concluído","E08 — Estabilização / Hypercare",TRUE,"✔ Fluxo concluído"))</f>
        <v/>
      </c>
      <c r="N138" s="237" t="str">
        <f t="shared" si="1"/>
        <v/>
      </c>
      <c r="O138" s="238"/>
    </row>
    <row r="139" spans="2:15" ht="15" customHeight="1" x14ac:dyDescent="0.35">
      <c r="B139" s="234" t="str">
        <f>IF(Lançamentos!$B116="","",Lançamentos!$B116)</f>
        <v/>
      </c>
      <c r="C139" s="235" t="str">
        <f>IF($B139="","",Lançamentos!$J116)</f>
        <v/>
      </c>
      <c r="D139" s="235" t="str">
        <f>IF($B139="","",Lançamentos!$H116)</f>
        <v/>
      </c>
      <c r="E139" s="234" t="str">
        <f>IF($B139="","",IF(COUNTIF(Lançamentos!$B$3:$B$1001,$B139)=0,"Bloqueado",IF(COUNTIF('E1 — Solicitação'!$E121:$L121,"⛔ Bloqueado")&gt;0,"Bloqueado",IF(COUNTIF('E1 — Solicitação'!$E121:$L121,"N/A")=8,"Bloqueado",IF(COUNTIF('E1 — Solicitação'!$E121:$L121,"✔ Concluído")+COUNTIF('E1 — Solicitação'!$E121:$L121,"N/A")=8,"Concluído",IF(COUNTIF('E1 — Solicitação'!$E121:$L121,"✔ Concluído")+COUNTIF('E1 — Solicitação'!$E121:$L121,"🔄 Em andamento")&gt;0,"Em andamento","Não iniciado"))))))</f>
        <v/>
      </c>
      <c r="F139" s="234" t="str">
        <f>IF($B139="","",IF($E139&lt;&gt;"Concluído","Não iniciado",IF(COUNTIF(Lançamentos!$B$3:$B$1001,$B139)=0,"Bloqueado",IF('E2 — Triagem'!$D121="","Bloqueado",IF(COUNTIF('E2 — Triagem'!$E121:$L121,"N/A")=8,"Bloqueado",IF(COUNTIF('E2 — Triagem'!$E121:$L121,"⛔ Bloqueado")&gt;0,"Bloqueado",IF(COUNTIF('E2 — Triagem'!$E121:$L121,"✔ Concluído")+COUNTIF('E2 — Triagem'!$E121:$L121,"N/A")=8,"Concluído",IF(COUNTIF('E2 — Triagem'!$E121:$L121,"✔ Concluído")+COUNTIF('E2 — Triagem'!$E121:$L121,"🔄 Em andamento")&gt;0,"Em andamento","Não iniciado"))))))))</f>
        <v/>
      </c>
      <c r="G139" s="234" t="str">
        <f>IF($B139="","",IF($F139&lt;&gt;"Concluído","Não iniciado",IF(COUNTIF(Lançamentos!$B$3:$B$1001,$B139)=0,"Bloqueado",IF('E3 — Levantamento'!$D121="","Bloqueado",IF(COUNTIF('E3 — Levantamento'!$E121:$I121,"⛔ Bloqueado")&gt;0,"Bloqueado",IF('E3 — Levantamento'!$I121="N/A","Bloqueado",IF(COUNTIF('E3 — Levantamento'!$E121:$I121,"✔ Concluído")=5,"Concluído",IF(COUNTIF('E3 — Levantamento'!$E121:$I121,"✔ Concluído")+COUNTIF('E3 — Levantamento'!$E121:$I121,"🔄 Em andamento")&gt;0,"Em andamento","Não iniciado"))))))))</f>
        <v/>
      </c>
      <c r="H139" s="234" t="str">
        <f>IF($B139="","",IF($G139&lt;&gt;"Concluído","Não iniciado",IF(COUNTIF(Lançamentos!$B$3:$B$1001,$B139)=0,"Bloqueado",IF('E4 — Execução'!$D121="","Bloqueado",IF(COUNTIF('E4 — Execução'!$E121:$K121,"⛔ Bloqueado")&gt;0,"Bloqueado",IF(COUNTIF('E4 — Execução'!$E121:$K121,"✔ Concluído")=7,"Concluído",IF(COUNTIF('E4 — Execução'!$E121:$K121,"✔ Concluído")+COUNTIF('E4 — Execução'!$E121:$K121,"🔄 Em andamento")&gt;0,"Em andamento","Não iniciado")))))))</f>
        <v/>
      </c>
      <c r="I139" s="234" t="str">
        <f>IF($B139="","",IF($H139&lt;&gt;"Concluído","Não iniciado",IF(COUNTIF(Lançamentos!$B$3:$B$1001,$B139)=0,"Bloqueado",IF('E5 — Validação'!$D121="","Bloqueado",IF(COUNTIF('E5 — Validação'!$E121:$I121,"⛔ Bloqueado")&gt;0,"Bloqueado",IF('E5 — Validação'!$I121="N/A","Bloqueado",IF(AND('E5 — Validação'!$E121="✔ Concluído",'E5 — Validação'!$F121="✔ Concluído",OR('E5 — Validação'!$G121="✔ Concluído",'E5 — Validação'!$G121="N/A"),'E5 — Validação'!$H121="✔ Concluído",'E5 — Validação'!$I121="✔ Concluído"),"Concluído",IF(COUNTIF('E5 — Validação'!$E121:$I121,"✔ Concluído")+COUNTIF('E5 — Validação'!$E121:$I121,"🔄 Em andamento")&gt;0,"Em andamento","Não iniciado"))))))))</f>
        <v/>
      </c>
      <c r="J139" s="234" t="str">
        <f>IF($B139="","",IF($I139&lt;&gt;"Concluído","Não iniciado",IF('E6 — Ajustes'!$N121="Não","N/A",IF(COUNTIF(Lançamentos!$B$3:$B$1001,$B139)=0,"Bloqueado",IF('E6 — Ajustes'!$D121="","Bloqueado",IF(COUNTIF('E6 — Ajustes'!$E121:$J121,"⛔ Bloqueado")&gt;0,"Bloqueado",IF(AND('E6 — Ajustes'!$E121="✔ Concluído",'E6 — Ajustes'!$F121="✔ Concluído",'E6 — Ajustes'!$G121="✔ Concluído",'E6 — Ajustes'!$H121="✔ Concluído",OR('E6 — Ajustes'!$I121="✔ Concluído",'E6 — Ajustes'!$I121="N/A"),'E6 — Ajustes'!$J121="✔ Concluído"),"Concluído",IF(COUNTIF('E6 — Ajustes'!$E121:$J121,"✔ Concluído")+COUNTIF('E6 — Ajustes'!$E121:$J121,"🔄 Em andamento")&gt;0,"Em andamento","Não iniciado"))))))))</f>
        <v/>
      </c>
      <c r="K139" s="234" t="str">
        <f>IF($B139="","",IF($I139&lt;&gt;"Concluído","Não iniciado",IF(AND($J139&lt;&gt;"Concluído",$J139&lt;&gt;"N/A"),"Não iniciado",IF(COUNTIF(Lançamentos!$B$3:$B$1001,$B139)=0,"Bloqueado",IF('E7 — Entrega'!$D121="","Bloqueado",IF(COUNTIF('E7 — Entrega'!$E121:$H121,"⛔ Bloqueado")&gt;0,"Bloqueado",IF(COUNTIF('E7 — Entrega'!$E121:$H121,"✔ Concluído")=4,"Concluído",IF(COUNTIF('E7 — Entrega'!$E121:$H121,"✔ Concluído")+COUNTIF('E7 — Entrega'!$E121:$H121,"🔄 Em andamento")&gt;0,"Em andamento","Não iniciado"))))))))</f>
        <v/>
      </c>
      <c r="L139" s="234" t="str">
        <f>IF($B139="","",IF($K139&lt;&gt;"Concluído","Não iniciado",IF(OR(COUNTIF('E08 — Estabilização Hypercare'!$E121:$J121,"⛔ Bloqueado")&gt;0,'E08 — Estabilização Hypercare'!$N121="⛔ Incidente Crítico — Encerramento Bloqueado",AND('E08 — Estabilização Hypercare'!$N121="🆕 Evolução Identificada — Nova Demanda Aberta",'E08 — Estabilização Hypercare'!$U121="")),"Bloqueado",IF(AND('E08 — Estabilização Hypercare'!$E121="✔ Concluído",'E08 — Estabilização Hypercare'!$F121="✔ Concluído",'E08 — Estabilização Hypercare'!$G121="✔ Concluído",OR('E08 — Estabilização Hypercare'!$H121="✔ Concluído",'E08 — Estabilização Hypercare'!$H121="N/A"),'E08 — Estabilização Hypercare'!$I121="✔ Concluído",'E08 — Estabilização Hypercare'!$J121="✔ Concluído",OR('E08 — Estabilização Hypercare'!$N121="✅ Estável — Demanda Encerrada",AND('E08 — Estabilização Hypercare'!$N121="🆕 Evolução Identificada — Nova Demanda Aberta",'E08 — Estabilização Hypercare'!$U121&lt;&gt;""))),"Concluído",IF(OR(COUNTIF('E08 — Estabilização Hypercare'!$E121:$J121,"✔ Concluído")&gt;0,COUNTIF('E08 — Estabilização Hypercare'!$E121:$J121,"🔄 Em andamento")&gt;0,'E08 — Estabilização Hypercare'!$N121&lt;&gt;""),"Em andamento","Não iniciado")))))</f>
        <v/>
      </c>
      <c r="M139" s="236" t="str" cm="1">
        <f t="array" ref="M139">IF(B139="","",_xlfn.IFS(E139&lt;&gt;"Concluído","E1 — Solicitação",F139&lt;&gt;"Concluído","E2 — Triagem",G139&lt;&gt;"Concluído","E3 — Levantamento ⚠",H139&lt;&gt;"Concluído","E4 — Execução",I139&lt;&gt;"Concluído","E5 — Validação ⚠",AND(J139&lt;&gt;"Concluído",J139&lt;&gt;"N/A"),"E6 — Ajustes",K139&lt;&gt;"Concluído","E7 — Entrega",L139&lt;&gt;"Concluído","E08 — Estabilização / Hypercare",TRUE,"✔ Fluxo concluído"))</f>
        <v/>
      </c>
      <c r="N139" s="237" t="str">
        <f t="shared" si="1"/>
        <v/>
      </c>
      <c r="O139" s="238"/>
    </row>
    <row r="140" spans="2:15" ht="15" customHeight="1" x14ac:dyDescent="0.35">
      <c r="B140" s="234" t="str">
        <f>IF(Lançamentos!$B117="","",Lançamentos!$B117)</f>
        <v/>
      </c>
      <c r="C140" s="235" t="str">
        <f>IF($B140="","",Lançamentos!$J117)</f>
        <v/>
      </c>
      <c r="D140" s="235" t="str">
        <f>IF($B140="","",Lançamentos!$H117)</f>
        <v/>
      </c>
      <c r="E140" s="234" t="str">
        <f>IF($B140="","",IF(COUNTIF(Lançamentos!$B$3:$B$1001,$B140)=0,"Bloqueado",IF(COUNTIF('E1 — Solicitação'!$E122:$L122,"⛔ Bloqueado")&gt;0,"Bloqueado",IF(COUNTIF('E1 — Solicitação'!$E122:$L122,"N/A")=8,"Bloqueado",IF(COUNTIF('E1 — Solicitação'!$E122:$L122,"✔ Concluído")+COUNTIF('E1 — Solicitação'!$E122:$L122,"N/A")=8,"Concluído",IF(COUNTIF('E1 — Solicitação'!$E122:$L122,"✔ Concluído")+COUNTIF('E1 — Solicitação'!$E122:$L122,"🔄 Em andamento")&gt;0,"Em andamento","Não iniciado"))))))</f>
        <v/>
      </c>
      <c r="F140" s="234" t="str">
        <f>IF($B140="","",IF($E140&lt;&gt;"Concluído","Não iniciado",IF(COUNTIF(Lançamentos!$B$3:$B$1001,$B140)=0,"Bloqueado",IF('E2 — Triagem'!$D122="","Bloqueado",IF(COUNTIF('E2 — Triagem'!$E122:$L122,"N/A")=8,"Bloqueado",IF(COUNTIF('E2 — Triagem'!$E122:$L122,"⛔ Bloqueado")&gt;0,"Bloqueado",IF(COUNTIF('E2 — Triagem'!$E122:$L122,"✔ Concluído")+COUNTIF('E2 — Triagem'!$E122:$L122,"N/A")=8,"Concluído",IF(COUNTIF('E2 — Triagem'!$E122:$L122,"✔ Concluído")+COUNTIF('E2 — Triagem'!$E122:$L122,"🔄 Em andamento")&gt;0,"Em andamento","Não iniciado"))))))))</f>
        <v/>
      </c>
      <c r="G140" s="234" t="str">
        <f>IF($B140="","",IF($F140&lt;&gt;"Concluído","Não iniciado",IF(COUNTIF(Lançamentos!$B$3:$B$1001,$B140)=0,"Bloqueado",IF('E3 — Levantamento'!$D122="","Bloqueado",IF(COUNTIF('E3 — Levantamento'!$E122:$I122,"⛔ Bloqueado")&gt;0,"Bloqueado",IF('E3 — Levantamento'!$I122="N/A","Bloqueado",IF(COUNTIF('E3 — Levantamento'!$E122:$I122,"✔ Concluído")=5,"Concluído",IF(COUNTIF('E3 — Levantamento'!$E122:$I122,"✔ Concluído")+COUNTIF('E3 — Levantamento'!$E122:$I122,"🔄 Em andamento")&gt;0,"Em andamento","Não iniciado"))))))))</f>
        <v/>
      </c>
      <c r="H140" s="234" t="str">
        <f>IF($B140="","",IF($G140&lt;&gt;"Concluído","Não iniciado",IF(COUNTIF(Lançamentos!$B$3:$B$1001,$B140)=0,"Bloqueado",IF('E4 — Execução'!$D122="","Bloqueado",IF(COUNTIF('E4 — Execução'!$E122:$K122,"⛔ Bloqueado")&gt;0,"Bloqueado",IF(COUNTIF('E4 — Execução'!$E122:$K122,"✔ Concluído")=7,"Concluído",IF(COUNTIF('E4 — Execução'!$E122:$K122,"✔ Concluído")+COUNTIF('E4 — Execução'!$E122:$K122,"🔄 Em andamento")&gt;0,"Em andamento","Não iniciado")))))))</f>
        <v/>
      </c>
      <c r="I140" s="234" t="str">
        <f>IF($B140="","",IF($H140&lt;&gt;"Concluído","Não iniciado",IF(COUNTIF(Lançamentos!$B$3:$B$1001,$B140)=0,"Bloqueado",IF('E5 — Validação'!$D122="","Bloqueado",IF(COUNTIF('E5 — Validação'!$E122:$I122,"⛔ Bloqueado")&gt;0,"Bloqueado",IF('E5 — Validação'!$I122="N/A","Bloqueado",IF(AND('E5 — Validação'!$E122="✔ Concluído",'E5 — Validação'!$F122="✔ Concluído",OR('E5 — Validação'!$G122="✔ Concluído",'E5 — Validação'!$G122="N/A"),'E5 — Validação'!$H122="✔ Concluído",'E5 — Validação'!$I122="✔ Concluído"),"Concluído",IF(COUNTIF('E5 — Validação'!$E122:$I122,"✔ Concluído")+COUNTIF('E5 — Validação'!$E122:$I122,"🔄 Em andamento")&gt;0,"Em andamento","Não iniciado"))))))))</f>
        <v/>
      </c>
      <c r="J140" s="234" t="str">
        <f>IF($B140="","",IF($I140&lt;&gt;"Concluído","Não iniciado",IF('E6 — Ajustes'!$N122="Não","N/A",IF(COUNTIF(Lançamentos!$B$3:$B$1001,$B140)=0,"Bloqueado",IF('E6 — Ajustes'!$D122="","Bloqueado",IF(COUNTIF('E6 — Ajustes'!$E122:$J122,"⛔ Bloqueado")&gt;0,"Bloqueado",IF(AND('E6 — Ajustes'!$E122="✔ Concluído",'E6 — Ajustes'!$F122="✔ Concluído",'E6 — Ajustes'!$G122="✔ Concluído",'E6 — Ajustes'!$H122="✔ Concluído",OR('E6 — Ajustes'!$I122="✔ Concluído",'E6 — Ajustes'!$I122="N/A"),'E6 — Ajustes'!$J122="✔ Concluído"),"Concluído",IF(COUNTIF('E6 — Ajustes'!$E122:$J122,"✔ Concluído")+COUNTIF('E6 — Ajustes'!$E122:$J122,"🔄 Em andamento")&gt;0,"Em andamento","Não iniciado"))))))))</f>
        <v/>
      </c>
      <c r="K140" s="234" t="str">
        <f>IF($B140="","",IF($I140&lt;&gt;"Concluído","Não iniciado",IF(AND($J140&lt;&gt;"Concluído",$J140&lt;&gt;"N/A"),"Não iniciado",IF(COUNTIF(Lançamentos!$B$3:$B$1001,$B140)=0,"Bloqueado",IF('E7 — Entrega'!$D122="","Bloqueado",IF(COUNTIF('E7 — Entrega'!$E122:$H122,"⛔ Bloqueado")&gt;0,"Bloqueado",IF(COUNTIF('E7 — Entrega'!$E122:$H122,"✔ Concluído")=4,"Concluído",IF(COUNTIF('E7 — Entrega'!$E122:$H122,"✔ Concluído")+COUNTIF('E7 — Entrega'!$E122:$H122,"🔄 Em andamento")&gt;0,"Em andamento","Não iniciado"))))))))</f>
        <v/>
      </c>
      <c r="L140" s="234" t="str">
        <f>IF($B140="","",IF($K140&lt;&gt;"Concluído","Não iniciado",IF(OR(COUNTIF('E08 — Estabilização Hypercare'!$E122:$J122,"⛔ Bloqueado")&gt;0,'E08 — Estabilização Hypercare'!$N122="⛔ Incidente Crítico — Encerramento Bloqueado",AND('E08 — Estabilização Hypercare'!$N122="🆕 Evolução Identificada — Nova Demanda Aberta",'E08 — Estabilização Hypercare'!$U122="")),"Bloqueado",IF(AND('E08 — Estabilização Hypercare'!$E122="✔ Concluído",'E08 — Estabilização Hypercare'!$F122="✔ Concluído",'E08 — Estabilização Hypercare'!$G122="✔ Concluído",OR('E08 — Estabilização Hypercare'!$H122="✔ Concluído",'E08 — Estabilização Hypercare'!$H122="N/A"),'E08 — Estabilização Hypercare'!$I122="✔ Concluído",'E08 — Estabilização Hypercare'!$J122="✔ Concluído",OR('E08 — Estabilização Hypercare'!$N122="✅ Estável — Demanda Encerrada",AND('E08 — Estabilização Hypercare'!$N122="🆕 Evolução Identificada — Nova Demanda Aberta",'E08 — Estabilização Hypercare'!$U122&lt;&gt;""))),"Concluído",IF(OR(COUNTIF('E08 — Estabilização Hypercare'!$E122:$J122,"✔ Concluído")&gt;0,COUNTIF('E08 — Estabilização Hypercare'!$E122:$J122,"🔄 Em andamento")&gt;0,'E08 — Estabilização Hypercare'!$N122&lt;&gt;""),"Em andamento","Não iniciado")))))</f>
        <v/>
      </c>
      <c r="M140" s="236" t="str" cm="1">
        <f t="array" ref="M140">IF(B140="","",_xlfn.IFS(E140&lt;&gt;"Concluído","E1 — Solicitação",F140&lt;&gt;"Concluído","E2 — Triagem",G140&lt;&gt;"Concluído","E3 — Levantamento ⚠",H140&lt;&gt;"Concluído","E4 — Execução",I140&lt;&gt;"Concluído","E5 — Validação ⚠",AND(J140&lt;&gt;"Concluído",J140&lt;&gt;"N/A"),"E6 — Ajustes",K140&lt;&gt;"Concluído","E7 — Entrega",L140&lt;&gt;"Concluído","E08 — Estabilização / Hypercare",TRUE,"✔ Fluxo concluído"))</f>
        <v/>
      </c>
      <c r="N140" s="237" t="str">
        <f t="shared" si="1"/>
        <v/>
      </c>
      <c r="O140" s="238"/>
    </row>
    <row r="141" spans="2:15" ht="15" customHeight="1" x14ac:dyDescent="0.35">
      <c r="B141" s="234" t="str">
        <f>IF(Lançamentos!$B118="","",Lançamentos!$B118)</f>
        <v/>
      </c>
      <c r="C141" s="235" t="str">
        <f>IF($B141="","",Lançamentos!$J118)</f>
        <v/>
      </c>
      <c r="D141" s="235" t="str">
        <f>IF($B141="","",Lançamentos!$H118)</f>
        <v/>
      </c>
      <c r="E141" s="234" t="str">
        <f>IF($B141="","",IF(COUNTIF(Lançamentos!$B$3:$B$1001,$B141)=0,"Bloqueado",IF(COUNTIF('E1 — Solicitação'!$E123:$L123,"⛔ Bloqueado")&gt;0,"Bloqueado",IF(COUNTIF('E1 — Solicitação'!$E123:$L123,"N/A")=8,"Bloqueado",IF(COUNTIF('E1 — Solicitação'!$E123:$L123,"✔ Concluído")+COUNTIF('E1 — Solicitação'!$E123:$L123,"N/A")=8,"Concluído",IF(COUNTIF('E1 — Solicitação'!$E123:$L123,"✔ Concluído")+COUNTIF('E1 — Solicitação'!$E123:$L123,"🔄 Em andamento")&gt;0,"Em andamento","Não iniciado"))))))</f>
        <v/>
      </c>
      <c r="F141" s="234" t="str">
        <f>IF($B141="","",IF($E141&lt;&gt;"Concluído","Não iniciado",IF(COUNTIF(Lançamentos!$B$3:$B$1001,$B141)=0,"Bloqueado",IF('E2 — Triagem'!$D123="","Bloqueado",IF(COUNTIF('E2 — Triagem'!$E123:$L123,"N/A")=8,"Bloqueado",IF(COUNTIF('E2 — Triagem'!$E123:$L123,"⛔ Bloqueado")&gt;0,"Bloqueado",IF(COUNTIF('E2 — Triagem'!$E123:$L123,"✔ Concluído")+COUNTIF('E2 — Triagem'!$E123:$L123,"N/A")=8,"Concluído",IF(COUNTIF('E2 — Triagem'!$E123:$L123,"✔ Concluído")+COUNTIF('E2 — Triagem'!$E123:$L123,"🔄 Em andamento")&gt;0,"Em andamento","Não iniciado"))))))))</f>
        <v/>
      </c>
      <c r="G141" s="234" t="str">
        <f>IF($B141="","",IF($F141&lt;&gt;"Concluído","Não iniciado",IF(COUNTIF(Lançamentos!$B$3:$B$1001,$B141)=0,"Bloqueado",IF('E3 — Levantamento'!$D123="","Bloqueado",IF(COUNTIF('E3 — Levantamento'!$E123:$I123,"⛔ Bloqueado")&gt;0,"Bloqueado",IF('E3 — Levantamento'!$I123="N/A","Bloqueado",IF(COUNTIF('E3 — Levantamento'!$E123:$I123,"✔ Concluído")=5,"Concluído",IF(COUNTIF('E3 — Levantamento'!$E123:$I123,"✔ Concluído")+COUNTIF('E3 — Levantamento'!$E123:$I123,"🔄 Em andamento")&gt;0,"Em andamento","Não iniciado"))))))))</f>
        <v/>
      </c>
      <c r="H141" s="234" t="str">
        <f>IF($B141="","",IF($G141&lt;&gt;"Concluído","Não iniciado",IF(COUNTIF(Lançamentos!$B$3:$B$1001,$B141)=0,"Bloqueado",IF('E4 — Execução'!$D123="","Bloqueado",IF(COUNTIF('E4 — Execução'!$E123:$K123,"⛔ Bloqueado")&gt;0,"Bloqueado",IF(COUNTIF('E4 — Execução'!$E123:$K123,"✔ Concluído")=7,"Concluído",IF(COUNTIF('E4 — Execução'!$E123:$K123,"✔ Concluído")+COUNTIF('E4 — Execução'!$E123:$K123,"🔄 Em andamento")&gt;0,"Em andamento","Não iniciado")))))))</f>
        <v/>
      </c>
      <c r="I141" s="234" t="str">
        <f>IF($B141="","",IF($H141&lt;&gt;"Concluído","Não iniciado",IF(COUNTIF(Lançamentos!$B$3:$B$1001,$B141)=0,"Bloqueado",IF('E5 — Validação'!$D123="","Bloqueado",IF(COUNTIF('E5 — Validação'!$E123:$I123,"⛔ Bloqueado")&gt;0,"Bloqueado",IF('E5 — Validação'!$I123="N/A","Bloqueado",IF(AND('E5 — Validação'!$E123="✔ Concluído",'E5 — Validação'!$F123="✔ Concluído",OR('E5 — Validação'!$G123="✔ Concluído",'E5 — Validação'!$G123="N/A"),'E5 — Validação'!$H123="✔ Concluído",'E5 — Validação'!$I123="✔ Concluído"),"Concluído",IF(COUNTIF('E5 — Validação'!$E123:$I123,"✔ Concluído")+COUNTIF('E5 — Validação'!$E123:$I123,"🔄 Em andamento")&gt;0,"Em andamento","Não iniciado"))))))))</f>
        <v/>
      </c>
      <c r="J141" s="234" t="str">
        <f>IF($B141="","",IF($I141&lt;&gt;"Concluído","Não iniciado",IF('E6 — Ajustes'!$N123="Não","N/A",IF(COUNTIF(Lançamentos!$B$3:$B$1001,$B141)=0,"Bloqueado",IF('E6 — Ajustes'!$D123="","Bloqueado",IF(COUNTIF('E6 — Ajustes'!$E123:$J123,"⛔ Bloqueado")&gt;0,"Bloqueado",IF(AND('E6 — Ajustes'!$E123="✔ Concluído",'E6 — Ajustes'!$F123="✔ Concluído",'E6 — Ajustes'!$G123="✔ Concluído",'E6 — Ajustes'!$H123="✔ Concluído",OR('E6 — Ajustes'!$I123="✔ Concluído",'E6 — Ajustes'!$I123="N/A"),'E6 — Ajustes'!$J123="✔ Concluído"),"Concluído",IF(COUNTIF('E6 — Ajustes'!$E123:$J123,"✔ Concluído")+COUNTIF('E6 — Ajustes'!$E123:$J123,"🔄 Em andamento")&gt;0,"Em andamento","Não iniciado"))))))))</f>
        <v/>
      </c>
      <c r="K141" s="234" t="str">
        <f>IF($B141="","",IF($I141&lt;&gt;"Concluído","Não iniciado",IF(AND($J141&lt;&gt;"Concluído",$J141&lt;&gt;"N/A"),"Não iniciado",IF(COUNTIF(Lançamentos!$B$3:$B$1001,$B141)=0,"Bloqueado",IF('E7 — Entrega'!$D123="","Bloqueado",IF(COUNTIF('E7 — Entrega'!$E123:$H123,"⛔ Bloqueado")&gt;0,"Bloqueado",IF(COUNTIF('E7 — Entrega'!$E123:$H123,"✔ Concluído")=4,"Concluído",IF(COUNTIF('E7 — Entrega'!$E123:$H123,"✔ Concluído")+COUNTIF('E7 — Entrega'!$E123:$H123,"🔄 Em andamento")&gt;0,"Em andamento","Não iniciado"))))))))</f>
        <v/>
      </c>
      <c r="L141" s="234" t="str">
        <f>IF($B141="","",IF($K141&lt;&gt;"Concluído","Não iniciado",IF(OR(COUNTIF('E08 — Estabilização Hypercare'!$E123:$J123,"⛔ Bloqueado")&gt;0,'E08 — Estabilização Hypercare'!$N123="⛔ Incidente Crítico — Encerramento Bloqueado",AND('E08 — Estabilização Hypercare'!$N123="🆕 Evolução Identificada — Nova Demanda Aberta",'E08 — Estabilização Hypercare'!$U123="")),"Bloqueado",IF(AND('E08 — Estabilização Hypercare'!$E123="✔ Concluído",'E08 — Estabilização Hypercare'!$F123="✔ Concluído",'E08 — Estabilização Hypercare'!$G123="✔ Concluído",OR('E08 — Estabilização Hypercare'!$H123="✔ Concluído",'E08 — Estabilização Hypercare'!$H123="N/A"),'E08 — Estabilização Hypercare'!$I123="✔ Concluído",'E08 — Estabilização Hypercare'!$J123="✔ Concluído",OR('E08 — Estabilização Hypercare'!$N123="✅ Estável — Demanda Encerrada",AND('E08 — Estabilização Hypercare'!$N123="🆕 Evolução Identificada — Nova Demanda Aberta",'E08 — Estabilização Hypercare'!$U123&lt;&gt;""))),"Concluído",IF(OR(COUNTIF('E08 — Estabilização Hypercare'!$E123:$J123,"✔ Concluído")&gt;0,COUNTIF('E08 — Estabilização Hypercare'!$E123:$J123,"🔄 Em andamento")&gt;0,'E08 — Estabilização Hypercare'!$N123&lt;&gt;""),"Em andamento","Não iniciado")))))</f>
        <v/>
      </c>
      <c r="M141" s="236" t="str" cm="1">
        <f t="array" ref="M141">IF(B141="","",_xlfn.IFS(E141&lt;&gt;"Concluído","E1 — Solicitação",F141&lt;&gt;"Concluído","E2 — Triagem",G141&lt;&gt;"Concluído","E3 — Levantamento ⚠",H141&lt;&gt;"Concluído","E4 — Execução",I141&lt;&gt;"Concluído","E5 — Validação ⚠",AND(J141&lt;&gt;"Concluído",J141&lt;&gt;"N/A"),"E6 — Ajustes",K141&lt;&gt;"Concluído","E7 — Entrega",L141&lt;&gt;"Concluído","E08 — Estabilização / Hypercare",TRUE,"✔ Fluxo concluído"))</f>
        <v/>
      </c>
      <c r="N141" s="237" t="str">
        <f t="shared" si="1"/>
        <v/>
      </c>
      <c r="O141" s="238"/>
    </row>
    <row r="142" spans="2:15" ht="15" customHeight="1" x14ac:dyDescent="0.35">
      <c r="B142" s="234" t="str">
        <f>IF(Lançamentos!$B119="","",Lançamentos!$B119)</f>
        <v/>
      </c>
      <c r="C142" s="235" t="str">
        <f>IF($B142="","",Lançamentos!$J119)</f>
        <v/>
      </c>
      <c r="D142" s="235" t="str">
        <f>IF($B142="","",Lançamentos!$H119)</f>
        <v/>
      </c>
      <c r="E142" s="234" t="str">
        <f>IF($B142="","",IF(COUNTIF(Lançamentos!$B$3:$B$1001,$B142)=0,"Bloqueado",IF(COUNTIF('E1 — Solicitação'!$E124:$L124,"⛔ Bloqueado")&gt;0,"Bloqueado",IF(COUNTIF('E1 — Solicitação'!$E124:$L124,"N/A")=8,"Bloqueado",IF(COUNTIF('E1 — Solicitação'!$E124:$L124,"✔ Concluído")+COUNTIF('E1 — Solicitação'!$E124:$L124,"N/A")=8,"Concluído",IF(COUNTIF('E1 — Solicitação'!$E124:$L124,"✔ Concluído")+COUNTIF('E1 — Solicitação'!$E124:$L124,"🔄 Em andamento")&gt;0,"Em andamento","Não iniciado"))))))</f>
        <v/>
      </c>
      <c r="F142" s="234" t="str">
        <f>IF($B142="","",IF($E142&lt;&gt;"Concluído","Não iniciado",IF(COUNTIF(Lançamentos!$B$3:$B$1001,$B142)=0,"Bloqueado",IF('E2 — Triagem'!$D124="","Bloqueado",IF(COUNTIF('E2 — Triagem'!$E124:$L124,"N/A")=8,"Bloqueado",IF(COUNTIF('E2 — Triagem'!$E124:$L124,"⛔ Bloqueado")&gt;0,"Bloqueado",IF(COUNTIF('E2 — Triagem'!$E124:$L124,"✔ Concluído")+COUNTIF('E2 — Triagem'!$E124:$L124,"N/A")=8,"Concluído",IF(COUNTIF('E2 — Triagem'!$E124:$L124,"✔ Concluído")+COUNTIF('E2 — Triagem'!$E124:$L124,"🔄 Em andamento")&gt;0,"Em andamento","Não iniciado"))))))))</f>
        <v/>
      </c>
      <c r="G142" s="234" t="str">
        <f>IF($B142="","",IF($F142&lt;&gt;"Concluído","Não iniciado",IF(COUNTIF(Lançamentos!$B$3:$B$1001,$B142)=0,"Bloqueado",IF('E3 — Levantamento'!$D124="","Bloqueado",IF(COUNTIF('E3 — Levantamento'!$E124:$I124,"⛔ Bloqueado")&gt;0,"Bloqueado",IF('E3 — Levantamento'!$I124="N/A","Bloqueado",IF(COUNTIF('E3 — Levantamento'!$E124:$I124,"✔ Concluído")=5,"Concluído",IF(COUNTIF('E3 — Levantamento'!$E124:$I124,"✔ Concluído")+COUNTIF('E3 — Levantamento'!$E124:$I124,"🔄 Em andamento")&gt;0,"Em andamento","Não iniciado"))))))))</f>
        <v/>
      </c>
      <c r="H142" s="234" t="str">
        <f>IF($B142="","",IF($G142&lt;&gt;"Concluído","Não iniciado",IF(COUNTIF(Lançamentos!$B$3:$B$1001,$B142)=0,"Bloqueado",IF('E4 — Execução'!$D124="","Bloqueado",IF(COUNTIF('E4 — Execução'!$E124:$K124,"⛔ Bloqueado")&gt;0,"Bloqueado",IF(COUNTIF('E4 — Execução'!$E124:$K124,"✔ Concluído")=7,"Concluído",IF(COUNTIF('E4 — Execução'!$E124:$K124,"✔ Concluído")+COUNTIF('E4 — Execução'!$E124:$K124,"🔄 Em andamento")&gt;0,"Em andamento","Não iniciado")))))))</f>
        <v/>
      </c>
      <c r="I142" s="234" t="str">
        <f>IF($B142="","",IF($H142&lt;&gt;"Concluído","Não iniciado",IF(COUNTIF(Lançamentos!$B$3:$B$1001,$B142)=0,"Bloqueado",IF('E5 — Validação'!$D124="","Bloqueado",IF(COUNTIF('E5 — Validação'!$E124:$I124,"⛔ Bloqueado")&gt;0,"Bloqueado",IF('E5 — Validação'!$I124="N/A","Bloqueado",IF(AND('E5 — Validação'!$E124="✔ Concluído",'E5 — Validação'!$F124="✔ Concluído",OR('E5 — Validação'!$G124="✔ Concluído",'E5 — Validação'!$G124="N/A"),'E5 — Validação'!$H124="✔ Concluído",'E5 — Validação'!$I124="✔ Concluído"),"Concluído",IF(COUNTIF('E5 — Validação'!$E124:$I124,"✔ Concluído")+COUNTIF('E5 — Validação'!$E124:$I124,"🔄 Em andamento")&gt;0,"Em andamento","Não iniciado"))))))))</f>
        <v/>
      </c>
      <c r="J142" s="234" t="str">
        <f>IF($B142="","",IF($I142&lt;&gt;"Concluído","Não iniciado",IF('E6 — Ajustes'!$N124="Não","N/A",IF(COUNTIF(Lançamentos!$B$3:$B$1001,$B142)=0,"Bloqueado",IF('E6 — Ajustes'!$D124="","Bloqueado",IF(COUNTIF('E6 — Ajustes'!$E124:$J124,"⛔ Bloqueado")&gt;0,"Bloqueado",IF(AND('E6 — Ajustes'!$E124="✔ Concluído",'E6 — Ajustes'!$F124="✔ Concluído",'E6 — Ajustes'!$G124="✔ Concluído",'E6 — Ajustes'!$H124="✔ Concluído",OR('E6 — Ajustes'!$I124="✔ Concluído",'E6 — Ajustes'!$I124="N/A"),'E6 — Ajustes'!$J124="✔ Concluído"),"Concluído",IF(COUNTIF('E6 — Ajustes'!$E124:$J124,"✔ Concluído")+COUNTIF('E6 — Ajustes'!$E124:$J124,"🔄 Em andamento")&gt;0,"Em andamento","Não iniciado"))))))))</f>
        <v/>
      </c>
      <c r="K142" s="234" t="str">
        <f>IF($B142="","",IF($I142&lt;&gt;"Concluído","Não iniciado",IF(AND($J142&lt;&gt;"Concluído",$J142&lt;&gt;"N/A"),"Não iniciado",IF(COUNTIF(Lançamentos!$B$3:$B$1001,$B142)=0,"Bloqueado",IF('E7 — Entrega'!$D124="","Bloqueado",IF(COUNTIF('E7 — Entrega'!$E124:$H124,"⛔ Bloqueado")&gt;0,"Bloqueado",IF(COUNTIF('E7 — Entrega'!$E124:$H124,"✔ Concluído")=4,"Concluído",IF(COUNTIF('E7 — Entrega'!$E124:$H124,"✔ Concluído")+COUNTIF('E7 — Entrega'!$E124:$H124,"🔄 Em andamento")&gt;0,"Em andamento","Não iniciado"))))))))</f>
        <v/>
      </c>
      <c r="L142" s="234" t="str">
        <f>IF($B142="","",IF($K142&lt;&gt;"Concluído","Não iniciado",IF(OR(COUNTIF('E08 — Estabilização Hypercare'!$E124:$J124,"⛔ Bloqueado")&gt;0,'E08 — Estabilização Hypercare'!$N124="⛔ Incidente Crítico — Encerramento Bloqueado",AND('E08 — Estabilização Hypercare'!$N124="🆕 Evolução Identificada — Nova Demanda Aberta",'E08 — Estabilização Hypercare'!$U124="")),"Bloqueado",IF(AND('E08 — Estabilização Hypercare'!$E124="✔ Concluído",'E08 — Estabilização Hypercare'!$F124="✔ Concluído",'E08 — Estabilização Hypercare'!$G124="✔ Concluído",OR('E08 — Estabilização Hypercare'!$H124="✔ Concluído",'E08 — Estabilização Hypercare'!$H124="N/A"),'E08 — Estabilização Hypercare'!$I124="✔ Concluído",'E08 — Estabilização Hypercare'!$J124="✔ Concluído",OR('E08 — Estabilização Hypercare'!$N124="✅ Estável — Demanda Encerrada",AND('E08 — Estabilização Hypercare'!$N124="🆕 Evolução Identificada — Nova Demanda Aberta",'E08 — Estabilização Hypercare'!$U124&lt;&gt;""))),"Concluído",IF(OR(COUNTIF('E08 — Estabilização Hypercare'!$E124:$J124,"✔ Concluído")&gt;0,COUNTIF('E08 — Estabilização Hypercare'!$E124:$J124,"🔄 Em andamento")&gt;0,'E08 — Estabilização Hypercare'!$N124&lt;&gt;""),"Em andamento","Não iniciado")))))</f>
        <v/>
      </c>
      <c r="M142" s="236" t="str" cm="1">
        <f t="array" ref="M142">IF(B142="","",_xlfn.IFS(E142&lt;&gt;"Concluído","E1 — Solicitação",F142&lt;&gt;"Concluído","E2 — Triagem",G142&lt;&gt;"Concluído","E3 — Levantamento ⚠",H142&lt;&gt;"Concluído","E4 — Execução",I142&lt;&gt;"Concluído","E5 — Validação ⚠",AND(J142&lt;&gt;"Concluído",J142&lt;&gt;"N/A"),"E6 — Ajustes",K142&lt;&gt;"Concluído","E7 — Entrega",L142&lt;&gt;"Concluído","E08 — Estabilização / Hypercare",TRUE,"✔ Fluxo concluído"))</f>
        <v/>
      </c>
      <c r="N142" s="237" t="str">
        <f t="shared" si="1"/>
        <v/>
      </c>
      <c r="O142" s="238"/>
    </row>
    <row r="143" spans="2:15" ht="15" customHeight="1" x14ac:dyDescent="0.35">
      <c r="B143" s="234" t="str">
        <f>IF(Lançamentos!$B120="","",Lançamentos!$B120)</f>
        <v/>
      </c>
      <c r="C143" s="235" t="str">
        <f>IF($B143="","",Lançamentos!$J120)</f>
        <v/>
      </c>
      <c r="D143" s="235" t="str">
        <f>IF($B143="","",Lançamentos!$H120)</f>
        <v/>
      </c>
      <c r="E143" s="234" t="str">
        <f>IF($B143="","",IF(COUNTIF(Lançamentos!$B$3:$B$1001,$B143)=0,"Bloqueado",IF(COUNTIF('E1 — Solicitação'!$E125:$L125,"⛔ Bloqueado")&gt;0,"Bloqueado",IF(COUNTIF('E1 — Solicitação'!$E125:$L125,"N/A")=8,"Bloqueado",IF(COUNTIF('E1 — Solicitação'!$E125:$L125,"✔ Concluído")+COUNTIF('E1 — Solicitação'!$E125:$L125,"N/A")=8,"Concluído",IF(COUNTIF('E1 — Solicitação'!$E125:$L125,"✔ Concluído")+COUNTIF('E1 — Solicitação'!$E125:$L125,"🔄 Em andamento")&gt;0,"Em andamento","Não iniciado"))))))</f>
        <v/>
      </c>
      <c r="F143" s="234" t="str">
        <f>IF($B143="","",IF($E143&lt;&gt;"Concluído","Não iniciado",IF(COUNTIF(Lançamentos!$B$3:$B$1001,$B143)=0,"Bloqueado",IF('E2 — Triagem'!$D125="","Bloqueado",IF(COUNTIF('E2 — Triagem'!$E125:$L125,"N/A")=8,"Bloqueado",IF(COUNTIF('E2 — Triagem'!$E125:$L125,"⛔ Bloqueado")&gt;0,"Bloqueado",IF(COUNTIF('E2 — Triagem'!$E125:$L125,"✔ Concluído")+COUNTIF('E2 — Triagem'!$E125:$L125,"N/A")=8,"Concluído",IF(COUNTIF('E2 — Triagem'!$E125:$L125,"✔ Concluído")+COUNTIF('E2 — Triagem'!$E125:$L125,"🔄 Em andamento")&gt;0,"Em andamento","Não iniciado"))))))))</f>
        <v/>
      </c>
      <c r="G143" s="234" t="str">
        <f>IF($B143="","",IF($F143&lt;&gt;"Concluído","Não iniciado",IF(COUNTIF(Lançamentos!$B$3:$B$1001,$B143)=0,"Bloqueado",IF('E3 — Levantamento'!$D125="","Bloqueado",IF(COUNTIF('E3 — Levantamento'!$E125:$I125,"⛔ Bloqueado")&gt;0,"Bloqueado",IF('E3 — Levantamento'!$I125="N/A","Bloqueado",IF(COUNTIF('E3 — Levantamento'!$E125:$I125,"✔ Concluído")=5,"Concluído",IF(COUNTIF('E3 — Levantamento'!$E125:$I125,"✔ Concluído")+COUNTIF('E3 — Levantamento'!$E125:$I125,"🔄 Em andamento")&gt;0,"Em andamento","Não iniciado"))))))))</f>
        <v/>
      </c>
      <c r="H143" s="234" t="str">
        <f>IF($B143="","",IF($G143&lt;&gt;"Concluído","Não iniciado",IF(COUNTIF(Lançamentos!$B$3:$B$1001,$B143)=0,"Bloqueado",IF('E4 — Execução'!$D125="","Bloqueado",IF(COUNTIF('E4 — Execução'!$E125:$K125,"⛔ Bloqueado")&gt;0,"Bloqueado",IF(COUNTIF('E4 — Execução'!$E125:$K125,"✔ Concluído")=7,"Concluído",IF(COUNTIF('E4 — Execução'!$E125:$K125,"✔ Concluído")+COUNTIF('E4 — Execução'!$E125:$K125,"🔄 Em andamento")&gt;0,"Em andamento","Não iniciado")))))))</f>
        <v/>
      </c>
      <c r="I143" s="234" t="str">
        <f>IF($B143="","",IF($H143&lt;&gt;"Concluído","Não iniciado",IF(COUNTIF(Lançamentos!$B$3:$B$1001,$B143)=0,"Bloqueado",IF('E5 — Validação'!$D125="","Bloqueado",IF(COUNTIF('E5 — Validação'!$E125:$I125,"⛔ Bloqueado")&gt;0,"Bloqueado",IF('E5 — Validação'!$I125="N/A","Bloqueado",IF(AND('E5 — Validação'!$E125="✔ Concluído",'E5 — Validação'!$F125="✔ Concluído",OR('E5 — Validação'!$G125="✔ Concluído",'E5 — Validação'!$G125="N/A"),'E5 — Validação'!$H125="✔ Concluído",'E5 — Validação'!$I125="✔ Concluído"),"Concluído",IF(COUNTIF('E5 — Validação'!$E125:$I125,"✔ Concluído")+COUNTIF('E5 — Validação'!$E125:$I125,"🔄 Em andamento")&gt;0,"Em andamento","Não iniciado"))))))))</f>
        <v/>
      </c>
      <c r="J143" s="234" t="str">
        <f>IF($B143="","",IF($I143&lt;&gt;"Concluído","Não iniciado",IF('E6 — Ajustes'!$N125="Não","N/A",IF(COUNTIF(Lançamentos!$B$3:$B$1001,$B143)=0,"Bloqueado",IF('E6 — Ajustes'!$D125="","Bloqueado",IF(COUNTIF('E6 — Ajustes'!$E125:$J125,"⛔ Bloqueado")&gt;0,"Bloqueado",IF(AND('E6 — Ajustes'!$E125="✔ Concluído",'E6 — Ajustes'!$F125="✔ Concluído",'E6 — Ajustes'!$G125="✔ Concluído",'E6 — Ajustes'!$H125="✔ Concluído",OR('E6 — Ajustes'!$I125="✔ Concluído",'E6 — Ajustes'!$I125="N/A"),'E6 — Ajustes'!$J125="✔ Concluído"),"Concluído",IF(COUNTIF('E6 — Ajustes'!$E125:$J125,"✔ Concluído")+COUNTIF('E6 — Ajustes'!$E125:$J125,"🔄 Em andamento")&gt;0,"Em andamento","Não iniciado"))))))))</f>
        <v/>
      </c>
      <c r="K143" s="234" t="str">
        <f>IF($B143="","",IF($I143&lt;&gt;"Concluído","Não iniciado",IF(AND($J143&lt;&gt;"Concluído",$J143&lt;&gt;"N/A"),"Não iniciado",IF(COUNTIF(Lançamentos!$B$3:$B$1001,$B143)=0,"Bloqueado",IF('E7 — Entrega'!$D125="","Bloqueado",IF(COUNTIF('E7 — Entrega'!$E125:$H125,"⛔ Bloqueado")&gt;0,"Bloqueado",IF(COUNTIF('E7 — Entrega'!$E125:$H125,"✔ Concluído")=4,"Concluído",IF(COUNTIF('E7 — Entrega'!$E125:$H125,"✔ Concluído")+COUNTIF('E7 — Entrega'!$E125:$H125,"🔄 Em andamento")&gt;0,"Em andamento","Não iniciado"))))))))</f>
        <v/>
      </c>
      <c r="L143" s="234" t="str">
        <f>IF($B143="","",IF($K143&lt;&gt;"Concluído","Não iniciado",IF(OR(COUNTIF('E08 — Estabilização Hypercare'!$E125:$J125,"⛔ Bloqueado")&gt;0,'E08 — Estabilização Hypercare'!$N125="⛔ Incidente Crítico — Encerramento Bloqueado",AND('E08 — Estabilização Hypercare'!$N125="🆕 Evolução Identificada — Nova Demanda Aberta",'E08 — Estabilização Hypercare'!$U125="")),"Bloqueado",IF(AND('E08 — Estabilização Hypercare'!$E125="✔ Concluído",'E08 — Estabilização Hypercare'!$F125="✔ Concluído",'E08 — Estabilização Hypercare'!$G125="✔ Concluído",OR('E08 — Estabilização Hypercare'!$H125="✔ Concluído",'E08 — Estabilização Hypercare'!$H125="N/A"),'E08 — Estabilização Hypercare'!$I125="✔ Concluído",'E08 — Estabilização Hypercare'!$J125="✔ Concluído",OR('E08 — Estabilização Hypercare'!$N125="✅ Estável — Demanda Encerrada",AND('E08 — Estabilização Hypercare'!$N125="🆕 Evolução Identificada — Nova Demanda Aberta",'E08 — Estabilização Hypercare'!$U125&lt;&gt;""))),"Concluído",IF(OR(COUNTIF('E08 — Estabilização Hypercare'!$E125:$J125,"✔ Concluído")&gt;0,COUNTIF('E08 — Estabilização Hypercare'!$E125:$J125,"🔄 Em andamento")&gt;0,'E08 — Estabilização Hypercare'!$N125&lt;&gt;""),"Em andamento","Não iniciado")))))</f>
        <v/>
      </c>
      <c r="M143" s="236" t="str" cm="1">
        <f t="array" ref="M143">IF(B143="","",_xlfn.IFS(E143&lt;&gt;"Concluído","E1 — Solicitação",F143&lt;&gt;"Concluído","E2 — Triagem",G143&lt;&gt;"Concluído","E3 — Levantamento ⚠",H143&lt;&gt;"Concluído","E4 — Execução",I143&lt;&gt;"Concluído","E5 — Validação ⚠",AND(J143&lt;&gt;"Concluído",J143&lt;&gt;"N/A"),"E6 — Ajustes",K143&lt;&gt;"Concluído","E7 — Entrega",L143&lt;&gt;"Concluído","E08 — Estabilização / Hypercare",TRUE,"✔ Fluxo concluído"))</f>
        <v/>
      </c>
      <c r="N143" s="237" t="str">
        <f t="shared" si="1"/>
        <v/>
      </c>
      <c r="O143" s="238"/>
    </row>
    <row r="144" spans="2:15" ht="15" customHeight="1" x14ac:dyDescent="0.35">
      <c r="B144" s="234" t="str">
        <f>IF(Lançamentos!$B121="","",Lançamentos!$B121)</f>
        <v/>
      </c>
      <c r="C144" s="235" t="str">
        <f>IF($B144="","",Lançamentos!$J121)</f>
        <v/>
      </c>
      <c r="D144" s="235" t="str">
        <f>IF($B144="","",Lançamentos!$H121)</f>
        <v/>
      </c>
      <c r="E144" s="234" t="str">
        <f>IF($B144="","",IF(COUNTIF(Lançamentos!$B$3:$B$1001,$B144)=0,"Bloqueado",IF(COUNTIF('E1 — Solicitação'!$E126:$L126,"⛔ Bloqueado")&gt;0,"Bloqueado",IF(COUNTIF('E1 — Solicitação'!$E126:$L126,"N/A")=8,"Bloqueado",IF(COUNTIF('E1 — Solicitação'!$E126:$L126,"✔ Concluído")+COUNTIF('E1 — Solicitação'!$E126:$L126,"N/A")=8,"Concluído",IF(COUNTIF('E1 — Solicitação'!$E126:$L126,"✔ Concluído")+COUNTIF('E1 — Solicitação'!$E126:$L126,"🔄 Em andamento")&gt;0,"Em andamento","Não iniciado"))))))</f>
        <v/>
      </c>
      <c r="F144" s="234" t="str">
        <f>IF($B144="","",IF($E144&lt;&gt;"Concluído","Não iniciado",IF(COUNTIF(Lançamentos!$B$3:$B$1001,$B144)=0,"Bloqueado",IF('E2 — Triagem'!$D126="","Bloqueado",IF(COUNTIF('E2 — Triagem'!$E126:$L126,"N/A")=8,"Bloqueado",IF(COUNTIF('E2 — Triagem'!$E126:$L126,"⛔ Bloqueado")&gt;0,"Bloqueado",IF(COUNTIF('E2 — Triagem'!$E126:$L126,"✔ Concluído")+COUNTIF('E2 — Triagem'!$E126:$L126,"N/A")=8,"Concluído",IF(COUNTIF('E2 — Triagem'!$E126:$L126,"✔ Concluído")+COUNTIF('E2 — Triagem'!$E126:$L126,"🔄 Em andamento")&gt;0,"Em andamento","Não iniciado"))))))))</f>
        <v/>
      </c>
      <c r="G144" s="234" t="str">
        <f>IF($B144="","",IF($F144&lt;&gt;"Concluído","Não iniciado",IF(COUNTIF(Lançamentos!$B$3:$B$1001,$B144)=0,"Bloqueado",IF('E3 — Levantamento'!$D126="","Bloqueado",IF(COUNTIF('E3 — Levantamento'!$E126:$I126,"⛔ Bloqueado")&gt;0,"Bloqueado",IF('E3 — Levantamento'!$I126="N/A","Bloqueado",IF(COUNTIF('E3 — Levantamento'!$E126:$I126,"✔ Concluído")=5,"Concluído",IF(COUNTIF('E3 — Levantamento'!$E126:$I126,"✔ Concluído")+COUNTIF('E3 — Levantamento'!$E126:$I126,"🔄 Em andamento")&gt;0,"Em andamento","Não iniciado"))))))))</f>
        <v/>
      </c>
      <c r="H144" s="234" t="str">
        <f>IF($B144="","",IF($G144&lt;&gt;"Concluído","Não iniciado",IF(COUNTIF(Lançamentos!$B$3:$B$1001,$B144)=0,"Bloqueado",IF('E4 — Execução'!$D126="","Bloqueado",IF(COUNTIF('E4 — Execução'!$E126:$K126,"⛔ Bloqueado")&gt;0,"Bloqueado",IF(COUNTIF('E4 — Execução'!$E126:$K126,"✔ Concluído")=7,"Concluído",IF(COUNTIF('E4 — Execução'!$E126:$K126,"✔ Concluído")+COUNTIF('E4 — Execução'!$E126:$K126,"🔄 Em andamento")&gt;0,"Em andamento","Não iniciado")))))))</f>
        <v/>
      </c>
      <c r="I144" s="234" t="str">
        <f>IF($B144="","",IF($H144&lt;&gt;"Concluído","Não iniciado",IF(COUNTIF(Lançamentos!$B$3:$B$1001,$B144)=0,"Bloqueado",IF('E5 — Validação'!$D126="","Bloqueado",IF(COUNTIF('E5 — Validação'!$E126:$I126,"⛔ Bloqueado")&gt;0,"Bloqueado",IF('E5 — Validação'!$I126="N/A","Bloqueado",IF(AND('E5 — Validação'!$E126="✔ Concluído",'E5 — Validação'!$F126="✔ Concluído",OR('E5 — Validação'!$G126="✔ Concluído",'E5 — Validação'!$G126="N/A"),'E5 — Validação'!$H126="✔ Concluído",'E5 — Validação'!$I126="✔ Concluído"),"Concluído",IF(COUNTIF('E5 — Validação'!$E126:$I126,"✔ Concluído")+COUNTIF('E5 — Validação'!$E126:$I126,"🔄 Em andamento")&gt;0,"Em andamento","Não iniciado"))))))))</f>
        <v/>
      </c>
      <c r="J144" s="234" t="str">
        <f>IF($B144="","",IF($I144&lt;&gt;"Concluído","Não iniciado",IF('E6 — Ajustes'!$N126="Não","N/A",IF(COUNTIF(Lançamentos!$B$3:$B$1001,$B144)=0,"Bloqueado",IF('E6 — Ajustes'!$D126="","Bloqueado",IF(COUNTIF('E6 — Ajustes'!$E126:$J126,"⛔ Bloqueado")&gt;0,"Bloqueado",IF(AND('E6 — Ajustes'!$E126="✔ Concluído",'E6 — Ajustes'!$F126="✔ Concluído",'E6 — Ajustes'!$G126="✔ Concluído",'E6 — Ajustes'!$H126="✔ Concluído",OR('E6 — Ajustes'!$I126="✔ Concluído",'E6 — Ajustes'!$I126="N/A"),'E6 — Ajustes'!$J126="✔ Concluído"),"Concluído",IF(COUNTIF('E6 — Ajustes'!$E126:$J126,"✔ Concluído")+COUNTIF('E6 — Ajustes'!$E126:$J126,"🔄 Em andamento")&gt;0,"Em andamento","Não iniciado"))))))))</f>
        <v/>
      </c>
      <c r="K144" s="234" t="str">
        <f>IF($B144="","",IF($I144&lt;&gt;"Concluído","Não iniciado",IF(AND($J144&lt;&gt;"Concluído",$J144&lt;&gt;"N/A"),"Não iniciado",IF(COUNTIF(Lançamentos!$B$3:$B$1001,$B144)=0,"Bloqueado",IF('E7 — Entrega'!$D126="","Bloqueado",IF(COUNTIF('E7 — Entrega'!$E126:$H126,"⛔ Bloqueado")&gt;0,"Bloqueado",IF(COUNTIF('E7 — Entrega'!$E126:$H126,"✔ Concluído")=4,"Concluído",IF(COUNTIF('E7 — Entrega'!$E126:$H126,"✔ Concluído")+COUNTIF('E7 — Entrega'!$E126:$H126,"🔄 Em andamento")&gt;0,"Em andamento","Não iniciado"))))))))</f>
        <v/>
      </c>
      <c r="L144" s="234" t="str">
        <f>IF($B144="","",IF($K144&lt;&gt;"Concluído","Não iniciado",IF(OR(COUNTIF('E08 — Estabilização Hypercare'!$E126:$J126,"⛔ Bloqueado")&gt;0,'E08 — Estabilização Hypercare'!$N126="⛔ Incidente Crítico — Encerramento Bloqueado",AND('E08 — Estabilização Hypercare'!$N126="🆕 Evolução Identificada — Nova Demanda Aberta",'E08 — Estabilização Hypercare'!$U126="")),"Bloqueado",IF(AND('E08 — Estabilização Hypercare'!$E126="✔ Concluído",'E08 — Estabilização Hypercare'!$F126="✔ Concluído",'E08 — Estabilização Hypercare'!$G126="✔ Concluído",OR('E08 — Estabilização Hypercare'!$H126="✔ Concluído",'E08 — Estabilização Hypercare'!$H126="N/A"),'E08 — Estabilização Hypercare'!$I126="✔ Concluído",'E08 — Estabilização Hypercare'!$J126="✔ Concluído",OR('E08 — Estabilização Hypercare'!$N126="✅ Estável — Demanda Encerrada",AND('E08 — Estabilização Hypercare'!$N126="🆕 Evolução Identificada — Nova Demanda Aberta",'E08 — Estabilização Hypercare'!$U126&lt;&gt;""))),"Concluído",IF(OR(COUNTIF('E08 — Estabilização Hypercare'!$E126:$J126,"✔ Concluído")&gt;0,COUNTIF('E08 — Estabilização Hypercare'!$E126:$J126,"🔄 Em andamento")&gt;0,'E08 — Estabilização Hypercare'!$N126&lt;&gt;""),"Em andamento","Não iniciado")))))</f>
        <v/>
      </c>
      <c r="M144" s="236" t="str" cm="1">
        <f t="array" ref="M144">IF(B144="","",_xlfn.IFS(E144&lt;&gt;"Concluído","E1 — Solicitação",F144&lt;&gt;"Concluído","E2 — Triagem",G144&lt;&gt;"Concluído","E3 — Levantamento ⚠",H144&lt;&gt;"Concluído","E4 — Execução",I144&lt;&gt;"Concluído","E5 — Validação ⚠",AND(J144&lt;&gt;"Concluído",J144&lt;&gt;"N/A"),"E6 — Ajustes",K144&lt;&gt;"Concluído","E7 — Entrega",L144&lt;&gt;"Concluído","E08 — Estabilização / Hypercare",TRUE,"✔ Fluxo concluído"))</f>
        <v/>
      </c>
      <c r="N144" s="237" t="str">
        <f t="shared" si="1"/>
        <v/>
      </c>
      <c r="O144" s="238"/>
    </row>
    <row r="145" spans="2:15" ht="15" customHeight="1" x14ac:dyDescent="0.35">
      <c r="B145" s="234" t="str">
        <f>IF(Lançamentos!$B122="","",Lançamentos!$B122)</f>
        <v/>
      </c>
      <c r="C145" s="235" t="str">
        <f>IF($B145="","",Lançamentos!$J122)</f>
        <v/>
      </c>
      <c r="D145" s="235" t="str">
        <f>IF($B145="","",Lançamentos!$H122)</f>
        <v/>
      </c>
      <c r="E145" s="234" t="str">
        <f>IF($B145="","",IF(COUNTIF(Lançamentos!$B$3:$B$1001,$B145)=0,"Bloqueado",IF(COUNTIF('E1 — Solicitação'!$E127:$L127,"⛔ Bloqueado")&gt;0,"Bloqueado",IF(COUNTIF('E1 — Solicitação'!$E127:$L127,"N/A")=8,"Bloqueado",IF(COUNTIF('E1 — Solicitação'!$E127:$L127,"✔ Concluído")+COUNTIF('E1 — Solicitação'!$E127:$L127,"N/A")=8,"Concluído",IF(COUNTIF('E1 — Solicitação'!$E127:$L127,"✔ Concluído")+COUNTIF('E1 — Solicitação'!$E127:$L127,"🔄 Em andamento")&gt;0,"Em andamento","Não iniciado"))))))</f>
        <v/>
      </c>
      <c r="F145" s="234" t="str">
        <f>IF($B145="","",IF($E145&lt;&gt;"Concluído","Não iniciado",IF(COUNTIF(Lançamentos!$B$3:$B$1001,$B145)=0,"Bloqueado",IF('E2 — Triagem'!$D127="","Bloqueado",IF(COUNTIF('E2 — Triagem'!$E127:$L127,"N/A")=8,"Bloqueado",IF(COUNTIF('E2 — Triagem'!$E127:$L127,"⛔ Bloqueado")&gt;0,"Bloqueado",IF(COUNTIF('E2 — Triagem'!$E127:$L127,"✔ Concluído")+COUNTIF('E2 — Triagem'!$E127:$L127,"N/A")=8,"Concluído",IF(COUNTIF('E2 — Triagem'!$E127:$L127,"✔ Concluído")+COUNTIF('E2 — Triagem'!$E127:$L127,"🔄 Em andamento")&gt;0,"Em andamento","Não iniciado"))))))))</f>
        <v/>
      </c>
      <c r="G145" s="234" t="str">
        <f>IF($B145="","",IF($F145&lt;&gt;"Concluído","Não iniciado",IF(COUNTIF(Lançamentos!$B$3:$B$1001,$B145)=0,"Bloqueado",IF('E3 — Levantamento'!$D127="","Bloqueado",IF(COUNTIF('E3 — Levantamento'!$E127:$I127,"⛔ Bloqueado")&gt;0,"Bloqueado",IF('E3 — Levantamento'!$I127="N/A","Bloqueado",IF(COUNTIF('E3 — Levantamento'!$E127:$I127,"✔ Concluído")=5,"Concluído",IF(COUNTIF('E3 — Levantamento'!$E127:$I127,"✔ Concluído")+COUNTIF('E3 — Levantamento'!$E127:$I127,"🔄 Em andamento")&gt;0,"Em andamento","Não iniciado"))))))))</f>
        <v/>
      </c>
      <c r="H145" s="234" t="str">
        <f>IF($B145="","",IF($G145&lt;&gt;"Concluído","Não iniciado",IF(COUNTIF(Lançamentos!$B$3:$B$1001,$B145)=0,"Bloqueado",IF('E4 — Execução'!$D127="","Bloqueado",IF(COUNTIF('E4 — Execução'!$E127:$K127,"⛔ Bloqueado")&gt;0,"Bloqueado",IF(COUNTIF('E4 — Execução'!$E127:$K127,"✔ Concluído")=7,"Concluído",IF(COUNTIF('E4 — Execução'!$E127:$K127,"✔ Concluído")+COUNTIF('E4 — Execução'!$E127:$K127,"🔄 Em andamento")&gt;0,"Em andamento","Não iniciado")))))))</f>
        <v/>
      </c>
      <c r="I145" s="234" t="str">
        <f>IF($B145="","",IF($H145&lt;&gt;"Concluído","Não iniciado",IF(COUNTIF(Lançamentos!$B$3:$B$1001,$B145)=0,"Bloqueado",IF('E5 — Validação'!$D127="","Bloqueado",IF(COUNTIF('E5 — Validação'!$E127:$I127,"⛔ Bloqueado")&gt;0,"Bloqueado",IF('E5 — Validação'!$I127="N/A","Bloqueado",IF(AND('E5 — Validação'!$E127="✔ Concluído",'E5 — Validação'!$F127="✔ Concluído",OR('E5 — Validação'!$G127="✔ Concluído",'E5 — Validação'!$G127="N/A"),'E5 — Validação'!$H127="✔ Concluído",'E5 — Validação'!$I127="✔ Concluído"),"Concluído",IF(COUNTIF('E5 — Validação'!$E127:$I127,"✔ Concluído")+COUNTIF('E5 — Validação'!$E127:$I127,"🔄 Em andamento")&gt;0,"Em andamento","Não iniciado"))))))))</f>
        <v/>
      </c>
      <c r="J145" s="234" t="str">
        <f>IF($B145="","",IF($I145&lt;&gt;"Concluído","Não iniciado",IF('E6 — Ajustes'!$N127="Não","N/A",IF(COUNTIF(Lançamentos!$B$3:$B$1001,$B145)=0,"Bloqueado",IF('E6 — Ajustes'!$D127="","Bloqueado",IF(COUNTIF('E6 — Ajustes'!$E127:$J127,"⛔ Bloqueado")&gt;0,"Bloqueado",IF(AND('E6 — Ajustes'!$E127="✔ Concluído",'E6 — Ajustes'!$F127="✔ Concluído",'E6 — Ajustes'!$G127="✔ Concluído",'E6 — Ajustes'!$H127="✔ Concluído",OR('E6 — Ajustes'!$I127="✔ Concluído",'E6 — Ajustes'!$I127="N/A"),'E6 — Ajustes'!$J127="✔ Concluído"),"Concluído",IF(COUNTIF('E6 — Ajustes'!$E127:$J127,"✔ Concluído")+COUNTIF('E6 — Ajustes'!$E127:$J127,"🔄 Em andamento")&gt;0,"Em andamento","Não iniciado"))))))))</f>
        <v/>
      </c>
      <c r="K145" s="234" t="str">
        <f>IF($B145="","",IF($I145&lt;&gt;"Concluído","Não iniciado",IF(AND($J145&lt;&gt;"Concluído",$J145&lt;&gt;"N/A"),"Não iniciado",IF(COUNTIF(Lançamentos!$B$3:$B$1001,$B145)=0,"Bloqueado",IF('E7 — Entrega'!$D127="","Bloqueado",IF(COUNTIF('E7 — Entrega'!$E127:$H127,"⛔ Bloqueado")&gt;0,"Bloqueado",IF(COUNTIF('E7 — Entrega'!$E127:$H127,"✔ Concluído")=4,"Concluído",IF(COUNTIF('E7 — Entrega'!$E127:$H127,"✔ Concluído")+COUNTIF('E7 — Entrega'!$E127:$H127,"🔄 Em andamento")&gt;0,"Em andamento","Não iniciado"))))))))</f>
        <v/>
      </c>
      <c r="L145" s="234" t="str">
        <f>IF($B145="","",IF($K145&lt;&gt;"Concluído","Não iniciado",IF(OR(COUNTIF('E08 — Estabilização Hypercare'!$E127:$J127,"⛔ Bloqueado")&gt;0,'E08 — Estabilização Hypercare'!$N127="⛔ Incidente Crítico — Encerramento Bloqueado",AND('E08 — Estabilização Hypercare'!$N127="🆕 Evolução Identificada — Nova Demanda Aberta",'E08 — Estabilização Hypercare'!$U127="")),"Bloqueado",IF(AND('E08 — Estabilização Hypercare'!$E127="✔ Concluído",'E08 — Estabilização Hypercare'!$F127="✔ Concluído",'E08 — Estabilização Hypercare'!$G127="✔ Concluído",OR('E08 — Estabilização Hypercare'!$H127="✔ Concluído",'E08 — Estabilização Hypercare'!$H127="N/A"),'E08 — Estabilização Hypercare'!$I127="✔ Concluído",'E08 — Estabilização Hypercare'!$J127="✔ Concluído",OR('E08 — Estabilização Hypercare'!$N127="✅ Estável — Demanda Encerrada",AND('E08 — Estabilização Hypercare'!$N127="🆕 Evolução Identificada — Nova Demanda Aberta",'E08 — Estabilização Hypercare'!$U127&lt;&gt;""))),"Concluído",IF(OR(COUNTIF('E08 — Estabilização Hypercare'!$E127:$J127,"✔ Concluído")&gt;0,COUNTIF('E08 — Estabilização Hypercare'!$E127:$J127,"🔄 Em andamento")&gt;0,'E08 — Estabilização Hypercare'!$N127&lt;&gt;""),"Em andamento","Não iniciado")))))</f>
        <v/>
      </c>
      <c r="M145" s="236" t="str" cm="1">
        <f t="array" ref="M145">IF(B145="","",_xlfn.IFS(E145&lt;&gt;"Concluído","E1 — Solicitação",F145&lt;&gt;"Concluído","E2 — Triagem",G145&lt;&gt;"Concluído","E3 — Levantamento ⚠",H145&lt;&gt;"Concluído","E4 — Execução",I145&lt;&gt;"Concluído","E5 — Validação ⚠",AND(J145&lt;&gt;"Concluído",J145&lt;&gt;"N/A"),"E6 — Ajustes",K145&lt;&gt;"Concluído","E7 — Entrega",L145&lt;&gt;"Concluído","E08 — Estabilização / Hypercare",TRUE,"✔ Fluxo concluído"))</f>
        <v/>
      </c>
      <c r="N145" s="237" t="str">
        <f t="shared" si="1"/>
        <v/>
      </c>
      <c r="O145" s="238"/>
    </row>
    <row r="146" spans="2:15" ht="15" customHeight="1" x14ac:dyDescent="0.35">
      <c r="B146" s="234" t="str">
        <f>IF(Lançamentos!$B123="","",Lançamentos!$B123)</f>
        <v/>
      </c>
      <c r="C146" s="235" t="str">
        <f>IF($B146="","",Lançamentos!$J123)</f>
        <v/>
      </c>
      <c r="D146" s="235" t="str">
        <f>IF($B146="","",Lançamentos!$H123)</f>
        <v/>
      </c>
      <c r="E146" s="234" t="str">
        <f>IF($B146="","",IF(COUNTIF(Lançamentos!$B$3:$B$1001,$B146)=0,"Bloqueado",IF(COUNTIF('E1 — Solicitação'!$E128:$L128,"⛔ Bloqueado")&gt;0,"Bloqueado",IF(COUNTIF('E1 — Solicitação'!$E128:$L128,"N/A")=8,"Bloqueado",IF(COUNTIF('E1 — Solicitação'!$E128:$L128,"✔ Concluído")+COUNTIF('E1 — Solicitação'!$E128:$L128,"N/A")=8,"Concluído",IF(COUNTIF('E1 — Solicitação'!$E128:$L128,"✔ Concluído")+COUNTIF('E1 — Solicitação'!$E128:$L128,"🔄 Em andamento")&gt;0,"Em andamento","Não iniciado"))))))</f>
        <v/>
      </c>
      <c r="F146" s="234" t="str">
        <f>IF($B146="","",IF($E146&lt;&gt;"Concluído","Não iniciado",IF(COUNTIF(Lançamentos!$B$3:$B$1001,$B146)=0,"Bloqueado",IF('E2 — Triagem'!$D128="","Bloqueado",IF(COUNTIF('E2 — Triagem'!$E128:$L128,"N/A")=8,"Bloqueado",IF(COUNTIF('E2 — Triagem'!$E128:$L128,"⛔ Bloqueado")&gt;0,"Bloqueado",IF(COUNTIF('E2 — Triagem'!$E128:$L128,"✔ Concluído")+COUNTIF('E2 — Triagem'!$E128:$L128,"N/A")=8,"Concluído",IF(COUNTIF('E2 — Triagem'!$E128:$L128,"✔ Concluído")+COUNTIF('E2 — Triagem'!$E128:$L128,"🔄 Em andamento")&gt;0,"Em andamento","Não iniciado"))))))))</f>
        <v/>
      </c>
      <c r="G146" s="234" t="str">
        <f>IF($B146="","",IF($F146&lt;&gt;"Concluído","Não iniciado",IF(COUNTIF(Lançamentos!$B$3:$B$1001,$B146)=0,"Bloqueado",IF('E3 — Levantamento'!$D128="","Bloqueado",IF(COUNTIF('E3 — Levantamento'!$E128:$I128,"⛔ Bloqueado")&gt;0,"Bloqueado",IF('E3 — Levantamento'!$I128="N/A","Bloqueado",IF(COUNTIF('E3 — Levantamento'!$E128:$I128,"✔ Concluído")=5,"Concluído",IF(COUNTIF('E3 — Levantamento'!$E128:$I128,"✔ Concluído")+COUNTIF('E3 — Levantamento'!$E128:$I128,"🔄 Em andamento")&gt;0,"Em andamento","Não iniciado"))))))))</f>
        <v/>
      </c>
      <c r="H146" s="234" t="str">
        <f>IF($B146="","",IF($G146&lt;&gt;"Concluído","Não iniciado",IF(COUNTIF(Lançamentos!$B$3:$B$1001,$B146)=0,"Bloqueado",IF('E4 — Execução'!$D128="","Bloqueado",IF(COUNTIF('E4 — Execução'!$E128:$K128,"⛔ Bloqueado")&gt;0,"Bloqueado",IF(COUNTIF('E4 — Execução'!$E128:$K128,"✔ Concluído")=7,"Concluído",IF(COUNTIF('E4 — Execução'!$E128:$K128,"✔ Concluído")+COUNTIF('E4 — Execução'!$E128:$K128,"🔄 Em andamento")&gt;0,"Em andamento","Não iniciado")))))))</f>
        <v/>
      </c>
      <c r="I146" s="234" t="str">
        <f>IF($B146="","",IF($H146&lt;&gt;"Concluído","Não iniciado",IF(COUNTIF(Lançamentos!$B$3:$B$1001,$B146)=0,"Bloqueado",IF('E5 — Validação'!$D128="","Bloqueado",IF(COUNTIF('E5 — Validação'!$E128:$I128,"⛔ Bloqueado")&gt;0,"Bloqueado",IF('E5 — Validação'!$I128="N/A","Bloqueado",IF(AND('E5 — Validação'!$E128="✔ Concluído",'E5 — Validação'!$F128="✔ Concluído",OR('E5 — Validação'!$G128="✔ Concluído",'E5 — Validação'!$G128="N/A"),'E5 — Validação'!$H128="✔ Concluído",'E5 — Validação'!$I128="✔ Concluído"),"Concluído",IF(COUNTIF('E5 — Validação'!$E128:$I128,"✔ Concluído")+COUNTIF('E5 — Validação'!$E128:$I128,"🔄 Em andamento")&gt;0,"Em andamento","Não iniciado"))))))))</f>
        <v/>
      </c>
      <c r="J146" s="234" t="str">
        <f>IF($B146="","",IF($I146&lt;&gt;"Concluído","Não iniciado",IF('E6 — Ajustes'!$N128="Não","N/A",IF(COUNTIF(Lançamentos!$B$3:$B$1001,$B146)=0,"Bloqueado",IF('E6 — Ajustes'!$D128="","Bloqueado",IF(COUNTIF('E6 — Ajustes'!$E128:$J128,"⛔ Bloqueado")&gt;0,"Bloqueado",IF(AND('E6 — Ajustes'!$E128="✔ Concluído",'E6 — Ajustes'!$F128="✔ Concluído",'E6 — Ajustes'!$G128="✔ Concluído",'E6 — Ajustes'!$H128="✔ Concluído",OR('E6 — Ajustes'!$I128="✔ Concluído",'E6 — Ajustes'!$I128="N/A"),'E6 — Ajustes'!$J128="✔ Concluído"),"Concluído",IF(COUNTIF('E6 — Ajustes'!$E128:$J128,"✔ Concluído")+COUNTIF('E6 — Ajustes'!$E128:$J128,"🔄 Em andamento")&gt;0,"Em andamento","Não iniciado"))))))))</f>
        <v/>
      </c>
      <c r="K146" s="234" t="str">
        <f>IF($B146="","",IF($I146&lt;&gt;"Concluído","Não iniciado",IF(AND($J146&lt;&gt;"Concluído",$J146&lt;&gt;"N/A"),"Não iniciado",IF(COUNTIF(Lançamentos!$B$3:$B$1001,$B146)=0,"Bloqueado",IF('E7 — Entrega'!$D128="","Bloqueado",IF(COUNTIF('E7 — Entrega'!$E128:$H128,"⛔ Bloqueado")&gt;0,"Bloqueado",IF(COUNTIF('E7 — Entrega'!$E128:$H128,"✔ Concluído")=4,"Concluído",IF(COUNTIF('E7 — Entrega'!$E128:$H128,"✔ Concluído")+COUNTIF('E7 — Entrega'!$E128:$H128,"🔄 Em andamento")&gt;0,"Em andamento","Não iniciado"))))))))</f>
        <v/>
      </c>
      <c r="L146" s="234" t="str">
        <f>IF($B146="","",IF($K146&lt;&gt;"Concluído","Não iniciado",IF(OR(COUNTIF('E08 — Estabilização Hypercare'!$E128:$J128,"⛔ Bloqueado")&gt;0,'E08 — Estabilização Hypercare'!$N128="⛔ Incidente Crítico — Encerramento Bloqueado",AND('E08 — Estabilização Hypercare'!$N128="🆕 Evolução Identificada — Nova Demanda Aberta",'E08 — Estabilização Hypercare'!$U128="")),"Bloqueado",IF(AND('E08 — Estabilização Hypercare'!$E128="✔ Concluído",'E08 — Estabilização Hypercare'!$F128="✔ Concluído",'E08 — Estabilização Hypercare'!$G128="✔ Concluído",OR('E08 — Estabilização Hypercare'!$H128="✔ Concluído",'E08 — Estabilização Hypercare'!$H128="N/A"),'E08 — Estabilização Hypercare'!$I128="✔ Concluído",'E08 — Estabilização Hypercare'!$J128="✔ Concluído",OR('E08 — Estabilização Hypercare'!$N128="✅ Estável — Demanda Encerrada",AND('E08 — Estabilização Hypercare'!$N128="🆕 Evolução Identificada — Nova Demanda Aberta",'E08 — Estabilização Hypercare'!$U128&lt;&gt;""))),"Concluído",IF(OR(COUNTIF('E08 — Estabilização Hypercare'!$E128:$J128,"✔ Concluído")&gt;0,COUNTIF('E08 — Estabilização Hypercare'!$E128:$J128,"🔄 Em andamento")&gt;0,'E08 — Estabilização Hypercare'!$N128&lt;&gt;""),"Em andamento","Não iniciado")))))</f>
        <v/>
      </c>
      <c r="M146" s="236" t="str" cm="1">
        <f t="array" ref="M146">IF(B146="","",_xlfn.IFS(E146&lt;&gt;"Concluído","E1 — Solicitação",F146&lt;&gt;"Concluído","E2 — Triagem",G146&lt;&gt;"Concluído","E3 — Levantamento ⚠",H146&lt;&gt;"Concluído","E4 — Execução",I146&lt;&gt;"Concluído","E5 — Validação ⚠",AND(J146&lt;&gt;"Concluído",J146&lt;&gt;"N/A"),"E6 — Ajustes",K146&lt;&gt;"Concluído","E7 — Entrega",L146&lt;&gt;"Concluído","E08 — Estabilização / Hypercare",TRUE,"✔ Fluxo concluído"))</f>
        <v/>
      </c>
      <c r="N146" s="237" t="str">
        <f t="shared" si="1"/>
        <v/>
      </c>
      <c r="O146" s="238"/>
    </row>
    <row r="147" spans="2:15" ht="15" customHeight="1" x14ac:dyDescent="0.35">
      <c r="B147" s="234" t="str">
        <f>IF(Lançamentos!$B124="","",Lançamentos!$B124)</f>
        <v/>
      </c>
      <c r="C147" s="235" t="str">
        <f>IF($B147="","",Lançamentos!$J124)</f>
        <v/>
      </c>
      <c r="D147" s="235" t="str">
        <f>IF($B147="","",Lançamentos!$H124)</f>
        <v/>
      </c>
      <c r="E147" s="234" t="str">
        <f>IF($B147="","",IF(COUNTIF(Lançamentos!$B$3:$B$1001,$B147)=0,"Bloqueado",IF(COUNTIF('E1 — Solicitação'!$E129:$L129,"⛔ Bloqueado")&gt;0,"Bloqueado",IF(COUNTIF('E1 — Solicitação'!$E129:$L129,"N/A")=8,"Bloqueado",IF(COUNTIF('E1 — Solicitação'!$E129:$L129,"✔ Concluído")+COUNTIF('E1 — Solicitação'!$E129:$L129,"N/A")=8,"Concluído",IF(COUNTIF('E1 — Solicitação'!$E129:$L129,"✔ Concluído")+COUNTIF('E1 — Solicitação'!$E129:$L129,"🔄 Em andamento")&gt;0,"Em andamento","Não iniciado"))))))</f>
        <v/>
      </c>
      <c r="F147" s="234" t="str">
        <f>IF($B147="","",IF($E147&lt;&gt;"Concluído","Não iniciado",IF(COUNTIF(Lançamentos!$B$3:$B$1001,$B147)=0,"Bloqueado",IF('E2 — Triagem'!$D129="","Bloqueado",IF(COUNTIF('E2 — Triagem'!$E129:$L129,"N/A")=8,"Bloqueado",IF(COUNTIF('E2 — Triagem'!$E129:$L129,"⛔ Bloqueado")&gt;0,"Bloqueado",IF(COUNTIF('E2 — Triagem'!$E129:$L129,"✔ Concluído")+COUNTIF('E2 — Triagem'!$E129:$L129,"N/A")=8,"Concluído",IF(COUNTIF('E2 — Triagem'!$E129:$L129,"✔ Concluído")+COUNTIF('E2 — Triagem'!$E129:$L129,"🔄 Em andamento")&gt;0,"Em andamento","Não iniciado"))))))))</f>
        <v/>
      </c>
      <c r="G147" s="234" t="str">
        <f>IF($B147="","",IF($F147&lt;&gt;"Concluído","Não iniciado",IF(COUNTIF(Lançamentos!$B$3:$B$1001,$B147)=0,"Bloqueado",IF('E3 — Levantamento'!$D129="","Bloqueado",IF(COUNTIF('E3 — Levantamento'!$E129:$I129,"⛔ Bloqueado")&gt;0,"Bloqueado",IF('E3 — Levantamento'!$I129="N/A","Bloqueado",IF(COUNTIF('E3 — Levantamento'!$E129:$I129,"✔ Concluído")=5,"Concluído",IF(COUNTIF('E3 — Levantamento'!$E129:$I129,"✔ Concluído")+COUNTIF('E3 — Levantamento'!$E129:$I129,"🔄 Em andamento")&gt;0,"Em andamento","Não iniciado"))))))))</f>
        <v/>
      </c>
      <c r="H147" s="234" t="str">
        <f>IF($B147="","",IF($G147&lt;&gt;"Concluído","Não iniciado",IF(COUNTIF(Lançamentos!$B$3:$B$1001,$B147)=0,"Bloqueado",IF('E4 — Execução'!$D129="","Bloqueado",IF(COUNTIF('E4 — Execução'!$E129:$K129,"⛔ Bloqueado")&gt;0,"Bloqueado",IF(COUNTIF('E4 — Execução'!$E129:$K129,"✔ Concluído")=7,"Concluído",IF(COUNTIF('E4 — Execução'!$E129:$K129,"✔ Concluído")+COUNTIF('E4 — Execução'!$E129:$K129,"🔄 Em andamento")&gt;0,"Em andamento","Não iniciado")))))))</f>
        <v/>
      </c>
      <c r="I147" s="234" t="str">
        <f>IF($B147="","",IF($H147&lt;&gt;"Concluído","Não iniciado",IF(COUNTIF(Lançamentos!$B$3:$B$1001,$B147)=0,"Bloqueado",IF('E5 — Validação'!$D129="","Bloqueado",IF(COUNTIF('E5 — Validação'!$E129:$I129,"⛔ Bloqueado")&gt;0,"Bloqueado",IF('E5 — Validação'!$I129="N/A","Bloqueado",IF(AND('E5 — Validação'!$E129="✔ Concluído",'E5 — Validação'!$F129="✔ Concluído",OR('E5 — Validação'!$G129="✔ Concluído",'E5 — Validação'!$G129="N/A"),'E5 — Validação'!$H129="✔ Concluído",'E5 — Validação'!$I129="✔ Concluído"),"Concluído",IF(COUNTIF('E5 — Validação'!$E129:$I129,"✔ Concluído")+COUNTIF('E5 — Validação'!$E129:$I129,"🔄 Em andamento")&gt;0,"Em andamento","Não iniciado"))))))))</f>
        <v/>
      </c>
      <c r="J147" s="234" t="str">
        <f>IF($B147="","",IF($I147&lt;&gt;"Concluído","Não iniciado",IF('E6 — Ajustes'!$N129="Não","N/A",IF(COUNTIF(Lançamentos!$B$3:$B$1001,$B147)=0,"Bloqueado",IF('E6 — Ajustes'!$D129="","Bloqueado",IF(COUNTIF('E6 — Ajustes'!$E129:$J129,"⛔ Bloqueado")&gt;0,"Bloqueado",IF(AND('E6 — Ajustes'!$E129="✔ Concluído",'E6 — Ajustes'!$F129="✔ Concluído",'E6 — Ajustes'!$G129="✔ Concluído",'E6 — Ajustes'!$H129="✔ Concluído",OR('E6 — Ajustes'!$I129="✔ Concluído",'E6 — Ajustes'!$I129="N/A"),'E6 — Ajustes'!$J129="✔ Concluído"),"Concluído",IF(COUNTIF('E6 — Ajustes'!$E129:$J129,"✔ Concluído")+COUNTIF('E6 — Ajustes'!$E129:$J129,"🔄 Em andamento")&gt;0,"Em andamento","Não iniciado"))))))))</f>
        <v/>
      </c>
      <c r="K147" s="234" t="str">
        <f>IF($B147="","",IF($I147&lt;&gt;"Concluído","Não iniciado",IF(AND($J147&lt;&gt;"Concluído",$J147&lt;&gt;"N/A"),"Não iniciado",IF(COUNTIF(Lançamentos!$B$3:$B$1001,$B147)=0,"Bloqueado",IF('E7 — Entrega'!$D129="","Bloqueado",IF(COUNTIF('E7 — Entrega'!$E129:$H129,"⛔ Bloqueado")&gt;0,"Bloqueado",IF(COUNTIF('E7 — Entrega'!$E129:$H129,"✔ Concluído")=4,"Concluído",IF(COUNTIF('E7 — Entrega'!$E129:$H129,"✔ Concluído")+COUNTIF('E7 — Entrega'!$E129:$H129,"🔄 Em andamento")&gt;0,"Em andamento","Não iniciado"))))))))</f>
        <v/>
      </c>
      <c r="L147" s="234" t="str">
        <f>IF($B147="","",IF($K147&lt;&gt;"Concluído","Não iniciado",IF(OR(COUNTIF('E08 — Estabilização Hypercare'!$E129:$J129,"⛔ Bloqueado")&gt;0,'E08 — Estabilização Hypercare'!$N129="⛔ Incidente Crítico — Encerramento Bloqueado",AND('E08 — Estabilização Hypercare'!$N129="🆕 Evolução Identificada — Nova Demanda Aberta",'E08 — Estabilização Hypercare'!$U129="")),"Bloqueado",IF(AND('E08 — Estabilização Hypercare'!$E129="✔ Concluído",'E08 — Estabilização Hypercare'!$F129="✔ Concluído",'E08 — Estabilização Hypercare'!$G129="✔ Concluído",OR('E08 — Estabilização Hypercare'!$H129="✔ Concluído",'E08 — Estabilização Hypercare'!$H129="N/A"),'E08 — Estabilização Hypercare'!$I129="✔ Concluído",'E08 — Estabilização Hypercare'!$J129="✔ Concluído",OR('E08 — Estabilização Hypercare'!$N129="✅ Estável — Demanda Encerrada",AND('E08 — Estabilização Hypercare'!$N129="🆕 Evolução Identificada — Nova Demanda Aberta",'E08 — Estabilização Hypercare'!$U129&lt;&gt;""))),"Concluído",IF(OR(COUNTIF('E08 — Estabilização Hypercare'!$E129:$J129,"✔ Concluído")&gt;0,COUNTIF('E08 — Estabilização Hypercare'!$E129:$J129,"🔄 Em andamento")&gt;0,'E08 — Estabilização Hypercare'!$N129&lt;&gt;""),"Em andamento","Não iniciado")))))</f>
        <v/>
      </c>
      <c r="M147" s="236" t="str" cm="1">
        <f t="array" ref="M147">IF(B147="","",_xlfn.IFS(E147&lt;&gt;"Concluído","E1 — Solicitação",F147&lt;&gt;"Concluído","E2 — Triagem",G147&lt;&gt;"Concluído","E3 — Levantamento ⚠",H147&lt;&gt;"Concluído","E4 — Execução",I147&lt;&gt;"Concluído","E5 — Validação ⚠",AND(J147&lt;&gt;"Concluído",J147&lt;&gt;"N/A"),"E6 — Ajustes",K147&lt;&gt;"Concluído","E7 — Entrega",L147&lt;&gt;"Concluído","E08 — Estabilização / Hypercare",TRUE,"✔ Fluxo concluído"))</f>
        <v/>
      </c>
      <c r="N147" s="237" t="str">
        <f t="shared" si="1"/>
        <v/>
      </c>
      <c r="O147" s="238"/>
    </row>
    <row r="148" spans="2:15" ht="15" customHeight="1" x14ac:dyDescent="0.35">
      <c r="B148" s="234" t="str">
        <f>IF(Lançamentos!$B125="","",Lançamentos!$B125)</f>
        <v/>
      </c>
      <c r="C148" s="235" t="str">
        <f>IF($B148="","",Lançamentos!$J125)</f>
        <v/>
      </c>
      <c r="D148" s="235" t="str">
        <f>IF($B148="","",Lançamentos!$H125)</f>
        <v/>
      </c>
      <c r="E148" s="234" t="str">
        <f>IF($B148="","",IF(COUNTIF(Lançamentos!$B$3:$B$1001,$B148)=0,"Bloqueado",IF(COUNTIF('E1 — Solicitação'!$E130:$L130,"⛔ Bloqueado")&gt;0,"Bloqueado",IF(COUNTIF('E1 — Solicitação'!$E130:$L130,"N/A")=8,"Bloqueado",IF(COUNTIF('E1 — Solicitação'!$E130:$L130,"✔ Concluído")+COUNTIF('E1 — Solicitação'!$E130:$L130,"N/A")=8,"Concluído",IF(COUNTIF('E1 — Solicitação'!$E130:$L130,"✔ Concluído")+COUNTIF('E1 — Solicitação'!$E130:$L130,"🔄 Em andamento")&gt;0,"Em andamento","Não iniciado"))))))</f>
        <v/>
      </c>
      <c r="F148" s="234" t="str">
        <f>IF($B148="","",IF($E148&lt;&gt;"Concluído","Não iniciado",IF(COUNTIF(Lançamentos!$B$3:$B$1001,$B148)=0,"Bloqueado",IF('E2 — Triagem'!$D130="","Bloqueado",IF(COUNTIF('E2 — Triagem'!$E130:$L130,"N/A")=8,"Bloqueado",IF(COUNTIF('E2 — Triagem'!$E130:$L130,"⛔ Bloqueado")&gt;0,"Bloqueado",IF(COUNTIF('E2 — Triagem'!$E130:$L130,"✔ Concluído")+COUNTIF('E2 — Triagem'!$E130:$L130,"N/A")=8,"Concluído",IF(COUNTIF('E2 — Triagem'!$E130:$L130,"✔ Concluído")+COUNTIF('E2 — Triagem'!$E130:$L130,"🔄 Em andamento")&gt;0,"Em andamento","Não iniciado"))))))))</f>
        <v/>
      </c>
      <c r="G148" s="234" t="str">
        <f>IF($B148="","",IF($F148&lt;&gt;"Concluído","Não iniciado",IF(COUNTIF(Lançamentos!$B$3:$B$1001,$B148)=0,"Bloqueado",IF('E3 — Levantamento'!$D130="","Bloqueado",IF(COUNTIF('E3 — Levantamento'!$E130:$I130,"⛔ Bloqueado")&gt;0,"Bloqueado",IF('E3 — Levantamento'!$I130="N/A","Bloqueado",IF(COUNTIF('E3 — Levantamento'!$E130:$I130,"✔ Concluído")=5,"Concluído",IF(COUNTIF('E3 — Levantamento'!$E130:$I130,"✔ Concluído")+COUNTIF('E3 — Levantamento'!$E130:$I130,"🔄 Em andamento")&gt;0,"Em andamento","Não iniciado"))))))))</f>
        <v/>
      </c>
      <c r="H148" s="234" t="str">
        <f>IF($B148="","",IF($G148&lt;&gt;"Concluído","Não iniciado",IF(COUNTIF(Lançamentos!$B$3:$B$1001,$B148)=0,"Bloqueado",IF('E4 — Execução'!$D130="","Bloqueado",IF(COUNTIF('E4 — Execução'!$E130:$K130,"⛔ Bloqueado")&gt;0,"Bloqueado",IF(COUNTIF('E4 — Execução'!$E130:$K130,"✔ Concluído")=7,"Concluído",IF(COUNTIF('E4 — Execução'!$E130:$K130,"✔ Concluído")+COUNTIF('E4 — Execução'!$E130:$K130,"🔄 Em andamento")&gt;0,"Em andamento","Não iniciado")))))))</f>
        <v/>
      </c>
      <c r="I148" s="234" t="str">
        <f>IF($B148="","",IF($H148&lt;&gt;"Concluído","Não iniciado",IF(COUNTIF(Lançamentos!$B$3:$B$1001,$B148)=0,"Bloqueado",IF('E5 — Validação'!$D130="","Bloqueado",IF(COUNTIF('E5 — Validação'!$E130:$I130,"⛔ Bloqueado")&gt;0,"Bloqueado",IF('E5 — Validação'!$I130="N/A","Bloqueado",IF(AND('E5 — Validação'!$E130="✔ Concluído",'E5 — Validação'!$F130="✔ Concluído",OR('E5 — Validação'!$G130="✔ Concluído",'E5 — Validação'!$G130="N/A"),'E5 — Validação'!$H130="✔ Concluído",'E5 — Validação'!$I130="✔ Concluído"),"Concluído",IF(COUNTIF('E5 — Validação'!$E130:$I130,"✔ Concluído")+COUNTIF('E5 — Validação'!$E130:$I130,"🔄 Em andamento")&gt;0,"Em andamento","Não iniciado"))))))))</f>
        <v/>
      </c>
      <c r="J148" s="234" t="str">
        <f>IF($B148="","",IF($I148&lt;&gt;"Concluído","Não iniciado",IF('E6 — Ajustes'!$N130="Não","N/A",IF(COUNTIF(Lançamentos!$B$3:$B$1001,$B148)=0,"Bloqueado",IF('E6 — Ajustes'!$D130="","Bloqueado",IF(COUNTIF('E6 — Ajustes'!$E130:$J130,"⛔ Bloqueado")&gt;0,"Bloqueado",IF(AND('E6 — Ajustes'!$E130="✔ Concluído",'E6 — Ajustes'!$F130="✔ Concluído",'E6 — Ajustes'!$G130="✔ Concluído",'E6 — Ajustes'!$H130="✔ Concluído",OR('E6 — Ajustes'!$I130="✔ Concluído",'E6 — Ajustes'!$I130="N/A"),'E6 — Ajustes'!$J130="✔ Concluído"),"Concluído",IF(COUNTIF('E6 — Ajustes'!$E130:$J130,"✔ Concluído")+COUNTIF('E6 — Ajustes'!$E130:$J130,"🔄 Em andamento")&gt;0,"Em andamento","Não iniciado"))))))))</f>
        <v/>
      </c>
      <c r="K148" s="234" t="str">
        <f>IF($B148="","",IF($I148&lt;&gt;"Concluído","Não iniciado",IF(AND($J148&lt;&gt;"Concluído",$J148&lt;&gt;"N/A"),"Não iniciado",IF(COUNTIF(Lançamentos!$B$3:$B$1001,$B148)=0,"Bloqueado",IF('E7 — Entrega'!$D130="","Bloqueado",IF(COUNTIF('E7 — Entrega'!$E130:$H130,"⛔ Bloqueado")&gt;0,"Bloqueado",IF(COUNTIF('E7 — Entrega'!$E130:$H130,"✔ Concluído")=4,"Concluído",IF(COUNTIF('E7 — Entrega'!$E130:$H130,"✔ Concluído")+COUNTIF('E7 — Entrega'!$E130:$H130,"🔄 Em andamento")&gt;0,"Em andamento","Não iniciado"))))))))</f>
        <v/>
      </c>
      <c r="L148" s="234" t="str">
        <f>IF($B148="","",IF($K148&lt;&gt;"Concluído","Não iniciado",IF(OR(COUNTIF('E08 — Estabilização Hypercare'!$E130:$J130,"⛔ Bloqueado")&gt;0,'E08 — Estabilização Hypercare'!$N130="⛔ Incidente Crítico — Encerramento Bloqueado",AND('E08 — Estabilização Hypercare'!$N130="🆕 Evolução Identificada — Nova Demanda Aberta",'E08 — Estabilização Hypercare'!$U130="")),"Bloqueado",IF(AND('E08 — Estabilização Hypercare'!$E130="✔ Concluído",'E08 — Estabilização Hypercare'!$F130="✔ Concluído",'E08 — Estabilização Hypercare'!$G130="✔ Concluído",OR('E08 — Estabilização Hypercare'!$H130="✔ Concluído",'E08 — Estabilização Hypercare'!$H130="N/A"),'E08 — Estabilização Hypercare'!$I130="✔ Concluído",'E08 — Estabilização Hypercare'!$J130="✔ Concluído",OR('E08 — Estabilização Hypercare'!$N130="✅ Estável — Demanda Encerrada",AND('E08 — Estabilização Hypercare'!$N130="🆕 Evolução Identificada — Nova Demanda Aberta",'E08 — Estabilização Hypercare'!$U130&lt;&gt;""))),"Concluído",IF(OR(COUNTIF('E08 — Estabilização Hypercare'!$E130:$J130,"✔ Concluído")&gt;0,COUNTIF('E08 — Estabilização Hypercare'!$E130:$J130,"🔄 Em andamento")&gt;0,'E08 — Estabilização Hypercare'!$N130&lt;&gt;""),"Em andamento","Não iniciado")))))</f>
        <v/>
      </c>
      <c r="M148" s="236" t="str" cm="1">
        <f t="array" ref="M148">IF(B148="","",_xlfn.IFS(E148&lt;&gt;"Concluído","E1 — Solicitação",F148&lt;&gt;"Concluído","E2 — Triagem",G148&lt;&gt;"Concluído","E3 — Levantamento ⚠",H148&lt;&gt;"Concluído","E4 — Execução",I148&lt;&gt;"Concluído","E5 — Validação ⚠",AND(J148&lt;&gt;"Concluído",J148&lt;&gt;"N/A"),"E6 — Ajustes",K148&lt;&gt;"Concluído","E7 — Entrega",L148&lt;&gt;"Concluído","E08 — Estabilização / Hypercare",TRUE,"✔ Fluxo concluído"))</f>
        <v/>
      </c>
      <c r="N148" s="237" t="str">
        <f t="shared" si="1"/>
        <v/>
      </c>
      <c r="O148" s="238"/>
    </row>
    <row r="149" spans="2:15" ht="15" customHeight="1" x14ac:dyDescent="0.35">
      <c r="B149" s="234" t="str">
        <f>IF(Lançamentos!$B126="","",Lançamentos!$B126)</f>
        <v/>
      </c>
      <c r="C149" s="235" t="str">
        <f>IF($B149="","",Lançamentos!$J126)</f>
        <v/>
      </c>
      <c r="D149" s="235" t="str">
        <f>IF($B149="","",Lançamentos!$H126)</f>
        <v/>
      </c>
      <c r="E149" s="234" t="str">
        <f>IF($B149="","",IF(COUNTIF(Lançamentos!$B$3:$B$1001,$B149)=0,"Bloqueado",IF(COUNTIF('E1 — Solicitação'!$E131:$L131,"⛔ Bloqueado")&gt;0,"Bloqueado",IF(COUNTIF('E1 — Solicitação'!$E131:$L131,"N/A")=8,"Bloqueado",IF(COUNTIF('E1 — Solicitação'!$E131:$L131,"✔ Concluído")+COUNTIF('E1 — Solicitação'!$E131:$L131,"N/A")=8,"Concluído",IF(COUNTIF('E1 — Solicitação'!$E131:$L131,"✔ Concluído")+COUNTIF('E1 — Solicitação'!$E131:$L131,"🔄 Em andamento")&gt;0,"Em andamento","Não iniciado"))))))</f>
        <v/>
      </c>
      <c r="F149" s="234" t="str">
        <f>IF($B149="","",IF($E149&lt;&gt;"Concluído","Não iniciado",IF(COUNTIF(Lançamentos!$B$3:$B$1001,$B149)=0,"Bloqueado",IF('E2 — Triagem'!$D131="","Bloqueado",IF(COUNTIF('E2 — Triagem'!$E131:$L131,"N/A")=8,"Bloqueado",IF(COUNTIF('E2 — Triagem'!$E131:$L131,"⛔ Bloqueado")&gt;0,"Bloqueado",IF(COUNTIF('E2 — Triagem'!$E131:$L131,"✔ Concluído")+COUNTIF('E2 — Triagem'!$E131:$L131,"N/A")=8,"Concluído",IF(COUNTIF('E2 — Triagem'!$E131:$L131,"✔ Concluído")+COUNTIF('E2 — Triagem'!$E131:$L131,"🔄 Em andamento")&gt;0,"Em andamento","Não iniciado"))))))))</f>
        <v/>
      </c>
      <c r="G149" s="234" t="str">
        <f>IF($B149="","",IF($F149&lt;&gt;"Concluído","Não iniciado",IF(COUNTIF(Lançamentos!$B$3:$B$1001,$B149)=0,"Bloqueado",IF('E3 — Levantamento'!$D131="","Bloqueado",IF(COUNTIF('E3 — Levantamento'!$E131:$I131,"⛔ Bloqueado")&gt;0,"Bloqueado",IF('E3 — Levantamento'!$I131="N/A","Bloqueado",IF(COUNTIF('E3 — Levantamento'!$E131:$I131,"✔ Concluído")=5,"Concluído",IF(COUNTIF('E3 — Levantamento'!$E131:$I131,"✔ Concluído")+COUNTIF('E3 — Levantamento'!$E131:$I131,"🔄 Em andamento")&gt;0,"Em andamento","Não iniciado"))))))))</f>
        <v/>
      </c>
      <c r="H149" s="234" t="str">
        <f>IF($B149="","",IF($G149&lt;&gt;"Concluído","Não iniciado",IF(COUNTIF(Lançamentos!$B$3:$B$1001,$B149)=0,"Bloqueado",IF('E4 — Execução'!$D131="","Bloqueado",IF(COUNTIF('E4 — Execução'!$E131:$K131,"⛔ Bloqueado")&gt;0,"Bloqueado",IF(COUNTIF('E4 — Execução'!$E131:$K131,"✔ Concluído")=7,"Concluído",IF(COUNTIF('E4 — Execução'!$E131:$K131,"✔ Concluído")+COUNTIF('E4 — Execução'!$E131:$K131,"🔄 Em andamento")&gt;0,"Em andamento","Não iniciado")))))))</f>
        <v/>
      </c>
      <c r="I149" s="234" t="str">
        <f>IF($B149="","",IF($H149&lt;&gt;"Concluído","Não iniciado",IF(COUNTIF(Lançamentos!$B$3:$B$1001,$B149)=0,"Bloqueado",IF('E5 — Validação'!$D131="","Bloqueado",IF(COUNTIF('E5 — Validação'!$E131:$I131,"⛔ Bloqueado")&gt;0,"Bloqueado",IF('E5 — Validação'!$I131="N/A","Bloqueado",IF(AND('E5 — Validação'!$E131="✔ Concluído",'E5 — Validação'!$F131="✔ Concluído",OR('E5 — Validação'!$G131="✔ Concluído",'E5 — Validação'!$G131="N/A"),'E5 — Validação'!$H131="✔ Concluído",'E5 — Validação'!$I131="✔ Concluído"),"Concluído",IF(COUNTIF('E5 — Validação'!$E131:$I131,"✔ Concluído")+COUNTIF('E5 — Validação'!$E131:$I131,"🔄 Em andamento")&gt;0,"Em andamento","Não iniciado"))))))))</f>
        <v/>
      </c>
      <c r="J149" s="234" t="str">
        <f>IF($B149="","",IF($I149&lt;&gt;"Concluído","Não iniciado",IF('E6 — Ajustes'!$N131="Não","N/A",IF(COUNTIF(Lançamentos!$B$3:$B$1001,$B149)=0,"Bloqueado",IF('E6 — Ajustes'!$D131="","Bloqueado",IF(COUNTIF('E6 — Ajustes'!$E131:$J131,"⛔ Bloqueado")&gt;0,"Bloqueado",IF(AND('E6 — Ajustes'!$E131="✔ Concluído",'E6 — Ajustes'!$F131="✔ Concluído",'E6 — Ajustes'!$G131="✔ Concluído",'E6 — Ajustes'!$H131="✔ Concluído",OR('E6 — Ajustes'!$I131="✔ Concluído",'E6 — Ajustes'!$I131="N/A"),'E6 — Ajustes'!$J131="✔ Concluído"),"Concluído",IF(COUNTIF('E6 — Ajustes'!$E131:$J131,"✔ Concluído")+COUNTIF('E6 — Ajustes'!$E131:$J131,"🔄 Em andamento")&gt;0,"Em andamento","Não iniciado"))))))))</f>
        <v/>
      </c>
      <c r="K149" s="234" t="str">
        <f>IF($B149="","",IF($I149&lt;&gt;"Concluído","Não iniciado",IF(AND($J149&lt;&gt;"Concluído",$J149&lt;&gt;"N/A"),"Não iniciado",IF(COUNTIF(Lançamentos!$B$3:$B$1001,$B149)=0,"Bloqueado",IF('E7 — Entrega'!$D131="","Bloqueado",IF(COUNTIF('E7 — Entrega'!$E131:$H131,"⛔ Bloqueado")&gt;0,"Bloqueado",IF(COUNTIF('E7 — Entrega'!$E131:$H131,"✔ Concluído")=4,"Concluído",IF(COUNTIF('E7 — Entrega'!$E131:$H131,"✔ Concluído")+COUNTIF('E7 — Entrega'!$E131:$H131,"🔄 Em andamento")&gt;0,"Em andamento","Não iniciado"))))))))</f>
        <v/>
      </c>
      <c r="L149" s="234" t="str">
        <f>IF($B149="","",IF($K149&lt;&gt;"Concluído","Não iniciado",IF(OR(COUNTIF('E08 — Estabilização Hypercare'!$E131:$J131,"⛔ Bloqueado")&gt;0,'E08 — Estabilização Hypercare'!$N131="⛔ Incidente Crítico — Encerramento Bloqueado",AND('E08 — Estabilização Hypercare'!$N131="🆕 Evolução Identificada — Nova Demanda Aberta",'E08 — Estabilização Hypercare'!$U131="")),"Bloqueado",IF(AND('E08 — Estabilização Hypercare'!$E131="✔ Concluído",'E08 — Estabilização Hypercare'!$F131="✔ Concluído",'E08 — Estabilização Hypercare'!$G131="✔ Concluído",OR('E08 — Estabilização Hypercare'!$H131="✔ Concluído",'E08 — Estabilização Hypercare'!$H131="N/A"),'E08 — Estabilização Hypercare'!$I131="✔ Concluído",'E08 — Estabilização Hypercare'!$J131="✔ Concluído",OR('E08 — Estabilização Hypercare'!$N131="✅ Estável — Demanda Encerrada",AND('E08 — Estabilização Hypercare'!$N131="🆕 Evolução Identificada — Nova Demanda Aberta",'E08 — Estabilização Hypercare'!$U131&lt;&gt;""))),"Concluído",IF(OR(COUNTIF('E08 — Estabilização Hypercare'!$E131:$J131,"✔ Concluído")&gt;0,COUNTIF('E08 — Estabilização Hypercare'!$E131:$J131,"🔄 Em andamento")&gt;0,'E08 — Estabilização Hypercare'!$N131&lt;&gt;""),"Em andamento","Não iniciado")))))</f>
        <v/>
      </c>
      <c r="M149" s="236" t="str" cm="1">
        <f t="array" ref="M149">IF(B149="","",_xlfn.IFS(E149&lt;&gt;"Concluído","E1 — Solicitação",F149&lt;&gt;"Concluído","E2 — Triagem",G149&lt;&gt;"Concluído","E3 — Levantamento ⚠",H149&lt;&gt;"Concluído","E4 — Execução",I149&lt;&gt;"Concluído","E5 — Validação ⚠",AND(J149&lt;&gt;"Concluído",J149&lt;&gt;"N/A"),"E6 — Ajustes",K149&lt;&gt;"Concluído","E7 — Entrega",L149&lt;&gt;"Concluído","E08 — Estabilização / Hypercare",TRUE,"✔ Fluxo concluído"))</f>
        <v/>
      </c>
      <c r="N149" s="237" t="str">
        <f t="shared" si="1"/>
        <v/>
      </c>
      <c r="O149" s="238"/>
    </row>
    <row r="150" spans="2:15" ht="15" customHeight="1" x14ac:dyDescent="0.35">
      <c r="B150" s="234" t="str">
        <f>IF(Lançamentos!$B127="","",Lançamentos!$B127)</f>
        <v/>
      </c>
      <c r="C150" s="235" t="str">
        <f>IF($B150="","",Lançamentos!$J127)</f>
        <v/>
      </c>
      <c r="D150" s="235" t="str">
        <f>IF($B150="","",Lançamentos!$H127)</f>
        <v/>
      </c>
      <c r="E150" s="234" t="str">
        <f>IF($B150="","",IF(COUNTIF(Lançamentos!$B$3:$B$1001,$B150)=0,"Bloqueado",IF(COUNTIF('E1 — Solicitação'!$E132:$L132,"⛔ Bloqueado")&gt;0,"Bloqueado",IF(COUNTIF('E1 — Solicitação'!$E132:$L132,"N/A")=8,"Bloqueado",IF(COUNTIF('E1 — Solicitação'!$E132:$L132,"✔ Concluído")+COUNTIF('E1 — Solicitação'!$E132:$L132,"N/A")=8,"Concluído",IF(COUNTIF('E1 — Solicitação'!$E132:$L132,"✔ Concluído")+COUNTIF('E1 — Solicitação'!$E132:$L132,"🔄 Em andamento")&gt;0,"Em andamento","Não iniciado"))))))</f>
        <v/>
      </c>
      <c r="F150" s="234" t="str">
        <f>IF($B150="","",IF($E150&lt;&gt;"Concluído","Não iniciado",IF(COUNTIF(Lançamentos!$B$3:$B$1001,$B150)=0,"Bloqueado",IF('E2 — Triagem'!$D132="","Bloqueado",IF(COUNTIF('E2 — Triagem'!$E132:$L132,"N/A")=8,"Bloqueado",IF(COUNTIF('E2 — Triagem'!$E132:$L132,"⛔ Bloqueado")&gt;0,"Bloqueado",IF(COUNTIF('E2 — Triagem'!$E132:$L132,"✔ Concluído")+COUNTIF('E2 — Triagem'!$E132:$L132,"N/A")=8,"Concluído",IF(COUNTIF('E2 — Triagem'!$E132:$L132,"✔ Concluído")+COUNTIF('E2 — Triagem'!$E132:$L132,"🔄 Em andamento")&gt;0,"Em andamento","Não iniciado"))))))))</f>
        <v/>
      </c>
      <c r="G150" s="234" t="str">
        <f>IF($B150="","",IF($F150&lt;&gt;"Concluído","Não iniciado",IF(COUNTIF(Lançamentos!$B$3:$B$1001,$B150)=0,"Bloqueado",IF('E3 — Levantamento'!$D132="","Bloqueado",IF(COUNTIF('E3 — Levantamento'!$E132:$I132,"⛔ Bloqueado")&gt;0,"Bloqueado",IF('E3 — Levantamento'!$I132="N/A","Bloqueado",IF(COUNTIF('E3 — Levantamento'!$E132:$I132,"✔ Concluído")=5,"Concluído",IF(COUNTIF('E3 — Levantamento'!$E132:$I132,"✔ Concluído")+COUNTIF('E3 — Levantamento'!$E132:$I132,"🔄 Em andamento")&gt;0,"Em andamento","Não iniciado"))))))))</f>
        <v/>
      </c>
      <c r="H150" s="234" t="str">
        <f>IF($B150="","",IF($G150&lt;&gt;"Concluído","Não iniciado",IF(COUNTIF(Lançamentos!$B$3:$B$1001,$B150)=0,"Bloqueado",IF('E4 — Execução'!$D132="","Bloqueado",IF(COUNTIF('E4 — Execução'!$E132:$K132,"⛔ Bloqueado")&gt;0,"Bloqueado",IF(COUNTIF('E4 — Execução'!$E132:$K132,"✔ Concluído")=7,"Concluído",IF(COUNTIF('E4 — Execução'!$E132:$K132,"✔ Concluído")+COUNTIF('E4 — Execução'!$E132:$K132,"🔄 Em andamento")&gt;0,"Em andamento","Não iniciado")))))))</f>
        <v/>
      </c>
      <c r="I150" s="234" t="str">
        <f>IF($B150="","",IF($H150&lt;&gt;"Concluído","Não iniciado",IF(COUNTIF(Lançamentos!$B$3:$B$1001,$B150)=0,"Bloqueado",IF('E5 — Validação'!$D132="","Bloqueado",IF(COUNTIF('E5 — Validação'!$E132:$I132,"⛔ Bloqueado")&gt;0,"Bloqueado",IF('E5 — Validação'!$I132="N/A","Bloqueado",IF(AND('E5 — Validação'!$E132="✔ Concluído",'E5 — Validação'!$F132="✔ Concluído",OR('E5 — Validação'!$G132="✔ Concluído",'E5 — Validação'!$G132="N/A"),'E5 — Validação'!$H132="✔ Concluído",'E5 — Validação'!$I132="✔ Concluído"),"Concluído",IF(COUNTIF('E5 — Validação'!$E132:$I132,"✔ Concluído")+COUNTIF('E5 — Validação'!$E132:$I132,"🔄 Em andamento")&gt;0,"Em andamento","Não iniciado"))))))))</f>
        <v/>
      </c>
      <c r="J150" s="234" t="str">
        <f>IF($B150="","",IF($I150&lt;&gt;"Concluído","Não iniciado",IF('E6 — Ajustes'!$N132="Não","N/A",IF(COUNTIF(Lançamentos!$B$3:$B$1001,$B150)=0,"Bloqueado",IF('E6 — Ajustes'!$D132="","Bloqueado",IF(COUNTIF('E6 — Ajustes'!$E132:$J132,"⛔ Bloqueado")&gt;0,"Bloqueado",IF(AND('E6 — Ajustes'!$E132="✔ Concluído",'E6 — Ajustes'!$F132="✔ Concluído",'E6 — Ajustes'!$G132="✔ Concluído",'E6 — Ajustes'!$H132="✔ Concluído",OR('E6 — Ajustes'!$I132="✔ Concluído",'E6 — Ajustes'!$I132="N/A"),'E6 — Ajustes'!$J132="✔ Concluído"),"Concluído",IF(COUNTIF('E6 — Ajustes'!$E132:$J132,"✔ Concluído")+COUNTIF('E6 — Ajustes'!$E132:$J132,"🔄 Em andamento")&gt;0,"Em andamento","Não iniciado"))))))))</f>
        <v/>
      </c>
      <c r="K150" s="234" t="str">
        <f>IF($B150="","",IF($I150&lt;&gt;"Concluído","Não iniciado",IF(AND($J150&lt;&gt;"Concluído",$J150&lt;&gt;"N/A"),"Não iniciado",IF(COUNTIF(Lançamentos!$B$3:$B$1001,$B150)=0,"Bloqueado",IF('E7 — Entrega'!$D132="","Bloqueado",IF(COUNTIF('E7 — Entrega'!$E132:$H132,"⛔ Bloqueado")&gt;0,"Bloqueado",IF(COUNTIF('E7 — Entrega'!$E132:$H132,"✔ Concluído")=4,"Concluído",IF(COUNTIF('E7 — Entrega'!$E132:$H132,"✔ Concluído")+COUNTIF('E7 — Entrega'!$E132:$H132,"🔄 Em andamento")&gt;0,"Em andamento","Não iniciado"))))))))</f>
        <v/>
      </c>
      <c r="L150" s="234" t="str">
        <f>IF($B150="","",IF($K150&lt;&gt;"Concluído","Não iniciado",IF(OR(COUNTIF('E08 — Estabilização Hypercare'!$E132:$J132,"⛔ Bloqueado")&gt;0,'E08 — Estabilização Hypercare'!$N132="⛔ Incidente Crítico — Encerramento Bloqueado",AND('E08 — Estabilização Hypercare'!$N132="🆕 Evolução Identificada — Nova Demanda Aberta",'E08 — Estabilização Hypercare'!$U132="")),"Bloqueado",IF(AND('E08 — Estabilização Hypercare'!$E132="✔ Concluído",'E08 — Estabilização Hypercare'!$F132="✔ Concluído",'E08 — Estabilização Hypercare'!$G132="✔ Concluído",OR('E08 — Estabilização Hypercare'!$H132="✔ Concluído",'E08 — Estabilização Hypercare'!$H132="N/A"),'E08 — Estabilização Hypercare'!$I132="✔ Concluído",'E08 — Estabilização Hypercare'!$J132="✔ Concluído",OR('E08 — Estabilização Hypercare'!$N132="✅ Estável — Demanda Encerrada",AND('E08 — Estabilização Hypercare'!$N132="🆕 Evolução Identificada — Nova Demanda Aberta",'E08 — Estabilização Hypercare'!$U132&lt;&gt;""))),"Concluído",IF(OR(COUNTIF('E08 — Estabilização Hypercare'!$E132:$J132,"✔ Concluído")&gt;0,COUNTIF('E08 — Estabilização Hypercare'!$E132:$J132,"🔄 Em andamento")&gt;0,'E08 — Estabilização Hypercare'!$N132&lt;&gt;""),"Em andamento","Não iniciado")))))</f>
        <v/>
      </c>
      <c r="M150" s="236" t="str" cm="1">
        <f t="array" ref="M150">IF(B150="","",_xlfn.IFS(E150&lt;&gt;"Concluído","E1 — Solicitação",F150&lt;&gt;"Concluído","E2 — Triagem",G150&lt;&gt;"Concluído","E3 — Levantamento ⚠",H150&lt;&gt;"Concluído","E4 — Execução",I150&lt;&gt;"Concluído","E5 — Validação ⚠",AND(J150&lt;&gt;"Concluído",J150&lt;&gt;"N/A"),"E6 — Ajustes",K150&lt;&gt;"Concluído","E7 — Entrega",L150&lt;&gt;"Concluído","E08 — Estabilização / Hypercare",TRUE,"✔ Fluxo concluído"))</f>
        <v/>
      </c>
      <c r="N150" s="237" t="str">
        <f t="shared" si="1"/>
        <v/>
      </c>
      <c r="O150" s="238"/>
    </row>
    <row r="151" spans="2:15" ht="15" customHeight="1" x14ac:dyDescent="0.35">
      <c r="B151" s="234" t="str">
        <f>IF(Lançamentos!$B128="","",Lançamentos!$B128)</f>
        <v/>
      </c>
      <c r="C151" s="235" t="str">
        <f>IF($B151="","",Lançamentos!$J128)</f>
        <v/>
      </c>
      <c r="D151" s="235" t="str">
        <f>IF($B151="","",Lançamentos!$H128)</f>
        <v/>
      </c>
      <c r="E151" s="234" t="str">
        <f>IF($B151="","",IF(COUNTIF(Lançamentos!$B$3:$B$1001,$B151)=0,"Bloqueado",IF(COUNTIF('E1 — Solicitação'!$E133:$L133,"⛔ Bloqueado")&gt;0,"Bloqueado",IF(COUNTIF('E1 — Solicitação'!$E133:$L133,"N/A")=8,"Bloqueado",IF(COUNTIF('E1 — Solicitação'!$E133:$L133,"✔ Concluído")+COUNTIF('E1 — Solicitação'!$E133:$L133,"N/A")=8,"Concluído",IF(COUNTIF('E1 — Solicitação'!$E133:$L133,"✔ Concluído")+COUNTIF('E1 — Solicitação'!$E133:$L133,"🔄 Em andamento")&gt;0,"Em andamento","Não iniciado"))))))</f>
        <v/>
      </c>
      <c r="F151" s="234" t="str">
        <f>IF($B151="","",IF($E151&lt;&gt;"Concluído","Não iniciado",IF(COUNTIF(Lançamentos!$B$3:$B$1001,$B151)=0,"Bloqueado",IF('E2 — Triagem'!$D133="","Bloqueado",IF(COUNTIF('E2 — Triagem'!$E133:$L133,"N/A")=8,"Bloqueado",IF(COUNTIF('E2 — Triagem'!$E133:$L133,"⛔ Bloqueado")&gt;0,"Bloqueado",IF(COUNTIF('E2 — Triagem'!$E133:$L133,"✔ Concluído")+COUNTIF('E2 — Triagem'!$E133:$L133,"N/A")=8,"Concluído",IF(COUNTIF('E2 — Triagem'!$E133:$L133,"✔ Concluído")+COUNTIF('E2 — Triagem'!$E133:$L133,"🔄 Em andamento")&gt;0,"Em andamento","Não iniciado"))))))))</f>
        <v/>
      </c>
      <c r="G151" s="234" t="str">
        <f>IF($B151="","",IF($F151&lt;&gt;"Concluído","Não iniciado",IF(COUNTIF(Lançamentos!$B$3:$B$1001,$B151)=0,"Bloqueado",IF('E3 — Levantamento'!$D133="","Bloqueado",IF(COUNTIF('E3 — Levantamento'!$E133:$I133,"⛔ Bloqueado")&gt;0,"Bloqueado",IF('E3 — Levantamento'!$I133="N/A","Bloqueado",IF(COUNTIF('E3 — Levantamento'!$E133:$I133,"✔ Concluído")=5,"Concluído",IF(COUNTIF('E3 — Levantamento'!$E133:$I133,"✔ Concluído")+COUNTIF('E3 — Levantamento'!$E133:$I133,"🔄 Em andamento")&gt;0,"Em andamento","Não iniciado"))))))))</f>
        <v/>
      </c>
      <c r="H151" s="234" t="str">
        <f>IF($B151="","",IF($G151&lt;&gt;"Concluído","Não iniciado",IF(COUNTIF(Lançamentos!$B$3:$B$1001,$B151)=0,"Bloqueado",IF('E4 — Execução'!$D133="","Bloqueado",IF(COUNTIF('E4 — Execução'!$E133:$K133,"⛔ Bloqueado")&gt;0,"Bloqueado",IF(COUNTIF('E4 — Execução'!$E133:$K133,"✔ Concluído")=7,"Concluído",IF(COUNTIF('E4 — Execução'!$E133:$K133,"✔ Concluído")+COUNTIF('E4 — Execução'!$E133:$K133,"🔄 Em andamento")&gt;0,"Em andamento","Não iniciado")))))))</f>
        <v/>
      </c>
      <c r="I151" s="234" t="str">
        <f>IF($B151="","",IF($H151&lt;&gt;"Concluído","Não iniciado",IF(COUNTIF(Lançamentos!$B$3:$B$1001,$B151)=0,"Bloqueado",IF('E5 — Validação'!$D133="","Bloqueado",IF(COUNTIF('E5 — Validação'!$E133:$I133,"⛔ Bloqueado")&gt;0,"Bloqueado",IF('E5 — Validação'!$I133="N/A","Bloqueado",IF(AND('E5 — Validação'!$E133="✔ Concluído",'E5 — Validação'!$F133="✔ Concluído",OR('E5 — Validação'!$G133="✔ Concluído",'E5 — Validação'!$G133="N/A"),'E5 — Validação'!$H133="✔ Concluído",'E5 — Validação'!$I133="✔ Concluído"),"Concluído",IF(COUNTIF('E5 — Validação'!$E133:$I133,"✔ Concluído")+COUNTIF('E5 — Validação'!$E133:$I133,"🔄 Em andamento")&gt;0,"Em andamento","Não iniciado"))))))))</f>
        <v/>
      </c>
      <c r="J151" s="234" t="str">
        <f>IF($B151="","",IF($I151&lt;&gt;"Concluído","Não iniciado",IF('E6 — Ajustes'!$N133="Não","N/A",IF(COUNTIF(Lançamentos!$B$3:$B$1001,$B151)=0,"Bloqueado",IF('E6 — Ajustes'!$D133="","Bloqueado",IF(COUNTIF('E6 — Ajustes'!$E133:$J133,"⛔ Bloqueado")&gt;0,"Bloqueado",IF(AND('E6 — Ajustes'!$E133="✔ Concluído",'E6 — Ajustes'!$F133="✔ Concluído",'E6 — Ajustes'!$G133="✔ Concluído",'E6 — Ajustes'!$H133="✔ Concluído",OR('E6 — Ajustes'!$I133="✔ Concluído",'E6 — Ajustes'!$I133="N/A"),'E6 — Ajustes'!$J133="✔ Concluído"),"Concluído",IF(COUNTIF('E6 — Ajustes'!$E133:$J133,"✔ Concluído")+COUNTIF('E6 — Ajustes'!$E133:$J133,"🔄 Em andamento")&gt;0,"Em andamento","Não iniciado"))))))))</f>
        <v/>
      </c>
      <c r="K151" s="234" t="str">
        <f>IF($B151="","",IF($I151&lt;&gt;"Concluído","Não iniciado",IF(AND($J151&lt;&gt;"Concluído",$J151&lt;&gt;"N/A"),"Não iniciado",IF(COUNTIF(Lançamentos!$B$3:$B$1001,$B151)=0,"Bloqueado",IF('E7 — Entrega'!$D133="","Bloqueado",IF(COUNTIF('E7 — Entrega'!$E133:$H133,"⛔ Bloqueado")&gt;0,"Bloqueado",IF(COUNTIF('E7 — Entrega'!$E133:$H133,"✔ Concluído")=4,"Concluído",IF(COUNTIF('E7 — Entrega'!$E133:$H133,"✔ Concluído")+COUNTIF('E7 — Entrega'!$E133:$H133,"🔄 Em andamento")&gt;0,"Em andamento","Não iniciado"))))))))</f>
        <v/>
      </c>
      <c r="L151" s="234" t="str">
        <f>IF($B151="","",IF($K151&lt;&gt;"Concluído","Não iniciado",IF(OR(COUNTIF('E08 — Estabilização Hypercare'!$E133:$J133,"⛔ Bloqueado")&gt;0,'E08 — Estabilização Hypercare'!$N133="⛔ Incidente Crítico — Encerramento Bloqueado",AND('E08 — Estabilização Hypercare'!$N133="🆕 Evolução Identificada — Nova Demanda Aberta",'E08 — Estabilização Hypercare'!$U133="")),"Bloqueado",IF(AND('E08 — Estabilização Hypercare'!$E133="✔ Concluído",'E08 — Estabilização Hypercare'!$F133="✔ Concluído",'E08 — Estabilização Hypercare'!$G133="✔ Concluído",OR('E08 — Estabilização Hypercare'!$H133="✔ Concluído",'E08 — Estabilização Hypercare'!$H133="N/A"),'E08 — Estabilização Hypercare'!$I133="✔ Concluído",'E08 — Estabilização Hypercare'!$J133="✔ Concluído",OR('E08 — Estabilização Hypercare'!$N133="✅ Estável — Demanda Encerrada",AND('E08 — Estabilização Hypercare'!$N133="🆕 Evolução Identificada — Nova Demanda Aberta",'E08 — Estabilização Hypercare'!$U133&lt;&gt;""))),"Concluído",IF(OR(COUNTIF('E08 — Estabilização Hypercare'!$E133:$J133,"✔ Concluído")&gt;0,COUNTIF('E08 — Estabilização Hypercare'!$E133:$J133,"🔄 Em andamento")&gt;0,'E08 — Estabilização Hypercare'!$N133&lt;&gt;""),"Em andamento","Não iniciado")))))</f>
        <v/>
      </c>
      <c r="M151" s="236" t="str" cm="1">
        <f t="array" ref="M151">IF(B151="","",_xlfn.IFS(E151&lt;&gt;"Concluído","E1 — Solicitação",F151&lt;&gt;"Concluído","E2 — Triagem",G151&lt;&gt;"Concluído","E3 — Levantamento ⚠",H151&lt;&gt;"Concluído","E4 — Execução",I151&lt;&gt;"Concluído","E5 — Validação ⚠",AND(J151&lt;&gt;"Concluído",J151&lt;&gt;"N/A"),"E6 — Ajustes",K151&lt;&gt;"Concluído","E7 — Entrega",L151&lt;&gt;"Concluído","E08 — Estabilização / Hypercare",TRUE,"✔ Fluxo concluído"))</f>
        <v/>
      </c>
      <c r="N151" s="237" t="str">
        <f t="shared" si="1"/>
        <v/>
      </c>
      <c r="O151" s="238"/>
    </row>
    <row r="152" spans="2:15" ht="15" customHeight="1" x14ac:dyDescent="0.35">
      <c r="B152" s="234" t="str">
        <f>IF(Lançamentos!$B129="","",Lançamentos!$B129)</f>
        <v/>
      </c>
      <c r="C152" s="235" t="str">
        <f>IF($B152="","",Lançamentos!$J129)</f>
        <v/>
      </c>
      <c r="D152" s="235" t="str">
        <f>IF($B152="","",Lançamentos!$H129)</f>
        <v/>
      </c>
      <c r="E152" s="234" t="str">
        <f>IF($B152="","",IF(COUNTIF(Lançamentos!$B$3:$B$1001,$B152)=0,"Bloqueado",IF(COUNTIF('E1 — Solicitação'!$E134:$L134,"⛔ Bloqueado")&gt;0,"Bloqueado",IF(COUNTIF('E1 — Solicitação'!$E134:$L134,"N/A")=8,"Bloqueado",IF(COUNTIF('E1 — Solicitação'!$E134:$L134,"✔ Concluído")+COUNTIF('E1 — Solicitação'!$E134:$L134,"N/A")=8,"Concluído",IF(COUNTIF('E1 — Solicitação'!$E134:$L134,"✔ Concluído")+COUNTIF('E1 — Solicitação'!$E134:$L134,"🔄 Em andamento")&gt;0,"Em andamento","Não iniciado"))))))</f>
        <v/>
      </c>
      <c r="F152" s="234" t="str">
        <f>IF($B152="","",IF($E152&lt;&gt;"Concluído","Não iniciado",IF(COUNTIF(Lançamentos!$B$3:$B$1001,$B152)=0,"Bloqueado",IF('E2 — Triagem'!$D134="","Bloqueado",IF(COUNTIF('E2 — Triagem'!$E134:$L134,"N/A")=8,"Bloqueado",IF(COUNTIF('E2 — Triagem'!$E134:$L134,"⛔ Bloqueado")&gt;0,"Bloqueado",IF(COUNTIF('E2 — Triagem'!$E134:$L134,"✔ Concluído")+COUNTIF('E2 — Triagem'!$E134:$L134,"N/A")=8,"Concluído",IF(COUNTIF('E2 — Triagem'!$E134:$L134,"✔ Concluído")+COUNTIF('E2 — Triagem'!$E134:$L134,"🔄 Em andamento")&gt;0,"Em andamento","Não iniciado"))))))))</f>
        <v/>
      </c>
      <c r="G152" s="234" t="str">
        <f>IF($B152="","",IF($F152&lt;&gt;"Concluído","Não iniciado",IF(COUNTIF(Lançamentos!$B$3:$B$1001,$B152)=0,"Bloqueado",IF('E3 — Levantamento'!$D134="","Bloqueado",IF(COUNTIF('E3 — Levantamento'!$E134:$I134,"⛔ Bloqueado")&gt;0,"Bloqueado",IF('E3 — Levantamento'!$I134="N/A","Bloqueado",IF(COUNTIF('E3 — Levantamento'!$E134:$I134,"✔ Concluído")=5,"Concluído",IF(COUNTIF('E3 — Levantamento'!$E134:$I134,"✔ Concluído")+COUNTIF('E3 — Levantamento'!$E134:$I134,"🔄 Em andamento")&gt;0,"Em andamento","Não iniciado"))))))))</f>
        <v/>
      </c>
      <c r="H152" s="234" t="str">
        <f>IF($B152="","",IF($G152&lt;&gt;"Concluído","Não iniciado",IF(COUNTIF(Lançamentos!$B$3:$B$1001,$B152)=0,"Bloqueado",IF('E4 — Execução'!$D134="","Bloqueado",IF(COUNTIF('E4 — Execução'!$E134:$K134,"⛔ Bloqueado")&gt;0,"Bloqueado",IF(COUNTIF('E4 — Execução'!$E134:$K134,"✔ Concluído")=7,"Concluído",IF(COUNTIF('E4 — Execução'!$E134:$K134,"✔ Concluído")+COUNTIF('E4 — Execução'!$E134:$K134,"🔄 Em andamento")&gt;0,"Em andamento","Não iniciado")))))))</f>
        <v/>
      </c>
      <c r="I152" s="234" t="str">
        <f>IF($B152="","",IF($H152&lt;&gt;"Concluído","Não iniciado",IF(COUNTIF(Lançamentos!$B$3:$B$1001,$B152)=0,"Bloqueado",IF('E5 — Validação'!$D134="","Bloqueado",IF(COUNTIF('E5 — Validação'!$E134:$I134,"⛔ Bloqueado")&gt;0,"Bloqueado",IF('E5 — Validação'!$I134="N/A","Bloqueado",IF(AND('E5 — Validação'!$E134="✔ Concluído",'E5 — Validação'!$F134="✔ Concluído",OR('E5 — Validação'!$G134="✔ Concluído",'E5 — Validação'!$G134="N/A"),'E5 — Validação'!$H134="✔ Concluído",'E5 — Validação'!$I134="✔ Concluído"),"Concluído",IF(COUNTIF('E5 — Validação'!$E134:$I134,"✔ Concluído")+COUNTIF('E5 — Validação'!$E134:$I134,"🔄 Em andamento")&gt;0,"Em andamento","Não iniciado"))))))))</f>
        <v/>
      </c>
      <c r="J152" s="234" t="str">
        <f>IF($B152="","",IF($I152&lt;&gt;"Concluído","Não iniciado",IF('E6 — Ajustes'!$N134="Não","N/A",IF(COUNTIF(Lançamentos!$B$3:$B$1001,$B152)=0,"Bloqueado",IF('E6 — Ajustes'!$D134="","Bloqueado",IF(COUNTIF('E6 — Ajustes'!$E134:$J134,"⛔ Bloqueado")&gt;0,"Bloqueado",IF(AND('E6 — Ajustes'!$E134="✔ Concluído",'E6 — Ajustes'!$F134="✔ Concluído",'E6 — Ajustes'!$G134="✔ Concluído",'E6 — Ajustes'!$H134="✔ Concluído",OR('E6 — Ajustes'!$I134="✔ Concluído",'E6 — Ajustes'!$I134="N/A"),'E6 — Ajustes'!$J134="✔ Concluído"),"Concluído",IF(COUNTIF('E6 — Ajustes'!$E134:$J134,"✔ Concluído")+COUNTIF('E6 — Ajustes'!$E134:$J134,"🔄 Em andamento")&gt;0,"Em andamento","Não iniciado"))))))))</f>
        <v/>
      </c>
      <c r="K152" s="234" t="str">
        <f>IF($B152="","",IF($I152&lt;&gt;"Concluído","Não iniciado",IF(AND($J152&lt;&gt;"Concluído",$J152&lt;&gt;"N/A"),"Não iniciado",IF(COUNTIF(Lançamentos!$B$3:$B$1001,$B152)=0,"Bloqueado",IF('E7 — Entrega'!$D134="","Bloqueado",IF(COUNTIF('E7 — Entrega'!$E134:$H134,"⛔ Bloqueado")&gt;0,"Bloqueado",IF(COUNTIF('E7 — Entrega'!$E134:$H134,"✔ Concluído")=4,"Concluído",IF(COUNTIF('E7 — Entrega'!$E134:$H134,"✔ Concluído")+COUNTIF('E7 — Entrega'!$E134:$H134,"🔄 Em andamento")&gt;0,"Em andamento","Não iniciado"))))))))</f>
        <v/>
      </c>
      <c r="L152" s="234" t="str">
        <f>IF($B152="","",IF($K152&lt;&gt;"Concluído","Não iniciado",IF(OR(COUNTIF('E08 — Estabilização Hypercare'!$E134:$J134,"⛔ Bloqueado")&gt;0,'E08 — Estabilização Hypercare'!$N134="⛔ Incidente Crítico — Encerramento Bloqueado",AND('E08 — Estabilização Hypercare'!$N134="🆕 Evolução Identificada — Nova Demanda Aberta",'E08 — Estabilização Hypercare'!$U134="")),"Bloqueado",IF(AND('E08 — Estabilização Hypercare'!$E134="✔ Concluído",'E08 — Estabilização Hypercare'!$F134="✔ Concluído",'E08 — Estabilização Hypercare'!$G134="✔ Concluído",OR('E08 — Estabilização Hypercare'!$H134="✔ Concluído",'E08 — Estabilização Hypercare'!$H134="N/A"),'E08 — Estabilização Hypercare'!$I134="✔ Concluído",'E08 — Estabilização Hypercare'!$J134="✔ Concluído",OR('E08 — Estabilização Hypercare'!$N134="✅ Estável — Demanda Encerrada",AND('E08 — Estabilização Hypercare'!$N134="🆕 Evolução Identificada — Nova Demanda Aberta",'E08 — Estabilização Hypercare'!$U134&lt;&gt;""))),"Concluído",IF(OR(COUNTIF('E08 — Estabilização Hypercare'!$E134:$J134,"✔ Concluído")&gt;0,COUNTIF('E08 — Estabilização Hypercare'!$E134:$J134,"🔄 Em andamento")&gt;0,'E08 — Estabilização Hypercare'!$N134&lt;&gt;""),"Em andamento","Não iniciado")))))</f>
        <v/>
      </c>
      <c r="M152" s="236" t="str" cm="1">
        <f t="array" ref="M152">IF(B152="","",_xlfn.IFS(E152&lt;&gt;"Concluído","E1 — Solicitação",F152&lt;&gt;"Concluído","E2 — Triagem",G152&lt;&gt;"Concluído","E3 — Levantamento ⚠",H152&lt;&gt;"Concluído","E4 — Execução",I152&lt;&gt;"Concluído","E5 — Validação ⚠",AND(J152&lt;&gt;"Concluído",J152&lt;&gt;"N/A"),"E6 — Ajustes",K152&lt;&gt;"Concluído","E7 — Entrega",L152&lt;&gt;"Concluído","E08 — Estabilização / Hypercare",TRUE,"✔ Fluxo concluído"))</f>
        <v/>
      </c>
      <c r="N152" s="237" t="str">
        <f t="shared" si="1"/>
        <v/>
      </c>
      <c r="O152" s="238"/>
    </row>
    <row r="153" spans="2:15" ht="15" customHeight="1" x14ac:dyDescent="0.35">
      <c r="B153" s="234" t="str">
        <f>IF(Lançamentos!$B130="","",Lançamentos!$B130)</f>
        <v/>
      </c>
      <c r="C153" s="235" t="str">
        <f>IF($B153="","",Lançamentos!$J130)</f>
        <v/>
      </c>
      <c r="D153" s="235" t="str">
        <f>IF($B153="","",Lançamentos!$H130)</f>
        <v/>
      </c>
      <c r="E153" s="234" t="str">
        <f>IF($B153="","",IF(COUNTIF(Lançamentos!$B$3:$B$1001,$B153)=0,"Bloqueado",IF(COUNTIF('E1 — Solicitação'!$E135:$L135,"⛔ Bloqueado")&gt;0,"Bloqueado",IF(COUNTIF('E1 — Solicitação'!$E135:$L135,"N/A")=8,"Bloqueado",IF(COUNTIF('E1 — Solicitação'!$E135:$L135,"✔ Concluído")+COUNTIF('E1 — Solicitação'!$E135:$L135,"N/A")=8,"Concluído",IF(COUNTIF('E1 — Solicitação'!$E135:$L135,"✔ Concluído")+COUNTIF('E1 — Solicitação'!$E135:$L135,"🔄 Em andamento")&gt;0,"Em andamento","Não iniciado"))))))</f>
        <v/>
      </c>
      <c r="F153" s="234" t="str">
        <f>IF($B153="","",IF($E153&lt;&gt;"Concluído","Não iniciado",IF(COUNTIF(Lançamentos!$B$3:$B$1001,$B153)=0,"Bloqueado",IF('E2 — Triagem'!$D135="","Bloqueado",IF(COUNTIF('E2 — Triagem'!$E135:$L135,"N/A")=8,"Bloqueado",IF(COUNTIF('E2 — Triagem'!$E135:$L135,"⛔ Bloqueado")&gt;0,"Bloqueado",IF(COUNTIF('E2 — Triagem'!$E135:$L135,"✔ Concluído")+COUNTIF('E2 — Triagem'!$E135:$L135,"N/A")=8,"Concluído",IF(COUNTIF('E2 — Triagem'!$E135:$L135,"✔ Concluído")+COUNTIF('E2 — Triagem'!$E135:$L135,"🔄 Em andamento")&gt;0,"Em andamento","Não iniciado"))))))))</f>
        <v/>
      </c>
      <c r="G153" s="234" t="str">
        <f>IF($B153="","",IF($F153&lt;&gt;"Concluído","Não iniciado",IF(COUNTIF(Lançamentos!$B$3:$B$1001,$B153)=0,"Bloqueado",IF('E3 — Levantamento'!$D135="","Bloqueado",IF(COUNTIF('E3 — Levantamento'!$E135:$I135,"⛔ Bloqueado")&gt;0,"Bloqueado",IF('E3 — Levantamento'!$I135="N/A","Bloqueado",IF(COUNTIF('E3 — Levantamento'!$E135:$I135,"✔ Concluído")=5,"Concluído",IF(COUNTIF('E3 — Levantamento'!$E135:$I135,"✔ Concluído")+COUNTIF('E3 — Levantamento'!$E135:$I135,"🔄 Em andamento")&gt;0,"Em andamento","Não iniciado"))))))))</f>
        <v/>
      </c>
      <c r="H153" s="234" t="str">
        <f>IF($B153="","",IF($G153&lt;&gt;"Concluído","Não iniciado",IF(COUNTIF(Lançamentos!$B$3:$B$1001,$B153)=0,"Bloqueado",IF('E4 — Execução'!$D135="","Bloqueado",IF(COUNTIF('E4 — Execução'!$E135:$K135,"⛔ Bloqueado")&gt;0,"Bloqueado",IF(COUNTIF('E4 — Execução'!$E135:$K135,"✔ Concluído")=7,"Concluído",IF(COUNTIF('E4 — Execução'!$E135:$K135,"✔ Concluído")+COUNTIF('E4 — Execução'!$E135:$K135,"🔄 Em andamento")&gt;0,"Em andamento","Não iniciado")))))))</f>
        <v/>
      </c>
      <c r="I153" s="234" t="str">
        <f>IF($B153="","",IF($H153&lt;&gt;"Concluído","Não iniciado",IF(COUNTIF(Lançamentos!$B$3:$B$1001,$B153)=0,"Bloqueado",IF('E5 — Validação'!$D135="","Bloqueado",IF(COUNTIF('E5 — Validação'!$E135:$I135,"⛔ Bloqueado")&gt;0,"Bloqueado",IF('E5 — Validação'!$I135="N/A","Bloqueado",IF(AND('E5 — Validação'!$E135="✔ Concluído",'E5 — Validação'!$F135="✔ Concluído",OR('E5 — Validação'!$G135="✔ Concluído",'E5 — Validação'!$G135="N/A"),'E5 — Validação'!$H135="✔ Concluído",'E5 — Validação'!$I135="✔ Concluído"),"Concluído",IF(COUNTIF('E5 — Validação'!$E135:$I135,"✔ Concluído")+COUNTIF('E5 — Validação'!$E135:$I135,"🔄 Em andamento")&gt;0,"Em andamento","Não iniciado"))))))))</f>
        <v/>
      </c>
      <c r="J153" s="234" t="str">
        <f>IF($B153="","",IF($I153&lt;&gt;"Concluído","Não iniciado",IF('E6 — Ajustes'!$N135="Não","N/A",IF(COUNTIF(Lançamentos!$B$3:$B$1001,$B153)=0,"Bloqueado",IF('E6 — Ajustes'!$D135="","Bloqueado",IF(COUNTIF('E6 — Ajustes'!$E135:$J135,"⛔ Bloqueado")&gt;0,"Bloqueado",IF(AND('E6 — Ajustes'!$E135="✔ Concluído",'E6 — Ajustes'!$F135="✔ Concluído",'E6 — Ajustes'!$G135="✔ Concluído",'E6 — Ajustes'!$H135="✔ Concluído",OR('E6 — Ajustes'!$I135="✔ Concluído",'E6 — Ajustes'!$I135="N/A"),'E6 — Ajustes'!$J135="✔ Concluído"),"Concluído",IF(COUNTIF('E6 — Ajustes'!$E135:$J135,"✔ Concluído")+COUNTIF('E6 — Ajustes'!$E135:$J135,"🔄 Em andamento")&gt;0,"Em andamento","Não iniciado"))))))))</f>
        <v/>
      </c>
      <c r="K153" s="234" t="str">
        <f>IF($B153="","",IF($I153&lt;&gt;"Concluído","Não iniciado",IF(AND($J153&lt;&gt;"Concluído",$J153&lt;&gt;"N/A"),"Não iniciado",IF(COUNTIF(Lançamentos!$B$3:$B$1001,$B153)=0,"Bloqueado",IF('E7 — Entrega'!$D135="","Bloqueado",IF(COUNTIF('E7 — Entrega'!$E135:$H135,"⛔ Bloqueado")&gt;0,"Bloqueado",IF(COUNTIF('E7 — Entrega'!$E135:$H135,"✔ Concluído")=4,"Concluído",IF(COUNTIF('E7 — Entrega'!$E135:$H135,"✔ Concluído")+COUNTIF('E7 — Entrega'!$E135:$H135,"🔄 Em andamento")&gt;0,"Em andamento","Não iniciado"))))))))</f>
        <v/>
      </c>
      <c r="L153" s="234" t="str">
        <f>IF($B153="","",IF($K153&lt;&gt;"Concluído","Não iniciado",IF(OR(COUNTIF('E08 — Estabilização Hypercare'!$E135:$J135,"⛔ Bloqueado")&gt;0,'E08 — Estabilização Hypercare'!$N135="⛔ Incidente Crítico — Encerramento Bloqueado",AND('E08 — Estabilização Hypercare'!$N135="🆕 Evolução Identificada — Nova Demanda Aberta",'E08 — Estabilização Hypercare'!$U135="")),"Bloqueado",IF(AND('E08 — Estabilização Hypercare'!$E135="✔ Concluído",'E08 — Estabilização Hypercare'!$F135="✔ Concluído",'E08 — Estabilização Hypercare'!$G135="✔ Concluído",OR('E08 — Estabilização Hypercare'!$H135="✔ Concluído",'E08 — Estabilização Hypercare'!$H135="N/A"),'E08 — Estabilização Hypercare'!$I135="✔ Concluído",'E08 — Estabilização Hypercare'!$J135="✔ Concluído",OR('E08 — Estabilização Hypercare'!$N135="✅ Estável — Demanda Encerrada",AND('E08 — Estabilização Hypercare'!$N135="🆕 Evolução Identificada — Nova Demanda Aberta",'E08 — Estabilização Hypercare'!$U135&lt;&gt;""))),"Concluído",IF(OR(COUNTIF('E08 — Estabilização Hypercare'!$E135:$J135,"✔ Concluído")&gt;0,COUNTIF('E08 — Estabilização Hypercare'!$E135:$J135,"🔄 Em andamento")&gt;0,'E08 — Estabilização Hypercare'!$N135&lt;&gt;""),"Em andamento","Não iniciado")))))</f>
        <v/>
      </c>
      <c r="M153" s="236" t="str" cm="1">
        <f t="array" ref="M153">IF(B153="","",_xlfn.IFS(E153&lt;&gt;"Concluído","E1 — Solicitação",F153&lt;&gt;"Concluído","E2 — Triagem",G153&lt;&gt;"Concluído","E3 — Levantamento ⚠",H153&lt;&gt;"Concluído","E4 — Execução",I153&lt;&gt;"Concluído","E5 — Validação ⚠",AND(J153&lt;&gt;"Concluído",J153&lt;&gt;"N/A"),"E6 — Ajustes",K153&lt;&gt;"Concluído","E7 — Entrega",L153&lt;&gt;"Concluído","E08 — Estabilização / Hypercare",TRUE,"✔ Fluxo concluído"))</f>
        <v/>
      </c>
      <c r="N153" s="237" t="str">
        <f t="shared" si="1"/>
        <v/>
      </c>
      <c r="O153" s="238"/>
    </row>
    <row r="154" spans="2:15" ht="15" customHeight="1" x14ac:dyDescent="0.35">
      <c r="B154" s="234" t="str">
        <f>IF(Lançamentos!$B131="","",Lançamentos!$B131)</f>
        <v/>
      </c>
      <c r="C154" s="235" t="str">
        <f>IF($B154="","",Lançamentos!$J131)</f>
        <v/>
      </c>
      <c r="D154" s="235" t="str">
        <f>IF($B154="","",Lançamentos!$H131)</f>
        <v/>
      </c>
      <c r="E154" s="234" t="str">
        <f>IF($B154="","",IF(COUNTIF(Lançamentos!$B$3:$B$1001,$B154)=0,"Bloqueado",IF(COUNTIF('E1 — Solicitação'!$E136:$L136,"⛔ Bloqueado")&gt;0,"Bloqueado",IF(COUNTIF('E1 — Solicitação'!$E136:$L136,"N/A")=8,"Bloqueado",IF(COUNTIF('E1 — Solicitação'!$E136:$L136,"✔ Concluído")+COUNTIF('E1 — Solicitação'!$E136:$L136,"N/A")=8,"Concluído",IF(COUNTIF('E1 — Solicitação'!$E136:$L136,"✔ Concluído")+COUNTIF('E1 — Solicitação'!$E136:$L136,"🔄 Em andamento")&gt;0,"Em andamento","Não iniciado"))))))</f>
        <v/>
      </c>
      <c r="F154" s="234" t="str">
        <f>IF($B154="","",IF($E154&lt;&gt;"Concluído","Não iniciado",IF(COUNTIF(Lançamentos!$B$3:$B$1001,$B154)=0,"Bloqueado",IF('E2 — Triagem'!$D136="","Bloqueado",IF(COUNTIF('E2 — Triagem'!$E136:$L136,"N/A")=8,"Bloqueado",IF(COUNTIF('E2 — Triagem'!$E136:$L136,"⛔ Bloqueado")&gt;0,"Bloqueado",IF(COUNTIF('E2 — Triagem'!$E136:$L136,"✔ Concluído")+COUNTIF('E2 — Triagem'!$E136:$L136,"N/A")=8,"Concluído",IF(COUNTIF('E2 — Triagem'!$E136:$L136,"✔ Concluído")+COUNTIF('E2 — Triagem'!$E136:$L136,"🔄 Em andamento")&gt;0,"Em andamento","Não iniciado"))))))))</f>
        <v/>
      </c>
      <c r="G154" s="234" t="str">
        <f>IF($B154="","",IF($F154&lt;&gt;"Concluído","Não iniciado",IF(COUNTIF(Lançamentos!$B$3:$B$1001,$B154)=0,"Bloqueado",IF('E3 — Levantamento'!$D136="","Bloqueado",IF(COUNTIF('E3 — Levantamento'!$E136:$I136,"⛔ Bloqueado")&gt;0,"Bloqueado",IF('E3 — Levantamento'!$I136="N/A","Bloqueado",IF(COUNTIF('E3 — Levantamento'!$E136:$I136,"✔ Concluído")=5,"Concluído",IF(COUNTIF('E3 — Levantamento'!$E136:$I136,"✔ Concluído")+COUNTIF('E3 — Levantamento'!$E136:$I136,"🔄 Em andamento")&gt;0,"Em andamento","Não iniciado"))))))))</f>
        <v/>
      </c>
      <c r="H154" s="234" t="str">
        <f>IF($B154="","",IF($G154&lt;&gt;"Concluído","Não iniciado",IF(COUNTIF(Lançamentos!$B$3:$B$1001,$B154)=0,"Bloqueado",IF('E4 — Execução'!$D136="","Bloqueado",IF(COUNTIF('E4 — Execução'!$E136:$K136,"⛔ Bloqueado")&gt;0,"Bloqueado",IF(COUNTIF('E4 — Execução'!$E136:$K136,"✔ Concluído")=7,"Concluído",IF(COUNTIF('E4 — Execução'!$E136:$K136,"✔ Concluído")+COUNTIF('E4 — Execução'!$E136:$K136,"🔄 Em andamento")&gt;0,"Em andamento","Não iniciado")))))))</f>
        <v/>
      </c>
      <c r="I154" s="234" t="str">
        <f>IF($B154="","",IF($H154&lt;&gt;"Concluído","Não iniciado",IF(COUNTIF(Lançamentos!$B$3:$B$1001,$B154)=0,"Bloqueado",IF('E5 — Validação'!$D136="","Bloqueado",IF(COUNTIF('E5 — Validação'!$E136:$I136,"⛔ Bloqueado")&gt;0,"Bloqueado",IF('E5 — Validação'!$I136="N/A","Bloqueado",IF(AND('E5 — Validação'!$E136="✔ Concluído",'E5 — Validação'!$F136="✔ Concluído",OR('E5 — Validação'!$G136="✔ Concluído",'E5 — Validação'!$G136="N/A"),'E5 — Validação'!$H136="✔ Concluído",'E5 — Validação'!$I136="✔ Concluído"),"Concluído",IF(COUNTIF('E5 — Validação'!$E136:$I136,"✔ Concluído")+COUNTIF('E5 — Validação'!$E136:$I136,"🔄 Em andamento")&gt;0,"Em andamento","Não iniciado"))))))))</f>
        <v/>
      </c>
      <c r="J154" s="234" t="str">
        <f>IF($B154="","",IF($I154&lt;&gt;"Concluído","Não iniciado",IF('E6 — Ajustes'!$N136="Não","N/A",IF(COUNTIF(Lançamentos!$B$3:$B$1001,$B154)=0,"Bloqueado",IF('E6 — Ajustes'!$D136="","Bloqueado",IF(COUNTIF('E6 — Ajustes'!$E136:$J136,"⛔ Bloqueado")&gt;0,"Bloqueado",IF(AND('E6 — Ajustes'!$E136="✔ Concluído",'E6 — Ajustes'!$F136="✔ Concluído",'E6 — Ajustes'!$G136="✔ Concluído",'E6 — Ajustes'!$H136="✔ Concluído",OR('E6 — Ajustes'!$I136="✔ Concluído",'E6 — Ajustes'!$I136="N/A"),'E6 — Ajustes'!$J136="✔ Concluído"),"Concluído",IF(COUNTIF('E6 — Ajustes'!$E136:$J136,"✔ Concluído")+COUNTIF('E6 — Ajustes'!$E136:$J136,"🔄 Em andamento")&gt;0,"Em andamento","Não iniciado"))))))))</f>
        <v/>
      </c>
      <c r="K154" s="234" t="str">
        <f>IF($B154="","",IF($I154&lt;&gt;"Concluído","Não iniciado",IF(AND($J154&lt;&gt;"Concluído",$J154&lt;&gt;"N/A"),"Não iniciado",IF(COUNTIF(Lançamentos!$B$3:$B$1001,$B154)=0,"Bloqueado",IF('E7 — Entrega'!$D136="","Bloqueado",IF(COUNTIF('E7 — Entrega'!$E136:$H136,"⛔ Bloqueado")&gt;0,"Bloqueado",IF(COUNTIF('E7 — Entrega'!$E136:$H136,"✔ Concluído")=4,"Concluído",IF(COUNTIF('E7 — Entrega'!$E136:$H136,"✔ Concluído")+COUNTIF('E7 — Entrega'!$E136:$H136,"🔄 Em andamento")&gt;0,"Em andamento","Não iniciado"))))))))</f>
        <v/>
      </c>
      <c r="L154" s="234" t="str">
        <f>IF($B154="","",IF($K154&lt;&gt;"Concluído","Não iniciado",IF(OR(COUNTIF('E08 — Estabilização Hypercare'!$E136:$J136,"⛔ Bloqueado")&gt;0,'E08 — Estabilização Hypercare'!$N136="⛔ Incidente Crítico — Encerramento Bloqueado",AND('E08 — Estabilização Hypercare'!$N136="🆕 Evolução Identificada — Nova Demanda Aberta",'E08 — Estabilização Hypercare'!$U136="")),"Bloqueado",IF(AND('E08 — Estabilização Hypercare'!$E136="✔ Concluído",'E08 — Estabilização Hypercare'!$F136="✔ Concluído",'E08 — Estabilização Hypercare'!$G136="✔ Concluído",OR('E08 — Estabilização Hypercare'!$H136="✔ Concluído",'E08 — Estabilização Hypercare'!$H136="N/A"),'E08 — Estabilização Hypercare'!$I136="✔ Concluído",'E08 — Estabilização Hypercare'!$J136="✔ Concluído",OR('E08 — Estabilização Hypercare'!$N136="✅ Estável — Demanda Encerrada",AND('E08 — Estabilização Hypercare'!$N136="🆕 Evolução Identificada — Nova Demanda Aberta",'E08 — Estabilização Hypercare'!$U136&lt;&gt;""))),"Concluído",IF(OR(COUNTIF('E08 — Estabilização Hypercare'!$E136:$J136,"✔ Concluído")&gt;0,COUNTIF('E08 — Estabilização Hypercare'!$E136:$J136,"🔄 Em andamento")&gt;0,'E08 — Estabilização Hypercare'!$N136&lt;&gt;""),"Em andamento","Não iniciado")))))</f>
        <v/>
      </c>
      <c r="M154" s="236" t="str" cm="1">
        <f t="array" ref="M154">IF(B154="","",_xlfn.IFS(E154&lt;&gt;"Concluído","E1 — Solicitação",F154&lt;&gt;"Concluído","E2 — Triagem",G154&lt;&gt;"Concluído","E3 — Levantamento ⚠",H154&lt;&gt;"Concluído","E4 — Execução",I154&lt;&gt;"Concluído","E5 — Validação ⚠",AND(J154&lt;&gt;"Concluído",J154&lt;&gt;"N/A"),"E6 — Ajustes",K154&lt;&gt;"Concluído","E7 — Entrega",L154&lt;&gt;"Concluído","E08 — Estabilização / Hypercare",TRUE,"✔ Fluxo concluído"))</f>
        <v/>
      </c>
      <c r="N154" s="237" t="str">
        <f t="shared" si="1"/>
        <v/>
      </c>
      <c r="O154" s="238"/>
    </row>
    <row r="155" spans="2:15" ht="15" customHeight="1" x14ac:dyDescent="0.35">
      <c r="B155" s="234" t="str">
        <f>IF(Lançamentos!$B132="","",Lançamentos!$B132)</f>
        <v/>
      </c>
      <c r="C155" s="235" t="str">
        <f>IF($B155="","",Lançamentos!$J132)</f>
        <v/>
      </c>
      <c r="D155" s="235" t="str">
        <f>IF($B155="","",Lançamentos!$H132)</f>
        <v/>
      </c>
      <c r="E155" s="234" t="str">
        <f>IF($B155="","",IF(COUNTIF(Lançamentos!$B$3:$B$1001,$B155)=0,"Bloqueado",IF(COUNTIF('E1 — Solicitação'!$E137:$L137,"⛔ Bloqueado")&gt;0,"Bloqueado",IF(COUNTIF('E1 — Solicitação'!$E137:$L137,"N/A")=8,"Bloqueado",IF(COUNTIF('E1 — Solicitação'!$E137:$L137,"✔ Concluído")+COUNTIF('E1 — Solicitação'!$E137:$L137,"N/A")=8,"Concluído",IF(COUNTIF('E1 — Solicitação'!$E137:$L137,"✔ Concluído")+COUNTIF('E1 — Solicitação'!$E137:$L137,"🔄 Em andamento")&gt;0,"Em andamento","Não iniciado"))))))</f>
        <v/>
      </c>
      <c r="F155" s="234" t="str">
        <f>IF($B155="","",IF($E155&lt;&gt;"Concluído","Não iniciado",IF(COUNTIF(Lançamentos!$B$3:$B$1001,$B155)=0,"Bloqueado",IF('E2 — Triagem'!$D137="","Bloqueado",IF(COUNTIF('E2 — Triagem'!$E137:$L137,"N/A")=8,"Bloqueado",IF(COUNTIF('E2 — Triagem'!$E137:$L137,"⛔ Bloqueado")&gt;0,"Bloqueado",IF(COUNTIF('E2 — Triagem'!$E137:$L137,"✔ Concluído")+COUNTIF('E2 — Triagem'!$E137:$L137,"N/A")=8,"Concluído",IF(COUNTIF('E2 — Triagem'!$E137:$L137,"✔ Concluído")+COUNTIF('E2 — Triagem'!$E137:$L137,"🔄 Em andamento")&gt;0,"Em andamento","Não iniciado"))))))))</f>
        <v/>
      </c>
      <c r="G155" s="234" t="str">
        <f>IF($B155="","",IF($F155&lt;&gt;"Concluído","Não iniciado",IF(COUNTIF(Lançamentos!$B$3:$B$1001,$B155)=0,"Bloqueado",IF('E3 — Levantamento'!$D137="","Bloqueado",IF(COUNTIF('E3 — Levantamento'!$E137:$I137,"⛔ Bloqueado")&gt;0,"Bloqueado",IF('E3 — Levantamento'!$I137="N/A","Bloqueado",IF(COUNTIF('E3 — Levantamento'!$E137:$I137,"✔ Concluído")=5,"Concluído",IF(COUNTIF('E3 — Levantamento'!$E137:$I137,"✔ Concluído")+COUNTIF('E3 — Levantamento'!$E137:$I137,"🔄 Em andamento")&gt;0,"Em andamento","Não iniciado"))))))))</f>
        <v/>
      </c>
      <c r="H155" s="234" t="str">
        <f>IF($B155="","",IF($G155&lt;&gt;"Concluído","Não iniciado",IF(COUNTIF(Lançamentos!$B$3:$B$1001,$B155)=0,"Bloqueado",IF('E4 — Execução'!$D137="","Bloqueado",IF(COUNTIF('E4 — Execução'!$E137:$K137,"⛔ Bloqueado")&gt;0,"Bloqueado",IF(COUNTIF('E4 — Execução'!$E137:$K137,"✔ Concluído")=7,"Concluído",IF(COUNTIF('E4 — Execução'!$E137:$K137,"✔ Concluído")+COUNTIF('E4 — Execução'!$E137:$K137,"🔄 Em andamento")&gt;0,"Em andamento","Não iniciado")))))))</f>
        <v/>
      </c>
      <c r="I155" s="234" t="str">
        <f>IF($B155="","",IF($H155&lt;&gt;"Concluído","Não iniciado",IF(COUNTIF(Lançamentos!$B$3:$B$1001,$B155)=0,"Bloqueado",IF('E5 — Validação'!$D137="","Bloqueado",IF(COUNTIF('E5 — Validação'!$E137:$I137,"⛔ Bloqueado")&gt;0,"Bloqueado",IF('E5 — Validação'!$I137="N/A","Bloqueado",IF(AND('E5 — Validação'!$E137="✔ Concluído",'E5 — Validação'!$F137="✔ Concluído",OR('E5 — Validação'!$G137="✔ Concluído",'E5 — Validação'!$G137="N/A"),'E5 — Validação'!$H137="✔ Concluído",'E5 — Validação'!$I137="✔ Concluído"),"Concluído",IF(COUNTIF('E5 — Validação'!$E137:$I137,"✔ Concluído")+COUNTIF('E5 — Validação'!$E137:$I137,"🔄 Em andamento")&gt;0,"Em andamento","Não iniciado"))))))))</f>
        <v/>
      </c>
      <c r="J155" s="234" t="str">
        <f>IF($B155="","",IF($I155&lt;&gt;"Concluído","Não iniciado",IF('E6 — Ajustes'!$N137="Não","N/A",IF(COUNTIF(Lançamentos!$B$3:$B$1001,$B155)=0,"Bloqueado",IF('E6 — Ajustes'!$D137="","Bloqueado",IF(COUNTIF('E6 — Ajustes'!$E137:$J137,"⛔ Bloqueado")&gt;0,"Bloqueado",IF(AND('E6 — Ajustes'!$E137="✔ Concluído",'E6 — Ajustes'!$F137="✔ Concluído",'E6 — Ajustes'!$G137="✔ Concluído",'E6 — Ajustes'!$H137="✔ Concluído",OR('E6 — Ajustes'!$I137="✔ Concluído",'E6 — Ajustes'!$I137="N/A"),'E6 — Ajustes'!$J137="✔ Concluído"),"Concluído",IF(COUNTIF('E6 — Ajustes'!$E137:$J137,"✔ Concluído")+COUNTIF('E6 — Ajustes'!$E137:$J137,"🔄 Em andamento")&gt;0,"Em andamento","Não iniciado"))))))))</f>
        <v/>
      </c>
      <c r="K155" s="234" t="str">
        <f>IF($B155="","",IF($I155&lt;&gt;"Concluído","Não iniciado",IF(AND($J155&lt;&gt;"Concluído",$J155&lt;&gt;"N/A"),"Não iniciado",IF(COUNTIF(Lançamentos!$B$3:$B$1001,$B155)=0,"Bloqueado",IF('E7 — Entrega'!$D137="","Bloqueado",IF(COUNTIF('E7 — Entrega'!$E137:$H137,"⛔ Bloqueado")&gt;0,"Bloqueado",IF(COUNTIF('E7 — Entrega'!$E137:$H137,"✔ Concluído")=4,"Concluído",IF(COUNTIF('E7 — Entrega'!$E137:$H137,"✔ Concluído")+COUNTIF('E7 — Entrega'!$E137:$H137,"🔄 Em andamento")&gt;0,"Em andamento","Não iniciado"))))))))</f>
        <v/>
      </c>
      <c r="L155" s="234" t="str">
        <f>IF($B155="","",IF($K155&lt;&gt;"Concluído","Não iniciado",IF(OR(COUNTIF('E08 — Estabilização Hypercare'!$E137:$J137,"⛔ Bloqueado")&gt;0,'E08 — Estabilização Hypercare'!$N137="⛔ Incidente Crítico — Encerramento Bloqueado",AND('E08 — Estabilização Hypercare'!$N137="🆕 Evolução Identificada — Nova Demanda Aberta",'E08 — Estabilização Hypercare'!$U137="")),"Bloqueado",IF(AND('E08 — Estabilização Hypercare'!$E137="✔ Concluído",'E08 — Estabilização Hypercare'!$F137="✔ Concluído",'E08 — Estabilização Hypercare'!$G137="✔ Concluído",OR('E08 — Estabilização Hypercare'!$H137="✔ Concluído",'E08 — Estabilização Hypercare'!$H137="N/A"),'E08 — Estabilização Hypercare'!$I137="✔ Concluído",'E08 — Estabilização Hypercare'!$J137="✔ Concluído",OR('E08 — Estabilização Hypercare'!$N137="✅ Estável — Demanda Encerrada",AND('E08 — Estabilização Hypercare'!$N137="🆕 Evolução Identificada — Nova Demanda Aberta",'E08 — Estabilização Hypercare'!$U137&lt;&gt;""))),"Concluído",IF(OR(COUNTIF('E08 — Estabilização Hypercare'!$E137:$J137,"✔ Concluído")&gt;0,COUNTIF('E08 — Estabilização Hypercare'!$E137:$J137,"🔄 Em andamento")&gt;0,'E08 — Estabilização Hypercare'!$N137&lt;&gt;""),"Em andamento","Não iniciado")))))</f>
        <v/>
      </c>
      <c r="M155" s="236" t="str" cm="1">
        <f t="array" ref="M155">IF(B155="","",_xlfn.IFS(E155&lt;&gt;"Concluído","E1 — Solicitação",F155&lt;&gt;"Concluído","E2 — Triagem",G155&lt;&gt;"Concluído","E3 — Levantamento ⚠",H155&lt;&gt;"Concluído","E4 — Execução",I155&lt;&gt;"Concluído","E5 — Validação ⚠",AND(J155&lt;&gt;"Concluído",J155&lt;&gt;"N/A"),"E6 — Ajustes",K155&lt;&gt;"Concluído","E7 — Entrega",L155&lt;&gt;"Concluído","E08 — Estabilização / Hypercare",TRUE,"✔ Fluxo concluído"))</f>
        <v/>
      </c>
      <c r="N155" s="237" t="str">
        <f t="shared" ref="N155:N218" si="2">IF(B155="","",(COUNTIF(E155:L155,"Concluído")+COUNTIF(E155:L155,"N/A"))/8)</f>
        <v/>
      </c>
      <c r="O155" s="238"/>
    </row>
    <row r="156" spans="2:15" ht="15" customHeight="1" x14ac:dyDescent="0.35">
      <c r="B156" s="234" t="str">
        <f>IF(Lançamentos!$B133="","",Lançamentos!$B133)</f>
        <v/>
      </c>
      <c r="C156" s="235" t="str">
        <f>IF($B156="","",Lançamentos!$J133)</f>
        <v/>
      </c>
      <c r="D156" s="235" t="str">
        <f>IF($B156="","",Lançamentos!$H133)</f>
        <v/>
      </c>
      <c r="E156" s="234" t="str">
        <f>IF($B156="","",IF(COUNTIF(Lançamentos!$B$3:$B$1001,$B156)=0,"Bloqueado",IF(COUNTIF('E1 — Solicitação'!$E138:$L138,"⛔ Bloqueado")&gt;0,"Bloqueado",IF(COUNTIF('E1 — Solicitação'!$E138:$L138,"N/A")=8,"Bloqueado",IF(COUNTIF('E1 — Solicitação'!$E138:$L138,"✔ Concluído")+COUNTIF('E1 — Solicitação'!$E138:$L138,"N/A")=8,"Concluído",IF(COUNTIF('E1 — Solicitação'!$E138:$L138,"✔ Concluído")+COUNTIF('E1 — Solicitação'!$E138:$L138,"🔄 Em andamento")&gt;0,"Em andamento","Não iniciado"))))))</f>
        <v/>
      </c>
      <c r="F156" s="234" t="str">
        <f>IF($B156="","",IF($E156&lt;&gt;"Concluído","Não iniciado",IF(COUNTIF(Lançamentos!$B$3:$B$1001,$B156)=0,"Bloqueado",IF('E2 — Triagem'!$D138="","Bloqueado",IF(COUNTIF('E2 — Triagem'!$E138:$L138,"N/A")=8,"Bloqueado",IF(COUNTIF('E2 — Triagem'!$E138:$L138,"⛔ Bloqueado")&gt;0,"Bloqueado",IF(COUNTIF('E2 — Triagem'!$E138:$L138,"✔ Concluído")+COUNTIF('E2 — Triagem'!$E138:$L138,"N/A")=8,"Concluído",IF(COUNTIF('E2 — Triagem'!$E138:$L138,"✔ Concluído")+COUNTIF('E2 — Triagem'!$E138:$L138,"🔄 Em andamento")&gt;0,"Em andamento","Não iniciado"))))))))</f>
        <v/>
      </c>
      <c r="G156" s="234" t="str">
        <f>IF($B156="","",IF($F156&lt;&gt;"Concluído","Não iniciado",IF(COUNTIF(Lançamentos!$B$3:$B$1001,$B156)=0,"Bloqueado",IF('E3 — Levantamento'!$D138="","Bloqueado",IF(COUNTIF('E3 — Levantamento'!$E138:$I138,"⛔ Bloqueado")&gt;0,"Bloqueado",IF('E3 — Levantamento'!$I138="N/A","Bloqueado",IF(COUNTIF('E3 — Levantamento'!$E138:$I138,"✔ Concluído")=5,"Concluído",IF(COUNTIF('E3 — Levantamento'!$E138:$I138,"✔ Concluído")+COUNTIF('E3 — Levantamento'!$E138:$I138,"🔄 Em andamento")&gt;0,"Em andamento","Não iniciado"))))))))</f>
        <v/>
      </c>
      <c r="H156" s="234" t="str">
        <f>IF($B156="","",IF($G156&lt;&gt;"Concluído","Não iniciado",IF(COUNTIF(Lançamentos!$B$3:$B$1001,$B156)=0,"Bloqueado",IF('E4 — Execução'!$D138="","Bloqueado",IF(COUNTIF('E4 — Execução'!$E138:$K138,"⛔ Bloqueado")&gt;0,"Bloqueado",IF(COUNTIF('E4 — Execução'!$E138:$K138,"✔ Concluído")=7,"Concluído",IF(COUNTIF('E4 — Execução'!$E138:$K138,"✔ Concluído")+COUNTIF('E4 — Execução'!$E138:$K138,"🔄 Em andamento")&gt;0,"Em andamento","Não iniciado")))))))</f>
        <v/>
      </c>
      <c r="I156" s="234" t="str">
        <f>IF($B156="","",IF($H156&lt;&gt;"Concluído","Não iniciado",IF(COUNTIF(Lançamentos!$B$3:$B$1001,$B156)=0,"Bloqueado",IF('E5 — Validação'!$D138="","Bloqueado",IF(COUNTIF('E5 — Validação'!$E138:$I138,"⛔ Bloqueado")&gt;0,"Bloqueado",IF('E5 — Validação'!$I138="N/A","Bloqueado",IF(AND('E5 — Validação'!$E138="✔ Concluído",'E5 — Validação'!$F138="✔ Concluído",OR('E5 — Validação'!$G138="✔ Concluído",'E5 — Validação'!$G138="N/A"),'E5 — Validação'!$H138="✔ Concluído",'E5 — Validação'!$I138="✔ Concluído"),"Concluído",IF(COUNTIF('E5 — Validação'!$E138:$I138,"✔ Concluído")+COUNTIF('E5 — Validação'!$E138:$I138,"🔄 Em andamento")&gt;0,"Em andamento","Não iniciado"))))))))</f>
        <v/>
      </c>
      <c r="J156" s="234" t="str">
        <f>IF($B156="","",IF($I156&lt;&gt;"Concluído","Não iniciado",IF('E6 — Ajustes'!$N138="Não","N/A",IF(COUNTIF(Lançamentos!$B$3:$B$1001,$B156)=0,"Bloqueado",IF('E6 — Ajustes'!$D138="","Bloqueado",IF(COUNTIF('E6 — Ajustes'!$E138:$J138,"⛔ Bloqueado")&gt;0,"Bloqueado",IF(AND('E6 — Ajustes'!$E138="✔ Concluído",'E6 — Ajustes'!$F138="✔ Concluído",'E6 — Ajustes'!$G138="✔ Concluído",'E6 — Ajustes'!$H138="✔ Concluído",OR('E6 — Ajustes'!$I138="✔ Concluído",'E6 — Ajustes'!$I138="N/A"),'E6 — Ajustes'!$J138="✔ Concluído"),"Concluído",IF(COUNTIF('E6 — Ajustes'!$E138:$J138,"✔ Concluído")+COUNTIF('E6 — Ajustes'!$E138:$J138,"🔄 Em andamento")&gt;0,"Em andamento","Não iniciado"))))))))</f>
        <v/>
      </c>
      <c r="K156" s="234" t="str">
        <f>IF($B156="","",IF($I156&lt;&gt;"Concluído","Não iniciado",IF(AND($J156&lt;&gt;"Concluído",$J156&lt;&gt;"N/A"),"Não iniciado",IF(COUNTIF(Lançamentos!$B$3:$B$1001,$B156)=0,"Bloqueado",IF('E7 — Entrega'!$D138="","Bloqueado",IF(COUNTIF('E7 — Entrega'!$E138:$H138,"⛔ Bloqueado")&gt;0,"Bloqueado",IF(COUNTIF('E7 — Entrega'!$E138:$H138,"✔ Concluído")=4,"Concluído",IF(COUNTIF('E7 — Entrega'!$E138:$H138,"✔ Concluído")+COUNTIF('E7 — Entrega'!$E138:$H138,"🔄 Em andamento")&gt;0,"Em andamento","Não iniciado"))))))))</f>
        <v/>
      </c>
      <c r="L156" s="234" t="str">
        <f>IF($B156="","",IF($K156&lt;&gt;"Concluído","Não iniciado",IF(OR(COUNTIF('E08 — Estabilização Hypercare'!$E138:$J138,"⛔ Bloqueado")&gt;0,'E08 — Estabilização Hypercare'!$N138="⛔ Incidente Crítico — Encerramento Bloqueado",AND('E08 — Estabilização Hypercare'!$N138="🆕 Evolução Identificada — Nova Demanda Aberta",'E08 — Estabilização Hypercare'!$U138="")),"Bloqueado",IF(AND('E08 — Estabilização Hypercare'!$E138="✔ Concluído",'E08 — Estabilização Hypercare'!$F138="✔ Concluído",'E08 — Estabilização Hypercare'!$G138="✔ Concluído",OR('E08 — Estabilização Hypercare'!$H138="✔ Concluído",'E08 — Estabilização Hypercare'!$H138="N/A"),'E08 — Estabilização Hypercare'!$I138="✔ Concluído",'E08 — Estabilização Hypercare'!$J138="✔ Concluído",OR('E08 — Estabilização Hypercare'!$N138="✅ Estável — Demanda Encerrada",AND('E08 — Estabilização Hypercare'!$N138="🆕 Evolução Identificada — Nova Demanda Aberta",'E08 — Estabilização Hypercare'!$U138&lt;&gt;""))),"Concluído",IF(OR(COUNTIF('E08 — Estabilização Hypercare'!$E138:$J138,"✔ Concluído")&gt;0,COUNTIF('E08 — Estabilização Hypercare'!$E138:$J138,"🔄 Em andamento")&gt;0,'E08 — Estabilização Hypercare'!$N138&lt;&gt;""),"Em andamento","Não iniciado")))))</f>
        <v/>
      </c>
      <c r="M156" s="236" t="str" cm="1">
        <f t="array" ref="M156">IF(B156="","",_xlfn.IFS(E156&lt;&gt;"Concluído","E1 — Solicitação",F156&lt;&gt;"Concluído","E2 — Triagem",G156&lt;&gt;"Concluído","E3 — Levantamento ⚠",H156&lt;&gt;"Concluído","E4 — Execução",I156&lt;&gt;"Concluído","E5 — Validação ⚠",AND(J156&lt;&gt;"Concluído",J156&lt;&gt;"N/A"),"E6 — Ajustes",K156&lt;&gt;"Concluído","E7 — Entrega",L156&lt;&gt;"Concluído","E08 — Estabilização / Hypercare",TRUE,"✔ Fluxo concluído"))</f>
        <v/>
      </c>
      <c r="N156" s="237" t="str">
        <f t="shared" si="2"/>
        <v/>
      </c>
      <c r="O156" s="238"/>
    </row>
    <row r="157" spans="2:15" ht="15" customHeight="1" x14ac:dyDescent="0.35">
      <c r="B157" s="234" t="str">
        <f>IF(Lançamentos!$B134="","",Lançamentos!$B134)</f>
        <v/>
      </c>
      <c r="C157" s="235" t="str">
        <f>IF($B157="","",Lançamentos!$J134)</f>
        <v/>
      </c>
      <c r="D157" s="235" t="str">
        <f>IF($B157="","",Lançamentos!$H134)</f>
        <v/>
      </c>
      <c r="E157" s="234" t="str">
        <f>IF($B157="","",IF(COUNTIF(Lançamentos!$B$3:$B$1001,$B157)=0,"Bloqueado",IF(COUNTIF('E1 — Solicitação'!$E139:$L139,"⛔ Bloqueado")&gt;0,"Bloqueado",IF(COUNTIF('E1 — Solicitação'!$E139:$L139,"N/A")=8,"Bloqueado",IF(COUNTIF('E1 — Solicitação'!$E139:$L139,"✔ Concluído")+COUNTIF('E1 — Solicitação'!$E139:$L139,"N/A")=8,"Concluído",IF(COUNTIF('E1 — Solicitação'!$E139:$L139,"✔ Concluído")+COUNTIF('E1 — Solicitação'!$E139:$L139,"🔄 Em andamento")&gt;0,"Em andamento","Não iniciado"))))))</f>
        <v/>
      </c>
      <c r="F157" s="234" t="str">
        <f>IF($B157="","",IF($E157&lt;&gt;"Concluído","Não iniciado",IF(COUNTIF(Lançamentos!$B$3:$B$1001,$B157)=0,"Bloqueado",IF('E2 — Triagem'!$D139="","Bloqueado",IF(COUNTIF('E2 — Triagem'!$E139:$L139,"N/A")=8,"Bloqueado",IF(COUNTIF('E2 — Triagem'!$E139:$L139,"⛔ Bloqueado")&gt;0,"Bloqueado",IF(COUNTIF('E2 — Triagem'!$E139:$L139,"✔ Concluído")+COUNTIF('E2 — Triagem'!$E139:$L139,"N/A")=8,"Concluído",IF(COUNTIF('E2 — Triagem'!$E139:$L139,"✔ Concluído")+COUNTIF('E2 — Triagem'!$E139:$L139,"🔄 Em andamento")&gt;0,"Em andamento","Não iniciado"))))))))</f>
        <v/>
      </c>
      <c r="G157" s="234" t="str">
        <f>IF($B157="","",IF($F157&lt;&gt;"Concluído","Não iniciado",IF(COUNTIF(Lançamentos!$B$3:$B$1001,$B157)=0,"Bloqueado",IF('E3 — Levantamento'!$D139="","Bloqueado",IF(COUNTIF('E3 — Levantamento'!$E139:$I139,"⛔ Bloqueado")&gt;0,"Bloqueado",IF('E3 — Levantamento'!$I139="N/A","Bloqueado",IF(COUNTIF('E3 — Levantamento'!$E139:$I139,"✔ Concluído")=5,"Concluído",IF(COUNTIF('E3 — Levantamento'!$E139:$I139,"✔ Concluído")+COUNTIF('E3 — Levantamento'!$E139:$I139,"🔄 Em andamento")&gt;0,"Em andamento","Não iniciado"))))))))</f>
        <v/>
      </c>
      <c r="H157" s="234" t="str">
        <f>IF($B157="","",IF($G157&lt;&gt;"Concluído","Não iniciado",IF(COUNTIF(Lançamentos!$B$3:$B$1001,$B157)=0,"Bloqueado",IF('E4 — Execução'!$D139="","Bloqueado",IF(COUNTIF('E4 — Execução'!$E139:$K139,"⛔ Bloqueado")&gt;0,"Bloqueado",IF(COUNTIF('E4 — Execução'!$E139:$K139,"✔ Concluído")=7,"Concluído",IF(COUNTIF('E4 — Execução'!$E139:$K139,"✔ Concluído")+COUNTIF('E4 — Execução'!$E139:$K139,"🔄 Em andamento")&gt;0,"Em andamento","Não iniciado")))))))</f>
        <v/>
      </c>
      <c r="I157" s="234" t="str">
        <f>IF($B157="","",IF($H157&lt;&gt;"Concluído","Não iniciado",IF(COUNTIF(Lançamentos!$B$3:$B$1001,$B157)=0,"Bloqueado",IF('E5 — Validação'!$D139="","Bloqueado",IF(COUNTIF('E5 — Validação'!$E139:$I139,"⛔ Bloqueado")&gt;0,"Bloqueado",IF('E5 — Validação'!$I139="N/A","Bloqueado",IF(AND('E5 — Validação'!$E139="✔ Concluído",'E5 — Validação'!$F139="✔ Concluído",OR('E5 — Validação'!$G139="✔ Concluído",'E5 — Validação'!$G139="N/A"),'E5 — Validação'!$H139="✔ Concluído",'E5 — Validação'!$I139="✔ Concluído"),"Concluído",IF(COUNTIF('E5 — Validação'!$E139:$I139,"✔ Concluído")+COUNTIF('E5 — Validação'!$E139:$I139,"🔄 Em andamento")&gt;0,"Em andamento","Não iniciado"))))))))</f>
        <v/>
      </c>
      <c r="J157" s="234" t="str">
        <f>IF($B157="","",IF($I157&lt;&gt;"Concluído","Não iniciado",IF('E6 — Ajustes'!$N139="Não","N/A",IF(COUNTIF(Lançamentos!$B$3:$B$1001,$B157)=0,"Bloqueado",IF('E6 — Ajustes'!$D139="","Bloqueado",IF(COUNTIF('E6 — Ajustes'!$E139:$J139,"⛔ Bloqueado")&gt;0,"Bloqueado",IF(AND('E6 — Ajustes'!$E139="✔ Concluído",'E6 — Ajustes'!$F139="✔ Concluído",'E6 — Ajustes'!$G139="✔ Concluído",'E6 — Ajustes'!$H139="✔ Concluído",OR('E6 — Ajustes'!$I139="✔ Concluído",'E6 — Ajustes'!$I139="N/A"),'E6 — Ajustes'!$J139="✔ Concluído"),"Concluído",IF(COUNTIF('E6 — Ajustes'!$E139:$J139,"✔ Concluído")+COUNTIF('E6 — Ajustes'!$E139:$J139,"🔄 Em andamento")&gt;0,"Em andamento","Não iniciado"))))))))</f>
        <v/>
      </c>
      <c r="K157" s="234" t="str">
        <f>IF($B157="","",IF($I157&lt;&gt;"Concluído","Não iniciado",IF(AND($J157&lt;&gt;"Concluído",$J157&lt;&gt;"N/A"),"Não iniciado",IF(COUNTIF(Lançamentos!$B$3:$B$1001,$B157)=0,"Bloqueado",IF('E7 — Entrega'!$D139="","Bloqueado",IF(COUNTIF('E7 — Entrega'!$E139:$H139,"⛔ Bloqueado")&gt;0,"Bloqueado",IF(COUNTIF('E7 — Entrega'!$E139:$H139,"✔ Concluído")=4,"Concluído",IF(COUNTIF('E7 — Entrega'!$E139:$H139,"✔ Concluído")+COUNTIF('E7 — Entrega'!$E139:$H139,"🔄 Em andamento")&gt;0,"Em andamento","Não iniciado"))))))))</f>
        <v/>
      </c>
      <c r="L157" s="234" t="str">
        <f>IF($B157="","",IF($K157&lt;&gt;"Concluído","Não iniciado",IF(OR(COUNTIF('E08 — Estabilização Hypercare'!$E139:$J139,"⛔ Bloqueado")&gt;0,'E08 — Estabilização Hypercare'!$N139="⛔ Incidente Crítico — Encerramento Bloqueado",AND('E08 — Estabilização Hypercare'!$N139="🆕 Evolução Identificada — Nova Demanda Aberta",'E08 — Estabilização Hypercare'!$U139="")),"Bloqueado",IF(AND('E08 — Estabilização Hypercare'!$E139="✔ Concluído",'E08 — Estabilização Hypercare'!$F139="✔ Concluído",'E08 — Estabilização Hypercare'!$G139="✔ Concluído",OR('E08 — Estabilização Hypercare'!$H139="✔ Concluído",'E08 — Estabilização Hypercare'!$H139="N/A"),'E08 — Estabilização Hypercare'!$I139="✔ Concluído",'E08 — Estabilização Hypercare'!$J139="✔ Concluído",OR('E08 — Estabilização Hypercare'!$N139="✅ Estável — Demanda Encerrada",AND('E08 — Estabilização Hypercare'!$N139="🆕 Evolução Identificada — Nova Demanda Aberta",'E08 — Estabilização Hypercare'!$U139&lt;&gt;""))),"Concluído",IF(OR(COUNTIF('E08 — Estabilização Hypercare'!$E139:$J139,"✔ Concluído")&gt;0,COUNTIF('E08 — Estabilização Hypercare'!$E139:$J139,"🔄 Em andamento")&gt;0,'E08 — Estabilização Hypercare'!$N139&lt;&gt;""),"Em andamento","Não iniciado")))))</f>
        <v/>
      </c>
      <c r="M157" s="236" t="str" cm="1">
        <f t="array" ref="M157">IF(B157="","",_xlfn.IFS(E157&lt;&gt;"Concluído","E1 — Solicitação",F157&lt;&gt;"Concluído","E2 — Triagem",G157&lt;&gt;"Concluído","E3 — Levantamento ⚠",H157&lt;&gt;"Concluído","E4 — Execução",I157&lt;&gt;"Concluído","E5 — Validação ⚠",AND(J157&lt;&gt;"Concluído",J157&lt;&gt;"N/A"),"E6 — Ajustes",K157&lt;&gt;"Concluído","E7 — Entrega",L157&lt;&gt;"Concluído","E08 — Estabilização / Hypercare",TRUE,"✔ Fluxo concluído"))</f>
        <v/>
      </c>
      <c r="N157" s="237" t="str">
        <f t="shared" si="2"/>
        <v/>
      </c>
      <c r="O157" s="238"/>
    </row>
    <row r="158" spans="2:15" ht="15" customHeight="1" x14ac:dyDescent="0.35">
      <c r="B158" s="234" t="str">
        <f>IF(Lançamentos!$B135="","",Lançamentos!$B135)</f>
        <v/>
      </c>
      <c r="C158" s="235" t="str">
        <f>IF($B158="","",Lançamentos!$J135)</f>
        <v/>
      </c>
      <c r="D158" s="235" t="str">
        <f>IF($B158="","",Lançamentos!$H135)</f>
        <v/>
      </c>
      <c r="E158" s="234" t="str">
        <f>IF($B158="","",IF(COUNTIF(Lançamentos!$B$3:$B$1001,$B158)=0,"Bloqueado",IF(COUNTIF('E1 — Solicitação'!$E140:$L140,"⛔ Bloqueado")&gt;0,"Bloqueado",IF(COUNTIF('E1 — Solicitação'!$E140:$L140,"N/A")=8,"Bloqueado",IF(COUNTIF('E1 — Solicitação'!$E140:$L140,"✔ Concluído")+COUNTIF('E1 — Solicitação'!$E140:$L140,"N/A")=8,"Concluído",IF(COUNTIF('E1 — Solicitação'!$E140:$L140,"✔ Concluído")+COUNTIF('E1 — Solicitação'!$E140:$L140,"🔄 Em andamento")&gt;0,"Em andamento","Não iniciado"))))))</f>
        <v/>
      </c>
      <c r="F158" s="234" t="str">
        <f>IF($B158="","",IF($E158&lt;&gt;"Concluído","Não iniciado",IF(COUNTIF(Lançamentos!$B$3:$B$1001,$B158)=0,"Bloqueado",IF('E2 — Triagem'!$D140="","Bloqueado",IF(COUNTIF('E2 — Triagem'!$E140:$L140,"N/A")=8,"Bloqueado",IF(COUNTIF('E2 — Triagem'!$E140:$L140,"⛔ Bloqueado")&gt;0,"Bloqueado",IF(COUNTIF('E2 — Triagem'!$E140:$L140,"✔ Concluído")+COUNTIF('E2 — Triagem'!$E140:$L140,"N/A")=8,"Concluído",IF(COUNTIF('E2 — Triagem'!$E140:$L140,"✔ Concluído")+COUNTIF('E2 — Triagem'!$E140:$L140,"🔄 Em andamento")&gt;0,"Em andamento","Não iniciado"))))))))</f>
        <v/>
      </c>
      <c r="G158" s="234" t="str">
        <f>IF($B158="","",IF($F158&lt;&gt;"Concluído","Não iniciado",IF(COUNTIF(Lançamentos!$B$3:$B$1001,$B158)=0,"Bloqueado",IF('E3 — Levantamento'!$D140="","Bloqueado",IF(COUNTIF('E3 — Levantamento'!$E140:$I140,"⛔ Bloqueado")&gt;0,"Bloqueado",IF('E3 — Levantamento'!$I140="N/A","Bloqueado",IF(COUNTIF('E3 — Levantamento'!$E140:$I140,"✔ Concluído")=5,"Concluído",IF(COUNTIF('E3 — Levantamento'!$E140:$I140,"✔ Concluído")+COUNTIF('E3 — Levantamento'!$E140:$I140,"🔄 Em andamento")&gt;0,"Em andamento","Não iniciado"))))))))</f>
        <v/>
      </c>
      <c r="H158" s="234" t="str">
        <f>IF($B158="","",IF($G158&lt;&gt;"Concluído","Não iniciado",IF(COUNTIF(Lançamentos!$B$3:$B$1001,$B158)=0,"Bloqueado",IF('E4 — Execução'!$D140="","Bloqueado",IF(COUNTIF('E4 — Execução'!$E140:$K140,"⛔ Bloqueado")&gt;0,"Bloqueado",IF(COUNTIF('E4 — Execução'!$E140:$K140,"✔ Concluído")=7,"Concluído",IF(COUNTIF('E4 — Execução'!$E140:$K140,"✔ Concluído")+COUNTIF('E4 — Execução'!$E140:$K140,"🔄 Em andamento")&gt;0,"Em andamento","Não iniciado")))))))</f>
        <v/>
      </c>
      <c r="I158" s="234" t="str">
        <f>IF($B158="","",IF($H158&lt;&gt;"Concluído","Não iniciado",IF(COUNTIF(Lançamentos!$B$3:$B$1001,$B158)=0,"Bloqueado",IF('E5 — Validação'!$D140="","Bloqueado",IF(COUNTIF('E5 — Validação'!$E140:$I140,"⛔ Bloqueado")&gt;0,"Bloqueado",IF('E5 — Validação'!$I140="N/A","Bloqueado",IF(AND('E5 — Validação'!$E140="✔ Concluído",'E5 — Validação'!$F140="✔ Concluído",OR('E5 — Validação'!$G140="✔ Concluído",'E5 — Validação'!$G140="N/A"),'E5 — Validação'!$H140="✔ Concluído",'E5 — Validação'!$I140="✔ Concluído"),"Concluído",IF(COUNTIF('E5 — Validação'!$E140:$I140,"✔ Concluído")+COUNTIF('E5 — Validação'!$E140:$I140,"🔄 Em andamento")&gt;0,"Em andamento","Não iniciado"))))))))</f>
        <v/>
      </c>
      <c r="J158" s="234" t="str">
        <f>IF($B158="","",IF($I158&lt;&gt;"Concluído","Não iniciado",IF('E6 — Ajustes'!$N140="Não","N/A",IF(COUNTIF(Lançamentos!$B$3:$B$1001,$B158)=0,"Bloqueado",IF('E6 — Ajustes'!$D140="","Bloqueado",IF(COUNTIF('E6 — Ajustes'!$E140:$J140,"⛔ Bloqueado")&gt;0,"Bloqueado",IF(AND('E6 — Ajustes'!$E140="✔ Concluído",'E6 — Ajustes'!$F140="✔ Concluído",'E6 — Ajustes'!$G140="✔ Concluído",'E6 — Ajustes'!$H140="✔ Concluído",OR('E6 — Ajustes'!$I140="✔ Concluído",'E6 — Ajustes'!$I140="N/A"),'E6 — Ajustes'!$J140="✔ Concluído"),"Concluído",IF(COUNTIF('E6 — Ajustes'!$E140:$J140,"✔ Concluído")+COUNTIF('E6 — Ajustes'!$E140:$J140,"🔄 Em andamento")&gt;0,"Em andamento","Não iniciado"))))))))</f>
        <v/>
      </c>
      <c r="K158" s="234" t="str">
        <f>IF($B158="","",IF($I158&lt;&gt;"Concluído","Não iniciado",IF(AND($J158&lt;&gt;"Concluído",$J158&lt;&gt;"N/A"),"Não iniciado",IF(COUNTIF(Lançamentos!$B$3:$B$1001,$B158)=0,"Bloqueado",IF('E7 — Entrega'!$D140="","Bloqueado",IF(COUNTIF('E7 — Entrega'!$E140:$H140,"⛔ Bloqueado")&gt;0,"Bloqueado",IF(COUNTIF('E7 — Entrega'!$E140:$H140,"✔ Concluído")=4,"Concluído",IF(COUNTIF('E7 — Entrega'!$E140:$H140,"✔ Concluído")+COUNTIF('E7 — Entrega'!$E140:$H140,"🔄 Em andamento")&gt;0,"Em andamento","Não iniciado"))))))))</f>
        <v/>
      </c>
      <c r="L158" s="234" t="str">
        <f>IF($B158="","",IF($K158&lt;&gt;"Concluído","Não iniciado",IF(OR(COUNTIF('E08 — Estabilização Hypercare'!$E140:$J140,"⛔ Bloqueado")&gt;0,'E08 — Estabilização Hypercare'!$N140="⛔ Incidente Crítico — Encerramento Bloqueado",AND('E08 — Estabilização Hypercare'!$N140="🆕 Evolução Identificada — Nova Demanda Aberta",'E08 — Estabilização Hypercare'!$U140="")),"Bloqueado",IF(AND('E08 — Estabilização Hypercare'!$E140="✔ Concluído",'E08 — Estabilização Hypercare'!$F140="✔ Concluído",'E08 — Estabilização Hypercare'!$G140="✔ Concluído",OR('E08 — Estabilização Hypercare'!$H140="✔ Concluído",'E08 — Estabilização Hypercare'!$H140="N/A"),'E08 — Estabilização Hypercare'!$I140="✔ Concluído",'E08 — Estabilização Hypercare'!$J140="✔ Concluído",OR('E08 — Estabilização Hypercare'!$N140="✅ Estável — Demanda Encerrada",AND('E08 — Estabilização Hypercare'!$N140="🆕 Evolução Identificada — Nova Demanda Aberta",'E08 — Estabilização Hypercare'!$U140&lt;&gt;""))),"Concluído",IF(OR(COUNTIF('E08 — Estabilização Hypercare'!$E140:$J140,"✔ Concluído")&gt;0,COUNTIF('E08 — Estabilização Hypercare'!$E140:$J140,"🔄 Em andamento")&gt;0,'E08 — Estabilização Hypercare'!$N140&lt;&gt;""),"Em andamento","Não iniciado")))))</f>
        <v/>
      </c>
      <c r="M158" s="236" t="str" cm="1">
        <f t="array" ref="M158">IF(B158="","",_xlfn.IFS(E158&lt;&gt;"Concluído","E1 — Solicitação",F158&lt;&gt;"Concluído","E2 — Triagem",G158&lt;&gt;"Concluído","E3 — Levantamento ⚠",H158&lt;&gt;"Concluído","E4 — Execução",I158&lt;&gt;"Concluído","E5 — Validação ⚠",AND(J158&lt;&gt;"Concluído",J158&lt;&gt;"N/A"),"E6 — Ajustes",K158&lt;&gt;"Concluído","E7 — Entrega",L158&lt;&gt;"Concluído","E08 — Estabilização / Hypercare",TRUE,"✔ Fluxo concluído"))</f>
        <v/>
      </c>
      <c r="N158" s="237" t="str">
        <f t="shared" si="2"/>
        <v/>
      </c>
      <c r="O158" s="238"/>
    </row>
    <row r="159" spans="2:15" ht="15" customHeight="1" x14ac:dyDescent="0.35">
      <c r="B159" s="234" t="str">
        <f>IF(Lançamentos!$B136="","",Lançamentos!$B136)</f>
        <v/>
      </c>
      <c r="C159" s="235" t="str">
        <f>IF($B159="","",Lançamentos!$J136)</f>
        <v/>
      </c>
      <c r="D159" s="235" t="str">
        <f>IF($B159="","",Lançamentos!$H136)</f>
        <v/>
      </c>
      <c r="E159" s="234" t="str">
        <f>IF($B159="","",IF(COUNTIF(Lançamentos!$B$3:$B$1001,$B159)=0,"Bloqueado",IF(COUNTIF('E1 — Solicitação'!$E141:$L141,"⛔ Bloqueado")&gt;0,"Bloqueado",IF(COUNTIF('E1 — Solicitação'!$E141:$L141,"N/A")=8,"Bloqueado",IF(COUNTIF('E1 — Solicitação'!$E141:$L141,"✔ Concluído")+COUNTIF('E1 — Solicitação'!$E141:$L141,"N/A")=8,"Concluído",IF(COUNTIF('E1 — Solicitação'!$E141:$L141,"✔ Concluído")+COUNTIF('E1 — Solicitação'!$E141:$L141,"🔄 Em andamento")&gt;0,"Em andamento","Não iniciado"))))))</f>
        <v/>
      </c>
      <c r="F159" s="234" t="str">
        <f>IF($B159="","",IF($E159&lt;&gt;"Concluído","Não iniciado",IF(COUNTIF(Lançamentos!$B$3:$B$1001,$B159)=0,"Bloqueado",IF('E2 — Triagem'!$D141="","Bloqueado",IF(COUNTIF('E2 — Triagem'!$E141:$L141,"N/A")=8,"Bloqueado",IF(COUNTIF('E2 — Triagem'!$E141:$L141,"⛔ Bloqueado")&gt;0,"Bloqueado",IF(COUNTIF('E2 — Triagem'!$E141:$L141,"✔ Concluído")+COUNTIF('E2 — Triagem'!$E141:$L141,"N/A")=8,"Concluído",IF(COUNTIF('E2 — Triagem'!$E141:$L141,"✔ Concluído")+COUNTIF('E2 — Triagem'!$E141:$L141,"🔄 Em andamento")&gt;0,"Em andamento","Não iniciado"))))))))</f>
        <v/>
      </c>
      <c r="G159" s="234" t="str">
        <f>IF($B159="","",IF($F159&lt;&gt;"Concluído","Não iniciado",IF(COUNTIF(Lançamentos!$B$3:$B$1001,$B159)=0,"Bloqueado",IF('E3 — Levantamento'!$D141="","Bloqueado",IF(COUNTIF('E3 — Levantamento'!$E141:$I141,"⛔ Bloqueado")&gt;0,"Bloqueado",IF('E3 — Levantamento'!$I141="N/A","Bloqueado",IF(COUNTIF('E3 — Levantamento'!$E141:$I141,"✔ Concluído")=5,"Concluído",IF(COUNTIF('E3 — Levantamento'!$E141:$I141,"✔ Concluído")+COUNTIF('E3 — Levantamento'!$E141:$I141,"🔄 Em andamento")&gt;0,"Em andamento","Não iniciado"))))))))</f>
        <v/>
      </c>
      <c r="H159" s="234" t="str">
        <f>IF($B159="","",IF($G159&lt;&gt;"Concluído","Não iniciado",IF(COUNTIF(Lançamentos!$B$3:$B$1001,$B159)=0,"Bloqueado",IF('E4 — Execução'!$D141="","Bloqueado",IF(COUNTIF('E4 — Execução'!$E141:$K141,"⛔ Bloqueado")&gt;0,"Bloqueado",IF(COUNTIF('E4 — Execução'!$E141:$K141,"✔ Concluído")=7,"Concluído",IF(COUNTIF('E4 — Execução'!$E141:$K141,"✔ Concluído")+COUNTIF('E4 — Execução'!$E141:$K141,"🔄 Em andamento")&gt;0,"Em andamento","Não iniciado")))))))</f>
        <v/>
      </c>
      <c r="I159" s="234" t="str">
        <f>IF($B159="","",IF($H159&lt;&gt;"Concluído","Não iniciado",IF(COUNTIF(Lançamentos!$B$3:$B$1001,$B159)=0,"Bloqueado",IF('E5 — Validação'!$D141="","Bloqueado",IF(COUNTIF('E5 — Validação'!$E141:$I141,"⛔ Bloqueado")&gt;0,"Bloqueado",IF('E5 — Validação'!$I141="N/A","Bloqueado",IF(AND('E5 — Validação'!$E141="✔ Concluído",'E5 — Validação'!$F141="✔ Concluído",OR('E5 — Validação'!$G141="✔ Concluído",'E5 — Validação'!$G141="N/A"),'E5 — Validação'!$H141="✔ Concluído",'E5 — Validação'!$I141="✔ Concluído"),"Concluído",IF(COUNTIF('E5 — Validação'!$E141:$I141,"✔ Concluído")+COUNTIF('E5 — Validação'!$E141:$I141,"🔄 Em andamento")&gt;0,"Em andamento","Não iniciado"))))))))</f>
        <v/>
      </c>
      <c r="J159" s="234" t="str">
        <f>IF($B159="","",IF($I159&lt;&gt;"Concluído","Não iniciado",IF('E6 — Ajustes'!$N141="Não","N/A",IF(COUNTIF(Lançamentos!$B$3:$B$1001,$B159)=0,"Bloqueado",IF('E6 — Ajustes'!$D141="","Bloqueado",IF(COUNTIF('E6 — Ajustes'!$E141:$J141,"⛔ Bloqueado")&gt;0,"Bloqueado",IF(AND('E6 — Ajustes'!$E141="✔ Concluído",'E6 — Ajustes'!$F141="✔ Concluído",'E6 — Ajustes'!$G141="✔ Concluído",'E6 — Ajustes'!$H141="✔ Concluído",OR('E6 — Ajustes'!$I141="✔ Concluído",'E6 — Ajustes'!$I141="N/A"),'E6 — Ajustes'!$J141="✔ Concluído"),"Concluído",IF(COUNTIF('E6 — Ajustes'!$E141:$J141,"✔ Concluído")+COUNTIF('E6 — Ajustes'!$E141:$J141,"🔄 Em andamento")&gt;0,"Em andamento","Não iniciado"))))))))</f>
        <v/>
      </c>
      <c r="K159" s="234" t="str">
        <f>IF($B159="","",IF($I159&lt;&gt;"Concluído","Não iniciado",IF(AND($J159&lt;&gt;"Concluído",$J159&lt;&gt;"N/A"),"Não iniciado",IF(COUNTIF(Lançamentos!$B$3:$B$1001,$B159)=0,"Bloqueado",IF('E7 — Entrega'!$D141="","Bloqueado",IF(COUNTIF('E7 — Entrega'!$E141:$H141,"⛔ Bloqueado")&gt;0,"Bloqueado",IF(COUNTIF('E7 — Entrega'!$E141:$H141,"✔ Concluído")=4,"Concluído",IF(COUNTIF('E7 — Entrega'!$E141:$H141,"✔ Concluído")+COUNTIF('E7 — Entrega'!$E141:$H141,"🔄 Em andamento")&gt;0,"Em andamento","Não iniciado"))))))))</f>
        <v/>
      </c>
      <c r="L159" s="234" t="str">
        <f>IF($B159="","",IF($K159&lt;&gt;"Concluído","Não iniciado",IF(OR(COUNTIF('E08 — Estabilização Hypercare'!$E141:$J141,"⛔ Bloqueado")&gt;0,'E08 — Estabilização Hypercare'!$N141="⛔ Incidente Crítico — Encerramento Bloqueado",AND('E08 — Estabilização Hypercare'!$N141="🆕 Evolução Identificada — Nova Demanda Aberta",'E08 — Estabilização Hypercare'!$U141="")),"Bloqueado",IF(AND('E08 — Estabilização Hypercare'!$E141="✔ Concluído",'E08 — Estabilização Hypercare'!$F141="✔ Concluído",'E08 — Estabilização Hypercare'!$G141="✔ Concluído",OR('E08 — Estabilização Hypercare'!$H141="✔ Concluído",'E08 — Estabilização Hypercare'!$H141="N/A"),'E08 — Estabilização Hypercare'!$I141="✔ Concluído",'E08 — Estabilização Hypercare'!$J141="✔ Concluído",OR('E08 — Estabilização Hypercare'!$N141="✅ Estável — Demanda Encerrada",AND('E08 — Estabilização Hypercare'!$N141="🆕 Evolução Identificada — Nova Demanda Aberta",'E08 — Estabilização Hypercare'!$U141&lt;&gt;""))),"Concluído",IF(OR(COUNTIF('E08 — Estabilização Hypercare'!$E141:$J141,"✔ Concluído")&gt;0,COUNTIF('E08 — Estabilização Hypercare'!$E141:$J141,"🔄 Em andamento")&gt;0,'E08 — Estabilização Hypercare'!$N141&lt;&gt;""),"Em andamento","Não iniciado")))))</f>
        <v/>
      </c>
      <c r="M159" s="236" t="str" cm="1">
        <f t="array" ref="M159">IF(B159="","",_xlfn.IFS(E159&lt;&gt;"Concluído","E1 — Solicitação",F159&lt;&gt;"Concluído","E2 — Triagem",G159&lt;&gt;"Concluído","E3 — Levantamento ⚠",H159&lt;&gt;"Concluído","E4 — Execução",I159&lt;&gt;"Concluído","E5 — Validação ⚠",AND(J159&lt;&gt;"Concluído",J159&lt;&gt;"N/A"),"E6 — Ajustes",K159&lt;&gt;"Concluído","E7 — Entrega",L159&lt;&gt;"Concluído","E08 — Estabilização / Hypercare",TRUE,"✔ Fluxo concluído"))</f>
        <v/>
      </c>
      <c r="N159" s="237" t="str">
        <f t="shared" si="2"/>
        <v/>
      </c>
      <c r="O159" s="238"/>
    </row>
    <row r="160" spans="2:15" ht="15" customHeight="1" x14ac:dyDescent="0.35">
      <c r="B160" s="234" t="str">
        <f>IF(Lançamentos!$B137="","",Lançamentos!$B137)</f>
        <v/>
      </c>
      <c r="C160" s="235" t="str">
        <f>IF($B160="","",Lançamentos!$J137)</f>
        <v/>
      </c>
      <c r="D160" s="235" t="str">
        <f>IF($B160="","",Lançamentos!$H137)</f>
        <v/>
      </c>
      <c r="E160" s="234" t="str">
        <f>IF($B160="","",IF(COUNTIF(Lançamentos!$B$3:$B$1001,$B160)=0,"Bloqueado",IF(COUNTIF('E1 — Solicitação'!$E142:$L142,"⛔ Bloqueado")&gt;0,"Bloqueado",IF(COUNTIF('E1 — Solicitação'!$E142:$L142,"N/A")=8,"Bloqueado",IF(COUNTIF('E1 — Solicitação'!$E142:$L142,"✔ Concluído")+COUNTIF('E1 — Solicitação'!$E142:$L142,"N/A")=8,"Concluído",IF(COUNTIF('E1 — Solicitação'!$E142:$L142,"✔ Concluído")+COUNTIF('E1 — Solicitação'!$E142:$L142,"🔄 Em andamento")&gt;0,"Em andamento","Não iniciado"))))))</f>
        <v/>
      </c>
      <c r="F160" s="234" t="str">
        <f>IF($B160="","",IF($E160&lt;&gt;"Concluído","Não iniciado",IF(COUNTIF(Lançamentos!$B$3:$B$1001,$B160)=0,"Bloqueado",IF('E2 — Triagem'!$D142="","Bloqueado",IF(COUNTIF('E2 — Triagem'!$E142:$L142,"N/A")=8,"Bloqueado",IF(COUNTIF('E2 — Triagem'!$E142:$L142,"⛔ Bloqueado")&gt;0,"Bloqueado",IF(COUNTIF('E2 — Triagem'!$E142:$L142,"✔ Concluído")+COUNTIF('E2 — Triagem'!$E142:$L142,"N/A")=8,"Concluído",IF(COUNTIF('E2 — Triagem'!$E142:$L142,"✔ Concluído")+COUNTIF('E2 — Triagem'!$E142:$L142,"🔄 Em andamento")&gt;0,"Em andamento","Não iniciado"))))))))</f>
        <v/>
      </c>
      <c r="G160" s="234" t="str">
        <f>IF($B160="","",IF($F160&lt;&gt;"Concluído","Não iniciado",IF(COUNTIF(Lançamentos!$B$3:$B$1001,$B160)=0,"Bloqueado",IF('E3 — Levantamento'!$D142="","Bloqueado",IF(COUNTIF('E3 — Levantamento'!$E142:$I142,"⛔ Bloqueado")&gt;0,"Bloqueado",IF('E3 — Levantamento'!$I142="N/A","Bloqueado",IF(COUNTIF('E3 — Levantamento'!$E142:$I142,"✔ Concluído")=5,"Concluído",IF(COUNTIF('E3 — Levantamento'!$E142:$I142,"✔ Concluído")+COUNTIF('E3 — Levantamento'!$E142:$I142,"🔄 Em andamento")&gt;0,"Em andamento","Não iniciado"))))))))</f>
        <v/>
      </c>
      <c r="H160" s="234" t="str">
        <f>IF($B160="","",IF($G160&lt;&gt;"Concluído","Não iniciado",IF(COUNTIF(Lançamentos!$B$3:$B$1001,$B160)=0,"Bloqueado",IF('E4 — Execução'!$D142="","Bloqueado",IF(COUNTIF('E4 — Execução'!$E142:$K142,"⛔ Bloqueado")&gt;0,"Bloqueado",IF(COUNTIF('E4 — Execução'!$E142:$K142,"✔ Concluído")=7,"Concluído",IF(COUNTIF('E4 — Execução'!$E142:$K142,"✔ Concluído")+COUNTIF('E4 — Execução'!$E142:$K142,"🔄 Em andamento")&gt;0,"Em andamento","Não iniciado")))))))</f>
        <v/>
      </c>
      <c r="I160" s="234" t="str">
        <f>IF($B160="","",IF($H160&lt;&gt;"Concluído","Não iniciado",IF(COUNTIF(Lançamentos!$B$3:$B$1001,$B160)=0,"Bloqueado",IF('E5 — Validação'!$D142="","Bloqueado",IF(COUNTIF('E5 — Validação'!$E142:$I142,"⛔ Bloqueado")&gt;0,"Bloqueado",IF('E5 — Validação'!$I142="N/A","Bloqueado",IF(AND('E5 — Validação'!$E142="✔ Concluído",'E5 — Validação'!$F142="✔ Concluído",OR('E5 — Validação'!$G142="✔ Concluído",'E5 — Validação'!$G142="N/A"),'E5 — Validação'!$H142="✔ Concluído",'E5 — Validação'!$I142="✔ Concluído"),"Concluído",IF(COUNTIF('E5 — Validação'!$E142:$I142,"✔ Concluído")+COUNTIF('E5 — Validação'!$E142:$I142,"🔄 Em andamento")&gt;0,"Em andamento","Não iniciado"))))))))</f>
        <v/>
      </c>
      <c r="J160" s="234" t="str">
        <f>IF($B160="","",IF($I160&lt;&gt;"Concluído","Não iniciado",IF('E6 — Ajustes'!$N142="Não","N/A",IF(COUNTIF(Lançamentos!$B$3:$B$1001,$B160)=0,"Bloqueado",IF('E6 — Ajustes'!$D142="","Bloqueado",IF(COUNTIF('E6 — Ajustes'!$E142:$J142,"⛔ Bloqueado")&gt;0,"Bloqueado",IF(AND('E6 — Ajustes'!$E142="✔ Concluído",'E6 — Ajustes'!$F142="✔ Concluído",'E6 — Ajustes'!$G142="✔ Concluído",'E6 — Ajustes'!$H142="✔ Concluído",OR('E6 — Ajustes'!$I142="✔ Concluído",'E6 — Ajustes'!$I142="N/A"),'E6 — Ajustes'!$J142="✔ Concluído"),"Concluído",IF(COUNTIF('E6 — Ajustes'!$E142:$J142,"✔ Concluído")+COUNTIF('E6 — Ajustes'!$E142:$J142,"🔄 Em andamento")&gt;0,"Em andamento","Não iniciado"))))))))</f>
        <v/>
      </c>
      <c r="K160" s="234" t="str">
        <f>IF($B160="","",IF($I160&lt;&gt;"Concluído","Não iniciado",IF(AND($J160&lt;&gt;"Concluído",$J160&lt;&gt;"N/A"),"Não iniciado",IF(COUNTIF(Lançamentos!$B$3:$B$1001,$B160)=0,"Bloqueado",IF('E7 — Entrega'!$D142="","Bloqueado",IF(COUNTIF('E7 — Entrega'!$E142:$H142,"⛔ Bloqueado")&gt;0,"Bloqueado",IF(COUNTIF('E7 — Entrega'!$E142:$H142,"✔ Concluído")=4,"Concluído",IF(COUNTIF('E7 — Entrega'!$E142:$H142,"✔ Concluído")+COUNTIF('E7 — Entrega'!$E142:$H142,"🔄 Em andamento")&gt;0,"Em andamento","Não iniciado"))))))))</f>
        <v/>
      </c>
      <c r="L160" s="234" t="str">
        <f>IF($B160="","",IF($K160&lt;&gt;"Concluído","Não iniciado",IF(OR(COUNTIF('E08 — Estabilização Hypercare'!$E142:$J142,"⛔ Bloqueado")&gt;0,'E08 — Estabilização Hypercare'!$N142="⛔ Incidente Crítico — Encerramento Bloqueado",AND('E08 — Estabilização Hypercare'!$N142="🆕 Evolução Identificada — Nova Demanda Aberta",'E08 — Estabilização Hypercare'!$U142="")),"Bloqueado",IF(AND('E08 — Estabilização Hypercare'!$E142="✔ Concluído",'E08 — Estabilização Hypercare'!$F142="✔ Concluído",'E08 — Estabilização Hypercare'!$G142="✔ Concluído",OR('E08 — Estabilização Hypercare'!$H142="✔ Concluído",'E08 — Estabilização Hypercare'!$H142="N/A"),'E08 — Estabilização Hypercare'!$I142="✔ Concluído",'E08 — Estabilização Hypercare'!$J142="✔ Concluído",OR('E08 — Estabilização Hypercare'!$N142="✅ Estável — Demanda Encerrada",AND('E08 — Estabilização Hypercare'!$N142="🆕 Evolução Identificada — Nova Demanda Aberta",'E08 — Estabilização Hypercare'!$U142&lt;&gt;""))),"Concluído",IF(OR(COUNTIF('E08 — Estabilização Hypercare'!$E142:$J142,"✔ Concluído")&gt;0,COUNTIF('E08 — Estabilização Hypercare'!$E142:$J142,"🔄 Em andamento")&gt;0,'E08 — Estabilização Hypercare'!$N142&lt;&gt;""),"Em andamento","Não iniciado")))))</f>
        <v/>
      </c>
      <c r="M160" s="236" t="str" cm="1">
        <f t="array" ref="M160">IF(B160="","",_xlfn.IFS(E160&lt;&gt;"Concluído","E1 — Solicitação",F160&lt;&gt;"Concluído","E2 — Triagem",G160&lt;&gt;"Concluído","E3 — Levantamento ⚠",H160&lt;&gt;"Concluído","E4 — Execução",I160&lt;&gt;"Concluído","E5 — Validação ⚠",AND(J160&lt;&gt;"Concluído",J160&lt;&gt;"N/A"),"E6 — Ajustes",K160&lt;&gt;"Concluído","E7 — Entrega",L160&lt;&gt;"Concluído","E08 — Estabilização / Hypercare",TRUE,"✔ Fluxo concluído"))</f>
        <v/>
      </c>
      <c r="N160" s="237" t="str">
        <f t="shared" si="2"/>
        <v/>
      </c>
      <c r="O160" s="238"/>
    </row>
    <row r="161" spans="2:15" ht="15" customHeight="1" x14ac:dyDescent="0.35">
      <c r="B161" s="234" t="str">
        <f>IF(Lançamentos!$B138="","",Lançamentos!$B138)</f>
        <v/>
      </c>
      <c r="C161" s="235" t="str">
        <f>IF($B161="","",Lançamentos!$J138)</f>
        <v/>
      </c>
      <c r="D161" s="235" t="str">
        <f>IF($B161="","",Lançamentos!$H138)</f>
        <v/>
      </c>
      <c r="E161" s="234" t="str">
        <f>IF($B161="","",IF(COUNTIF(Lançamentos!$B$3:$B$1001,$B161)=0,"Bloqueado",IF(COUNTIF('E1 — Solicitação'!$E143:$L143,"⛔ Bloqueado")&gt;0,"Bloqueado",IF(COUNTIF('E1 — Solicitação'!$E143:$L143,"N/A")=8,"Bloqueado",IF(COUNTIF('E1 — Solicitação'!$E143:$L143,"✔ Concluído")+COUNTIF('E1 — Solicitação'!$E143:$L143,"N/A")=8,"Concluído",IF(COUNTIF('E1 — Solicitação'!$E143:$L143,"✔ Concluído")+COUNTIF('E1 — Solicitação'!$E143:$L143,"🔄 Em andamento")&gt;0,"Em andamento","Não iniciado"))))))</f>
        <v/>
      </c>
      <c r="F161" s="234" t="str">
        <f>IF($B161="","",IF($E161&lt;&gt;"Concluído","Não iniciado",IF(COUNTIF(Lançamentos!$B$3:$B$1001,$B161)=0,"Bloqueado",IF('E2 — Triagem'!$D143="","Bloqueado",IF(COUNTIF('E2 — Triagem'!$E143:$L143,"N/A")=8,"Bloqueado",IF(COUNTIF('E2 — Triagem'!$E143:$L143,"⛔ Bloqueado")&gt;0,"Bloqueado",IF(COUNTIF('E2 — Triagem'!$E143:$L143,"✔ Concluído")+COUNTIF('E2 — Triagem'!$E143:$L143,"N/A")=8,"Concluído",IF(COUNTIF('E2 — Triagem'!$E143:$L143,"✔ Concluído")+COUNTIF('E2 — Triagem'!$E143:$L143,"🔄 Em andamento")&gt;0,"Em andamento","Não iniciado"))))))))</f>
        <v/>
      </c>
      <c r="G161" s="234" t="str">
        <f>IF($B161="","",IF($F161&lt;&gt;"Concluído","Não iniciado",IF(COUNTIF(Lançamentos!$B$3:$B$1001,$B161)=0,"Bloqueado",IF('E3 — Levantamento'!$D143="","Bloqueado",IF(COUNTIF('E3 — Levantamento'!$E143:$I143,"⛔ Bloqueado")&gt;0,"Bloqueado",IF('E3 — Levantamento'!$I143="N/A","Bloqueado",IF(COUNTIF('E3 — Levantamento'!$E143:$I143,"✔ Concluído")=5,"Concluído",IF(COUNTIF('E3 — Levantamento'!$E143:$I143,"✔ Concluído")+COUNTIF('E3 — Levantamento'!$E143:$I143,"🔄 Em andamento")&gt;0,"Em andamento","Não iniciado"))))))))</f>
        <v/>
      </c>
      <c r="H161" s="234" t="str">
        <f>IF($B161="","",IF($G161&lt;&gt;"Concluído","Não iniciado",IF(COUNTIF(Lançamentos!$B$3:$B$1001,$B161)=0,"Bloqueado",IF('E4 — Execução'!$D143="","Bloqueado",IF(COUNTIF('E4 — Execução'!$E143:$K143,"⛔ Bloqueado")&gt;0,"Bloqueado",IF(COUNTIF('E4 — Execução'!$E143:$K143,"✔ Concluído")=7,"Concluído",IF(COUNTIF('E4 — Execução'!$E143:$K143,"✔ Concluído")+COUNTIF('E4 — Execução'!$E143:$K143,"🔄 Em andamento")&gt;0,"Em andamento","Não iniciado")))))))</f>
        <v/>
      </c>
      <c r="I161" s="234" t="str">
        <f>IF($B161="","",IF($H161&lt;&gt;"Concluído","Não iniciado",IF(COUNTIF(Lançamentos!$B$3:$B$1001,$B161)=0,"Bloqueado",IF('E5 — Validação'!$D143="","Bloqueado",IF(COUNTIF('E5 — Validação'!$E143:$I143,"⛔ Bloqueado")&gt;0,"Bloqueado",IF('E5 — Validação'!$I143="N/A","Bloqueado",IF(AND('E5 — Validação'!$E143="✔ Concluído",'E5 — Validação'!$F143="✔ Concluído",OR('E5 — Validação'!$G143="✔ Concluído",'E5 — Validação'!$G143="N/A"),'E5 — Validação'!$H143="✔ Concluído",'E5 — Validação'!$I143="✔ Concluído"),"Concluído",IF(COUNTIF('E5 — Validação'!$E143:$I143,"✔ Concluído")+COUNTIF('E5 — Validação'!$E143:$I143,"🔄 Em andamento")&gt;0,"Em andamento","Não iniciado"))))))))</f>
        <v/>
      </c>
      <c r="J161" s="234" t="str">
        <f>IF($B161="","",IF($I161&lt;&gt;"Concluído","Não iniciado",IF('E6 — Ajustes'!$N143="Não","N/A",IF(COUNTIF(Lançamentos!$B$3:$B$1001,$B161)=0,"Bloqueado",IF('E6 — Ajustes'!$D143="","Bloqueado",IF(COUNTIF('E6 — Ajustes'!$E143:$J143,"⛔ Bloqueado")&gt;0,"Bloqueado",IF(AND('E6 — Ajustes'!$E143="✔ Concluído",'E6 — Ajustes'!$F143="✔ Concluído",'E6 — Ajustes'!$G143="✔ Concluído",'E6 — Ajustes'!$H143="✔ Concluído",OR('E6 — Ajustes'!$I143="✔ Concluído",'E6 — Ajustes'!$I143="N/A"),'E6 — Ajustes'!$J143="✔ Concluído"),"Concluído",IF(COUNTIF('E6 — Ajustes'!$E143:$J143,"✔ Concluído")+COUNTIF('E6 — Ajustes'!$E143:$J143,"🔄 Em andamento")&gt;0,"Em andamento","Não iniciado"))))))))</f>
        <v/>
      </c>
      <c r="K161" s="234" t="str">
        <f>IF($B161="","",IF($I161&lt;&gt;"Concluído","Não iniciado",IF(AND($J161&lt;&gt;"Concluído",$J161&lt;&gt;"N/A"),"Não iniciado",IF(COUNTIF(Lançamentos!$B$3:$B$1001,$B161)=0,"Bloqueado",IF('E7 — Entrega'!$D143="","Bloqueado",IF(COUNTIF('E7 — Entrega'!$E143:$H143,"⛔ Bloqueado")&gt;0,"Bloqueado",IF(COUNTIF('E7 — Entrega'!$E143:$H143,"✔ Concluído")=4,"Concluído",IF(COUNTIF('E7 — Entrega'!$E143:$H143,"✔ Concluído")+COUNTIF('E7 — Entrega'!$E143:$H143,"🔄 Em andamento")&gt;0,"Em andamento","Não iniciado"))))))))</f>
        <v/>
      </c>
      <c r="L161" s="234" t="str">
        <f>IF($B161="","",IF($K161&lt;&gt;"Concluído","Não iniciado",IF(OR(COUNTIF('E08 — Estabilização Hypercare'!$E143:$J143,"⛔ Bloqueado")&gt;0,'E08 — Estabilização Hypercare'!$N143="⛔ Incidente Crítico — Encerramento Bloqueado",AND('E08 — Estabilização Hypercare'!$N143="🆕 Evolução Identificada — Nova Demanda Aberta",'E08 — Estabilização Hypercare'!$U143="")),"Bloqueado",IF(AND('E08 — Estabilização Hypercare'!$E143="✔ Concluído",'E08 — Estabilização Hypercare'!$F143="✔ Concluído",'E08 — Estabilização Hypercare'!$G143="✔ Concluído",OR('E08 — Estabilização Hypercare'!$H143="✔ Concluído",'E08 — Estabilização Hypercare'!$H143="N/A"),'E08 — Estabilização Hypercare'!$I143="✔ Concluído",'E08 — Estabilização Hypercare'!$J143="✔ Concluído",OR('E08 — Estabilização Hypercare'!$N143="✅ Estável — Demanda Encerrada",AND('E08 — Estabilização Hypercare'!$N143="🆕 Evolução Identificada — Nova Demanda Aberta",'E08 — Estabilização Hypercare'!$U143&lt;&gt;""))),"Concluído",IF(OR(COUNTIF('E08 — Estabilização Hypercare'!$E143:$J143,"✔ Concluído")&gt;0,COUNTIF('E08 — Estabilização Hypercare'!$E143:$J143,"🔄 Em andamento")&gt;0,'E08 — Estabilização Hypercare'!$N143&lt;&gt;""),"Em andamento","Não iniciado")))))</f>
        <v/>
      </c>
      <c r="M161" s="236" t="str" cm="1">
        <f t="array" ref="M161">IF(B161="","",_xlfn.IFS(E161&lt;&gt;"Concluído","E1 — Solicitação",F161&lt;&gt;"Concluído","E2 — Triagem",G161&lt;&gt;"Concluído","E3 — Levantamento ⚠",H161&lt;&gt;"Concluído","E4 — Execução",I161&lt;&gt;"Concluído","E5 — Validação ⚠",AND(J161&lt;&gt;"Concluído",J161&lt;&gt;"N/A"),"E6 — Ajustes",K161&lt;&gt;"Concluído","E7 — Entrega",L161&lt;&gt;"Concluído","E08 — Estabilização / Hypercare",TRUE,"✔ Fluxo concluído"))</f>
        <v/>
      </c>
      <c r="N161" s="237" t="str">
        <f t="shared" si="2"/>
        <v/>
      </c>
      <c r="O161" s="238"/>
    </row>
    <row r="162" spans="2:15" ht="15" customHeight="1" x14ac:dyDescent="0.35">
      <c r="B162" s="234" t="str">
        <f>IF(Lançamentos!$B139="","",Lançamentos!$B139)</f>
        <v/>
      </c>
      <c r="C162" s="235" t="str">
        <f>IF($B162="","",Lançamentos!$J139)</f>
        <v/>
      </c>
      <c r="D162" s="235" t="str">
        <f>IF($B162="","",Lançamentos!$H139)</f>
        <v/>
      </c>
      <c r="E162" s="234" t="str">
        <f>IF($B162="","",IF(COUNTIF(Lançamentos!$B$3:$B$1001,$B162)=0,"Bloqueado",IF(COUNTIF('E1 — Solicitação'!$E144:$L144,"⛔ Bloqueado")&gt;0,"Bloqueado",IF(COUNTIF('E1 — Solicitação'!$E144:$L144,"N/A")=8,"Bloqueado",IF(COUNTIF('E1 — Solicitação'!$E144:$L144,"✔ Concluído")+COUNTIF('E1 — Solicitação'!$E144:$L144,"N/A")=8,"Concluído",IF(COUNTIF('E1 — Solicitação'!$E144:$L144,"✔ Concluído")+COUNTIF('E1 — Solicitação'!$E144:$L144,"🔄 Em andamento")&gt;0,"Em andamento","Não iniciado"))))))</f>
        <v/>
      </c>
      <c r="F162" s="234" t="str">
        <f>IF($B162="","",IF($E162&lt;&gt;"Concluído","Não iniciado",IF(COUNTIF(Lançamentos!$B$3:$B$1001,$B162)=0,"Bloqueado",IF('E2 — Triagem'!$D144="","Bloqueado",IF(COUNTIF('E2 — Triagem'!$E144:$L144,"N/A")=8,"Bloqueado",IF(COUNTIF('E2 — Triagem'!$E144:$L144,"⛔ Bloqueado")&gt;0,"Bloqueado",IF(COUNTIF('E2 — Triagem'!$E144:$L144,"✔ Concluído")+COUNTIF('E2 — Triagem'!$E144:$L144,"N/A")=8,"Concluído",IF(COUNTIF('E2 — Triagem'!$E144:$L144,"✔ Concluído")+COUNTIF('E2 — Triagem'!$E144:$L144,"🔄 Em andamento")&gt;0,"Em andamento","Não iniciado"))))))))</f>
        <v/>
      </c>
      <c r="G162" s="234" t="str">
        <f>IF($B162="","",IF($F162&lt;&gt;"Concluído","Não iniciado",IF(COUNTIF(Lançamentos!$B$3:$B$1001,$B162)=0,"Bloqueado",IF('E3 — Levantamento'!$D144="","Bloqueado",IF(COUNTIF('E3 — Levantamento'!$E144:$I144,"⛔ Bloqueado")&gt;0,"Bloqueado",IF('E3 — Levantamento'!$I144="N/A","Bloqueado",IF(COUNTIF('E3 — Levantamento'!$E144:$I144,"✔ Concluído")=5,"Concluído",IF(COUNTIF('E3 — Levantamento'!$E144:$I144,"✔ Concluído")+COUNTIF('E3 — Levantamento'!$E144:$I144,"🔄 Em andamento")&gt;0,"Em andamento","Não iniciado"))))))))</f>
        <v/>
      </c>
      <c r="H162" s="234" t="str">
        <f>IF($B162="","",IF($G162&lt;&gt;"Concluído","Não iniciado",IF(COUNTIF(Lançamentos!$B$3:$B$1001,$B162)=0,"Bloqueado",IF('E4 — Execução'!$D144="","Bloqueado",IF(COUNTIF('E4 — Execução'!$E144:$K144,"⛔ Bloqueado")&gt;0,"Bloqueado",IF(COUNTIF('E4 — Execução'!$E144:$K144,"✔ Concluído")=7,"Concluído",IF(COUNTIF('E4 — Execução'!$E144:$K144,"✔ Concluído")+COUNTIF('E4 — Execução'!$E144:$K144,"🔄 Em andamento")&gt;0,"Em andamento","Não iniciado")))))))</f>
        <v/>
      </c>
      <c r="I162" s="234" t="str">
        <f>IF($B162="","",IF($H162&lt;&gt;"Concluído","Não iniciado",IF(COUNTIF(Lançamentos!$B$3:$B$1001,$B162)=0,"Bloqueado",IF('E5 — Validação'!$D144="","Bloqueado",IF(COUNTIF('E5 — Validação'!$E144:$I144,"⛔ Bloqueado")&gt;0,"Bloqueado",IF('E5 — Validação'!$I144="N/A","Bloqueado",IF(AND('E5 — Validação'!$E144="✔ Concluído",'E5 — Validação'!$F144="✔ Concluído",OR('E5 — Validação'!$G144="✔ Concluído",'E5 — Validação'!$G144="N/A"),'E5 — Validação'!$H144="✔ Concluído",'E5 — Validação'!$I144="✔ Concluído"),"Concluído",IF(COUNTIF('E5 — Validação'!$E144:$I144,"✔ Concluído")+COUNTIF('E5 — Validação'!$E144:$I144,"🔄 Em andamento")&gt;0,"Em andamento","Não iniciado"))))))))</f>
        <v/>
      </c>
      <c r="J162" s="234" t="str">
        <f>IF($B162="","",IF($I162&lt;&gt;"Concluído","Não iniciado",IF('E6 — Ajustes'!$N144="Não","N/A",IF(COUNTIF(Lançamentos!$B$3:$B$1001,$B162)=0,"Bloqueado",IF('E6 — Ajustes'!$D144="","Bloqueado",IF(COUNTIF('E6 — Ajustes'!$E144:$J144,"⛔ Bloqueado")&gt;0,"Bloqueado",IF(AND('E6 — Ajustes'!$E144="✔ Concluído",'E6 — Ajustes'!$F144="✔ Concluído",'E6 — Ajustes'!$G144="✔ Concluído",'E6 — Ajustes'!$H144="✔ Concluído",OR('E6 — Ajustes'!$I144="✔ Concluído",'E6 — Ajustes'!$I144="N/A"),'E6 — Ajustes'!$J144="✔ Concluído"),"Concluído",IF(COUNTIF('E6 — Ajustes'!$E144:$J144,"✔ Concluído")+COUNTIF('E6 — Ajustes'!$E144:$J144,"🔄 Em andamento")&gt;0,"Em andamento","Não iniciado"))))))))</f>
        <v/>
      </c>
      <c r="K162" s="234" t="str">
        <f>IF($B162="","",IF($I162&lt;&gt;"Concluído","Não iniciado",IF(AND($J162&lt;&gt;"Concluído",$J162&lt;&gt;"N/A"),"Não iniciado",IF(COUNTIF(Lançamentos!$B$3:$B$1001,$B162)=0,"Bloqueado",IF('E7 — Entrega'!$D144="","Bloqueado",IF(COUNTIF('E7 — Entrega'!$E144:$H144,"⛔ Bloqueado")&gt;0,"Bloqueado",IF(COUNTIF('E7 — Entrega'!$E144:$H144,"✔ Concluído")=4,"Concluído",IF(COUNTIF('E7 — Entrega'!$E144:$H144,"✔ Concluído")+COUNTIF('E7 — Entrega'!$E144:$H144,"🔄 Em andamento")&gt;0,"Em andamento","Não iniciado"))))))))</f>
        <v/>
      </c>
      <c r="L162" s="234" t="str">
        <f>IF($B162="","",IF($K162&lt;&gt;"Concluído","Não iniciado",IF(OR(COUNTIF('E08 — Estabilização Hypercare'!$E144:$J144,"⛔ Bloqueado")&gt;0,'E08 — Estabilização Hypercare'!$N144="⛔ Incidente Crítico — Encerramento Bloqueado",AND('E08 — Estabilização Hypercare'!$N144="🆕 Evolução Identificada — Nova Demanda Aberta",'E08 — Estabilização Hypercare'!$U144="")),"Bloqueado",IF(AND('E08 — Estabilização Hypercare'!$E144="✔ Concluído",'E08 — Estabilização Hypercare'!$F144="✔ Concluído",'E08 — Estabilização Hypercare'!$G144="✔ Concluído",OR('E08 — Estabilização Hypercare'!$H144="✔ Concluído",'E08 — Estabilização Hypercare'!$H144="N/A"),'E08 — Estabilização Hypercare'!$I144="✔ Concluído",'E08 — Estabilização Hypercare'!$J144="✔ Concluído",OR('E08 — Estabilização Hypercare'!$N144="✅ Estável — Demanda Encerrada",AND('E08 — Estabilização Hypercare'!$N144="🆕 Evolução Identificada — Nova Demanda Aberta",'E08 — Estabilização Hypercare'!$U144&lt;&gt;""))),"Concluído",IF(OR(COUNTIF('E08 — Estabilização Hypercare'!$E144:$J144,"✔ Concluído")&gt;0,COUNTIF('E08 — Estabilização Hypercare'!$E144:$J144,"🔄 Em andamento")&gt;0,'E08 — Estabilização Hypercare'!$N144&lt;&gt;""),"Em andamento","Não iniciado")))))</f>
        <v/>
      </c>
      <c r="M162" s="236" t="str" cm="1">
        <f t="array" ref="M162">IF(B162="","",_xlfn.IFS(E162&lt;&gt;"Concluído","E1 — Solicitação",F162&lt;&gt;"Concluído","E2 — Triagem",G162&lt;&gt;"Concluído","E3 — Levantamento ⚠",H162&lt;&gt;"Concluído","E4 — Execução",I162&lt;&gt;"Concluído","E5 — Validação ⚠",AND(J162&lt;&gt;"Concluído",J162&lt;&gt;"N/A"),"E6 — Ajustes",K162&lt;&gt;"Concluído","E7 — Entrega",L162&lt;&gt;"Concluído","E08 — Estabilização / Hypercare",TRUE,"✔ Fluxo concluído"))</f>
        <v/>
      </c>
      <c r="N162" s="237" t="str">
        <f t="shared" si="2"/>
        <v/>
      </c>
      <c r="O162" s="238"/>
    </row>
    <row r="163" spans="2:15" ht="15" customHeight="1" x14ac:dyDescent="0.35">
      <c r="B163" s="234" t="str">
        <f>IF(Lançamentos!$B140="","",Lançamentos!$B140)</f>
        <v/>
      </c>
      <c r="C163" s="235" t="str">
        <f>IF($B163="","",Lançamentos!$J140)</f>
        <v/>
      </c>
      <c r="D163" s="235" t="str">
        <f>IF($B163="","",Lançamentos!$H140)</f>
        <v/>
      </c>
      <c r="E163" s="234" t="str">
        <f>IF($B163="","",IF(COUNTIF(Lançamentos!$B$3:$B$1001,$B163)=0,"Bloqueado",IF(COUNTIF('E1 — Solicitação'!$E145:$L145,"⛔ Bloqueado")&gt;0,"Bloqueado",IF(COUNTIF('E1 — Solicitação'!$E145:$L145,"N/A")=8,"Bloqueado",IF(COUNTIF('E1 — Solicitação'!$E145:$L145,"✔ Concluído")+COUNTIF('E1 — Solicitação'!$E145:$L145,"N/A")=8,"Concluído",IF(COUNTIF('E1 — Solicitação'!$E145:$L145,"✔ Concluído")+COUNTIF('E1 — Solicitação'!$E145:$L145,"🔄 Em andamento")&gt;0,"Em andamento","Não iniciado"))))))</f>
        <v/>
      </c>
      <c r="F163" s="234" t="str">
        <f>IF($B163="","",IF($E163&lt;&gt;"Concluído","Não iniciado",IF(COUNTIF(Lançamentos!$B$3:$B$1001,$B163)=0,"Bloqueado",IF('E2 — Triagem'!$D145="","Bloqueado",IF(COUNTIF('E2 — Triagem'!$E145:$L145,"N/A")=8,"Bloqueado",IF(COUNTIF('E2 — Triagem'!$E145:$L145,"⛔ Bloqueado")&gt;0,"Bloqueado",IF(COUNTIF('E2 — Triagem'!$E145:$L145,"✔ Concluído")+COUNTIF('E2 — Triagem'!$E145:$L145,"N/A")=8,"Concluído",IF(COUNTIF('E2 — Triagem'!$E145:$L145,"✔ Concluído")+COUNTIF('E2 — Triagem'!$E145:$L145,"🔄 Em andamento")&gt;0,"Em andamento","Não iniciado"))))))))</f>
        <v/>
      </c>
      <c r="G163" s="234" t="str">
        <f>IF($B163="","",IF($F163&lt;&gt;"Concluído","Não iniciado",IF(COUNTIF(Lançamentos!$B$3:$B$1001,$B163)=0,"Bloqueado",IF('E3 — Levantamento'!$D145="","Bloqueado",IF(COUNTIF('E3 — Levantamento'!$E145:$I145,"⛔ Bloqueado")&gt;0,"Bloqueado",IF('E3 — Levantamento'!$I145="N/A","Bloqueado",IF(COUNTIF('E3 — Levantamento'!$E145:$I145,"✔ Concluído")=5,"Concluído",IF(COUNTIF('E3 — Levantamento'!$E145:$I145,"✔ Concluído")+COUNTIF('E3 — Levantamento'!$E145:$I145,"🔄 Em andamento")&gt;0,"Em andamento","Não iniciado"))))))))</f>
        <v/>
      </c>
      <c r="H163" s="234" t="str">
        <f>IF($B163="","",IF($G163&lt;&gt;"Concluído","Não iniciado",IF(COUNTIF(Lançamentos!$B$3:$B$1001,$B163)=0,"Bloqueado",IF('E4 — Execução'!$D145="","Bloqueado",IF(COUNTIF('E4 — Execução'!$E145:$K145,"⛔ Bloqueado")&gt;0,"Bloqueado",IF(COUNTIF('E4 — Execução'!$E145:$K145,"✔ Concluído")=7,"Concluído",IF(COUNTIF('E4 — Execução'!$E145:$K145,"✔ Concluído")+COUNTIF('E4 — Execução'!$E145:$K145,"🔄 Em andamento")&gt;0,"Em andamento","Não iniciado")))))))</f>
        <v/>
      </c>
      <c r="I163" s="234" t="str">
        <f>IF($B163="","",IF($H163&lt;&gt;"Concluído","Não iniciado",IF(COUNTIF(Lançamentos!$B$3:$B$1001,$B163)=0,"Bloqueado",IF('E5 — Validação'!$D145="","Bloqueado",IF(COUNTIF('E5 — Validação'!$E145:$I145,"⛔ Bloqueado")&gt;0,"Bloqueado",IF('E5 — Validação'!$I145="N/A","Bloqueado",IF(AND('E5 — Validação'!$E145="✔ Concluído",'E5 — Validação'!$F145="✔ Concluído",OR('E5 — Validação'!$G145="✔ Concluído",'E5 — Validação'!$G145="N/A"),'E5 — Validação'!$H145="✔ Concluído",'E5 — Validação'!$I145="✔ Concluído"),"Concluído",IF(COUNTIF('E5 — Validação'!$E145:$I145,"✔ Concluído")+COUNTIF('E5 — Validação'!$E145:$I145,"🔄 Em andamento")&gt;0,"Em andamento","Não iniciado"))))))))</f>
        <v/>
      </c>
      <c r="J163" s="234" t="str">
        <f>IF($B163="","",IF($I163&lt;&gt;"Concluído","Não iniciado",IF('E6 — Ajustes'!$N145="Não","N/A",IF(COUNTIF(Lançamentos!$B$3:$B$1001,$B163)=0,"Bloqueado",IF('E6 — Ajustes'!$D145="","Bloqueado",IF(COUNTIF('E6 — Ajustes'!$E145:$J145,"⛔ Bloqueado")&gt;0,"Bloqueado",IF(AND('E6 — Ajustes'!$E145="✔ Concluído",'E6 — Ajustes'!$F145="✔ Concluído",'E6 — Ajustes'!$G145="✔ Concluído",'E6 — Ajustes'!$H145="✔ Concluído",OR('E6 — Ajustes'!$I145="✔ Concluído",'E6 — Ajustes'!$I145="N/A"),'E6 — Ajustes'!$J145="✔ Concluído"),"Concluído",IF(COUNTIF('E6 — Ajustes'!$E145:$J145,"✔ Concluído")+COUNTIF('E6 — Ajustes'!$E145:$J145,"🔄 Em andamento")&gt;0,"Em andamento","Não iniciado"))))))))</f>
        <v/>
      </c>
      <c r="K163" s="234" t="str">
        <f>IF($B163="","",IF($I163&lt;&gt;"Concluído","Não iniciado",IF(AND($J163&lt;&gt;"Concluído",$J163&lt;&gt;"N/A"),"Não iniciado",IF(COUNTIF(Lançamentos!$B$3:$B$1001,$B163)=0,"Bloqueado",IF('E7 — Entrega'!$D145="","Bloqueado",IF(COUNTIF('E7 — Entrega'!$E145:$H145,"⛔ Bloqueado")&gt;0,"Bloqueado",IF(COUNTIF('E7 — Entrega'!$E145:$H145,"✔ Concluído")=4,"Concluído",IF(COUNTIF('E7 — Entrega'!$E145:$H145,"✔ Concluído")+COUNTIF('E7 — Entrega'!$E145:$H145,"🔄 Em andamento")&gt;0,"Em andamento","Não iniciado"))))))))</f>
        <v/>
      </c>
      <c r="L163" s="234" t="str">
        <f>IF($B163="","",IF($K163&lt;&gt;"Concluído","Não iniciado",IF(OR(COUNTIF('E08 — Estabilização Hypercare'!$E145:$J145,"⛔ Bloqueado")&gt;0,'E08 — Estabilização Hypercare'!$N145="⛔ Incidente Crítico — Encerramento Bloqueado",AND('E08 — Estabilização Hypercare'!$N145="🆕 Evolução Identificada — Nova Demanda Aberta",'E08 — Estabilização Hypercare'!$U145="")),"Bloqueado",IF(AND('E08 — Estabilização Hypercare'!$E145="✔ Concluído",'E08 — Estabilização Hypercare'!$F145="✔ Concluído",'E08 — Estabilização Hypercare'!$G145="✔ Concluído",OR('E08 — Estabilização Hypercare'!$H145="✔ Concluído",'E08 — Estabilização Hypercare'!$H145="N/A"),'E08 — Estabilização Hypercare'!$I145="✔ Concluído",'E08 — Estabilização Hypercare'!$J145="✔ Concluído",OR('E08 — Estabilização Hypercare'!$N145="✅ Estável — Demanda Encerrada",AND('E08 — Estabilização Hypercare'!$N145="🆕 Evolução Identificada — Nova Demanda Aberta",'E08 — Estabilização Hypercare'!$U145&lt;&gt;""))),"Concluído",IF(OR(COUNTIF('E08 — Estabilização Hypercare'!$E145:$J145,"✔ Concluído")&gt;0,COUNTIF('E08 — Estabilização Hypercare'!$E145:$J145,"🔄 Em andamento")&gt;0,'E08 — Estabilização Hypercare'!$N145&lt;&gt;""),"Em andamento","Não iniciado")))))</f>
        <v/>
      </c>
      <c r="M163" s="236" t="str" cm="1">
        <f t="array" ref="M163">IF(B163="","",_xlfn.IFS(E163&lt;&gt;"Concluído","E1 — Solicitação",F163&lt;&gt;"Concluído","E2 — Triagem",G163&lt;&gt;"Concluído","E3 — Levantamento ⚠",H163&lt;&gt;"Concluído","E4 — Execução",I163&lt;&gt;"Concluído","E5 — Validação ⚠",AND(J163&lt;&gt;"Concluído",J163&lt;&gt;"N/A"),"E6 — Ajustes",K163&lt;&gt;"Concluído","E7 — Entrega",L163&lt;&gt;"Concluído","E08 — Estabilização / Hypercare",TRUE,"✔ Fluxo concluído"))</f>
        <v/>
      </c>
      <c r="N163" s="237" t="str">
        <f t="shared" si="2"/>
        <v/>
      </c>
      <c r="O163" s="238"/>
    </row>
    <row r="164" spans="2:15" ht="15" customHeight="1" x14ac:dyDescent="0.35">
      <c r="B164" s="234" t="str">
        <f>IF(Lançamentos!$B141="","",Lançamentos!$B141)</f>
        <v/>
      </c>
      <c r="C164" s="235" t="str">
        <f>IF($B164="","",Lançamentos!$J141)</f>
        <v/>
      </c>
      <c r="D164" s="235" t="str">
        <f>IF($B164="","",Lançamentos!$H141)</f>
        <v/>
      </c>
      <c r="E164" s="234" t="str">
        <f>IF($B164="","",IF(COUNTIF(Lançamentos!$B$3:$B$1001,$B164)=0,"Bloqueado",IF(COUNTIF('E1 — Solicitação'!$E146:$L146,"⛔ Bloqueado")&gt;0,"Bloqueado",IF(COUNTIF('E1 — Solicitação'!$E146:$L146,"N/A")=8,"Bloqueado",IF(COUNTIF('E1 — Solicitação'!$E146:$L146,"✔ Concluído")+COUNTIF('E1 — Solicitação'!$E146:$L146,"N/A")=8,"Concluído",IF(COUNTIF('E1 — Solicitação'!$E146:$L146,"✔ Concluído")+COUNTIF('E1 — Solicitação'!$E146:$L146,"🔄 Em andamento")&gt;0,"Em andamento","Não iniciado"))))))</f>
        <v/>
      </c>
      <c r="F164" s="234" t="str">
        <f>IF($B164="","",IF($E164&lt;&gt;"Concluído","Não iniciado",IF(COUNTIF(Lançamentos!$B$3:$B$1001,$B164)=0,"Bloqueado",IF('E2 — Triagem'!$D146="","Bloqueado",IF(COUNTIF('E2 — Triagem'!$E146:$L146,"N/A")=8,"Bloqueado",IF(COUNTIF('E2 — Triagem'!$E146:$L146,"⛔ Bloqueado")&gt;0,"Bloqueado",IF(COUNTIF('E2 — Triagem'!$E146:$L146,"✔ Concluído")+COUNTIF('E2 — Triagem'!$E146:$L146,"N/A")=8,"Concluído",IF(COUNTIF('E2 — Triagem'!$E146:$L146,"✔ Concluído")+COUNTIF('E2 — Triagem'!$E146:$L146,"🔄 Em andamento")&gt;0,"Em andamento","Não iniciado"))))))))</f>
        <v/>
      </c>
      <c r="G164" s="234" t="str">
        <f>IF($B164="","",IF($F164&lt;&gt;"Concluído","Não iniciado",IF(COUNTIF(Lançamentos!$B$3:$B$1001,$B164)=0,"Bloqueado",IF('E3 — Levantamento'!$D146="","Bloqueado",IF(COUNTIF('E3 — Levantamento'!$E146:$I146,"⛔ Bloqueado")&gt;0,"Bloqueado",IF('E3 — Levantamento'!$I146="N/A","Bloqueado",IF(COUNTIF('E3 — Levantamento'!$E146:$I146,"✔ Concluído")=5,"Concluído",IF(COUNTIF('E3 — Levantamento'!$E146:$I146,"✔ Concluído")+COUNTIF('E3 — Levantamento'!$E146:$I146,"🔄 Em andamento")&gt;0,"Em andamento","Não iniciado"))))))))</f>
        <v/>
      </c>
      <c r="H164" s="234" t="str">
        <f>IF($B164="","",IF($G164&lt;&gt;"Concluído","Não iniciado",IF(COUNTIF(Lançamentos!$B$3:$B$1001,$B164)=0,"Bloqueado",IF('E4 — Execução'!$D146="","Bloqueado",IF(COUNTIF('E4 — Execução'!$E146:$K146,"⛔ Bloqueado")&gt;0,"Bloqueado",IF(COUNTIF('E4 — Execução'!$E146:$K146,"✔ Concluído")=7,"Concluído",IF(COUNTIF('E4 — Execução'!$E146:$K146,"✔ Concluído")+COUNTIF('E4 — Execução'!$E146:$K146,"🔄 Em andamento")&gt;0,"Em andamento","Não iniciado")))))))</f>
        <v/>
      </c>
      <c r="I164" s="234" t="str">
        <f>IF($B164="","",IF($H164&lt;&gt;"Concluído","Não iniciado",IF(COUNTIF(Lançamentos!$B$3:$B$1001,$B164)=0,"Bloqueado",IF('E5 — Validação'!$D146="","Bloqueado",IF(COUNTIF('E5 — Validação'!$E146:$I146,"⛔ Bloqueado")&gt;0,"Bloqueado",IF('E5 — Validação'!$I146="N/A","Bloqueado",IF(AND('E5 — Validação'!$E146="✔ Concluído",'E5 — Validação'!$F146="✔ Concluído",OR('E5 — Validação'!$G146="✔ Concluído",'E5 — Validação'!$G146="N/A"),'E5 — Validação'!$H146="✔ Concluído",'E5 — Validação'!$I146="✔ Concluído"),"Concluído",IF(COUNTIF('E5 — Validação'!$E146:$I146,"✔ Concluído")+COUNTIF('E5 — Validação'!$E146:$I146,"🔄 Em andamento")&gt;0,"Em andamento","Não iniciado"))))))))</f>
        <v/>
      </c>
      <c r="J164" s="234" t="str">
        <f>IF($B164="","",IF($I164&lt;&gt;"Concluído","Não iniciado",IF('E6 — Ajustes'!$N146="Não","N/A",IF(COUNTIF(Lançamentos!$B$3:$B$1001,$B164)=0,"Bloqueado",IF('E6 — Ajustes'!$D146="","Bloqueado",IF(COUNTIF('E6 — Ajustes'!$E146:$J146,"⛔ Bloqueado")&gt;0,"Bloqueado",IF(AND('E6 — Ajustes'!$E146="✔ Concluído",'E6 — Ajustes'!$F146="✔ Concluído",'E6 — Ajustes'!$G146="✔ Concluído",'E6 — Ajustes'!$H146="✔ Concluído",OR('E6 — Ajustes'!$I146="✔ Concluído",'E6 — Ajustes'!$I146="N/A"),'E6 — Ajustes'!$J146="✔ Concluído"),"Concluído",IF(COUNTIF('E6 — Ajustes'!$E146:$J146,"✔ Concluído")+COUNTIF('E6 — Ajustes'!$E146:$J146,"🔄 Em andamento")&gt;0,"Em andamento","Não iniciado"))))))))</f>
        <v/>
      </c>
      <c r="K164" s="234" t="str">
        <f>IF($B164="","",IF($I164&lt;&gt;"Concluído","Não iniciado",IF(AND($J164&lt;&gt;"Concluído",$J164&lt;&gt;"N/A"),"Não iniciado",IF(COUNTIF(Lançamentos!$B$3:$B$1001,$B164)=0,"Bloqueado",IF('E7 — Entrega'!$D146="","Bloqueado",IF(COUNTIF('E7 — Entrega'!$E146:$H146,"⛔ Bloqueado")&gt;0,"Bloqueado",IF(COUNTIF('E7 — Entrega'!$E146:$H146,"✔ Concluído")=4,"Concluído",IF(COUNTIF('E7 — Entrega'!$E146:$H146,"✔ Concluído")+COUNTIF('E7 — Entrega'!$E146:$H146,"🔄 Em andamento")&gt;0,"Em andamento","Não iniciado"))))))))</f>
        <v/>
      </c>
      <c r="L164" s="234" t="str">
        <f>IF($B164="","",IF($K164&lt;&gt;"Concluído","Não iniciado",IF(OR(COUNTIF('E08 — Estabilização Hypercare'!$E146:$J146,"⛔ Bloqueado")&gt;0,'E08 — Estabilização Hypercare'!$N146="⛔ Incidente Crítico — Encerramento Bloqueado",AND('E08 — Estabilização Hypercare'!$N146="🆕 Evolução Identificada — Nova Demanda Aberta",'E08 — Estabilização Hypercare'!$U146="")),"Bloqueado",IF(AND('E08 — Estabilização Hypercare'!$E146="✔ Concluído",'E08 — Estabilização Hypercare'!$F146="✔ Concluído",'E08 — Estabilização Hypercare'!$G146="✔ Concluído",OR('E08 — Estabilização Hypercare'!$H146="✔ Concluído",'E08 — Estabilização Hypercare'!$H146="N/A"),'E08 — Estabilização Hypercare'!$I146="✔ Concluído",'E08 — Estabilização Hypercare'!$J146="✔ Concluído",OR('E08 — Estabilização Hypercare'!$N146="✅ Estável — Demanda Encerrada",AND('E08 — Estabilização Hypercare'!$N146="🆕 Evolução Identificada — Nova Demanda Aberta",'E08 — Estabilização Hypercare'!$U146&lt;&gt;""))),"Concluído",IF(OR(COUNTIF('E08 — Estabilização Hypercare'!$E146:$J146,"✔ Concluído")&gt;0,COUNTIF('E08 — Estabilização Hypercare'!$E146:$J146,"🔄 Em andamento")&gt;0,'E08 — Estabilização Hypercare'!$N146&lt;&gt;""),"Em andamento","Não iniciado")))))</f>
        <v/>
      </c>
      <c r="M164" s="236" t="str" cm="1">
        <f t="array" ref="M164">IF(B164="","",_xlfn.IFS(E164&lt;&gt;"Concluído","E1 — Solicitação",F164&lt;&gt;"Concluído","E2 — Triagem",G164&lt;&gt;"Concluído","E3 — Levantamento ⚠",H164&lt;&gt;"Concluído","E4 — Execução",I164&lt;&gt;"Concluído","E5 — Validação ⚠",AND(J164&lt;&gt;"Concluído",J164&lt;&gt;"N/A"),"E6 — Ajustes",K164&lt;&gt;"Concluído","E7 — Entrega",L164&lt;&gt;"Concluído","E08 — Estabilização / Hypercare",TRUE,"✔ Fluxo concluído"))</f>
        <v/>
      </c>
      <c r="N164" s="237" t="str">
        <f t="shared" si="2"/>
        <v/>
      </c>
      <c r="O164" s="238"/>
    </row>
    <row r="165" spans="2:15" ht="15" customHeight="1" x14ac:dyDescent="0.35">
      <c r="B165" s="234" t="str">
        <f>IF(Lançamentos!$B142="","",Lançamentos!$B142)</f>
        <v/>
      </c>
      <c r="C165" s="235" t="str">
        <f>IF($B165="","",Lançamentos!$J142)</f>
        <v/>
      </c>
      <c r="D165" s="235" t="str">
        <f>IF($B165="","",Lançamentos!$H142)</f>
        <v/>
      </c>
      <c r="E165" s="234" t="str">
        <f>IF($B165="","",IF(COUNTIF(Lançamentos!$B$3:$B$1001,$B165)=0,"Bloqueado",IF(COUNTIF('E1 — Solicitação'!$E147:$L147,"⛔ Bloqueado")&gt;0,"Bloqueado",IF(COUNTIF('E1 — Solicitação'!$E147:$L147,"N/A")=8,"Bloqueado",IF(COUNTIF('E1 — Solicitação'!$E147:$L147,"✔ Concluído")+COUNTIF('E1 — Solicitação'!$E147:$L147,"N/A")=8,"Concluído",IF(COUNTIF('E1 — Solicitação'!$E147:$L147,"✔ Concluído")+COUNTIF('E1 — Solicitação'!$E147:$L147,"🔄 Em andamento")&gt;0,"Em andamento","Não iniciado"))))))</f>
        <v/>
      </c>
      <c r="F165" s="234" t="str">
        <f>IF($B165="","",IF($E165&lt;&gt;"Concluído","Não iniciado",IF(COUNTIF(Lançamentos!$B$3:$B$1001,$B165)=0,"Bloqueado",IF('E2 — Triagem'!$D147="","Bloqueado",IF(COUNTIF('E2 — Triagem'!$E147:$L147,"N/A")=8,"Bloqueado",IF(COUNTIF('E2 — Triagem'!$E147:$L147,"⛔ Bloqueado")&gt;0,"Bloqueado",IF(COUNTIF('E2 — Triagem'!$E147:$L147,"✔ Concluído")+COUNTIF('E2 — Triagem'!$E147:$L147,"N/A")=8,"Concluído",IF(COUNTIF('E2 — Triagem'!$E147:$L147,"✔ Concluído")+COUNTIF('E2 — Triagem'!$E147:$L147,"🔄 Em andamento")&gt;0,"Em andamento","Não iniciado"))))))))</f>
        <v/>
      </c>
      <c r="G165" s="234" t="str">
        <f>IF($B165="","",IF($F165&lt;&gt;"Concluído","Não iniciado",IF(COUNTIF(Lançamentos!$B$3:$B$1001,$B165)=0,"Bloqueado",IF('E3 — Levantamento'!$D147="","Bloqueado",IF(COUNTIF('E3 — Levantamento'!$E147:$I147,"⛔ Bloqueado")&gt;0,"Bloqueado",IF('E3 — Levantamento'!$I147="N/A","Bloqueado",IF(COUNTIF('E3 — Levantamento'!$E147:$I147,"✔ Concluído")=5,"Concluído",IF(COUNTIF('E3 — Levantamento'!$E147:$I147,"✔ Concluído")+COUNTIF('E3 — Levantamento'!$E147:$I147,"🔄 Em andamento")&gt;0,"Em andamento","Não iniciado"))))))))</f>
        <v/>
      </c>
      <c r="H165" s="234" t="str">
        <f>IF($B165="","",IF($G165&lt;&gt;"Concluído","Não iniciado",IF(COUNTIF(Lançamentos!$B$3:$B$1001,$B165)=0,"Bloqueado",IF('E4 — Execução'!$D147="","Bloqueado",IF(COUNTIF('E4 — Execução'!$E147:$K147,"⛔ Bloqueado")&gt;0,"Bloqueado",IF(COUNTIF('E4 — Execução'!$E147:$K147,"✔ Concluído")=7,"Concluído",IF(COUNTIF('E4 — Execução'!$E147:$K147,"✔ Concluído")+COUNTIF('E4 — Execução'!$E147:$K147,"🔄 Em andamento")&gt;0,"Em andamento","Não iniciado")))))))</f>
        <v/>
      </c>
      <c r="I165" s="234" t="str">
        <f>IF($B165="","",IF($H165&lt;&gt;"Concluído","Não iniciado",IF(COUNTIF(Lançamentos!$B$3:$B$1001,$B165)=0,"Bloqueado",IF('E5 — Validação'!$D147="","Bloqueado",IF(COUNTIF('E5 — Validação'!$E147:$I147,"⛔ Bloqueado")&gt;0,"Bloqueado",IF('E5 — Validação'!$I147="N/A","Bloqueado",IF(AND('E5 — Validação'!$E147="✔ Concluído",'E5 — Validação'!$F147="✔ Concluído",OR('E5 — Validação'!$G147="✔ Concluído",'E5 — Validação'!$G147="N/A"),'E5 — Validação'!$H147="✔ Concluído",'E5 — Validação'!$I147="✔ Concluído"),"Concluído",IF(COUNTIF('E5 — Validação'!$E147:$I147,"✔ Concluído")+COUNTIF('E5 — Validação'!$E147:$I147,"🔄 Em andamento")&gt;0,"Em andamento","Não iniciado"))))))))</f>
        <v/>
      </c>
      <c r="J165" s="234" t="str">
        <f>IF($B165="","",IF($I165&lt;&gt;"Concluído","Não iniciado",IF('E6 — Ajustes'!$N147="Não","N/A",IF(COUNTIF(Lançamentos!$B$3:$B$1001,$B165)=0,"Bloqueado",IF('E6 — Ajustes'!$D147="","Bloqueado",IF(COUNTIF('E6 — Ajustes'!$E147:$J147,"⛔ Bloqueado")&gt;0,"Bloqueado",IF(AND('E6 — Ajustes'!$E147="✔ Concluído",'E6 — Ajustes'!$F147="✔ Concluído",'E6 — Ajustes'!$G147="✔ Concluído",'E6 — Ajustes'!$H147="✔ Concluído",OR('E6 — Ajustes'!$I147="✔ Concluído",'E6 — Ajustes'!$I147="N/A"),'E6 — Ajustes'!$J147="✔ Concluído"),"Concluído",IF(COUNTIF('E6 — Ajustes'!$E147:$J147,"✔ Concluído")+COUNTIF('E6 — Ajustes'!$E147:$J147,"🔄 Em andamento")&gt;0,"Em andamento","Não iniciado"))))))))</f>
        <v/>
      </c>
      <c r="K165" s="234" t="str">
        <f>IF($B165="","",IF($I165&lt;&gt;"Concluído","Não iniciado",IF(AND($J165&lt;&gt;"Concluído",$J165&lt;&gt;"N/A"),"Não iniciado",IF(COUNTIF(Lançamentos!$B$3:$B$1001,$B165)=0,"Bloqueado",IF('E7 — Entrega'!$D147="","Bloqueado",IF(COUNTIF('E7 — Entrega'!$E147:$H147,"⛔ Bloqueado")&gt;0,"Bloqueado",IF(COUNTIF('E7 — Entrega'!$E147:$H147,"✔ Concluído")=4,"Concluído",IF(COUNTIF('E7 — Entrega'!$E147:$H147,"✔ Concluído")+COUNTIF('E7 — Entrega'!$E147:$H147,"🔄 Em andamento")&gt;0,"Em andamento","Não iniciado"))))))))</f>
        <v/>
      </c>
      <c r="L165" s="234" t="str">
        <f>IF($B165="","",IF($K165&lt;&gt;"Concluído","Não iniciado",IF(OR(COUNTIF('E08 — Estabilização Hypercare'!$E147:$J147,"⛔ Bloqueado")&gt;0,'E08 — Estabilização Hypercare'!$N147="⛔ Incidente Crítico — Encerramento Bloqueado",AND('E08 — Estabilização Hypercare'!$N147="🆕 Evolução Identificada — Nova Demanda Aberta",'E08 — Estabilização Hypercare'!$U147="")),"Bloqueado",IF(AND('E08 — Estabilização Hypercare'!$E147="✔ Concluído",'E08 — Estabilização Hypercare'!$F147="✔ Concluído",'E08 — Estabilização Hypercare'!$G147="✔ Concluído",OR('E08 — Estabilização Hypercare'!$H147="✔ Concluído",'E08 — Estabilização Hypercare'!$H147="N/A"),'E08 — Estabilização Hypercare'!$I147="✔ Concluído",'E08 — Estabilização Hypercare'!$J147="✔ Concluído",OR('E08 — Estabilização Hypercare'!$N147="✅ Estável — Demanda Encerrada",AND('E08 — Estabilização Hypercare'!$N147="🆕 Evolução Identificada — Nova Demanda Aberta",'E08 — Estabilização Hypercare'!$U147&lt;&gt;""))),"Concluído",IF(OR(COUNTIF('E08 — Estabilização Hypercare'!$E147:$J147,"✔ Concluído")&gt;0,COUNTIF('E08 — Estabilização Hypercare'!$E147:$J147,"🔄 Em andamento")&gt;0,'E08 — Estabilização Hypercare'!$N147&lt;&gt;""),"Em andamento","Não iniciado")))))</f>
        <v/>
      </c>
      <c r="M165" s="236" t="str" cm="1">
        <f t="array" ref="M165">IF(B165="","",_xlfn.IFS(E165&lt;&gt;"Concluído","E1 — Solicitação",F165&lt;&gt;"Concluído","E2 — Triagem",G165&lt;&gt;"Concluído","E3 — Levantamento ⚠",H165&lt;&gt;"Concluído","E4 — Execução",I165&lt;&gt;"Concluído","E5 — Validação ⚠",AND(J165&lt;&gt;"Concluído",J165&lt;&gt;"N/A"),"E6 — Ajustes",K165&lt;&gt;"Concluído","E7 — Entrega",L165&lt;&gt;"Concluído","E08 — Estabilização / Hypercare",TRUE,"✔ Fluxo concluído"))</f>
        <v/>
      </c>
      <c r="N165" s="237" t="str">
        <f t="shared" si="2"/>
        <v/>
      </c>
      <c r="O165" s="238"/>
    </row>
    <row r="166" spans="2:15" ht="15" customHeight="1" x14ac:dyDescent="0.35">
      <c r="B166" s="234" t="str">
        <f>IF(Lançamentos!$B143="","",Lançamentos!$B143)</f>
        <v/>
      </c>
      <c r="C166" s="235" t="str">
        <f>IF($B166="","",Lançamentos!$J143)</f>
        <v/>
      </c>
      <c r="D166" s="235" t="str">
        <f>IF($B166="","",Lançamentos!$H143)</f>
        <v/>
      </c>
      <c r="E166" s="234" t="str">
        <f>IF($B166="","",IF(COUNTIF(Lançamentos!$B$3:$B$1001,$B166)=0,"Bloqueado",IF(COUNTIF('E1 — Solicitação'!$E148:$L148,"⛔ Bloqueado")&gt;0,"Bloqueado",IF(COUNTIF('E1 — Solicitação'!$E148:$L148,"N/A")=8,"Bloqueado",IF(COUNTIF('E1 — Solicitação'!$E148:$L148,"✔ Concluído")+COUNTIF('E1 — Solicitação'!$E148:$L148,"N/A")=8,"Concluído",IF(COUNTIF('E1 — Solicitação'!$E148:$L148,"✔ Concluído")+COUNTIF('E1 — Solicitação'!$E148:$L148,"🔄 Em andamento")&gt;0,"Em andamento","Não iniciado"))))))</f>
        <v/>
      </c>
      <c r="F166" s="234" t="str">
        <f>IF($B166="","",IF($E166&lt;&gt;"Concluído","Não iniciado",IF(COUNTIF(Lançamentos!$B$3:$B$1001,$B166)=0,"Bloqueado",IF('E2 — Triagem'!$D148="","Bloqueado",IF(COUNTIF('E2 — Triagem'!$E148:$L148,"N/A")=8,"Bloqueado",IF(COUNTIF('E2 — Triagem'!$E148:$L148,"⛔ Bloqueado")&gt;0,"Bloqueado",IF(COUNTIF('E2 — Triagem'!$E148:$L148,"✔ Concluído")+COUNTIF('E2 — Triagem'!$E148:$L148,"N/A")=8,"Concluído",IF(COUNTIF('E2 — Triagem'!$E148:$L148,"✔ Concluído")+COUNTIF('E2 — Triagem'!$E148:$L148,"🔄 Em andamento")&gt;0,"Em andamento","Não iniciado"))))))))</f>
        <v/>
      </c>
      <c r="G166" s="234" t="str">
        <f>IF($B166="","",IF($F166&lt;&gt;"Concluído","Não iniciado",IF(COUNTIF(Lançamentos!$B$3:$B$1001,$B166)=0,"Bloqueado",IF('E3 — Levantamento'!$D148="","Bloqueado",IF(COUNTIF('E3 — Levantamento'!$E148:$I148,"⛔ Bloqueado")&gt;0,"Bloqueado",IF('E3 — Levantamento'!$I148="N/A","Bloqueado",IF(COUNTIF('E3 — Levantamento'!$E148:$I148,"✔ Concluído")=5,"Concluído",IF(COUNTIF('E3 — Levantamento'!$E148:$I148,"✔ Concluído")+COUNTIF('E3 — Levantamento'!$E148:$I148,"🔄 Em andamento")&gt;0,"Em andamento","Não iniciado"))))))))</f>
        <v/>
      </c>
      <c r="H166" s="234" t="str">
        <f>IF($B166="","",IF($G166&lt;&gt;"Concluído","Não iniciado",IF(COUNTIF(Lançamentos!$B$3:$B$1001,$B166)=0,"Bloqueado",IF('E4 — Execução'!$D148="","Bloqueado",IF(COUNTIF('E4 — Execução'!$E148:$K148,"⛔ Bloqueado")&gt;0,"Bloqueado",IF(COUNTIF('E4 — Execução'!$E148:$K148,"✔ Concluído")=7,"Concluído",IF(COUNTIF('E4 — Execução'!$E148:$K148,"✔ Concluído")+COUNTIF('E4 — Execução'!$E148:$K148,"🔄 Em andamento")&gt;0,"Em andamento","Não iniciado")))))))</f>
        <v/>
      </c>
      <c r="I166" s="234" t="str">
        <f>IF($B166="","",IF($H166&lt;&gt;"Concluído","Não iniciado",IF(COUNTIF(Lançamentos!$B$3:$B$1001,$B166)=0,"Bloqueado",IF('E5 — Validação'!$D148="","Bloqueado",IF(COUNTIF('E5 — Validação'!$E148:$I148,"⛔ Bloqueado")&gt;0,"Bloqueado",IF('E5 — Validação'!$I148="N/A","Bloqueado",IF(AND('E5 — Validação'!$E148="✔ Concluído",'E5 — Validação'!$F148="✔ Concluído",OR('E5 — Validação'!$G148="✔ Concluído",'E5 — Validação'!$G148="N/A"),'E5 — Validação'!$H148="✔ Concluído",'E5 — Validação'!$I148="✔ Concluído"),"Concluído",IF(COUNTIF('E5 — Validação'!$E148:$I148,"✔ Concluído")+COUNTIF('E5 — Validação'!$E148:$I148,"🔄 Em andamento")&gt;0,"Em andamento","Não iniciado"))))))))</f>
        <v/>
      </c>
      <c r="J166" s="234" t="str">
        <f>IF($B166="","",IF($I166&lt;&gt;"Concluído","Não iniciado",IF('E6 — Ajustes'!$N148="Não","N/A",IF(COUNTIF(Lançamentos!$B$3:$B$1001,$B166)=0,"Bloqueado",IF('E6 — Ajustes'!$D148="","Bloqueado",IF(COUNTIF('E6 — Ajustes'!$E148:$J148,"⛔ Bloqueado")&gt;0,"Bloqueado",IF(AND('E6 — Ajustes'!$E148="✔ Concluído",'E6 — Ajustes'!$F148="✔ Concluído",'E6 — Ajustes'!$G148="✔ Concluído",'E6 — Ajustes'!$H148="✔ Concluído",OR('E6 — Ajustes'!$I148="✔ Concluído",'E6 — Ajustes'!$I148="N/A"),'E6 — Ajustes'!$J148="✔ Concluído"),"Concluído",IF(COUNTIF('E6 — Ajustes'!$E148:$J148,"✔ Concluído")+COUNTIF('E6 — Ajustes'!$E148:$J148,"🔄 Em andamento")&gt;0,"Em andamento","Não iniciado"))))))))</f>
        <v/>
      </c>
      <c r="K166" s="234" t="str">
        <f>IF($B166="","",IF($I166&lt;&gt;"Concluído","Não iniciado",IF(AND($J166&lt;&gt;"Concluído",$J166&lt;&gt;"N/A"),"Não iniciado",IF(COUNTIF(Lançamentos!$B$3:$B$1001,$B166)=0,"Bloqueado",IF('E7 — Entrega'!$D148="","Bloqueado",IF(COUNTIF('E7 — Entrega'!$E148:$H148,"⛔ Bloqueado")&gt;0,"Bloqueado",IF(COUNTIF('E7 — Entrega'!$E148:$H148,"✔ Concluído")=4,"Concluído",IF(COUNTIF('E7 — Entrega'!$E148:$H148,"✔ Concluído")+COUNTIF('E7 — Entrega'!$E148:$H148,"🔄 Em andamento")&gt;0,"Em andamento","Não iniciado"))))))))</f>
        <v/>
      </c>
      <c r="L166" s="234" t="str">
        <f>IF($B166="","",IF($K166&lt;&gt;"Concluído","Não iniciado",IF(OR(COUNTIF('E08 — Estabilização Hypercare'!$E148:$J148,"⛔ Bloqueado")&gt;0,'E08 — Estabilização Hypercare'!$N148="⛔ Incidente Crítico — Encerramento Bloqueado",AND('E08 — Estabilização Hypercare'!$N148="🆕 Evolução Identificada — Nova Demanda Aberta",'E08 — Estabilização Hypercare'!$U148="")),"Bloqueado",IF(AND('E08 — Estabilização Hypercare'!$E148="✔ Concluído",'E08 — Estabilização Hypercare'!$F148="✔ Concluído",'E08 — Estabilização Hypercare'!$G148="✔ Concluído",OR('E08 — Estabilização Hypercare'!$H148="✔ Concluído",'E08 — Estabilização Hypercare'!$H148="N/A"),'E08 — Estabilização Hypercare'!$I148="✔ Concluído",'E08 — Estabilização Hypercare'!$J148="✔ Concluído",OR('E08 — Estabilização Hypercare'!$N148="✅ Estável — Demanda Encerrada",AND('E08 — Estabilização Hypercare'!$N148="🆕 Evolução Identificada — Nova Demanda Aberta",'E08 — Estabilização Hypercare'!$U148&lt;&gt;""))),"Concluído",IF(OR(COUNTIF('E08 — Estabilização Hypercare'!$E148:$J148,"✔ Concluído")&gt;0,COUNTIF('E08 — Estabilização Hypercare'!$E148:$J148,"🔄 Em andamento")&gt;0,'E08 — Estabilização Hypercare'!$N148&lt;&gt;""),"Em andamento","Não iniciado")))))</f>
        <v/>
      </c>
      <c r="M166" s="236" t="str" cm="1">
        <f t="array" ref="M166">IF(B166="","",_xlfn.IFS(E166&lt;&gt;"Concluído","E1 — Solicitação",F166&lt;&gt;"Concluído","E2 — Triagem",G166&lt;&gt;"Concluído","E3 — Levantamento ⚠",H166&lt;&gt;"Concluído","E4 — Execução",I166&lt;&gt;"Concluído","E5 — Validação ⚠",AND(J166&lt;&gt;"Concluído",J166&lt;&gt;"N/A"),"E6 — Ajustes",K166&lt;&gt;"Concluído","E7 — Entrega",L166&lt;&gt;"Concluído","E08 — Estabilização / Hypercare",TRUE,"✔ Fluxo concluído"))</f>
        <v/>
      </c>
      <c r="N166" s="237" t="str">
        <f t="shared" si="2"/>
        <v/>
      </c>
      <c r="O166" s="238"/>
    </row>
    <row r="167" spans="2:15" ht="15" customHeight="1" x14ac:dyDescent="0.35">
      <c r="B167" s="234" t="str">
        <f>IF(Lançamentos!$B144="","",Lançamentos!$B144)</f>
        <v/>
      </c>
      <c r="C167" s="235" t="str">
        <f>IF($B167="","",Lançamentos!$J144)</f>
        <v/>
      </c>
      <c r="D167" s="235" t="str">
        <f>IF($B167="","",Lançamentos!$H144)</f>
        <v/>
      </c>
      <c r="E167" s="234" t="str">
        <f>IF($B167="","",IF(COUNTIF(Lançamentos!$B$3:$B$1001,$B167)=0,"Bloqueado",IF(COUNTIF('E1 — Solicitação'!$E149:$L149,"⛔ Bloqueado")&gt;0,"Bloqueado",IF(COUNTIF('E1 — Solicitação'!$E149:$L149,"N/A")=8,"Bloqueado",IF(COUNTIF('E1 — Solicitação'!$E149:$L149,"✔ Concluído")+COUNTIF('E1 — Solicitação'!$E149:$L149,"N/A")=8,"Concluído",IF(COUNTIF('E1 — Solicitação'!$E149:$L149,"✔ Concluído")+COUNTIF('E1 — Solicitação'!$E149:$L149,"🔄 Em andamento")&gt;0,"Em andamento","Não iniciado"))))))</f>
        <v/>
      </c>
      <c r="F167" s="234" t="str">
        <f>IF($B167="","",IF($E167&lt;&gt;"Concluído","Não iniciado",IF(COUNTIF(Lançamentos!$B$3:$B$1001,$B167)=0,"Bloqueado",IF('E2 — Triagem'!$D149="","Bloqueado",IF(COUNTIF('E2 — Triagem'!$E149:$L149,"N/A")=8,"Bloqueado",IF(COUNTIF('E2 — Triagem'!$E149:$L149,"⛔ Bloqueado")&gt;0,"Bloqueado",IF(COUNTIF('E2 — Triagem'!$E149:$L149,"✔ Concluído")+COUNTIF('E2 — Triagem'!$E149:$L149,"N/A")=8,"Concluído",IF(COUNTIF('E2 — Triagem'!$E149:$L149,"✔ Concluído")+COUNTIF('E2 — Triagem'!$E149:$L149,"🔄 Em andamento")&gt;0,"Em andamento","Não iniciado"))))))))</f>
        <v/>
      </c>
      <c r="G167" s="234" t="str">
        <f>IF($B167="","",IF($F167&lt;&gt;"Concluído","Não iniciado",IF(COUNTIF(Lançamentos!$B$3:$B$1001,$B167)=0,"Bloqueado",IF('E3 — Levantamento'!$D149="","Bloqueado",IF(COUNTIF('E3 — Levantamento'!$E149:$I149,"⛔ Bloqueado")&gt;0,"Bloqueado",IF('E3 — Levantamento'!$I149="N/A","Bloqueado",IF(COUNTIF('E3 — Levantamento'!$E149:$I149,"✔ Concluído")=5,"Concluído",IF(COUNTIF('E3 — Levantamento'!$E149:$I149,"✔ Concluído")+COUNTIF('E3 — Levantamento'!$E149:$I149,"🔄 Em andamento")&gt;0,"Em andamento","Não iniciado"))))))))</f>
        <v/>
      </c>
      <c r="H167" s="234" t="str">
        <f>IF($B167="","",IF($G167&lt;&gt;"Concluído","Não iniciado",IF(COUNTIF(Lançamentos!$B$3:$B$1001,$B167)=0,"Bloqueado",IF('E4 — Execução'!$D149="","Bloqueado",IF(COUNTIF('E4 — Execução'!$E149:$K149,"⛔ Bloqueado")&gt;0,"Bloqueado",IF(COUNTIF('E4 — Execução'!$E149:$K149,"✔ Concluído")=7,"Concluído",IF(COUNTIF('E4 — Execução'!$E149:$K149,"✔ Concluído")+COUNTIF('E4 — Execução'!$E149:$K149,"🔄 Em andamento")&gt;0,"Em andamento","Não iniciado")))))))</f>
        <v/>
      </c>
      <c r="I167" s="234" t="str">
        <f>IF($B167="","",IF($H167&lt;&gt;"Concluído","Não iniciado",IF(COUNTIF(Lançamentos!$B$3:$B$1001,$B167)=0,"Bloqueado",IF('E5 — Validação'!$D149="","Bloqueado",IF(COUNTIF('E5 — Validação'!$E149:$I149,"⛔ Bloqueado")&gt;0,"Bloqueado",IF('E5 — Validação'!$I149="N/A","Bloqueado",IF(AND('E5 — Validação'!$E149="✔ Concluído",'E5 — Validação'!$F149="✔ Concluído",OR('E5 — Validação'!$G149="✔ Concluído",'E5 — Validação'!$G149="N/A"),'E5 — Validação'!$H149="✔ Concluído",'E5 — Validação'!$I149="✔ Concluído"),"Concluído",IF(COUNTIF('E5 — Validação'!$E149:$I149,"✔ Concluído")+COUNTIF('E5 — Validação'!$E149:$I149,"🔄 Em andamento")&gt;0,"Em andamento","Não iniciado"))))))))</f>
        <v/>
      </c>
      <c r="J167" s="234" t="str">
        <f>IF($B167="","",IF($I167&lt;&gt;"Concluído","Não iniciado",IF('E6 — Ajustes'!$N149="Não","N/A",IF(COUNTIF(Lançamentos!$B$3:$B$1001,$B167)=0,"Bloqueado",IF('E6 — Ajustes'!$D149="","Bloqueado",IF(COUNTIF('E6 — Ajustes'!$E149:$J149,"⛔ Bloqueado")&gt;0,"Bloqueado",IF(AND('E6 — Ajustes'!$E149="✔ Concluído",'E6 — Ajustes'!$F149="✔ Concluído",'E6 — Ajustes'!$G149="✔ Concluído",'E6 — Ajustes'!$H149="✔ Concluído",OR('E6 — Ajustes'!$I149="✔ Concluído",'E6 — Ajustes'!$I149="N/A"),'E6 — Ajustes'!$J149="✔ Concluído"),"Concluído",IF(COUNTIF('E6 — Ajustes'!$E149:$J149,"✔ Concluído")+COUNTIF('E6 — Ajustes'!$E149:$J149,"🔄 Em andamento")&gt;0,"Em andamento","Não iniciado"))))))))</f>
        <v/>
      </c>
      <c r="K167" s="234" t="str">
        <f>IF($B167="","",IF($I167&lt;&gt;"Concluído","Não iniciado",IF(AND($J167&lt;&gt;"Concluído",$J167&lt;&gt;"N/A"),"Não iniciado",IF(COUNTIF(Lançamentos!$B$3:$B$1001,$B167)=0,"Bloqueado",IF('E7 — Entrega'!$D149="","Bloqueado",IF(COUNTIF('E7 — Entrega'!$E149:$H149,"⛔ Bloqueado")&gt;0,"Bloqueado",IF(COUNTIF('E7 — Entrega'!$E149:$H149,"✔ Concluído")=4,"Concluído",IF(COUNTIF('E7 — Entrega'!$E149:$H149,"✔ Concluído")+COUNTIF('E7 — Entrega'!$E149:$H149,"🔄 Em andamento")&gt;0,"Em andamento","Não iniciado"))))))))</f>
        <v/>
      </c>
      <c r="L167" s="234" t="str">
        <f>IF($B167="","",IF($K167&lt;&gt;"Concluído","Não iniciado",IF(OR(COUNTIF('E08 — Estabilização Hypercare'!$E149:$J149,"⛔ Bloqueado")&gt;0,'E08 — Estabilização Hypercare'!$N149="⛔ Incidente Crítico — Encerramento Bloqueado",AND('E08 — Estabilização Hypercare'!$N149="🆕 Evolução Identificada — Nova Demanda Aberta",'E08 — Estabilização Hypercare'!$U149="")),"Bloqueado",IF(AND('E08 — Estabilização Hypercare'!$E149="✔ Concluído",'E08 — Estabilização Hypercare'!$F149="✔ Concluído",'E08 — Estabilização Hypercare'!$G149="✔ Concluído",OR('E08 — Estabilização Hypercare'!$H149="✔ Concluído",'E08 — Estabilização Hypercare'!$H149="N/A"),'E08 — Estabilização Hypercare'!$I149="✔ Concluído",'E08 — Estabilização Hypercare'!$J149="✔ Concluído",OR('E08 — Estabilização Hypercare'!$N149="✅ Estável — Demanda Encerrada",AND('E08 — Estabilização Hypercare'!$N149="🆕 Evolução Identificada — Nova Demanda Aberta",'E08 — Estabilização Hypercare'!$U149&lt;&gt;""))),"Concluído",IF(OR(COUNTIF('E08 — Estabilização Hypercare'!$E149:$J149,"✔ Concluído")&gt;0,COUNTIF('E08 — Estabilização Hypercare'!$E149:$J149,"🔄 Em andamento")&gt;0,'E08 — Estabilização Hypercare'!$N149&lt;&gt;""),"Em andamento","Não iniciado")))))</f>
        <v/>
      </c>
      <c r="M167" s="236" t="str" cm="1">
        <f t="array" ref="M167">IF(B167="","",_xlfn.IFS(E167&lt;&gt;"Concluído","E1 — Solicitação",F167&lt;&gt;"Concluído","E2 — Triagem",G167&lt;&gt;"Concluído","E3 — Levantamento ⚠",H167&lt;&gt;"Concluído","E4 — Execução",I167&lt;&gt;"Concluído","E5 — Validação ⚠",AND(J167&lt;&gt;"Concluído",J167&lt;&gt;"N/A"),"E6 — Ajustes",K167&lt;&gt;"Concluído","E7 — Entrega",L167&lt;&gt;"Concluído","E08 — Estabilização / Hypercare",TRUE,"✔ Fluxo concluído"))</f>
        <v/>
      </c>
      <c r="N167" s="237" t="str">
        <f t="shared" si="2"/>
        <v/>
      </c>
      <c r="O167" s="238"/>
    </row>
    <row r="168" spans="2:15" ht="15" customHeight="1" x14ac:dyDescent="0.35">
      <c r="B168" s="234" t="str">
        <f>IF(Lançamentos!$B145="","",Lançamentos!$B145)</f>
        <v/>
      </c>
      <c r="C168" s="235" t="str">
        <f>IF($B168="","",Lançamentos!$J145)</f>
        <v/>
      </c>
      <c r="D168" s="235" t="str">
        <f>IF($B168="","",Lançamentos!$H145)</f>
        <v/>
      </c>
      <c r="E168" s="234" t="str">
        <f>IF($B168="","",IF(COUNTIF(Lançamentos!$B$3:$B$1001,$B168)=0,"Bloqueado",IF(COUNTIF('E1 — Solicitação'!$E150:$L150,"⛔ Bloqueado")&gt;0,"Bloqueado",IF(COUNTIF('E1 — Solicitação'!$E150:$L150,"N/A")=8,"Bloqueado",IF(COUNTIF('E1 — Solicitação'!$E150:$L150,"✔ Concluído")+COUNTIF('E1 — Solicitação'!$E150:$L150,"N/A")=8,"Concluído",IF(COUNTIF('E1 — Solicitação'!$E150:$L150,"✔ Concluído")+COUNTIF('E1 — Solicitação'!$E150:$L150,"🔄 Em andamento")&gt;0,"Em andamento","Não iniciado"))))))</f>
        <v/>
      </c>
      <c r="F168" s="234" t="str">
        <f>IF($B168="","",IF($E168&lt;&gt;"Concluído","Não iniciado",IF(COUNTIF(Lançamentos!$B$3:$B$1001,$B168)=0,"Bloqueado",IF('E2 — Triagem'!$D150="","Bloqueado",IF(COUNTIF('E2 — Triagem'!$E150:$L150,"N/A")=8,"Bloqueado",IF(COUNTIF('E2 — Triagem'!$E150:$L150,"⛔ Bloqueado")&gt;0,"Bloqueado",IF(COUNTIF('E2 — Triagem'!$E150:$L150,"✔ Concluído")+COUNTIF('E2 — Triagem'!$E150:$L150,"N/A")=8,"Concluído",IF(COUNTIF('E2 — Triagem'!$E150:$L150,"✔ Concluído")+COUNTIF('E2 — Triagem'!$E150:$L150,"🔄 Em andamento")&gt;0,"Em andamento","Não iniciado"))))))))</f>
        <v/>
      </c>
      <c r="G168" s="234" t="str">
        <f>IF($B168="","",IF($F168&lt;&gt;"Concluído","Não iniciado",IF(COUNTIF(Lançamentos!$B$3:$B$1001,$B168)=0,"Bloqueado",IF('E3 — Levantamento'!$D150="","Bloqueado",IF(COUNTIF('E3 — Levantamento'!$E150:$I150,"⛔ Bloqueado")&gt;0,"Bloqueado",IF('E3 — Levantamento'!$I150="N/A","Bloqueado",IF(COUNTIF('E3 — Levantamento'!$E150:$I150,"✔ Concluído")=5,"Concluído",IF(COUNTIF('E3 — Levantamento'!$E150:$I150,"✔ Concluído")+COUNTIF('E3 — Levantamento'!$E150:$I150,"🔄 Em andamento")&gt;0,"Em andamento","Não iniciado"))))))))</f>
        <v/>
      </c>
      <c r="H168" s="234" t="str">
        <f>IF($B168="","",IF($G168&lt;&gt;"Concluído","Não iniciado",IF(COUNTIF(Lançamentos!$B$3:$B$1001,$B168)=0,"Bloqueado",IF('E4 — Execução'!$D150="","Bloqueado",IF(COUNTIF('E4 — Execução'!$E150:$K150,"⛔ Bloqueado")&gt;0,"Bloqueado",IF(COUNTIF('E4 — Execução'!$E150:$K150,"✔ Concluído")=7,"Concluído",IF(COUNTIF('E4 — Execução'!$E150:$K150,"✔ Concluído")+COUNTIF('E4 — Execução'!$E150:$K150,"🔄 Em andamento")&gt;0,"Em andamento","Não iniciado")))))))</f>
        <v/>
      </c>
      <c r="I168" s="234" t="str">
        <f>IF($B168="","",IF($H168&lt;&gt;"Concluído","Não iniciado",IF(COUNTIF(Lançamentos!$B$3:$B$1001,$B168)=0,"Bloqueado",IF('E5 — Validação'!$D150="","Bloqueado",IF(COUNTIF('E5 — Validação'!$E150:$I150,"⛔ Bloqueado")&gt;0,"Bloqueado",IF('E5 — Validação'!$I150="N/A","Bloqueado",IF(AND('E5 — Validação'!$E150="✔ Concluído",'E5 — Validação'!$F150="✔ Concluído",OR('E5 — Validação'!$G150="✔ Concluído",'E5 — Validação'!$G150="N/A"),'E5 — Validação'!$H150="✔ Concluído",'E5 — Validação'!$I150="✔ Concluído"),"Concluído",IF(COUNTIF('E5 — Validação'!$E150:$I150,"✔ Concluído")+COUNTIF('E5 — Validação'!$E150:$I150,"🔄 Em andamento")&gt;0,"Em andamento","Não iniciado"))))))))</f>
        <v/>
      </c>
      <c r="J168" s="234" t="str">
        <f>IF($B168="","",IF($I168&lt;&gt;"Concluído","Não iniciado",IF('E6 — Ajustes'!$N150="Não","N/A",IF(COUNTIF(Lançamentos!$B$3:$B$1001,$B168)=0,"Bloqueado",IF('E6 — Ajustes'!$D150="","Bloqueado",IF(COUNTIF('E6 — Ajustes'!$E150:$J150,"⛔ Bloqueado")&gt;0,"Bloqueado",IF(AND('E6 — Ajustes'!$E150="✔ Concluído",'E6 — Ajustes'!$F150="✔ Concluído",'E6 — Ajustes'!$G150="✔ Concluído",'E6 — Ajustes'!$H150="✔ Concluído",OR('E6 — Ajustes'!$I150="✔ Concluído",'E6 — Ajustes'!$I150="N/A"),'E6 — Ajustes'!$J150="✔ Concluído"),"Concluído",IF(COUNTIF('E6 — Ajustes'!$E150:$J150,"✔ Concluído")+COUNTIF('E6 — Ajustes'!$E150:$J150,"🔄 Em andamento")&gt;0,"Em andamento","Não iniciado"))))))))</f>
        <v/>
      </c>
      <c r="K168" s="234" t="str">
        <f>IF($B168="","",IF($I168&lt;&gt;"Concluído","Não iniciado",IF(AND($J168&lt;&gt;"Concluído",$J168&lt;&gt;"N/A"),"Não iniciado",IF(COUNTIF(Lançamentos!$B$3:$B$1001,$B168)=0,"Bloqueado",IF('E7 — Entrega'!$D150="","Bloqueado",IF(COUNTIF('E7 — Entrega'!$E150:$H150,"⛔ Bloqueado")&gt;0,"Bloqueado",IF(COUNTIF('E7 — Entrega'!$E150:$H150,"✔ Concluído")=4,"Concluído",IF(COUNTIF('E7 — Entrega'!$E150:$H150,"✔ Concluído")+COUNTIF('E7 — Entrega'!$E150:$H150,"🔄 Em andamento")&gt;0,"Em andamento","Não iniciado"))))))))</f>
        <v/>
      </c>
      <c r="L168" s="234" t="str">
        <f>IF($B168="","",IF($K168&lt;&gt;"Concluído","Não iniciado",IF(OR(COUNTIF('E08 — Estabilização Hypercare'!$E150:$J150,"⛔ Bloqueado")&gt;0,'E08 — Estabilização Hypercare'!$N150="⛔ Incidente Crítico — Encerramento Bloqueado",AND('E08 — Estabilização Hypercare'!$N150="🆕 Evolução Identificada — Nova Demanda Aberta",'E08 — Estabilização Hypercare'!$U150="")),"Bloqueado",IF(AND('E08 — Estabilização Hypercare'!$E150="✔ Concluído",'E08 — Estabilização Hypercare'!$F150="✔ Concluído",'E08 — Estabilização Hypercare'!$G150="✔ Concluído",OR('E08 — Estabilização Hypercare'!$H150="✔ Concluído",'E08 — Estabilização Hypercare'!$H150="N/A"),'E08 — Estabilização Hypercare'!$I150="✔ Concluído",'E08 — Estabilização Hypercare'!$J150="✔ Concluído",OR('E08 — Estabilização Hypercare'!$N150="✅ Estável — Demanda Encerrada",AND('E08 — Estabilização Hypercare'!$N150="🆕 Evolução Identificada — Nova Demanda Aberta",'E08 — Estabilização Hypercare'!$U150&lt;&gt;""))),"Concluído",IF(OR(COUNTIF('E08 — Estabilização Hypercare'!$E150:$J150,"✔ Concluído")&gt;0,COUNTIF('E08 — Estabilização Hypercare'!$E150:$J150,"🔄 Em andamento")&gt;0,'E08 — Estabilização Hypercare'!$N150&lt;&gt;""),"Em andamento","Não iniciado")))))</f>
        <v/>
      </c>
      <c r="M168" s="236" t="str" cm="1">
        <f t="array" ref="M168">IF(B168="","",_xlfn.IFS(E168&lt;&gt;"Concluído","E1 — Solicitação",F168&lt;&gt;"Concluído","E2 — Triagem",G168&lt;&gt;"Concluído","E3 — Levantamento ⚠",H168&lt;&gt;"Concluído","E4 — Execução",I168&lt;&gt;"Concluído","E5 — Validação ⚠",AND(J168&lt;&gt;"Concluído",J168&lt;&gt;"N/A"),"E6 — Ajustes",K168&lt;&gt;"Concluído","E7 — Entrega",L168&lt;&gt;"Concluído","E08 — Estabilização / Hypercare",TRUE,"✔ Fluxo concluído"))</f>
        <v/>
      </c>
      <c r="N168" s="237" t="str">
        <f t="shared" si="2"/>
        <v/>
      </c>
      <c r="O168" s="238"/>
    </row>
    <row r="169" spans="2:15" ht="15" customHeight="1" x14ac:dyDescent="0.35">
      <c r="B169" s="234" t="str">
        <f>IF(Lançamentos!$B146="","",Lançamentos!$B146)</f>
        <v/>
      </c>
      <c r="C169" s="235" t="str">
        <f>IF($B169="","",Lançamentos!$J146)</f>
        <v/>
      </c>
      <c r="D169" s="235" t="str">
        <f>IF($B169="","",Lançamentos!$H146)</f>
        <v/>
      </c>
      <c r="E169" s="234" t="str">
        <f>IF($B169="","",IF(COUNTIF(Lançamentos!$B$3:$B$1001,$B169)=0,"Bloqueado",IF(COUNTIF('E1 — Solicitação'!$E151:$L151,"⛔ Bloqueado")&gt;0,"Bloqueado",IF(COUNTIF('E1 — Solicitação'!$E151:$L151,"N/A")=8,"Bloqueado",IF(COUNTIF('E1 — Solicitação'!$E151:$L151,"✔ Concluído")+COUNTIF('E1 — Solicitação'!$E151:$L151,"N/A")=8,"Concluído",IF(COUNTIF('E1 — Solicitação'!$E151:$L151,"✔ Concluído")+COUNTIF('E1 — Solicitação'!$E151:$L151,"🔄 Em andamento")&gt;0,"Em andamento","Não iniciado"))))))</f>
        <v/>
      </c>
      <c r="F169" s="234" t="str">
        <f>IF($B169="","",IF($E169&lt;&gt;"Concluído","Não iniciado",IF(COUNTIF(Lançamentos!$B$3:$B$1001,$B169)=0,"Bloqueado",IF('E2 — Triagem'!$D151="","Bloqueado",IF(COUNTIF('E2 — Triagem'!$E151:$L151,"N/A")=8,"Bloqueado",IF(COUNTIF('E2 — Triagem'!$E151:$L151,"⛔ Bloqueado")&gt;0,"Bloqueado",IF(COUNTIF('E2 — Triagem'!$E151:$L151,"✔ Concluído")+COUNTIF('E2 — Triagem'!$E151:$L151,"N/A")=8,"Concluído",IF(COUNTIF('E2 — Triagem'!$E151:$L151,"✔ Concluído")+COUNTIF('E2 — Triagem'!$E151:$L151,"🔄 Em andamento")&gt;0,"Em andamento","Não iniciado"))))))))</f>
        <v/>
      </c>
      <c r="G169" s="234" t="str">
        <f>IF($B169="","",IF($F169&lt;&gt;"Concluído","Não iniciado",IF(COUNTIF(Lançamentos!$B$3:$B$1001,$B169)=0,"Bloqueado",IF('E3 — Levantamento'!$D151="","Bloqueado",IF(COUNTIF('E3 — Levantamento'!$E151:$I151,"⛔ Bloqueado")&gt;0,"Bloqueado",IF('E3 — Levantamento'!$I151="N/A","Bloqueado",IF(COUNTIF('E3 — Levantamento'!$E151:$I151,"✔ Concluído")=5,"Concluído",IF(COUNTIF('E3 — Levantamento'!$E151:$I151,"✔ Concluído")+COUNTIF('E3 — Levantamento'!$E151:$I151,"🔄 Em andamento")&gt;0,"Em andamento","Não iniciado"))))))))</f>
        <v/>
      </c>
      <c r="H169" s="234" t="str">
        <f>IF($B169="","",IF($G169&lt;&gt;"Concluído","Não iniciado",IF(COUNTIF(Lançamentos!$B$3:$B$1001,$B169)=0,"Bloqueado",IF('E4 — Execução'!$D151="","Bloqueado",IF(COUNTIF('E4 — Execução'!$E151:$K151,"⛔ Bloqueado")&gt;0,"Bloqueado",IF(COUNTIF('E4 — Execução'!$E151:$K151,"✔ Concluído")=7,"Concluído",IF(COUNTIF('E4 — Execução'!$E151:$K151,"✔ Concluído")+COUNTIF('E4 — Execução'!$E151:$K151,"🔄 Em andamento")&gt;0,"Em andamento","Não iniciado")))))))</f>
        <v/>
      </c>
      <c r="I169" s="234" t="str">
        <f>IF($B169="","",IF($H169&lt;&gt;"Concluído","Não iniciado",IF(COUNTIF(Lançamentos!$B$3:$B$1001,$B169)=0,"Bloqueado",IF('E5 — Validação'!$D151="","Bloqueado",IF(COUNTIF('E5 — Validação'!$E151:$I151,"⛔ Bloqueado")&gt;0,"Bloqueado",IF('E5 — Validação'!$I151="N/A","Bloqueado",IF(AND('E5 — Validação'!$E151="✔ Concluído",'E5 — Validação'!$F151="✔ Concluído",OR('E5 — Validação'!$G151="✔ Concluído",'E5 — Validação'!$G151="N/A"),'E5 — Validação'!$H151="✔ Concluído",'E5 — Validação'!$I151="✔ Concluído"),"Concluído",IF(COUNTIF('E5 — Validação'!$E151:$I151,"✔ Concluído")+COUNTIF('E5 — Validação'!$E151:$I151,"🔄 Em andamento")&gt;0,"Em andamento","Não iniciado"))))))))</f>
        <v/>
      </c>
      <c r="J169" s="234" t="str">
        <f>IF($B169="","",IF($I169&lt;&gt;"Concluído","Não iniciado",IF('E6 — Ajustes'!$N151="Não","N/A",IF(COUNTIF(Lançamentos!$B$3:$B$1001,$B169)=0,"Bloqueado",IF('E6 — Ajustes'!$D151="","Bloqueado",IF(COUNTIF('E6 — Ajustes'!$E151:$J151,"⛔ Bloqueado")&gt;0,"Bloqueado",IF(AND('E6 — Ajustes'!$E151="✔ Concluído",'E6 — Ajustes'!$F151="✔ Concluído",'E6 — Ajustes'!$G151="✔ Concluído",'E6 — Ajustes'!$H151="✔ Concluído",OR('E6 — Ajustes'!$I151="✔ Concluído",'E6 — Ajustes'!$I151="N/A"),'E6 — Ajustes'!$J151="✔ Concluído"),"Concluído",IF(COUNTIF('E6 — Ajustes'!$E151:$J151,"✔ Concluído")+COUNTIF('E6 — Ajustes'!$E151:$J151,"🔄 Em andamento")&gt;0,"Em andamento","Não iniciado"))))))))</f>
        <v/>
      </c>
      <c r="K169" s="234" t="str">
        <f>IF($B169="","",IF($I169&lt;&gt;"Concluído","Não iniciado",IF(AND($J169&lt;&gt;"Concluído",$J169&lt;&gt;"N/A"),"Não iniciado",IF(COUNTIF(Lançamentos!$B$3:$B$1001,$B169)=0,"Bloqueado",IF('E7 — Entrega'!$D151="","Bloqueado",IF(COUNTIF('E7 — Entrega'!$E151:$H151,"⛔ Bloqueado")&gt;0,"Bloqueado",IF(COUNTIF('E7 — Entrega'!$E151:$H151,"✔ Concluído")=4,"Concluído",IF(COUNTIF('E7 — Entrega'!$E151:$H151,"✔ Concluído")+COUNTIF('E7 — Entrega'!$E151:$H151,"🔄 Em andamento")&gt;0,"Em andamento","Não iniciado"))))))))</f>
        <v/>
      </c>
      <c r="L169" s="234" t="str">
        <f>IF($B169="","",IF($K169&lt;&gt;"Concluído","Não iniciado",IF(OR(COUNTIF('E08 — Estabilização Hypercare'!$E151:$J151,"⛔ Bloqueado")&gt;0,'E08 — Estabilização Hypercare'!$N151="⛔ Incidente Crítico — Encerramento Bloqueado",AND('E08 — Estabilização Hypercare'!$N151="🆕 Evolução Identificada — Nova Demanda Aberta",'E08 — Estabilização Hypercare'!$U151="")),"Bloqueado",IF(AND('E08 — Estabilização Hypercare'!$E151="✔ Concluído",'E08 — Estabilização Hypercare'!$F151="✔ Concluído",'E08 — Estabilização Hypercare'!$G151="✔ Concluído",OR('E08 — Estabilização Hypercare'!$H151="✔ Concluído",'E08 — Estabilização Hypercare'!$H151="N/A"),'E08 — Estabilização Hypercare'!$I151="✔ Concluído",'E08 — Estabilização Hypercare'!$J151="✔ Concluído",OR('E08 — Estabilização Hypercare'!$N151="✅ Estável — Demanda Encerrada",AND('E08 — Estabilização Hypercare'!$N151="🆕 Evolução Identificada — Nova Demanda Aberta",'E08 — Estabilização Hypercare'!$U151&lt;&gt;""))),"Concluído",IF(OR(COUNTIF('E08 — Estabilização Hypercare'!$E151:$J151,"✔ Concluído")&gt;0,COUNTIF('E08 — Estabilização Hypercare'!$E151:$J151,"🔄 Em andamento")&gt;0,'E08 — Estabilização Hypercare'!$N151&lt;&gt;""),"Em andamento","Não iniciado")))))</f>
        <v/>
      </c>
      <c r="M169" s="236" t="str" cm="1">
        <f t="array" ref="M169">IF(B169="","",_xlfn.IFS(E169&lt;&gt;"Concluído","E1 — Solicitação",F169&lt;&gt;"Concluído","E2 — Triagem",G169&lt;&gt;"Concluído","E3 — Levantamento ⚠",H169&lt;&gt;"Concluído","E4 — Execução",I169&lt;&gt;"Concluído","E5 — Validação ⚠",AND(J169&lt;&gt;"Concluído",J169&lt;&gt;"N/A"),"E6 — Ajustes",K169&lt;&gt;"Concluído","E7 — Entrega",L169&lt;&gt;"Concluído","E08 — Estabilização / Hypercare",TRUE,"✔ Fluxo concluído"))</f>
        <v/>
      </c>
      <c r="N169" s="237" t="str">
        <f t="shared" si="2"/>
        <v/>
      </c>
      <c r="O169" s="238"/>
    </row>
    <row r="170" spans="2:15" ht="15" customHeight="1" x14ac:dyDescent="0.35">
      <c r="B170" s="234" t="str">
        <f>IF(Lançamentos!$B147="","",Lançamentos!$B147)</f>
        <v/>
      </c>
      <c r="C170" s="235" t="str">
        <f>IF($B170="","",Lançamentos!$J147)</f>
        <v/>
      </c>
      <c r="D170" s="235" t="str">
        <f>IF($B170="","",Lançamentos!$H147)</f>
        <v/>
      </c>
      <c r="E170" s="234" t="str">
        <f>IF($B170="","",IF(COUNTIF(Lançamentos!$B$3:$B$1001,$B170)=0,"Bloqueado",IF(COUNTIF('E1 — Solicitação'!$E152:$L152,"⛔ Bloqueado")&gt;0,"Bloqueado",IF(COUNTIF('E1 — Solicitação'!$E152:$L152,"N/A")=8,"Bloqueado",IF(COUNTIF('E1 — Solicitação'!$E152:$L152,"✔ Concluído")+COUNTIF('E1 — Solicitação'!$E152:$L152,"N/A")=8,"Concluído",IF(COUNTIF('E1 — Solicitação'!$E152:$L152,"✔ Concluído")+COUNTIF('E1 — Solicitação'!$E152:$L152,"🔄 Em andamento")&gt;0,"Em andamento","Não iniciado"))))))</f>
        <v/>
      </c>
      <c r="F170" s="234" t="str">
        <f>IF($B170="","",IF($E170&lt;&gt;"Concluído","Não iniciado",IF(COUNTIF(Lançamentos!$B$3:$B$1001,$B170)=0,"Bloqueado",IF('E2 — Triagem'!$D152="","Bloqueado",IF(COUNTIF('E2 — Triagem'!$E152:$L152,"N/A")=8,"Bloqueado",IF(COUNTIF('E2 — Triagem'!$E152:$L152,"⛔ Bloqueado")&gt;0,"Bloqueado",IF(COUNTIF('E2 — Triagem'!$E152:$L152,"✔ Concluído")+COUNTIF('E2 — Triagem'!$E152:$L152,"N/A")=8,"Concluído",IF(COUNTIF('E2 — Triagem'!$E152:$L152,"✔ Concluído")+COUNTIF('E2 — Triagem'!$E152:$L152,"🔄 Em andamento")&gt;0,"Em andamento","Não iniciado"))))))))</f>
        <v/>
      </c>
      <c r="G170" s="234" t="str">
        <f>IF($B170="","",IF($F170&lt;&gt;"Concluído","Não iniciado",IF(COUNTIF(Lançamentos!$B$3:$B$1001,$B170)=0,"Bloqueado",IF('E3 — Levantamento'!$D152="","Bloqueado",IF(COUNTIF('E3 — Levantamento'!$E152:$I152,"⛔ Bloqueado")&gt;0,"Bloqueado",IF('E3 — Levantamento'!$I152="N/A","Bloqueado",IF(COUNTIF('E3 — Levantamento'!$E152:$I152,"✔ Concluído")=5,"Concluído",IF(COUNTIF('E3 — Levantamento'!$E152:$I152,"✔ Concluído")+COUNTIF('E3 — Levantamento'!$E152:$I152,"🔄 Em andamento")&gt;0,"Em andamento","Não iniciado"))))))))</f>
        <v/>
      </c>
      <c r="H170" s="234" t="str">
        <f>IF($B170="","",IF($G170&lt;&gt;"Concluído","Não iniciado",IF(COUNTIF(Lançamentos!$B$3:$B$1001,$B170)=0,"Bloqueado",IF('E4 — Execução'!$D152="","Bloqueado",IF(COUNTIF('E4 — Execução'!$E152:$K152,"⛔ Bloqueado")&gt;0,"Bloqueado",IF(COUNTIF('E4 — Execução'!$E152:$K152,"✔ Concluído")=7,"Concluído",IF(COUNTIF('E4 — Execução'!$E152:$K152,"✔ Concluído")+COUNTIF('E4 — Execução'!$E152:$K152,"🔄 Em andamento")&gt;0,"Em andamento","Não iniciado")))))))</f>
        <v/>
      </c>
      <c r="I170" s="234" t="str">
        <f>IF($B170="","",IF($H170&lt;&gt;"Concluído","Não iniciado",IF(COUNTIF(Lançamentos!$B$3:$B$1001,$B170)=0,"Bloqueado",IF('E5 — Validação'!$D152="","Bloqueado",IF(COUNTIF('E5 — Validação'!$E152:$I152,"⛔ Bloqueado")&gt;0,"Bloqueado",IF('E5 — Validação'!$I152="N/A","Bloqueado",IF(AND('E5 — Validação'!$E152="✔ Concluído",'E5 — Validação'!$F152="✔ Concluído",OR('E5 — Validação'!$G152="✔ Concluído",'E5 — Validação'!$G152="N/A"),'E5 — Validação'!$H152="✔ Concluído",'E5 — Validação'!$I152="✔ Concluído"),"Concluído",IF(COUNTIF('E5 — Validação'!$E152:$I152,"✔ Concluído")+COUNTIF('E5 — Validação'!$E152:$I152,"🔄 Em andamento")&gt;0,"Em andamento","Não iniciado"))))))))</f>
        <v/>
      </c>
      <c r="J170" s="234" t="str">
        <f>IF($B170="","",IF($I170&lt;&gt;"Concluído","Não iniciado",IF('E6 — Ajustes'!$N152="Não","N/A",IF(COUNTIF(Lançamentos!$B$3:$B$1001,$B170)=0,"Bloqueado",IF('E6 — Ajustes'!$D152="","Bloqueado",IF(COUNTIF('E6 — Ajustes'!$E152:$J152,"⛔ Bloqueado")&gt;0,"Bloqueado",IF(AND('E6 — Ajustes'!$E152="✔ Concluído",'E6 — Ajustes'!$F152="✔ Concluído",'E6 — Ajustes'!$G152="✔ Concluído",'E6 — Ajustes'!$H152="✔ Concluído",OR('E6 — Ajustes'!$I152="✔ Concluído",'E6 — Ajustes'!$I152="N/A"),'E6 — Ajustes'!$J152="✔ Concluído"),"Concluído",IF(COUNTIF('E6 — Ajustes'!$E152:$J152,"✔ Concluído")+COUNTIF('E6 — Ajustes'!$E152:$J152,"🔄 Em andamento")&gt;0,"Em andamento","Não iniciado"))))))))</f>
        <v/>
      </c>
      <c r="K170" s="234" t="str">
        <f>IF($B170="","",IF($I170&lt;&gt;"Concluído","Não iniciado",IF(AND($J170&lt;&gt;"Concluído",$J170&lt;&gt;"N/A"),"Não iniciado",IF(COUNTIF(Lançamentos!$B$3:$B$1001,$B170)=0,"Bloqueado",IF('E7 — Entrega'!$D152="","Bloqueado",IF(COUNTIF('E7 — Entrega'!$E152:$H152,"⛔ Bloqueado")&gt;0,"Bloqueado",IF(COUNTIF('E7 — Entrega'!$E152:$H152,"✔ Concluído")=4,"Concluído",IF(COUNTIF('E7 — Entrega'!$E152:$H152,"✔ Concluído")+COUNTIF('E7 — Entrega'!$E152:$H152,"🔄 Em andamento")&gt;0,"Em andamento","Não iniciado"))))))))</f>
        <v/>
      </c>
      <c r="L170" s="234" t="str">
        <f>IF($B170="","",IF($K170&lt;&gt;"Concluído","Não iniciado",IF(OR(COUNTIF('E08 — Estabilização Hypercare'!$E152:$J152,"⛔ Bloqueado")&gt;0,'E08 — Estabilização Hypercare'!$N152="⛔ Incidente Crítico — Encerramento Bloqueado",AND('E08 — Estabilização Hypercare'!$N152="🆕 Evolução Identificada — Nova Demanda Aberta",'E08 — Estabilização Hypercare'!$U152="")),"Bloqueado",IF(AND('E08 — Estabilização Hypercare'!$E152="✔ Concluído",'E08 — Estabilização Hypercare'!$F152="✔ Concluído",'E08 — Estabilização Hypercare'!$G152="✔ Concluído",OR('E08 — Estabilização Hypercare'!$H152="✔ Concluído",'E08 — Estabilização Hypercare'!$H152="N/A"),'E08 — Estabilização Hypercare'!$I152="✔ Concluído",'E08 — Estabilização Hypercare'!$J152="✔ Concluído",OR('E08 — Estabilização Hypercare'!$N152="✅ Estável — Demanda Encerrada",AND('E08 — Estabilização Hypercare'!$N152="🆕 Evolução Identificada — Nova Demanda Aberta",'E08 — Estabilização Hypercare'!$U152&lt;&gt;""))),"Concluído",IF(OR(COUNTIF('E08 — Estabilização Hypercare'!$E152:$J152,"✔ Concluído")&gt;0,COUNTIF('E08 — Estabilização Hypercare'!$E152:$J152,"🔄 Em andamento")&gt;0,'E08 — Estabilização Hypercare'!$N152&lt;&gt;""),"Em andamento","Não iniciado")))))</f>
        <v/>
      </c>
      <c r="M170" s="236" t="str" cm="1">
        <f t="array" ref="M170">IF(B170="","",_xlfn.IFS(E170&lt;&gt;"Concluído","E1 — Solicitação",F170&lt;&gt;"Concluído","E2 — Triagem",G170&lt;&gt;"Concluído","E3 — Levantamento ⚠",H170&lt;&gt;"Concluído","E4 — Execução",I170&lt;&gt;"Concluído","E5 — Validação ⚠",AND(J170&lt;&gt;"Concluído",J170&lt;&gt;"N/A"),"E6 — Ajustes",K170&lt;&gt;"Concluído","E7 — Entrega",L170&lt;&gt;"Concluído","E08 — Estabilização / Hypercare",TRUE,"✔ Fluxo concluído"))</f>
        <v/>
      </c>
      <c r="N170" s="237" t="str">
        <f t="shared" si="2"/>
        <v/>
      </c>
      <c r="O170" s="238"/>
    </row>
    <row r="171" spans="2:15" ht="15" customHeight="1" x14ac:dyDescent="0.35">
      <c r="B171" s="234" t="str">
        <f>IF(Lançamentos!$B148="","",Lançamentos!$B148)</f>
        <v/>
      </c>
      <c r="C171" s="235" t="str">
        <f>IF($B171="","",Lançamentos!$J148)</f>
        <v/>
      </c>
      <c r="D171" s="235" t="str">
        <f>IF($B171="","",Lançamentos!$H148)</f>
        <v/>
      </c>
      <c r="E171" s="234" t="str">
        <f>IF($B171="","",IF(COUNTIF(Lançamentos!$B$3:$B$1001,$B171)=0,"Bloqueado",IF(COUNTIF('E1 — Solicitação'!$E153:$L153,"⛔ Bloqueado")&gt;0,"Bloqueado",IF(COUNTIF('E1 — Solicitação'!$E153:$L153,"N/A")=8,"Bloqueado",IF(COUNTIF('E1 — Solicitação'!$E153:$L153,"✔ Concluído")+COUNTIF('E1 — Solicitação'!$E153:$L153,"N/A")=8,"Concluído",IF(COUNTIF('E1 — Solicitação'!$E153:$L153,"✔ Concluído")+COUNTIF('E1 — Solicitação'!$E153:$L153,"🔄 Em andamento")&gt;0,"Em andamento","Não iniciado"))))))</f>
        <v/>
      </c>
      <c r="F171" s="234" t="str">
        <f>IF($B171="","",IF($E171&lt;&gt;"Concluído","Não iniciado",IF(COUNTIF(Lançamentos!$B$3:$B$1001,$B171)=0,"Bloqueado",IF('E2 — Triagem'!$D153="","Bloqueado",IF(COUNTIF('E2 — Triagem'!$E153:$L153,"N/A")=8,"Bloqueado",IF(COUNTIF('E2 — Triagem'!$E153:$L153,"⛔ Bloqueado")&gt;0,"Bloqueado",IF(COUNTIF('E2 — Triagem'!$E153:$L153,"✔ Concluído")+COUNTIF('E2 — Triagem'!$E153:$L153,"N/A")=8,"Concluído",IF(COUNTIF('E2 — Triagem'!$E153:$L153,"✔ Concluído")+COUNTIF('E2 — Triagem'!$E153:$L153,"🔄 Em andamento")&gt;0,"Em andamento","Não iniciado"))))))))</f>
        <v/>
      </c>
      <c r="G171" s="234" t="str">
        <f>IF($B171="","",IF($F171&lt;&gt;"Concluído","Não iniciado",IF(COUNTIF(Lançamentos!$B$3:$B$1001,$B171)=0,"Bloqueado",IF('E3 — Levantamento'!$D153="","Bloqueado",IF(COUNTIF('E3 — Levantamento'!$E153:$I153,"⛔ Bloqueado")&gt;0,"Bloqueado",IF('E3 — Levantamento'!$I153="N/A","Bloqueado",IF(COUNTIF('E3 — Levantamento'!$E153:$I153,"✔ Concluído")=5,"Concluído",IF(COUNTIF('E3 — Levantamento'!$E153:$I153,"✔ Concluído")+COUNTIF('E3 — Levantamento'!$E153:$I153,"🔄 Em andamento")&gt;0,"Em andamento","Não iniciado"))))))))</f>
        <v/>
      </c>
      <c r="H171" s="234" t="str">
        <f>IF($B171="","",IF($G171&lt;&gt;"Concluído","Não iniciado",IF(COUNTIF(Lançamentos!$B$3:$B$1001,$B171)=0,"Bloqueado",IF('E4 — Execução'!$D153="","Bloqueado",IF(COUNTIF('E4 — Execução'!$E153:$K153,"⛔ Bloqueado")&gt;0,"Bloqueado",IF(COUNTIF('E4 — Execução'!$E153:$K153,"✔ Concluído")=7,"Concluído",IF(COUNTIF('E4 — Execução'!$E153:$K153,"✔ Concluído")+COUNTIF('E4 — Execução'!$E153:$K153,"🔄 Em andamento")&gt;0,"Em andamento","Não iniciado")))))))</f>
        <v/>
      </c>
      <c r="I171" s="234" t="str">
        <f>IF($B171="","",IF($H171&lt;&gt;"Concluído","Não iniciado",IF(COUNTIF(Lançamentos!$B$3:$B$1001,$B171)=0,"Bloqueado",IF('E5 — Validação'!$D153="","Bloqueado",IF(COUNTIF('E5 — Validação'!$E153:$I153,"⛔ Bloqueado")&gt;0,"Bloqueado",IF('E5 — Validação'!$I153="N/A","Bloqueado",IF(AND('E5 — Validação'!$E153="✔ Concluído",'E5 — Validação'!$F153="✔ Concluído",OR('E5 — Validação'!$G153="✔ Concluído",'E5 — Validação'!$G153="N/A"),'E5 — Validação'!$H153="✔ Concluído",'E5 — Validação'!$I153="✔ Concluído"),"Concluído",IF(COUNTIF('E5 — Validação'!$E153:$I153,"✔ Concluído")+COUNTIF('E5 — Validação'!$E153:$I153,"🔄 Em andamento")&gt;0,"Em andamento","Não iniciado"))))))))</f>
        <v/>
      </c>
      <c r="J171" s="234" t="str">
        <f>IF($B171="","",IF($I171&lt;&gt;"Concluído","Não iniciado",IF('E6 — Ajustes'!$N153="Não","N/A",IF(COUNTIF(Lançamentos!$B$3:$B$1001,$B171)=0,"Bloqueado",IF('E6 — Ajustes'!$D153="","Bloqueado",IF(COUNTIF('E6 — Ajustes'!$E153:$J153,"⛔ Bloqueado")&gt;0,"Bloqueado",IF(AND('E6 — Ajustes'!$E153="✔ Concluído",'E6 — Ajustes'!$F153="✔ Concluído",'E6 — Ajustes'!$G153="✔ Concluído",'E6 — Ajustes'!$H153="✔ Concluído",OR('E6 — Ajustes'!$I153="✔ Concluído",'E6 — Ajustes'!$I153="N/A"),'E6 — Ajustes'!$J153="✔ Concluído"),"Concluído",IF(COUNTIF('E6 — Ajustes'!$E153:$J153,"✔ Concluído")+COUNTIF('E6 — Ajustes'!$E153:$J153,"🔄 Em andamento")&gt;0,"Em andamento","Não iniciado"))))))))</f>
        <v/>
      </c>
      <c r="K171" s="234" t="str">
        <f>IF($B171="","",IF($I171&lt;&gt;"Concluído","Não iniciado",IF(AND($J171&lt;&gt;"Concluído",$J171&lt;&gt;"N/A"),"Não iniciado",IF(COUNTIF(Lançamentos!$B$3:$B$1001,$B171)=0,"Bloqueado",IF('E7 — Entrega'!$D153="","Bloqueado",IF(COUNTIF('E7 — Entrega'!$E153:$H153,"⛔ Bloqueado")&gt;0,"Bloqueado",IF(COUNTIF('E7 — Entrega'!$E153:$H153,"✔ Concluído")=4,"Concluído",IF(COUNTIF('E7 — Entrega'!$E153:$H153,"✔ Concluído")+COUNTIF('E7 — Entrega'!$E153:$H153,"🔄 Em andamento")&gt;0,"Em andamento","Não iniciado"))))))))</f>
        <v/>
      </c>
      <c r="L171" s="234" t="str">
        <f>IF($B171="","",IF($K171&lt;&gt;"Concluído","Não iniciado",IF(OR(COUNTIF('E08 — Estabilização Hypercare'!$E153:$J153,"⛔ Bloqueado")&gt;0,'E08 — Estabilização Hypercare'!$N153="⛔ Incidente Crítico — Encerramento Bloqueado",AND('E08 — Estabilização Hypercare'!$N153="🆕 Evolução Identificada — Nova Demanda Aberta",'E08 — Estabilização Hypercare'!$U153="")),"Bloqueado",IF(AND('E08 — Estabilização Hypercare'!$E153="✔ Concluído",'E08 — Estabilização Hypercare'!$F153="✔ Concluído",'E08 — Estabilização Hypercare'!$G153="✔ Concluído",OR('E08 — Estabilização Hypercare'!$H153="✔ Concluído",'E08 — Estabilização Hypercare'!$H153="N/A"),'E08 — Estabilização Hypercare'!$I153="✔ Concluído",'E08 — Estabilização Hypercare'!$J153="✔ Concluído",OR('E08 — Estabilização Hypercare'!$N153="✅ Estável — Demanda Encerrada",AND('E08 — Estabilização Hypercare'!$N153="🆕 Evolução Identificada — Nova Demanda Aberta",'E08 — Estabilização Hypercare'!$U153&lt;&gt;""))),"Concluído",IF(OR(COUNTIF('E08 — Estabilização Hypercare'!$E153:$J153,"✔ Concluído")&gt;0,COUNTIF('E08 — Estabilização Hypercare'!$E153:$J153,"🔄 Em andamento")&gt;0,'E08 — Estabilização Hypercare'!$N153&lt;&gt;""),"Em andamento","Não iniciado")))))</f>
        <v/>
      </c>
      <c r="M171" s="236" t="str" cm="1">
        <f t="array" ref="M171">IF(B171="","",_xlfn.IFS(E171&lt;&gt;"Concluído","E1 — Solicitação",F171&lt;&gt;"Concluído","E2 — Triagem",G171&lt;&gt;"Concluído","E3 — Levantamento ⚠",H171&lt;&gt;"Concluído","E4 — Execução",I171&lt;&gt;"Concluído","E5 — Validação ⚠",AND(J171&lt;&gt;"Concluído",J171&lt;&gt;"N/A"),"E6 — Ajustes",K171&lt;&gt;"Concluído","E7 — Entrega",L171&lt;&gt;"Concluído","E08 — Estabilização / Hypercare",TRUE,"✔ Fluxo concluído"))</f>
        <v/>
      </c>
      <c r="N171" s="237" t="str">
        <f t="shared" si="2"/>
        <v/>
      </c>
      <c r="O171" s="238"/>
    </row>
    <row r="172" spans="2:15" ht="15" customHeight="1" x14ac:dyDescent="0.35">
      <c r="B172" s="234" t="str">
        <f>IF(Lançamentos!$B149="","",Lançamentos!$B149)</f>
        <v/>
      </c>
      <c r="C172" s="235" t="str">
        <f>IF($B172="","",Lançamentos!$J149)</f>
        <v/>
      </c>
      <c r="D172" s="235" t="str">
        <f>IF($B172="","",Lançamentos!$H149)</f>
        <v/>
      </c>
      <c r="E172" s="234" t="str">
        <f>IF($B172="","",IF(COUNTIF(Lançamentos!$B$3:$B$1001,$B172)=0,"Bloqueado",IF(COUNTIF('E1 — Solicitação'!$E154:$L154,"⛔ Bloqueado")&gt;0,"Bloqueado",IF(COUNTIF('E1 — Solicitação'!$E154:$L154,"N/A")=8,"Bloqueado",IF(COUNTIF('E1 — Solicitação'!$E154:$L154,"✔ Concluído")+COUNTIF('E1 — Solicitação'!$E154:$L154,"N/A")=8,"Concluído",IF(COUNTIF('E1 — Solicitação'!$E154:$L154,"✔ Concluído")+COUNTIF('E1 — Solicitação'!$E154:$L154,"🔄 Em andamento")&gt;0,"Em andamento","Não iniciado"))))))</f>
        <v/>
      </c>
      <c r="F172" s="234" t="str">
        <f>IF($B172="","",IF($E172&lt;&gt;"Concluído","Não iniciado",IF(COUNTIF(Lançamentos!$B$3:$B$1001,$B172)=0,"Bloqueado",IF('E2 — Triagem'!$D154="","Bloqueado",IF(COUNTIF('E2 — Triagem'!$E154:$L154,"N/A")=8,"Bloqueado",IF(COUNTIF('E2 — Triagem'!$E154:$L154,"⛔ Bloqueado")&gt;0,"Bloqueado",IF(COUNTIF('E2 — Triagem'!$E154:$L154,"✔ Concluído")+COUNTIF('E2 — Triagem'!$E154:$L154,"N/A")=8,"Concluído",IF(COUNTIF('E2 — Triagem'!$E154:$L154,"✔ Concluído")+COUNTIF('E2 — Triagem'!$E154:$L154,"🔄 Em andamento")&gt;0,"Em andamento","Não iniciado"))))))))</f>
        <v/>
      </c>
      <c r="G172" s="234" t="str">
        <f>IF($B172="","",IF($F172&lt;&gt;"Concluído","Não iniciado",IF(COUNTIF(Lançamentos!$B$3:$B$1001,$B172)=0,"Bloqueado",IF('E3 — Levantamento'!$D154="","Bloqueado",IF(COUNTIF('E3 — Levantamento'!$E154:$I154,"⛔ Bloqueado")&gt;0,"Bloqueado",IF('E3 — Levantamento'!$I154="N/A","Bloqueado",IF(COUNTIF('E3 — Levantamento'!$E154:$I154,"✔ Concluído")=5,"Concluído",IF(COUNTIF('E3 — Levantamento'!$E154:$I154,"✔ Concluído")+COUNTIF('E3 — Levantamento'!$E154:$I154,"🔄 Em andamento")&gt;0,"Em andamento","Não iniciado"))))))))</f>
        <v/>
      </c>
      <c r="H172" s="234" t="str">
        <f>IF($B172="","",IF($G172&lt;&gt;"Concluído","Não iniciado",IF(COUNTIF(Lançamentos!$B$3:$B$1001,$B172)=0,"Bloqueado",IF('E4 — Execução'!$D154="","Bloqueado",IF(COUNTIF('E4 — Execução'!$E154:$K154,"⛔ Bloqueado")&gt;0,"Bloqueado",IF(COUNTIF('E4 — Execução'!$E154:$K154,"✔ Concluído")=7,"Concluído",IF(COUNTIF('E4 — Execução'!$E154:$K154,"✔ Concluído")+COUNTIF('E4 — Execução'!$E154:$K154,"🔄 Em andamento")&gt;0,"Em andamento","Não iniciado")))))))</f>
        <v/>
      </c>
      <c r="I172" s="234" t="str">
        <f>IF($B172="","",IF($H172&lt;&gt;"Concluído","Não iniciado",IF(COUNTIF(Lançamentos!$B$3:$B$1001,$B172)=0,"Bloqueado",IF('E5 — Validação'!$D154="","Bloqueado",IF(COUNTIF('E5 — Validação'!$E154:$I154,"⛔ Bloqueado")&gt;0,"Bloqueado",IF('E5 — Validação'!$I154="N/A","Bloqueado",IF(AND('E5 — Validação'!$E154="✔ Concluído",'E5 — Validação'!$F154="✔ Concluído",OR('E5 — Validação'!$G154="✔ Concluído",'E5 — Validação'!$G154="N/A"),'E5 — Validação'!$H154="✔ Concluído",'E5 — Validação'!$I154="✔ Concluído"),"Concluído",IF(COUNTIF('E5 — Validação'!$E154:$I154,"✔ Concluído")+COUNTIF('E5 — Validação'!$E154:$I154,"🔄 Em andamento")&gt;0,"Em andamento","Não iniciado"))))))))</f>
        <v/>
      </c>
      <c r="J172" s="234" t="str">
        <f>IF($B172="","",IF($I172&lt;&gt;"Concluído","Não iniciado",IF('E6 — Ajustes'!$N154="Não","N/A",IF(COUNTIF(Lançamentos!$B$3:$B$1001,$B172)=0,"Bloqueado",IF('E6 — Ajustes'!$D154="","Bloqueado",IF(COUNTIF('E6 — Ajustes'!$E154:$J154,"⛔ Bloqueado")&gt;0,"Bloqueado",IF(AND('E6 — Ajustes'!$E154="✔ Concluído",'E6 — Ajustes'!$F154="✔ Concluído",'E6 — Ajustes'!$G154="✔ Concluído",'E6 — Ajustes'!$H154="✔ Concluído",OR('E6 — Ajustes'!$I154="✔ Concluído",'E6 — Ajustes'!$I154="N/A"),'E6 — Ajustes'!$J154="✔ Concluído"),"Concluído",IF(COUNTIF('E6 — Ajustes'!$E154:$J154,"✔ Concluído")+COUNTIF('E6 — Ajustes'!$E154:$J154,"🔄 Em andamento")&gt;0,"Em andamento","Não iniciado"))))))))</f>
        <v/>
      </c>
      <c r="K172" s="234" t="str">
        <f>IF($B172="","",IF($I172&lt;&gt;"Concluído","Não iniciado",IF(AND($J172&lt;&gt;"Concluído",$J172&lt;&gt;"N/A"),"Não iniciado",IF(COUNTIF(Lançamentos!$B$3:$B$1001,$B172)=0,"Bloqueado",IF('E7 — Entrega'!$D154="","Bloqueado",IF(COUNTIF('E7 — Entrega'!$E154:$H154,"⛔ Bloqueado")&gt;0,"Bloqueado",IF(COUNTIF('E7 — Entrega'!$E154:$H154,"✔ Concluído")=4,"Concluído",IF(COUNTIF('E7 — Entrega'!$E154:$H154,"✔ Concluído")+COUNTIF('E7 — Entrega'!$E154:$H154,"🔄 Em andamento")&gt;0,"Em andamento","Não iniciado"))))))))</f>
        <v/>
      </c>
      <c r="L172" s="234" t="str">
        <f>IF($B172="","",IF($K172&lt;&gt;"Concluído","Não iniciado",IF(OR(COUNTIF('E08 — Estabilização Hypercare'!$E154:$J154,"⛔ Bloqueado")&gt;0,'E08 — Estabilização Hypercare'!$N154="⛔ Incidente Crítico — Encerramento Bloqueado",AND('E08 — Estabilização Hypercare'!$N154="🆕 Evolução Identificada — Nova Demanda Aberta",'E08 — Estabilização Hypercare'!$U154="")),"Bloqueado",IF(AND('E08 — Estabilização Hypercare'!$E154="✔ Concluído",'E08 — Estabilização Hypercare'!$F154="✔ Concluído",'E08 — Estabilização Hypercare'!$G154="✔ Concluído",OR('E08 — Estabilização Hypercare'!$H154="✔ Concluído",'E08 — Estabilização Hypercare'!$H154="N/A"),'E08 — Estabilização Hypercare'!$I154="✔ Concluído",'E08 — Estabilização Hypercare'!$J154="✔ Concluído",OR('E08 — Estabilização Hypercare'!$N154="✅ Estável — Demanda Encerrada",AND('E08 — Estabilização Hypercare'!$N154="🆕 Evolução Identificada — Nova Demanda Aberta",'E08 — Estabilização Hypercare'!$U154&lt;&gt;""))),"Concluído",IF(OR(COUNTIF('E08 — Estabilização Hypercare'!$E154:$J154,"✔ Concluído")&gt;0,COUNTIF('E08 — Estabilização Hypercare'!$E154:$J154,"🔄 Em andamento")&gt;0,'E08 — Estabilização Hypercare'!$N154&lt;&gt;""),"Em andamento","Não iniciado")))))</f>
        <v/>
      </c>
      <c r="M172" s="236" t="str" cm="1">
        <f t="array" ref="M172">IF(B172="","",_xlfn.IFS(E172&lt;&gt;"Concluído","E1 — Solicitação",F172&lt;&gt;"Concluído","E2 — Triagem",G172&lt;&gt;"Concluído","E3 — Levantamento ⚠",H172&lt;&gt;"Concluído","E4 — Execução",I172&lt;&gt;"Concluído","E5 — Validação ⚠",AND(J172&lt;&gt;"Concluído",J172&lt;&gt;"N/A"),"E6 — Ajustes",K172&lt;&gt;"Concluído","E7 — Entrega",L172&lt;&gt;"Concluído","E08 — Estabilização / Hypercare",TRUE,"✔ Fluxo concluído"))</f>
        <v/>
      </c>
      <c r="N172" s="237" t="str">
        <f t="shared" si="2"/>
        <v/>
      </c>
      <c r="O172" s="238"/>
    </row>
    <row r="173" spans="2:15" ht="15" customHeight="1" x14ac:dyDescent="0.35">
      <c r="B173" s="234" t="str">
        <f>IF(Lançamentos!$B150="","",Lançamentos!$B150)</f>
        <v/>
      </c>
      <c r="C173" s="235" t="str">
        <f>IF($B173="","",Lançamentos!$J150)</f>
        <v/>
      </c>
      <c r="D173" s="235" t="str">
        <f>IF($B173="","",Lançamentos!$H150)</f>
        <v/>
      </c>
      <c r="E173" s="234" t="str">
        <f>IF($B173="","",IF(COUNTIF(Lançamentos!$B$3:$B$1001,$B173)=0,"Bloqueado",IF(COUNTIF('E1 — Solicitação'!$E155:$L155,"⛔ Bloqueado")&gt;0,"Bloqueado",IF(COUNTIF('E1 — Solicitação'!$E155:$L155,"N/A")=8,"Bloqueado",IF(COUNTIF('E1 — Solicitação'!$E155:$L155,"✔ Concluído")+COUNTIF('E1 — Solicitação'!$E155:$L155,"N/A")=8,"Concluído",IF(COUNTIF('E1 — Solicitação'!$E155:$L155,"✔ Concluído")+COUNTIF('E1 — Solicitação'!$E155:$L155,"🔄 Em andamento")&gt;0,"Em andamento","Não iniciado"))))))</f>
        <v/>
      </c>
      <c r="F173" s="234" t="str">
        <f>IF($B173="","",IF($E173&lt;&gt;"Concluído","Não iniciado",IF(COUNTIF(Lançamentos!$B$3:$B$1001,$B173)=0,"Bloqueado",IF('E2 — Triagem'!$D155="","Bloqueado",IF(COUNTIF('E2 — Triagem'!$E155:$L155,"N/A")=8,"Bloqueado",IF(COUNTIF('E2 — Triagem'!$E155:$L155,"⛔ Bloqueado")&gt;0,"Bloqueado",IF(COUNTIF('E2 — Triagem'!$E155:$L155,"✔ Concluído")+COUNTIF('E2 — Triagem'!$E155:$L155,"N/A")=8,"Concluído",IF(COUNTIF('E2 — Triagem'!$E155:$L155,"✔ Concluído")+COUNTIF('E2 — Triagem'!$E155:$L155,"🔄 Em andamento")&gt;0,"Em andamento","Não iniciado"))))))))</f>
        <v/>
      </c>
      <c r="G173" s="234" t="str">
        <f>IF($B173="","",IF($F173&lt;&gt;"Concluído","Não iniciado",IF(COUNTIF(Lançamentos!$B$3:$B$1001,$B173)=0,"Bloqueado",IF('E3 — Levantamento'!$D155="","Bloqueado",IF(COUNTIF('E3 — Levantamento'!$E155:$I155,"⛔ Bloqueado")&gt;0,"Bloqueado",IF('E3 — Levantamento'!$I155="N/A","Bloqueado",IF(COUNTIF('E3 — Levantamento'!$E155:$I155,"✔ Concluído")=5,"Concluído",IF(COUNTIF('E3 — Levantamento'!$E155:$I155,"✔ Concluído")+COUNTIF('E3 — Levantamento'!$E155:$I155,"🔄 Em andamento")&gt;0,"Em andamento","Não iniciado"))))))))</f>
        <v/>
      </c>
      <c r="H173" s="234" t="str">
        <f>IF($B173="","",IF($G173&lt;&gt;"Concluído","Não iniciado",IF(COUNTIF(Lançamentos!$B$3:$B$1001,$B173)=0,"Bloqueado",IF('E4 — Execução'!$D155="","Bloqueado",IF(COUNTIF('E4 — Execução'!$E155:$K155,"⛔ Bloqueado")&gt;0,"Bloqueado",IF(COUNTIF('E4 — Execução'!$E155:$K155,"✔ Concluído")=7,"Concluído",IF(COUNTIF('E4 — Execução'!$E155:$K155,"✔ Concluído")+COUNTIF('E4 — Execução'!$E155:$K155,"🔄 Em andamento")&gt;0,"Em andamento","Não iniciado")))))))</f>
        <v/>
      </c>
      <c r="I173" s="234" t="str">
        <f>IF($B173="","",IF($H173&lt;&gt;"Concluído","Não iniciado",IF(COUNTIF(Lançamentos!$B$3:$B$1001,$B173)=0,"Bloqueado",IF('E5 — Validação'!$D155="","Bloqueado",IF(COUNTIF('E5 — Validação'!$E155:$I155,"⛔ Bloqueado")&gt;0,"Bloqueado",IF('E5 — Validação'!$I155="N/A","Bloqueado",IF(AND('E5 — Validação'!$E155="✔ Concluído",'E5 — Validação'!$F155="✔ Concluído",OR('E5 — Validação'!$G155="✔ Concluído",'E5 — Validação'!$G155="N/A"),'E5 — Validação'!$H155="✔ Concluído",'E5 — Validação'!$I155="✔ Concluído"),"Concluído",IF(COUNTIF('E5 — Validação'!$E155:$I155,"✔ Concluído")+COUNTIF('E5 — Validação'!$E155:$I155,"🔄 Em andamento")&gt;0,"Em andamento","Não iniciado"))))))))</f>
        <v/>
      </c>
      <c r="J173" s="234" t="str">
        <f>IF($B173="","",IF($I173&lt;&gt;"Concluído","Não iniciado",IF('E6 — Ajustes'!$N155="Não","N/A",IF(COUNTIF(Lançamentos!$B$3:$B$1001,$B173)=0,"Bloqueado",IF('E6 — Ajustes'!$D155="","Bloqueado",IF(COUNTIF('E6 — Ajustes'!$E155:$J155,"⛔ Bloqueado")&gt;0,"Bloqueado",IF(AND('E6 — Ajustes'!$E155="✔ Concluído",'E6 — Ajustes'!$F155="✔ Concluído",'E6 — Ajustes'!$G155="✔ Concluído",'E6 — Ajustes'!$H155="✔ Concluído",OR('E6 — Ajustes'!$I155="✔ Concluído",'E6 — Ajustes'!$I155="N/A"),'E6 — Ajustes'!$J155="✔ Concluído"),"Concluído",IF(COUNTIF('E6 — Ajustes'!$E155:$J155,"✔ Concluído")+COUNTIF('E6 — Ajustes'!$E155:$J155,"🔄 Em andamento")&gt;0,"Em andamento","Não iniciado"))))))))</f>
        <v/>
      </c>
      <c r="K173" s="234" t="str">
        <f>IF($B173="","",IF($I173&lt;&gt;"Concluído","Não iniciado",IF(AND($J173&lt;&gt;"Concluído",$J173&lt;&gt;"N/A"),"Não iniciado",IF(COUNTIF(Lançamentos!$B$3:$B$1001,$B173)=0,"Bloqueado",IF('E7 — Entrega'!$D155="","Bloqueado",IF(COUNTIF('E7 — Entrega'!$E155:$H155,"⛔ Bloqueado")&gt;0,"Bloqueado",IF(COUNTIF('E7 — Entrega'!$E155:$H155,"✔ Concluído")=4,"Concluído",IF(COUNTIF('E7 — Entrega'!$E155:$H155,"✔ Concluído")+COUNTIF('E7 — Entrega'!$E155:$H155,"🔄 Em andamento")&gt;0,"Em andamento","Não iniciado"))))))))</f>
        <v/>
      </c>
      <c r="L173" s="234" t="str">
        <f>IF($B173="","",IF($K173&lt;&gt;"Concluído","Não iniciado",IF(OR(COUNTIF('E08 — Estabilização Hypercare'!$E155:$J155,"⛔ Bloqueado")&gt;0,'E08 — Estabilização Hypercare'!$N155="⛔ Incidente Crítico — Encerramento Bloqueado",AND('E08 — Estabilização Hypercare'!$N155="🆕 Evolução Identificada — Nova Demanda Aberta",'E08 — Estabilização Hypercare'!$U155="")),"Bloqueado",IF(AND('E08 — Estabilização Hypercare'!$E155="✔ Concluído",'E08 — Estabilização Hypercare'!$F155="✔ Concluído",'E08 — Estabilização Hypercare'!$G155="✔ Concluído",OR('E08 — Estabilização Hypercare'!$H155="✔ Concluído",'E08 — Estabilização Hypercare'!$H155="N/A"),'E08 — Estabilização Hypercare'!$I155="✔ Concluído",'E08 — Estabilização Hypercare'!$J155="✔ Concluído",OR('E08 — Estabilização Hypercare'!$N155="✅ Estável — Demanda Encerrada",AND('E08 — Estabilização Hypercare'!$N155="🆕 Evolução Identificada — Nova Demanda Aberta",'E08 — Estabilização Hypercare'!$U155&lt;&gt;""))),"Concluído",IF(OR(COUNTIF('E08 — Estabilização Hypercare'!$E155:$J155,"✔ Concluído")&gt;0,COUNTIF('E08 — Estabilização Hypercare'!$E155:$J155,"🔄 Em andamento")&gt;0,'E08 — Estabilização Hypercare'!$N155&lt;&gt;""),"Em andamento","Não iniciado")))))</f>
        <v/>
      </c>
      <c r="M173" s="236" t="str" cm="1">
        <f t="array" ref="M173">IF(B173="","",_xlfn.IFS(E173&lt;&gt;"Concluído","E1 — Solicitação",F173&lt;&gt;"Concluído","E2 — Triagem",G173&lt;&gt;"Concluído","E3 — Levantamento ⚠",H173&lt;&gt;"Concluído","E4 — Execução",I173&lt;&gt;"Concluído","E5 — Validação ⚠",AND(J173&lt;&gt;"Concluído",J173&lt;&gt;"N/A"),"E6 — Ajustes",K173&lt;&gt;"Concluído","E7 — Entrega",L173&lt;&gt;"Concluído","E08 — Estabilização / Hypercare",TRUE,"✔ Fluxo concluído"))</f>
        <v/>
      </c>
      <c r="N173" s="237" t="str">
        <f t="shared" si="2"/>
        <v/>
      </c>
      <c r="O173" s="238"/>
    </row>
    <row r="174" spans="2:15" ht="15" customHeight="1" x14ac:dyDescent="0.35">
      <c r="B174" s="234" t="str">
        <f>IF(Lançamentos!$B151="","",Lançamentos!$B151)</f>
        <v/>
      </c>
      <c r="C174" s="235" t="str">
        <f>IF($B174="","",Lançamentos!$J151)</f>
        <v/>
      </c>
      <c r="D174" s="235" t="str">
        <f>IF($B174="","",Lançamentos!$H151)</f>
        <v/>
      </c>
      <c r="E174" s="234" t="str">
        <f>IF($B174="","",IF(COUNTIF(Lançamentos!$B$3:$B$1001,$B174)=0,"Bloqueado",IF(COUNTIF('E1 — Solicitação'!$E156:$L156,"⛔ Bloqueado")&gt;0,"Bloqueado",IF(COUNTIF('E1 — Solicitação'!$E156:$L156,"N/A")=8,"Bloqueado",IF(COUNTIF('E1 — Solicitação'!$E156:$L156,"✔ Concluído")+COUNTIF('E1 — Solicitação'!$E156:$L156,"N/A")=8,"Concluído",IF(COUNTIF('E1 — Solicitação'!$E156:$L156,"✔ Concluído")+COUNTIF('E1 — Solicitação'!$E156:$L156,"🔄 Em andamento")&gt;0,"Em andamento","Não iniciado"))))))</f>
        <v/>
      </c>
      <c r="F174" s="234" t="str">
        <f>IF($B174="","",IF($E174&lt;&gt;"Concluído","Não iniciado",IF(COUNTIF(Lançamentos!$B$3:$B$1001,$B174)=0,"Bloqueado",IF('E2 — Triagem'!$D156="","Bloqueado",IF(COUNTIF('E2 — Triagem'!$E156:$L156,"N/A")=8,"Bloqueado",IF(COUNTIF('E2 — Triagem'!$E156:$L156,"⛔ Bloqueado")&gt;0,"Bloqueado",IF(COUNTIF('E2 — Triagem'!$E156:$L156,"✔ Concluído")+COUNTIF('E2 — Triagem'!$E156:$L156,"N/A")=8,"Concluído",IF(COUNTIF('E2 — Triagem'!$E156:$L156,"✔ Concluído")+COUNTIF('E2 — Triagem'!$E156:$L156,"🔄 Em andamento")&gt;0,"Em andamento","Não iniciado"))))))))</f>
        <v/>
      </c>
      <c r="G174" s="234" t="str">
        <f>IF($B174="","",IF($F174&lt;&gt;"Concluído","Não iniciado",IF(COUNTIF(Lançamentos!$B$3:$B$1001,$B174)=0,"Bloqueado",IF('E3 — Levantamento'!$D156="","Bloqueado",IF(COUNTIF('E3 — Levantamento'!$E156:$I156,"⛔ Bloqueado")&gt;0,"Bloqueado",IF('E3 — Levantamento'!$I156="N/A","Bloqueado",IF(COUNTIF('E3 — Levantamento'!$E156:$I156,"✔ Concluído")=5,"Concluído",IF(COUNTIF('E3 — Levantamento'!$E156:$I156,"✔ Concluído")+COUNTIF('E3 — Levantamento'!$E156:$I156,"🔄 Em andamento")&gt;0,"Em andamento","Não iniciado"))))))))</f>
        <v/>
      </c>
      <c r="H174" s="234" t="str">
        <f>IF($B174="","",IF($G174&lt;&gt;"Concluído","Não iniciado",IF(COUNTIF(Lançamentos!$B$3:$B$1001,$B174)=0,"Bloqueado",IF('E4 — Execução'!$D156="","Bloqueado",IF(COUNTIF('E4 — Execução'!$E156:$K156,"⛔ Bloqueado")&gt;0,"Bloqueado",IF(COUNTIF('E4 — Execução'!$E156:$K156,"✔ Concluído")=7,"Concluído",IF(COUNTIF('E4 — Execução'!$E156:$K156,"✔ Concluído")+COUNTIF('E4 — Execução'!$E156:$K156,"🔄 Em andamento")&gt;0,"Em andamento","Não iniciado")))))))</f>
        <v/>
      </c>
      <c r="I174" s="234" t="str">
        <f>IF($B174="","",IF($H174&lt;&gt;"Concluído","Não iniciado",IF(COUNTIF(Lançamentos!$B$3:$B$1001,$B174)=0,"Bloqueado",IF('E5 — Validação'!$D156="","Bloqueado",IF(COUNTIF('E5 — Validação'!$E156:$I156,"⛔ Bloqueado")&gt;0,"Bloqueado",IF('E5 — Validação'!$I156="N/A","Bloqueado",IF(AND('E5 — Validação'!$E156="✔ Concluído",'E5 — Validação'!$F156="✔ Concluído",OR('E5 — Validação'!$G156="✔ Concluído",'E5 — Validação'!$G156="N/A"),'E5 — Validação'!$H156="✔ Concluído",'E5 — Validação'!$I156="✔ Concluído"),"Concluído",IF(COUNTIF('E5 — Validação'!$E156:$I156,"✔ Concluído")+COUNTIF('E5 — Validação'!$E156:$I156,"🔄 Em andamento")&gt;0,"Em andamento","Não iniciado"))))))))</f>
        <v/>
      </c>
      <c r="J174" s="234" t="str">
        <f>IF($B174="","",IF($I174&lt;&gt;"Concluído","Não iniciado",IF('E6 — Ajustes'!$N156="Não","N/A",IF(COUNTIF(Lançamentos!$B$3:$B$1001,$B174)=0,"Bloqueado",IF('E6 — Ajustes'!$D156="","Bloqueado",IF(COUNTIF('E6 — Ajustes'!$E156:$J156,"⛔ Bloqueado")&gt;0,"Bloqueado",IF(AND('E6 — Ajustes'!$E156="✔ Concluído",'E6 — Ajustes'!$F156="✔ Concluído",'E6 — Ajustes'!$G156="✔ Concluído",'E6 — Ajustes'!$H156="✔ Concluído",OR('E6 — Ajustes'!$I156="✔ Concluído",'E6 — Ajustes'!$I156="N/A"),'E6 — Ajustes'!$J156="✔ Concluído"),"Concluído",IF(COUNTIF('E6 — Ajustes'!$E156:$J156,"✔ Concluído")+COUNTIF('E6 — Ajustes'!$E156:$J156,"🔄 Em andamento")&gt;0,"Em andamento","Não iniciado"))))))))</f>
        <v/>
      </c>
      <c r="K174" s="234" t="str">
        <f>IF($B174="","",IF($I174&lt;&gt;"Concluído","Não iniciado",IF(AND($J174&lt;&gt;"Concluído",$J174&lt;&gt;"N/A"),"Não iniciado",IF(COUNTIF(Lançamentos!$B$3:$B$1001,$B174)=0,"Bloqueado",IF('E7 — Entrega'!$D156="","Bloqueado",IF(COUNTIF('E7 — Entrega'!$E156:$H156,"⛔ Bloqueado")&gt;0,"Bloqueado",IF(COUNTIF('E7 — Entrega'!$E156:$H156,"✔ Concluído")=4,"Concluído",IF(COUNTIF('E7 — Entrega'!$E156:$H156,"✔ Concluído")+COUNTIF('E7 — Entrega'!$E156:$H156,"🔄 Em andamento")&gt;0,"Em andamento","Não iniciado"))))))))</f>
        <v/>
      </c>
      <c r="L174" s="234" t="str">
        <f>IF($B174="","",IF($K174&lt;&gt;"Concluído","Não iniciado",IF(OR(COUNTIF('E08 — Estabilização Hypercare'!$E156:$J156,"⛔ Bloqueado")&gt;0,'E08 — Estabilização Hypercare'!$N156="⛔ Incidente Crítico — Encerramento Bloqueado",AND('E08 — Estabilização Hypercare'!$N156="🆕 Evolução Identificada — Nova Demanda Aberta",'E08 — Estabilização Hypercare'!$U156="")),"Bloqueado",IF(AND('E08 — Estabilização Hypercare'!$E156="✔ Concluído",'E08 — Estabilização Hypercare'!$F156="✔ Concluído",'E08 — Estabilização Hypercare'!$G156="✔ Concluído",OR('E08 — Estabilização Hypercare'!$H156="✔ Concluído",'E08 — Estabilização Hypercare'!$H156="N/A"),'E08 — Estabilização Hypercare'!$I156="✔ Concluído",'E08 — Estabilização Hypercare'!$J156="✔ Concluído",OR('E08 — Estabilização Hypercare'!$N156="✅ Estável — Demanda Encerrada",AND('E08 — Estabilização Hypercare'!$N156="🆕 Evolução Identificada — Nova Demanda Aberta",'E08 — Estabilização Hypercare'!$U156&lt;&gt;""))),"Concluído",IF(OR(COUNTIF('E08 — Estabilização Hypercare'!$E156:$J156,"✔ Concluído")&gt;0,COUNTIF('E08 — Estabilização Hypercare'!$E156:$J156,"🔄 Em andamento")&gt;0,'E08 — Estabilização Hypercare'!$N156&lt;&gt;""),"Em andamento","Não iniciado")))))</f>
        <v/>
      </c>
      <c r="M174" s="236" t="str" cm="1">
        <f t="array" ref="M174">IF(B174="","",_xlfn.IFS(E174&lt;&gt;"Concluído","E1 — Solicitação",F174&lt;&gt;"Concluído","E2 — Triagem",G174&lt;&gt;"Concluído","E3 — Levantamento ⚠",H174&lt;&gt;"Concluído","E4 — Execução",I174&lt;&gt;"Concluído","E5 — Validação ⚠",AND(J174&lt;&gt;"Concluído",J174&lt;&gt;"N/A"),"E6 — Ajustes",K174&lt;&gt;"Concluído","E7 — Entrega",L174&lt;&gt;"Concluído","E08 — Estabilização / Hypercare",TRUE,"✔ Fluxo concluído"))</f>
        <v/>
      </c>
      <c r="N174" s="237" t="str">
        <f t="shared" si="2"/>
        <v/>
      </c>
      <c r="O174" s="238"/>
    </row>
    <row r="175" spans="2:15" ht="15" customHeight="1" x14ac:dyDescent="0.35">
      <c r="B175" s="234" t="str">
        <f>IF(Lançamentos!$B152="","",Lançamentos!$B152)</f>
        <v/>
      </c>
      <c r="C175" s="235" t="str">
        <f>IF($B175="","",Lançamentos!$J152)</f>
        <v/>
      </c>
      <c r="D175" s="235" t="str">
        <f>IF($B175="","",Lançamentos!$H152)</f>
        <v/>
      </c>
      <c r="E175" s="234" t="str">
        <f>IF($B175="","",IF(COUNTIF(Lançamentos!$B$3:$B$1001,$B175)=0,"Bloqueado",IF(COUNTIF('E1 — Solicitação'!$E157:$L157,"⛔ Bloqueado")&gt;0,"Bloqueado",IF(COUNTIF('E1 — Solicitação'!$E157:$L157,"N/A")=8,"Bloqueado",IF(COUNTIF('E1 — Solicitação'!$E157:$L157,"✔ Concluído")+COUNTIF('E1 — Solicitação'!$E157:$L157,"N/A")=8,"Concluído",IF(COUNTIF('E1 — Solicitação'!$E157:$L157,"✔ Concluído")+COUNTIF('E1 — Solicitação'!$E157:$L157,"🔄 Em andamento")&gt;0,"Em andamento","Não iniciado"))))))</f>
        <v/>
      </c>
      <c r="F175" s="234" t="str">
        <f>IF($B175="","",IF($E175&lt;&gt;"Concluído","Não iniciado",IF(COUNTIF(Lançamentos!$B$3:$B$1001,$B175)=0,"Bloqueado",IF('E2 — Triagem'!$D157="","Bloqueado",IF(COUNTIF('E2 — Triagem'!$E157:$L157,"N/A")=8,"Bloqueado",IF(COUNTIF('E2 — Triagem'!$E157:$L157,"⛔ Bloqueado")&gt;0,"Bloqueado",IF(COUNTIF('E2 — Triagem'!$E157:$L157,"✔ Concluído")+COUNTIF('E2 — Triagem'!$E157:$L157,"N/A")=8,"Concluído",IF(COUNTIF('E2 — Triagem'!$E157:$L157,"✔ Concluído")+COUNTIF('E2 — Triagem'!$E157:$L157,"🔄 Em andamento")&gt;0,"Em andamento","Não iniciado"))))))))</f>
        <v/>
      </c>
      <c r="G175" s="234" t="str">
        <f>IF($B175="","",IF($F175&lt;&gt;"Concluído","Não iniciado",IF(COUNTIF(Lançamentos!$B$3:$B$1001,$B175)=0,"Bloqueado",IF('E3 — Levantamento'!$D157="","Bloqueado",IF(COUNTIF('E3 — Levantamento'!$E157:$I157,"⛔ Bloqueado")&gt;0,"Bloqueado",IF('E3 — Levantamento'!$I157="N/A","Bloqueado",IF(COUNTIF('E3 — Levantamento'!$E157:$I157,"✔ Concluído")=5,"Concluído",IF(COUNTIF('E3 — Levantamento'!$E157:$I157,"✔ Concluído")+COUNTIF('E3 — Levantamento'!$E157:$I157,"🔄 Em andamento")&gt;0,"Em andamento","Não iniciado"))))))))</f>
        <v/>
      </c>
      <c r="H175" s="234" t="str">
        <f>IF($B175="","",IF($G175&lt;&gt;"Concluído","Não iniciado",IF(COUNTIF(Lançamentos!$B$3:$B$1001,$B175)=0,"Bloqueado",IF('E4 — Execução'!$D157="","Bloqueado",IF(COUNTIF('E4 — Execução'!$E157:$K157,"⛔ Bloqueado")&gt;0,"Bloqueado",IF(COUNTIF('E4 — Execução'!$E157:$K157,"✔ Concluído")=7,"Concluído",IF(COUNTIF('E4 — Execução'!$E157:$K157,"✔ Concluído")+COUNTIF('E4 — Execução'!$E157:$K157,"🔄 Em andamento")&gt;0,"Em andamento","Não iniciado")))))))</f>
        <v/>
      </c>
      <c r="I175" s="234" t="str">
        <f>IF($B175="","",IF($H175&lt;&gt;"Concluído","Não iniciado",IF(COUNTIF(Lançamentos!$B$3:$B$1001,$B175)=0,"Bloqueado",IF('E5 — Validação'!$D157="","Bloqueado",IF(COUNTIF('E5 — Validação'!$E157:$I157,"⛔ Bloqueado")&gt;0,"Bloqueado",IF('E5 — Validação'!$I157="N/A","Bloqueado",IF(AND('E5 — Validação'!$E157="✔ Concluído",'E5 — Validação'!$F157="✔ Concluído",OR('E5 — Validação'!$G157="✔ Concluído",'E5 — Validação'!$G157="N/A"),'E5 — Validação'!$H157="✔ Concluído",'E5 — Validação'!$I157="✔ Concluído"),"Concluído",IF(COUNTIF('E5 — Validação'!$E157:$I157,"✔ Concluído")+COUNTIF('E5 — Validação'!$E157:$I157,"🔄 Em andamento")&gt;0,"Em andamento","Não iniciado"))))))))</f>
        <v/>
      </c>
      <c r="J175" s="234" t="str">
        <f>IF($B175="","",IF($I175&lt;&gt;"Concluído","Não iniciado",IF('E6 — Ajustes'!$N157="Não","N/A",IF(COUNTIF(Lançamentos!$B$3:$B$1001,$B175)=0,"Bloqueado",IF('E6 — Ajustes'!$D157="","Bloqueado",IF(COUNTIF('E6 — Ajustes'!$E157:$J157,"⛔ Bloqueado")&gt;0,"Bloqueado",IF(AND('E6 — Ajustes'!$E157="✔ Concluído",'E6 — Ajustes'!$F157="✔ Concluído",'E6 — Ajustes'!$G157="✔ Concluído",'E6 — Ajustes'!$H157="✔ Concluído",OR('E6 — Ajustes'!$I157="✔ Concluído",'E6 — Ajustes'!$I157="N/A"),'E6 — Ajustes'!$J157="✔ Concluído"),"Concluído",IF(COUNTIF('E6 — Ajustes'!$E157:$J157,"✔ Concluído")+COUNTIF('E6 — Ajustes'!$E157:$J157,"🔄 Em andamento")&gt;0,"Em andamento","Não iniciado"))))))))</f>
        <v/>
      </c>
      <c r="K175" s="234" t="str">
        <f>IF($B175="","",IF($I175&lt;&gt;"Concluído","Não iniciado",IF(AND($J175&lt;&gt;"Concluído",$J175&lt;&gt;"N/A"),"Não iniciado",IF(COUNTIF(Lançamentos!$B$3:$B$1001,$B175)=0,"Bloqueado",IF('E7 — Entrega'!$D157="","Bloqueado",IF(COUNTIF('E7 — Entrega'!$E157:$H157,"⛔ Bloqueado")&gt;0,"Bloqueado",IF(COUNTIF('E7 — Entrega'!$E157:$H157,"✔ Concluído")=4,"Concluído",IF(COUNTIF('E7 — Entrega'!$E157:$H157,"✔ Concluído")+COUNTIF('E7 — Entrega'!$E157:$H157,"🔄 Em andamento")&gt;0,"Em andamento","Não iniciado"))))))))</f>
        <v/>
      </c>
      <c r="L175" s="234" t="str">
        <f>IF($B175="","",IF($K175&lt;&gt;"Concluído","Não iniciado",IF(OR(COUNTIF('E08 — Estabilização Hypercare'!$E157:$J157,"⛔ Bloqueado")&gt;0,'E08 — Estabilização Hypercare'!$N157="⛔ Incidente Crítico — Encerramento Bloqueado",AND('E08 — Estabilização Hypercare'!$N157="🆕 Evolução Identificada — Nova Demanda Aberta",'E08 — Estabilização Hypercare'!$U157="")),"Bloqueado",IF(AND('E08 — Estabilização Hypercare'!$E157="✔ Concluído",'E08 — Estabilização Hypercare'!$F157="✔ Concluído",'E08 — Estabilização Hypercare'!$G157="✔ Concluído",OR('E08 — Estabilização Hypercare'!$H157="✔ Concluído",'E08 — Estabilização Hypercare'!$H157="N/A"),'E08 — Estabilização Hypercare'!$I157="✔ Concluído",'E08 — Estabilização Hypercare'!$J157="✔ Concluído",OR('E08 — Estabilização Hypercare'!$N157="✅ Estável — Demanda Encerrada",AND('E08 — Estabilização Hypercare'!$N157="🆕 Evolução Identificada — Nova Demanda Aberta",'E08 — Estabilização Hypercare'!$U157&lt;&gt;""))),"Concluído",IF(OR(COUNTIF('E08 — Estabilização Hypercare'!$E157:$J157,"✔ Concluído")&gt;0,COUNTIF('E08 — Estabilização Hypercare'!$E157:$J157,"🔄 Em andamento")&gt;0,'E08 — Estabilização Hypercare'!$N157&lt;&gt;""),"Em andamento","Não iniciado")))))</f>
        <v/>
      </c>
      <c r="M175" s="236" t="str" cm="1">
        <f t="array" ref="M175">IF(B175="","",_xlfn.IFS(E175&lt;&gt;"Concluído","E1 — Solicitação",F175&lt;&gt;"Concluído","E2 — Triagem",G175&lt;&gt;"Concluído","E3 — Levantamento ⚠",H175&lt;&gt;"Concluído","E4 — Execução",I175&lt;&gt;"Concluído","E5 — Validação ⚠",AND(J175&lt;&gt;"Concluído",J175&lt;&gt;"N/A"),"E6 — Ajustes",K175&lt;&gt;"Concluído","E7 — Entrega",L175&lt;&gt;"Concluído","E08 — Estabilização / Hypercare",TRUE,"✔ Fluxo concluído"))</f>
        <v/>
      </c>
      <c r="N175" s="237" t="str">
        <f t="shared" si="2"/>
        <v/>
      </c>
      <c r="O175" s="238"/>
    </row>
    <row r="176" spans="2:15" ht="15" customHeight="1" x14ac:dyDescent="0.35">
      <c r="B176" s="234" t="str">
        <f>IF(Lançamentos!$B153="","",Lançamentos!$B153)</f>
        <v/>
      </c>
      <c r="C176" s="235" t="str">
        <f>IF($B176="","",Lançamentos!$J153)</f>
        <v/>
      </c>
      <c r="D176" s="235" t="str">
        <f>IF($B176="","",Lançamentos!$H153)</f>
        <v/>
      </c>
      <c r="E176" s="234" t="str">
        <f>IF($B176="","",IF(COUNTIF(Lançamentos!$B$3:$B$1001,$B176)=0,"Bloqueado",IF(COUNTIF('E1 — Solicitação'!$E158:$L158,"⛔ Bloqueado")&gt;0,"Bloqueado",IF(COUNTIF('E1 — Solicitação'!$E158:$L158,"N/A")=8,"Bloqueado",IF(COUNTIF('E1 — Solicitação'!$E158:$L158,"✔ Concluído")+COUNTIF('E1 — Solicitação'!$E158:$L158,"N/A")=8,"Concluído",IF(COUNTIF('E1 — Solicitação'!$E158:$L158,"✔ Concluído")+COUNTIF('E1 — Solicitação'!$E158:$L158,"🔄 Em andamento")&gt;0,"Em andamento","Não iniciado"))))))</f>
        <v/>
      </c>
      <c r="F176" s="234" t="str">
        <f>IF($B176="","",IF($E176&lt;&gt;"Concluído","Não iniciado",IF(COUNTIF(Lançamentos!$B$3:$B$1001,$B176)=0,"Bloqueado",IF('E2 — Triagem'!$D158="","Bloqueado",IF(COUNTIF('E2 — Triagem'!$E158:$L158,"N/A")=8,"Bloqueado",IF(COUNTIF('E2 — Triagem'!$E158:$L158,"⛔ Bloqueado")&gt;0,"Bloqueado",IF(COUNTIF('E2 — Triagem'!$E158:$L158,"✔ Concluído")+COUNTIF('E2 — Triagem'!$E158:$L158,"N/A")=8,"Concluído",IF(COUNTIF('E2 — Triagem'!$E158:$L158,"✔ Concluído")+COUNTIF('E2 — Triagem'!$E158:$L158,"🔄 Em andamento")&gt;0,"Em andamento","Não iniciado"))))))))</f>
        <v/>
      </c>
      <c r="G176" s="234" t="str">
        <f>IF($B176="","",IF($F176&lt;&gt;"Concluído","Não iniciado",IF(COUNTIF(Lançamentos!$B$3:$B$1001,$B176)=0,"Bloqueado",IF('E3 — Levantamento'!$D158="","Bloqueado",IF(COUNTIF('E3 — Levantamento'!$E158:$I158,"⛔ Bloqueado")&gt;0,"Bloqueado",IF('E3 — Levantamento'!$I158="N/A","Bloqueado",IF(COUNTIF('E3 — Levantamento'!$E158:$I158,"✔ Concluído")=5,"Concluído",IF(COUNTIF('E3 — Levantamento'!$E158:$I158,"✔ Concluído")+COUNTIF('E3 — Levantamento'!$E158:$I158,"🔄 Em andamento")&gt;0,"Em andamento","Não iniciado"))))))))</f>
        <v/>
      </c>
      <c r="H176" s="234" t="str">
        <f>IF($B176="","",IF($G176&lt;&gt;"Concluído","Não iniciado",IF(COUNTIF(Lançamentos!$B$3:$B$1001,$B176)=0,"Bloqueado",IF('E4 — Execução'!$D158="","Bloqueado",IF(COUNTIF('E4 — Execução'!$E158:$K158,"⛔ Bloqueado")&gt;0,"Bloqueado",IF(COUNTIF('E4 — Execução'!$E158:$K158,"✔ Concluído")=7,"Concluído",IF(COUNTIF('E4 — Execução'!$E158:$K158,"✔ Concluído")+COUNTIF('E4 — Execução'!$E158:$K158,"🔄 Em andamento")&gt;0,"Em andamento","Não iniciado")))))))</f>
        <v/>
      </c>
      <c r="I176" s="234" t="str">
        <f>IF($B176="","",IF($H176&lt;&gt;"Concluído","Não iniciado",IF(COUNTIF(Lançamentos!$B$3:$B$1001,$B176)=0,"Bloqueado",IF('E5 — Validação'!$D158="","Bloqueado",IF(COUNTIF('E5 — Validação'!$E158:$I158,"⛔ Bloqueado")&gt;0,"Bloqueado",IF('E5 — Validação'!$I158="N/A","Bloqueado",IF(AND('E5 — Validação'!$E158="✔ Concluído",'E5 — Validação'!$F158="✔ Concluído",OR('E5 — Validação'!$G158="✔ Concluído",'E5 — Validação'!$G158="N/A"),'E5 — Validação'!$H158="✔ Concluído",'E5 — Validação'!$I158="✔ Concluído"),"Concluído",IF(COUNTIF('E5 — Validação'!$E158:$I158,"✔ Concluído")+COUNTIF('E5 — Validação'!$E158:$I158,"🔄 Em andamento")&gt;0,"Em andamento","Não iniciado"))))))))</f>
        <v/>
      </c>
      <c r="J176" s="234" t="str">
        <f>IF($B176="","",IF($I176&lt;&gt;"Concluído","Não iniciado",IF('E6 — Ajustes'!$N158="Não","N/A",IF(COUNTIF(Lançamentos!$B$3:$B$1001,$B176)=0,"Bloqueado",IF('E6 — Ajustes'!$D158="","Bloqueado",IF(COUNTIF('E6 — Ajustes'!$E158:$J158,"⛔ Bloqueado")&gt;0,"Bloqueado",IF(AND('E6 — Ajustes'!$E158="✔ Concluído",'E6 — Ajustes'!$F158="✔ Concluído",'E6 — Ajustes'!$G158="✔ Concluído",'E6 — Ajustes'!$H158="✔ Concluído",OR('E6 — Ajustes'!$I158="✔ Concluído",'E6 — Ajustes'!$I158="N/A"),'E6 — Ajustes'!$J158="✔ Concluído"),"Concluído",IF(COUNTIF('E6 — Ajustes'!$E158:$J158,"✔ Concluído")+COUNTIF('E6 — Ajustes'!$E158:$J158,"🔄 Em andamento")&gt;0,"Em andamento","Não iniciado"))))))))</f>
        <v/>
      </c>
      <c r="K176" s="234" t="str">
        <f>IF($B176="","",IF($I176&lt;&gt;"Concluído","Não iniciado",IF(AND($J176&lt;&gt;"Concluído",$J176&lt;&gt;"N/A"),"Não iniciado",IF(COUNTIF(Lançamentos!$B$3:$B$1001,$B176)=0,"Bloqueado",IF('E7 — Entrega'!$D158="","Bloqueado",IF(COUNTIF('E7 — Entrega'!$E158:$H158,"⛔ Bloqueado")&gt;0,"Bloqueado",IF(COUNTIF('E7 — Entrega'!$E158:$H158,"✔ Concluído")=4,"Concluído",IF(COUNTIF('E7 — Entrega'!$E158:$H158,"✔ Concluído")+COUNTIF('E7 — Entrega'!$E158:$H158,"🔄 Em andamento")&gt;0,"Em andamento","Não iniciado"))))))))</f>
        <v/>
      </c>
      <c r="L176" s="234" t="str">
        <f>IF($B176="","",IF($K176&lt;&gt;"Concluído","Não iniciado",IF(OR(COUNTIF('E08 — Estabilização Hypercare'!$E158:$J158,"⛔ Bloqueado")&gt;0,'E08 — Estabilização Hypercare'!$N158="⛔ Incidente Crítico — Encerramento Bloqueado",AND('E08 — Estabilização Hypercare'!$N158="🆕 Evolução Identificada — Nova Demanda Aberta",'E08 — Estabilização Hypercare'!$U158="")),"Bloqueado",IF(AND('E08 — Estabilização Hypercare'!$E158="✔ Concluído",'E08 — Estabilização Hypercare'!$F158="✔ Concluído",'E08 — Estabilização Hypercare'!$G158="✔ Concluído",OR('E08 — Estabilização Hypercare'!$H158="✔ Concluído",'E08 — Estabilização Hypercare'!$H158="N/A"),'E08 — Estabilização Hypercare'!$I158="✔ Concluído",'E08 — Estabilização Hypercare'!$J158="✔ Concluído",OR('E08 — Estabilização Hypercare'!$N158="✅ Estável — Demanda Encerrada",AND('E08 — Estabilização Hypercare'!$N158="🆕 Evolução Identificada — Nova Demanda Aberta",'E08 — Estabilização Hypercare'!$U158&lt;&gt;""))),"Concluído",IF(OR(COUNTIF('E08 — Estabilização Hypercare'!$E158:$J158,"✔ Concluído")&gt;0,COUNTIF('E08 — Estabilização Hypercare'!$E158:$J158,"🔄 Em andamento")&gt;0,'E08 — Estabilização Hypercare'!$N158&lt;&gt;""),"Em andamento","Não iniciado")))))</f>
        <v/>
      </c>
      <c r="M176" s="236" t="str" cm="1">
        <f t="array" ref="M176">IF(B176="","",_xlfn.IFS(E176&lt;&gt;"Concluído","E1 — Solicitação",F176&lt;&gt;"Concluído","E2 — Triagem",G176&lt;&gt;"Concluído","E3 — Levantamento ⚠",H176&lt;&gt;"Concluído","E4 — Execução",I176&lt;&gt;"Concluído","E5 — Validação ⚠",AND(J176&lt;&gt;"Concluído",J176&lt;&gt;"N/A"),"E6 — Ajustes",K176&lt;&gt;"Concluído","E7 — Entrega",L176&lt;&gt;"Concluído","E08 — Estabilização / Hypercare",TRUE,"✔ Fluxo concluído"))</f>
        <v/>
      </c>
      <c r="N176" s="237" t="str">
        <f t="shared" si="2"/>
        <v/>
      </c>
      <c r="O176" s="238"/>
    </row>
    <row r="177" spans="2:15" ht="15" customHeight="1" x14ac:dyDescent="0.35">
      <c r="B177" s="234" t="str">
        <f>IF(Lançamentos!$B154="","",Lançamentos!$B154)</f>
        <v/>
      </c>
      <c r="C177" s="235" t="str">
        <f>IF($B177="","",Lançamentos!$J154)</f>
        <v/>
      </c>
      <c r="D177" s="235" t="str">
        <f>IF($B177="","",Lançamentos!$H154)</f>
        <v/>
      </c>
      <c r="E177" s="234" t="str">
        <f>IF($B177="","",IF(COUNTIF(Lançamentos!$B$3:$B$1001,$B177)=0,"Bloqueado",IF(COUNTIF('E1 — Solicitação'!$E159:$L159,"⛔ Bloqueado")&gt;0,"Bloqueado",IF(COUNTIF('E1 — Solicitação'!$E159:$L159,"N/A")=8,"Bloqueado",IF(COUNTIF('E1 — Solicitação'!$E159:$L159,"✔ Concluído")+COUNTIF('E1 — Solicitação'!$E159:$L159,"N/A")=8,"Concluído",IF(COUNTIF('E1 — Solicitação'!$E159:$L159,"✔ Concluído")+COUNTIF('E1 — Solicitação'!$E159:$L159,"🔄 Em andamento")&gt;0,"Em andamento","Não iniciado"))))))</f>
        <v/>
      </c>
      <c r="F177" s="234" t="str">
        <f>IF($B177="","",IF($E177&lt;&gt;"Concluído","Não iniciado",IF(COUNTIF(Lançamentos!$B$3:$B$1001,$B177)=0,"Bloqueado",IF('E2 — Triagem'!$D159="","Bloqueado",IF(COUNTIF('E2 — Triagem'!$E159:$L159,"N/A")=8,"Bloqueado",IF(COUNTIF('E2 — Triagem'!$E159:$L159,"⛔ Bloqueado")&gt;0,"Bloqueado",IF(COUNTIF('E2 — Triagem'!$E159:$L159,"✔ Concluído")+COUNTIF('E2 — Triagem'!$E159:$L159,"N/A")=8,"Concluído",IF(COUNTIF('E2 — Triagem'!$E159:$L159,"✔ Concluído")+COUNTIF('E2 — Triagem'!$E159:$L159,"🔄 Em andamento")&gt;0,"Em andamento","Não iniciado"))))))))</f>
        <v/>
      </c>
      <c r="G177" s="234" t="str">
        <f>IF($B177="","",IF($F177&lt;&gt;"Concluído","Não iniciado",IF(COUNTIF(Lançamentos!$B$3:$B$1001,$B177)=0,"Bloqueado",IF('E3 — Levantamento'!$D159="","Bloqueado",IF(COUNTIF('E3 — Levantamento'!$E159:$I159,"⛔ Bloqueado")&gt;0,"Bloqueado",IF('E3 — Levantamento'!$I159="N/A","Bloqueado",IF(COUNTIF('E3 — Levantamento'!$E159:$I159,"✔ Concluído")=5,"Concluído",IF(COUNTIF('E3 — Levantamento'!$E159:$I159,"✔ Concluído")+COUNTIF('E3 — Levantamento'!$E159:$I159,"🔄 Em andamento")&gt;0,"Em andamento","Não iniciado"))))))))</f>
        <v/>
      </c>
      <c r="H177" s="234" t="str">
        <f>IF($B177="","",IF($G177&lt;&gt;"Concluído","Não iniciado",IF(COUNTIF(Lançamentos!$B$3:$B$1001,$B177)=0,"Bloqueado",IF('E4 — Execução'!$D159="","Bloqueado",IF(COUNTIF('E4 — Execução'!$E159:$K159,"⛔ Bloqueado")&gt;0,"Bloqueado",IF(COUNTIF('E4 — Execução'!$E159:$K159,"✔ Concluído")=7,"Concluído",IF(COUNTIF('E4 — Execução'!$E159:$K159,"✔ Concluído")+COUNTIF('E4 — Execução'!$E159:$K159,"🔄 Em andamento")&gt;0,"Em andamento","Não iniciado")))))))</f>
        <v/>
      </c>
      <c r="I177" s="234" t="str">
        <f>IF($B177="","",IF($H177&lt;&gt;"Concluído","Não iniciado",IF(COUNTIF(Lançamentos!$B$3:$B$1001,$B177)=0,"Bloqueado",IF('E5 — Validação'!$D159="","Bloqueado",IF(COUNTIF('E5 — Validação'!$E159:$I159,"⛔ Bloqueado")&gt;0,"Bloqueado",IF('E5 — Validação'!$I159="N/A","Bloqueado",IF(AND('E5 — Validação'!$E159="✔ Concluído",'E5 — Validação'!$F159="✔ Concluído",OR('E5 — Validação'!$G159="✔ Concluído",'E5 — Validação'!$G159="N/A"),'E5 — Validação'!$H159="✔ Concluído",'E5 — Validação'!$I159="✔ Concluído"),"Concluído",IF(COUNTIF('E5 — Validação'!$E159:$I159,"✔ Concluído")+COUNTIF('E5 — Validação'!$E159:$I159,"🔄 Em andamento")&gt;0,"Em andamento","Não iniciado"))))))))</f>
        <v/>
      </c>
      <c r="J177" s="234" t="str">
        <f>IF($B177="","",IF($I177&lt;&gt;"Concluído","Não iniciado",IF('E6 — Ajustes'!$N159="Não","N/A",IF(COUNTIF(Lançamentos!$B$3:$B$1001,$B177)=0,"Bloqueado",IF('E6 — Ajustes'!$D159="","Bloqueado",IF(COUNTIF('E6 — Ajustes'!$E159:$J159,"⛔ Bloqueado")&gt;0,"Bloqueado",IF(AND('E6 — Ajustes'!$E159="✔ Concluído",'E6 — Ajustes'!$F159="✔ Concluído",'E6 — Ajustes'!$G159="✔ Concluído",'E6 — Ajustes'!$H159="✔ Concluído",OR('E6 — Ajustes'!$I159="✔ Concluído",'E6 — Ajustes'!$I159="N/A"),'E6 — Ajustes'!$J159="✔ Concluído"),"Concluído",IF(COUNTIF('E6 — Ajustes'!$E159:$J159,"✔ Concluído")+COUNTIF('E6 — Ajustes'!$E159:$J159,"🔄 Em andamento")&gt;0,"Em andamento","Não iniciado"))))))))</f>
        <v/>
      </c>
      <c r="K177" s="234" t="str">
        <f>IF($B177="","",IF($I177&lt;&gt;"Concluído","Não iniciado",IF(AND($J177&lt;&gt;"Concluído",$J177&lt;&gt;"N/A"),"Não iniciado",IF(COUNTIF(Lançamentos!$B$3:$B$1001,$B177)=0,"Bloqueado",IF('E7 — Entrega'!$D159="","Bloqueado",IF(COUNTIF('E7 — Entrega'!$E159:$H159,"⛔ Bloqueado")&gt;0,"Bloqueado",IF(COUNTIF('E7 — Entrega'!$E159:$H159,"✔ Concluído")=4,"Concluído",IF(COUNTIF('E7 — Entrega'!$E159:$H159,"✔ Concluído")+COUNTIF('E7 — Entrega'!$E159:$H159,"🔄 Em andamento")&gt;0,"Em andamento","Não iniciado"))))))))</f>
        <v/>
      </c>
      <c r="L177" s="234" t="str">
        <f>IF($B177="","",IF($K177&lt;&gt;"Concluído","Não iniciado",IF(OR(COUNTIF('E08 — Estabilização Hypercare'!$E159:$J159,"⛔ Bloqueado")&gt;0,'E08 — Estabilização Hypercare'!$N159="⛔ Incidente Crítico — Encerramento Bloqueado",AND('E08 — Estabilização Hypercare'!$N159="🆕 Evolução Identificada — Nova Demanda Aberta",'E08 — Estabilização Hypercare'!$U159="")),"Bloqueado",IF(AND('E08 — Estabilização Hypercare'!$E159="✔ Concluído",'E08 — Estabilização Hypercare'!$F159="✔ Concluído",'E08 — Estabilização Hypercare'!$G159="✔ Concluído",OR('E08 — Estabilização Hypercare'!$H159="✔ Concluído",'E08 — Estabilização Hypercare'!$H159="N/A"),'E08 — Estabilização Hypercare'!$I159="✔ Concluído",'E08 — Estabilização Hypercare'!$J159="✔ Concluído",OR('E08 — Estabilização Hypercare'!$N159="✅ Estável — Demanda Encerrada",AND('E08 — Estabilização Hypercare'!$N159="🆕 Evolução Identificada — Nova Demanda Aberta",'E08 — Estabilização Hypercare'!$U159&lt;&gt;""))),"Concluído",IF(OR(COUNTIF('E08 — Estabilização Hypercare'!$E159:$J159,"✔ Concluído")&gt;0,COUNTIF('E08 — Estabilização Hypercare'!$E159:$J159,"🔄 Em andamento")&gt;0,'E08 — Estabilização Hypercare'!$N159&lt;&gt;""),"Em andamento","Não iniciado")))))</f>
        <v/>
      </c>
      <c r="M177" s="236" t="str" cm="1">
        <f t="array" ref="M177">IF(B177="","",_xlfn.IFS(E177&lt;&gt;"Concluído","E1 — Solicitação",F177&lt;&gt;"Concluído","E2 — Triagem",G177&lt;&gt;"Concluído","E3 — Levantamento ⚠",H177&lt;&gt;"Concluído","E4 — Execução",I177&lt;&gt;"Concluído","E5 — Validação ⚠",AND(J177&lt;&gt;"Concluído",J177&lt;&gt;"N/A"),"E6 — Ajustes",K177&lt;&gt;"Concluído","E7 — Entrega",L177&lt;&gt;"Concluído","E08 — Estabilização / Hypercare",TRUE,"✔ Fluxo concluído"))</f>
        <v/>
      </c>
      <c r="N177" s="237" t="str">
        <f t="shared" si="2"/>
        <v/>
      </c>
      <c r="O177" s="238"/>
    </row>
    <row r="178" spans="2:15" ht="15" customHeight="1" x14ac:dyDescent="0.35">
      <c r="B178" s="234" t="str">
        <f>IF(Lançamentos!$B155="","",Lançamentos!$B155)</f>
        <v/>
      </c>
      <c r="C178" s="235" t="str">
        <f>IF($B178="","",Lançamentos!$J155)</f>
        <v/>
      </c>
      <c r="D178" s="235" t="str">
        <f>IF($B178="","",Lançamentos!$H155)</f>
        <v/>
      </c>
      <c r="E178" s="234" t="str">
        <f>IF($B178="","",IF(COUNTIF(Lançamentos!$B$3:$B$1001,$B178)=0,"Bloqueado",IF(COUNTIF('E1 — Solicitação'!$E160:$L160,"⛔ Bloqueado")&gt;0,"Bloqueado",IF(COUNTIF('E1 — Solicitação'!$E160:$L160,"N/A")=8,"Bloqueado",IF(COUNTIF('E1 — Solicitação'!$E160:$L160,"✔ Concluído")+COUNTIF('E1 — Solicitação'!$E160:$L160,"N/A")=8,"Concluído",IF(COUNTIF('E1 — Solicitação'!$E160:$L160,"✔ Concluído")+COUNTIF('E1 — Solicitação'!$E160:$L160,"🔄 Em andamento")&gt;0,"Em andamento","Não iniciado"))))))</f>
        <v/>
      </c>
      <c r="F178" s="234" t="str">
        <f>IF($B178="","",IF($E178&lt;&gt;"Concluído","Não iniciado",IF(COUNTIF(Lançamentos!$B$3:$B$1001,$B178)=0,"Bloqueado",IF('E2 — Triagem'!$D160="","Bloqueado",IF(COUNTIF('E2 — Triagem'!$E160:$L160,"N/A")=8,"Bloqueado",IF(COUNTIF('E2 — Triagem'!$E160:$L160,"⛔ Bloqueado")&gt;0,"Bloqueado",IF(COUNTIF('E2 — Triagem'!$E160:$L160,"✔ Concluído")+COUNTIF('E2 — Triagem'!$E160:$L160,"N/A")=8,"Concluído",IF(COUNTIF('E2 — Triagem'!$E160:$L160,"✔ Concluído")+COUNTIF('E2 — Triagem'!$E160:$L160,"🔄 Em andamento")&gt;0,"Em andamento","Não iniciado"))))))))</f>
        <v/>
      </c>
      <c r="G178" s="234" t="str">
        <f>IF($B178="","",IF($F178&lt;&gt;"Concluído","Não iniciado",IF(COUNTIF(Lançamentos!$B$3:$B$1001,$B178)=0,"Bloqueado",IF('E3 — Levantamento'!$D160="","Bloqueado",IF(COUNTIF('E3 — Levantamento'!$E160:$I160,"⛔ Bloqueado")&gt;0,"Bloqueado",IF('E3 — Levantamento'!$I160="N/A","Bloqueado",IF(COUNTIF('E3 — Levantamento'!$E160:$I160,"✔ Concluído")=5,"Concluído",IF(COUNTIF('E3 — Levantamento'!$E160:$I160,"✔ Concluído")+COUNTIF('E3 — Levantamento'!$E160:$I160,"🔄 Em andamento")&gt;0,"Em andamento","Não iniciado"))))))))</f>
        <v/>
      </c>
      <c r="H178" s="234" t="str">
        <f>IF($B178="","",IF($G178&lt;&gt;"Concluído","Não iniciado",IF(COUNTIF(Lançamentos!$B$3:$B$1001,$B178)=0,"Bloqueado",IF('E4 — Execução'!$D160="","Bloqueado",IF(COUNTIF('E4 — Execução'!$E160:$K160,"⛔ Bloqueado")&gt;0,"Bloqueado",IF(COUNTIF('E4 — Execução'!$E160:$K160,"✔ Concluído")=7,"Concluído",IF(COUNTIF('E4 — Execução'!$E160:$K160,"✔ Concluído")+COUNTIF('E4 — Execução'!$E160:$K160,"🔄 Em andamento")&gt;0,"Em andamento","Não iniciado")))))))</f>
        <v/>
      </c>
      <c r="I178" s="234" t="str">
        <f>IF($B178="","",IF($H178&lt;&gt;"Concluído","Não iniciado",IF(COUNTIF(Lançamentos!$B$3:$B$1001,$B178)=0,"Bloqueado",IF('E5 — Validação'!$D160="","Bloqueado",IF(COUNTIF('E5 — Validação'!$E160:$I160,"⛔ Bloqueado")&gt;0,"Bloqueado",IF('E5 — Validação'!$I160="N/A","Bloqueado",IF(AND('E5 — Validação'!$E160="✔ Concluído",'E5 — Validação'!$F160="✔ Concluído",OR('E5 — Validação'!$G160="✔ Concluído",'E5 — Validação'!$G160="N/A"),'E5 — Validação'!$H160="✔ Concluído",'E5 — Validação'!$I160="✔ Concluído"),"Concluído",IF(COUNTIF('E5 — Validação'!$E160:$I160,"✔ Concluído")+COUNTIF('E5 — Validação'!$E160:$I160,"🔄 Em andamento")&gt;0,"Em andamento","Não iniciado"))))))))</f>
        <v/>
      </c>
      <c r="J178" s="234" t="str">
        <f>IF($B178="","",IF($I178&lt;&gt;"Concluído","Não iniciado",IF('E6 — Ajustes'!$N160="Não","N/A",IF(COUNTIF(Lançamentos!$B$3:$B$1001,$B178)=0,"Bloqueado",IF('E6 — Ajustes'!$D160="","Bloqueado",IF(COUNTIF('E6 — Ajustes'!$E160:$J160,"⛔ Bloqueado")&gt;0,"Bloqueado",IF(AND('E6 — Ajustes'!$E160="✔ Concluído",'E6 — Ajustes'!$F160="✔ Concluído",'E6 — Ajustes'!$G160="✔ Concluído",'E6 — Ajustes'!$H160="✔ Concluído",OR('E6 — Ajustes'!$I160="✔ Concluído",'E6 — Ajustes'!$I160="N/A"),'E6 — Ajustes'!$J160="✔ Concluído"),"Concluído",IF(COUNTIF('E6 — Ajustes'!$E160:$J160,"✔ Concluído")+COUNTIF('E6 — Ajustes'!$E160:$J160,"🔄 Em andamento")&gt;0,"Em andamento","Não iniciado"))))))))</f>
        <v/>
      </c>
      <c r="K178" s="234" t="str">
        <f>IF($B178="","",IF($I178&lt;&gt;"Concluído","Não iniciado",IF(AND($J178&lt;&gt;"Concluído",$J178&lt;&gt;"N/A"),"Não iniciado",IF(COUNTIF(Lançamentos!$B$3:$B$1001,$B178)=0,"Bloqueado",IF('E7 — Entrega'!$D160="","Bloqueado",IF(COUNTIF('E7 — Entrega'!$E160:$H160,"⛔ Bloqueado")&gt;0,"Bloqueado",IF(COUNTIF('E7 — Entrega'!$E160:$H160,"✔ Concluído")=4,"Concluído",IF(COUNTIF('E7 — Entrega'!$E160:$H160,"✔ Concluído")+COUNTIF('E7 — Entrega'!$E160:$H160,"🔄 Em andamento")&gt;0,"Em andamento","Não iniciado"))))))))</f>
        <v/>
      </c>
      <c r="L178" s="234" t="str">
        <f>IF($B178="","",IF($K178&lt;&gt;"Concluído","Não iniciado",IF(OR(COUNTIF('E08 — Estabilização Hypercare'!$E160:$J160,"⛔ Bloqueado")&gt;0,'E08 — Estabilização Hypercare'!$N160="⛔ Incidente Crítico — Encerramento Bloqueado",AND('E08 — Estabilização Hypercare'!$N160="🆕 Evolução Identificada — Nova Demanda Aberta",'E08 — Estabilização Hypercare'!$U160="")),"Bloqueado",IF(AND('E08 — Estabilização Hypercare'!$E160="✔ Concluído",'E08 — Estabilização Hypercare'!$F160="✔ Concluído",'E08 — Estabilização Hypercare'!$G160="✔ Concluído",OR('E08 — Estabilização Hypercare'!$H160="✔ Concluído",'E08 — Estabilização Hypercare'!$H160="N/A"),'E08 — Estabilização Hypercare'!$I160="✔ Concluído",'E08 — Estabilização Hypercare'!$J160="✔ Concluído",OR('E08 — Estabilização Hypercare'!$N160="✅ Estável — Demanda Encerrada",AND('E08 — Estabilização Hypercare'!$N160="🆕 Evolução Identificada — Nova Demanda Aberta",'E08 — Estabilização Hypercare'!$U160&lt;&gt;""))),"Concluído",IF(OR(COUNTIF('E08 — Estabilização Hypercare'!$E160:$J160,"✔ Concluído")&gt;0,COUNTIF('E08 — Estabilização Hypercare'!$E160:$J160,"🔄 Em andamento")&gt;0,'E08 — Estabilização Hypercare'!$N160&lt;&gt;""),"Em andamento","Não iniciado")))))</f>
        <v/>
      </c>
      <c r="M178" s="236" t="str" cm="1">
        <f t="array" ref="M178">IF(B178="","",_xlfn.IFS(E178&lt;&gt;"Concluído","E1 — Solicitação",F178&lt;&gt;"Concluído","E2 — Triagem",G178&lt;&gt;"Concluído","E3 — Levantamento ⚠",H178&lt;&gt;"Concluído","E4 — Execução",I178&lt;&gt;"Concluído","E5 — Validação ⚠",AND(J178&lt;&gt;"Concluído",J178&lt;&gt;"N/A"),"E6 — Ajustes",K178&lt;&gt;"Concluído","E7 — Entrega",L178&lt;&gt;"Concluído","E08 — Estabilização / Hypercare",TRUE,"✔ Fluxo concluído"))</f>
        <v/>
      </c>
      <c r="N178" s="237" t="str">
        <f t="shared" si="2"/>
        <v/>
      </c>
      <c r="O178" s="238"/>
    </row>
    <row r="179" spans="2:15" ht="15" customHeight="1" x14ac:dyDescent="0.35">
      <c r="B179" s="234" t="str">
        <f>IF(Lançamentos!$B156="","",Lançamentos!$B156)</f>
        <v/>
      </c>
      <c r="C179" s="235" t="str">
        <f>IF($B179="","",Lançamentos!$J156)</f>
        <v/>
      </c>
      <c r="D179" s="235" t="str">
        <f>IF($B179="","",Lançamentos!$H156)</f>
        <v/>
      </c>
      <c r="E179" s="234" t="str">
        <f>IF($B179="","",IF(COUNTIF(Lançamentos!$B$3:$B$1001,$B179)=0,"Bloqueado",IF(COUNTIF('E1 — Solicitação'!$E161:$L161,"⛔ Bloqueado")&gt;0,"Bloqueado",IF(COUNTIF('E1 — Solicitação'!$E161:$L161,"N/A")=8,"Bloqueado",IF(COUNTIF('E1 — Solicitação'!$E161:$L161,"✔ Concluído")+COUNTIF('E1 — Solicitação'!$E161:$L161,"N/A")=8,"Concluído",IF(COUNTIF('E1 — Solicitação'!$E161:$L161,"✔ Concluído")+COUNTIF('E1 — Solicitação'!$E161:$L161,"🔄 Em andamento")&gt;0,"Em andamento","Não iniciado"))))))</f>
        <v/>
      </c>
      <c r="F179" s="234" t="str">
        <f>IF($B179="","",IF($E179&lt;&gt;"Concluído","Não iniciado",IF(COUNTIF(Lançamentos!$B$3:$B$1001,$B179)=0,"Bloqueado",IF('E2 — Triagem'!$D161="","Bloqueado",IF(COUNTIF('E2 — Triagem'!$E161:$L161,"N/A")=8,"Bloqueado",IF(COUNTIF('E2 — Triagem'!$E161:$L161,"⛔ Bloqueado")&gt;0,"Bloqueado",IF(COUNTIF('E2 — Triagem'!$E161:$L161,"✔ Concluído")+COUNTIF('E2 — Triagem'!$E161:$L161,"N/A")=8,"Concluído",IF(COUNTIF('E2 — Triagem'!$E161:$L161,"✔ Concluído")+COUNTIF('E2 — Triagem'!$E161:$L161,"🔄 Em andamento")&gt;0,"Em andamento","Não iniciado"))))))))</f>
        <v/>
      </c>
      <c r="G179" s="234" t="str">
        <f>IF($B179="","",IF($F179&lt;&gt;"Concluído","Não iniciado",IF(COUNTIF(Lançamentos!$B$3:$B$1001,$B179)=0,"Bloqueado",IF('E3 — Levantamento'!$D161="","Bloqueado",IF(COUNTIF('E3 — Levantamento'!$E161:$I161,"⛔ Bloqueado")&gt;0,"Bloqueado",IF('E3 — Levantamento'!$I161="N/A","Bloqueado",IF(COUNTIF('E3 — Levantamento'!$E161:$I161,"✔ Concluído")=5,"Concluído",IF(COUNTIF('E3 — Levantamento'!$E161:$I161,"✔ Concluído")+COUNTIF('E3 — Levantamento'!$E161:$I161,"🔄 Em andamento")&gt;0,"Em andamento","Não iniciado"))))))))</f>
        <v/>
      </c>
      <c r="H179" s="234" t="str">
        <f>IF($B179="","",IF($G179&lt;&gt;"Concluído","Não iniciado",IF(COUNTIF(Lançamentos!$B$3:$B$1001,$B179)=0,"Bloqueado",IF('E4 — Execução'!$D161="","Bloqueado",IF(COUNTIF('E4 — Execução'!$E161:$K161,"⛔ Bloqueado")&gt;0,"Bloqueado",IF(COUNTIF('E4 — Execução'!$E161:$K161,"✔ Concluído")=7,"Concluído",IF(COUNTIF('E4 — Execução'!$E161:$K161,"✔ Concluído")+COUNTIF('E4 — Execução'!$E161:$K161,"🔄 Em andamento")&gt;0,"Em andamento","Não iniciado")))))))</f>
        <v/>
      </c>
      <c r="I179" s="234" t="str">
        <f>IF($B179="","",IF($H179&lt;&gt;"Concluído","Não iniciado",IF(COUNTIF(Lançamentos!$B$3:$B$1001,$B179)=0,"Bloqueado",IF('E5 — Validação'!$D161="","Bloqueado",IF(COUNTIF('E5 — Validação'!$E161:$I161,"⛔ Bloqueado")&gt;0,"Bloqueado",IF('E5 — Validação'!$I161="N/A","Bloqueado",IF(AND('E5 — Validação'!$E161="✔ Concluído",'E5 — Validação'!$F161="✔ Concluído",OR('E5 — Validação'!$G161="✔ Concluído",'E5 — Validação'!$G161="N/A"),'E5 — Validação'!$H161="✔ Concluído",'E5 — Validação'!$I161="✔ Concluído"),"Concluído",IF(COUNTIF('E5 — Validação'!$E161:$I161,"✔ Concluído")+COUNTIF('E5 — Validação'!$E161:$I161,"🔄 Em andamento")&gt;0,"Em andamento","Não iniciado"))))))))</f>
        <v/>
      </c>
      <c r="J179" s="234" t="str">
        <f>IF($B179="","",IF($I179&lt;&gt;"Concluído","Não iniciado",IF('E6 — Ajustes'!$N161="Não","N/A",IF(COUNTIF(Lançamentos!$B$3:$B$1001,$B179)=0,"Bloqueado",IF('E6 — Ajustes'!$D161="","Bloqueado",IF(COUNTIF('E6 — Ajustes'!$E161:$J161,"⛔ Bloqueado")&gt;0,"Bloqueado",IF(AND('E6 — Ajustes'!$E161="✔ Concluído",'E6 — Ajustes'!$F161="✔ Concluído",'E6 — Ajustes'!$G161="✔ Concluído",'E6 — Ajustes'!$H161="✔ Concluído",OR('E6 — Ajustes'!$I161="✔ Concluído",'E6 — Ajustes'!$I161="N/A"),'E6 — Ajustes'!$J161="✔ Concluído"),"Concluído",IF(COUNTIF('E6 — Ajustes'!$E161:$J161,"✔ Concluído")+COUNTIF('E6 — Ajustes'!$E161:$J161,"🔄 Em andamento")&gt;0,"Em andamento","Não iniciado"))))))))</f>
        <v/>
      </c>
      <c r="K179" s="234" t="str">
        <f>IF($B179="","",IF($I179&lt;&gt;"Concluído","Não iniciado",IF(AND($J179&lt;&gt;"Concluído",$J179&lt;&gt;"N/A"),"Não iniciado",IF(COUNTIF(Lançamentos!$B$3:$B$1001,$B179)=0,"Bloqueado",IF('E7 — Entrega'!$D161="","Bloqueado",IF(COUNTIF('E7 — Entrega'!$E161:$H161,"⛔ Bloqueado")&gt;0,"Bloqueado",IF(COUNTIF('E7 — Entrega'!$E161:$H161,"✔ Concluído")=4,"Concluído",IF(COUNTIF('E7 — Entrega'!$E161:$H161,"✔ Concluído")+COUNTIF('E7 — Entrega'!$E161:$H161,"🔄 Em andamento")&gt;0,"Em andamento","Não iniciado"))))))))</f>
        <v/>
      </c>
      <c r="L179" s="234" t="str">
        <f>IF($B179="","",IF($K179&lt;&gt;"Concluído","Não iniciado",IF(OR(COUNTIF('E08 — Estabilização Hypercare'!$E161:$J161,"⛔ Bloqueado")&gt;0,'E08 — Estabilização Hypercare'!$N161="⛔ Incidente Crítico — Encerramento Bloqueado",AND('E08 — Estabilização Hypercare'!$N161="🆕 Evolução Identificada — Nova Demanda Aberta",'E08 — Estabilização Hypercare'!$U161="")),"Bloqueado",IF(AND('E08 — Estabilização Hypercare'!$E161="✔ Concluído",'E08 — Estabilização Hypercare'!$F161="✔ Concluído",'E08 — Estabilização Hypercare'!$G161="✔ Concluído",OR('E08 — Estabilização Hypercare'!$H161="✔ Concluído",'E08 — Estabilização Hypercare'!$H161="N/A"),'E08 — Estabilização Hypercare'!$I161="✔ Concluído",'E08 — Estabilização Hypercare'!$J161="✔ Concluído",OR('E08 — Estabilização Hypercare'!$N161="✅ Estável — Demanda Encerrada",AND('E08 — Estabilização Hypercare'!$N161="🆕 Evolução Identificada — Nova Demanda Aberta",'E08 — Estabilização Hypercare'!$U161&lt;&gt;""))),"Concluído",IF(OR(COUNTIF('E08 — Estabilização Hypercare'!$E161:$J161,"✔ Concluído")&gt;0,COUNTIF('E08 — Estabilização Hypercare'!$E161:$J161,"🔄 Em andamento")&gt;0,'E08 — Estabilização Hypercare'!$N161&lt;&gt;""),"Em andamento","Não iniciado")))))</f>
        <v/>
      </c>
      <c r="M179" s="236" t="str" cm="1">
        <f t="array" ref="M179">IF(B179="","",_xlfn.IFS(E179&lt;&gt;"Concluído","E1 — Solicitação",F179&lt;&gt;"Concluído","E2 — Triagem",G179&lt;&gt;"Concluído","E3 — Levantamento ⚠",H179&lt;&gt;"Concluído","E4 — Execução",I179&lt;&gt;"Concluído","E5 — Validação ⚠",AND(J179&lt;&gt;"Concluído",J179&lt;&gt;"N/A"),"E6 — Ajustes",K179&lt;&gt;"Concluído","E7 — Entrega",L179&lt;&gt;"Concluído","E08 — Estabilização / Hypercare",TRUE,"✔ Fluxo concluído"))</f>
        <v/>
      </c>
      <c r="N179" s="237" t="str">
        <f t="shared" si="2"/>
        <v/>
      </c>
      <c r="O179" s="238"/>
    </row>
    <row r="180" spans="2:15" ht="15" customHeight="1" x14ac:dyDescent="0.35">
      <c r="B180" s="234" t="str">
        <f>IF(Lançamentos!$B157="","",Lançamentos!$B157)</f>
        <v/>
      </c>
      <c r="C180" s="235" t="str">
        <f>IF($B180="","",Lançamentos!$J157)</f>
        <v/>
      </c>
      <c r="D180" s="235" t="str">
        <f>IF($B180="","",Lançamentos!$H157)</f>
        <v/>
      </c>
      <c r="E180" s="234" t="str">
        <f>IF($B180="","",IF(COUNTIF(Lançamentos!$B$3:$B$1001,$B180)=0,"Bloqueado",IF(COUNTIF('E1 — Solicitação'!$E162:$L162,"⛔ Bloqueado")&gt;0,"Bloqueado",IF(COUNTIF('E1 — Solicitação'!$E162:$L162,"N/A")=8,"Bloqueado",IF(COUNTIF('E1 — Solicitação'!$E162:$L162,"✔ Concluído")+COUNTIF('E1 — Solicitação'!$E162:$L162,"N/A")=8,"Concluído",IF(COUNTIF('E1 — Solicitação'!$E162:$L162,"✔ Concluído")+COUNTIF('E1 — Solicitação'!$E162:$L162,"🔄 Em andamento")&gt;0,"Em andamento","Não iniciado"))))))</f>
        <v/>
      </c>
      <c r="F180" s="234" t="str">
        <f>IF($B180="","",IF($E180&lt;&gt;"Concluído","Não iniciado",IF(COUNTIF(Lançamentos!$B$3:$B$1001,$B180)=0,"Bloqueado",IF('E2 — Triagem'!$D162="","Bloqueado",IF(COUNTIF('E2 — Triagem'!$E162:$L162,"N/A")=8,"Bloqueado",IF(COUNTIF('E2 — Triagem'!$E162:$L162,"⛔ Bloqueado")&gt;0,"Bloqueado",IF(COUNTIF('E2 — Triagem'!$E162:$L162,"✔ Concluído")+COUNTIF('E2 — Triagem'!$E162:$L162,"N/A")=8,"Concluído",IF(COUNTIF('E2 — Triagem'!$E162:$L162,"✔ Concluído")+COUNTIF('E2 — Triagem'!$E162:$L162,"🔄 Em andamento")&gt;0,"Em andamento","Não iniciado"))))))))</f>
        <v/>
      </c>
      <c r="G180" s="234" t="str">
        <f>IF($B180="","",IF($F180&lt;&gt;"Concluído","Não iniciado",IF(COUNTIF(Lançamentos!$B$3:$B$1001,$B180)=0,"Bloqueado",IF('E3 — Levantamento'!$D162="","Bloqueado",IF(COUNTIF('E3 — Levantamento'!$E162:$I162,"⛔ Bloqueado")&gt;0,"Bloqueado",IF('E3 — Levantamento'!$I162="N/A","Bloqueado",IF(COUNTIF('E3 — Levantamento'!$E162:$I162,"✔ Concluído")=5,"Concluído",IF(COUNTIF('E3 — Levantamento'!$E162:$I162,"✔ Concluído")+COUNTIF('E3 — Levantamento'!$E162:$I162,"🔄 Em andamento")&gt;0,"Em andamento","Não iniciado"))))))))</f>
        <v/>
      </c>
      <c r="H180" s="234" t="str">
        <f>IF($B180="","",IF($G180&lt;&gt;"Concluído","Não iniciado",IF(COUNTIF(Lançamentos!$B$3:$B$1001,$B180)=0,"Bloqueado",IF('E4 — Execução'!$D162="","Bloqueado",IF(COUNTIF('E4 — Execução'!$E162:$K162,"⛔ Bloqueado")&gt;0,"Bloqueado",IF(COUNTIF('E4 — Execução'!$E162:$K162,"✔ Concluído")=7,"Concluído",IF(COUNTIF('E4 — Execução'!$E162:$K162,"✔ Concluído")+COUNTIF('E4 — Execução'!$E162:$K162,"🔄 Em andamento")&gt;0,"Em andamento","Não iniciado")))))))</f>
        <v/>
      </c>
      <c r="I180" s="234" t="str">
        <f>IF($B180="","",IF($H180&lt;&gt;"Concluído","Não iniciado",IF(COUNTIF(Lançamentos!$B$3:$B$1001,$B180)=0,"Bloqueado",IF('E5 — Validação'!$D162="","Bloqueado",IF(COUNTIF('E5 — Validação'!$E162:$I162,"⛔ Bloqueado")&gt;0,"Bloqueado",IF('E5 — Validação'!$I162="N/A","Bloqueado",IF(AND('E5 — Validação'!$E162="✔ Concluído",'E5 — Validação'!$F162="✔ Concluído",OR('E5 — Validação'!$G162="✔ Concluído",'E5 — Validação'!$G162="N/A"),'E5 — Validação'!$H162="✔ Concluído",'E5 — Validação'!$I162="✔ Concluído"),"Concluído",IF(COUNTIF('E5 — Validação'!$E162:$I162,"✔ Concluído")+COUNTIF('E5 — Validação'!$E162:$I162,"🔄 Em andamento")&gt;0,"Em andamento","Não iniciado"))))))))</f>
        <v/>
      </c>
      <c r="J180" s="234" t="str">
        <f>IF($B180="","",IF($I180&lt;&gt;"Concluído","Não iniciado",IF('E6 — Ajustes'!$N162="Não","N/A",IF(COUNTIF(Lançamentos!$B$3:$B$1001,$B180)=0,"Bloqueado",IF('E6 — Ajustes'!$D162="","Bloqueado",IF(COUNTIF('E6 — Ajustes'!$E162:$J162,"⛔ Bloqueado")&gt;0,"Bloqueado",IF(AND('E6 — Ajustes'!$E162="✔ Concluído",'E6 — Ajustes'!$F162="✔ Concluído",'E6 — Ajustes'!$G162="✔ Concluído",'E6 — Ajustes'!$H162="✔ Concluído",OR('E6 — Ajustes'!$I162="✔ Concluído",'E6 — Ajustes'!$I162="N/A"),'E6 — Ajustes'!$J162="✔ Concluído"),"Concluído",IF(COUNTIF('E6 — Ajustes'!$E162:$J162,"✔ Concluído")+COUNTIF('E6 — Ajustes'!$E162:$J162,"🔄 Em andamento")&gt;0,"Em andamento","Não iniciado"))))))))</f>
        <v/>
      </c>
      <c r="K180" s="234" t="str">
        <f>IF($B180="","",IF($I180&lt;&gt;"Concluído","Não iniciado",IF(AND($J180&lt;&gt;"Concluído",$J180&lt;&gt;"N/A"),"Não iniciado",IF(COUNTIF(Lançamentos!$B$3:$B$1001,$B180)=0,"Bloqueado",IF('E7 — Entrega'!$D162="","Bloqueado",IF(COUNTIF('E7 — Entrega'!$E162:$H162,"⛔ Bloqueado")&gt;0,"Bloqueado",IF(COUNTIF('E7 — Entrega'!$E162:$H162,"✔ Concluído")=4,"Concluído",IF(COUNTIF('E7 — Entrega'!$E162:$H162,"✔ Concluído")+COUNTIF('E7 — Entrega'!$E162:$H162,"🔄 Em andamento")&gt;0,"Em andamento","Não iniciado"))))))))</f>
        <v/>
      </c>
      <c r="L180" s="234" t="str">
        <f>IF($B180="","",IF($K180&lt;&gt;"Concluído","Não iniciado",IF(OR(COUNTIF('E08 — Estabilização Hypercare'!$E162:$J162,"⛔ Bloqueado")&gt;0,'E08 — Estabilização Hypercare'!$N162="⛔ Incidente Crítico — Encerramento Bloqueado",AND('E08 — Estabilização Hypercare'!$N162="🆕 Evolução Identificada — Nova Demanda Aberta",'E08 — Estabilização Hypercare'!$U162="")),"Bloqueado",IF(AND('E08 — Estabilização Hypercare'!$E162="✔ Concluído",'E08 — Estabilização Hypercare'!$F162="✔ Concluído",'E08 — Estabilização Hypercare'!$G162="✔ Concluído",OR('E08 — Estabilização Hypercare'!$H162="✔ Concluído",'E08 — Estabilização Hypercare'!$H162="N/A"),'E08 — Estabilização Hypercare'!$I162="✔ Concluído",'E08 — Estabilização Hypercare'!$J162="✔ Concluído",OR('E08 — Estabilização Hypercare'!$N162="✅ Estável — Demanda Encerrada",AND('E08 — Estabilização Hypercare'!$N162="🆕 Evolução Identificada — Nova Demanda Aberta",'E08 — Estabilização Hypercare'!$U162&lt;&gt;""))),"Concluído",IF(OR(COUNTIF('E08 — Estabilização Hypercare'!$E162:$J162,"✔ Concluído")&gt;0,COUNTIF('E08 — Estabilização Hypercare'!$E162:$J162,"🔄 Em andamento")&gt;0,'E08 — Estabilização Hypercare'!$N162&lt;&gt;""),"Em andamento","Não iniciado")))))</f>
        <v/>
      </c>
      <c r="M180" s="236" t="str" cm="1">
        <f t="array" ref="M180">IF(B180="","",_xlfn.IFS(E180&lt;&gt;"Concluído","E1 — Solicitação",F180&lt;&gt;"Concluído","E2 — Triagem",G180&lt;&gt;"Concluído","E3 — Levantamento ⚠",H180&lt;&gt;"Concluído","E4 — Execução",I180&lt;&gt;"Concluído","E5 — Validação ⚠",AND(J180&lt;&gt;"Concluído",J180&lt;&gt;"N/A"),"E6 — Ajustes",K180&lt;&gt;"Concluído","E7 — Entrega",L180&lt;&gt;"Concluído","E08 — Estabilização / Hypercare",TRUE,"✔ Fluxo concluído"))</f>
        <v/>
      </c>
      <c r="N180" s="237" t="str">
        <f t="shared" si="2"/>
        <v/>
      </c>
      <c r="O180" s="238"/>
    </row>
    <row r="181" spans="2:15" ht="15" customHeight="1" x14ac:dyDescent="0.35">
      <c r="B181" s="234" t="str">
        <f>IF(Lançamentos!$B158="","",Lançamentos!$B158)</f>
        <v/>
      </c>
      <c r="C181" s="235" t="str">
        <f>IF($B181="","",Lançamentos!$J158)</f>
        <v/>
      </c>
      <c r="D181" s="235" t="str">
        <f>IF($B181="","",Lançamentos!$H158)</f>
        <v/>
      </c>
      <c r="E181" s="234" t="str">
        <f>IF($B181="","",IF(COUNTIF(Lançamentos!$B$3:$B$1001,$B181)=0,"Bloqueado",IF(COUNTIF('E1 — Solicitação'!$E163:$L163,"⛔ Bloqueado")&gt;0,"Bloqueado",IF(COUNTIF('E1 — Solicitação'!$E163:$L163,"N/A")=8,"Bloqueado",IF(COUNTIF('E1 — Solicitação'!$E163:$L163,"✔ Concluído")+COUNTIF('E1 — Solicitação'!$E163:$L163,"N/A")=8,"Concluído",IF(COUNTIF('E1 — Solicitação'!$E163:$L163,"✔ Concluído")+COUNTIF('E1 — Solicitação'!$E163:$L163,"🔄 Em andamento")&gt;0,"Em andamento","Não iniciado"))))))</f>
        <v/>
      </c>
      <c r="F181" s="234" t="str">
        <f>IF($B181="","",IF($E181&lt;&gt;"Concluído","Não iniciado",IF(COUNTIF(Lançamentos!$B$3:$B$1001,$B181)=0,"Bloqueado",IF('E2 — Triagem'!$D163="","Bloqueado",IF(COUNTIF('E2 — Triagem'!$E163:$L163,"N/A")=8,"Bloqueado",IF(COUNTIF('E2 — Triagem'!$E163:$L163,"⛔ Bloqueado")&gt;0,"Bloqueado",IF(COUNTIF('E2 — Triagem'!$E163:$L163,"✔ Concluído")+COUNTIF('E2 — Triagem'!$E163:$L163,"N/A")=8,"Concluído",IF(COUNTIF('E2 — Triagem'!$E163:$L163,"✔ Concluído")+COUNTIF('E2 — Triagem'!$E163:$L163,"🔄 Em andamento")&gt;0,"Em andamento","Não iniciado"))))))))</f>
        <v/>
      </c>
      <c r="G181" s="234" t="str">
        <f>IF($B181="","",IF($F181&lt;&gt;"Concluído","Não iniciado",IF(COUNTIF(Lançamentos!$B$3:$B$1001,$B181)=0,"Bloqueado",IF('E3 — Levantamento'!$D163="","Bloqueado",IF(COUNTIF('E3 — Levantamento'!$E163:$I163,"⛔ Bloqueado")&gt;0,"Bloqueado",IF('E3 — Levantamento'!$I163="N/A","Bloqueado",IF(COUNTIF('E3 — Levantamento'!$E163:$I163,"✔ Concluído")=5,"Concluído",IF(COUNTIF('E3 — Levantamento'!$E163:$I163,"✔ Concluído")+COUNTIF('E3 — Levantamento'!$E163:$I163,"🔄 Em andamento")&gt;0,"Em andamento","Não iniciado"))))))))</f>
        <v/>
      </c>
      <c r="H181" s="234" t="str">
        <f>IF($B181="","",IF($G181&lt;&gt;"Concluído","Não iniciado",IF(COUNTIF(Lançamentos!$B$3:$B$1001,$B181)=0,"Bloqueado",IF('E4 — Execução'!$D163="","Bloqueado",IF(COUNTIF('E4 — Execução'!$E163:$K163,"⛔ Bloqueado")&gt;0,"Bloqueado",IF(COUNTIF('E4 — Execução'!$E163:$K163,"✔ Concluído")=7,"Concluído",IF(COUNTIF('E4 — Execução'!$E163:$K163,"✔ Concluído")+COUNTIF('E4 — Execução'!$E163:$K163,"🔄 Em andamento")&gt;0,"Em andamento","Não iniciado")))))))</f>
        <v/>
      </c>
      <c r="I181" s="234" t="str">
        <f>IF($B181="","",IF($H181&lt;&gt;"Concluído","Não iniciado",IF(COUNTIF(Lançamentos!$B$3:$B$1001,$B181)=0,"Bloqueado",IF('E5 — Validação'!$D163="","Bloqueado",IF(COUNTIF('E5 — Validação'!$E163:$I163,"⛔ Bloqueado")&gt;0,"Bloqueado",IF('E5 — Validação'!$I163="N/A","Bloqueado",IF(AND('E5 — Validação'!$E163="✔ Concluído",'E5 — Validação'!$F163="✔ Concluído",OR('E5 — Validação'!$G163="✔ Concluído",'E5 — Validação'!$G163="N/A"),'E5 — Validação'!$H163="✔ Concluído",'E5 — Validação'!$I163="✔ Concluído"),"Concluído",IF(COUNTIF('E5 — Validação'!$E163:$I163,"✔ Concluído")+COUNTIF('E5 — Validação'!$E163:$I163,"🔄 Em andamento")&gt;0,"Em andamento","Não iniciado"))))))))</f>
        <v/>
      </c>
      <c r="J181" s="234" t="str">
        <f>IF($B181="","",IF($I181&lt;&gt;"Concluído","Não iniciado",IF('E6 — Ajustes'!$N163="Não","N/A",IF(COUNTIF(Lançamentos!$B$3:$B$1001,$B181)=0,"Bloqueado",IF('E6 — Ajustes'!$D163="","Bloqueado",IF(COUNTIF('E6 — Ajustes'!$E163:$J163,"⛔ Bloqueado")&gt;0,"Bloqueado",IF(AND('E6 — Ajustes'!$E163="✔ Concluído",'E6 — Ajustes'!$F163="✔ Concluído",'E6 — Ajustes'!$G163="✔ Concluído",'E6 — Ajustes'!$H163="✔ Concluído",OR('E6 — Ajustes'!$I163="✔ Concluído",'E6 — Ajustes'!$I163="N/A"),'E6 — Ajustes'!$J163="✔ Concluído"),"Concluído",IF(COUNTIF('E6 — Ajustes'!$E163:$J163,"✔ Concluído")+COUNTIF('E6 — Ajustes'!$E163:$J163,"🔄 Em andamento")&gt;0,"Em andamento","Não iniciado"))))))))</f>
        <v/>
      </c>
      <c r="K181" s="234" t="str">
        <f>IF($B181="","",IF($I181&lt;&gt;"Concluído","Não iniciado",IF(AND($J181&lt;&gt;"Concluído",$J181&lt;&gt;"N/A"),"Não iniciado",IF(COUNTIF(Lançamentos!$B$3:$B$1001,$B181)=0,"Bloqueado",IF('E7 — Entrega'!$D163="","Bloqueado",IF(COUNTIF('E7 — Entrega'!$E163:$H163,"⛔ Bloqueado")&gt;0,"Bloqueado",IF(COUNTIF('E7 — Entrega'!$E163:$H163,"✔ Concluído")=4,"Concluído",IF(COUNTIF('E7 — Entrega'!$E163:$H163,"✔ Concluído")+COUNTIF('E7 — Entrega'!$E163:$H163,"🔄 Em andamento")&gt;0,"Em andamento","Não iniciado"))))))))</f>
        <v/>
      </c>
      <c r="L181" s="234" t="str">
        <f>IF($B181="","",IF($K181&lt;&gt;"Concluído","Não iniciado",IF(OR(COUNTIF('E08 — Estabilização Hypercare'!$E163:$J163,"⛔ Bloqueado")&gt;0,'E08 — Estabilização Hypercare'!$N163="⛔ Incidente Crítico — Encerramento Bloqueado",AND('E08 — Estabilização Hypercare'!$N163="🆕 Evolução Identificada — Nova Demanda Aberta",'E08 — Estabilização Hypercare'!$U163="")),"Bloqueado",IF(AND('E08 — Estabilização Hypercare'!$E163="✔ Concluído",'E08 — Estabilização Hypercare'!$F163="✔ Concluído",'E08 — Estabilização Hypercare'!$G163="✔ Concluído",OR('E08 — Estabilização Hypercare'!$H163="✔ Concluído",'E08 — Estabilização Hypercare'!$H163="N/A"),'E08 — Estabilização Hypercare'!$I163="✔ Concluído",'E08 — Estabilização Hypercare'!$J163="✔ Concluído",OR('E08 — Estabilização Hypercare'!$N163="✅ Estável — Demanda Encerrada",AND('E08 — Estabilização Hypercare'!$N163="🆕 Evolução Identificada — Nova Demanda Aberta",'E08 — Estabilização Hypercare'!$U163&lt;&gt;""))),"Concluído",IF(OR(COUNTIF('E08 — Estabilização Hypercare'!$E163:$J163,"✔ Concluído")&gt;0,COUNTIF('E08 — Estabilização Hypercare'!$E163:$J163,"🔄 Em andamento")&gt;0,'E08 — Estabilização Hypercare'!$N163&lt;&gt;""),"Em andamento","Não iniciado")))))</f>
        <v/>
      </c>
      <c r="M181" s="236" t="str" cm="1">
        <f t="array" ref="M181">IF(B181="","",_xlfn.IFS(E181&lt;&gt;"Concluído","E1 — Solicitação",F181&lt;&gt;"Concluído","E2 — Triagem",G181&lt;&gt;"Concluído","E3 — Levantamento ⚠",H181&lt;&gt;"Concluído","E4 — Execução",I181&lt;&gt;"Concluído","E5 — Validação ⚠",AND(J181&lt;&gt;"Concluído",J181&lt;&gt;"N/A"),"E6 — Ajustes",K181&lt;&gt;"Concluído","E7 — Entrega",L181&lt;&gt;"Concluído","E08 — Estabilização / Hypercare",TRUE,"✔ Fluxo concluído"))</f>
        <v/>
      </c>
      <c r="N181" s="237" t="str">
        <f t="shared" si="2"/>
        <v/>
      </c>
      <c r="O181" s="238"/>
    </row>
    <row r="182" spans="2:15" ht="15" customHeight="1" x14ac:dyDescent="0.35">
      <c r="B182" s="234" t="str">
        <f>IF(Lançamentos!$B159="","",Lançamentos!$B159)</f>
        <v/>
      </c>
      <c r="C182" s="235" t="str">
        <f>IF($B182="","",Lançamentos!$J159)</f>
        <v/>
      </c>
      <c r="D182" s="235" t="str">
        <f>IF($B182="","",Lançamentos!$H159)</f>
        <v/>
      </c>
      <c r="E182" s="234" t="str">
        <f>IF($B182="","",IF(COUNTIF(Lançamentos!$B$3:$B$1001,$B182)=0,"Bloqueado",IF(COUNTIF('E1 — Solicitação'!$E164:$L164,"⛔ Bloqueado")&gt;0,"Bloqueado",IF(COUNTIF('E1 — Solicitação'!$E164:$L164,"N/A")=8,"Bloqueado",IF(COUNTIF('E1 — Solicitação'!$E164:$L164,"✔ Concluído")+COUNTIF('E1 — Solicitação'!$E164:$L164,"N/A")=8,"Concluído",IF(COUNTIF('E1 — Solicitação'!$E164:$L164,"✔ Concluído")+COUNTIF('E1 — Solicitação'!$E164:$L164,"🔄 Em andamento")&gt;0,"Em andamento","Não iniciado"))))))</f>
        <v/>
      </c>
      <c r="F182" s="234" t="str">
        <f>IF($B182="","",IF($E182&lt;&gt;"Concluído","Não iniciado",IF(COUNTIF(Lançamentos!$B$3:$B$1001,$B182)=0,"Bloqueado",IF('E2 — Triagem'!$D164="","Bloqueado",IF(COUNTIF('E2 — Triagem'!$E164:$L164,"N/A")=8,"Bloqueado",IF(COUNTIF('E2 — Triagem'!$E164:$L164,"⛔ Bloqueado")&gt;0,"Bloqueado",IF(COUNTIF('E2 — Triagem'!$E164:$L164,"✔ Concluído")+COUNTIF('E2 — Triagem'!$E164:$L164,"N/A")=8,"Concluído",IF(COUNTIF('E2 — Triagem'!$E164:$L164,"✔ Concluído")+COUNTIF('E2 — Triagem'!$E164:$L164,"🔄 Em andamento")&gt;0,"Em andamento","Não iniciado"))))))))</f>
        <v/>
      </c>
      <c r="G182" s="234" t="str">
        <f>IF($B182="","",IF($F182&lt;&gt;"Concluído","Não iniciado",IF(COUNTIF(Lançamentos!$B$3:$B$1001,$B182)=0,"Bloqueado",IF('E3 — Levantamento'!$D164="","Bloqueado",IF(COUNTIF('E3 — Levantamento'!$E164:$I164,"⛔ Bloqueado")&gt;0,"Bloqueado",IF('E3 — Levantamento'!$I164="N/A","Bloqueado",IF(COUNTIF('E3 — Levantamento'!$E164:$I164,"✔ Concluído")=5,"Concluído",IF(COUNTIF('E3 — Levantamento'!$E164:$I164,"✔ Concluído")+COUNTIF('E3 — Levantamento'!$E164:$I164,"🔄 Em andamento")&gt;0,"Em andamento","Não iniciado"))))))))</f>
        <v/>
      </c>
      <c r="H182" s="234" t="str">
        <f>IF($B182="","",IF($G182&lt;&gt;"Concluído","Não iniciado",IF(COUNTIF(Lançamentos!$B$3:$B$1001,$B182)=0,"Bloqueado",IF('E4 — Execução'!$D164="","Bloqueado",IF(COUNTIF('E4 — Execução'!$E164:$K164,"⛔ Bloqueado")&gt;0,"Bloqueado",IF(COUNTIF('E4 — Execução'!$E164:$K164,"✔ Concluído")=7,"Concluído",IF(COUNTIF('E4 — Execução'!$E164:$K164,"✔ Concluído")+COUNTIF('E4 — Execução'!$E164:$K164,"🔄 Em andamento")&gt;0,"Em andamento","Não iniciado")))))))</f>
        <v/>
      </c>
      <c r="I182" s="234" t="str">
        <f>IF($B182="","",IF($H182&lt;&gt;"Concluído","Não iniciado",IF(COUNTIF(Lançamentos!$B$3:$B$1001,$B182)=0,"Bloqueado",IF('E5 — Validação'!$D164="","Bloqueado",IF(COUNTIF('E5 — Validação'!$E164:$I164,"⛔ Bloqueado")&gt;0,"Bloqueado",IF('E5 — Validação'!$I164="N/A","Bloqueado",IF(AND('E5 — Validação'!$E164="✔ Concluído",'E5 — Validação'!$F164="✔ Concluído",OR('E5 — Validação'!$G164="✔ Concluído",'E5 — Validação'!$G164="N/A"),'E5 — Validação'!$H164="✔ Concluído",'E5 — Validação'!$I164="✔ Concluído"),"Concluído",IF(COUNTIF('E5 — Validação'!$E164:$I164,"✔ Concluído")+COUNTIF('E5 — Validação'!$E164:$I164,"🔄 Em andamento")&gt;0,"Em andamento","Não iniciado"))))))))</f>
        <v/>
      </c>
      <c r="J182" s="234" t="str">
        <f>IF($B182="","",IF($I182&lt;&gt;"Concluído","Não iniciado",IF('E6 — Ajustes'!$N164="Não","N/A",IF(COUNTIF(Lançamentos!$B$3:$B$1001,$B182)=0,"Bloqueado",IF('E6 — Ajustes'!$D164="","Bloqueado",IF(COUNTIF('E6 — Ajustes'!$E164:$J164,"⛔ Bloqueado")&gt;0,"Bloqueado",IF(AND('E6 — Ajustes'!$E164="✔ Concluído",'E6 — Ajustes'!$F164="✔ Concluído",'E6 — Ajustes'!$G164="✔ Concluído",'E6 — Ajustes'!$H164="✔ Concluído",OR('E6 — Ajustes'!$I164="✔ Concluído",'E6 — Ajustes'!$I164="N/A"),'E6 — Ajustes'!$J164="✔ Concluído"),"Concluído",IF(COUNTIF('E6 — Ajustes'!$E164:$J164,"✔ Concluído")+COUNTIF('E6 — Ajustes'!$E164:$J164,"🔄 Em andamento")&gt;0,"Em andamento","Não iniciado"))))))))</f>
        <v/>
      </c>
      <c r="K182" s="234" t="str">
        <f>IF($B182="","",IF($I182&lt;&gt;"Concluído","Não iniciado",IF(AND($J182&lt;&gt;"Concluído",$J182&lt;&gt;"N/A"),"Não iniciado",IF(COUNTIF(Lançamentos!$B$3:$B$1001,$B182)=0,"Bloqueado",IF('E7 — Entrega'!$D164="","Bloqueado",IF(COUNTIF('E7 — Entrega'!$E164:$H164,"⛔ Bloqueado")&gt;0,"Bloqueado",IF(COUNTIF('E7 — Entrega'!$E164:$H164,"✔ Concluído")=4,"Concluído",IF(COUNTIF('E7 — Entrega'!$E164:$H164,"✔ Concluído")+COUNTIF('E7 — Entrega'!$E164:$H164,"🔄 Em andamento")&gt;0,"Em andamento","Não iniciado"))))))))</f>
        <v/>
      </c>
      <c r="L182" s="234" t="str">
        <f>IF($B182="","",IF($K182&lt;&gt;"Concluído","Não iniciado",IF(OR(COUNTIF('E08 — Estabilização Hypercare'!$E164:$J164,"⛔ Bloqueado")&gt;0,'E08 — Estabilização Hypercare'!$N164="⛔ Incidente Crítico — Encerramento Bloqueado",AND('E08 — Estabilização Hypercare'!$N164="🆕 Evolução Identificada — Nova Demanda Aberta",'E08 — Estabilização Hypercare'!$U164="")),"Bloqueado",IF(AND('E08 — Estabilização Hypercare'!$E164="✔ Concluído",'E08 — Estabilização Hypercare'!$F164="✔ Concluído",'E08 — Estabilização Hypercare'!$G164="✔ Concluído",OR('E08 — Estabilização Hypercare'!$H164="✔ Concluído",'E08 — Estabilização Hypercare'!$H164="N/A"),'E08 — Estabilização Hypercare'!$I164="✔ Concluído",'E08 — Estabilização Hypercare'!$J164="✔ Concluído",OR('E08 — Estabilização Hypercare'!$N164="✅ Estável — Demanda Encerrada",AND('E08 — Estabilização Hypercare'!$N164="🆕 Evolução Identificada — Nova Demanda Aberta",'E08 — Estabilização Hypercare'!$U164&lt;&gt;""))),"Concluído",IF(OR(COUNTIF('E08 — Estabilização Hypercare'!$E164:$J164,"✔ Concluído")&gt;0,COUNTIF('E08 — Estabilização Hypercare'!$E164:$J164,"🔄 Em andamento")&gt;0,'E08 — Estabilização Hypercare'!$N164&lt;&gt;""),"Em andamento","Não iniciado")))))</f>
        <v/>
      </c>
      <c r="M182" s="236" t="str" cm="1">
        <f t="array" ref="M182">IF(B182="","",_xlfn.IFS(E182&lt;&gt;"Concluído","E1 — Solicitação",F182&lt;&gt;"Concluído","E2 — Triagem",G182&lt;&gt;"Concluído","E3 — Levantamento ⚠",H182&lt;&gt;"Concluído","E4 — Execução",I182&lt;&gt;"Concluído","E5 — Validação ⚠",AND(J182&lt;&gt;"Concluído",J182&lt;&gt;"N/A"),"E6 — Ajustes",K182&lt;&gt;"Concluído","E7 — Entrega",L182&lt;&gt;"Concluído","E08 — Estabilização / Hypercare",TRUE,"✔ Fluxo concluído"))</f>
        <v/>
      </c>
      <c r="N182" s="237" t="str">
        <f t="shared" si="2"/>
        <v/>
      </c>
      <c r="O182" s="238"/>
    </row>
    <row r="183" spans="2:15" ht="15" customHeight="1" x14ac:dyDescent="0.35">
      <c r="B183" s="234" t="str">
        <f>IF(Lançamentos!$B160="","",Lançamentos!$B160)</f>
        <v/>
      </c>
      <c r="C183" s="235" t="str">
        <f>IF($B183="","",Lançamentos!$J160)</f>
        <v/>
      </c>
      <c r="D183" s="235" t="str">
        <f>IF($B183="","",Lançamentos!$H160)</f>
        <v/>
      </c>
      <c r="E183" s="234" t="str">
        <f>IF($B183="","",IF(COUNTIF(Lançamentos!$B$3:$B$1001,$B183)=0,"Bloqueado",IF(COUNTIF('E1 — Solicitação'!$E165:$L165,"⛔ Bloqueado")&gt;0,"Bloqueado",IF(COUNTIF('E1 — Solicitação'!$E165:$L165,"N/A")=8,"Bloqueado",IF(COUNTIF('E1 — Solicitação'!$E165:$L165,"✔ Concluído")+COUNTIF('E1 — Solicitação'!$E165:$L165,"N/A")=8,"Concluído",IF(COUNTIF('E1 — Solicitação'!$E165:$L165,"✔ Concluído")+COUNTIF('E1 — Solicitação'!$E165:$L165,"🔄 Em andamento")&gt;0,"Em andamento","Não iniciado"))))))</f>
        <v/>
      </c>
      <c r="F183" s="234" t="str">
        <f>IF($B183="","",IF($E183&lt;&gt;"Concluído","Não iniciado",IF(COUNTIF(Lançamentos!$B$3:$B$1001,$B183)=0,"Bloqueado",IF('E2 — Triagem'!$D165="","Bloqueado",IF(COUNTIF('E2 — Triagem'!$E165:$L165,"N/A")=8,"Bloqueado",IF(COUNTIF('E2 — Triagem'!$E165:$L165,"⛔ Bloqueado")&gt;0,"Bloqueado",IF(COUNTIF('E2 — Triagem'!$E165:$L165,"✔ Concluído")+COUNTIF('E2 — Triagem'!$E165:$L165,"N/A")=8,"Concluído",IF(COUNTIF('E2 — Triagem'!$E165:$L165,"✔ Concluído")+COUNTIF('E2 — Triagem'!$E165:$L165,"🔄 Em andamento")&gt;0,"Em andamento","Não iniciado"))))))))</f>
        <v/>
      </c>
      <c r="G183" s="234" t="str">
        <f>IF($B183="","",IF($F183&lt;&gt;"Concluído","Não iniciado",IF(COUNTIF(Lançamentos!$B$3:$B$1001,$B183)=0,"Bloqueado",IF('E3 — Levantamento'!$D165="","Bloqueado",IF(COUNTIF('E3 — Levantamento'!$E165:$I165,"⛔ Bloqueado")&gt;0,"Bloqueado",IF('E3 — Levantamento'!$I165="N/A","Bloqueado",IF(COUNTIF('E3 — Levantamento'!$E165:$I165,"✔ Concluído")=5,"Concluído",IF(COUNTIF('E3 — Levantamento'!$E165:$I165,"✔ Concluído")+COUNTIF('E3 — Levantamento'!$E165:$I165,"🔄 Em andamento")&gt;0,"Em andamento","Não iniciado"))))))))</f>
        <v/>
      </c>
      <c r="H183" s="234" t="str">
        <f>IF($B183="","",IF($G183&lt;&gt;"Concluído","Não iniciado",IF(COUNTIF(Lançamentos!$B$3:$B$1001,$B183)=0,"Bloqueado",IF('E4 — Execução'!$D165="","Bloqueado",IF(COUNTIF('E4 — Execução'!$E165:$K165,"⛔ Bloqueado")&gt;0,"Bloqueado",IF(COUNTIF('E4 — Execução'!$E165:$K165,"✔ Concluído")=7,"Concluído",IF(COUNTIF('E4 — Execução'!$E165:$K165,"✔ Concluído")+COUNTIF('E4 — Execução'!$E165:$K165,"🔄 Em andamento")&gt;0,"Em andamento","Não iniciado")))))))</f>
        <v/>
      </c>
      <c r="I183" s="234" t="str">
        <f>IF($B183="","",IF($H183&lt;&gt;"Concluído","Não iniciado",IF(COUNTIF(Lançamentos!$B$3:$B$1001,$B183)=0,"Bloqueado",IF('E5 — Validação'!$D165="","Bloqueado",IF(COUNTIF('E5 — Validação'!$E165:$I165,"⛔ Bloqueado")&gt;0,"Bloqueado",IF('E5 — Validação'!$I165="N/A","Bloqueado",IF(AND('E5 — Validação'!$E165="✔ Concluído",'E5 — Validação'!$F165="✔ Concluído",OR('E5 — Validação'!$G165="✔ Concluído",'E5 — Validação'!$G165="N/A"),'E5 — Validação'!$H165="✔ Concluído",'E5 — Validação'!$I165="✔ Concluído"),"Concluído",IF(COUNTIF('E5 — Validação'!$E165:$I165,"✔ Concluído")+COUNTIF('E5 — Validação'!$E165:$I165,"🔄 Em andamento")&gt;0,"Em andamento","Não iniciado"))))))))</f>
        <v/>
      </c>
      <c r="J183" s="234" t="str">
        <f>IF($B183="","",IF($I183&lt;&gt;"Concluído","Não iniciado",IF('E6 — Ajustes'!$N165="Não","N/A",IF(COUNTIF(Lançamentos!$B$3:$B$1001,$B183)=0,"Bloqueado",IF('E6 — Ajustes'!$D165="","Bloqueado",IF(COUNTIF('E6 — Ajustes'!$E165:$J165,"⛔ Bloqueado")&gt;0,"Bloqueado",IF(AND('E6 — Ajustes'!$E165="✔ Concluído",'E6 — Ajustes'!$F165="✔ Concluído",'E6 — Ajustes'!$G165="✔ Concluído",'E6 — Ajustes'!$H165="✔ Concluído",OR('E6 — Ajustes'!$I165="✔ Concluído",'E6 — Ajustes'!$I165="N/A"),'E6 — Ajustes'!$J165="✔ Concluído"),"Concluído",IF(COUNTIF('E6 — Ajustes'!$E165:$J165,"✔ Concluído")+COUNTIF('E6 — Ajustes'!$E165:$J165,"🔄 Em andamento")&gt;0,"Em andamento","Não iniciado"))))))))</f>
        <v/>
      </c>
      <c r="K183" s="234" t="str">
        <f>IF($B183="","",IF($I183&lt;&gt;"Concluído","Não iniciado",IF(AND($J183&lt;&gt;"Concluído",$J183&lt;&gt;"N/A"),"Não iniciado",IF(COUNTIF(Lançamentos!$B$3:$B$1001,$B183)=0,"Bloqueado",IF('E7 — Entrega'!$D165="","Bloqueado",IF(COUNTIF('E7 — Entrega'!$E165:$H165,"⛔ Bloqueado")&gt;0,"Bloqueado",IF(COUNTIF('E7 — Entrega'!$E165:$H165,"✔ Concluído")=4,"Concluído",IF(COUNTIF('E7 — Entrega'!$E165:$H165,"✔ Concluído")+COUNTIF('E7 — Entrega'!$E165:$H165,"🔄 Em andamento")&gt;0,"Em andamento","Não iniciado"))))))))</f>
        <v/>
      </c>
      <c r="L183" s="234" t="str">
        <f>IF($B183="","",IF($K183&lt;&gt;"Concluído","Não iniciado",IF(OR(COUNTIF('E08 — Estabilização Hypercare'!$E165:$J165,"⛔ Bloqueado")&gt;0,'E08 — Estabilização Hypercare'!$N165="⛔ Incidente Crítico — Encerramento Bloqueado",AND('E08 — Estabilização Hypercare'!$N165="🆕 Evolução Identificada — Nova Demanda Aberta",'E08 — Estabilização Hypercare'!$U165="")),"Bloqueado",IF(AND('E08 — Estabilização Hypercare'!$E165="✔ Concluído",'E08 — Estabilização Hypercare'!$F165="✔ Concluído",'E08 — Estabilização Hypercare'!$G165="✔ Concluído",OR('E08 — Estabilização Hypercare'!$H165="✔ Concluído",'E08 — Estabilização Hypercare'!$H165="N/A"),'E08 — Estabilização Hypercare'!$I165="✔ Concluído",'E08 — Estabilização Hypercare'!$J165="✔ Concluído",OR('E08 — Estabilização Hypercare'!$N165="✅ Estável — Demanda Encerrada",AND('E08 — Estabilização Hypercare'!$N165="🆕 Evolução Identificada — Nova Demanda Aberta",'E08 — Estabilização Hypercare'!$U165&lt;&gt;""))),"Concluído",IF(OR(COUNTIF('E08 — Estabilização Hypercare'!$E165:$J165,"✔ Concluído")&gt;0,COUNTIF('E08 — Estabilização Hypercare'!$E165:$J165,"🔄 Em andamento")&gt;0,'E08 — Estabilização Hypercare'!$N165&lt;&gt;""),"Em andamento","Não iniciado")))))</f>
        <v/>
      </c>
      <c r="M183" s="236" t="str" cm="1">
        <f t="array" ref="M183">IF(B183="","",_xlfn.IFS(E183&lt;&gt;"Concluído","E1 — Solicitação",F183&lt;&gt;"Concluído","E2 — Triagem",G183&lt;&gt;"Concluído","E3 — Levantamento ⚠",H183&lt;&gt;"Concluído","E4 — Execução",I183&lt;&gt;"Concluído","E5 — Validação ⚠",AND(J183&lt;&gt;"Concluído",J183&lt;&gt;"N/A"),"E6 — Ajustes",K183&lt;&gt;"Concluído","E7 — Entrega",L183&lt;&gt;"Concluído","E08 — Estabilização / Hypercare",TRUE,"✔ Fluxo concluído"))</f>
        <v/>
      </c>
      <c r="N183" s="237" t="str">
        <f t="shared" si="2"/>
        <v/>
      </c>
      <c r="O183" s="238"/>
    </row>
    <row r="184" spans="2:15" ht="15" customHeight="1" x14ac:dyDescent="0.35">
      <c r="B184" s="234" t="str">
        <f>IF(Lançamentos!$B161="","",Lançamentos!$B161)</f>
        <v/>
      </c>
      <c r="C184" s="235" t="str">
        <f>IF($B184="","",Lançamentos!$J161)</f>
        <v/>
      </c>
      <c r="D184" s="235" t="str">
        <f>IF($B184="","",Lançamentos!$H161)</f>
        <v/>
      </c>
      <c r="E184" s="234" t="str">
        <f>IF($B184="","",IF(COUNTIF(Lançamentos!$B$3:$B$1001,$B184)=0,"Bloqueado",IF(COUNTIF('E1 — Solicitação'!$E166:$L166,"⛔ Bloqueado")&gt;0,"Bloqueado",IF(COUNTIF('E1 — Solicitação'!$E166:$L166,"N/A")=8,"Bloqueado",IF(COUNTIF('E1 — Solicitação'!$E166:$L166,"✔ Concluído")+COUNTIF('E1 — Solicitação'!$E166:$L166,"N/A")=8,"Concluído",IF(COUNTIF('E1 — Solicitação'!$E166:$L166,"✔ Concluído")+COUNTIF('E1 — Solicitação'!$E166:$L166,"🔄 Em andamento")&gt;0,"Em andamento","Não iniciado"))))))</f>
        <v/>
      </c>
      <c r="F184" s="234" t="str">
        <f>IF($B184="","",IF($E184&lt;&gt;"Concluído","Não iniciado",IF(COUNTIF(Lançamentos!$B$3:$B$1001,$B184)=0,"Bloqueado",IF('E2 — Triagem'!$D166="","Bloqueado",IF(COUNTIF('E2 — Triagem'!$E166:$L166,"N/A")=8,"Bloqueado",IF(COUNTIF('E2 — Triagem'!$E166:$L166,"⛔ Bloqueado")&gt;0,"Bloqueado",IF(COUNTIF('E2 — Triagem'!$E166:$L166,"✔ Concluído")+COUNTIF('E2 — Triagem'!$E166:$L166,"N/A")=8,"Concluído",IF(COUNTIF('E2 — Triagem'!$E166:$L166,"✔ Concluído")+COUNTIF('E2 — Triagem'!$E166:$L166,"🔄 Em andamento")&gt;0,"Em andamento","Não iniciado"))))))))</f>
        <v/>
      </c>
      <c r="G184" s="234" t="str">
        <f>IF($B184="","",IF($F184&lt;&gt;"Concluído","Não iniciado",IF(COUNTIF(Lançamentos!$B$3:$B$1001,$B184)=0,"Bloqueado",IF('E3 — Levantamento'!$D166="","Bloqueado",IF(COUNTIF('E3 — Levantamento'!$E166:$I166,"⛔ Bloqueado")&gt;0,"Bloqueado",IF('E3 — Levantamento'!$I166="N/A","Bloqueado",IF(COUNTIF('E3 — Levantamento'!$E166:$I166,"✔ Concluído")=5,"Concluído",IF(COUNTIF('E3 — Levantamento'!$E166:$I166,"✔ Concluído")+COUNTIF('E3 — Levantamento'!$E166:$I166,"🔄 Em andamento")&gt;0,"Em andamento","Não iniciado"))))))))</f>
        <v/>
      </c>
      <c r="H184" s="234" t="str">
        <f>IF($B184="","",IF($G184&lt;&gt;"Concluído","Não iniciado",IF(COUNTIF(Lançamentos!$B$3:$B$1001,$B184)=0,"Bloqueado",IF('E4 — Execução'!$D166="","Bloqueado",IF(COUNTIF('E4 — Execução'!$E166:$K166,"⛔ Bloqueado")&gt;0,"Bloqueado",IF(COUNTIF('E4 — Execução'!$E166:$K166,"✔ Concluído")=7,"Concluído",IF(COUNTIF('E4 — Execução'!$E166:$K166,"✔ Concluído")+COUNTIF('E4 — Execução'!$E166:$K166,"🔄 Em andamento")&gt;0,"Em andamento","Não iniciado")))))))</f>
        <v/>
      </c>
      <c r="I184" s="234" t="str">
        <f>IF($B184="","",IF($H184&lt;&gt;"Concluído","Não iniciado",IF(COUNTIF(Lançamentos!$B$3:$B$1001,$B184)=0,"Bloqueado",IF('E5 — Validação'!$D166="","Bloqueado",IF(COUNTIF('E5 — Validação'!$E166:$I166,"⛔ Bloqueado")&gt;0,"Bloqueado",IF('E5 — Validação'!$I166="N/A","Bloqueado",IF(AND('E5 — Validação'!$E166="✔ Concluído",'E5 — Validação'!$F166="✔ Concluído",OR('E5 — Validação'!$G166="✔ Concluído",'E5 — Validação'!$G166="N/A"),'E5 — Validação'!$H166="✔ Concluído",'E5 — Validação'!$I166="✔ Concluído"),"Concluído",IF(COUNTIF('E5 — Validação'!$E166:$I166,"✔ Concluído")+COUNTIF('E5 — Validação'!$E166:$I166,"🔄 Em andamento")&gt;0,"Em andamento","Não iniciado"))))))))</f>
        <v/>
      </c>
      <c r="J184" s="234" t="str">
        <f>IF($B184="","",IF($I184&lt;&gt;"Concluído","Não iniciado",IF('E6 — Ajustes'!$N166="Não","N/A",IF(COUNTIF(Lançamentos!$B$3:$B$1001,$B184)=0,"Bloqueado",IF('E6 — Ajustes'!$D166="","Bloqueado",IF(COUNTIF('E6 — Ajustes'!$E166:$J166,"⛔ Bloqueado")&gt;0,"Bloqueado",IF(AND('E6 — Ajustes'!$E166="✔ Concluído",'E6 — Ajustes'!$F166="✔ Concluído",'E6 — Ajustes'!$G166="✔ Concluído",'E6 — Ajustes'!$H166="✔ Concluído",OR('E6 — Ajustes'!$I166="✔ Concluído",'E6 — Ajustes'!$I166="N/A"),'E6 — Ajustes'!$J166="✔ Concluído"),"Concluído",IF(COUNTIF('E6 — Ajustes'!$E166:$J166,"✔ Concluído")+COUNTIF('E6 — Ajustes'!$E166:$J166,"🔄 Em andamento")&gt;0,"Em andamento","Não iniciado"))))))))</f>
        <v/>
      </c>
      <c r="K184" s="234" t="str">
        <f>IF($B184="","",IF($I184&lt;&gt;"Concluído","Não iniciado",IF(AND($J184&lt;&gt;"Concluído",$J184&lt;&gt;"N/A"),"Não iniciado",IF(COUNTIF(Lançamentos!$B$3:$B$1001,$B184)=0,"Bloqueado",IF('E7 — Entrega'!$D166="","Bloqueado",IF(COUNTIF('E7 — Entrega'!$E166:$H166,"⛔ Bloqueado")&gt;0,"Bloqueado",IF(COUNTIF('E7 — Entrega'!$E166:$H166,"✔ Concluído")=4,"Concluído",IF(COUNTIF('E7 — Entrega'!$E166:$H166,"✔ Concluído")+COUNTIF('E7 — Entrega'!$E166:$H166,"🔄 Em andamento")&gt;0,"Em andamento","Não iniciado"))))))))</f>
        <v/>
      </c>
      <c r="L184" s="234" t="str">
        <f>IF($B184="","",IF($K184&lt;&gt;"Concluído","Não iniciado",IF(OR(COUNTIF('E08 — Estabilização Hypercare'!$E166:$J166,"⛔ Bloqueado")&gt;0,'E08 — Estabilização Hypercare'!$N166="⛔ Incidente Crítico — Encerramento Bloqueado",AND('E08 — Estabilização Hypercare'!$N166="🆕 Evolução Identificada — Nova Demanda Aberta",'E08 — Estabilização Hypercare'!$U166="")),"Bloqueado",IF(AND('E08 — Estabilização Hypercare'!$E166="✔ Concluído",'E08 — Estabilização Hypercare'!$F166="✔ Concluído",'E08 — Estabilização Hypercare'!$G166="✔ Concluído",OR('E08 — Estabilização Hypercare'!$H166="✔ Concluído",'E08 — Estabilização Hypercare'!$H166="N/A"),'E08 — Estabilização Hypercare'!$I166="✔ Concluído",'E08 — Estabilização Hypercare'!$J166="✔ Concluído",OR('E08 — Estabilização Hypercare'!$N166="✅ Estável — Demanda Encerrada",AND('E08 — Estabilização Hypercare'!$N166="🆕 Evolução Identificada — Nova Demanda Aberta",'E08 — Estabilização Hypercare'!$U166&lt;&gt;""))),"Concluído",IF(OR(COUNTIF('E08 — Estabilização Hypercare'!$E166:$J166,"✔ Concluído")&gt;0,COUNTIF('E08 — Estabilização Hypercare'!$E166:$J166,"🔄 Em andamento")&gt;0,'E08 — Estabilização Hypercare'!$N166&lt;&gt;""),"Em andamento","Não iniciado")))))</f>
        <v/>
      </c>
      <c r="M184" s="236" t="str" cm="1">
        <f t="array" ref="M184">IF(B184="","",_xlfn.IFS(E184&lt;&gt;"Concluído","E1 — Solicitação",F184&lt;&gt;"Concluído","E2 — Triagem",G184&lt;&gt;"Concluído","E3 — Levantamento ⚠",H184&lt;&gt;"Concluído","E4 — Execução",I184&lt;&gt;"Concluído","E5 — Validação ⚠",AND(J184&lt;&gt;"Concluído",J184&lt;&gt;"N/A"),"E6 — Ajustes",K184&lt;&gt;"Concluído","E7 — Entrega",L184&lt;&gt;"Concluído","E08 — Estabilização / Hypercare",TRUE,"✔ Fluxo concluído"))</f>
        <v/>
      </c>
      <c r="N184" s="237" t="str">
        <f t="shared" si="2"/>
        <v/>
      </c>
      <c r="O184" s="238"/>
    </row>
    <row r="185" spans="2:15" ht="15" customHeight="1" x14ac:dyDescent="0.35">
      <c r="B185" s="234" t="str">
        <f>IF(Lançamentos!$B162="","",Lançamentos!$B162)</f>
        <v/>
      </c>
      <c r="C185" s="235" t="str">
        <f>IF($B185="","",Lançamentos!$J162)</f>
        <v/>
      </c>
      <c r="D185" s="235" t="str">
        <f>IF($B185="","",Lançamentos!$H162)</f>
        <v/>
      </c>
      <c r="E185" s="234" t="str">
        <f>IF($B185="","",IF(COUNTIF(Lançamentos!$B$3:$B$1001,$B185)=0,"Bloqueado",IF(COUNTIF('E1 — Solicitação'!$E167:$L167,"⛔ Bloqueado")&gt;0,"Bloqueado",IF(COUNTIF('E1 — Solicitação'!$E167:$L167,"N/A")=8,"Bloqueado",IF(COUNTIF('E1 — Solicitação'!$E167:$L167,"✔ Concluído")+COUNTIF('E1 — Solicitação'!$E167:$L167,"N/A")=8,"Concluído",IF(COUNTIF('E1 — Solicitação'!$E167:$L167,"✔ Concluído")+COUNTIF('E1 — Solicitação'!$E167:$L167,"🔄 Em andamento")&gt;0,"Em andamento","Não iniciado"))))))</f>
        <v/>
      </c>
      <c r="F185" s="234" t="str">
        <f>IF($B185="","",IF($E185&lt;&gt;"Concluído","Não iniciado",IF(COUNTIF(Lançamentos!$B$3:$B$1001,$B185)=0,"Bloqueado",IF('E2 — Triagem'!$D167="","Bloqueado",IF(COUNTIF('E2 — Triagem'!$E167:$L167,"N/A")=8,"Bloqueado",IF(COUNTIF('E2 — Triagem'!$E167:$L167,"⛔ Bloqueado")&gt;0,"Bloqueado",IF(COUNTIF('E2 — Triagem'!$E167:$L167,"✔ Concluído")+COUNTIF('E2 — Triagem'!$E167:$L167,"N/A")=8,"Concluído",IF(COUNTIF('E2 — Triagem'!$E167:$L167,"✔ Concluído")+COUNTIF('E2 — Triagem'!$E167:$L167,"🔄 Em andamento")&gt;0,"Em andamento","Não iniciado"))))))))</f>
        <v/>
      </c>
      <c r="G185" s="234" t="str">
        <f>IF($B185="","",IF($F185&lt;&gt;"Concluído","Não iniciado",IF(COUNTIF(Lançamentos!$B$3:$B$1001,$B185)=0,"Bloqueado",IF('E3 — Levantamento'!$D167="","Bloqueado",IF(COUNTIF('E3 — Levantamento'!$E167:$I167,"⛔ Bloqueado")&gt;0,"Bloqueado",IF('E3 — Levantamento'!$I167="N/A","Bloqueado",IF(COUNTIF('E3 — Levantamento'!$E167:$I167,"✔ Concluído")=5,"Concluído",IF(COUNTIF('E3 — Levantamento'!$E167:$I167,"✔ Concluído")+COUNTIF('E3 — Levantamento'!$E167:$I167,"🔄 Em andamento")&gt;0,"Em andamento","Não iniciado"))))))))</f>
        <v/>
      </c>
      <c r="H185" s="234" t="str">
        <f>IF($B185="","",IF($G185&lt;&gt;"Concluído","Não iniciado",IF(COUNTIF(Lançamentos!$B$3:$B$1001,$B185)=0,"Bloqueado",IF('E4 — Execução'!$D167="","Bloqueado",IF(COUNTIF('E4 — Execução'!$E167:$K167,"⛔ Bloqueado")&gt;0,"Bloqueado",IF(COUNTIF('E4 — Execução'!$E167:$K167,"✔ Concluído")=7,"Concluído",IF(COUNTIF('E4 — Execução'!$E167:$K167,"✔ Concluído")+COUNTIF('E4 — Execução'!$E167:$K167,"🔄 Em andamento")&gt;0,"Em andamento","Não iniciado")))))))</f>
        <v/>
      </c>
      <c r="I185" s="234" t="str">
        <f>IF($B185="","",IF($H185&lt;&gt;"Concluído","Não iniciado",IF(COUNTIF(Lançamentos!$B$3:$B$1001,$B185)=0,"Bloqueado",IF('E5 — Validação'!$D167="","Bloqueado",IF(COUNTIF('E5 — Validação'!$E167:$I167,"⛔ Bloqueado")&gt;0,"Bloqueado",IF('E5 — Validação'!$I167="N/A","Bloqueado",IF(AND('E5 — Validação'!$E167="✔ Concluído",'E5 — Validação'!$F167="✔ Concluído",OR('E5 — Validação'!$G167="✔ Concluído",'E5 — Validação'!$G167="N/A"),'E5 — Validação'!$H167="✔ Concluído",'E5 — Validação'!$I167="✔ Concluído"),"Concluído",IF(COUNTIF('E5 — Validação'!$E167:$I167,"✔ Concluído")+COUNTIF('E5 — Validação'!$E167:$I167,"🔄 Em andamento")&gt;0,"Em andamento","Não iniciado"))))))))</f>
        <v/>
      </c>
      <c r="J185" s="234" t="str">
        <f>IF($B185="","",IF($I185&lt;&gt;"Concluído","Não iniciado",IF('E6 — Ajustes'!$N167="Não","N/A",IF(COUNTIF(Lançamentos!$B$3:$B$1001,$B185)=0,"Bloqueado",IF('E6 — Ajustes'!$D167="","Bloqueado",IF(COUNTIF('E6 — Ajustes'!$E167:$J167,"⛔ Bloqueado")&gt;0,"Bloqueado",IF(AND('E6 — Ajustes'!$E167="✔ Concluído",'E6 — Ajustes'!$F167="✔ Concluído",'E6 — Ajustes'!$G167="✔ Concluído",'E6 — Ajustes'!$H167="✔ Concluído",OR('E6 — Ajustes'!$I167="✔ Concluído",'E6 — Ajustes'!$I167="N/A"),'E6 — Ajustes'!$J167="✔ Concluído"),"Concluído",IF(COUNTIF('E6 — Ajustes'!$E167:$J167,"✔ Concluído")+COUNTIF('E6 — Ajustes'!$E167:$J167,"🔄 Em andamento")&gt;0,"Em andamento","Não iniciado"))))))))</f>
        <v/>
      </c>
      <c r="K185" s="234" t="str">
        <f>IF($B185="","",IF($I185&lt;&gt;"Concluído","Não iniciado",IF(AND($J185&lt;&gt;"Concluído",$J185&lt;&gt;"N/A"),"Não iniciado",IF(COUNTIF(Lançamentos!$B$3:$B$1001,$B185)=0,"Bloqueado",IF('E7 — Entrega'!$D167="","Bloqueado",IF(COUNTIF('E7 — Entrega'!$E167:$H167,"⛔ Bloqueado")&gt;0,"Bloqueado",IF(COUNTIF('E7 — Entrega'!$E167:$H167,"✔ Concluído")=4,"Concluído",IF(COUNTIF('E7 — Entrega'!$E167:$H167,"✔ Concluído")+COUNTIF('E7 — Entrega'!$E167:$H167,"🔄 Em andamento")&gt;0,"Em andamento","Não iniciado"))))))))</f>
        <v/>
      </c>
      <c r="L185" s="234" t="str">
        <f>IF($B185="","",IF($K185&lt;&gt;"Concluído","Não iniciado",IF(OR(COUNTIF('E08 — Estabilização Hypercare'!$E167:$J167,"⛔ Bloqueado")&gt;0,'E08 — Estabilização Hypercare'!$N167="⛔ Incidente Crítico — Encerramento Bloqueado",AND('E08 — Estabilização Hypercare'!$N167="🆕 Evolução Identificada — Nova Demanda Aberta",'E08 — Estabilização Hypercare'!$U167="")),"Bloqueado",IF(AND('E08 — Estabilização Hypercare'!$E167="✔ Concluído",'E08 — Estabilização Hypercare'!$F167="✔ Concluído",'E08 — Estabilização Hypercare'!$G167="✔ Concluído",OR('E08 — Estabilização Hypercare'!$H167="✔ Concluído",'E08 — Estabilização Hypercare'!$H167="N/A"),'E08 — Estabilização Hypercare'!$I167="✔ Concluído",'E08 — Estabilização Hypercare'!$J167="✔ Concluído",OR('E08 — Estabilização Hypercare'!$N167="✅ Estável — Demanda Encerrada",AND('E08 — Estabilização Hypercare'!$N167="🆕 Evolução Identificada — Nova Demanda Aberta",'E08 — Estabilização Hypercare'!$U167&lt;&gt;""))),"Concluído",IF(OR(COUNTIF('E08 — Estabilização Hypercare'!$E167:$J167,"✔ Concluído")&gt;0,COUNTIF('E08 — Estabilização Hypercare'!$E167:$J167,"🔄 Em andamento")&gt;0,'E08 — Estabilização Hypercare'!$N167&lt;&gt;""),"Em andamento","Não iniciado")))))</f>
        <v/>
      </c>
      <c r="M185" s="236" t="str" cm="1">
        <f t="array" ref="M185">IF(B185="","",_xlfn.IFS(E185&lt;&gt;"Concluído","E1 — Solicitação",F185&lt;&gt;"Concluído","E2 — Triagem",G185&lt;&gt;"Concluído","E3 — Levantamento ⚠",H185&lt;&gt;"Concluído","E4 — Execução",I185&lt;&gt;"Concluído","E5 — Validação ⚠",AND(J185&lt;&gt;"Concluído",J185&lt;&gt;"N/A"),"E6 — Ajustes",K185&lt;&gt;"Concluído","E7 — Entrega",L185&lt;&gt;"Concluído","E08 — Estabilização / Hypercare",TRUE,"✔ Fluxo concluído"))</f>
        <v/>
      </c>
      <c r="N185" s="237" t="str">
        <f t="shared" si="2"/>
        <v/>
      </c>
      <c r="O185" s="238"/>
    </row>
    <row r="186" spans="2:15" ht="15" customHeight="1" x14ac:dyDescent="0.35">
      <c r="B186" s="234" t="str">
        <f>IF(Lançamentos!$B163="","",Lançamentos!$B163)</f>
        <v/>
      </c>
      <c r="C186" s="235" t="str">
        <f>IF($B186="","",Lançamentos!$J163)</f>
        <v/>
      </c>
      <c r="D186" s="235" t="str">
        <f>IF($B186="","",Lançamentos!$H163)</f>
        <v/>
      </c>
      <c r="E186" s="234" t="str">
        <f>IF($B186="","",IF(COUNTIF(Lançamentos!$B$3:$B$1001,$B186)=0,"Bloqueado",IF(COUNTIF('E1 — Solicitação'!$E168:$L168,"⛔ Bloqueado")&gt;0,"Bloqueado",IF(COUNTIF('E1 — Solicitação'!$E168:$L168,"N/A")=8,"Bloqueado",IF(COUNTIF('E1 — Solicitação'!$E168:$L168,"✔ Concluído")+COUNTIF('E1 — Solicitação'!$E168:$L168,"N/A")=8,"Concluído",IF(COUNTIF('E1 — Solicitação'!$E168:$L168,"✔ Concluído")+COUNTIF('E1 — Solicitação'!$E168:$L168,"🔄 Em andamento")&gt;0,"Em andamento","Não iniciado"))))))</f>
        <v/>
      </c>
      <c r="F186" s="234" t="str">
        <f>IF($B186="","",IF($E186&lt;&gt;"Concluído","Não iniciado",IF(COUNTIF(Lançamentos!$B$3:$B$1001,$B186)=0,"Bloqueado",IF('E2 — Triagem'!$D168="","Bloqueado",IF(COUNTIF('E2 — Triagem'!$E168:$L168,"N/A")=8,"Bloqueado",IF(COUNTIF('E2 — Triagem'!$E168:$L168,"⛔ Bloqueado")&gt;0,"Bloqueado",IF(COUNTIF('E2 — Triagem'!$E168:$L168,"✔ Concluído")+COUNTIF('E2 — Triagem'!$E168:$L168,"N/A")=8,"Concluído",IF(COUNTIF('E2 — Triagem'!$E168:$L168,"✔ Concluído")+COUNTIF('E2 — Triagem'!$E168:$L168,"🔄 Em andamento")&gt;0,"Em andamento","Não iniciado"))))))))</f>
        <v/>
      </c>
      <c r="G186" s="234" t="str">
        <f>IF($B186="","",IF($F186&lt;&gt;"Concluído","Não iniciado",IF(COUNTIF(Lançamentos!$B$3:$B$1001,$B186)=0,"Bloqueado",IF('E3 — Levantamento'!$D168="","Bloqueado",IF(COUNTIF('E3 — Levantamento'!$E168:$I168,"⛔ Bloqueado")&gt;0,"Bloqueado",IF('E3 — Levantamento'!$I168="N/A","Bloqueado",IF(COUNTIF('E3 — Levantamento'!$E168:$I168,"✔ Concluído")=5,"Concluído",IF(COUNTIF('E3 — Levantamento'!$E168:$I168,"✔ Concluído")+COUNTIF('E3 — Levantamento'!$E168:$I168,"🔄 Em andamento")&gt;0,"Em andamento","Não iniciado"))))))))</f>
        <v/>
      </c>
      <c r="H186" s="234" t="str">
        <f>IF($B186="","",IF($G186&lt;&gt;"Concluído","Não iniciado",IF(COUNTIF(Lançamentos!$B$3:$B$1001,$B186)=0,"Bloqueado",IF('E4 — Execução'!$D168="","Bloqueado",IF(COUNTIF('E4 — Execução'!$E168:$K168,"⛔ Bloqueado")&gt;0,"Bloqueado",IF(COUNTIF('E4 — Execução'!$E168:$K168,"✔ Concluído")=7,"Concluído",IF(COUNTIF('E4 — Execução'!$E168:$K168,"✔ Concluído")+COUNTIF('E4 — Execução'!$E168:$K168,"🔄 Em andamento")&gt;0,"Em andamento","Não iniciado")))))))</f>
        <v/>
      </c>
      <c r="I186" s="234" t="str">
        <f>IF($B186="","",IF($H186&lt;&gt;"Concluído","Não iniciado",IF(COUNTIF(Lançamentos!$B$3:$B$1001,$B186)=0,"Bloqueado",IF('E5 — Validação'!$D168="","Bloqueado",IF(COUNTIF('E5 — Validação'!$E168:$I168,"⛔ Bloqueado")&gt;0,"Bloqueado",IF('E5 — Validação'!$I168="N/A","Bloqueado",IF(AND('E5 — Validação'!$E168="✔ Concluído",'E5 — Validação'!$F168="✔ Concluído",OR('E5 — Validação'!$G168="✔ Concluído",'E5 — Validação'!$G168="N/A"),'E5 — Validação'!$H168="✔ Concluído",'E5 — Validação'!$I168="✔ Concluído"),"Concluído",IF(COUNTIF('E5 — Validação'!$E168:$I168,"✔ Concluído")+COUNTIF('E5 — Validação'!$E168:$I168,"🔄 Em andamento")&gt;0,"Em andamento","Não iniciado"))))))))</f>
        <v/>
      </c>
      <c r="J186" s="234" t="str">
        <f>IF($B186="","",IF($I186&lt;&gt;"Concluído","Não iniciado",IF('E6 — Ajustes'!$N168="Não","N/A",IF(COUNTIF(Lançamentos!$B$3:$B$1001,$B186)=0,"Bloqueado",IF('E6 — Ajustes'!$D168="","Bloqueado",IF(COUNTIF('E6 — Ajustes'!$E168:$J168,"⛔ Bloqueado")&gt;0,"Bloqueado",IF(AND('E6 — Ajustes'!$E168="✔ Concluído",'E6 — Ajustes'!$F168="✔ Concluído",'E6 — Ajustes'!$G168="✔ Concluído",'E6 — Ajustes'!$H168="✔ Concluído",OR('E6 — Ajustes'!$I168="✔ Concluído",'E6 — Ajustes'!$I168="N/A"),'E6 — Ajustes'!$J168="✔ Concluído"),"Concluído",IF(COUNTIF('E6 — Ajustes'!$E168:$J168,"✔ Concluído")+COUNTIF('E6 — Ajustes'!$E168:$J168,"🔄 Em andamento")&gt;0,"Em andamento","Não iniciado"))))))))</f>
        <v/>
      </c>
      <c r="K186" s="234" t="str">
        <f>IF($B186="","",IF($I186&lt;&gt;"Concluído","Não iniciado",IF(AND($J186&lt;&gt;"Concluído",$J186&lt;&gt;"N/A"),"Não iniciado",IF(COUNTIF(Lançamentos!$B$3:$B$1001,$B186)=0,"Bloqueado",IF('E7 — Entrega'!$D168="","Bloqueado",IF(COUNTIF('E7 — Entrega'!$E168:$H168,"⛔ Bloqueado")&gt;0,"Bloqueado",IF(COUNTIF('E7 — Entrega'!$E168:$H168,"✔ Concluído")=4,"Concluído",IF(COUNTIF('E7 — Entrega'!$E168:$H168,"✔ Concluído")+COUNTIF('E7 — Entrega'!$E168:$H168,"🔄 Em andamento")&gt;0,"Em andamento","Não iniciado"))))))))</f>
        <v/>
      </c>
      <c r="L186" s="234" t="str">
        <f>IF($B186="","",IF($K186&lt;&gt;"Concluído","Não iniciado",IF(OR(COUNTIF('E08 — Estabilização Hypercare'!$E168:$J168,"⛔ Bloqueado")&gt;0,'E08 — Estabilização Hypercare'!$N168="⛔ Incidente Crítico — Encerramento Bloqueado",AND('E08 — Estabilização Hypercare'!$N168="🆕 Evolução Identificada — Nova Demanda Aberta",'E08 — Estabilização Hypercare'!$U168="")),"Bloqueado",IF(AND('E08 — Estabilização Hypercare'!$E168="✔ Concluído",'E08 — Estabilização Hypercare'!$F168="✔ Concluído",'E08 — Estabilização Hypercare'!$G168="✔ Concluído",OR('E08 — Estabilização Hypercare'!$H168="✔ Concluído",'E08 — Estabilização Hypercare'!$H168="N/A"),'E08 — Estabilização Hypercare'!$I168="✔ Concluído",'E08 — Estabilização Hypercare'!$J168="✔ Concluído",OR('E08 — Estabilização Hypercare'!$N168="✅ Estável — Demanda Encerrada",AND('E08 — Estabilização Hypercare'!$N168="🆕 Evolução Identificada — Nova Demanda Aberta",'E08 — Estabilização Hypercare'!$U168&lt;&gt;""))),"Concluído",IF(OR(COUNTIF('E08 — Estabilização Hypercare'!$E168:$J168,"✔ Concluído")&gt;0,COUNTIF('E08 — Estabilização Hypercare'!$E168:$J168,"🔄 Em andamento")&gt;0,'E08 — Estabilização Hypercare'!$N168&lt;&gt;""),"Em andamento","Não iniciado")))))</f>
        <v/>
      </c>
      <c r="M186" s="236" t="str" cm="1">
        <f t="array" ref="M186">IF(B186="","",_xlfn.IFS(E186&lt;&gt;"Concluído","E1 — Solicitação",F186&lt;&gt;"Concluído","E2 — Triagem",G186&lt;&gt;"Concluído","E3 — Levantamento ⚠",H186&lt;&gt;"Concluído","E4 — Execução",I186&lt;&gt;"Concluído","E5 — Validação ⚠",AND(J186&lt;&gt;"Concluído",J186&lt;&gt;"N/A"),"E6 — Ajustes",K186&lt;&gt;"Concluído","E7 — Entrega",L186&lt;&gt;"Concluído","E08 — Estabilização / Hypercare",TRUE,"✔ Fluxo concluído"))</f>
        <v/>
      </c>
      <c r="N186" s="237" t="str">
        <f t="shared" si="2"/>
        <v/>
      </c>
      <c r="O186" s="238"/>
    </row>
    <row r="187" spans="2:15" ht="15" customHeight="1" x14ac:dyDescent="0.35">
      <c r="B187" s="234" t="str">
        <f>IF(Lançamentos!$B164="","",Lançamentos!$B164)</f>
        <v/>
      </c>
      <c r="C187" s="235" t="str">
        <f>IF($B187="","",Lançamentos!$J164)</f>
        <v/>
      </c>
      <c r="D187" s="235" t="str">
        <f>IF($B187="","",Lançamentos!$H164)</f>
        <v/>
      </c>
      <c r="E187" s="234" t="str">
        <f>IF($B187="","",IF(COUNTIF(Lançamentos!$B$3:$B$1001,$B187)=0,"Bloqueado",IF(COUNTIF('E1 — Solicitação'!$E169:$L169,"⛔ Bloqueado")&gt;0,"Bloqueado",IF(COUNTIF('E1 — Solicitação'!$E169:$L169,"N/A")=8,"Bloqueado",IF(COUNTIF('E1 — Solicitação'!$E169:$L169,"✔ Concluído")+COUNTIF('E1 — Solicitação'!$E169:$L169,"N/A")=8,"Concluído",IF(COUNTIF('E1 — Solicitação'!$E169:$L169,"✔ Concluído")+COUNTIF('E1 — Solicitação'!$E169:$L169,"🔄 Em andamento")&gt;0,"Em andamento","Não iniciado"))))))</f>
        <v/>
      </c>
      <c r="F187" s="234" t="str">
        <f>IF($B187="","",IF($E187&lt;&gt;"Concluído","Não iniciado",IF(COUNTIF(Lançamentos!$B$3:$B$1001,$B187)=0,"Bloqueado",IF('E2 — Triagem'!$D169="","Bloqueado",IF(COUNTIF('E2 — Triagem'!$E169:$L169,"N/A")=8,"Bloqueado",IF(COUNTIF('E2 — Triagem'!$E169:$L169,"⛔ Bloqueado")&gt;0,"Bloqueado",IF(COUNTIF('E2 — Triagem'!$E169:$L169,"✔ Concluído")+COUNTIF('E2 — Triagem'!$E169:$L169,"N/A")=8,"Concluído",IF(COUNTIF('E2 — Triagem'!$E169:$L169,"✔ Concluído")+COUNTIF('E2 — Triagem'!$E169:$L169,"🔄 Em andamento")&gt;0,"Em andamento","Não iniciado"))))))))</f>
        <v/>
      </c>
      <c r="G187" s="234" t="str">
        <f>IF($B187="","",IF($F187&lt;&gt;"Concluído","Não iniciado",IF(COUNTIF(Lançamentos!$B$3:$B$1001,$B187)=0,"Bloqueado",IF('E3 — Levantamento'!$D169="","Bloqueado",IF(COUNTIF('E3 — Levantamento'!$E169:$I169,"⛔ Bloqueado")&gt;0,"Bloqueado",IF('E3 — Levantamento'!$I169="N/A","Bloqueado",IF(COUNTIF('E3 — Levantamento'!$E169:$I169,"✔ Concluído")=5,"Concluído",IF(COUNTIF('E3 — Levantamento'!$E169:$I169,"✔ Concluído")+COUNTIF('E3 — Levantamento'!$E169:$I169,"🔄 Em andamento")&gt;0,"Em andamento","Não iniciado"))))))))</f>
        <v/>
      </c>
      <c r="H187" s="234" t="str">
        <f>IF($B187="","",IF($G187&lt;&gt;"Concluído","Não iniciado",IF(COUNTIF(Lançamentos!$B$3:$B$1001,$B187)=0,"Bloqueado",IF('E4 — Execução'!$D169="","Bloqueado",IF(COUNTIF('E4 — Execução'!$E169:$K169,"⛔ Bloqueado")&gt;0,"Bloqueado",IF(COUNTIF('E4 — Execução'!$E169:$K169,"✔ Concluído")=7,"Concluído",IF(COUNTIF('E4 — Execução'!$E169:$K169,"✔ Concluído")+COUNTIF('E4 — Execução'!$E169:$K169,"🔄 Em andamento")&gt;0,"Em andamento","Não iniciado")))))))</f>
        <v/>
      </c>
      <c r="I187" s="234" t="str">
        <f>IF($B187="","",IF($H187&lt;&gt;"Concluído","Não iniciado",IF(COUNTIF(Lançamentos!$B$3:$B$1001,$B187)=0,"Bloqueado",IF('E5 — Validação'!$D169="","Bloqueado",IF(COUNTIF('E5 — Validação'!$E169:$I169,"⛔ Bloqueado")&gt;0,"Bloqueado",IF('E5 — Validação'!$I169="N/A","Bloqueado",IF(AND('E5 — Validação'!$E169="✔ Concluído",'E5 — Validação'!$F169="✔ Concluído",OR('E5 — Validação'!$G169="✔ Concluído",'E5 — Validação'!$G169="N/A"),'E5 — Validação'!$H169="✔ Concluído",'E5 — Validação'!$I169="✔ Concluído"),"Concluído",IF(COUNTIF('E5 — Validação'!$E169:$I169,"✔ Concluído")+COUNTIF('E5 — Validação'!$E169:$I169,"🔄 Em andamento")&gt;0,"Em andamento","Não iniciado"))))))))</f>
        <v/>
      </c>
      <c r="J187" s="234" t="str">
        <f>IF($B187="","",IF($I187&lt;&gt;"Concluído","Não iniciado",IF('E6 — Ajustes'!$N169="Não","N/A",IF(COUNTIF(Lançamentos!$B$3:$B$1001,$B187)=0,"Bloqueado",IF('E6 — Ajustes'!$D169="","Bloqueado",IF(COUNTIF('E6 — Ajustes'!$E169:$J169,"⛔ Bloqueado")&gt;0,"Bloqueado",IF(AND('E6 — Ajustes'!$E169="✔ Concluído",'E6 — Ajustes'!$F169="✔ Concluído",'E6 — Ajustes'!$G169="✔ Concluído",'E6 — Ajustes'!$H169="✔ Concluído",OR('E6 — Ajustes'!$I169="✔ Concluído",'E6 — Ajustes'!$I169="N/A"),'E6 — Ajustes'!$J169="✔ Concluído"),"Concluído",IF(COUNTIF('E6 — Ajustes'!$E169:$J169,"✔ Concluído")+COUNTIF('E6 — Ajustes'!$E169:$J169,"🔄 Em andamento")&gt;0,"Em andamento","Não iniciado"))))))))</f>
        <v/>
      </c>
      <c r="K187" s="234" t="str">
        <f>IF($B187="","",IF($I187&lt;&gt;"Concluído","Não iniciado",IF(AND($J187&lt;&gt;"Concluído",$J187&lt;&gt;"N/A"),"Não iniciado",IF(COUNTIF(Lançamentos!$B$3:$B$1001,$B187)=0,"Bloqueado",IF('E7 — Entrega'!$D169="","Bloqueado",IF(COUNTIF('E7 — Entrega'!$E169:$H169,"⛔ Bloqueado")&gt;0,"Bloqueado",IF(COUNTIF('E7 — Entrega'!$E169:$H169,"✔ Concluído")=4,"Concluído",IF(COUNTIF('E7 — Entrega'!$E169:$H169,"✔ Concluído")+COUNTIF('E7 — Entrega'!$E169:$H169,"🔄 Em andamento")&gt;0,"Em andamento","Não iniciado"))))))))</f>
        <v/>
      </c>
      <c r="L187" s="234" t="str">
        <f>IF($B187="","",IF($K187&lt;&gt;"Concluído","Não iniciado",IF(OR(COUNTIF('E08 — Estabilização Hypercare'!$E169:$J169,"⛔ Bloqueado")&gt;0,'E08 — Estabilização Hypercare'!$N169="⛔ Incidente Crítico — Encerramento Bloqueado",AND('E08 — Estabilização Hypercare'!$N169="🆕 Evolução Identificada — Nova Demanda Aberta",'E08 — Estabilização Hypercare'!$U169="")),"Bloqueado",IF(AND('E08 — Estabilização Hypercare'!$E169="✔ Concluído",'E08 — Estabilização Hypercare'!$F169="✔ Concluído",'E08 — Estabilização Hypercare'!$G169="✔ Concluído",OR('E08 — Estabilização Hypercare'!$H169="✔ Concluído",'E08 — Estabilização Hypercare'!$H169="N/A"),'E08 — Estabilização Hypercare'!$I169="✔ Concluído",'E08 — Estabilização Hypercare'!$J169="✔ Concluído",OR('E08 — Estabilização Hypercare'!$N169="✅ Estável — Demanda Encerrada",AND('E08 — Estabilização Hypercare'!$N169="🆕 Evolução Identificada — Nova Demanda Aberta",'E08 — Estabilização Hypercare'!$U169&lt;&gt;""))),"Concluído",IF(OR(COUNTIF('E08 — Estabilização Hypercare'!$E169:$J169,"✔ Concluído")&gt;0,COUNTIF('E08 — Estabilização Hypercare'!$E169:$J169,"🔄 Em andamento")&gt;0,'E08 — Estabilização Hypercare'!$N169&lt;&gt;""),"Em andamento","Não iniciado")))))</f>
        <v/>
      </c>
      <c r="M187" s="236" t="str" cm="1">
        <f t="array" ref="M187">IF(B187="","",_xlfn.IFS(E187&lt;&gt;"Concluído","E1 — Solicitação",F187&lt;&gt;"Concluído","E2 — Triagem",G187&lt;&gt;"Concluído","E3 — Levantamento ⚠",H187&lt;&gt;"Concluído","E4 — Execução",I187&lt;&gt;"Concluído","E5 — Validação ⚠",AND(J187&lt;&gt;"Concluído",J187&lt;&gt;"N/A"),"E6 — Ajustes",K187&lt;&gt;"Concluído","E7 — Entrega",L187&lt;&gt;"Concluído","E08 — Estabilização / Hypercare",TRUE,"✔ Fluxo concluído"))</f>
        <v/>
      </c>
      <c r="N187" s="237" t="str">
        <f t="shared" si="2"/>
        <v/>
      </c>
      <c r="O187" s="238"/>
    </row>
    <row r="188" spans="2:15" ht="15" customHeight="1" x14ac:dyDescent="0.35">
      <c r="B188" s="234" t="str">
        <f>IF(Lançamentos!$B165="","",Lançamentos!$B165)</f>
        <v/>
      </c>
      <c r="C188" s="235" t="str">
        <f>IF($B188="","",Lançamentos!$J165)</f>
        <v/>
      </c>
      <c r="D188" s="235" t="str">
        <f>IF($B188="","",Lançamentos!$H165)</f>
        <v/>
      </c>
      <c r="E188" s="234" t="str">
        <f>IF($B188="","",IF(COUNTIF(Lançamentos!$B$3:$B$1001,$B188)=0,"Bloqueado",IF(COUNTIF('E1 — Solicitação'!$E170:$L170,"⛔ Bloqueado")&gt;0,"Bloqueado",IF(COUNTIF('E1 — Solicitação'!$E170:$L170,"N/A")=8,"Bloqueado",IF(COUNTIF('E1 — Solicitação'!$E170:$L170,"✔ Concluído")+COUNTIF('E1 — Solicitação'!$E170:$L170,"N/A")=8,"Concluído",IF(COUNTIF('E1 — Solicitação'!$E170:$L170,"✔ Concluído")+COUNTIF('E1 — Solicitação'!$E170:$L170,"🔄 Em andamento")&gt;0,"Em andamento","Não iniciado"))))))</f>
        <v/>
      </c>
      <c r="F188" s="234" t="str">
        <f>IF($B188="","",IF($E188&lt;&gt;"Concluído","Não iniciado",IF(COUNTIF(Lançamentos!$B$3:$B$1001,$B188)=0,"Bloqueado",IF('E2 — Triagem'!$D170="","Bloqueado",IF(COUNTIF('E2 — Triagem'!$E170:$L170,"N/A")=8,"Bloqueado",IF(COUNTIF('E2 — Triagem'!$E170:$L170,"⛔ Bloqueado")&gt;0,"Bloqueado",IF(COUNTIF('E2 — Triagem'!$E170:$L170,"✔ Concluído")+COUNTIF('E2 — Triagem'!$E170:$L170,"N/A")=8,"Concluído",IF(COUNTIF('E2 — Triagem'!$E170:$L170,"✔ Concluído")+COUNTIF('E2 — Triagem'!$E170:$L170,"🔄 Em andamento")&gt;0,"Em andamento","Não iniciado"))))))))</f>
        <v/>
      </c>
      <c r="G188" s="234" t="str">
        <f>IF($B188="","",IF($F188&lt;&gt;"Concluído","Não iniciado",IF(COUNTIF(Lançamentos!$B$3:$B$1001,$B188)=0,"Bloqueado",IF('E3 — Levantamento'!$D170="","Bloqueado",IF(COUNTIF('E3 — Levantamento'!$E170:$I170,"⛔ Bloqueado")&gt;0,"Bloqueado",IF('E3 — Levantamento'!$I170="N/A","Bloqueado",IF(COUNTIF('E3 — Levantamento'!$E170:$I170,"✔ Concluído")=5,"Concluído",IF(COUNTIF('E3 — Levantamento'!$E170:$I170,"✔ Concluído")+COUNTIF('E3 — Levantamento'!$E170:$I170,"🔄 Em andamento")&gt;0,"Em andamento","Não iniciado"))))))))</f>
        <v/>
      </c>
      <c r="H188" s="234" t="str">
        <f>IF($B188="","",IF($G188&lt;&gt;"Concluído","Não iniciado",IF(COUNTIF(Lançamentos!$B$3:$B$1001,$B188)=0,"Bloqueado",IF('E4 — Execução'!$D170="","Bloqueado",IF(COUNTIF('E4 — Execução'!$E170:$K170,"⛔ Bloqueado")&gt;0,"Bloqueado",IF(COUNTIF('E4 — Execução'!$E170:$K170,"✔ Concluído")=7,"Concluído",IF(COUNTIF('E4 — Execução'!$E170:$K170,"✔ Concluído")+COUNTIF('E4 — Execução'!$E170:$K170,"🔄 Em andamento")&gt;0,"Em andamento","Não iniciado")))))))</f>
        <v/>
      </c>
      <c r="I188" s="234" t="str">
        <f>IF($B188="","",IF($H188&lt;&gt;"Concluído","Não iniciado",IF(COUNTIF(Lançamentos!$B$3:$B$1001,$B188)=0,"Bloqueado",IF('E5 — Validação'!$D170="","Bloqueado",IF(COUNTIF('E5 — Validação'!$E170:$I170,"⛔ Bloqueado")&gt;0,"Bloqueado",IF('E5 — Validação'!$I170="N/A","Bloqueado",IF(AND('E5 — Validação'!$E170="✔ Concluído",'E5 — Validação'!$F170="✔ Concluído",OR('E5 — Validação'!$G170="✔ Concluído",'E5 — Validação'!$G170="N/A"),'E5 — Validação'!$H170="✔ Concluído",'E5 — Validação'!$I170="✔ Concluído"),"Concluído",IF(COUNTIF('E5 — Validação'!$E170:$I170,"✔ Concluído")+COUNTIF('E5 — Validação'!$E170:$I170,"🔄 Em andamento")&gt;0,"Em andamento","Não iniciado"))))))))</f>
        <v/>
      </c>
      <c r="J188" s="234" t="str">
        <f>IF($B188="","",IF($I188&lt;&gt;"Concluído","Não iniciado",IF('E6 — Ajustes'!$N170="Não","N/A",IF(COUNTIF(Lançamentos!$B$3:$B$1001,$B188)=0,"Bloqueado",IF('E6 — Ajustes'!$D170="","Bloqueado",IF(COUNTIF('E6 — Ajustes'!$E170:$J170,"⛔ Bloqueado")&gt;0,"Bloqueado",IF(AND('E6 — Ajustes'!$E170="✔ Concluído",'E6 — Ajustes'!$F170="✔ Concluído",'E6 — Ajustes'!$G170="✔ Concluído",'E6 — Ajustes'!$H170="✔ Concluído",OR('E6 — Ajustes'!$I170="✔ Concluído",'E6 — Ajustes'!$I170="N/A"),'E6 — Ajustes'!$J170="✔ Concluído"),"Concluído",IF(COUNTIF('E6 — Ajustes'!$E170:$J170,"✔ Concluído")+COUNTIF('E6 — Ajustes'!$E170:$J170,"🔄 Em andamento")&gt;0,"Em andamento","Não iniciado"))))))))</f>
        <v/>
      </c>
      <c r="K188" s="234" t="str">
        <f>IF($B188="","",IF($I188&lt;&gt;"Concluído","Não iniciado",IF(AND($J188&lt;&gt;"Concluído",$J188&lt;&gt;"N/A"),"Não iniciado",IF(COUNTIF(Lançamentos!$B$3:$B$1001,$B188)=0,"Bloqueado",IF('E7 — Entrega'!$D170="","Bloqueado",IF(COUNTIF('E7 — Entrega'!$E170:$H170,"⛔ Bloqueado")&gt;0,"Bloqueado",IF(COUNTIF('E7 — Entrega'!$E170:$H170,"✔ Concluído")=4,"Concluído",IF(COUNTIF('E7 — Entrega'!$E170:$H170,"✔ Concluído")+COUNTIF('E7 — Entrega'!$E170:$H170,"🔄 Em andamento")&gt;0,"Em andamento","Não iniciado"))))))))</f>
        <v/>
      </c>
      <c r="L188" s="234" t="str">
        <f>IF($B188="","",IF($K188&lt;&gt;"Concluído","Não iniciado",IF(OR(COUNTIF('E08 — Estabilização Hypercare'!$E170:$J170,"⛔ Bloqueado")&gt;0,'E08 — Estabilização Hypercare'!$N170="⛔ Incidente Crítico — Encerramento Bloqueado",AND('E08 — Estabilização Hypercare'!$N170="🆕 Evolução Identificada — Nova Demanda Aberta",'E08 — Estabilização Hypercare'!$U170="")),"Bloqueado",IF(AND('E08 — Estabilização Hypercare'!$E170="✔ Concluído",'E08 — Estabilização Hypercare'!$F170="✔ Concluído",'E08 — Estabilização Hypercare'!$G170="✔ Concluído",OR('E08 — Estabilização Hypercare'!$H170="✔ Concluído",'E08 — Estabilização Hypercare'!$H170="N/A"),'E08 — Estabilização Hypercare'!$I170="✔ Concluído",'E08 — Estabilização Hypercare'!$J170="✔ Concluído",OR('E08 — Estabilização Hypercare'!$N170="✅ Estável — Demanda Encerrada",AND('E08 — Estabilização Hypercare'!$N170="🆕 Evolução Identificada — Nova Demanda Aberta",'E08 — Estabilização Hypercare'!$U170&lt;&gt;""))),"Concluído",IF(OR(COUNTIF('E08 — Estabilização Hypercare'!$E170:$J170,"✔ Concluído")&gt;0,COUNTIF('E08 — Estabilização Hypercare'!$E170:$J170,"🔄 Em andamento")&gt;0,'E08 — Estabilização Hypercare'!$N170&lt;&gt;""),"Em andamento","Não iniciado")))))</f>
        <v/>
      </c>
      <c r="M188" s="236" t="str" cm="1">
        <f t="array" ref="M188">IF(B188="","",_xlfn.IFS(E188&lt;&gt;"Concluído","E1 — Solicitação",F188&lt;&gt;"Concluído","E2 — Triagem",G188&lt;&gt;"Concluído","E3 — Levantamento ⚠",H188&lt;&gt;"Concluído","E4 — Execução",I188&lt;&gt;"Concluído","E5 — Validação ⚠",AND(J188&lt;&gt;"Concluído",J188&lt;&gt;"N/A"),"E6 — Ajustes",K188&lt;&gt;"Concluído","E7 — Entrega",L188&lt;&gt;"Concluído","E08 — Estabilização / Hypercare",TRUE,"✔ Fluxo concluído"))</f>
        <v/>
      </c>
      <c r="N188" s="237" t="str">
        <f t="shared" si="2"/>
        <v/>
      </c>
      <c r="O188" s="238"/>
    </row>
    <row r="189" spans="2:15" ht="15" customHeight="1" x14ac:dyDescent="0.35">
      <c r="B189" s="234" t="str">
        <f>IF(Lançamentos!$B166="","",Lançamentos!$B166)</f>
        <v/>
      </c>
      <c r="C189" s="235" t="str">
        <f>IF($B189="","",Lançamentos!$J166)</f>
        <v/>
      </c>
      <c r="D189" s="235" t="str">
        <f>IF($B189="","",Lançamentos!$H166)</f>
        <v/>
      </c>
      <c r="E189" s="234" t="str">
        <f>IF($B189="","",IF(COUNTIF(Lançamentos!$B$3:$B$1001,$B189)=0,"Bloqueado",IF(COUNTIF('E1 — Solicitação'!$E171:$L171,"⛔ Bloqueado")&gt;0,"Bloqueado",IF(COUNTIF('E1 — Solicitação'!$E171:$L171,"N/A")=8,"Bloqueado",IF(COUNTIF('E1 — Solicitação'!$E171:$L171,"✔ Concluído")+COUNTIF('E1 — Solicitação'!$E171:$L171,"N/A")=8,"Concluído",IF(COUNTIF('E1 — Solicitação'!$E171:$L171,"✔ Concluído")+COUNTIF('E1 — Solicitação'!$E171:$L171,"🔄 Em andamento")&gt;0,"Em andamento","Não iniciado"))))))</f>
        <v/>
      </c>
      <c r="F189" s="234" t="str">
        <f>IF($B189="","",IF($E189&lt;&gt;"Concluído","Não iniciado",IF(COUNTIF(Lançamentos!$B$3:$B$1001,$B189)=0,"Bloqueado",IF('E2 — Triagem'!$D171="","Bloqueado",IF(COUNTIF('E2 — Triagem'!$E171:$L171,"N/A")=8,"Bloqueado",IF(COUNTIF('E2 — Triagem'!$E171:$L171,"⛔ Bloqueado")&gt;0,"Bloqueado",IF(COUNTIF('E2 — Triagem'!$E171:$L171,"✔ Concluído")+COUNTIF('E2 — Triagem'!$E171:$L171,"N/A")=8,"Concluído",IF(COUNTIF('E2 — Triagem'!$E171:$L171,"✔ Concluído")+COUNTIF('E2 — Triagem'!$E171:$L171,"🔄 Em andamento")&gt;0,"Em andamento","Não iniciado"))))))))</f>
        <v/>
      </c>
      <c r="G189" s="234" t="str">
        <f>IF($B189="","",IF($F189&lt;&gt;"Concluído","Não iniciado",IF(COUNTIF(Lançamentos!$B$3:$B$1001,$B189)=0,"Bloqueado",IF('E3 — Levantamento'!$D171="","Bloqueado",IF(COUNTIF('E3 — Levantamento'!$E171:$I171,"⛔ Bloqueado")&gt;0,"Bloqueado",IF('E3 — Levantamento'!$I171="N/A","Bloqueado",IF(COUNTIF('E3 — Levantamento'!$E171:$I171,"✔ Concluído")=5,"Concluído",IF(COUNTIF('E3 — Levantamento'!$E171:$I171,"✔ Concluído")+COUNTIF('E3 — Levantamento'!$E171:$I171,"🔄 Em andamento")&gt;0,"Em andamento","Não iniciado"))))))))</f>
        <v/>
      </c>
      <c r="H189" s="234" t="str">
        <f>IF($B189="","",IF($G189&lt;&gt;"Concluído","Não iniciado",IF(COUNTIF(Lançamentos!$B$3:$B$1001,$B189)=0,"Bloqueado",IF('E4 — Execução'!$D171="","Bloqueado",IF(COUNTIF('E4 — Execução'!$E171:$K171,"⛔ Bloqueado")&gt;0,"Bloqueado",IF(COUNTIF('E4 — Execução'!$E171:$K171,"✔ Concluído")=7,"Concluído",IF(COUNTIF('E4 — Execução'!$E171:$K171,"✔ Concluído")+COUNTIF('E4 — Execução'!$E171:$K171,"🔄 Em andamento")&gt;0,"Em andamento","Não iniciado")))))))</f>
        <v/>
      </c>
      <c r="I189" s="234" t="str">
        <f>IF($B189="","",IF($H189&lt;&gt;"Concluído","Não iniciado",IF(COUNTIF(Lançamentos!$B$3:$B$1001,$B189)=0,"Bloqueado",IF('E5 — Validação'!$D171="","Bloqueado",IF(COUNTIF('E5 — Validação'!$E171:$I171,"⛔ Bloqueado")&gt;0,"Bloqueado",IF('E5 — Validação'!$I171="N/A","Bloqueado",IF(AND('E5 — Validação'!$E171="✔ Concluído",'E5 — Validação'!$F171="✔ Concluído",OR('E5 — Validação'!$G171="✔ Concluído",'E5 — Validação'!$G171="N/A"),'E5 — Validação'!$H171="✔ Concluído",'E5 — Validação'!$I171="✔ Concluído"),"Concluído",IF(COUNTIF('E5 — Validação'!$E171:$I171,"✔ Concluído")+COUNTIF('E5 — Validação'!$E171:$I171,"🔄 Em andamento")&gt;0,"Em andamento","Não iniciado"))))))))</f>
        <v/>
      </c>
      <c r="J189" s="234" t="str">
        <f>IF($B189="","",IF($I189&lt;&gt;"Concluído","Não iniciado",IF('E6 — Ajustes'!$N171="Não","N/A",IF(COUNTIF(Lançamentos!$B$3:$B$1001,$B189)=0,"Bloqueado",IF('E6 — Ajustes'!$D171="","Bloqueado",IF(COUNTIF('E6 — Ajustes'!$E171:$J171,"⛔ Bloqueado")&gt;0,"Bloqueado",IF(AND('E6 — Ajustes'!$E171="✔ Concluído",'E6 — Ajustes'!$F171="✔ Concluído",'E6 — Ajustes'!$G171="✔ Concluído",'E6 — Ajustes'!$H171="✔ Concluído",OR('E6 — Ajustes'!$I171="✔ Concluído",'E6 — Ajustes'!$I171="N/A"),'E6 — Ajustes'!$J171="✔ Concluído"),"Concluído",IF(COUNTIF('E6 — Ajustes'!$E171:$J171,"✔ Concluído")+COUNTIF('E6 — Ajustes'!$E171:$J171,"🔄 Em andamento")&gt;0,"Em andamento","Não iniciado"))))))))</f>
        <v/>
      </c>
      <c r="K189" s="234" t="str">
        <f>IF($B189="","",IF($I189&lt;&gt;"Concluído","Não iniciado",IF(AND($J189&lt;&gt;"Concluído",$J189&lt;&gt;"N/A"),"Não iniciado",IF(COUNTIF(Lançamentos!$B$3:$B$1001,$B189)=0,"Bloqueado",IF('E7 — Entrega'!$D171="","Bloqueado",IF(COUNTIF('E7 — Entrega'!$E171:$H171,"⛔ Bloqueado")&gt;0,"Bloqueado",IF(COUNTIF('E7 — Entrega'!$E171:$H171,"✔ Concluído")=4,"Concluído",IF(COUNTIF('E7 — Entrega'!$E171:$H171,"✔ Concluído")+COUNTIF('E7 — Entrega'!$E171:$H171,"🔄 Em andamento")&gt;0,"Em andamento","Não iniciado"))))))))</f>
        <v/>
      </c>
      <c r="L189" s="234" t="str">
        <f>IF($B189="","",IF($K189&lt;&gt;"Concluído","Não iniciado",IF(OR(COUNTIF('E08 — Estabilização Hypercare'!$E171:$J171,"⛔ Bloqueado")&gt;0,'E08 — Estabilização Hypercare'!$N171="⛔ Incidente Crítico — Encerramento Bloqueado",AND('E08 — Estabilização Hypercare'!$N171="🆕 Evolução Identificada — Nova Demanda Aberta",'E08 — Estabilização Hypercare'!$U171="")),"Bloqueado",IF(AND('E08 — Estabilização Hypercare'!$E171="✔ Concluído",'E08 — Estabilização Hypercare'!$F171="✔ Concluído",'E08 — Estabilização Hypercare'!$G171="✔ Concluído",OR('E08 — Estabilização Hypercare'!$H171="✔ Concluído",'E08 — Estabilização Hypercare'!$H171="N/A"),'E08 — Estabilização Hypercare'!$I171="✔ Concluído",'E08 — Estabilização Hypercare'!$J171="✔ Concluído",OR('E08 — Estabilização Hypercare'!$N171="✅ Estável — Demanda Encerrada",AND('E08 — Estabilização Hypercare'!$N171="🆕 Evolução Identificada — Nova Demanda Aberta",'E08 — Estabilização Hypercare'!$U171&lt;&gt;""))),"Concluído",IF(OR(COUNTIF('E08 — Estabilização Hypercare'!$E171:$J171,"✔ Concluído")&gt;0,COUNTIF('E08 — Estabilização Hypercare'!$E171:$J171,"🔄 Em andamento")&gt;0,'E08 — Estabilização Hypercare'!$N171&lt;&gt;""),"Em andamento","Não iniciado")))))</f>
        <v/>
      </c>
      <c r="M189" s="236" t="str" cm="1">
        <f t="array" ref="M189">IF(B189="","",_xlfn.IFS(E189&lt;&gt;"Concluído","E1 — Solicitação",F189&lt;&gt;"Concluído","E2 — Triagem",G189&lt;&gt;"Concluído","E3 — Levantamento ⚠",H189&lt;&gt;"Concluído","E4 — Execução",I189&lt;&gt;"Concluído","E5 — Validação ⚠",AND(J189&lt;&gt;"Concluído",J189&lt;&gt;"N/A"),"E6 — Ajustes",K189&lt;&gt;"Concluído","E7 — Entrega",L189&lt;&gt;"Concluído","E08 — Estabilização / Hypercare",TRUE,"✔ Fluxo concluído"))</f>
        <v/>
      </c>
      <c r="N189" s="237" t="str">
        <f t="shared" si="2"/>
        <v/>
      </c>
      <c r="O189" s="238"/>
    </row>
    <row r="190" spans="2:15" ht="15" customHeight="1" x14ac:dyDescent="0.35">
      <c r="B190" s="234" t="str">
        <f>IF(Lançamentos!$B167="","",Lançamentos!$B167)</f>
        <v/>
      </c>
      <c r="C190" s="235" t="str">
        <f>IF($B190="","",Lançamentos!$J167)</f>
        <v/>
      </c>
      <c r="D190" s="235" t="str">
        <f>IF($B190="","",Lançamentos!$H167)</f>
        <v/>
      </c>
      <c r="E190" s="234" t="str">
        <f>IF($B190="","",IF(COUNTIF(Lançamentos!$B$3:$B$1001,$B190)=0,"Bloqueado",IF(COUNTIF('E1 — Solicitação'!$E172:$L172,"⛔ Bloqueado")&gt;0,"Bloqueado",IF(COUNTIF('E1 — Solicitação'!$E172:$L172,"N/A")=8,"Bloqueado",IF(COUNTIF('E1 — Solicitação'!$E172:$L172,"✔ Concluído")+COUNTIF('E1 — Solicitação'!$E172:$L172,"N/A")=8,"Concluído",IF(COUNTIF('E1 — Solicitação'!$E172:$L172,"✔ Concluído")+COUNTIF('E1 — Solicitação'!$E172:$L172,"🔄 Em andamento")&gt;0,"Em andamento","Não iniciado"))))))</f>
        <v/>
      </c>
      <c r="F190" s="234" t="str">
        <f>IF($B190="","",IF($E190&lt;&gt;"Concluído","Não iniciado",IF(COUNTIF(Lançamentos!$B$3:$B$1001,$B190)=0,"Bloqueado",IF('E2 — Triagem'!$D172="","Bloqueado",IF(COUNTIF('E2 — Triagem'!$E172:$L172,"N/A")=8,"Bloqueado",IF(COUNTIF('E2 — Triagem'!$E172:$L172,"⛔ Bloqueado")&gt;0,"Bloqueado",IF(COUNTIF('E2 — Triagem'!$E172:$L172,"✔ Concluído")+COUNTIF('E2 — Triagem'!$E172:$L172,"N/A")=8,"Concluído",IF(COUNTIF('E2 — Triagem'!$E172:$L172,"✔ Concluído")+COUNTIF('E2 — Triagem'!$E172:$L172,"🔄 Em andamento")&gt;0,"Em andamento","Não iniciado"))))))))</f>
        <v/>
      </c>
      <c r="G190" s="234" t="str">
        <f>IF($B190="","",IF($F190&lt;&gt;"Concluído","Não iniciado",IF(COUNTIF(Lançamentos!$B$3:$B$1001,$B190)=0,"Bloqueado",IF('E3 — Levantamento'!$D172="","Bloqueado",IF(COUNTIF('E3 — Levantamento'!$E172:$I172,"⛔ Bloqueado")&gt;0,"Bloqueado",IF('E3 — Levantamento'!$I172="N/A","Bloqueado",IF(COUNTIF('E3 — Levantamento'!$E172:$I172,"✔ Concluído")=5,"Concluído",IF(COUNTIF('E3 — Levantamento'!$E172:$I172,"✔ Concluído")+COUNTIF('E3 — Levantamento'!$E172:$I172,"🔄 Em andamento")&gt;0,"Em andamento","Não iniciado"))))))))</f>
        <v/>
      </c>
      <c r="H190" s="234" t="str">
        <f>IF($B190="","",IF($G190&lt;&gt;"Concluído","Não iniciado",IF(COUNTIF(Lançamentos!$B$3:$B$1001,$B190)=0,"Bloqueado",IF('E4 — Execução'!$D172="","Bloqueado",IF(COUNTIF('E4 — Execução'!$E172:$K172,"⛔ Bloqueado")&gt;0,"Bloqueado",IF(COUNTIF('E4 — Execução'!$E172:$K172,"✔ Concluído")=7,"Concluído",IF(COUNTIF('E4 — Execução'!$E172:$K172,"✔ Concluído")+COUNTIF('E4 — Execução'!$E172:$K172,"🔄 Em andamento")&gt;0,"Em andamento","Não iniciado")))))))</f>
        <v/>
      </c>
      <c r="I190" s="234" t="str">
        <f>IF($B190="","",IF($H190&lt;&gt;"Concluído","Não iniciado",IF(COUNTIF(Lançamentos!$B$3:$B$1001,$B190)=0,"Bloqueado",IF('E5 — Validação'!$D172="","Bloqueado",IF(COUNTIF('E5 — Validação'!$E172:$I172,"⛔ Bloqueado")&gt;0,"Bloqueado",IF('E5 — Validação'!$I172="N/A","Bloqueado",IF(AND('E5 — Validação'!$E172="✔ Concluído",'E5 — Validação'!$F172="✔ Concluído",OR('E5 — Validação'!$G172="✔ Concluído",'E5 — Validação'!$G172="N/A"),'E5 — Validação'!$H172="✔ Concluído",'E5 — Validação'!$I172="✔ Concluído"),"Concluído",IF(COUNTIF('E5 — Validação'!$E172:$I172,"✔ Concluído")+COUNTIF('E5 — Validação'!$E172:$I172,"🔄 Em andamento")&gt;0,"Em andamento","Não iniciado"))))))))</f>
        <v/>
      </c>
      <c r="J190" s="234" t="str">
        <f>IF($B190="","",IF($I190&lt;&gt;"Concluído","Não iniciado",IF('E6 — Ajustes'!$N172="Não","N/A",IF(COUNTIF(Lançamentos!$B$3:$B$1001,$B190)=0,"Bloqueado",IF('E6 — Ajustes'!$D172="","Bloqueado",IF(COUNTIF('E6 — Ajustes'!$E172:$J172,"⛔ Bloqueado")&gt;0,"Bloqueado",IF(AND('E6 — Ajustes'!$E172="✔ Concluído",'E6 — Ajustes'!$F172="✔ Concluído",'E6 — Ajustes'!$G172="✔ Concluído",'E6 — Ajustes'!$H172="✔ Concluído",OR('E6 — Ajustes'!$I172="✔ Concluído",'E6 — Ajustes'!$I172="N/A"),'E6 — Ajustes'!$J172="✔ Concluído"),"Concluído",IF(COUNTIF('E6 — Ajustes'!$E172:$J172,"✔ Concluído")+COUNTIF('E6 — Ajustes'!$E172:$J172,"🔄 Em andamento")&gt;0,"Em andamento","Não iniciado"))))))))</f>
        <v/>
      </c>
      <c r="K190" s="234" t="str">
        <f>IF($B190="","",IF($I190&lt;&gt;"Concluído","Não iniciado",IF(AND($J190&lt;&gt;"Concluído",$J190&lt;&gt;"N/A"),"Não iniciado",IF(COUNTIF(Lançamentos!$B$3:$B$1001,$B190)=0,"Bloqueado",IF('E7 — Entrega'!$D172="","Bloqueado",IF(COUNTIF('E7 — Entrega'!$E172:$H172,"⛔ Bloqueado")&gt;0,"Bloqueado",IF(COUNTIF('E7 — Entrega'!$E172:$H172,"✔ Concluído")=4,"Concluído",IF(COUNTIF('E7 — Entrega'!$E172:$H172,"✔ Concluído")+COUNTIF('E7 — Entrega'!$E172:$H172,"🔄 Em andamento")&gt;0,"Em andamento","Não iniciado"))))))))</f>
        <v/>
      </c>
      <c r="L190" s="234" t="str">
        <f>IF($B190="","",IF($K190&lt;&gt;"Concluído","Não iniciado",IF(OR(COUNTIF('E08 — Estabilização Hypercare'!$E172:$J172,"⛔ Bloqueado")&gt;0,'E08 — Estabilização Hypercare'!$N172="⛔ Incidente Crítico — Encerramento Bloqueado",AND('E08 — Estabilização Hypercare'!$N172="🆕 Evolução Identificada — Nova Demanda Aberta",'E08 — Estabilização Hypercare'!$U172="")),"Bloqueado",IF(AND('E08 — Estabilização Hypercare'!$E172="✔ Concluído",'E08 — Estabilização Hypercare'!$F172="✔ Concluído",'E08 — Estabilização Hypercare'!$G172="✔ Concluído",OR('E08 — Estabilização Hypercare'!$H172="✔ Concluído",'E08 — Estabilização Hypercare'!$H172="N/A"),'E08 — Estabilização Hypercare'!$I172="✔ Concluído",'E08 — Estabilização Hypercare'!$J172="✔ Concluído",OR('E08 — Estabilização Hypercare'!$N172="✅ Estável — Demanda Encerrada",AND('E08 — Estabilização Hypercare'!$N172="🆕 Evolução Identificada — Nova Demanda Aberta",'E08 — Estabilização Hypercare'!$U172&lt;&gt;""))),"Concluído",IF(OR(COUNTIF('E08 — Estabilização Hypercare'!$E172:$J172,"✔ Concluído")&gt;0,COUNTIF('E08 — Estabilização Hypercare'!$E172:$J172,"🔄 Em andamento")&gt;0,'E08 — Estabilização Hypercare'!$N172&lt;&gt;""),"Em andamento","Não iniciado")))))</f>
        <v/>
      </c>
      <c r="M190" s="236" t="str" cm="1">
        <f t="array" ref="M190">IF(B190="","",_xlfn.IFS(E190&lt;&gt;"Concluído","E1 — Solicitação",F190&lt;&gt;"Concluído","E2 — Triagem",G190&lt;&gt;"Concluído","E3 — Levantamento ⚠",H190&lt;&gt;"Concluído","E4 — Execução",I190&lt;&gt;"Concluído","E5 — Validação ⚠",AND(J190&lt;&gt;"Concluído",J190&lt;&gt;"N/A"),"E6 — Ajustes",K190&lt;&gt;"Concluído","E7 — Entrega",L190&lt;&gt;"Concluído","E08 — Estabilização / Hypercare",TRUE,"✔ Fluxo concluído"))</f>
        <v/>
      </c>
      <c r="N190" s="237" t="str">
        <f t="shared" si="2"/>
        <v/>
      </c>
      <c r="O190" s="238"/>
    </row>
    <row r="191" spans="2:15" ht="15" customHeight="1" x14ac:dyDescent="0.35">
      <c r="B191" s="234" t="str">
        <f>IF(Lançamentos!$B168="","",Lançamentos!$B168)</f>
        <v/>
      </c>
      <c r="C191" s="235" t="str">
        <f>IF($B191="","",Lançamentos!$J168)</f>
        <v/>
      </c>
      <c r="D191" s="235" t="str">
        <f>IF($B191="","",Lançamentos!$H168)</f>
        <v/>
      </c>
      <c r="E191" s="234" t="str">
        <f>IF($B191="","",IF(COUNTIF(Lançamentos!$B$3:$B$1001,$B191)=0,"Bloqueado",IF(COUNTIF('E1 — Solicitação'!$E173:$L173,"⛔ Bloqueado")&gt;0,"Bloqueado",IF(COUNTIF('E1 — Solicitação'!$E173:$L173,"N/A")=8,"Bloqueado",IF(COUNTIF('E1 — Solicitação'!$E173:$L173,"✔ Concluído")+COUNTIF('E1 — Solicitação'!$E173:$L173,"N/A")=8,"Concluído",IF(COUNTIF('E1 — Solicitação'!$E173:$L173,"✔ Concluído")+COUNTIF('E1 — Solicitação'!$E173:$L173,"🔄 Em andamento")&gt;0,"Em andamento","Não iniciado"))))))</f>
        <v/>
      </c>
      <c r="F191" s="234" t="str">
        <f>IF($B191="","",IF($E191&lt;&gt;"Concluído","Não iniciado",IF(COUNTIF(Lançamentos!$B$3:$B$1001,$B191)=0,"Bloqueado",IF('E2 — Triagem'!$D173="","Bloqueado",IF(COUNTIF('E2 — Triagem'!$E173:$L173,"N/A")=8,"Bloqueado",IF(COUNTIF('E2 — Triagem'!$E173:$L173,"⛔ Bloqueado")&gt;0,"Bloqueado",IF(COUNTIF('E2 — Triagem'!$E173:$L173,"✔ Concluído")+COUNTIF('E2 — Triagem'!$E173:$L173,"N/A")=8,"Concluído",IF(COUNTIF('E2 — Triagem'!$E173:$L173,"✔ Concluído")+COUNTIF('E2 — Triagem'!$E173:$L173,"🔄 Em andamento")&gt;0,"Em andamento","Não iniciado"))))))))</f>
        <v/>
      </c>
      <c r="G191" s="234" t="str">
        <f>IF($B191="","",IF($F191&lt;&gt;"Concluído","Não iniciado",IF(COUNTIF(Lançamentos!$B$3:$B$1001,$B191)=0,"Bloqueado",IF('E3 — Levantamento'!$D173="","Bloqueado",IF(COUNTIF('E3 — Levantamento'!$E173:$I173,"⛔ Bloqueado")&gt;0,"Bloqueado",IF('E3 — Levantamento'!$I173="N/A","Bloqueado",IF(COUNTIF('E3 — Levantamento'!$E173:$I173,"✔ Concluído")=5,"Concluído",IF(COUNTIF('E3 — Levantamento'!$E173:$I173,"✔ Concluído")+COUNTIF('E3 — Levantamento'!$E173:$I173,"🔄 Em andamento")&gt;0,"Em andamento","Não iniciado"))))))))</f>
        <v/>
      </c>
      <c r="H191" s="234" t="str">
        <f>IF($B191="","",IF($G191&lt;&gt;"Concluído","Não iniciado",IF(COUNTIF(Lançamentos!$B$3:$B$1001,$B191)=0,"Bloqueado",IF('E4 — Execução'!$D173="","Bloqueado",IF(COUNTIF('E4 — Execução'!$E173:$K173,"⛔ Bloqueado")&gt;0,"Bloqueado",IF(COUNTIF('E4 — Execução'!$E173:$K173,"✔ Concluído")=7,"Concluído",IF(COUNTIF('E4 — Execução'!$E173:$K173,"✔ Concluído")+COUNTIF('E4 — Execução'!$E173:$K173,"🔄 Em andamento")&gt;0,"Em andamento","Não iniciado")))))))</f>
        <v/>
      </c>
      <c r="I191" s="234" t="str">
        <f>IF($B191="","",IF($H191&lt;&gt;"Concluído","Não iniciado",IF(COUNTIF(Lançamentos!$B$3:$B$1001,$B191)=0,"Bloqueado",IF('E5 — Validação'!$D173="","Bloqueado",IF(COUNTIF('E5 — Validação'!$E173:$I173,"⛔ Bloqueado")&gt;0,"Bloqueado",IF('E5 — Validação'!$I173="N/A","Bloqueado",IF(AND('E5 — Validação'!$E173="✔ Concluído",'E5 — Validação'!$F173="✔ Concluído",OR('E5 — Validação'!$G173="✔ Concluído",'E5 — Validação'!$G173="N/A"),'E5 — Validação'!$H173="✔ Concluído",'E5 — Validação'!$I173="✔ Concluído"),"Concluído",IF(COUNTIF('E5 — Validação'!$E173:$I173,"✔ Concluído")+COUNTIF('E5 — Validação'!$E173:$I173,"🔄 Em andamento")&gt;0,"Em andamento","Não iniciado"))))))))</f>
        <v/>
      </c>
      <c r="J191" s="234" t="str">
        <f>IF($B191="","",IF($I191&lt;&gt;"Concluído","Não iniciado",IF('E6 — Ajustes'!$N173="Não","N/A",IF(COUNTIF(Lançamentos!$B$3:$B$1001,$B191)=0,"Bloqueado",IF('E6 — Ajustes'!$D173="","Bloqueado",IF(COUNTIF('E6 — Ajustes'!$E173:$J173,"⛔ Bloqueado")&gt;0,"Bloqueado",IF(AND('E6 — Ajustes'!$E173="✔ Concluído",'E6 — Ajustes'!$F173="✔ Concluído",'E6 — Ajustes'!$G173="✔ Concluído",'E6 — Ajustes'!$H173="✔ Concluído",OR('E6 — Ajustes'!$I173="✔ Concluído",'E6 — Ajustes'!$I173="N/A"),'E6 — Ajustes'!$J173="✔ Concluído"),"Concluído",IF(COUNTIF('E6 — Ajustes'!$E173:$J173,"✔ Concluído")+COUNTIF('E6 — Ajustes'!$E173:$J173,"🔄 Em andamento")&gt;0,"Em andamento","Não iniciado"))))))))</f>
        <v/>
      </c>
      <c r="K191" s="234" t="str">
        <f>IF($B191="","",IF($I191&lt;&gt;"Concluído","Não iniciado",IF(AND($J191&lt;&gt;"Concluído",$J191&lt;&gt;"N/A"),"Não iniciado",IF(COUNTIF(Lançamentos!$B$3:$B$1001,$B191)=0,"Bloqueado",IF('E7 — Entrega'!$D173="","Bloqueado",IF(COUNTIF('E7 — Entrega'!$E173:$H173,"⛔ Bloqueado")&gt;0,"Bloqueado",IF(COUNTIF('E7 — Entrega'!$E173:$H173,"✔ Concluído")=4,"Concluído",IF(COUNTIF('E7 — Entrega'!$E173:$H173,"✔ Concluído")+COUNTIF('E7 — Entrega'!$E173:$H173,"🔄 Em andamento")&gt;0,"Em andamento","Não iniciado"))))))))</f>
        <v/>
      </c>
      <c r="L191" s="234" t="str">
        <f>IF($B191="","",IF($K191&lt;&gt;"Concluído","Não iniciado",IF(OR(COUNTIF('E08 — Estabilização Hypercare'!$E173:$J173,"⛔ Bloqueado")&gt;0,'E08 — Estabilização Hypercare'!$N173="⛔ Incidente Crítico — Encerramento Bloqueado",AND('E08 — Estabilização Hypercare'!$N173="🆕 Evolução Identificada — Nova Demanda Aberta",'E08 — Estabilização Hypercare'!$U173="")),"Bloqueado",IF(AND('E08 — Estabilização Hypercare'!$E173="✔ Concluído",'E08 — Estabilização Hypercare'!$F173="✔ Concluído",'E08 — Estabilização Hypercare'!$G173="✔ Concluído",OR('E08 — Estabilização Hypercare'!$H173="✔ Concluído",'E08 — Estabilização Hypercare'!$H173="N/A"),'E08 — Estabilização Hypercare'!$I173="✔ Concluído",'E08 — Estabilização Hypercare'!$J173="✔ Concluído",OR('E08 — Estabilização Hypercare'!$N173="✅ Estável — Demanda Encerrada",AND('E08 — Estabilização Hypercare'!$N173="🆕 Evolução Identificada — Nova Demanda Aberta",'E08 — Estabilização Hypercare'!$U173&lt;&gt;""))),"Concluído",IF(OR(COUNTIF('E08 — Estabilização Hypercare'!$E173:$J173,"✔ Concluído")&gt;0,COUNTIF('E08 — Estabilização Hypercare'!$E173:$J173,"🔄 Em andamento")&gt;0,'E08 — Estabilização Hypercare'!$N173&lt;&gt;""),"Em andamento","Não iniciado")))))</f>
        <v/>
      </c>
      <c r="M191" s="236" t="str" cm="1">
        <f t="array" ref="M191">IF(B191="","",_xlfn.IFS(E191&lt;&gt;"Concluído","E1 — Solicitação",F191&lt;&gt;"Concluído","E2 — Triagem",G191&lt;&gt;"Concluído","E3 — Levantamento ⚠",H191&lt;&gt;"Concluído","E4 — Execução",I191&lt;&gt;"Concluído","E5 — Validação ⚠",AND(J191&lt;&gt;"Concluído",J191&lt;&gt;"N/A"),"E6 — Ajustes",K191&lt;&gt;"Concluído","E7 — Entrega",L191&lt;&gt;"Concluído","E08 — Estabilização / Hypercare",TRUE,"✔ Fluxo concluído"))</f>
        <v/>
      </c>
      <c r="N191" s="237" t="str">
        <f t="shared" si="2"/>
        <v/>
      </c>
      <c r="O191" s="238"/>
    </row>
    <row r="192" spans="2:15" ht="15" customHeight="1" x14ac:dyDescent="0.35">
      <c r="B192" s="234" t="str">
        <f>IF(Lançamentos!$B169="","",Lançamentos!$B169)</f>
        <v/>
      </c>
      <c r="C192" s="235" t="str">
        <f>IF($B192="","",Lançamentos!$J169)</f>
        <v/>
      </c>
      <c r="D192" s="235" t="str">
        <f>IF($B192="","",Lançamentos!$H169)</f>
        <v/>
      </c>
      <c r="E192" s="234" t="str">
        <f>IF($B192="","",IF(COUNTIF(Lançamentos!$B$3:$B$1001,$B192)=0,"Bloqueado",IF(COUNTIF('E1 — Solicitação'!$E174:$L174,"⛔ Bloqueado")&gt;0,"Bloqueado",IF(COUNTIF('E1 — Solicitação'!$E174:$L174,"N/A")=8,"Bloqueado",IF(COUNTIF('E1 — Solicitação'!$E174:$L174,"✔ Concluído")+COUNTIF('E1 — Solicitação'!$E174:$L174,"N/A")=8,"Concluído",IF(COUNTIF('E1 — Solicitação'!$E174:$L174,"✔ Concluído")+COUNTIF('E1 — Solicitação'!$E174:$L174,"🔄 Em andamento")&gt;0,"Em andamento","Não iniciado"))))))</f>
        <v/>
      </c>
      <c r="F192" s="234" t="str">
        <f>IF($B192="","",IF($E192&lt;&gt;"Concluído","Não iniciado",IF(COUNTIF(Lançamentos!$B$3:$B$1001,$B192)=0,"Bloqueado",IF('E2 — Triagem'!$D174="","Bloqueado",IF(COUNTIF('E2 — Triagem'!$E174:$L174,"N/A")=8,"Bloqueado",IF(COUNTIF('E2 — Triagem'!$E174:$L174,"⛔ Bloqueado")&gt;0,"Bloqueado",IF(COUNTIF('E2 — Triagem'!$E174:$L174,"✔ Concluído")+COUNTIF('E2 — Triagem'!$E174:$L174,"N/A")=8,"Concluído",IF(COUNTIF('E2 — Triagem'!$E174:$L174,"✔ Concluído")+COUNTIF('E2 — Triagem'!$E174:$L174,"🔄 Em andamento")&gt;0,"Em andamento","Não iniciado"))))))))</f>
        <v/>
      </c>
      <c r="G192" s="234" t="str">
        <f>IF($B192="","",IF($F192&lt;&gt;"Concluído","Não iniciado",IF(COUNTIF(Lançamentos!$B$3:$B$1001,$B192)=0,"Bloqueado",IF('E3 — Levantamento'!$D174="","Bloqueado",IF(COUNTIF('E3 — Levantamento'!$E174:$I174,"⛔ Bloqueado")&gt;0,"Bloqueado",IF('E3 — Levantamento'!$I174="N/A","Bloqueado",IF(COUNTIF('E3 — Levantamento'!$E174:$I174,"✔ Concluído")=5,"Concluído",IF(COUNTIF('E3 — Levantamento'!$E174:$I174,"✔ Concluído")+COUNTIF('E3 — Levantamento'!$E174:$I174,"🔄 Em andamento")&gt;0,"Em andamento","Não iniciado"))))))))</f>
        <v/>
      </c>
      <c r="H192" s="234" t="str">
        <f>IF($B192="","",IF($G192&lt;&gt;"Concluído","Não iniciado",IF(COUNTIF(Lançamentos!$B$3:$B$1001,$B192)=0,"Bloqueado",IF('E4 — Execução'!$D174="","Bloqueado",IF(COUNTIF('E4 — Execução'!$E174:$K174,"⛔ Bloqueado")&gt;0,"Bloqueado",IF(COUNTIF('E4 — Execução'!$E174:$K174,"✔ Concluído")=7,"Concluído",IF(COUNTIF('E4 — Execução'!$E174:$K174,"✔ Concluído")+COUNTIF('E4 — Execução'!$E174:$K174,"🔄 Em andamento")&gt;0,"Em andamento","Não iniciado")))))))</f>
        <v/>
      </c>
      <c r="I192" s="234" t="str">
        <f>IF($B192="","",IF($H192&lt;&gt;"Concluído","Não iniciado",IF(COUNTIF(Lançamentos!$B$3:$B$1001,$B192)=0,"Bloqueado",IF('E5 — Validação'!$D174="","Bloqueado",IF(COUNTIF('E5 — Validação'!$E174:$I174,"⛔ Bloqueado")&gt;0,"Bloqueado",IF('E5 — Validação'!$I174="N/A","Bloqueado",IF(AND('E5 — Validação'!$E174="✔ Concluído",'E5 — Validação'!$F174="✔ Concluído",OR('E5 — Validação'!$G174="✔ Concluído",'E5 — Validação'!$G174="N/A"),'E5 — Validação'!$H174="✔ Concluído",'E5 — Validação'!$I174="✔ Concluído"),"Concluído",IF(COUNTIF('E5 — Validação'!$E174:$I174,"✔ Concluído")+COUNTIF('E5 — Validação'!$E174:$I174,"🔄 Em andamento")&gt;0,"Em andamento","Não iniciado"))))))))</f>
        <v/>
      </c>
      <c r="J192" s="234" t="str">
        <f>IF($B192="","",IF($I192&lt;&gt;"Concluído","Não iniciado",IF('E6 — Ajustes'!$N174="Não","N/A",IF(COUNTIF(Lançamentos!$B$3:$B$1001,$B192)=0,"Bloqueado",IF('E6 — Ajustes'!$D174="","Bloqueado",IF(COUNTIF('E6 — Ajustes'!$E174:$J174,"⛔ Bloqueado")&gt;0,"Bloqueado",IF(AND('E6 — Ajustes'!$E174="✔ Concluído",'E6 — Ajustes'!$F174="✔ Concluído",'E6 — Ajustes'!$G174="✔ Concluído",'E6 — Ajustes'!$H174="✔ Concluído",OR('E6 — Ajustes'!$I174="✔ Concluído",'E6 — Ajustes'!$I174="N/A"),'E6 — Ajustes'!$J174="✔ Concluído"),"Concluído",IF(COUNTIF('E6 — Ajustes'!$E174:$J174,"✔ Concluído")+COUNTIF('E6 — Ajustes'!$E174:$J174,"🔄 Em andamento")&gt;0,"Em andamento","Não iniciado"))))))))</f>
        <v/>
      </c>
      <c r="K192" s="234" t="str">
        <f>IF($B192="","",IF($I192&lt;&gt;"Concluído","Não iniciado",IF(AND($J192&lt;&gt;"Concluído",$J192&lt;&gt;"N/A"),"Não iniciado",IF(COUNTIF(Lançamentos!$B$3:$B$1001,$B192)=0,"Bloqueado",IF('E7 — Entrega'!$D174="","Bloqueado",IF(COUNTIF('E7 — Entrega'!$E174:$H174,"⛔ Bloqueado")&gt;0,"Bloqueado",IF(COUNTIF('E7 — Entrega'!$E174:$H174,"✔ Concluído")=4,"Concluído",IF(COUNTIF('E7 — Entrega'!$E174:$H174,"✔ Concluído")+COUNTIF('E7 — Entrega'!$E174:$H174,"🔄 Em andamento")&gt;0,"Em andamento","Não iniciado"))))))))</f>
        <v/>
      </c>
      <c r="L192" s="234" t="str">
        <f>IF($B192="","",IF($K192&lt;&gt;"Concluído","Não iniciado",IF(OR(COUNTIF('E08 — Estabilização Hypercare'!$E174:$J174,"⛔ Bloqueado")&gt;0,'E08 — Estabilização Hypercare'!$N174="⛔ Incidente Crítico — Encerramento Bloqueado",AND('E08 — Estabilização Hypercare'!$N174="🆕 Evolução Identificada — Nova Demanda Aberta",'E08 — Estabilização Hypercare'!$U174="")),"Bloqueado",IF(AND('E08 — Estabilização Hypercare'!$E174="✔ Concluído",'E08 — Estabilização Hypercare'!$F174="✔ Concluído",'E08 — Estabilização Hypercare'!$G174="✔ Concluído",OR('E08 — Estabilização Hypercare'!$H174="✔ Concluído",'E08 — Estabilização Hypercare'!$H174="N/A"),'E08 — Estabilização Hypercare'!$I174="✔ Concluído",'E08 — Estabilização Hypercare'!$J174="✔ Concluído",OR('E08 — Estabilização Hypercare'!$N174="✅ Estável — Demanda Encerrada",AND('E08 — Estabilização Hypercare'!$N174="🆕 Evolução Identificada — Nova Demanda Aberta",'E08 — Estabilização Hypercare'!$U174&lt;&gt;""))),"Concluído",IF(OR(COUNTIF('E08 — Estabilização Hypercare'!$E174:$J174,"✔ Concluído")&gt;0,COUNTIF('E08 — Estabilização Hypercare'!$E174:$J174,"🔄 Em andamento")&gt;0,'E08 — Estabilização Hypercare'!$N174&lt;&gt;""),"Em andamento","Não iniciado")))))</f>
        <v/>
      </c>
      <c r="M192" s="236" t="str" cm="1">
        <f t="array" ref="M192">IF(B192="","",_xlfn.IFS(E192&lt;&gt;"Concluído","E1 — Solicitação",F192&lt;&gt;"Concluído","E2 — Triagem",G192&lt;&gt;"Concluído","E3 — Levantamento ⚠",H192&lt;&gt;"Concluído","E4 — Execução",I192&lt;&gt;"Concluído","E5 — Validação ⚠",AND(J192&lt;&gt;"Concluído",J192&lt;&gt;"N/A"),"E6 — Ajustes",K192&lt;&gt;"Concluído","E7 — Entrega",L192&lt;&gt;"Concluído","E08 — Estabilização / Hypercare",TRUE,"✔ Fluxo concluído"))</f>
        <v/>
      </c>
      <c r="N192" s="237" t="str">
        <f t="shared" si="2"/>
        <v/>
      </c>
      <c r="O192" s="238"/>
    </row>
    <row r="193" spans="2:15" ht="15" customHeight="1" x14ac:dyDescent="0.35">
      <c r="B193" s="234" t="str">
        <f>IF(Lançamentos!$B170="","",Lançamentos!$B170)</f>
        <v/>
      </c>
      <c r="C193" s="235" t="str">
        <f>IF($B193="","",Lançamentos!$J170)</f>
        <v/>
      </c>
      <c r="D193" s="235" t="str">
        <f>IF($B193="","",Lançamentos!$H170)</f>
        <v/>
      </c>
      <c r="E193" s="234" t="str">
        <f>IF($B193="","",IF(COUNTIF(Lançamentos!$B$3:$B$1001,$B193)=0,"Bloqueado",IF(COUNTIF('E1 — Solicitação'!$E175:$L175,"⛔ Bloqueado")&gt;0,"Bloqueado",IF(COUNTIF('E1 — Solicitação'!$E175:$L175,"N/A")=8,"Bloqueado",IF(COUNTIF('E1 — Solicitação'!$E175:$L175,"✔ Concluído")+COUNTIF('E1 — Solicitação'!$E175:$L175,"N/A")=8,"Concluído",IF(COUNTIF('E1 — Solicitação'!$E175:$L175,"✔ Concluído")+COUNTIF('E1 — Solicitação'!$E175:$L175,"🔄 Em andamento")&gt;0,"Em andamento","Não iniciado"))))))</f>
        <v/>
      </c>
      <c r="F193" s="234" t="str">
        <f>IF($B193="","",IF($E193&lt;&gt;"Concluído","Não iniciado",IF(COUNTIF(Lançamentos!$B$3:$B$1001,$B193)=0,"Bloqueado",IF('E2 — Triagem'!$D175="","Bloqueado",IF(COUNTIF('E2 — Triagem'!$E175:$L175,"N/A")=8,"Bloqueado",IF(COUNTIF('E2 — Triagem'!$E175:$L175,"⛔ Bloqueado")&gt;0,"Bloqueado",IF(COUNTIF('E2 — Triagem'!$E175:$L175,"✔ Concluído")+COUNTIF('E2 — Triagem'!$E175:$L175,"N/A")=8,"Concluído",IF(COUNTIF('E2 — Triagem'!$E175:$L175,"✔ Concluído")+COUNTIF('E2 — Triagem'!$E175:$L175,"🔄 Em andamento")&gt;0,"Em andamento","Não iniciado"))))))))</f>
        <v/>
      </c>
      <c r="G193" s="234" t="str">
        <f>IF($B193="","",IF($F193&lt;&gt;"Concluído","Não iniciado",IF(COUNTIF(Lançamentos!$B$3:$B$1001,$B193)=0,"Bloqueado",IF('E3 — Levantamento'!$D175="","Bloqueado",IF(COUNTIF('E3 — Levantamento'!$E175:$I175,"⛔ Bloqueado")&gt;0,"Bloqueado",IF('E3 — Levantamento'!$I175="N/A","Bloqueado",IF(COUNTIF('E3 — Levantamento'!$E175:$I175,"✔ Concluído")=5,"Concluído",IF(COUNTIF('E3 — Levantamento'!$E175:$I175,"✔ Concluído")+COUNTIF('E3 — Levantamento'!$E175:$I175,"🔄 Em andamento")&gt;0,"Em andamento","Não iniciado"))))))))</f>
        <v/>
      </c>
      <c r="H193" s="234" t="str">
        <f>IF($B193="","",IF($G193&lt;&gt;"Concluído","Não iniciado",IF(COUNTIF(Lançamentos!$B$3:$B$1001,$B193)=0,"Bloqueado",IF('E4 — Execução'!$D175="","Bloqueado",IF(COUNTIF('E4 — Execução'!$E175:$K175,"⛔ Bloqueado")&gt;0,"Bloqueado",IF(COUNTIF('E4 — Execução'!$E175:$K175,"✔ Concluído")=7,"Concluído",IF(COUNTIF('E4 — Execução'!$E175:$K175,"✔ Concluído")+COUNTIF('E4 — Execução'!$E175:$K175,"🔄 Em andamento")&gt;0,"Em andamento","Não iniciado")))))))</f>
        <v/>
      </c>
      <c r="I193" s="234" t="str">
        <f>IF($B193="","",IF($H193&lt;&gt;"Concluído","Não iniciado",IF(COUNTIF(Lançamentos!$B$3:$B$1001,$B193)=0,"Bloqueado",IF('E5 — Validação'!$D175="","Bloqueado",IF(COUNTIF('E5 — Validação'!$E175:$I175,"⛔ Bloqueado")&gt;0,"Bloqueado",IF('E5 — Validação'!$I175="N/A","Bloqueado",IF(AND('E5 — Validação'!$E175="✔ Concluído",'E5 — Validação'!$F175="✔ Concluído",OR('E5 — Validação'!$G175="✔ Concluído",'E5 — Validação'!$G175="N/A"),'E5 — Validação'!$H175="✔ Concluído",'E5 — Validação'!$I175="✔ Concluído"),"Concluído",IF(COUNTIF('E5 — Validação'!$E175:$I175,"✔ Concluído")+COUNTIF('E5 — Validação'!$E175:$I175,"🔄 Em andamento")&gt;0,"Em andamento","Não iniciado"))))))))</f>
        <v/>
      </c>
      <c r="J193" s="234" t="str">
        <f>IF($B193="","",IF($I193&lt;&gt;"Concluído","Não iniciado",IF('E6 — Ajustes'!$N175="Não","N/A",IF(COUNTIF(Lançamentos!$B$3:$B$1001,$B193)=0,"Bloqueado",IF('E6 — Ajustes'!$D175="","Bloqueado",IF(COUNTIF('E6 — Ajustes'!$E175:$J175,"⛔ Bloqueado")&gt;0,"Bloqueado",IF(AND('E6 — Ajustes'!$E175="✔ Concluído",'E6 — Ajustes'!$F175="✔ Concluído",'E6 — Ajustes'!$G175="✔ Concluído",'E6 — Ajustes'!$H175="✔ Concluído",OR('E6 — Ajustes'!$I175="✔ Concluído",'E6 — Ajustes'!$I175="N/A"),'E6 — Ajustes'!$J175="✔ Concluído"),"Concluído",IF(COUNTIF('E6 — Ajustes'!$E175:$J175,"✔ Concluído")+COUNTIF('E6 — Ajustes'!$E175:$J175,"🔄 Em andamento")&gt;0,"Em andamento","Não iniciado"))))))))</f>
        <v/>
      </c>
      <c r="K193" s="234" t="str">
        <f>IF($B193="","",IF($I193&lt;&gt;"Concluído","Não iniciado",IF(AND($J193&lt;&gt;"Concluído",$J193&lt;&gt;"N/A"),"Não iniciado",IF(COUNTIF(Lançamentos!$B$3:$B$1001,$B193)=0,"Bloqueado",IF('E7 — Entrega'!$D175="","Bloqueado",IF(COUNTIF('E7 — Entrega'!$E175:$H175,"⛔ Bloqueado")&gt;0,"Bloqueado",IF(COUNTIF('E7 — Entrega'!$E175:$H175,"✔ Concluído")=4,"Concluído",IF(COUNTIF('E7 — Entrega'!$E175:$H175,"✔ Concluído")+COUNTIF('E7 — Entrega'!$E175:$H175,"🔄 Em andamento")&gt;0,"Em andamento","Não iniciado"))))))))</f>
        <v/>
      </c>
      <c r="L193" s="234" t="str">
        <f>IF($B193="","",IF($K193&lt;&gt;"Concluído","Não iniciado",IF(OR(COUNTIF('E08 — Estabilização Hypercare'!$E175:$J175,"⛔ Bloqueado")&gt;0,'E08 — Estabilização Hypercare'!$N175="⛔ Incidente Crítico — Encerramento Bloqueado",AND('E08 — Estabilização Hypercare'!$N175="🆕 Evolução Identificada — Nova Demanda Aberta",'E08 — Estabilização Hypercare'!$U175="")),"Bloqueado",IF(AND('E08 — Estabilização Hypercare'!$E175="✔ Concluído",'E08 — Estabilização Hypercare'!$F175="✔ Concluído",'E08 — Estabilização Hypercare'!$G175="✔ Concluído",OR('E08 — Estabilização Hypercare'!$H175="✔ Concluído",'E08 — Estabilização Hypercare'!$H175="N/A"),'E08 — Estabilização Hypercare'!$I175="✔ Concluído",'E08 — Estabilização Hypercare'!$J175="✔ Concluído",OR('E08 — Estabilização Hypercare'!$N175="✅ Estável — Demanda Encerrada",AND('E08 — Estabilização Hypercare'!$N175="🆕 Evolução Identificada — Nova Demanda Aberta",'E08 — Estabilização Hypercare'!$U175&lt;&gt;""))),"Concluído",IF(OR(COUNTIF('E08 — Estabilização Hypercare'!$E175:$J175,"✔ Concluído")&gt;0,COUNTIF('E08 — Estabilização Hypercare'!$E175:$J175,"🔄 Em andamento")&gt;0,'E08 — Estabilização Hypercare'!$N175&lt;&gt;""),"Em andamento","Não iniciado")))))</f>
        <v/>
      </c>
      <c r="M193" s="236" t="str" cm="1">
        <f t="array" ref="M193">IF(B193="","",_xlfn.IFS(E193&lt;&gt;"Concluído","E1 — Solicitação",F193&lt;&gt;"Concluído","E2 — Triagem",G193&lt;&gt;"Concluído","E3 — Levantamento ⚠",H193&lt;&gt;"Concluído","E4 — Execução",I193&lt;&gt;"Concluído","E5 — Validação ⚠",AND(J193&lt;&gt;"Concluído",J193&lt;&gt;"N/A"),"E6 — Ajustes",K193&lt;&gt;"Concluído","E7 — Entrega",L193&lt;&gt;"Concluído","E08 — Estabilização / Hypercare",TRUE,"✔ Fluxo concluído"))</f>
        <v/>
      </c>
      <c r="N193" s="237" t="str">
        <f t="shared" si="2"/>
        <v/>
      </c>
      <c r="O193" s="238"/>
    </row>
    <row r="194" spans="2:15" ht="15" customHeight="1" x14ac:dyDescent="0.35">
      <c r="B194" s="234" t="str">
        <f>IF(Lançamentos!$B171="","",Lançamentos!$B171)</f>
        <v/>
      </c>
      <c r="C194" s="235" t="str">
        <f>IF($B194="","",Lançamentos!$J171)</f>
        <v/>
      </c>
      <c r="D194" s="235" t="str">
        <f>IF($B194="","",Lançamentos!$H171)</f>
        <v/>
      </c>
      <c r="E194" s="234" t="str">
        <f>IF($B194="","",IF(COUNTIF(Lançamentos!$B$3:$B$1001,$B194)=0,"Bloqueado",IF(COUNTIF('E1 — Solicitação'!$E176:$L176,"⛔ Bloqueado")&gt;0,"Bloqueado",IF(COUNTIF('E1 — Solicitação'!$E176:$L176,"N/A")=8,"Bloqueado",IF(COUNTIF('E1 — Solicitação'!$E176:$L176,"✔ Concluído")+COUNTIF('E1 — Solicitação'!$E176:$L176,"N/A")=8,"Concluído",IF(COUNTIF('E1 — Solicitação'!$E176:$L176,"✔ Concluído")+COUNTIF('E1 — Solicitação'!$E176:$L176,"🔄 Em andamento")&gt;0,"Em andamento","Não iniciado"))))))</f>
        <v/>
      </c>
      <c r="F194" s="234" t="str">
        <f>IF($B194="","",IF($E194&lt;&gt;"Concluído","Não iniciado",IF(COUNTIF(Lançamentos!$B$3:$B$1001,$B194)=0,"Bloqueado",IF('E2 — Triagem'!$D176="","Bloqueado",IF(COUNTIF('E2 — Triagem'!$E176:$L176,"N/A")=8,"Bloqueado",IF(COUNTIF('E2 — Triagem'!$E176:$L176,"⛔ Bloqueado")&gt;0,"Bloqueado",IF(COUNTIF('E2 — Triagem'!$E176:$L176,"✔ Concluído")+COUNTIF('E2 — Triagem'!$E176:$L176,"N/A")=8,"Concluído",IF(COUNTIF('E2 — Triagem'!$E176:$L176,"✔ Concluído")+COUNTIF('E2 — Triagem'!$E176:$L176,"🔄 Em andamento")&gt;0,"Em andamento","Não iniciado"))))))))</f>
        <v/>
      </c>
      <c r="G194" s="234" t="str">
        <f>IF($B194="","",IF($F194&lt;&gt;"Concluído","Não iniciado",IF(COUNTIF(Lançamentos!$B$3:$B$1001,$B194)=0,"Bloqueado",IF('E3 — Levantamento'!$D176="","Bloqueado",IF(COUNTIF('E3 — Levantamento'!$E176:$I176,"⛔ Bloqueado")&gt;0,"Bloqueado",IF('E3 — Levantamento'!$I176="N/A","Bloqueado",IF(COUNTIF('E3 — Levantamento'!$E176:$I176,"✔ Concluído")=5,"Concluído",IF(COUNTIF('E3 — Levantamento'!$E176:$I176,"✔ Concluído")+COUNTIF('E3 — Levantamento'!$E176:$I176,"🔄 Em andamento")&gt;0,"Em andamento","Não iniciado"))))))))</f>
        <v/>
      </c>
      <c r="H194" s="234" t="str">
        <f>IF($B194="","",IF($G194&lt;&gt;"Concluído","Não iniciado",IF(COUNTIF(Lançamentos!$B$3:$B$1001,$B194)=0,"Bloqueado",IF('E4 — Execução'!$D176="","Bloqueado",IF(COUNTIF('E4 — Execução'!$E176:$K176,"⛔ Bloqueado")&gt;0,"Bloqueado",IF(COUNTIF('E4 — Execução'!$E176:$K176,"✔ Concluído")=7,"Concluído",IF(COUNTIF('E4 — Execução'!$E176:$K176,"✔ Concluído")+COUNTIF('E4 — Execução'!$E176:$K176,"🔄 Em andamento")&gt;0,"Em andamento","Não iniciado")))))))</f>
        <v/>
      </c>
      <c r="I194" s="234" t="str">
        <f>IF($B194="","",IF($H194&lt;&gt;"Concluído","Não iniciado",IF(COUNTIF(Lançamentos!$B$3:$B$1001,$B194)=0,"Bloqueado",IF('E5 — Validação'!$D176="","Bloqueado",IF(COUNTIF('E5 — Validação'!$E176:$I176,"⛔ Bloqueado")&gt;0,"Bloqueado",IF('E5 — Validação'!$I176="N/A","Bloqueado",IF(AND('E5 — Validação'!$E176="✔ Concluído",'E5 — Validação'!$F176="✔ Concluído",OR('E5 — Validação'!$G176="✔ Concluído",'E5 — Validação'!$G176="N/A"),'E5 — Validação'!$H176="✔ Concluído",'E5 — Validação'!$I176="✔ Concluído"),"Concluído",IF(COUNTIF('E5 — Validação'!$E176:$I176,"✔ Concluído")+COUNTIF('E5 — Validação'!$E176:$I176,"🔄 Em andamento")&gt;0,"Em andamento","Não iniciado"))))))))</f>
        <v/>
      </c>
      <c r="J194" s="234" t="str">
        <f>IF($B194="","",IF($I194&lt;&gt;"Concluído","Não iniciado",IF('E6 — Ajustes'!$N176="Não","N/A",IF(COUNTIF(Lançamentos!$B$3:$B$1001,$B194)=0,"Bloqueado",IF('E6 — Ajustes'!$D176="","Bloqueado",IF(COUNTIF('E6 — Ajustes'!$E176:$J176,"⛔ Bloqueado")&gt;0,"Bloqueado",IF(AND('E6 — Ajustes'!$E176="✔ Concluído",'E6 — Ajustes'!$F176="✔ Concluído",'E6 — Ajustes'!$G176="✔ Concluído",'E6 — Ajustes'!$H176="✔ Concluído",OR('E6 — Ajustes'!$I176="✔ Concluído",'E6 — Ajustes'!$I176="N/A"),'E6 — Ajustes'!$J176="✔ Concluído"),"Concluído",IF(COUNTIF('E6 — Ajustes'!$E176:$J176,"✔ Concluído")+COUNTIF('E6 — Ajustes'!$E176:$J176,"🔄 Em andamento")&gt;0,"Em andamento","Não iniciado"))))))))</f>
        <v/>
      </c>
      <c r="K194" s="234" t="str">
        <f>IF($B194="","",IF($I194&lt;&gt;"Concluído","Não iniciado",IF(AND($J194&lt;&gt;"Concluído",$J194&lt;&gt;"N/A"),"Não iniciado",IF(COUNTIF(Lançamentos!$B$3:$B$1001,$B194)=0,"Bloqueado",IF('E7 — Entrega'!$D176="","Bloqueado",IF(COUNTIF('E7 — Entrega'!$E176:$H176,"⛔ Bloqueado")&gt;0,"Bloqueado",IF(COUNTIF('E7 — Entrega'!$E176:$H176,"✔ Concluído")=4,"Concluído",IF(COUNTIF('E7 — Entrega'!$E176:$H176,"✔ Concluído")+COUNTIF('E7 — Entrega'!$E176:$H176,"🔄 Em andamento")&gt;0,"Em andamento","Não iniciado"))))))))</f>
        <v/>
      </c>
      <c r="L194" s="234" t="str">
        <f>IF($B194="","",IF($K194&lt;&gt;"Concluído","Não iniciado",IF(OR(COUNTIF('E08 — Estabilização Hypercare'!$E176:$J176,"⛔ Bloqueado")&gt;0,'E08 — Estabilização Hypercare'!$N176="⛔ Incidente Crítico — Encerramento Bloqueado",AND('E08 — Estabilização Hypercare'!$N176="🆕 Evolução Identificada — Nova Demanda Aberta",'E08 — Estabilização Hypercare'!$U176="")),"Bloqueado",IF(AND('E08 — Estabilização Hypercare'!$E176="✔ Concluído",'E08 — Estabilização Hypercare'!$F176="✔ Concluído",'E08 — Estabilização Hypercare'!$G176="✔ Concluído",OR('E08 — Estabilização Hypercare'!$H176="✔ Concluído",'E08 — Estabilização Hypercare'!$H176="N/A"),'E08 — Estabilização Hypercare'!$I176="✔ Concluído",'E08 — Estabilização Hypercare'!$J176="✔ Concluído",OR('E08 — Estabilização Hypercare'!$N176="✅ Estável — Demanda Encerrada",AND('E08 — Estabilização Hypercare'!$N176="🆕 Evolução Identificada — Nova Demanda Aberta",'E08 — Estabilização Hypercare'!$U176&lt;&gt;""))),"Concluído",IF(OR(COUNTIF('E08 — Estabilização Hypercare'!$E176:$J176,"✔ Concluído")&gt;0,COUNTIF('E08 — Estabilização Hypercare'!$E176:$J176,"🔄 Em andamento")&gt;0,'E08 — Estabilização Hypercare'!$N176&lt;&gt;""),"Em andamento","Não iniciado")))))</f>
        <v/>
      </c>
      <c r="M194" s="236" t="str" cm="1">
        <f t="array" ref="M194">IF(B194="","",_xlfn.IFS(E194&lt;&gt;"Concluído","E1 — Solicitação",F194&lt;&gt;"Concluído","E2 — Triagem",G194&lt;&gt;"Concluído","E3 — Levantamento ⚠",H194&lt;&gt;"Concluído","E4 — Execução",I194&lt;&gt;"Concluído","E5 — Validação ⚠",AND(J194&lt;&gt;"Concluído",J194&lt;&gt;"N/A"),"E6 — Ajustes",K194&lt;&gt;"Concluído","E7 — Entrega",L194&lt;&gt;"Concluído","E08 — Estabilização / Hypercare",TRUE,"✔ Fluxo concluído"))</f>
        <v/>
      </c>
      <c r="N194" s="237" t="str">
        <f t="shared" si="2"/>
        <v/>
      </c>
      <c r="O194" s="238"/>
    </row>
    <row r="195" spans="2:15" ht="15" customHeight="1" x14ac:dyDescent="0.35">
      <c r="B195" s="234" t="str">
        <f>IF(Lançamentos!$B172="","",Lançamentos!$B172)</f>
        <v/>
      </c>
      <c r="C195" s="235" t="str">
        <f>IF($B195="","",Lançamentos!$J172)</f>
        <v/>
      </c>
      <c r="D195" s="235" t="str">
        <f>IF($B195="","",Lançamentos!$H172)</f>
        <v/>
      </c>
      <c r="E195" s="234" t="str">
        <f>IF($B195="","",IF(COUNTIF(Lançamentos!$B$3:$B$1001,$B195)=0,"Bloqueado",IF(COUNTIF('E1 — Solicitação'!$E177:$L177,"⛔ Bloqueado")&gt;0,"Bloqueado",IF(COUNTIF('E1 — Solicitação'!$E177:$L177,"N/A")=8,"Bloqueado",IF(COUNTIF('E1 — Solicitação'!$E177:$L177,"✔ Concluído")+COUNTIF('E1 — Solicitação'!$E177:$L177,"N/A")=8,"Concluído",IF(COUNTIF('E1 — Solicitação'!$E177:$L177,"✔ Concluído")+COUNTIF('E1 — Solicitação'!$E177:$L177,"🔄 Em andamento")&gt;0,"Em andamento","Não iniciado"))))))</f>
        <v/>
      </c>
      <c r="F195" s="234" t="str">
        <f>IF($B195="","",IF($E195&lt;&gt;"Concluído","Não iniciado",IF(COUNTIF(Lançamentos!$B$3:$B$1001,$B195)=0,"Bloqueado",IF('E2 — Triagem'!$D177="","Bloqueado",IF(COUNTIF('E2 — Triagem'!$E177:$L177,"N/A")=8,"Bloqueado",IF(COUNTIF('E2 — Triagem'!$E177:$L177,"⛔ Bloqueado")&gt;0,"Bloqueado",IF(COUNTIF('E2 — Triagem'!$E177:$L177,"✔ Concluído")+COUNTIF('E2 — Triagem'!$E177:$L177,"N/A")=8,"Concluído",IF(COUNTIF('E2 — Triagem'!$E177:$L177,"✔ Concluído")+COUNTIF('E2 — Triagem'!$E177:$L177,"🔄 Em andamento")&gt;0,"Em andamento","Não iniciado"))))))))</f>
        <v/>
      </c>
      <c r="G195" s="234" t="str">
        <f>IF($B195="","",IF($F195&lt;&gt;"Concluído","Não iniciado",IF(COUNTIF(Lançamentos!$B$3:$B$1001,$B195)=0,"Bloqueado",IF('E3 — Levantamento'!$D177="","Bloqueado",IF(COUNTIF('E3 — Levantamento'!$E177:$I177,"⛔ Bloqueado")&gt;0,"Bloqueado",IF('E3 — Levantamento'!$I177="N/A","Bloqueado",IF(COUNTIF('E3 — Levantamento'!$E177:$I177,"✔ Concluído")=5,"Concluído",IF(COUNTIF('E3 — Levantamento'!$E177:$I177,"✔ Concluído")+COUNTIF('E3 — Levantamento'!$E177:$I177,"🔄 Em andamento")&gt;0,"Em andamento","Não iniciado"))))))))</f>
        <v/>
      </c>
      <c r="H195" s="234" t="str">
        <f>IF($B195="","",IF($G195&lt;&gt;"Concluído","Não iniciado",IF(COUNTIF(Lançamentos!$B$3:$B$1001,$B195)=0,"Bloqueado",IF('E4 — Execução'!$D177="","Bloqueado",IF(COUNTIF('E4 — Execução'!$E177:$K177,"⛔ Bloqueado")&gt;0,"Bloqueado",IF(COUNTIF('E4 — Execução'!$E177:$K177,"✔ Concluído")=7,"Concluído",IF(COUNTIF('E4 — Execução'!$E177:$K177,"✔ Concluído")+COUNTIF('E4 — Execução'!$E177:$K177,"🔄 Em andamento")&gt;0,"Em andamento","Não iniciado")))))))</f>
        <v/>
      </c>
      <c r="I195" s="234" t="str">
        <f>IF($B195="","",IF($H195&lt;&gt;"Concluído","Não iniciado",IF(COUNTIF(Lançamentos!$B$3:$B$1001,$B195)=0,"Bloqueado",IF('E5 — Validação'!$D177="","Bloqueado",IF(COUNTIF('E5 — Validação'!$E177:$I177,"⛔ Bloqueado")&gt;0,"Bloqueado",IF('E5 — Validação'!$I177="N/A","Bloqueado",IF(AND('E5 — Validação'!$E177="✔ Concluído",'E5 — Validação'!$F177="✔ Concluído",OR('E5 — Validação'!$G177="✔ Concluído",'E5 — Validação'!$G177="N/A"),'E5 — Validação'!$H177="✔ Concluído",'E5 — Validação'!$I177="✔ Concluído"),"Concluído",IF(COUNTIF('E5 — Validação'!$E177:$I177,"✔ Concluído")+COUNTIF('E5 — Validação'!$E177:$I177,"🔄 Em andamento")&gt;0,"Em andamento","Não iniciado"))))))))</f>
        <v/>
      </c>
      <c r="J195" s="234" t="str">
        <f>IF($B195="","",IF($I195&lt;&gt;"Concluído","Não iniciado",IF('E6 — Ajustes'!$N177="Não","N/A",IF(COUNTIF(Lançamentos!$B$3:$B$1001,$B195)=0,"Bloqueado",IF('E6 — Ajustes'!$D177="","Bloqueado",IF(COUNTIF('E6 — Ajustes'!$E177:$J177,"⛔ Bloqueado")&gt;0,"Bloqueado",IF(AND('E6 — Ajustes'!$E177="✔ Concluído",'E6 — Ajustes'!$F177="✔ Concluído",'E6 — Ajustes'!$G177="✔ Concluído",'E6 — Ajustes'!$H177="✔ Concluído",OR('E6 — Ajustes'!$I177="✔ Concluído",'E6 — Ajustes'!$I177="N/A"),'E6 — Ajustes'!$J177="✔ Concluído"),"Concluído",IF(COUNTIF('E6 — Ajustes'!$E177:$J177,"✔ Concluído")+COUNTIF('E6 — Ajustes'!$E177:$J177,"🔄 Em andamento")&gt;0,"Em andamento","Não iniciado"))))))))</f>
        <v/>
      </c>
      <c r="K195" s="234" t="str">
        <f>IF($B195="","",IF($I195&lt;&gt;"Concluído","Não iniciado",IF(AND($J195&lt;&gt;"Concluído",$J195&lt;&gt;"N/A"),"Não iniciado",IF(COUNTIF(Lançamentos!$B$3:$B$1001,$B195)=0,"Bloqueado",IF('E7 — Entrega'!$D177="","Bloqueado",IF(COUNTIF('E7 — Entrega'!$E177:$H177,"⛔ Bloqueado")&gt;0,"Bloqueado",IF(COUNTIF('E7 — Entrega'!$E177:$H177,"✔ Concluído")=4,"Concluído",IF(COUNTIF('E7 — Entrega'!$E177:$H177,"✔ Concluído")+COUNTIF('E7 — Entrega'!$E177:$H177,"🔄 Em andamento")&gt;0,"Em andamento","Não iniciado"))))))))</f>
        <v/>
      </c>
      <c r="L195" s="234" t="str">
        <f>IF($B195="","",IF($K195&lt;&gt;"Concluído","Não iniciado",IF(OR(COUNTIF('E08 — Estabilização Hypercare'!$E177:$J177,"⛔ Bloqueado")&gt;0,'E08 — Estabilização Hypercare'!$N177="⛔ Incidente Crítico — Encerramento Bloqueado",AND('E08 — Estabilização Hypercare'!$N177="🆕 Evolução Identificada — Nova Demanda Aberta",'E08 — Estabilização Hypercare'!$U177="")),"Bloqueado",IF(AND('E08 — Estabilização Hypercare'!$E177="✔ Concluído",'E08 — Estabilização Hypercare'!$F177="✔ Concluído",'E08 — Estabilização Hypercare'!$G177="✔ Concluído",OR('E08 — Estabilização Hypercare'!$H177="✔ Concluído",'E08 — Estabilização Hypercare'!$H177="N/A"),'E08 — Estabilização Hypercare'!$I177="✔ Concluído",'E08 — Estabilização Hypercare'!$J177="✔ Concluído",OR('E08 — Estabilização Hypercare'!$N177="✅ Estável — Demanda Encerrada",AND('E08 — Estabilização Hypercare'!$N177="🆕 Evolução Identificada — Nova Demanda Aberta",'E08 — Estabilização Hypercare'!$U177&lt;&gt;""))),"Concluído",IF(OR(COUNTIF('E08 — Estabilização Hypercare'!$E177:$J177,"✔ Concluído")&gt;0,COUNTIF('E08 — Estabilização Hypercare'!$E177:$J177,"🔄 Em andamento")&gt;0,'E08 — Estabilização Hypercare'!$N177&lt;&gt;""),"Em andamento","Não iniciado")))))</f>
        <v/>
      </c>
      <c r="M195" s="236" t="str" cm="1">
        <f t="array" ref="M195">IF(B195="","",_xlfn.IFS(E195&lt;&gt;"Concluído","E1 — Solicitação",F195&lt;&gt;"Concluído","E2 — Triagem",G195&lt;&gt;"Concluído","E3 — Levantamento ⚠",H195&lt;&gt;"Concluído","E4 — Execução",I195&lt;&gt;"Concluído","E5 — Validação ⚠",AND(J195&lt;&gt;"Concluído",J195&lt;&gt;"N/A"),"E6 — Ajustes",K195&lt;&gt;"Concluído","E7 — Entrega",L195&lt;&gt;"Concluído","E08 — Estabilização / Hypercare",TRUE,"✔ Fluxo concluído"))</f>
        <v/>
      </c>
      <c r="N195" s="237" t="str">
        <f t="shared" si="2"/>
        <v/>
      </c>
      <c r="O195" s="238"/>
    </row>
    <row r="196" spans="2:15" ht="15" customHeight="1" x14ac:dyDescent="0.35">
      <c r="B196" s="234" t="str">
        <f>IF(Lançamentos!$B173="","",Lançamentos!$B173)</f>
        <v/>
      </c>
      <c r="C196" s="235" t="str">
        <f>IF($B196="","",Lançamentos!$J173)</f>
        <v/>
      </c>
      <c r="D196" s="235" t="str">
        <f>IF($B196="","",Lançamentos!$H173)</f>
        <v/>
      </c>
      <c r="E196" s="234" t="str">
        <f>IF($B196="","",IF(COUNTIF(Lançamentos!$B$3:$B$1001,$B196)=0,"Bloqueado",IF(COUNTIF('E1 — Solicitação'!$E178:$L178,"⛔ Bloqueado")&gt;0,"Bloqueado",IF(COUNTIF('E1 — Solicitação'!$E178:$L178,"N/A")=8,"Bloqueado",IF(COUNTIF('E1 — Solicitação'!$E178:$L178,"✔ Concluído")+COUNTIF('E1 — Solicitação'!$E178:$L178,"N/A")=8,"Concluído",IF(COUNTIF('E1 — Solicitação'!$E178:$L178,"✔ Concluído")+COUNTIF('E1 — Solicitação'!$E178:$L178,"🔄 Em andamento")&gt;0,"Em andamento","Não iniciado"))))))</f>
        <v/>
      </c>
      <c r="F196" s="234" t="str">
        <f>IF($B196="","",IF($E196&lt;&gt;"Concluído","Não iniciado",IF(COUNTIF(Lançamentos!$B$3:$B$1001,$B196)=0,"Bloqueado",IF('E2 — Triagem'!$D178="","Bloqueado",IF(COUNTIF('E2 — Triagem'!$E178:$L178,"N/A")=8,"Bloqueado",IF(COUNTIF('E2 — Triagem'!$E178:$L178,"⛔ Bloqueado")&gt;0,"Bloqueado",IF(COUNTIF('E2 — Triagem'!$E178:$L178,"✔ Concluído")+COUNTIF('E2 — Triagem'!$E178:$L178,"N/A")=8,"Concluído",IF(COUNTIF('E2 — Triagem'!$E178:$L178,"✔ Concluído")+COUNTIF('E2 — Triagem'!$E178:$L178,"🔄 Em andamento")&gt;0,"Em andamento","Não iniciado"))))))))</f>
        <v/>
      </c>
      <c r="G196" s="234" t="str">
        <f>IF($B196="","",IF($F196&lt;&gt;"Concluído","Não iniciado",IF(COUNTIF(Lançamentos!$B$3:$B$1001,$B196)=0,"Bloqueado",IF('E3 — Levantamento'!$D178="","Bloqueado",IF(COUNTIF('E3 — Levantamento'!$E178:$I178,"⛔ Bloqueado")&gt;0,"Bloqueado",IF('E3 — Levantamento'!$I178="N/A","Bloqueado",IF(COUNTIF('E3 — Levantamento'!$E178:$I178,"✔ Concluído")=5,"Concluído",IF(COUNTIF('E3 — Levantamento'!$E178:$I178,"✔ Concluído")+COUNTIF('E3 — Levantamento'!$E178:$I178,"🔄 Em andamento")&gt;0,"Em andamento","Não iniciado"))))))))</f>
        <v/>
      </c>
      <c r="H196" s="234" t="str">
        <f>IF($B196="","",IF($G196&lt;&gt;"Concluído","Não iniciado",IF(COUNTIF(Lançamentos!$B$3:$B$1001,$B196)=0,"Bloqueado",IF('E4 — Execução'!$D178="","Bloqueado",IF(COUNTIF('E4 — Execução'!$E178:$K178,"⛔ Bloqueado")&gt;0,"Bloqueado",IF(COUNTIF('E4 — Execução'!$E178:$K178,"✔ Concluído")=7,"Concluído",IF(COUNTIF('E4 — Execução'!$E178:$K178,"✔ Concluído")+COUNTIF('E4 — Execução'!$E178:$K178,"🔄 Em andamento")&gt;0,"Em andamento","Não iniciado")))))))</f>
        <v/>
      </c>
      <c r="I196" s="234" t="str">
        <f>IF($B196="","",IF($H196&lt;&gt;"Concluído","Não iniciado",IF(COUNTIF(Lançamentos!$B$3:$B$1001,$B196)=0,"Bloqueado",IF('E5 — Validação'!$D178="","Bloqueado",IF(COUNTIF('E5 — Validação'!$E178:$I178,"⛔ Bloqueado")&gt;0,"Bloqueado",IF('E5 — Validação'!$I178="N/A","Bloqueado",IF(AND('E5 — Validação'!$E178="✔ Concluído",'E5 — Validação'!$F178="✔ Concluído",OR('E5 — Validação'!$G178="✔ Concluído",'E5 — Validação'!$G178="N/A"),'E5 — Validação'!$H178="✔ Concluído",'E5 — Validação'!$I178="✔ Concluído"),"Concluído",IF(COUNTIF('E5 — Validação'!$E178:$I178,"✔ Concluído")+COUNTIF('E5 — Validação'!$E178:$I178,"🔄 Em andamento")&gt;0,"Em andamento","Não iniciado"))))))))</f>
        <v/>
      </c>
      <c r="J196" s="234" t="str">
        <f>IF($B196="","",IF($I196&lt;&gt;"Concluído","Não iniciado",IF('E6 — Ajustes'!$N178="Não","N/A",IF(COUNTIF(Lançamentos!$B$3:$B$1001,$B196)=0,"Bloqueado",IF('E6 — Ajustes'!$D178="","Bloqueado",IF(COUNTIF('E6 — Ajustes'!$E178:$J178,"⛔ Bloqueado")&gt;0,"Bloqueado",IF(AND('E6 — Ajustes'!$E178="✔ Concluído",'E6 — Ajustes'!$F178="✔ Concluído",'E6 — Ajustes'!$G178="✔ Concluído",'E6 — Ajustes'!$H178="✔ Concluído",OR('E6 — Ajustes'!$I178="✔ Concluído",'E6 — Ajustes'!$I178="N/A"),'E6 — Ajustes'!$J178="✔ Concluído"),"Concluído",IF(COUNTIF('E6 — Ajustes'!$E178:$J178,"✔ Concluído")+COUNTIF('E6 — Ajustes'!$E178:$J178,"🔄 Em andamento")&gt;0,"Em andamento","Não iniciado"))))))))</f>
        <v/>
      </c>
      <c r="K196" s="234" t="str">
        <f>IF($B196="","",IF($I196&lt;&gt;"Concluído","Não iniciado",IF(AND($J196&lt;&gt;"Concluído",$J196&lt;&gt;"N/A"),"Não iniciado",IF(COUNTIF(Lançamentos!$B$3:$B$1001,$B196)=0,"Bloqueado",IF('E7 — Entrega'!$D178="","Bloqueado",IF(COUNTIF('E7 — Entrega'!$E178:$H178,"⛔ Bloqueado")&gt;0,"Bloqueado",IF(COUNTIF('E7 — Entrega'!$E178:$H178,"✔ Concluído")=4,"Concluído",IF(COUNTIF('E7 — Entrega'!$E178:$H178,"✔ Concluído")+COUNTIF('E7 — Entrega'!$E178:$H178,"🔄 Em andamento")&gt;0,"Em andamento","Não iniciado"))))))))</f>
        <v/>
      </c>
      <c r="L196" s="234" t="str">
        <f>IF($B196="","",IF($K196&lt;&gt;"Concluído","Não iniciado",IF(OR(COUNTIF('E08 — Estabilização Hypercare'!$E178:$J178,"⛔ Bloqueado")&gt;0,'E08 — Estabilização Hypercare'!$N178="⛔ Incidente Crítico — Encerramento Bloqueado",AND('E08 — Estabilização Hypercare'!$N178="🆕 Evolução Identificada — Nova Demanda Aberta",'E08 — Estabilização Hypercare'!$U178="")),"Bloqueado",IF(AND('E08 — Estabilização Hypercare'!$E178="✔ Concluído",'E08 — Estabilização Hypercare'!$F178="✔ Concluído",'E08 — Estabilização Hypercare'!$G178="✔ Concluído",OR('E08 — Estabilização Hypercare'!$H178="✔ Concluído",'E08 — Estabilização Hypercare'!$H178="N/A"),'E08 — Estabilização Hypercare'!$I178="✔ Concluído",'E08 — Estabilização Hypercare'!$J178="✔ Concluído",OR('E08 — Estabilização Hypercare'!$N178="✅ Estável — Demanda Encerrada",AND('E08 — Estabilização Hypercare'!$N178="🆕 Evolução Identificada — Nova Demanda Aberta",'E08 — Estabilização Hypercare'!$U178&lt;&gt;""))),"Concluído",IF(OR(COUNTIF('E08 — Estabilização Hypercare'!$E178:$J178,"✔ Concluído")&gt;0,COUNTIF('E08 — Estabilização Hypercare'!$E178:$J178,"🔄 Em andamento")&gt;0,'E08 — Estabilização Hypercare'!$N178&lt;&gt;""),"Em andamento","Não iniciado")))))</f>
        <v/>
      </c>
      <c r="M196" s="236" t="str" cm="1">
        <f t="array" ref="M196">IF(B196="","",_xlfn.IFS(E196&lt;&gt;"Concluído","E1 — Solicitação",F196&lt;&gt;"Concluído","E2 — Triagem",G196&lt;&gt;"Concluído","E3 — Levantamento ⚠",H196&lt;&gt;"Concluído","E4 — Execução",I196&lt;&gt;"Concluído","E5 — Validação ⚠",AND(J196&lt;&gt;"Concluído",J196&lt;&gt;"N/A"),"E6 — Ajustes",K196&lt;&gt;"Concluído","E7 — Entrega",L196&lt;&gt;"Concluído","E08 — Estabilização / Hypercare",TRUE,"✔ Fluxo concluído"))</f>
        <v/>
      </c>
      <c r="N196" s="237" t="str">
        <f t="shared" si="2"/>
        <v/>
      </c>
      <c r="O196" s="238"/>
    </row>
    <row r="197" spans="2:15" ht="15" customHeight="1" x14ac:dyDescent="0.35">
      <c r="B197" s="234" t="str">
        <f>IF(Lançamentos!$B174="","",Lançamentos!$B174)</f>
        <v/>
      </c>
      <c r="C197" s="235" t="str">
        <f>IF($B197="","",Lançamentos!$J174)</f>
        <v/>
      </c>
      <c r="D197" s="235" t="str">
        <f>IF($B197="","",Lançamentos!$H174)</f>
        <v/>
      </c>
      <c r="E197" s="234" t="str">
        <f>IF($B197="","",IF(COUNTIF(Lançamentos!$B$3:$B$1001,$B197)=0,"Bloqueado",IF(COUNTIF('E1 — Solicitação'!$E179:$L179,"⛔ Bloqueado")&gt;0,"Bloqueado",IF(COUNTIF('E1 — Solicitação'!$E179:$L179,"N/A")=8,"Bloqueado",IF(COUNTIF('E1 — Solicitação'!$E179:$L179,"✔ Concluído")+COUNTIF('E1 — Solicitação'!$E179:$L179,"N/A")=8,"Concluído",IF(COUNTIF('E1 — Solicitação'!$E179:$L179,"✔ Concluído")+COUNTIF('E1 — Solicitação'!$E179:$L179,"🔄 Em andamento")&gt;0,"Em andamento","Não iniciado"))))))</f>
        <v/>
      </c>
      <c r="F197" s="234" t="str">
        <f>IF($B197="","",IF($E197&lt;&gt;"Concluído","Não iniciado",IF(COUNTIF(Lançamentos!$B$3:$B$1001,$B197)=0,"Bloqueado",IF('E2 — Triagem'!$D179="","Bloqueado",IF(COUNTIF('E2 — Triagem'!$E179:$L179,"N/A")=8,"Bloqueado",IF(COUNTIF('E2 — Triagem'!$E179:$L179,"⛔ Bloqueado")&gt;0,"Bloqueado",IF(COUNTIF('E2 — Triagem'!$E179:$L179,"✔ Concluído")+COUNTIF('E2 — Triagem'!$E179:$L179,"N/A")=8,"Concluído",IF(COUNTIF('E2 — Triagem'!$E179:$L179,"✔ Concluído")+COUNTIF('E2 — Triagem'!$E179:$L179,"🔄 Em andamento")&gt;0,"Em andamento","Não iniciado"))))))))</f>
        <v/>
      </c>
      <c r="G197" s="234" t="str">
        <f>IF($B197="","",IF($F197&lt;&gt;"Concluído","Não iniciado",IF(COUNTIF(Lançamentos!$B$3:$B$1001,$B197)=0,"Bloqueado",IF('E3 — Levantamento'!$D179="","Bloqueado",IF(COUNTIF('E3 — Levantamento'!$E179:$I179,"⛔ Bloqueado")&gt;0,"Bloqueado",IF('E3 — Levantamento'!$I179="N/A","Bloqueado",IF(COUNTIF('E3 — Levantamento'!$E179:$I179,"✔ Concluído")=5,"Concluído",IF(COUNTIF('E3 — Levantamento'!$E179:$I179,"✔ Concluído")+COUNTIF('E3 — Levantamento'!$E179:$I179,"🔄 Em andamento")&gt;0,"Em andamento","Não iniciado"))))))))</f>
        <v/>
      </c>
      <c r="H197" s="234" t="str">
        <f>IF($B197="","",IF($G197&lt;&gt;"Concluído","Não iniciado",IF(COUNTIF(Lançamentos!$B$3:$B$1001,$B197)=0,"Bloqueado",IF('E4 — Execução'!$D179="","Bloqueado",IF(COUNTIF('E4 — Execução'!$E179:$K179,"⛔ Bloqueado")&gt;0,"Bloqueado",IF(COUNTIF('E4 — Execução'!$E179:$K179,"✔ Concluído")=7,"Concluído",IF(COUNTIF('E4 — Execução'!$E179:$K179,"✔ Concluído")+COUNTIF('E4 — Execução'!$E179:$K179,"🔄 Em andamento")&gt;0,"Em andamento","Não iniciado")))))))</f>
        <v/>
      </c>
      <c r="I197" s="234" t="str">
        <f>IF($B197="","",IF($H197&lt;&gt;"Concluído","Não iniciado",IF(COUNTIF(Lançamentos!$B$3:$B$1001,$B197)=0,"Bloqueado",IF('E5 — Validação'!$D179="","Bloqueado",IF(COUNTIF('E5 — Validação'!$E179:$I179,"⛔ Bloqueado")&gt;0,"Bloqueado",IF('E5 — Validação'!$I179="N/A","Bloqueado",IF(AND('E5 — Validação'!$E179="✔ Concluído",'E5 — Validação'!$F179="✔ Concluído",OR('E5 — Validação'!$G179="✔ Concluído",'E5 — Validação'!$G179="N/A"),'E5 — Validação'!$H179="✔ Concluído",'E5 — Validação'!$I179="✔ Concluído"),"Concluído",IF(COUNTIF('E5 — Validação'!$E179:$I179,"✔ Concluído")+COUNTIF('E5 — Validação'!$E179:$I179,"🔄 Em andamento")&gt;0,"Em andamento","Não iniciado"))))))))</f>
        <v/>
      </c>
      <c r="J197" s="234" t="str">
        <f>IF($B197="","",IF($I197&lt;&gt;"Concluído","Não iniciado",IF('E6 — Ajustes'!$N179="Não","N/A",IF(COUNTIF(Lançamentos!$B$3:$B$1001,$B197)=0,"Bloqueado",IF('E6 — Ajustes'!$D179="","Bloqueado",IF(COUNTIF('E6 — Ajustes'!$E179:$J179,"⛔ Bloqueado")&gt;0,"Bloqueado",IF(AND('E6 — Ajustes'!$E179="✔ Concluído",'E6 — Ajustes'!$F179="✔ Concluído",'E6 — Ajustes'!$G179="✔ Concluído",'E6 — Ajustes'!$H179="✔ Concluído",OR('E6 — Ajustes'!$I179="✔ Concluído",'E6 — Ajustes'!$I179="N/A"),'E6 — Ajustes'!$J179="✔ Concluído"),"Concluído",IF(COUNTIF('E6 — Ajustes'!$E179:$J179,"✔ Concluído")+COUNTIF('E6 — Ajustes'!$E179:$J179,"🔄 Em andamento")&gt;0,"Em andamento","Não iniciado"))))))))</f>
        <v/>
      </c>
      <c r="K197" s="234" t="str">
        <f>IF($B197="","",IF($I197&lt;&gt;"Concluído","Não iniciado",IF(AND($J197&lt;&gt;"Concluído",$J197&lt;&gt;"N/A"),"Não iniciado",IF(COUNTIF(Lançamentos!$B$3:$B$1001,$B197)=0,"Bloqueado",IF('E7 — Entrega'!$D179="","Bloqueado",IF(COUNTIF('E7 — Entrega'!$E179:$H179,"⛔ Bloqueado")&gt;0,"Bloqueado",IF(COUNTIF('E7 — Entrega'!$E179:$H179,"✔ Concluído")=4,"Concluído",IF(COUNTIF('E7 — Entrega'!$E179:$H179,"✔ Concluído")+COUNTIF('E7 — Entrega'!$E179:$H179,"🔄 Em andamento")&gt;0,"Em andamento","Não iniciado"))))))))</f>
        <v/>
      </c>
      <c r="L197" s="234" t="str">
        <f>IF($B197="","",IF($K197&lt;&gt;"Concluído","Não iniciado",IF(OR(COUNTIF('E08 — Estabilização Hypercare'!$E179:$J179,"⛔ Bloqueado")&gt;0,'E08 — Estabilização Hypercare'!$N179="⛔ Incidente Crítico — Encerramento Bloqueado",AND('E08 — Estabilização Hypercare'!$N179="🆕 Evolução Identificada — Nova Demanda Aberta",'E08 — Estabilização Hypercare'!$U179="")),"Bloqueado",IF(AND('E08 — Estabilização Hypercare'!$E179="✔ Concluído",'E08 — Estabilização Hypercare'!$F179="✔ Concluído",'E08 — Estabilização Hypercare'!$G179="✔ Concluído",OR('E08 — Estabilização Hypercare'!$H179="✔ Concluído",'E08 — Estabilização Hypercare'!$H179="N/A"),'E08 — Estabilização Hypercare'!$I179="✔ Concluído",'E08 — Estabilização Hypercare'!$J179="✔ Concluído",OR('E08 — Estabilização Hypercare'!$N179="✅ Estável — Demanda Encerrada",AND('E08 — Estabilização Hypercare'!$N179="🆕 Evolução Identificada — Nova Demanda Aberta",'E08 — Estabilização Hypercare'!$U179&lt;&gt;""))),"Concluído",IF(OR(COUNTIF('E08 — Estabilização Hypercare'!$E179:$J179,"✔ Concluído")&gt;0,COUNTIF('E08 — Estabilização Hypercare'!$E179:$J179,"🔄 Em andamento")&gt;0,'E08 — Estabilização Hypercare'!$N179&lt;&gt;""),"Em andamento","Não iniciado")))))</f>
        <v/>
      </c>
      <c r="M197" s="236" t="str" cm="1">
        <f t="array" ref="M197">IF(B197="","",_xlfn.IFS(E197&lt;&gt;"Concluído","E1 — Solicitação",F197&lt;&gt;"Concluído","E2 — Triagem",G197&lt;&gt;"Concluído","E3 — Levantamento ⚠",H197&lt;&gt;"Concluído","E4 — Execução",I197&lt;&gt;"Concluído","E5 — Validação ⚠",AND(J197&lt;&gt;"Concluído",J197&lt;&gt;"N/A"),"E6 — Ajustes",K197&lt;&gt;"Concluído","E7 — Entrega",L197&lt;&gt;"Concluído","E08 — Estabilização / Hypercare",TRUE,"✔ Fluxo concluído"))</f>
        <v/>
      </c>
      <c r="N197" s="237" t="str">
        <f t="shared" si="2"/>
        <v/>
      </c>
      <c r="O197" s="238"/>
    </row>
    <row r="198" spans="2:15" ht="15" customHeight="1" x14ac:dyDescent="0.35">
      <c r="B198" s="234" t="str">
        <f>IF(Lançamentos!$B175="","",Lançamentos!$B175)</f>
        <v/>
      </c>
      <c r="C198" s="235" t="str">
        <f>IF($B198="","",Lançamentos!$J175)</f>
        <v/>
      </c>
      <c r="D198" s="235" t="str">
        <f>IF($B198="","",Lançamentos!$H175)</f>
        <v/>
      </c>
      <c r="E198" s="234" t="str">
        <f>IF($B198="","",IF(COUNTIF(Lançamentos!$B$3:$B$1001,$B198)=0,"Bloqueado",IF(COUNTIF('E1 — Solicitação'!$E180:$L180,"⛔ Bloqueado")&gt;0,"Bloqueado",IF(COUNTIF('E1 — Solicitação'!$E180:$L180,"N/A")=8,"Bloqueado",IF(COUNTIF('E1 — Solicitação'!$E180:$L180,"✔ Concluído")+COUNTIF('E1 — Solicitação'!$E180:$L180,"N/A")=8,"Concluído",IF(COUNTIF('E1 — Solicitação'!$E180:$L180,"✔ Concluído")+COUNTIF('E1 — Solicitação'!$E180:$L180,"🔄 Em andamento")&gt;0,"Em andamento","Não iniciado"))))))</f>
        <v/>
      </c>
      <c r="F198" s="234" t="str">
        <f>IF($B198="","",IF($E198&lt;&gt;"Concluído","Não iniciado",IF(COUNTIF(Lançamentos!$B$3:$B$1001,$B198)=0,"Bloqueado",IF('E2 — Triagem'!$D180="","Bloqueado",IF(COUNTIF('E2 — Triagem'!$E180:$L180,"N/A")=8,"Bloqueado",IF(COUNTIF('E2 — Triagem'!$E180:$L180,"⛔ Bloqueado")&gt;0,"Bloqueado",IF(COUNTIF('E2 — Triagem'!$E180:$L180,"✔ Concluído")+COUNTIF('E2 — Triagem'!$E180:$L180,"N/A")=8,"Concluído",IF(COUNTIF('E2 — Triagem'!$E180:$L180,"✔ Concluído")+COUNTIF('E2 — Triagem'!$E180:$L180,"🔄 Em andamento")&gt;0,"Em andamento","Não iniciado"))))))))</f>
        <v/>
      </c>
      <c r="G198" s="234" t="str">
        <f>IF($B198="","",IF($F198&lt;&gt;"Concluído","Não iniciado",IF(COUNTIF(Lançamentos!$B$3:$B$1001,$B198)=0,"Bloqueado",IF('E3 — Levantamento'!$D180="","Bloqueado",IF(COUNTIF('E3 — Levantamento'!$E180:$I180,"⛔ Bloqueado")&gt;0,"Bloqueado",IF('E3 — Levantamento'!$I180="N/A","Bloqueado",IF(COUNTIF('E3 — Levantamento'!$E180:$I180,"✔ Concluído")=5,"Concluído",IF(COUNTIF('E3 — Levantamento'!$E180:$I180,"✔ Concluído")+COUNTIF('E3 — Levantamento'!$E180:$I180,"🔄 Em andamento")&gt;0,"Em andamento","Não iniciado"))))))))</f>
        <v/>
      </c>
      <c r="H198" s="234" t="str">
        <f>IF($B198="","",IF($G198&lt;&gt;"Concluído","Não iniciado",IF(COUNTIF(Lançamentos!$B$3:$B$1001,$B198)=0,"Bloqueado",IF('E4 — Execução'!$D180="","Bloqueado",IF(COUNTIF('E4 — Execução'!$E180:$K180,"⛔ Bloqueado")&gt;0,"Bloqueado",IF(COUNTIF('E4 — Execução'!$E180:$K180,"✔ Concluído")=7,"Concluído",IF(COUNTIF('E4 — Execução'!$E180:$K180,"✔ Concluído")+COUNTIF('E4 — Execução'!$E180:$K180,"🔄 Em andamento")&gt;0,"Em andamento","Não iniciado")))))))</f>
        <v/>
      </c>
      <c r="I198" s="234" t="str">
        <f>IF($B198="","",IF($H198&lt;&gt;"Concluído","Não iniciado",IF(COUNTIF(Lançamentos!$B$3:$B$1001,$B198)=0,"Bloqueado",IF('E5 — Validação'!$D180="","Bloqueado",IF(COUNTIF('E5 — Validação'!$E180:$I180,"⛔ Bloqueado")&gt;0,"Bloqueado",IF('E5 — Validação'!$I180="N/A","Bloqueado",IF(AND('E5 — Validação'!$E180="✔ Concluído",'E5 — Validação'!$F180="✔ Concluído",OR('E5 — Validação'!$G180="✔ Concluído",'E5 — Validação'!$G180="N/A"),'E5 — Validação'!$H180="✔ Concluído",'E5 — Validação'!$I180="✔ Concluído"),"Concluído",IF(COUNTIF('E5 — Validação'!$E180:$I180,"✔ Concluído")+COUNTIF('E5 — Validação'!$E180:$I180,"🔄 Em andamento")&gt;0,"Em andamento","Não iniciado"))))))))</f>
        <v/>
      </c>
      <c r="J198" s="234" t="str">
        <f>IF($B198="","",IF($I198&lt;&gt;"Concluído","Não iniciado",IF('E6 — Ajustes'!$N180="Não","N/A",IF(COUNTIF(Lançamentos!$B$3:$B$1001,$B198)=0,"Bloqueado",IF('E6 — Ajustes'!$D180="","Bloqueado",IF(COUNTIF('E6 — Ajustes'!$E180:$J180,"⛔ Bloqueado")&gt;0,"Bloqueado",IF(AND('E6 — Ajustes'!$E180="✔ Concluído",'E6 — Ajustes'!$F180="✔ Concluído",'E6 — Ajustes'!$G180="✔ Concluído",'E6 — Ajustes'!$H180="✔ Concluído",OR('E6 — Ajustes'!$I180="✔ Concluído",'E6 — Ajustes'!$I180="N/A"),'E6 — Ajustes'!$J180="✔ Concluído"),"Concluído",IF(COUNTIF('E6 — Ajustes'!$E180:$J180,"✔ Concluído")+COUNTIF('E6 — Ajustes'!$E180:$J180,"🔄 Em andamento")&gt;0,"Em andamento","Não iniciado"))))))))</f>
        <v/>
      </c>
      <c r="K198" s="234" t="str">
        <f>IF($B198="","",IF($I198&lt;&gt;"Concluído","Não iniciado",IF(AND($J198&lt;&gt;"Concluído",$J198&lt;&gt;"N/A"),"Não iniciado",IF(COUNTIF(Lançamentos!$B$3:$B$1001,$B198)=0,"Bloqueado",IF('E7 — Entrega'!$D180="","Bloqueado",IF(COUNTIF('E7 — Entrega'!$E180:$H180,"⛔ Bloqueado")&gt;0,"Bloqueado",IF(COUNTIF('E7 — Entrega'!$E180:$H180,"✔ Concluído")=4,"Concluído",IF(COUNTIF('E7 — Entrega'!$E180:$H180,"✔ Concluído")+COUNTIF('E7 — Entrega'!$E180:$H180,"🔄 Em andamento")&gt;0,"Em andamento","Não iniciado"))))))))</f>
        <v/>
      </c>
      <c r="L198" s="234" t="str">
        <f>IF($B198="","",IF($K198&lt;&gt;"Concluído","Não iniciado",IF(OR(COUNTIF('E08 — Estabilização Hypercare'!$E180:$J180,"⛔ Bloqueado")&gt;0,'E08 — Estabilização Hypercare'!$N180="⛔ Incidente Crítico — Encerramento Bloqueado",AND('E08 — Estabilização Hypercare'!$N180="🆕 Evolução Identificada — Nova Demanda Aberta",'E08 — Estabilização Hypercare'!$U180="")),"Bloqueado",IF(AND('E08 — Estabilização Hypercare'!$E180="✔ Concluído",'E08 — Estabilização Hypercare'!$F180="✔ Concluído",'E08 — Estabilização Hypercare'!$G180="✔ Concluído",OR('E08 — Estabilização Hypercare'!$H180="✔ Concluído",'E08 — Estabilização Hypercare'!$H180="N/A"),'E08 — Estabilização Hypercare'!$I180="✔ Concluído",'E08 — Estabilização Hypercare'!$J180="✔ Concluído",OR('E08 — Estabilização Hypercare'!$N180="✅ Estável — Demanda Encerrada",AND('E08 — Estabilização Hypercare'!$N180="🆕 Evolução Identificada — Nova Demanda Aberta",'E08 — Estabilização Hypercare'!$U180&lt;&gt;""))),"Concluído",IF(OR(COUNTIF('E08 — Estabilização Hypercare'!$E180:$J180,"✔ Concluído")&gt;0,COUNTIF('E08 — Estabilização Hypercare'!$E180:$J180,"🔄 Em andamento")&gt;0,'E08 — Estabilização Hypercare'!$N180&lt;&gt;""),"Em andamento","Não iniciado")))))</f>
        <v/>
      </c>
      <c r="M198" s="236" t="str" cm="1">
        <f t="array" ref="M198">IF(B198="","",_xlfn.IFS(E198&lt;&gt;"Concluído","E1 — Solicitação",F198&lt;&gt;"Concluído","E2 — Triagem",G198&lt;&gt;"Concluído","E3 — Levantamento ⚠",H198&lt;&gt;"Concluído","E4 — Execução",I198&lt;&gt;"Concluído","E5 — Validação ⚠",AND(J198&lt;&gt;"Concluído",J198&lt;&gt;"N/A"),"E6 — Ajustes",K198&lt;&gt;"Concluído","E7 — Entrega",L198&lt;&gt;"Concluído","E08 — Estabilização / Hypercare",TRUE,"✔ Fluxo concluído"))</f>
        <v/>
      </c>
      <c r="N198" s="237" t="str">
        <f t="shared" si="2"/>
        <v/>
      </c>
      <c r="O198" s="238"/>
    </row>
    <row r="199" spans="2:15" ht="15" customHeight="1" x14ac:dyDescent="0.35">
      <c r="B199" s="234" t="str">
        <f>IF(Lançamentos!$B176="","",Lançamentos!$B176)</f>
        <v/>
      </c>
      <c r="C199" s="235" t="str">
        <f>IF($B199="","",Lançamentos!$J176)</f>
        <v/>
      </c>
      <c r="D199" s="235" t="str">
        <f>IF($B199="","",Lançamentos!$H176)</f>
        <v/>
      </c>
      <c r="E199" s="234" t="str">
        <f>IF($B199="","",IF(COUNTIF(Lançamentos!$B$3:$B$1001,$B199)=0,"Bloqueado",IF(COUNTIF('E1 — Solicitação'!$E181:$L181,"⛔ Bloqueado")&gt;0,"Bloqueado",IF(COUNTIF('E1 — Solicitação'!$E181:$L181,"N/A")=8,"Bloqueado",IF(COUNTIF('E1 — Solicitação'!$E181:$L181,"✔ Concluído")+COUNTIF('E1 — Solicitação'!$E181:$L181,"N/A")=8,"Concluído",IF(COUNTIF('E1 — Solicitação'!$E181:$L181,"✔ Concluído")+COUNTIF('E1 — Solicitação'!$E181:$L181,"🔄 Em andamento")&gt;0,"Em andamento","Não iniciado"))))))</f>
        <v/>
      </c>
      <c r="F199" s="234" t="str">
        <f>IF($B199="","",IF($E199&lt;&gt;"Concluído","Não iniciado",IF(COUNTIF(Lançamentos!$B$3:$B$1001,$B199)=0,"Bloqueado",IF('E2 — Triagem'!$D181="","Bloqueado",IF(COUNTIF('E2 — Triagem'!$E181:$L181,"N/A")=8,"Bloqueado",IF(COUNTIF('E2 — Triagem'!$E181:$L181,"⛔ Bloqueado")&gt;0,"Bloqueado",IF(COUNTIF('E2 — Triagem'!$E181:$L181,"✔ Concluído")+COUNTIF('E2 — Triagem'!$E181:$L181,"N/A")=8,"Concluído",IF(COUNTIF('E2 — Triagem'!$E181:$L181,"✔ Concluído")+COUNTIF('E2 — Triagem'!$E181:$L181,"🔄 Em andamento")&gt;0,"Em andamento","Não iniciado"))))))))</f>
        <v/>
      </c>
      <c r="G199" s="234" t="str">
        <f>IF($B199="","",IF($F199&lt;&gt;"Concluído","Não iniciado",IF(COUNTIF(Lançamentos!$B$3:$B$1001,$B199)=0,"Bloqueado",IF('E3 — Levantamento'!$D181="","Bloqueado",IF(COUNTIF('E3 — Levantamento'!$E181:$I181,"⛔ Bloqueado")&gt;0,"Bloqueado",IF('E3 — Levantamento'!$I181="N/A","Bloqueado",IF(COUNTIF('E3 — Levantamento'!$E181:$I181,"✔ Concluído")=5,"Concluído",IF(COUNTIF('E3 — Levantamento'!$E181:$I181,"✔ Concluído")+COUNTIF('E3 — Levantamento'!$E181:$I181,"🔄 Em andamento")&gt;0,"Em andamento","Não iniciado"))))))))</f>
        <v/>
      </c>
      <c r="H199" s="234" t="str">
        <f>IF($B199="","",IF($G199&lt;&gt;"Concluído","Não iniciado",IF(COUNTIF(Lançamentos!$B$3:$B$1001,$B199)=0,"Bloqueado",IF('E4 — Execução'!$D181="","Bloqueado",IF(COUNTIF('E4 — Execução'!$E181:$K181,"⛔ Bloqueado")&gt;0,"Bloqueado",IF(COUNTIF('E4 — Execução'!$E181:$K181,"✔ Concluído")=7,"Concluído",IF(COUNTIF('E4 — Execução'!$E181:$K181,"✔ Concluído")+COUNTIF('E4 — Execução'!$E181:$K181,"🔄 Em andamento")&gt;0,"Em andamento","Não iniciado")))))))</f>
        <v/>
      </c>
      <c r="I199" s="234" t="str">
        <f>IF($B199="","",IF($H199&lt;&gt;"Concluído","Não iniciado",IF(COUNTIF(Lançamentos!$B$3:$B$1001,$B199)=0,"Bloqueado",IF('E5 — Validação'!$D181="","Bloqueado",IF(COUNTIF('E5 — Validação'!$E181:$I181,"⛔ Bloqueado")&gt;0,"Bloqueado",IF('E5 — Validação'!$I181="N/A","Bloqueado",IF(AND('E5 — Validação'!$E181="✔ Concluído",'E5 — Validação'!$F181="✔ Concluído",OR('E5 — Validação'!$G181="✔ Concluído",'E5 — Validação'!$G181="N/A"),'E5 — Validação'!$H181="✔ Concluído",'E5 — Validação'!$I181="✔ Concluído"),"Concluído",IF(COUNTIF('E5 — Validação'!$E181:$I181,"✔ Concluído")+COUNTIF('E5 — Validação'!$E181:$I181,"🔄 Em andamento")&gt;0,"Em andamento","Não iniciado"))))))))</f>
        <v/>
      </c>
      <c r="J199" s="234" t="str">
        <f>IF($B199="","",IF($I199&lt;&gt;"Concluído","Não iniciado",IF('E6 — Ajustes'!$N181="Não","N/A",IF(COUNTIF(Lançamentos!$B$3:$B$1001,$B199)=0,"Bloqueado",IF('E6 — Ajustes'!$D181="","Bloqueado",IF(COUNTIF('E6 — Ajustes'!$E181:$J181,"⛔ Bloqueado")&gt;0,"Bloqueado",IF(AND('E6 — Ajustes'!$E181="✔ Concluído",'E6 — Ajustes'!$F181="✔ Concluído",'E6 — Ajustes'!$G181="✔ Concluído",'E6 — Ajustes'!$H181="✔ Concluído",OR('E6 — Ajustes'!$I181="✔ Concluído",'E6 — Ajustes'!$I181="N/A"),'E6 — Ajustes'!$J181="✔ Concluído"),"Concluído",IF(COUNTIF('E6 — Ajustes'!$E181:$J181,"✔ Concluído")+COUNTIF('E6 — Ajustes'!$E181:$J181,"🔄 Em andamento")&gt;0,"Em andamento","Não iniciado"))))))))</f>
        <v/>
      </c>
      <c r="K199" s="234" t="str">
        <f>IF($B199="","",IF($I199&lt;&gt;"Concluído","Não iniciado",IF(AND($J199&lt;&gt;"Concluído",$J199&lt;&gt;"N/A"),"Não iniciado",IF(COUNTIF(Lançamentos!$B$3:$B$1001,$B199)=0,"Bloqueado",IF('E7 — Entrega'!$D181="","Bloqueado",IF(COUNTIF('E7 — Entrega'!$E181:$H181,"⛔ Bloqueado")&gt;0,"Bloqueado",IF(COUNTIF('E7 — Entrega'!$E181:$H181,"✔ Concluído")=4,"Concluído",IF(COUNTIF('E7 — Entrega'!$E181:$H181,"✔ Concluído")+COUNTIF('E7 — Entrega'!$E181:$H181,"🔄 Em andamento")&gt;0,"Em andamento","Não iniciado"))))))))</f>
        <v/>
      </c>
      <c r="L199" s="234" t="str">
        <f>IF($B199="","",IF($K199&lt;&gt;"Concluído","Não iniciado",IF(OR(COUNTIF('E08 — Estabilização Hypercare'!$E181:$J181,"⛔ Bloqueado")&gt;0,'E08 — Estabilização Hypercare'!$N181="⛔ Incidente Crítico — Encerramento Bloqueado",AND('E08 — Estabilização Hypercare'!$N181="🆕 Evolução Identificada — Nova Demanda Aberta",'E08 — Estabilização Hypercare'!$U181="")),"Bloqueado",IF(AND('E08 — Estabilização Hypercare'!$E181="✔ Concluído",'E08 — Estabilização Hypercare'!$F181="✔ Concluído",'E08 — Estabilização Hypercare'!$G181="✔ Concluído",OR('E08 — Estabilização Hypercare'!$H181="✔ Concluído",'E08 — Estabilização Hypercare'!$H181="N/A"),'E08 — Estabilização Hypercare'!$I181="✔ Concluído",'E08 — Estabilização Hypercare'!$J181="✔ Concluído",OR('E08 — Estabilização Hypercare'!$N181="✅ Estável — Demanda Encerrada",AND('E08 — Estabilização Hypercare'!$N181="🆕 Evolução Identificada — Nova Demanda Aberta",'E08 — Estabilização Hypercare'!$U181&lt;&gt;""))),"Concluído",IF(OR(COUNTIF('E08 — Estabilização Hypercare'!$E181:$J181,"✔ Concluído")&gt;0,COUNTIF('E08 — Estabilização Hypercare'!$E181:$J181,"🔄 Em andamento")&gt;0,'E08 — Estabilização Hypercare'!$N181&lt;&gt;""),"Em andamento","Não iniciado")))))</f>
        <v/>
      </c>
      <c r="M199" s="236" t="str" cm="1">
        <f t="array" ref="M199">IF(B199="","",_xlfn.IFS(E199&lt;&gt;"Concluído","E1 — Solicitação",F199&lt;&gt;"Concluído","E2 — Triagem",G199&lt;&gt;"Concluído","E3 — Levantamento ⚠",H199&lt;&gt;"Concluído","E4 — Execução",I199&lt;&gt;"Concluído","E5 — Validação ⚠",AND(J199&lt;&gt;"Concluído",J199&lt;&gt;"N/A"),"E6 — Ajustes",K199&lt;&gt;"Concluído","E7 — Entrega",L199&lt;&gt;"Concluído","E08 — Estabilização / Hypercare",TRUE,"✔ Fluxo concluído"))</f>
        <v/>
      </c>
      <c r="N199" s="237" t="str">
        <f t="shared" si="2"/>
        <v/>
      </c>
      <c r="O199" s="238"/>
    </row>
    <row r="200" spans="2:15" ht="15" customHeight="1" x14ac:dyDescent="0.35">
      <c r="B200" s="234" t="str">
        <f>IF(Lançamentos!$B177="","",Lançamentos!$B177)</f>
        <v/>
      </c>
      <c r="C200" s="235" t="str">
        <f>IF($B200="","",Lançamentos!$J177)</f>
        <v/>
      </c>
      <c r="D200" s="235" t="str">
        <f>IF($B200="","",Lançamentos!$H177)</f>
        <v/>
      </c>
      <c r="E200" s="234" t="str">
        <f>IF($B200="","",IF(COUNTIF(Lançamentos!$B$3:$B$1001,$B200)=0,"Bloqueado",IF(COUNTIF('E1 — Solicitação'!$E182:$L182,"⛔ Bloqueado")&gt;0,"Bloqueado",IF(COUNTIF('E1 — Solicitação'!$E182:$L182,"N/A")=8,"Bloqueado",IF(COUNTIF('E1 — Solicitação'!$E182:$L182,"✔ Concluído")+COUNTIF('E1 — Solicitação'!$E182:$L182,"N/A")=8,"Concluído",IF(COUNTIF('E1 — Solicitação'!$E182:$L182,"✔ Concluído")+COUNTIF('E1 — Solicitação'!$E182:$L182,"🔄 Em andamento")&gt;0,"Em andamento","Não iniciado"))))))</f>
        <v/>
      </c>
      <c r="F200" s="234" t="str">
        <f>IF($B200="","",IF($E200&lt;&gt;"Concluído","Não iniciado",IF(COUNTIF(Lançamentos!$B$3:$B$1001,$B200)=0,"Bloqueado",IF('E2 — Triagem'!$D182="","Bloqueado",IF(COUNTIF('E2 — Triagem'!$E182:$L182,"N/A")=8,"Bloqueado",IF(COUNTIF('E2 — Triagem'!$E182:$L182,"⛔ Bloqueado")&gt;0,"Bloqueado",IF(COUNTIF('E2 — Triagem'!$E182:$L182,"✔ Concluído")+COUNTIF('E2 — Triagem'!$E182:$L182,"N/A")=8,"Concluído",IF(COUNTIF('E2 — Triagem'!$E182:$L182,"✔ Concluído")+COUNTIF('E2 — Triagem'!$E182:$L182,"🔄 Em andamento")&gt;0,"Em andamento","Não iniciado"))))))))</f>
        <v/>
      </c>
      <c r="G200" s="234" t="str">
        <f>IF($B200="","",IF($F200&lt;&gt;"Concluído","Não iniciado",IF(COUNTIF(Lançamentos!$B$3:$B$1001,$B200)=0,"Bloqueado",IF('E3 — Levantamento'!$D182="","Bloqueado",IF(COUNTIF('E3 — Levantamento'!$E182:$I182,"⛔ Bloqueado")&gt;0,"Bloqueado",IF('E3 — Levantamento'!$I182="N/A","Bloqueado",IF(COUNTIF('E3 — Levantamento'!$E182:$I182,"✔ Concluído")=5,"Concluído",IF(COUNTIF('E3 — Levantamento'!$E182:$I182,"✔ Concluído")+COUNTIF('E3 — Levantamento'!$E182:$I182,"🔄 Em andamento")&gt;0,"Em andamento","Não iniciado"))))))))</f>
        <v/>
      </c>
      <c r="H200" s="234" t="str">
        <f>IF($B200="","",IF($G200&lt;&gt;"Concluído","Não iniciado",IF(COUNTIF(Lançamentos!$B$3:$B$1001,$B200)=0,"Bloqueado",IF('E4 — Execução'!$D182="","Bloqueado",IF(COUNTIF('E4 — Execução'!$E182:$K182,"⛔ Bloqueado")&gt;0,"Bloqueado",IF(COUNTIF('E4 — Execução'!$E182:$K182,"✔ Concluído")=7,"Concluído",IF(COUNTIF('E4 — Execução'!$E182:$K182,"✔ Concluído")+COUNTIF('E4 — Execução'!$E182:$K182,"🔄 Em andamento")&gt;0,"Em andamento","Não iniciado")))))))</f>
        <v/>
      </c>
      <c r="I200" s="234" t="str">
        <f>IF($B200="","",IF($H200&lt;&gt;"Concluído","Não iniciado",IF(COUNTIF(Lançamentos!$B$3:$B$1001,$B200)=0,"Bloqueado",IF('E5 — Validação'!$D182="","Bloqueado",IF(COUNTIF('E5 — Validação'!$E182:$I182,"⛔ Bloqueado")&gt;0,"Bloqueado",IF('E5 — Validação'!$I182="N/A","Bloqueado",IF(AND('E5 — Validação'!$E182="✔ Concluído",'E5 — Validação'!$F182="✔ Concluído",OR('E5 — Validação'!$G182="✔ Concluído",'E5 — Validação'!$G182="N/A"),'E5 — Validação'!$H182="✔ Concluído",'E5 — Validação'!$I182="✔ Concluído"),"Concluído",IF(COUNTIF('E5 — Validação'!$E182:$I182,"✔ Concluído")+COUNTIF('E5 — Validação'!$E182:$I182,"🔄 Em andamento")&gt;0,"Em andamento","Não iniciado"))))))))</f>
        <v/>
      </c>
      <c r="J200" s="234" t="str">
        <f>IF($B200="","",IF($I200&lt;&gt;"Concluído","Não iniciado",IF('E6 — Ajustes'!$N182="Não","N/A",IF(COUNTIF(Lançamentos!$B$3:$B$1001,$B200)=0,"Bloqueado",IF('E6 — Ajustes'!$D182="","Bloqueado",IF(COUNTIF('E6 — Ajustes'!$E182:$J182,"⛔ Bloqueado")&gt;0,"Bloqueado",IF(AND('E6 — Ajustes'!$E182="✔ Concluído",'E6 — Ajustes'!$F182="✔ Concluído",'E6 — Ajustes'!$G182="✔ Concluído",'E6 — Ajustes'!$H182="✔ Concluído",OR('E6 — Ajustes'!$I182="✔ Concluído",'E6 — Ajustes'!$I182="N/A"),'E6 — Ajustes'!$J182="✔ Concluído"),"Concluído",IF(COUNTIF('E6 — Ajustes'!$E182:$J182,"✔ Concluído")+COUNTIF('E6 — Ajustes'!$E182:$J182,"🔄 Em andamento")&gt;0,"Em andamento","Não iniciado"))))))))</f>
        <v/>
      </c>
      <c r="K200" s="234" t="str">
        <f>IF($B200="","",IF($I200&lt;&gt;"Concluído","Não iniciado",IF(AND($J200&lt;&gt;"Concluído",$J200&lt;&gt;"N/A"),"Não iniciado",IF(COUNTIF(Lançamentos!$B$3:$B$1001,$B200)=0,"Bloqueado",IF('E7 — Entrega'!$D182="","Bloqueado",IF(COUNTIF('E7 — Entrega'!$E182:$H182,"⛔ Bloqueado")&gt;0,"Bloqueado",IF(COUNTIF('E7 — Entrega'!$E182:$H182,"✔ Concluído")=4,"Concluído",IF(COUNTIF('E7 — Entrega'!$E182:$H182,"✔ Concluído")+COUNTIF('E7 — Entrega'!$E182:$H182,"🔄 Em andamento")&gt;0,"Em andamento","Não iniciado"))))))))</f>
        <v/>
      </c>
      <c r="L200" s="234" t="str">
        <f>IF($B200="","",IF($K200&lt;&gt;"Concluído","Não iniciado",IF(OR(COUNTIF('E08 — Estabilização Hypercare'!$E182:$J182,"⛔ Bloqueado")&gt;0,'E08 — Estabilização Hypercare'!$N182="⛔ Incidente Crítico — Encerramento Bloqueado",AND('E08 — Estabilização Hypercare'!$N182="🆕 Evolução Identificada — Nova Demanda Aberta",'E08 — Estabilização Hypercare'!$U182="")),"Bloqueado",IF(AND('E08 — Estabilização Hypercare'!$E182="✔ Concluído",'E08 — Estabilização Hypercare'!$F182="✔ Concluído",'E08 — Estabilização Hypercare'!$G182="✔ Concluído",OR('E08 — Estabilização Hypercare'!$H182="✔ Concluído",'E08 — Estabilização Hypercare'!$H182="N/A"),'E08 — Estabilização Hypercare'!$I182="✔ Concluído",'E08 — Estabilização Hypercare'!$J182="✔ Concluído",OR('E08 — Estabilização Hypercare'!$N182="✅ Estável — Demanda Encerrada",AND('E08 — Estabilização Hypercare'!$N182="🆕 Evolução Identificada — Nova Demanda Aberta",'E08 — Estabilização Hypercare'!$U182&lt;&gt;""))),"Concluído",IF(OR(COUNTIF('E08 — Estabilização Hypercare'!$E182:$J182,"✔ Concluído")&gt;0,COUNTIF('E08 — Estabilização Hypercare'!$E182:$J182,"🔄 Em andamento")&gt;0,'E08 — Estabilização Hypercare'!$N182&lt;&gt;""),"Em andamento","Não iniciado")))))</f>
        <v/>
      </c>
      <c r="M200" s="236" t="str" cm="1">
        <f t="array" ref="M200">IF(B200="","",_xlfn.IFS(E200&lt;&gt;"Concluído","E1 — Solicitação",F200&lt;&gt;"Concluído","E2 — Triagem",G200&lt;&gt;"Concluído","E3 — Levantamento ⚠",H200&lt;&gt;"Concluído","E4 — Execução",I200&lt;&gt;"Concluído","E5 — Validação ⚠",AND(J200&lt;&gt;"Concluído",J200&lt;&gt;"N/A"),"E6 — Ajustes",K200&lt;&gt;"Concluído","E7 — Entrega",L200&lt;&gt;"Concluído","E08 — Estabilização / Hypercare",TRUE,"✔ Fluxo concluído"))</f>
        <v/>
      </c>
      <c r="N200" s="237" t="str">
        <f t="shared" si="2"/>
        <v/>
      </c>
      <c r="O200" s="238"/>
    </row>
    <row r="201" spans="2:15" ht="15" customHeight="1" x14ac:dyDescent="0.35">
      <c r="B201" s="234" t="str">
        <f>IF(Lançamentos!$B178="","",Lançamentos!$B178)</f>
        <v/>
      </c>
      <c r="C201" s="235" t="str">
        <f>IF($B201="","",Lançamentos!$J178)</f>
        <v/>
      </c>
      <c r="D201" s="235" t="str">
        <f>IF($B201="","",Lançamentos!$H178)</f>
        <v/>
      </c>
      <c r="E201" s="234" t="str">
        <f>IF($B201="","",IF(COUNTIF(Lançamentos!$B$3:$B$1001,$B201)=0,"Bloqueado",IF(COUNTIF('E1 — Solicitação'!$E183:$L183,"⛔ Bloqueado")&gt;0,"Bloqueado",IF(COUNTIF('E1 — Solicitação'!$E183:$L183,"N/A")=8,"Bloqueado",IF(COUNTIF('E1 — Solicitação'!$E183:$L183,"✔ Concluído")+COUNTIF('E1 — Solicitação'!$E183:$L183,"N/A")=8,"Concluído",IF(COUNTIF('E1 — Solicitação'!$E183:$L183,"✔ Concluído")+COUNTIF('E1 — Solicitação'!$E183:$L183,"🔄 Em andamento")&gt;0,"Em andamento","Não iniciado"))))))</f>
        <v/>
      </c>
      <c r="F201" s="234" t="str">
        <f>IF($B201="","",IF($E201&lt;&gt;"Concluído","Não iniciado",IF(COUNTIF(Lançamentos!$B$3:$B$1001,$B201)=0,"Bloqueado",IF('E2 — Triagem'!$D183="","Bloqueado",IF(COUNTIF('E2 — Triagem'!$E183:$L183,"N/A")=8,"Bloqueado",IF(COUNTIF('E2 — Triagem'!$E183:$L183,"⛔ Bloqueado")&gt;0,"Bloqueado",IF(COUNTIF('E2 — Triagem'!$E183:$L183,"✔ Concluído")+COUNTIF('E2 — Triagem'!$E183:$L183,"N/A")=8,"Concluído",IF(COUNTIF('E2 — Triagem'!$E183:$L183,"✔ Concluído")+COUNTIF('E2 — Triagem'!$E183:$L183,"🔄 Em andamento")&gt;0,"Em andamento","Não iniciado"))))))))</f>
        <v/>
      </c>
      <c r="G201" s="234" t="str">
        <f>IF($B201="","",IF($F201&lt;&gt;"Concluído","Não iniciado",IF(COUNTIF(Lançamentos!$B$3:$B$1001,$B201)=0,"Bloqueado",IF('E3 — Levantamento'!$D183="","Bloqueado",IF(COUNTIF('E3 — Levantamento'!$E183:$I183,"⛔ Bloqueado")&gt;0,"Bloqueado",IF('E3 — Levantamento'!$I183="N/A","Bloqueado",IF(COUNTIF('E3 — Levantamento'!$E183:$I183,"✔ Concluído")=5,"Concluído",IF(COUNTIF('E3 — Levantamento'!$E183:$I183,"✔ Concluído")+COUNTIF('E3 — Levantamento'!$E183:$I183,"🔄 Em andamento")&gt;0,"Em andamento","Não iniciado"))))))))</f>
        <v/>
      </c>
      <c r="H201" s="234" t="str">
        <f>IF($B201="","",IF($G201&lt;&gt;"Concluído","Não iniciado",IF(COUNTIF(Lançamentos!$B$3:$B$1001,$B201)=0,"Bloqueado",IF('E4 — Execução'!$D183="","Bloqueado",IF(COUNTIF('E4 — Execução'!$E183:$K183,"⛔ Bloqueado")&gt;0,"Bloqueado",IF(COUNTIF('E4 — Execução'!$E183:$K183,"✔ Concluído")=7,"Concluído",IF(COUNTIF('E4 — Execução'!$E183:$K183,"✔ Concluído")+COUNTIF('E4 — Execução'!$E183:$K183,"🔄 Em andamento")&gt;0,"Em andamento","Não iniciado")))))))</f>
        <v/>
      </c>
      <c r="I201" s="234" t="str">
        <f>IF($B201="","",IF($H201&lt;&gt;"Concluído","Não iniciado",IF(COUNTIF(Lançamentos!$B$3:$B$1001,$B201)=0,"Bloqueado",IF('E5 — Validação'!$D183="","Bloqueado",IF(COUNTIF('E5 — Validação'!$E183:$I183,"⛔ Bloqueado")&gt;0,"Bloqueado",IF('E5 — Validação'!$I183="N/A","Bloqueado",IF(AND('E5 — Validação'!$E183="✔ Concluído",'E5 — Validação'!$F183="✔ Concluído",OR('E5 — Validação'!$G183="✔ Concluído",'E5 — Validação'!$G183="N/A"),'E5 — Validação'!$H183="✔ Concluído",'E5 — Validação'!$I183="✔ Concluído"),"Concluído",IF(COUNTIF('E5 — Validação'!$E183:$I183,"✔ Concluído")+COUNTIF('E5 — Validação'!$E183:$I183,"🔄 Em andamento")&gt;0,"Em andamento","Não iniciado"))))))))</f>
        <v/>
      </c>
      <c r="J201" s="234" t="str">
        <f>IF($B201="","",IF($I201&lt;&gt;"Concluído","Não iniciado",IF('E6 — Ajustes'!$N183="Não","N/A",IF(COUNTIF(Lançamentos!$B$3:$B$1001,$B201)=0,"Bloqueado",IF('E6 — Ajustes'!$D183="","Bloqueado",IF(COUNTIF('E6 — Ajustes'!$E183:$J183,"⛔ Bloqueado")&gt;0,"Bloqueado",IF(AND('E6 — Ajustes'!$E183="✔ Concluído",'E6 — Ajustes'!$F183="✔ Concluído",'E6 — Ajustes'!$G183="✔ Concluído",'E6 — Ajustes'!$H183="✔ Concluído",OR('E6 — Ajustes'!$I183="✔ Concluído",'E6 — Ajustes'!$I183="N/A"),'E6 — Ajustes'!$J183="✔ Concluído"),"Concluído",IF(COUNTIF('E6 — Ajustes'!$E183:$J183,"✔ Concluído")+COUNTIF('E6 — Ajustes'!$E183:$J183,"🔄 Em andamento")&gt;0,"Em andamento","Não iniciado"))))))))</f>
        <v/>
      </c>
      <c r="K201" s="234" t="str">
        <f>IF($B201="","",IF($I201&lt;&gt;"Concluído","Não iniciado",IF(AND($J201&lt;&gt;"Concluído",$J201&lt;&gt;"N/A"),"Não iniciado",IF(COUNTIF(Lançamentos!$B$3:$B$1001,$B201)=0,"Bloqueado",IF('E7 — Entrega'!$D183="","Bloqueado",IF(COUNTIF('E7 — Entrega'!$E183:$H183,"⛔ Bloqueado")&gt;0,"Bloqueado",IF(COUNTIF('E7 — Entrega'!$E183:$H183,"✔ Concluído")=4,"Concluído",IF(COUNTIF('E7 — Entrega'!$E183:$H183,"✔ Concluído")+COUNTIF('E7 — Entrega'!$E183:$H183,"🔄 Em andamento")&gt;0,"Em andamento","Não iniciado"))))))))</f>
        <v/>
      </c>
      <c r="L201" s="234" t="str">
        <f>IF($B201="","",IF($K201&lt;&gt;"Concluído","Não iniciado",IF(OR(COUNTIF('E08 — Estabilização Hypercare'!$E183:$J183,"⛔ Bloqueado")&gt;0,'E08 — Estabilização Hypercare'!$N183="⛔ Incidente Crítico — Encerramento Bloqueado",AND('E08 — Estabilização Hypercare'!$N183="🆕 Evolução Identificada — Nova Demanda Aberta",'E08 — Estabilização Hypercare'!$U183="")),"Bloqueado",IF(AND('E08 — Estabilização Hypercare'!$E183="✔ Concluído",'E08 — Estabilização Hypercare'!$F183="✔ Concluído",'E08 — Estabilização Hypercare'!$G183="✔ Concluído",OR('E08 — Estabilização Hypercare'!$H183="✔ Concluído",'E08 — Estabilização Hypercare'!$H183="N/A"),'E08 — Estabilização Hypercare'!$I183="✔ Concluído",'E08 — Estabilização Hypercare'!$J183="✔ Concluído",OR('E08 — Estabilização Hypercare'!$N183="✅ Estável — Demanda Encerrada",AND('E08 — Estabilização Hypercare'!$N183="🆕 Evolução Identificada — Nova Demanda Aberta",'E08 — Estabilização Hypercare'!$U183&lt;&gt;""))),"Concluído",IF(OR(COUNTIF('E08 — Estabilização Hypercare'!$E183:$J183,"✔ Concluído")&gt;0,COUNTIF('E08 — Estabilização Hypercare'!$E183:$J183,"🔄 Em andamento")&gt;0,'E08 — Estabilização Hypercare'!$N183&lt;&gt;""),"Em andamento","Não iniciado")))))</f>
        <v/>
      </c>
      <c r="M201" s="236" t="str" cm="1">
        <f t="array" ref="M201">IF(B201="","",_xlfn.IFS(E201&lt;&gt;"Concluído","E1 — Solicitação",F201&lt;&gt;"Concluído","E2 — Triagem",G201&lt;&gt;"Concluído","E3 — Levantamento ⚠",H201&lt;&gt;"Concluído","E4 — Execução",I201&lt;&gt;"Concluído","E5 — Validação ⚠",AND(J201&lt;&gt;"Concluído",J201&lt;&gt;"N/A"),"E6 — Ajustes",K201&lt;&gt;"Concluído","E7 — Entrega",L201&lt;&gt;"Concluído","E08 — Estabilização / Hypercare",TRUE,"✔ Fluxo concluído"))</f>
        <v/>
      </c>
      <c r="N201" s="237" t="str">
        <f t="shared" si="2"/>
        <v/>
      </c>
      <c r="O201" s="238"/>
    </row>
    <row r="202" spans="2:15" ht="15" customHeight="1" x14ac:dyDescent="0.35">
      <c r="B202" s="234" t="str">
        <f>IF(Lançamentos!$B179="","",Lançamentos!$B179)</f>
        <v/>
      </c>
      <c r="C202" s="235" t="str">
        <f>IF($B202="","",Lançamentos!$J179)</f>
        <v/>
      </c>
      <c r="D202" s="235" t="str">
        <f>IF($B202="","",Lançamentos!$H179)</f>
        <v/>
      </c>
      <c r="E202" s="234" t="str">
        <f>IF($B202="","",IF(COUNTIF(Lançamentos!$B$3:$B$1001,$B202)=0,"Bloqueado",IF(COUNTIF('E1 — Solicitação'!$E184:$L184,"⛔ Bloqueado")&gt;0,"Bloqueado",IF(COUNTIF('E1 — Solicitação'!$E184:$L184,"N/A")=8,"Bloqueado",IF(COUNTIF('E1 — Solicitação'!$E184:$L184,"✔ Concluído")+COUNTIF('E1 — Solicitação'!$E184:$L184,"N/A")=8,"Concluído",IF(COUNTIF('E1 — Solicitação'!$E184:$L184,"✔ Concluído")+COUNTIF('E1 — Solicitação'!$E184:$L184,"🔄 Em andamento")&gt;0,"Em andamento","Não iniciado"))))))</f>
        <v/>
      </c>
      <c r="F202" s="234" t="str">
        <f>IF($B202="","",IF($E202&lt;&gt;"Concluído","Não iniciado",IF(COUNTIF(Lançamentos!$B$3:$B$1001,$B202)=0,"Bloqueado",IF('E2 — Triagem'!$D184="","Bloqueado",IF(COUNTIF('E2 — Triagem'!$E184:$L184,"N/A")=8,"Bloqueado",IF(COUNTIF('E2 — Triagem'!$E184:$L184,"⛔ Bloqueado")&gt;0,"Bloqueado",IF(COUNTIF('E2 — Triagem'!$E184:$L184,"✔ Concluído")+COUNTIF('E2 — Triagem'!$E184:$L184,"N/A")=8,"Concluído",IF(COUNTIF('E2 — Triagem'!$E184:$L184,"✔ Concluído")+COUNTIF('E2 — Triagem'!$E184:$L184,"🔄 Em andamento")&gt;0,"Em andamento","Não iniciado"))))))))</f>
        <v/>
      </c>
      <c r="G202" s="234" t="str">
        <f>IF($B202="","",IF($F202&lt;&gt;"Concluído","Não iniciado",IF(COUNTIF(Lançamentos!$B$3:$B$1001,$B202)=0,"Bloqueado",IF('E3 — Levantamento'!$D184="","Bloqueado",IF(COUNTIF('E3 — Levantamento'!$E184:$I184,"⛔ Bloqueado")&gt;0,"Bloqueado",IF('E3 — Levantamento'!$I184="N/A","Bloqueado",IF(COUNTIF('E3 — Levantamento'!$E184:$I184,"✔ Concluído")=5,"Concluído",IF(COUNTIF('E3 — Levantamento'!$E184:$I184,"✔ Concluído")+COUNTIF('E3 — Levantamento'!$E184:$I184,"🔄 Em andamento")&gt;0,"Em andamento","Não iniciado"))))))))</f>
        <v/>
      </c>
      <c r="H202" s="234" t="str">
        <f>IF($B202="","",IF($G202&lt;&gt;"Concluído","Não iniciado",IF(COUNTIF(Lançamentos!$B$3:$B$1001,$B202)=0,"Bloqueado",IF('E4 — Execução'!$D184="","Bloqueado",IF(COUNTIF('E4 — Execução'!$E184:$K184,"⛔ Bloqueado")&gt;0,"Bloqueado",IF(COUNTIF('E4 — Execução'!$E184:$K184,"✔ Concluído")=7,"Concluído",IF(COUNTIF('E4 — Execução'!$E184:$K184,"✔ Concluído")+COUNTIF('E4 — Execução'!$E184:$K184,"🔄 Em andamento")&gt;0,"Em andamento","Não iniciado")))))))</f>
        <v/>
      </c>
      <c r="I202" s="234" t="str">
        <f>IF($B202="","",IF($H202&lt;&gt;"Concluído","Não iniciado",IF(COUNTIF(Lançamentos!$B$3:$B$1001,$B202)=0,"Bloqueado",IF('E5 — Validação'!$D184="","Bloqueado",IF(COUNTIF('E5 — Validação'!$E184:$I184,"⛔ Bloqueado")&gt;0,"Bloqueado",IF('E5 — Validação'!$I184="N/A","Bloqueado",IF(AND('E5 — Validação'!$E184="✔ Concluído",'E5 — Validação'!$F184="✔ Concluído",OR('E5 — Validação'!$G184="✔ Concluído",'E5 — Validação'!$G184="N/A"),'E5 — Validação'!$H184="✔ Concluído",'E5 — Validação'!$I184="✔ Concluído"),"Concluído",IF(COUNTIF('E5 — Validação'!$E184:$I184,"✔ Concluído")+COUNTIF('E5 — Validação'!$E184:$I184,"🔄 Em andamento")&gt;0,"Em andamento","Não iniciado"))))))))</f>
        <v/>
      </c>
      <c r="J202" s="234" t="str">
        <f>IF($B202="","",IF($I202&lt;&gt;"Concluído","Não iniciado",IF('E6 — Ajustes'!$N184="Não","N/A",IF(COUNTIF(Lançamentos!$B$3:$B$1001,$B202)=0,"Bloqueado",IF('E6 — Ajustes'!$D184="","Bloqueado",IF(COUNTIF('E6 — Ajustes'!$E184:$J184,"⛔ Bloqueado")&gt;0,"Bloqueado",IF(AND('E6 — Ajustes'!$E184="✔ Concluído",'E6 — Ajustes'!$F184="✔ Concluído",'E6 — Ajustes'!$G184="✔ Concluído",'E6 — Ajustes'!$H184="✔ Concluído",OR('E6 — Ajustes'!$I184="✔ Concluído",'E6 — Ajustes'!$I184="N/A"),'E6 — Ajustes'!$J184="✔ Concluído"),"Concluído",IF(COUNTIF('E6 — Ajustes'!$E184:$J184,"✔ Concluído")+COUNTIF('E6 — Ajustes'!$E184:$J184,"🔄 Em andamento")&gt;0,"Em andamento","Não iniciado"))))))))</f>
        <v/>
      </c>
      <c r="K202" s="234" t="str">
        <f>IF($B202="","",IF($I202&lt;&gt;"Concluído","Não iniciado",IF(AND($J202&lt;&gt;"Concluído",$J202&lt;&gt;"N/A"),"Não iniciado",IF(COUNTIF(Lançamentos!$B$3:$B$1001,$B202)=0,"Bloqueado",IF('E7 — Entrega'!$D184="","Bloqueado",IF(COUNTIF('E7 — Entrega'!$E184:$H184,"⛔ Bloqueado")&gt;0,"Bloqueado",IF(COUNTIF('E7 — Entrega'!$E184:$H184,"✔ Concluído")=4,"Concluído",IF(COUNTIF('E7 — Entrega'!$E184:$H184,"✔ Concluído")+COUNTIF('E7 — Entrega'!$E184:$H184,"🔄 Em andamento")&gt;0,"Em andamento","Não iniciado"))))))))</f>
        <v/>
      </c>
      <c r="L202" s="234" t="str">
        <f>IF($B202="","",IF($K202&lt;&gt;"Concluído","Não iniciado",IF(OR(COUNTIF('E08 — Estabilização Hypercare'!$E184:$J184,"⛔ Bloqueado")&gt;0,'E08 — Estabilização Hypercare'!$N184="⛔ Incidente Crítico — Encerramento Bloqueado",AND('E08 — Estabilização Hypercare'!$N184="🆕 Evolução Identificada — Nova Demanda Aberta",'E08 — Estabilização Hypercare'!$U184="")),"Bloqueado",IF(AND('E08 — Estabilização Hypercare'!$E184="✔ Concluído",'E08 — Estabilização Hypercare'!$F184="✔ Concluído",'E08 — Estabilização Hypercare'!$G184="✔ Concluído",OR('E08 — Estabilização Hypercare'!$H184="✔ Concluído",'E08 — Estabilização Hypercare'!$H184="N/A"),'E08 — Estabilização Hypercare'!$I184="✔ Concluído",'E08 — Estabilização Hypercare'!$J184="✔ Concluído",OR('E08 — Estabilização Hypercare'!$N184="✅ Estável — Demanda Encerrada",AND('E08 — Estabilização Hypercare'!$N184="🆕 Evolução Identificada — Nova Demanda Aberta",'E08 — Estabilização Hypercare'!$U184&lt;&gt;""))),"Concluído",IF(OR(COUNTIF('E08 — Estabilização Hypercare'!$E184:$J184,"✔ Concluído")&gt;0,COUNTIF('E08 — Estabilização Hypercare'!$E184:$J184,"🔄 Em andamento")&gt;0,'E08 — Estabilização Hypercare'!$N184&lt;&gt;""),"Em andamento","Não iniciado")))))</f>
        <v/>
      </c>
      <c r="M202" s="236" t="str" cm="1">
        <f t="array" ref="M202">IF(B202="","",_xlfn.IFS(E202&lt;&gt;"Concluído","E1 — Solicitação",F202&lt;&gt;"Concluído","E2 — Triagem",G202&lt;&gt;"Concluído","E3 — Levantamento ⚠",H202&lt;&gt;"Concluído","E4 — Execução",I202&lt;&gt;"Concluído","E5 — Validação ⚠",AND(J202&lt;&gt;"Concluído",J202&lt;&gt;"N/A"),"E6 — Ajustes",K202&lt;&gt;"Concluído","E7 — Entrega",L202&lt;&gt;"Concluído","E08 — Estabilização / Hypercare",TRUE,"✔ Fluxo concluído"))</f>
        <v/>
      </c>
      <c r="N202" s="237" t="str">
        <f t="shared" si="2"/>
        <v/>
      </c>
      <c r="O202" s="238"/>
    </row>
    <row r="203" spans="2:15" ht="15" customHeight="1" x14ac:dyDescent="0.35">
      <c r="B203" s="234" t="str">
        <f>IF(Lançamentos!$B180="","",Lançamentos!$B180)</f>
        <v/>
      </c>
      <c r="C203" s="235" t="str">
        <f>IF($B203="","",Lançamentos!$J180)</f>
        <v/>
      </c>
      <c r="D203" s="235" t="str">
        <f>IF($B203="","",Lançamentos!$H180)</f>
        <v/>
      </c>
      <c r="E203" s="234" t="str">
        <f>IF($B203="","",IF(COUNTIF(Lançamentos!$B$3:$B$1001,$B203)=0,"Bloqueado",IF(COUNTIF('E1 — Solicitação'!$E185:$L185,"⛔ Bloqueado")&gt;0,"Bloqueado",IF(COUNTIF('E1 — Solicitação'!$E185:$L185,"N/A")=8,"Bloqueado",IF(COUNTIF('E1 — Solicitação'!$E185:$L185,"✔ Concluído")+COUNTIF('E1 — Solicitação'!$E185:$L185,"N/A")=8,"Concluído",IF(COUNTIF('E1 — Solicitação'!$E185:$L185,"✔ Concluído")+COUNTIF('E1 — Solicitação'!$E185:$L185,"🔄 Em andamento")&gt;0,"Em andamento","Não iniciado"))))))</f>
        <v/>
      </c>
      <c r="F203" s="234" t="str">
        <f>IF($B203="","",IF($E203&lt;&gt;"Concluído","Não iniciado",IF(COUNTIF(Lançamentos!$B$3:$B$1001,$B203)=0,"Bloqueado",IF('E2 — Triagem'!$D185="","Bloqueado",IF(COUNTIF('E2 — Triagem'!$E185:$L185,"N/A")=8,"Bloqueado",IF(COUNTIF('E2 — Triagem'!$E185:$L185,"⛔ Bloqueado")&gt;0,"Bloqueado",IF(COUNTIF('E2 — Triagem'!$E185:$L185,"✔ Concluído")+COUNTIF('E2 — Triagem'!$E185:$L185,"N/A")=8,"Concluído",IF(COUNTIF('E2 — Triagem'!$E185:$L185,"✔ Concluído")+COUNTIF('E2 — Triagem'!$E185:$L185,"🔄 Em andamento")&gt;0,"Em andamento","Não iniciado"))))))))</f>
        <v/>
      </c>
      <c r="G203" s="234" t="str">
        <f>IF($B203="","",IF($F203&lt;&gt;"Concluído","Não iniciado",IF(COUNTIF(Lançamentos!$B$3:$B$1001,$B203)=0,"Bloqueado",IF('E3 — Levantamento'!$D185="","Bloqueado",IF(COUNTIF('E3 — Levantamento'!$E185:$I185,"⛔ Bloqueado")&gt;0,"Bloqueado",IF('E3 — Levantamento'!$I185="N/A","Bloqueado",IF(COUNTIF('E3 — Levantamento'!$E185:$I185,"✔ Concluído")=5,"Concluído",IF(COUNTIF('E3 — Levantamento'!$E185:$I185,"✔ Concluído")+COUNTIF('E3 — Levantamento'!$E185:$I185,"🔄 Em andamento")&gt;0,"Em andamento","Não iniciado"))))))))</f>
        <v/>
      </c>
      <c r="H203" s="234" t="str">
        <f>IF($B203="","",IF($G203&lt;&gt;"Concluído","Não iniciado",IF(COUNTIF(Lançamentos!$B$3:$B$1001,$B203)=0,"Bloqueado",IF('E4 — Execução'!$D185="","Bloqueado",IF(COUNTIF('E4 — Execução'!$E185:$K185,"⛔ Bloqueado")&gt;0,"Bloqueado",IF(COUNTIF('E4 — Execução'!$E185:$K185,"✔ Concluído")=7,"Concluído",IF(COUNTIF('E4 — Execução'!$E185:$K185,"✔ Concluído")+COUNTIF('E4 — Execução'!$E185:$K185,"🔄 Em andamento")&gt;0,"Em andamento","Não iniciado")))))))</f>
        <v/>
      </c>
      <c r="I203" s="234" t="str">
        <f>IF($B203="","",IF($H203&lt;&gt;"Concluído","Não iniciado",IF(COUNTIF(Lançamentos!$B$3:$B$1001,$B203)=0,"Bloqueado",IF('E5 — Validação'!$D185="","Bloqueado",IF(COUNTIF('E5 — Validação'!$E185:$I185,"⛔ Bloqueado")&gt;0,"Bloqueado",IF('E5 — Validação'!$I185="N/A","Bloqueado",IF(AND('E5 — Validação'!$E185="✔ Concluído",'E5 — Validação'!$F185="✔ Concluído",OR('E5 — Validação'!$G185="✔ Concluído",'E5 — Validação'!$G185="N/A"),'E5 — Validação'!$H185="✔ Concluído",'E5 — Validação'!$I185="✔ Concluído"),"Concluído",IF(COUNTIF('E5 — Validação'!$E185:$I185,"✔ Concluído")+COUNTIF('E5 — Validação'!$E185:$I185,"🔄 Em andamento")&gt;0,"Em andamento","Não iniciado"))))))))</f>
        <v/>
      </c>
      <c r="J203" s="234" t="str">
        <f>IF($B203="","",IF($I203&lt;&gt;"Concluído","Não iniciado",IF('E6 — Ajustes'!$N185="Não","N/A",IF(COUNTIF(Lançamentos!$B$3:$B$1001,$B203)=0,"Bloqueado",IF('E6 — Ajustes'!$D185="","Bloqueado",IF(COUNTIF('E6 — Ajustes'!$E185:$J185,"⛔ Bloqueado")&gt;0,"Bloqueado",IF(AND('E6 — Ajustes'!$E185="✔ Concluído",'E6 — Ajustes'!$F185="✔ Concluído",'E6 — Ajustes'!$G185="✔ Concluído",'E6 — Ajustes'!$H185="✔ Concluído",OR('E6 — Ajustes'!$I185="✔ Concluído",'E6 — Ajustes'!$I185="N/A"),'E6 — Ajustes'!$J185="✔ Concluído"),"Concluído",IF(COUNTIF('E6 — Ajustes'!$E185:$J185,"✔ Concluído")+COUNTIF('E6 — Ajustes'!$E185:$J185,"🔄 Em andamento")&gt;0,"Em andamento","Não iniciado"))))))))</f>
        <v/>
      </c>
      <c r="K203" s="234" t="str">
        <f>IF($B203="","",IF($I203&lt;&gt;"Concluído","Não iniciado",IF(AND($J203&lt;&gt;"Concluído",$J203&lt;&gt;"N/A"),"Não iniciado",IF(COUNTIF(Lançamentos!$B$3:$B$1001,$B203)=0,"Bloqueado",IF('E7 — Entrega'!$D185="","Bloqueado",IF(COUNTIF('E7 — Entrega'!$E185:$H185,"⛔ Bloqueado")&gt;0,"Bloqueado",IF(COUNTIF('E7 — Entrega'!$E185:$H185,"✔ Concluído")=4,"Concluído",IF(COUNTIF('E7 — Entrega'!$E185:$H185,"✔ Concluído")+COUNTIF('E7 — Entrega'!$E185:$H185,"🔄 Em andamento")&gt;0,"Em andamento","Não iniciado"))))))))</f>
        <v/>
      </c>
      <c r="L203" s="234" t="str">
        <f>IF($B203="","",IF($K203&lt;&gt;"Concluído","Não iniciado",IF(OR(COUNTIF('E08 — Estabilização Hypercare'!$E185:$J185,"⛔ Bloqueado")&gt;0,'E08 — Estabilização Hypercare'!$N185="⛔ Incidente Crítico — Encerramento Bloqueado",AND('E08 — Estabilização Hypercare'!$N185="🆕 Evolução Identificada — Nova Demanda Aberta",'E08 — Estabilização Hypercare'!$U185="")),"Bloqueado",IF(AND('E08 — Estabilização Hypercare'!$E185="✔ Concluído",'E08 — Estabilização Hypercare'!$F185="✔ Concluído",'E08 — Estabilização Hypercare'!$G185="✔ Concluído",OR('E08 — Estabilização Hypercare'!$H185="✔ Concluído",'E08 — Estabilização Hypercare'!$H185="N/A"),'E08 — Estabilização Hypercare'!$I185="✔ Concluído",'E08 — Estabilização Hypercare'!$J185="✔ Concluído",OR('E08 — Estabilização Hypercare'!$N185="✅ Estável — Demanda Encerrada",AND('E08 — Estabilização Hypercare'!$N185="🆕 Evolução Identificada — Nova Demanda Aberta",'E08 — Estabilização Hypercare'!$U185&lt;&gt;""))),"Concluído",IF(OR(COUNTIF('E08 — Estabilização Hypercare'!$E185:$J185,"✔ Concluído")&gt;0,COUNTIF('E08 — Estabilização Hypercare'!$E185:$J185,"🔄 Em andamento")&gt;0,'E08 — Estabilização Hypercare'!$N185&lt;&gt;""),"Em andamento","Não iniciado")))))</f>
        <v/>
      </c>
      <c r="M203" s="236" t="str" cm="1">
        <f t="array" ref="M203">IF(B203="","",_xlfn.IFS(E203&lt;&gt;"Concluído","E1 — Solicitação",F203&lt;&gt;"Concluído","E2 — Triagem",G203&lt;&gt;"Concluído","E3 — Levantamento ⚠",H203&lt;&gt;"Concluído","E4 — Execução",I203&lt;&gt;"Concluído","E5 — Validação ⚠",AND(J203&lt;&gt;"Concluído",J203&lt;&gt;"N/A"),"E6 — Ajustes",K203&lt;&gt;"Concluído","E7 — Entrega",L203&lt;&gt;"Concluído","E08 — Estabilização / Hypercare",TRUE,"✔ Fluxo concluído"))</f>
        <v/>
      </c>
      <c r="N203" s="237" t="str">
        <f t="shared" si="2"/>
        <v/>
      </c>
      <c r="O203" s="238"/>
    </row>
    <row r="204" spans="2:15" ht="15" customHeight="1" x14ac:dyDescent="0.35">
      <c r="B204" s="234" t="str">
        <f>IF(Lançamentos!$B181="","",Lançamentos!$B181)</f>
        <v/>
      </c>
      <c r="C204" s="235" t="str">
        <f>IF($B204="","",Lançamentos!$J181)</f>
        <v/>
      </c>
      <c r="D204" s="235" t="str">
        <f>IF($B204="","",Lançamentos!$H181)</f>
        <v/>
      </c>
      <c r="E204" s="234" t="str">
        <f>IF($B204="","",IF(COUNTIF(Lançamentos!$B$3:$B$1001,$B204)=0,"Bloqueado",IF(COUNTIF('E1 — Solicitação'!$E186:$L186,"⛔ Bloqueado")&gt;0,"Bloqueado",IF(COUNTIF('E1 — Solicitação'!$E186:$L186,"N/A")=8,"Bloqueado",IF(COUNTIF('E1 — Solicitação'!$E186:$L186,"✔ Concluído")+COUNTIF('E1 — Solicitação'!$E186:$L186,"N/A")=8,"Concluído",IF(COUNTIF('E1 — Solicitação'!$E186:$L186,"✔ Concluído")+COUNTIF('E1 — Solicitação'!$E186:$L186,"🔄 Em andamento")&gt;0,"Em andamento","Não iniciado"))))))</f>
        <v/>
      </c>
      <c r="F204" s="234" t="str">
        <f>IF($B204="","",IF($E204&lt;&gt;"Concluído","Não iniciado",IF(COUNTIF(Lançamentos!$B$3:$B$1001,$B204)=0,"Bloqueado",IF('E2 — Triagem'!$D186="","Bloqueado",IF(COUNTIF('E2 — Triagem'!$E186:$L186,"N/A")=8,"Bloqueado",IF(COUNTIF('E2 — Triagem'!$E186:$L186,"⛔ Bloqueado")&gt;0,"Bloqueado",IF(COUNTIF('E2 — Triagem'!$E186:$L186,"✔ Concluído")+COUNTIF('E2 — Triagem'!$E186:$L186,"N/A")=8,"Concluído",IF(COUNTIF('E2 — Triagem'!$E186:$L186,"✔ Concluído")+COUNTIF('E2 — Triagem'!$E186:$L186,"🔄 Em andamento")&gt;0,"Em andamento","Não iniciado"))))))))</f>
        <v/>
      </c>
      <c r="G204" s="234" t="str">
        <f>IF($B204="","",IF($F204&lt;&gt;"Concluído","Não iniciado",IF(COUNTIF(Lançamentos!$B$3:$B$1001,$B204)=0,"Bloqueado",IF('E3 — Levantamento'!$D186="","Bloqueado",IF(COUNTIF('E3 — Levantamento'!$E186:$I186,"⛔ Bloqueado")&gt;0,"Bloqueado",IF('E3 — Levantamento'!$I186="N/A","Bloqueado",IF(COUNTIF('E3 — Levantamento'!$E186:$I186,"✔ Concluído")=5,"Concluído",IF(COUNTIF('E3 — Levantamento'!$E186:$I186,"✔ Concluído")+COUNTIF('E3 — Levantamento'!$E186:$I186,"🔄 Em andamento")&gt;0,"Em andamento","Não iniciado"))))))))</f>
        <v/>
      </c>
      <c r="H204" s="234" t="str">
        <f>IF($B204="","",IF($G204&lt;&gt;"Concluído","Não iniciado",IF(COUNTIF(Lançamentos!$B$3:$B$1001,$B204)=0,"Bloqueado",IF('E4 — Execução'!$D186="","Bloqueado",IF(COUNTIF('E4 — Execução'!$E186:$K186,"⛔ Bloqueado")&gt;0,"Bloqueado",IF(COUNTIF('E4 — Execução'!$E186:$K186,"✔ Concluído")=7,"Concluído",IF(COUNTIF('E4 — Execução'!$E186:$K186,"✔ Concluído")+COUNTIF('E4 — Execução'!$E186:$K186,"🔄 Em andamento")&gt;0,"Em andamento","Não iniciado")))))))</f>
        <v/>
      </c>
      <c r="I204" s="234" t="str">
        <f>IF($B204="","",IF($H204&lt;&gt;"Concluído","Não iniciado",IF(COUNTIF(Lançamentos!$B$3:$B$1001,$B204)=0,"Bloqueado",IF('E5 — Validação'!$D186="","Bloqueado",IF(COUNTIF('E5 — Validação'!$E186:$I186,"⛔ Bloqueado")&gt;0,"Bloqueado",IF('E5 — Validação'!$I186="N/A","Bloqueado",IF(AND('E5 — Validação'!$E186="✔ Concluído",'E5 — Validação'!$F186="✔ Concluído",OR('E5 — Validação'!$G186="✔ Concluído",'E5 — Validação'!$G186="N/A"),'E5 — Validação'!$H186="✔ Concluído",'E5 — Validação'!$I186="✔ Concluído"),"Concluído",IF(COUNTIF('E5 — Validação'!$E186:$I186,"✔ Concluído")+COUNTIF('E5 — Validação'!$E186:$I186,"🔄 Em andamento")&gt;0,"Em andamento","Não iniciado"))))))))</f>
        <v/>
      </c>
      <c r="J204" s="234" t="str">
        <f>IF($B204="","",IF($I204&lt;&gt;"Concluído","Não iniciado",IF('E6 — Ajustes'!$N186="Não","N/A",IF(COUNTIF(Lançamentos!$B$3:$B$1001,$B204)=0,"Bloqueado",IF('E6 — Ajustes'!$D186="","Bloqueado",IF(COUNTIF('E6 — Ajustes'!$E186:$J186,"⛔ Bloqueado")&gt;0,"Bloqueado",IF(AND('E6 — Ajustes'!$E186="✔ Concluído",'E6 — Ajustes'!$F186="✔ Concluído",'E6 — Ajustes'!$G186="✔ Concluído",'E6 — Ajustes'!$H186="✔ Concluído",OR('E6 — Ajustes'!$I186="✔ Concluído",'E6 — Ajustes'!$I186="N/A"),'E6 — Ajustes'!$J186="✔ Concluído"),"Concluído",IF(COUNTIF('E6 — Ajustes'!$E186:$J186,"✔ Concluído")+COUNTIF('E6 — Ajustes'!$E186:$J186,"🔄 Em andamento")&gt;0,"Em andamento","Não iniciado"))))))))</f>
        <v/>
      </c>
      <c r="K204" s="234" t="str">
        <f>IF($B204="","",IF($I204&lt;&gt;"Concluído","Não iniciado",IF(AND($J204&lt;&gt;"Concluído",$J204&lt;&gt;"N/A"),"Não iniciado",IF(COUNTIF(Lançamentos!$B$3:$B$1001,$B204)=0,"Bloqueado",IF('E7 — Entrega'!$D186="","Bloqueado",IF(COUNTIF('E7 — Entrega'!$E186:$H186,"⛔ Bloqueado")&gt;0,"Bloqueado",IF(COUNTIF('E7 — Entrega'!$E186:$H186,"✔ Concluído")=4,"Concluído",IF(COUNTIF('E7 — Entrega'!$E186:$H186,"✔ Concluído")+COUNTIF('E7 — Entrega'!$E186:$H186,"🔄 Em andamento")&gt;0,"Em andamento","Não iniciado"))))))))</f>
        <v/>
      </c>
      <c r="L204" s="234" t="str">
        <f>IF($B204="","",IF($K204&lt;&gt;"Concluído","Não iniciado",IF(OR(COUNTIF('E08 — Estabilização Hypercare'!$E186:$J186,"⛔ Bloqueado")&gt;0,'E08 — Estabilização Hypercare'!$N186="⛔ Incidente Crítico — Encerramento Bloqueado",AND('E08 — Estabilização Hypercare'!$N186="🆕 Evolução Identificada — Nova Demanda Aberta",'E08 — Estabilização Hypercare'!$U186="")),"Bloqueado",IF(AND('E08 — Estabilização Hypercare'!$E186="✔ Concluído",'E08 — Estabilização Hypercare'!$F186="✔ Concluído",'E08 — Estabilização Hypercare'!$G186="✔ Concluído",OR('E08 — Estabilização Hypercare'!$H186="✔ Concluído",'E08 — Estabilização Hypercare'!$H186="N/A"),'E08 — Estabilização Hypercare'!$I186="✔ Concluído",'E08 — Estabilização Hypercare'!$J186="✔ Concluído",OR('E08 — Estabilização Hypercare'!$N186="✅ Estável — Demanda Encerrada",AND('E08 — Estabilização Hypercare'!$N186="🆕 Evolução Identificada — Nova Demanda Aberta",'E08 — Estabilização Hypercare'!$U186&lt;&gt;""))),"Concluído",IF(OR(COUNTIF('E08 — Estabilização Hypercare'!$E186:$J186,"✔ Concluído")&gt;0,COUNTIF('E08 — Estabilização Hypercare'!$E186:$J186,"🔄 Em andamento")&gt;0,'E08 — Estabilização Hypercare'!$N186&lt;&gt;""),"Em andamento","Não iniciado")))))</f>
        <v/>
      </c>
      <c r="M204" s="236" t="str" cm="1">
        <f t="array" ref="M204">IF(B204="","",_xlfn.IFS(E204&lt;&gt;"Concluído","E1 — Solicitação",F204&lt;&gt;"Concluído","E2 — Triagem",G204&lt;&gt;"Concluído","E3 — Levantamento ⚠",H204&lt;&gt;"Concluído","E4 — Execução",I204&lt;&gt;"Concluído","E5 — Validação ⚠",AND(J204&lt;&gt;"Concluído",J204&lt;&gt;"N/A"),"E6 — Ajustes",K204&lt;&gt;"Concluído","E7 — Entrega",L204&lt;&gt;"Concluído","E08 — Estabilização / Hypercare",TRUE,"✔ Fluxo concluído"))</f>
        <v/>
      </c>
      <c r="N204" s="237" t="str">
        <f t="shared" si="2"/>
        <v/>
      </c>
      <c r="O204" s="238"/>
    </row>
    <row r="205" spans="2:15" ht="15" customHeight="1" x14ac:dyDescent="0.35">
      <c r="B205" s="234" t="str">
        <f>IF(Lançamentos!$B182="","",Lançamentos!$B182)</f>
        <v/>
      </c>
      <c r="C205" s="235" t="str">
        <f>IF($B205="","",Lançamentos!$J182)</f>
        <v/>
      </c>
      <c r="D205" s="235" t="str">
        <f>IF($B205="","",Lançamentos!$H182)</f>
        <v/>
      </c>
      <c r="E205" s="234" t="str">
        <f>IF($B205="","",IF(COUNTIF(Lançamentos!$B$3:$B$1001,$B205)=0,"Bloqueado",IF(COUNTIF('E1 — Solicitação'!$E187:$L187,"⛔ Bloqueado")&gt;0,"Bloqueado",IF(COUNTIF('E1 — Solicitação'!$E187:$L187,"N/A")=8,"Bloqueado",IF(COUNTIF('E1 — Solicitação'!$E187:$L187,"✔ Concluído")+COUNTIF('E1 — Solicitação'!$E187:$L187,"N/A")=8,"Concluído",IF(COUNTIF('E1 — Solicitação'!$E187:$L187,"✔ Concluído")+COUNTIF('E1 — Solicitação'!$E187:$L187,"🔄 Em andamento")&gt;0,"Em andamento","Não iniciado"))))))</f>
        <v/>
      </c>
      <c r="F205" s="234" t="str">
        <f>IF($B205="","",IF($E205&lt;&gt;"Concluído","Não iniciado",IF(COUNTIF(Lançamentos!$B$3:$B$1001,$B205)=0,"Bloqueado",IF('E2 — Triagem'!$D187="","Bloqueado",IF(COUNTIF('E2 — Triagem'!$E187:$L187,"N/A")=8,"Bloqueado",IF(COUNTIF('E2 — Triagem'!$E187:$L187,"⛔ Bloqueado")&gt;0,"Bloqueado",IF(COUNTIF('E2 — Triagem'!$E187:$L187,"✔ Concluído")+COUNTIF('E2 — Triagem'!$E187:$L187,"N/A")=8,"Concluído",IF(COUNTIF('E2 — Triagem'!$E187:$L187,"✔ Concluído")+COUNTIF('E2 — Triagem'!$E187:$L187,"🔄 Em andamento")&gt;0,"Em andamento","Não iniciado"))))))))</f>
        <v/>
      </c>
      <c r="G205" s="234" t="str">
        <f>IF($B205="","",IF($F205&lt;&gt;"Concluído","Não iniciado",IF(COUNTIF(Lançamentos!$B$3:$B$1001,$B205)=0,"Bloqueado",IF('E3 — Levantamento'!$D187="","Bloqueado",IF(COUNTIF('E3 — Levantamento'!$E187:$I187,"⛔ Bloqueado")&gt;0,"Bloqueado",IF('E3 — Levantamento'!$I187="N/A","Bloqueado",IF(COUNTIF('E3 — Levantamento'!$E187:$I187,"✔ Concluído")=5,"Concluído",IF(COUNTIF('E3 — Levantamento'!$E187:$I187,"✔ Concluído")+COUNTIF('E3 — Levantamento'!$E187:$I187,"🔄 Em andamento")&gt;0,"Em andamento","Não iniciado"))))))))</f>
        <v/>
      </c>
      <c r="H205" s="234" t="str">
        <f>IF($B205="","",IF($G205&lt;&gt;"Concluído","Não iniciado",IF(COUNTIF(Lançamentos!$B$3:$B$1001,$B205)=0,"Bloqueado",IF('E4 — Execução'!$D187="","Bloqueado",IF(COUNTIF('E4 — Execução'!$E187:$K187,"⛔ Bloqueado")&gt;0,"Bloqueado",IF(COUNTIF('E4 — Execução'!$E187:$K187,"✔ Concluído")=7,"Concluído",IF(COUNTIF('E4 — Execução'!$E187:$K187,"✔ Concluído")+COUNTIF('E4 — Execução'!$E187:$K187,"🔄 Em andamento")&gt;0,"Em andamento","Não iniciado")))))))</f>
        <v/>
      </c>
      <c r="I205" s="234" t="str">
        <f>IF($B205="","",IF($H205&lt;&gt;"Concluído","Não iniciado",IF(COUNTIF(Lançamentos!$B$3:$B$1001,$B205)=0,"Bloqueado",IF('E5 — Validação'!$D187="","Bloqueado",IF(COUNTIF('E5 — Validação'!$E187:$I187,"⛔ Bloqueado")&gt;0,"Bloqueado",IF('E5 — Validação'!$I187="N/A","Bloqueado",IF(AND('E5 — Validação'!$E187="✔ Concluído",'E5 — Validação'!$F187="✔ Concluído",OR('E5 — Validação'!$G187="✔ Concluído",'E5 — Validação'!$G187="N/A"),'E5 — Validação'!$H187="✔ Concluído",'E5 — Validação'!$I187="✔ Concluído"),"Concluído",IF(COUNTIF('E5 — Validação'!$E187:$I187,"✔ Concluído")+COUNTIF('E5 — Validação'!$E187:$I187,"🔄 Em andamento")&gt;0,"Em andamento","Não iniciado"))))))))</f>
        <v/>
      </c>
      <c r="J205" s="234" t="str">
        <f>IF($B205="","",IF($I205&lt;&gt;"Concluído","Não iniciado",IF('E6 — Ajustes'!$N187="Não","N/A",IF(COUNTIF(Lançamentos!$B$3:$B$1001,$B205)=0,"Bloqueado",IF('E6 — Ajustes'!$D187="","Bloqueado",IF(COUNTIF('E6 — Ajustes'!$E187:$J187,"⛔ Bloqueado")&gt;0,"Bloqueado",IF(AND('E6 — Ajustes'!$E187="✔ Concluído",'E6 — Ajustes'!$F187="✔ Concluído",'E6 — Ajustes'!$G187="✔ Concluído",'E6 — Ajustes'!$H187="✔ Concluído",OR('E6 — Ajustes'!$I187="✔ Concluído",'E6 — Ajustes'!$I187="N/A"),'E6 — Ajustes'!$J187="✔ Concluído"),"Concluído",IF(COUNTIF('E6 — Ajustes'!$E187:$J187,"✔ Concluído")+COUNTIF('E6 — Ajustes'!$E187:$J187,"🔄 Em andamento")&gt;0,"Em andamento","Não iniciado"))))))))</f>
        <v/>
      </c>
      <c r="K205" s="234" t="str">
        <f>IF($B205="","",IF($I205&lt;&gt;"Concluído","Não iniciado",IF(AND($J205&lt;&gt;"Concluído",$J205&lt;&gt;"N/A"),"Não iniciado",IF(COUNTIF(Lançamentos!$B$3:$B$1001,$B205)=0,"Bloqueado",IF('E7 — Entrega'!$D187="","Bloqueado",IF(COUNTIF('E7 — Entrega'!$E187:$H187,"⛔ Bloqueado")&gt;0,"Bloqueado",IF(COUNTIF('E7 — Entrega'!$E187:$H187,"✔ Concluído")=4,"Concluído",IF(COUNTIF('E7 — Entrega'!$E187:$H187,"✔ Concluído")+COUNTIF('E7 — Entrega'!$E187:$H187,"🔄 Em andamento")&gt;0,"Em andamento","Não iniciado"))))))))</f>
        <v/>
      </c>
      <c r="L205" s="234" t="str">
        <f>IF($B205="","",IF($K205&lt;&gt;"Concluído","Não iniciado",IF(OR(COUNTIF('E08 — Estabilização Hypercare'!$E187:$J187,"⛔ Bloqueado")&gt;0,'E08 — Estabilização Hypercare'!$N187="⛔ Incidente Crítico — Encerramento Bloqueado",AND('E08 — Estabilização Hypercare'!$N187="🆕 Evolução Identificada — Nova Demanda Aberta",'E08 — Estabilização Hypercare'!$U187="")),"Bloqueado",IF(AND('E08 — Estabilização Hypercare'!$E187="✔ Concluído",'E08 — Estabilização Hypercare'!$F187="✔ Concluído",'E08 — Estabilização Hypercare'!$G187="✔ Concluído",OR('E08 — Estabilização Hypercare'!$H187="✔ Concluído",'E08 — Estabilização Hypercare'!$H187="N/A"),'E08 — Estabilização Hypercare'!$I187="✔ Concluído",'E08 — Estabilização Hypercare'!$J187="✔ Concluído",OR('E08 — Estabilização Hypercare'!$N187="✅ Estável — Demanda Encerrada",AND('E08 — Estabilização Hypercare'!$N187="🆕 Evolução Identificada — Nova Demanda Aberta",'E08 — Estabilização Hypercare'!$U187&lt;&gt;""))),"Concluído",IF(OR(COUNTIF('E08 — Estabilização Hypercare'!$E187:$J187,"✔ Concluído")&gt;0,COUNTIF('E08 — Estabilização Hypercare'!$E187:$J187,"🔄 Em andamento")&gt;0,'E08 — Estabilização Hypercare'!$N187&lt;&gt;""),"Em andamento","Não iniciado")))))</f>
        <v/>
      </c>
      <c r="M205" s="236" t="str" cm="1">
        <f t="array" ref="M205">IF(B205="","",_xlfn.IFS(E205&lt;&gt;"Concluído","E1 — Solicitação",F205&lt;&gt;"Concluído","E2 — Triagem",G205&lt;&gt;"Concluído","E3 — Levantamento ⚠",H205&lt;&gt;"Concluído","E4 — Execução",I205&lt;&gt;"Concluído","E5 — Validação ⚠",AND(J205&lt;&gt;"Concluído",J205&lt;&gt;"N/A"),"E6 — Ajustes",K205&lt;&gt;"Concluído","E7 — Entrega",L205&lt;&gt;"Concluído","E08 — Estabilização / Hypercare",TRUE,"✔ Fluxo concluído"))</f>
        <v/>
      </c>
      <c r="N205" s="237" t="str">
        <f t="shared" si="2"/>
        <v/>
      </c>
      <c r="O205" s="238"/>
    </row>
    <row r="206" spans="2:15" ht="15" customHeight="1" x14ac:dyDescent="0.35">
      <c r="B206" s="234" t="str">
        <f>IF(Lançamentos!$B183="","",Lançamentos!$B183)</f>
        <v/>
      </c>
      <c r="C206" s="235" t="str">
        <f>IF($B206="","",Lançamentos!$J183)</f>
        <v/>
      </c>
      <c r="D206" s="235" t="str">
        <f>IF($B206="","",Lançamentos!$H183)</f>
        <v/>
      </c>
      <c r="E206" s="234" t="str">
        <f>IF($B206="","",IF(COUNTIF(Lançamentos!$B$3:$B$1001,$B206)=0,"Bloqueado",IF(COUNTIF('E1 — Solicitação'!$E188:$L188,"⛔ Bloqueado")&gt;0,"Bloqueado",IF(COUNTIF('E1 — Solicitação'!$E188:$L188,"N/A")=8,"Bloqueado",IF(COUNTIF('E1 — Solicitação'!$E188:$L188,"✔ Concluído")+COUNTIF('E1 — Solicitação'!$E188:$L188,"N/A")=8,"Concluído",IF(COUNTIF('E1 — Solicitação'!$E188:$L188,"✔ Concluído")+COUNTIF('E1 — Solicitação'!$E188:$L188,"🔄 Em andamento")&gt;0,"Em andamento","Não iniciado"))))))</f>
        <v/>
      </c>
      <c r="F206" s="234" t="str">
        <f>IF($B206="","",IF($E206&lt;&gt;"Concluído","Não iniciado",IF(COUNTIF(Lançamentos!$B$3:$B$1001,$B206)=0,"Bloqueado",IF('E2 — Triagem'!$D188="","Bloqueado",IF(COUNTIF('E2 — Triagem'!$E188:$L188,"N/A")=8,"Bloqueado",IF(COUNTIF('E2 — Triagem'!$E188:$L188,"⛔ Bloqueado")&gt;0,"Bloqueado",IF(COUNTIF('E2 — Triagem'!$E188:$L188,"✔ Concluído")+COUNTIF('E2 — Triagem'!$E188:$L188,"N/A")=8,"Concluído",IF(COUNTIF('E2 — Triagem'!$E188:$L188,"✔ Concluído")+COUNTIF('E2 — Triagem'!$E188:$L188,"🔄 Em andamento")&gt;0,"Em andamento","Não iniciado"))))))))</f>
        <v/>
      </c>
      <c r="G206" s="234" t="str">
        <f>IF($B206="","",IF($F206&lt;&gt;"Concluído","Não iniciado",IF(COUNTIF(Lançamentos!$B$3:$B$1001,$B206)=0,"Bloqueado",IF('E3 — Levantamento'!$D188="","Bloqueado",IF(COUNTIF('E3 — Levantamento'!$E188:$I188,"⛔ Bloqueado")&gt;0,"Bloqueado",IF('E3 — Levantamento'!$I188="N/A","Bloqueado",IF(COUNTIF('E3 — Levantamento'!$E188:$I188,"✔ Concluído")=5,"Concluído",IF(COUNTIF('E3 — Levantamento'!$E188:$I188,"✔ Concluído")+COUNTIF('E3 — Levantamento'!$E188:$I188,"🔄 Em andamento")&gt;0,"Em andamento","Não iniciado"))))))))</f>
        <v/>
      </c>
      <c r="H206" s="234" t="str">
        <f>IF($B206="","",IF($G206&lt;&gt;"Concluído","Não iniciado",IF(COUNTIF(Lançamentos!$B$3:$B$1001,$B206)=0,"Bloqueado",IF('E4 — Execução'!$D188="","Bloqueado",IF(COUNTIF('E4 — Execução'!$E188:$K188,"⛔ Bloqueado")&gt;0,"Bloqueado",IF(COUNTIF('E4 — Execução'!$E188:$K188,"✔ Concluído")=7,"Concluído",IF(COUNTIF('E4 — Execução'!$E188:$K188,"✔ Concluído")+COUNTIF('E4 — Execução'!$E188:$K188,"🔄 Em andamento")&gt;0,"Em andamento","Não iniciado")))))))</f>
        <v/>
      </c>
      <c r="I206" s="234" t="str">
        <f>IF($B206="","",IF($H206&lt;&gt;"Concluído","Não iniciado",IF(COUNTIF(Lançamentos!$B$3:$B$1001,$B206)=0,"Bloqueado",IF('E5 — Validação'!$D188="","Bloqueado",IF(COUNTIF('E5 — Validação'!$E188:$I188,"⛔ Bloqueado")&gt;0,"Bloqueado",IF('E5 — Validação'!$I188="N/A","Bloqueado",IF(AND('E5 — Validação'!$E188="✔ Concluído",'E5 — Validação'!$F188="✔ Concluído",OR('E5 — Validação'!$G188="✔ Concluído",'E5 — Validação'!$G188="N/A"),'E5 — Validação'!$H188="✔ Concluído",'E5 — Validação'!$I188="✔ Concluído"),"Concluído",IF(COUNTIF('E5 — Validação'!$E188:$I188,"✔ Concluído")+COUNTIF('E5 — Validação'!$E188:$I188,"🔄 Em andamento")&gt;0,"Em andamento","Não iniciado"))))))))</f>
        <v/>
      </c>
      <c r="J206" s="234" t="str">
        <f>IF($B206="","",IF($I206&lt;&gt;"Concluído","Não iniciado",IF('E6 — Ajustes'!$N188="Não","N/A",IF(COUNTIF(Lançamentos!$B$3:$B$1001,$B206)=0,"Bloqueado",IF('E6 — Ajustes'!$D188="","Bloqueado",IF(COUNTIF('E6 — Ajustes'!$E188:$J188,"⛔ Bloqueado")&gt;0,"Bloqueado",IF(AND('E6 — Ajustes'!$E188="✔ Concluído",'E6 — Ajustes'!$F188="✔ Concluído",'E6 — Ajustes'!$G188="✔ Concluído",'E6 — Ajustes'!$H188="✔ Concluído",OR('E6 — Ajustes'!$I188="✔ Concluído",'E6 — Ajustes'!$I188="N/A"),'E6 — Ajustes'!$J188="✔ Concluído"),"Concluído",IF(COUNTIF('E6 — Ajustes'!$E188:$J188,"✔ Concluído")+COUNTIF('E6 — Ajustes'!$E188:$J188,"🔄 Em andamento")&gt;0,"Em andamento","Não iniciado"))))))))</f>
        <v/>
      </c>
      <c r="K206" s="234" t="str">
        <f>IF($B206="","",IF($I206&lt;&gt;"Concluído","Não iniciado",IF(AND($J206&lt;&gt;"Concluído",$J206&lt;&gt;"N/A"),"Não iniciado",IF(COUNTIF(Lançamentos!$B$3:$B$1001,$B206)=0,"Bloqueado",IF('E7 — Entrega'!$D188="","Bloqueado",IF(COUNTIF('E7 — Entrega'!$E188:$H188,"⛔ Bloqueado")&gt;0,"Bloqueado",IF(COUNTIF('E7 — Entrega'!$E188:$H188,"✔ Concluído")=4,"Concluído",IF(COUNTIF('E7 — Entrega'!$E188:$H188,"✔ Concluído")+COUNTIF('E7 — Entrega'!$E188:$H188,"🔄 Em andamento")&gt;0,"Em andamento","Não iniciado"))))))))</f>
        <v/>
      </c>
      <c r="L206" s="234" t="str">
        <f>IF($B206="","",IF($K206&lt;&gt;"Concluído","Não iniciado",IF(OR(COUNTIF('E08 — Estabilização Hypercare'!$E188:$J188,"⛔ Bloqueado")&gt;0,'E08 — Estabilização Hypercare'!$N188="⛔ Incidente Crítico — Encerramento Bloqueado",AND('E08 — Estabilização Hypercare'!$N188="🆕 Evolução Identificada — Nova Demanda Aberta",'E08 — Estabilização Hypercare'!$U188="")),"Bloqueado",IF(AND('E08 — Estabilização Hypercare'!$E188="✔ Concluído",'E08 — Estabilização Hypercare'!$F188="✔ Concluído",'E08 — Estabilização Hypercare'!$G188="✔ Concluído",OR('E08 — Estabilização Hypercare'!$H188="✔ Concluído",'E08 — Estabilização Hypercare'!$H188="N/A"),'E08 — Estabilização Hypercare'!$I188="✔ Concluído",'E08 — Estabilização Hypercare'!$J188="✔ Concluído",OR('E08 — Estabilização Hypercare'!$N188="✅ Estável — Demanda Encerrada",AND('E08 — Estabilização Hypercare'!$N188="🆕 Evolução Identificada — Nova Demanda Aberta",'E08 — Estabilização Hypercare'!$U188&lt;&gt;""))),"Concluído",IF(OR(COUNTIF('E08 — Estabilização Hypercare'!$E188:$J188,"✔ Concluído")&gt;0,COUNTIF('E08 — Estabilização Hypercare'!$E188:$J188,"🔄 Em andamento")&gt;0,'E08 — Estabilização Hypercare'!$N188&lt;&gt;""),"Em andamento","Não iniciado")))))</f>
        <v/>
      </c>
      <c r="M206" s="236" t="str" cm="1">
        <f t="array" ref="M206">IF(B206="","",_xlfn.IFS(E206&lt;&gt;"Concluído","E1 — Solicitação",F206&lt;&gt;"Concluído","E2 — Triagem",G206&lt;&gt;"Concluído","E3 — Levantamento ⚠",H206&lt;&gt;"Concluído","E4 — Execução",I206&lt;&gt;"Concluído","E5 — Validação ⚠",AND(J206&lt;&gt;"Concluído",J206&lt;&gt;"N/A"),"E6 — Ajustes",K206&lt;&gt;"Concluído","E7 — Entrega",L206&lt;&gt;"Concluído","E08 — Estabilização / Hypercare",TRUE,"✔ Fluxo concluído"))</f>
        <v/>
      </c>
      <c r="N206" s="237" t="str">
        <f t="shared" si="2"/>
        <v/>
      </c>
      <c r="O206" s="238"/>
    </row>
    <row r="207" spans="2:15" ht="15" customHeight="1" x14ac:dyDescent="0.35">
      <c r="B207" s="234" t="str">
        <f>IF(Lançamentos!$B184="","",Lançamentos!$B184)</f>
        <v/>
      </c>
      <c r="C207" s="235" t="str">
        <f>IF($B207="","",Lançamentos!$J184)</f>
        <v/>
      </c>
      <c r="D207" s="235" t="str">
        <f>IF($B207="","",Lançamentos!$H184)</f>
        <v/>
      </c>
      <c r="E207" s="234" t="str">
        <f>IF($B207="","",IF(COUNTIF(Lançamentos!$B$3:$B$1001,$B207)=0,"Bloqueado",IF(COUNTIF('E1 — Solicitação'!$E189:$L189,"⛔ Bloqueado")&gt;0,"Bloqueado",IF(COUNTIF('E1 — Solicitação'!$E189:$L189,"N/A")=8,"Bloqueado",IF(COUNTIF('E1 — Solicitação'!$E189:$L189,"✔ Concluído")+COUNTIF('E1 — Solicitação'!$E189:$L189,"N/A")=8,"Concluído",IF(COUNTIF('E1 — Solicitação'!$E189:$L189,"✔ Concluído")+COUNTIF('E1 — Solicitação'!$E189:$L189,"🔄 Em andamento")&gt;0,"Em andamento","Não iniciado"))))))</f>
        <v/>
      </c>
      <c r="F207" s="234" t="str">
        <f>IF($B207="","",IF($E207&lt;&gt;"Concluído","Não iniciado",IF(COUNTIF(Lançamentos!$B$3:$B$1001,$B207)=0,"Bloqueado",IF('E2 — Triagem'!$D189="","Bloqueado",IF(COUNTIF('E2 — Triagem'!$E189:$L189,"N/A")=8,"Bloqueado",IF(COUNTIF('E2 — Triagem'!$E189:$L189,"⛔ Bloqueado")&gt;0,"Bloqueado",IF(COUNTIF('E2 — Triagem'!$E189:$L189,"✔ Concluído")+COUNTIF('E2 — Triagem'!$E189:$L189,"N/A")=8,"Concluído",IF(COUNTIF('E2 — Triagem'!$E189:$L189,"✔ Concluído")+COUNTIF('E2 — Triagem'!$E189:$L189,"🔄 Em andamento")&gt;0,"Em andamento","Não iniciado"))))))))</f>
        <v/>
      </c>
      <c r="G207" s="234" t="str">
        <f>IF($B207="","",IF($F207&lt;&gt;"Concluído","Não iniciado",IF(COUNTIF(Lançamentos!$B$3:$B$1001,$B207)=0,"Bloqueado",IF('E3 — Levantamento'!$D189="","Bloqueado",IF(COUNTIF('E3 — Levantamento'!$E189:$I189,"⛔ Bloqueado")&gt;0,"Bloqueado",IF('E3 — Levantamento'!$I189="N/A","Bloqueado",IF(COUNTIF('E3 — Levantamento'!$E189:$I189,"✔ Concluído")=5,"Concluído",IF(COUNTIF('E3 — Levantamento'!$E189:$I189,"✔ Concluído")+COUNTIF('E3 — Levantamento'!$E189:$I189,"🔄 Em andamento")&gt;0,"Em andamento","Não iniciado"))))))))</f>
        <v/>
      </c>
      <c r="H207" s="234" t="str">
        <f>IF($B207="","",IF($G207&lt;&gt;"Concluído","Não iniciado",IF(COUNTIF(Lançamentos!$B$3:$B$1001,$B207)=0,"Bloqueado",IF('E4 — Execução'!$D189="","Bloqueado",IF(COUNTIF('E4 — Execução'!$E189:$K189,"⛔ Bloqueado")&gt;0,"Bloqueado",IF(COUNTIF('E4 — Execução'!$E189:$K189,"✔ Concluído")=7,"Concluído",IF(COUNTIF('E4 — Execução'!$E189:$K189,"✔ Concluído")+COUNTIF('E4 — Execução'!$E189:$K189,"🔄 Em andamento")&gt;0,"Em andamento","Não iniciado")))))))</f>
        <v/>
      </c>
      <c r="I207" s="234" t="str">
        <f>IF($B207="","",IF($H207&lt;&gt;"Concluído","Não iniciado",IF(COUNTIF(Lançamentos!$B$3:$B$1001,$B207)=0,"Bloqueado",IF('E5 — Validação'!$D189="","Bloqueado",IF(COUNTIF('E5 — Validação'!$E189:$I189,"⛔ Bloqueado")&gt;0,"Bloqueado",IF('E5 — Validação'!$I189="N/A","Bloqueado",IF(AND('E5 — Validação'!$E189="✔ Concluído",'E5 — Validação'!$F189="✔ Concluído",OR('E5 — Validação'!$G189="✔ Concluído",'E5 — Validação'!$G189="N/A"),'E5 — Validação'!$H189="✔ Concluído",'E5 — Validação'!$I189="✔ Concluído"),"Concluído",IF(COUNTIF('E5 — Validação'!$E189:$I189,"✔ Concluído")+COUNTIF('E5 — Validação'!$E189:$I189,"🔄 Em andamento")&gt;0,"Em andamento","Não iniciado"))))))))</f>
        <v/>
      </c>
      <c r="J207" s="234" t="str">
        <f>IF($B207="","",IF($I207&lt;&gt;"Concluído","Não iniciado",IF('E6 — Ajustes'!$N189="Não","N/A",IF(COUNTIF(Lançamentos!$B$3:$B$1001,$B207)=0,"Bloqueado",IF('E6 — Ajustes'!$D189="","Bloqueado",IF(COUNTIF('E6 — Ajustes'!$E189:$J189,"⛔ Bloqueado")&gt;0,"Bloqueado",IF(AND('E6 — Ajustes'!$E189="✔ Concluído",'E6 — Ajustes'!$F189="✔ Concluído",'E6 — Ajustes'!$G189="✔ Concluído",'E6 — Ajustes'!$H189="✔ Concluído",OR('E6 — Ajustes'!$I189="✔ Concluído",'E6 — Ajustes'!$I189="N/A"),'E6 — Ajustes'!$J189="✔ Concluído"),"Concluído",IF(COUNTIF('E6 — Ajustes'!$E189:$J189,"✔ Concluído")+COUNTIF('E6 — Ajustes'!$E189:$J189,"🔄 Em andamento")&gt;0,"Em andamento","Não iniciado"))))))))</f>
        <v/>
      </c>
      <c r="K207" s="234" t="str">
        <f>IF($B207="","",IF($I207&lt;&gt;"Concluído","Não iniciado",IF(AND($J207&lt;&gt;"Concluído",$J207&lt;&gt;"N/A"),"Não iniciado",IF(COUNTIF(Lançamentos!$B$3:$B$1001,$B207)=0,"Bloqueado",IF('E7 — Entrega'!$D189="","Bloqueado",IF(COUNTIF('E7 — Entrega'!$E189:$H189,"⛔ Bloqueado")&gt;0,"Bloqueado",IF(COUNTIF('E7 — Entrega'!$E189:$H189,"✔ Concluído")=4,"Concluído",IF(COUNTIF('E7 — Entrega'!$E189:$H189,"✔ Concluído")+COUNTIF('E7 — Entrega'!$E189:$H189,"🔄 Em andamento")&gt;0,"Em andamento","Não iniciado"))))))))</f>
        <v/>
      </c>
      <c r="L207" s="234" t="str">
        <f>IF($B207="","",IF($K207&lt;&gt;"Concluído","Não iniciado",IF(OR(COUNTIF('E08 — Estabilização Hypercare'!$E189:$J189,"⛔ Bloqueado")&gt;0,'E08 — Estabilização Hypercare'!$N189="⛔ Incidente Crítico — Encerramento Bloqueado",AND('E08 — Estabilização Hypercare'!$N189="🆕 Evolução Identificada — Nova Demanda Aberta",'E08 — Estabilização Hypercare'!$U189="")),"Bloqueado",IF(AND('E08 — Estabilização Hypercare'!$E189="✔ Concluído",'E08 — Estabilização Hypercare'!$F189="✔ Concluído",'E08 — Estabilização Hypercare'!$G189="✔ Concluído",OR('E08 — Estabilização Hypercare'!$H189="✔ Concluído",'E08 — Estabilização Hypercare'!$H189="N/A"),'E08 — Estabilização Hypercare'!$I189="✔ Concluído",'E08 — Estabilização Hypercare'!$J189="✔ Concluído",OR('E08 — Estabilização Hypercare'!$N189="✅ Estável — Demanda Encerrada",AND('E08 — Estabilização Hypercare'!$N189="🆕 Evolução Identificada — Nova Demanda Aberta",'E08 — Estabilização Hypercare'!$U189&lt;&gt;""))),"Concluído",IF(OR(COUNTIF('E08 — Estabilização Hypercare'!$E189:$J189,"✔ Concluído")&gt;0,COUNTIF('E08 — Estabilização Hypercare'!$E189:$J189,"🔄 Em andamento")&gt;0,'E08 — Estabilização Hypercare'!$N189&lt;&gt;""),"Em andamento","Não iniciado")))))</f>
        <v/>
      </c>
      <c r="M207" s="236" t="str" cm="1">
        <f t="array" ref="M207">IF(B207="","",_xlfn.IFS(E207&lt;&gt;"Concluído","E1 — Solicitação",F207&lt;&gt;"Concluído","E2 — Triagem",G207&lt;&gt;"Concluído","E3 — Levantamento ⚠",H207&lt;&gt;"Concluído","E4 — Execução",I207&lt;&gt;"Concluído","E5 — Validação ⚠",AND(J207&lt;&gt;"Concluído",J207&lt;&gt;"N/A"),"E6 — Ajustes",K207&lt;&gt;"Concluído","E7 — Entrega",L207&lt;&gt;"Concluído","E08 — Estabilização / Hypercare",TRUE,"✔ Fluxo concluído"))</f>
        <v/>
      </c>
      <c r="N207" s="237" t="str">
        <f t="shared" si="2"/>
        <v/>
      </c>
      <c r="O207" s="238"/>
    </row>
    <row r="208" spans="2:15" ht="15" customHeight="1" x14ac:dyDescent="0.35">
      <c r="B208" s="234" t="str">
        <f>IF(Lançamentos!$B185="","",Lançamentos!$B185)</f>
        <v/>
      </c>
      <c r="C208" s="235" t="str">
        <f>IF($B208="","",Lançamentos!$J185)</f>
        <v/>
      </c>
      <c r="D208" s="235" t="str">
        <f>IF($B208="","",Lançamentos!$H185)</f>
        <v/>
      </c>
      <c r="E208" s="234" t="str">
        <f>IF($B208="","",IF(COUNTIF(Lançamentos!$B$3:$B$1001,$B208)=0,"Bloqueado",IF(COUNTIF('E1 — Solicitação'!$E190:$L190,"⛔ Bloqueado")&gt;0,"Bloqueado",IF(COUNTIF('E1 — Solicitação'!$E190:$L190,"N/A")=8,"Bloqueado",IF(COUNTIF('E1 — Solicitação'!$E190:$L190,"✔ Concluído")+COUNTIF('E1 — Solicitação'!$E190:$L190,"N/A")=8,"Concluído",IF(COUNTIF('E1 — Solicitação'!$E190:$L190,"✔ Concluído")+COUNTIF('E1 — Solicitação'!$E190:$L190,"🔄 Em andamento")&gt;0,"Em andamento","Não iniciado"))))))</f>
        <v/>
      </c>
      <c r="F208" s="234" t="str">
        <f>IF($B208="","",IF($E208&lt;&gt;"Concluído","Não iniciado",IF(COUNTIF(Lançamentos!$B$3:$B$1001,$B208)=0,"Bloqueado",IF('E2 — Triagem'!$D190="","Bloqueado",IF(COUNTIF('E2 — Triagem'!$E190:$L190,"N/A")=8,"Bloqueado",IF(COUNTIF('E2 — Triagem'!$E190:$L190,"⛔ Bloqueado")&gt;0,"Bloqueado",IF(COUNTIF('E2 — Triagem'!$E190:$L190,"✔ Concluído")+COUNTIF('E2 — Triagem'!$E190:$L190,"N/A")=8,"Concluído",IF(COUNTIF('E2 — Triagem'!$E190:$L190,"✔ Concluído")+COUNTIF('E2 — Triagem'!$E190:$L190,"🔄 Em andamento")&gt;0,"Em andamento","Não iniciado"))))))))</f>
        <v/>
      </c>
      <c r="G208" s="234" t="str">
        <f>IF($B208="","",IF($F208&lt;&gt;"Concluído","Não iniciado",IF(COUNTIF(Lançamentos!$B$3:$B$1001,$B208)=0,"Bloqueado",IF('E3 — Levantamento'!$D190="","Bloqueado",IF(COUNTIF('E3 — Levantamento'!$E190:$I190,"⛔ Bloqueado")&gt;0,"Bloqueado",IF('E3 — Levantamento'!$I190="N/A","Bloqueado",IF(COUNTIF('E3 — Levantamento'!$E190:$I190,"✔ Concluído")=5,"Concluído",IF(COUNTIF('E3 — Levantamento'!$E190:$I190,"✔ Concluído")+COUNTIF('E3 — Levantamento'!$E190:$I190,"🔄 Em andamento")&gt;0,"Em andamento","Não iniciado"))))))))</f>
        <v/>
      </c>
      <c r="H208" s="234" t="str">
        <f>IF($B208="","",IF($G208&lt;&gt;"Concluído","Não iniciado",IF(COUNTIF(Lançamentos!$B$3:$B$1001,$B208)=0,"Bloqueado",IF('E4 — Execução'!$D190="","Bloqueado",IF(COUNTIF('E4 — Execução'!$E190:$K190,"⛔ Bloqueado")&gt;0,"Bloqueado",IF(COUNTIF('E4 — Execução'!$E190:$K190,"✔ Concluído")=7,"Concluído",IF(COUNTIF('E4 — Execução'!$E190:$K190,"✔ Concluído")+COUNTIF('E4 — Execução'!$E190:$K190,"🔄 Em andamento")&gt;0,"Em andamento","Não iniciado")))))))</f>
        <v/>
      </c>
      <c r="I208" s="234" t="str">
        <f>IF($B208="","",IF($H208&lt;&gt;"Concluído","Não iniciado",IF(COUNTIF(Lançamentos!$B$3:$B$1001,$B208)=0,"Bloqueado",IF('E5 — Validação'!$D190="","Bloqueado",IF(COUNTIF('E5 — Validação'!$E190:$I190,"⛔ Bloqueado")&gt;0,"Bloqueado",IF('E5 — Validação'!$I190="N/A","Bloqueado",IF(AND('E5 — Validação'!$E190="✔ Concluído",'E5 — Validação'!$F190="✔ Concluído",OR('E5 — Validação'!$G190="✔ Concluído",'E5 — Validação'!$G190="N/A"),'E5 — Validação'!$H190="✔ Concluído",'E5 — Validação'!$I190="✔ Concluído"),"Concluído",IF(COUNTIF('E5 — Validação'!$E190:$I190,"✔ Concluído")+COUNTIF('E5 — Validação'!$E190:$I190,"🔄 Em andamento")&gt;0,"Em andamento","Não iniciado"))))))))</f>
        <v/>
      </c>
      <c r="J208" s="234" t="str">
        <f>IF($B208="","",IF($I208&lt;&gt;"Concluído","Não iniciado",IF('E6 — Ajustes'!$N190="Não","N/A",IF(COUNTIF(Lançamentos!$B$3:$B$1001,$B208)=0,"Bloqueado",IF('E6 — Ajustes'!$D190="","Bloqueado",IF(COUNTIF('E6 — Ajustes'!$E190:$J190,"⛔ Bloqueado")&gt;0,"Bloqueado",IF(AND('E6 — Ajustes'!$E190="✔ Concluído",'E6 — Ajustes'!$F190="✔ Concluído",'E6 — Ajustes'!$G190="✔ Concluído",'E6 — Ajustes'!$H190="✔ Concluído",OR('E6 — Ajustes'!$I190="✔ Concluído",'E6 — Ajustes'!$I190="N/A"),'E6 — Ajustes'!$J190="✔ Concluído"),"Concluído",IF(COUNTIF('E6 — Ajustes'!$E190:$J190,"✔ Concluído")+COUNTIF('E6 — Ajustes'!$E190:$J190,"🔄 Em andamento")&gt;0,"Em andamento","Não iniciado"))))))))</f>
        <v/>
      </c>
      <c r="K208" s="234" t="str">
        <f>IF($B208="","",IF($I208&lt;&gt;"Concluído","Não iniciado",IF(AND($J208&lt;&gt;"Concluído",$J208&lt;&gt;"N/A"),"Não iniciado",IF(COUNTIF(Lançamentos!$B$3:$B$1001,$B208)=0,"Bloqueado",IF('E7 — Entrega'!$D190="","Bloqueado",IF(COUNTIF('E7 — Entrega'!$E190:$H190,"⛔ Bloqueado")&gt;0,"Bloqueado",IF(COUNTIF('E7 — Entrega'!$E190:$H190,"✔ Concluído")=4,"Concluído",IF(COUNTIF('E7 — Entrega'!$E190:$H190,"✔ Concluído")+COUNTIF('E7 — Entrega'!$E190:$H190,"🔄 Em andamento")&gt;0,"Em andamento","Não iniciado"))))))))</f>
        <v/>
      </c>
      <c r="L208" s="234" t="str">
        <f>IF($B208="","",IF($K208&lt;&gt;"Concluído","Não iniciado",IF(OR(COUNTIF('E08 — Estabilização Hypercare'!$E190:$J190,"⛔ Bloqueado")&gt;0,'E08 — Estabilização Hypercare'!$N190="⛔ Incidente Crítico — Encerramento Bloqueado",AND('E08 — Estabilização Hypercare'!$N190="🆕 Evolução Identificada — Nova Demanda Aberta",'E08 — Estabilização Hypercare'!$U190="")),"Bloqueado",IF(AND('E08 — Estabilização Hypercare'!$E190="✔ Concluído",'E08 — Estabilização Hypercare'!$F190="✔ Concluído",'E08 — Estabilização Hypercare'!$G190="✔ Concluído",OR('E08 — Estabilização Hypercare'!$H190="✔ Concluído",'E08 — Estabilização Hypercare'!$H190="N/A"),'E08 — Estabilização Hypercare'!$I190="✔ Concluído",'E08 — Estabilização Hypercare'!$J190="✔ Concluído",OR('E08 — Estabilização Hypercare'!$N190="✅ Estável — Demanda Encerrada",AND('E08 — Estabilização Hypercare'!$N190="🆕 Evolução Identificada — Nova Demanda Aberta",'E08 — Estabilização Hypercare'!$U190&lt;&gt;""))),"Concluído",IF(OR(COUNTIF('E08 — Estabilização Hypercare'!$E190:$J190,"✔ Concluído")&gt;0,COUNTIF('E08 — Estabilização Hypercare'!$E190:$J190,"🔄 Em andamento")&gt;0,'E08 — Estabilização Hypercare'!$N190&lt;&gt;""),"Em andamento","Não iniciado")))))</f>
        <v/>
      </c>
      <c r="M208" s="236" t="str" cm="1">
        <f t="array" ref="M208">IF(B208="","",_xlfn.IFS(E208&lt;&gt;"Concluído","E1 — Solicitação",F208&lt;&gt;"Concluído","E2 — Triagem",G208&lt;&gt;"Concluído","E3 — Levantamento ⚠",H208&lt;&gt;"Concluído","E4 — Execução",I208&lt;&gt;"Concluído","E5 — Validação ⚠",AND(J208&lt;&gt;"Concluído",J208&lt;&gt;"N/A"),"E6 — Ajustes",K208&lt;&gt;"Concluído","E7 — Entrega",L208&lt;&gt;"Concluído","E08 — Estabilização / Hypercare",TRUE,"✔ Fluxo concluído"))</f>
        <v/>
      </c>
      <c r="N208" s="237" t="str">
        <f t="shared" si="2"/>
        <v/>
      </c>
      <c r="O208" s="238"/>
    </row>
    <row r="209" spans="2:15" ht="15" customHeight="1" x14ac:dyDescent="0.35">
      <c r="B209" s="234" t="str">
        <f>IF(Lançamentos!$B186="","",Lançamentos!$B186)</f>
        <v/>
      </c>
      <c r="C209" s="235" t="str">
        <f>IF($B209="","",Lançamentos!$J186)</f>
        <v/>
      </c>
      <c r="D209" s="235" t="str">
        <f>IF($B209="","",Lançamentos!$H186)</f>
        <v/>
      </c>
      <c r="E209" s="234" t="str">
        <f>IF($B209="","",IF(COUNTIF(Lançamentos!$B$3:$B$1001,$B209)=0,"Bloqueado",IF(COUNTIF('E1 — Solicitação'!$E191:$L191,"⛔ Bloqueado")&gt;0,"Bloqueado",IF(COUNTIF('E1 — Solicitação'!$E191:$L191,"N/A")=8,"Bloqueado",IF(COUNTIF('E1 — Solicitação'!$E191:$L191,"✔ Concluído")+COUNTIF('E1 — Solicitação'!$E191:$L191,"N/A")=8,"Concluído",IF(COUNTIF('E1 — Solicitação'!$E191:$L191,"✔ Concluído")+COUNTIF('E1 — Solicitação'!$E191:$L191,"🔄 Em andamento")&gt;0,"Em andamento","Não iniciado"))))))</f>
        <v/>
      </c>
      <c r="F209" s="234" t="str">
        <f>IF($B209="","",IF($E209&lt;&gt;"Concluído","Não iniciado",IF(COUNTIF(Lançamentos!$B$3:$B$1001,$B209)=0,"Bloqueado",IF('E2 — Triagem'!$D191="","Bloqueado",IF(COUNTIF('E2 — Triagem'!$E191:$L191,"N/A")=8,"Bloqueado",IF(COUNTIF('E2 — Triagem'!$E191:$L191,"⛔ Bloqueado")&gt;0,"Bloqueado",IF(COUNTIF('E2 — Triagem'!$E191:$L191,"✔ Concluído")+COUNTIF('E2 — Triagem'!$E191:$L191,"N/A")=8,"Concluído",IF(COUNTIF('E2 — Triagem'!$E191:$L191,"✔ Concluído")+COUNTIF('E2 — Triagem'!$E191:$L191,"🔄 Em andamento")&gt;0,"Em andamento","Não iniciado"))))))))</f>
        <v/>
      </c>
      <c r="G209" s="234" t="str">
        <f>IF($B209="","",IF($F209&lt;&gt;"Concluído","Não iniciado",IF(COUNTIF(Lançamentos!$B$3:$B$1001,$B209)=0,"Bloqueado",IF('E3 — Levantamento'!$D191="","Bloqueado",IF(COUNTIF('E3 — Levantamento'!$E191:$I191,"⛔ Bloqueado")&gt;0,"Bloqueado",IF('E3 — Levantamento'!$I191="N/A","Bloqueado",IF(COUNTIF('E3 — Levantamento'!$E191:$I191,"✔ Concluído")=5,"Concluído",IF(COUNTIF('E3 — Levantamento'!$E191:$I191,"✔ Concluído")+COUNTIF('E3 — Levantamento'!$E191:$I191,"🔄 Em andamento")&gt;0,"Em andamento","Não iniciado"))))))))</f>
        <v/>
      </c>
      <c r="H209" s="234" t="str">
        <f>IF($B209="","",IF($G209&lt;&gt;"Concluído","Não iniciado",IF(COUNTIF(Lançamentos!$B$3:$B$1001,$B209)=0,"Bloqueado",IF('E4 — Execução'!$D191="","Bloqueado",IF(COUNTIF('E4 — Execução'!$E191:$K191,"⛔ Bloqueado")&gt;0,"Bloqueado",IF(COUNTIF('E4 — Execução'!$E191:$K191,"✔ Concluído")=7,"Concluído",IF(COUNTIF('E4 — Execução'!$E191:$K191,"✔ Concluído")+COUNTIF('E4 — Execução'!$E191:$K191,"🔄 Em andamento")&gt;0,"Em andamento","Não iniciado")))))))</f>
        <v/>
      </c>
      <c r="I209" s="234" t="str">
        <f>IF($B209="","",IF($H209&lt;&gt;"Concluído","Não iniciado",IF(COUNTIF(Lançamentos!$B$3:$B$1001,$B209)=0,"Bloqueado",IF('E5 — Validação'!$D191="","Bloqueado",IF(COUNTIF('E5 — Validação'!$E191:$I191,"⛔ Bloqueado")&gt;0,"Bloqueado",IF('E5 — Validação'!$I191="N/A","Bloqueado",IF(AND('E5 — Validação'!$E191="✔ Concluído",'E5 — Validação'!$F191="✔ Concluído",OR('E5 — Validação'!$G191="✔ Concluído",'E5 — Validação'!$G191="N/A"),'E5 — Validação'!$H191="✔ Concluído",'E5 — Validação'!$I191="✔ Concluído"),"Concluído",IF(COUNTIF('E5 — Validação'!$E191:$I191,"✔ Concluído")+COUNTIF('E5 — Validação'!$E191:$I191,"🔄 Em andamento")&gt;0,"Em andamento","Não iniciado"))))))))</f>
        <v/>
      </c>
      <c r="J209" s="234" t="str">
        <f>IF($B209="","",IF($I209&lt;&gt;"Concluído","Não iniciado",IF('E6 — Ajustes'!$N191="Não","N/A",IF(COUNTIF(Lançamentos!$B$3:$B$1001,$B209)=0,"Bloqueado",IF('E6 — Ajustes'!$D191="","Bloqueado",IF(COUNTIF('E6 — Ajustes'!$E191:$J191,"⛔ Bloqueado")&gt;0,"Bloqueado",IF(AND('E6 — Ajustes'!$E191="✔ Concluído",'E6 — Ajustes'!$F191="✔ Concluído",'E6 — Ajustes'!$G191="✔ Concluído",'E6 — Ajustes'!$H191="✔ Concluído",OR('E6 — Ajustes'!$I191="✔ Concluído",'E6 — Ajustes'!$I191="N/A"),'E6 — Ajustes'!$J191="✔ Concluído"),"Concluído",IF(COUNTIF('E6 — Ajustes'!$E191:$J191,"✔ Concluído")+COUNTIF('E6 — Ajustes'!$E191:$J191,"🔄 Em andamento")&gt;0,"Em andamento","Não iniciado"))))))))</f>
        <v/>
      </c>
      <c r="K209" s="234" t="str">
        <f>IF($B209="","",IF($I209&lt;&gt;"Concluído","Não iniciado",IF(AND($J209&lt;&gt;"Concluído",$J209&lt;&gt;"N/A"),"Não iniciado",IF(COUNTIF(Lançamentos!$B$3:$B$1001,$B209)=0,"Bloqueado",IF('E7 — Entrega'!$D191="","Bloqueado",IF(COUNTIF('E7 — Entrega'!$E191:$H191,"⛔ Bloqueado")&gt;0,"Bloqueado",IF(COUNTIF('E7 — Entrega'!$E191:$H191,"✔ Concluído")=4,"Concluído",IF(COUNTIF('E7 — Entrega'!$E191:$H191,"✔ Concluído")+COUNTIF('E7 — Entrega'!$E191:$H191,"🔄 Em andamento")&gt;0,"Em andamento","Não iniciado"))))))))</f>
        <v/>
      </c>
      <c r="L209" s="234" t="str">
        <f>IF($B209="","",IF($K209&lt;&gt;"Concluído","Não iniciado",IF(OR(COUNTIF('E08 — Estabilização Hypercare'!$E191:$J191,"⛔ Bloqueado")&gt;0,'E08 — Estabilização Hypercare'!$N191="⛔ Incidente Crítico — Encerramento Bloqueado",AND('E08 — Estabilização Hypercare'!$N191="🆕 Evolução Identificada — Nova Demanda Aberta",'E08 — Estabilização Hypercare'!$U191="")),"Bloqueado",IF(AND('E08 — Estabilização Hypercare'!$E191="✔ Concluído",'E08 — Estabilização Hypercare'!$F191="✔ Concluído",'E08 — Estabilização Hypercare'!$G191="✔ Concluído",OR('E08 — Estabilização Hypercare'!$H191="✔ Concluído",'E08 — Estabilização Hypercare'!$H191="N/A"),'E08 — Estabilização Hypercare'!$I191="✔ Concluído",'E08 — Estabilização Hypercare'!$J191="✔ Concluído",OR('E08 — Estabilização Hypercare'!$N191="✅ Estável — Demanda Encerrada",AND('E08 — Estabilização Hypercare'!$N191="🆕 Evolução Identificada — Nova Demanda Aberta",'E08 — Estabilização Hypercare'!$U191&lt;&gt;""))),"Concluído",IF(OR(COUNTIF('E08 — Estabilização Hypercare'!$E191:$J191,"✔ Concluído")&gt;0,COUNTIF('E08 — Estabilização Hypercare'!$E191:$J191,"🔄 Em andamento")&gt;0,'E08 — Estabilização Hypercare'!$N191&lt;&gt;""),"Em andamento","Não iniciado")))))</f>
        <v/>
      </c>
      <c r="M209" s="236" t="str" cm="1">
        <f t="array" ref="M209">IF(B209="","",_xlfn.IFS(E209&lt;&gt;"Concluído","E1 — Solicitação",F209&lt;&gt;"Concluído","E2 — Triagem",G209&lt;&gt;"Concluído","E3 — Levantamento ⚠",H209&lt;&gt;"Concluído","E4 — Execução",I209&lt;&gt;"Concluído","E5 — Validação ⚠",AND(J209&lt;&gt;"Concluído",J209&lt;&gt;"N/A"),"E6 — Ajustes",K209&lt;&gt;"Concluído","E7 — Entrega",L209&lt;&gt;"Concluído","E08 — Estabilização / Hypercare",TRUE,"✔ Fluxo concluído"))</f>
        <v/>
      </c>
      <c r="N209" s="237" t="str">
        <f t="shared" si="2"/>
        <v/>
      </c>
      <c r="O209" s="238"/>
    </row>
    <row r="210" spans="2:15" ht="15" customHeight="1" x14ac:dyDescent="0.35">
      <c r="B210" s="234" t="str">
        <f>IF(Lançamentos!$B187="","",Lançamentos!$B187)</f>
        <v/>
      </c>
      <c r="C210" s="235" t="str">
        <f>IF($B210="","",Lançamentos!$J187)</f>
        <v/>
      </c>
      <c r="D210" s="235" t="str">
        <f>IF($B210="","",Lançamentos!$H187)</f>
        <v/>
      </c>
      <c r="E210" s="234" t="str">
        <f>IF($B210="","",IF(COUNTIF(Lançamentos!$B$3:$B$1001,$B210)=0,"Bloqueado",IF(COUNTIF('E1 — Solicitação'!$E192:$L192,"⛔ Bloqueado")&gt;0,"Bloqueado",IF(COUNTIF('E1 — Solicitação'!$E192:$L192,"N/A")=8,"Bloqueado",IF(COUNTIF('E1 — Solicitação'!$E192:$L192,"✔ Concluído")+COUNTIF('E1 — Solicitação'!$E192:$L192,"N/A")=8,"Concluído",IF(COUNTIF('E1 — Solicitação'!$E192:$L192,"✔ Concluído")+COUNTIF('E1 — Solicitação'!$E192:$L192,"🔄 Em andamento")&gt;0,"Em andamento","Não iniciado"))))))</f>
        <v/>
      </c>
      <c r="F210" s="234" t="str">
        <f>IF($B210="","",IF($E210&lt;&gt;"Concluído","Não iniciado",IF(COUNTIF(Lançamentos!$B$3:$B$1001,$B210)=0,"Bloqueado",IF('E2 — Triagem'!$D192="","Bloqueado",IF(COUNTIF('E2 — Triagem'!$E192:$L192,"N/A")=8,"Bloqueado",IF(COUNTIF('E2 — Triagem'!$E192:$L192,"⛔ Bloqueado")&gt;0,"Bloqueado",IF(COUNTIF('E2 — Triagem'!$E192:$L192,"✔ Concluído")+COUNTIF('E2 — Triagem'!$E192:$L192,"N/A")=8,"Concluído",IF(COUNTIF('E2 — Triagem'!$E192:$L192,"✔ Concluído")+COUNTIF('E2 — Triagem'!$E192:$L192,"🔄 Em andamento")&gt;0,"Em andamento","Não iniciado"))))))))</f>
        <v/>
      </c>
      <c r="G210" s="234" t="str">
        <f>IF($B210="","",IF($F210&lt;&gt;"Concluído","Não iniciado",IF(COUNTIF(Lançamentos!$B$3:$B$1001,$B210)=0,"Bloqueado",IF('E3 — Levantamento'!$D192="","Bloqueado",IF(COUNTIF('E3 — Levantamento'!$E192:$I192,"⛔ Bloqueado")&gt;0,"Bloqueado",IF('E3 — Levantamento'!$I192="N/A","Bloqueado",IF(COUNTIF('E3 — Levantamento'!$E192:$I192,"✔ Concluído")=5,"Concluído",IF(COUNTIF('E3 — Levantamento'!$E192:$I192,"✔ Concluído")+COUNTIF('E3 — Levantamento'!$E192:$I192,"🔄 Em andamento")&gt;0,"Em andamento","Não iniciado"))))))))</f>
        <v/>
      </c>
      <c r="H210" s="234" t="str">
        <f>IF($B210="","",IF($G210&lt;&gt;"Concluído","Não iniciado",IF(COUNTIF(Lançamentos!$B$3:$B$1001,$B210)=0,"Bloqueado",IF('E4 — Execução'!$D192="","Bloqueado",IF(COUNTIF('E4 — Execução'!$E192:$K192,"⛔ Bloqueado")&gt;0,"Bloqueado",IF(COUNTIF('E4 — Execução'!$E192:$K192,"✔ Concluído")=7,"Concluído",IF(COUNTIF('E4 — Execução'!$E192:$K192,"✔ Concluído")+COUNTIF('E4 — Execução'!$E192:$K192,"🔄 Em andamento")&gt;0,"Em andamento","Não iniciado")))))))</f>
        <v/>
      </c>
      <c r="I210" s="234" t="str">
        <f>IF($B210="","",IF($H210&lt;&gt;"Concluído","Não iniciado",IF(COUNTIF(Lançamentos!$B$3:$B$1001,$B210)=0,"Bloqueado",IF('E5 — Validação'!$D192="","Bloqueado",IF(COUNTIF('E5 — Validação'!$E192:$I192,"⛔ Bloqueado")&gt;0,"Bloqueado",IF('E5 — Validação'!$I192="N/A","Bloqueado",IF(AND('E5 — Validação'!$E192="✔ Concluído",'E5 — Validação'!$F192="✔ Concluído",OR('E5 — Validação'!$G192="✔ Concluído",'E5 — Validação'!$G192="N/A"),'E5 — Validação'!$H192="✔ Concluído",'E5 — Validação'!$I192="✔ Concluído"),"Concluído",IF(COUNTIF('E5 — Validação'!$E192:$I192,"✔ Concluído")+COUNTIF('E5 — Validação'!$E192:$I192,"🔄 Em andamento")&gt;0,"Em andamento","Não iniciado"))))))))</f>
        <v/>
      </c>
      <c r="J210" s="234" t="str">
        <f>IF($B210="","",IF($I210&lt;&gt;"Concluído","Não iniciado",IF('E6 — Ajustes'!$N192="Não","N/A",IF(COUNTIF(Lançamentos!$B$3:$B$1001,$B210)=0,"Bloqueado",IF('E6 — Ajustes'!$D192="","Bloqueado",IF(COUNTIF('E6 — Ajustes'!$E192:$J192,"⛔ Bloqueado")&gt;0,"Bloqueado",IF(AND('E6 — Ajustes'!$E192="✔ Concluído",'E6 — Ajustes'!$F192="✔ Concluído",'E6 — Ajustes'!$G192="✔ Concluído",'E6 — Ajustes'!$H192="✔ Concluído",OR('E6 — Ajustes'!$I192="✔ Concluído",'E6 — Ajustes'!$I192="N/A"),'E6 — Ajustes'!$J192="✔ Concluído"),"Concluído",IF(COUNTIF('E6 — Ajustes'!$E192:$J192,"✔ Concluído")+COUNTIF('E6 — Ajustes'!$E192:$J192,"🔄 Em andamento")&gt;0,"Em andamento","Não iniciado"))))))))</f>
        <v/>
      </c>
      <c r="K210" s="234" t="str">
        <f>IF($B210="","",IF($I210&lt;&gt;"Concluído","Não iniciado",IF(AND($J210&lt;&gt;"Concluído",$J210&lt;&gt;"N/A"),"Não iniciado",IF(COUNTIF(Lançamentos!$B$3:$B$1001,$B210)=0,"Bloqueado",IF('E7 — Entrega'!$D192="","Bloqueado",IF(COUNTIF('E7 — Entrega'!$E192:$H192,"⛔ Bloqueado")&gt;0,"Bloqueado",IF(COUNTIF('E7 — Entrega'!$E192:$H192,"✔ Concluído")=4,"Concluído",IF(COUNTIF('E7 — Entrega'!$E192:$H192,"✔ Concluído")+COUNTIF('E7 — Entrega'!$E192:$H192,"🔄 Em andamento")&gt;0,"Em andamento","Não iniciado"))))))))</f>
        <v/>
      </c>
      <c r="L210" s="234" t="str">
        <f>IF($B210="","",IF($K210&lt;&gt;"Concluído","Não iniciado",IF(OR(COUNTIF('E08 — Estabilização Hypercare'!$E192:$J192,"⛔ Bloqueado")&gt;0,'E08 — Estabilização Hypercare'!$N192="⛔ Incidente Crítico — Encerramento Bloqueado",AND('E08 — Estabilização Hypercare'!$N192="🆕 Evolução Identificada — Nova Demanda Aberta",'E08 — Estabilização Hypercare'!$U192="")),"Bloqueado",IF(AND('E08 — Estabilização Hypercare'!$E192="✔ Concluído",'E08 — Estabilização Hypercare'!$F192="✔ Concluído",'E08 — Estabilização Hypercare'!$G192="✔ Concluído",OR('E08 — Estabilização Hypercare'!$H192="✔ Concluído",'E08 — Estabilização Hypercare'!$H192="N/A"),'E08 — Estabilização Hypercare'!$I192="✔ Concluído",'E08 — Estabilização Hypercare'!$J192="✔ Concluído",OR('E08 — Estabilização Hypercare'!$N192="✅ Estável — Demanda Encerrada",AND('E08 — Estabilização Hypercare'!$N192="🆕 Evolução Identificada — Nova Demanda Aberta",'E08 — Estabilização Hypercare'!$U192&lt;&gt;""))),"Concluído",IF(OR(COUNTIF('E08 — Estabilização Hypercare'!$E192:$J192,"✔ Concluído")&gt;0,COUNTIF('E08 — Estabilização Hypercare'!$E192:$J192,"🔄 Em andamento")&gt;0,'E08 — Estabilização Hypercare'!$N192&lt;&gt;""),"Em andamento","Não iniciado")))))</f>
        <v/>
      </c>
      <c r="M210" s="236" t="str" cm="1">
        <f t="array" ref="M210">IF(B210="","",_xlfn.IFS(E210&lt;&gt;"Concluído","E1 — Solicitação",F210&lt;&gt;"Concluído","E2 — Triagem",G210&lt;&gt;"Concluído","E3 — Levantamento ⚠",H210&lt;&gt;"Concluído","E4 — Execução",I210&lt;&gt;"Concluído","E5 — Validação ⚠",AND(J210&lt;&gt;"Concluído",J210&lt;&gt;"N/A"),"E6 — Ajustes",K210&lt;&gt;"Concluído","E7 — Entrega",L210&lt;&gt;"Concluído","E08 — Estabilização / Hypercare",TRUE,"✔ Fluxo concluído"))</f>
        <v/>
      </c>
      <c r="N210" s="237" t="str">
        <f t="shared" si="2"/>
        <v/>
      </c>
      <c r="O210" s="238"/>
    </row>
    <row r="211" spans="2:15" ht="15" customHeight="1" x14ac:dyDescent="0.35">
      <c r="B211" s="234" t="str">
        <f>IF(Lançamentos!$B188="","",Lançamentos!$B188)</f>
        <v/>
      </c>
      <c r="C211" s="235" t="str">
        <f>IF($B211="","",Lançamentos!$J188)</f>
        <v/>
      </c>
      <c r="D211" s="235" t="str">
        <f>IF($B211="","",Lançamentos!$H188)</f>
        <v/>
      </c>
      <c r="E211" s="234" t="str">
        <f>IF($B211="","",IF(COUNTIF(Lançamentos!$B$3:$B$1001,$B211)=0,"Bloqueado",IF(COUNTIF('E1 — Solicitação'!$E193:$L193,"⛔ Bloqueado")&gt;0,"Bloqueado",IF(COUNTIF('E1 — Solicitação'!$E193:$L193,"N/A")=8,"Bloqueado",IF(COUNTIF('E1 — Solicitação'!$E193:$L193,"✔ Concluído")+COUNTIF('E1 — Solicitação'!$E193:$L193,"N/A")=8,"Concluído",IF(COUNTIF('E1 — Solicitação'!$E193:$L193,"✔ Concluído")+COUNTIF('E1 — Solicitação'!$E193:$L193,"🔄 Em andamento")&gt;0,"Em andamento","Não iniciado"))))))</f>
        <v/>
      </c>
      <c r="F211" s="234" t="str">
        <f>IF($B211="","",IF($E211&lt;&gt;"Concluído","Não iniciado",IF(COUNTIF(Lançamentos!$B$3:$B$1001,$B211)=0,"Bloqueado",IF('E2 — Triagem'!$D193="","Bloqueado",IF(COUNTIF('E2 — Triagem'!$E193:$L193,"N/A")=8,"Bloqueado",IF(COUNTIF('E2 — Triagem'!$E193:$L193,"⛔ Bloqueado")&gt;0,"Bloqueado",IF(COUNTIF('E2 — Triagem'!$E193:$L193,"✔ Concluído")+COUNTIF('E2 — Triagem'!$E193:$L193,"N/A")=8,"Concluído",IF(COUNTIF('E2 — Triagem'!$E193:$L193,"✔ Concluído")+COUNTIF('E2 — Triagem'!$E193:$L193,"🔄 Em andamento")&gt;0,"Em andamento","Não iniciado"))))))))</f>
        <v/>
      </c>
      <c r="G211" s="234" t="str">
        <f>IF($B211="","",IF($F211&lt;&gt;"Concluído","Não iniciado",IF(COUNTIF(Lançamentos!$B$3:$B$1001,$B211)=0,"Bloqueado",IF('E3 — Levantamento'!$D193="","Bloqueado",IF(COUNTIF('E3 — Levantamento'!$E193:$I193,"⛔ Bloqueado")&gt;0,"Bloqueado",IF('E3 — Levantamento'!$I193="N/A","Bloqueado",IF(COUNTIF('E3 — Levantamento'!$E193:$I193,"✔ Concluído")=5,"Concluído",IF(COUNTIF('E3 — Levantamento'!$E193:$I193,"✔ Concluído")+COUNTIF('E3 — Levantamento'!$E193:$I193,"🔄 Em andamento")&gt;0,"Em andamento","Não iniciado"))))))))</f>
        <v/>
      </c>
      <c r="H211" s="234" t="str">
        <f>IF($B211="","",IF($G211&lt;&gt;"Concluído","Não iniciado",IF(COUNTIF(Lançamentos!$B$3:$B$1001,$B211)=0,"Bloqueado",IF('E4 — Execução'!$D193="","Bloqueado",IF(COUNTIF('E4 — Execução'!$E193:$K193,"⛔ Bloqueado")&gt;0,"Bloqueado",IF(COUNTIF('E4 — Execução'!$E193:$K193,"✔ Concluído")=7,"Concluído",IF(COUNTIF('E4 — Execução'!$E193:$K193,"✔ Concluído")+COUNTIF('E4 — Execução'!$E193:$K193,"🔄 Em andamento")&gt;0,"Em andamento","Não iniciado")))))))</f>
        <v/>
      </c>
      <c r="I211" s="234" t="str">
        <f>IF($B211="","",IF($H211&lt;&gt;"Concluído","Não iniciado",IF(COUNTIF(Lançamentos!$B$3:$B$1001,$B211)=0,"Bloqueado",IF('E5 — Validação'!$D193="","Bloqueado",IF(COUNTIF('E5 — Validação'!$E193:$I193,"⛔ Bloqueado")&gt;0,"Bloqueado",IF('E5 — Validação'!$I193="N/A","Bloqueado",IF(AND('E5 — Validação'!$E193="✔ Concluído",'E5 — Validação'!$F193="✔ Concluído",OR('E5 — Validação'!$G193="✔ Concluído",'E5 — Validação'!$G193="N/A"),'E5 — Validação'!$H193="✔ Concluído",'E5 — Validação'!$I193="✔ Concluído"),"Concluído",IF(COUNTIF('E5 — Validação'!$E193:$I193,"✔ Concluído")+COUNTIF('E5 — Validação'!$E193:$I193,"🔄 Em andamento")&gt;0,"Em andamento","Não iniciado"))))))))</f>
        <v/>
      </c>
      <c r="J211" s="234" t="str">
        <f>IF($B211="","",IF($I211&lt;&gt;"Concluído","Não iniciado",IF('E6 — Ajustes'!$N193="Não","N/A",IF(COUNTIF(Lançamentos!$B$3:$B$1001,$B211)=0,"Bloqueado",IF('E6 — Ajustes'!$D193="","Bloqueado",IF(COUNTIF('E6 — Ajustes'!$E193:$J193,"⛔ Bloqueado")&gt;0,"Bloqueado",IF(AND('E6 — Ajustes'!$E193="✔ Concluído",'E6 — Ajustes'!$F193="✔ Concluído",'E6 — Ajustes'!$G193="✔ Concluído",'E6 — Ajustes'!$H193="✔ Concluído",OR('E6 — Ajustes'!$I193="✔ Concluído",'E6 — Ajustes'!$I193="N/A"),'E6 — Ajustes'!$J193="✔ Concluído"),"Concluído",IF(COUNTIF('E6 — Ajustes'!$E193:$J193,"✔ Concluído")+COUNTIF('E6 — Ajustes'!$E193:$J193,"🔄 Em andamento")&gt;0,"Em andamento","Não iniciado"))))))))</f>
        <v/>
      </c>
      <c r="K211" s="234" t="str">
        <f>IF($B211="","",IF($I211&lt;&gt;"Concluído","Não iniciado",IF(AND($J211&lt;&gt;"Concluído",$J211&lt;&gt;"N/A"),"Não iniciado",IF(COUNTIF(Lançamentos!$B$3:$B$1001,$B211)=0,"Bloqueado",IF('E7 — Entrega'!$D193="","Bloqueado",IF(COUNTIF('E7 — Entrega'!$E193:$H193,"⛔ Bloqueado")&gt;0,"Bloqueado",IF(COUNTIF('E7 — Entrega'!$E193:$H193,"✔ Concluído")=4,"Concluído",IF(COUNTIF('E7 — Entrega'!$E193:$H193,"✔ Concluído")+COUNTIF('E7 — Entrega'!$E193:$H193,"🔄 Em andamento")&gt;0,"Em andamento","Não iniciado"))))))))</f>
        <v/>
      </c>
      <c r="L211" s="234" t="str">
        <f>IF($B211="","",IF($K211&lt;&gt;"Concluído","Não iniciado",IF(OR(COUNTIF('E08 — Estabilização Hypercare'!$E193:$J193,"⛔ Bloqueado")&gt;0,'E08 — Estabilização Hypercare'!$N193="⛔ Incidente Crítico — Encerramento Bloqueado",AND('E08 — Estabilização Hypercare'!$N193="🆕 Evolução Identificada — Nova Demanda Aberta",'E08 — Estabilização Hypercare'!$U193="")),"Bloqueado",IF(AND('E08 — Estabilização Hypercare'!$E193="✔ Concluído",'E08 — Estabilização Hypercare'!$F193="✔ Concluído",'E08 — Estabilização Hypercare'!$G193="✔ Concluído",OR('E08 — Estabilização Hypercare'!$H193="✔ Concluído",'E08 — Estabilização Hypercare'!$H193="N/A"),'E08 — Estabilização Hypercare'!$I193="✔ Concluído",'E08 — Estabilização Hypercare'!$J193="✔ Concluído",OR('E08 — Estabilização Hypercare'!$N193="✅ Estável — Demanda Encerrada",AND('E08 — Estabilização Hypercare'!$N193="🆕 Evolução Identificada — Nova Demanda Aberta",'E08 — Estabilização Hypercare'!$U193&lt;&gt;""))),"Concluído",IF(OR(COUNTIF('E08 — Estabilização Hypercare'!$E193:$J193,"✔ Concluído")&gt;0,COUNTIF('E08 — Estabilização Hypercare'!$E193:$J193,"🔄 Em andamento")&gt;0,'E08 — Estabilização Hypercare'!$N193&lt;&gt;""),"Em andamento","Não iniciado")))))</f>
        <v/>
      </c>
      <c r="M211" s="236" t="str" cm="1">
        <f t="array" ref="M211">IF(B211="","",_xlfn.IFS(E211&lt;&gt;"Concluído","E1 — Solicitação",F211&lt;&gt;"Concluído","E2 — Triagem",G211&lt;&gt;"Concluído","E3 — Levantamento ⚠",H211&lt;&gt;"Concluído","E4 — Execução",I211&lt;&gt;"Concluído","E5 — Validação ⚠",AND(J211&lt;&gt;"Concluído",J211&lt;&gt;"N/A"),"E6 — Ajustes",K211&lt;&gt;"Concluído","E7 — Entrega",L211&lt;&gt;"Concluído","E08 — Estabilização / Hypercare",TRUE,"✔ Fluxo concluído"))</f>
        <v/>
      </c>
      <c r="N211" s="237" t="str">
        <f t="shared" si="2"/>
        <v/>
      </c>
      <c r="O211" s="238"/>
    </row>
    <row r="212" spans="2:15" ht="15" customHeight="1" x14ac:dyDescent="0.35">
      <c r="B212" s="234" t="str">
        <f>IF(Lançamentos!$B189="","",Lançamentos!$B189)</f>
        <v/>
      </c>
      <c r="C212" s="235" t="str">
        <f>IF($B212="","",Lançamentos!$J189)</f>
        <v/>
      </c>
      <c r="D212" s="235" t="str">
        <f>IF($B212="","",Lançamentos!$H189)</f>
        <v/>
      </c>
      <c r="E212" s="234" t="str">
        <f>IF($B212="","",IF(COUNTIF(Lançamentos!$B$3:$B$1001,$B212)=0,"Bloqueado",IF(COUNTIF('E1 — Solicitação'!$E194:$L194,"⛔ Bloqueado")&gt;0,"Bloqueado",IF(COUNTIF('E1 — Solicitação'!$E194:$L194,"N/A")=8,"Bloqueado",IF(COUNTIF('E1 — Solicitação'!$E194:$L194,"✔ Concluído")+COUNTIF('E1 — Solicitação'!$E194:$L194,"N/A")=8,"Concluído",IF(COUNTIF('E1 — Solicitação'!$E194:$L194,"✔ Concluído")+COUNTIF('E1 — Solicitação'!$E194:$L194,"🔄 Em andamento")&gt;0,"Em andamento","Não iniciado"))))))</f>
        <v/>
      </c>
      <c r="F212" s="234" t="str">
        <f>IF($B212="","",IF($E212&lt;&gt;"Concluído","Não iniciado",IF(COUNTIF(Lançamentos!$B$3:$B$1001,$B212)=0,"Bloqueado",IF('E2 — Triagem'!$D194="","Bloqueado",IF(COUNTIF('E2 — Triagem'!$E194:$L194,"N/A")=8,"Bloqueado",IF(COUNTIF('E2 — Triagem'!$E194:$L194,"⛔ Bloqueado")&gt;0,"Bloqueado",IF(COUNTIF('E2 — Triagem'!$E194:$L194,"✔ Concluído")+COUNTIF('E2 — Triagem'!$E194:$L194,"N/A")=8,"Concluído",IF(COUNTIF('E2 — Triagem'!$E194:$L194,"✔ Concluído")+COUNTIF('E2 — Triagem'!$E194:$L194,"🔄 Em andamento")&gt;0,"Em andamento","Não iniciado"))))))))</f>
        <v/>
      </c>
      <c r="G212" s="234" t="str">
        <f>IF($B212="","",IF($F212&lt;&gt;"Concluído","Não iniciado",IF(COUNTIF(Lançamentos!$B$3:$B$1001,$B212)=0,"Bloqueado",IF('E3 — Levantamento'!$D194="","Bloqueado",IF(COUNTIF('E3 — Levantamento'!$E194:$I194,"⛔ Bloqueado")&gt;0,"Bloqueado",IF('E3 — Levantamento'!$I194="N/A","Bloqueado",IF(COUNTIF('E3 — Levantamento'!$E194:$I194,"✔ Concluído")=5,"Concluído",IF(COUNTIF('E3 — Levantamento'!$E194:$I194,"✔ Concluído")+COUNTIF('E3 — Levantamento'!$E194:$I194,"🔄 Em andamento")&gt;0,"Em andamento","Não iniciado"))))))))</f>
        <v/>
      </c>
      <c r="H212" s="234" t="str">
        <f>IF($B212="","",IF($G212&lt;&gt;"Concluído","Não iniciado",IF(COUNTIF(Lançamentos!$B$3:$B$1001,$B212)=0,"Bloqueado",IF('E4 — Execução'!$D194="","Bloqueado",IF(COUNTIF('E4 — Execução'!$E194:$K194,"⛔ Bloqueado")&gt;0,"Bloqueado",IF(COUNTIF('E4 — Execução'!$E194:$K194,"✔ Concluído")=7,"Concluído",IF(COUNTIF('E4 — Execução'!$E194:$K194,"✔ Concluído")+COUNTIF('E4 — Execução'!$E194:$K194,"🔄 Em andamento")&gt;0,"Em andamento","Não iniciado")))))))</f>
        <v/>
      </c>
      <c r="I212" s="234" t="str">
        <f>IF($B212="","",IF($H212&lt;&gt;"Concluído","Não iniciado",IF(COUNTIF(Lançamentos!$B$3:$B$1001,$B212)=0,"Bloqueado",IF('E5 — Validação'!$D194="","Bloqueado",IF(COUNTIF('E5 — Validação'!$E194:$I194,"⛔ Bloqueado")&gt;0,"Bloqueado",IF('E5 — Validação'!$I194="N/A","Bloqueado",IF(AND('E5 — Validação'!$E194="✔ Concluído",'E5 — Validação'!$F194="✔ Concluído",OR('E5 — Validação'!$G194="✔ Concluído",'E5 — Validação'!$G194="N/A"),'E5 — Validação'!$H194="✔ Concluído",'E5 — Validação'!$I194="✔ Concluído"),"Concluído",IF(COUNTIF('E5 — Validação'!$E194:$I194,"✔ Concluído")+COUNTIF('E5 — Validação'!$E194:$I194,"🔄 Em andamento")&gt;0,"Em andamento","Não iniciado"))))))))</f>
        <v/>
      </c>
      <c r="J212" s="234" t="str">
        <f>IF($B212="","",IF($I212&lt;&gt;"Concluído","Não iniciado",IF('E6 — Ajustes'!$N194="Não","N/A",IF(COUNTIF(Lançamentos!$B$3:$B$1001,$B212)=0,"Bloqueado",IF('E6 — Ajustes'!$D194="","Bloqueado",IF(COUNTIF('E6 — Ajustes'!$E194:$J194,"⛔ Bloqueado")&gt;0,"Bloqueado",IF(AND('E6 — Ajustes'!$E194="✔ Concluído",'E6 — Ajustes'!$F194="✔ Concluído",'E6 — Ajustes'!$G194="✔ Concluído",'E6 — Ajustes'!$H194="✔ Concluído",OR('E6 — Ajustes'!$I194="✔ Concluído",'E6 — Ajustes'!$I194="N/A"),'E6 — Ajustes'!$J194="✔ Concluído"),"Concluído",IF(COUNTIF('E6 — Ajustes'!$E194:$J194,"✔ Concluído")+COUNTIF('E6 — Ajustes'!$E194:$J194,"🔄 Em andamento")&gt;0,"Em andamento","Não iniciado"))))))))</f>
        <v/>
      </c>
      <c r="K212" s="234" t="str">
        <f>IF($B212="","",IF($I212&lt;&gt;"Concluído","Não iniciado",IF(AND($J212&lt;&gt;"Concluído",$J212&lt;&gt;"N/A"),"Não iniciado",IF(COUNTIF(Lançamentos!$B$3:$B$1001,$B212)=0,"Bloqueado",IF('E7 — Entrega'!$D194="","Bloqueado",IF(COUNTIF('E7 — Entrega'!$E194:$H194,"⛔ Bloqueado")&gt;0,"Bloqueado",IF(COUNTIF('E7 — Entrega'!$E194:$H194,"✔ Concluído")=4,"Concluído",IF(COUNTIF('E7 — Entrega'!$E194:$H194,"✔ Concluído")+COUNTIF('E7 — Entrega'!$E194:$H194,"🔄 Em andamento")&gt;0,"Em andamento","Não iniciado"))))))))</f>
        <v/>
      </c>
      <c r="L212" s="234" t="str">
        <f>IF($B212="","",IF($K212&lt;&gt;"Concluído","Não iniciado",IF(OR(COUNTIF('E08 — Estabilização Hypercare'!$E194:$J194,"⛔ Bloqueado")&gt;0,'E08 — Estabilização Hypercare'!$N194="⛔ Incidente Crítico — Encerramento Bloqueado",AND('E08 — Estabilização Hypercare'!$N194="🆕 Evolução Identificada — Nova Demanda Aberta",'E08 — Estabilização Hypercare'!$U194="")),"Bloqueado",IF(AND('E08 — Estabilização Hypercare'!$E194="✔ Concluído",'E08 — Estabilização Hypercare'!$F194="✔ Concluído",'E08 — Estabilização Hypercare'!$G194="✔ Concluído",OR('E08 — Estabilização Hypercare'!$H194="✔ Concluído",'E08 — Estabilização Hypercare'!$H194="N/A"),'E08 — Estabilização Hypercare'!$I194="✔ Concluído",'E08 — Estabilização Hypercare'!$J194="✔ Concluído",OR('E08 — Estabilização Hypercare'!$N194="✅ Estável — Demanda Encerrada",AND('E08 — Estabilização Hypercare'!$N194="🆕 Evolução Identificada — Nova Demanda Aberta",'E08 — Estabilização Hypercare'!$U194&lt;&gt;""))),"Concluído",IF(OR(COUNTIF('E08 — Estabilização Hypercare'!$E194:$J194,"✔ Concluído")&gt;0,COUNTIF('E08 — Estabilização Hypercare'!$E194:$J194,"🔄 Em andamento")&gt;0,'E08 — Estabilização Hypercare'!$N194&lt;&gt;""),"Em andamento","Não iniciado")))))</f>
        <v/>
      </c>
      <c r="M212" s="236" t="str" cm="1">
        <f t="array" ref="M212">IF(B212="","",_xlfn.IFS(E212&lt;&gt;"Concluído","E1 — Solicitação",F212&lt;&gt;"Concluído","E2 — Triagem",G212&lt;&gt;"Concluído","E3 — Levantamento ⚠",H212&lt;&gt;"Concluído","E4 — Execução",I212&lt;&gt;"Concluído","E5 — Validação ⚠",AND(J212&lt;&gt;"Concluído",J212&lt;&gt;"N/A"),"E6 — Ajustes",K212&lt;&gt;"Concluído","E7 — Entrega",L212&lt;&gt;"Concluído","E08 — Estabilização / Hypercare",TRUE,"✔ Fluxo concluído"))</f>
        <v/>
      </c>
      <c r="N212" s="237" t="str">
        <f t="shared" si="2"/>
        <v/>
      </c>
      <c r="O212" s="238"/>
    </row>
    <row r="213" spans="2:15" ht="15" customHeight="1" x14ac:dyDescent="0.35">
      <c r="B213" s="234" t="str">
        <f>IF(Lançamentos!$B190="","",Lançamentos!$B190)</f>
        <v/>
      </c>
      <c r="C213" s="235" t="str">
        <f>IF($B213="","",Lançamentos!$J190)</f>
        <v/>
      </c>
      <c r="D213" s="235" t="str">
        <f>IF($B213="","",Lançamentos!$H190)</f>
        <v/>
      </c>
      <c r="E213" s="234" t="str">
        <f>IF($B213="","",IF(COUNTIF(Lançamentos!$B$3:$B$1001,$B213)=0,"Bloqueado",IF(COUNTIF('E1 — Solicitação'!$E195:$L195,"⛔ Bloqueado")&gt;0,"Bloqueado",IF(COUNTIF('E1 — Solicitação'!$E195:$L195,"N/A")=8,"Bloqueado",IF(COUNTIF('E1 — Solicitação'!$E195:$L195,"✔ Concluído")+COUNTIF('E1 — Solicitação'!$E195:$L195,"N/A")=8,"Concluído",IF(COUNTIF('E1 — Solicitação'!$E195:$L195,"✔ Concluído")+COUNTIF('E1 — Solicitação'!$E195:$L195,"🔄 Em andamento")&gt;0,"Em andamento","Não iniciado"))))))</f>
        <v/>
      </c>
      <c r="F213" s="234" t="str">
        <f>IF($B213="","",IF($E213&lt;&gt;"Concluído","Não iniciado",IF(COUNTIF(Lançamentos!$B$3:$B$1001,$B213)=0,"Bloqueado",IF('E2 — Triagem'!$D195="","Bloqueado",IF(COUNTIF('E2 — Triagem'!$E195:$L195,"N/A")=8,"Bloqueado",IF(COUNTIF('E2 — Triagem'!$E195:$L195,"⛔ Bloqueado")&gt;0,"Bloqueado",IF(COUNTIF('E2 — Triagem'!$E195:$L195,"✔ Concluído")+COUNTIF('E2 — Triagem'!$E195:$L195,"N/A")=8,"Concluído",IF(COUNTIF('E2 — Triagem'!$E195:$L195,"✔ Concluído")+COUNTIF('E2 — Triagem'!$E195:$L195,"🔄 Em andamento")&gt;0,"Em andamento","Não iniciado"))))))))</f>
        <v/>
      </c>
      <c r="G213" s="234" t="str">
        <f>IF($B213="","",IF($F213&lt;&gt;"Concluído","Não iniciado",IF(COUNTIF(Lançamentos!$B$3:$B$1001,$B213)=0,"Bloqueado",IF('E3 — Levantamento'!$D195="","Bloqueado",IF(COUNTIF('E3 — Levantamento'!$E195:$I195,"⛔ Bloqueado")&gt;0,"Bloqueado",IF('E3 — Levantamento'!$I195="N/A","Bloqueado",IF(COUNTIF('E3 — Levantamento'!$E195:$I195,"✔ Concluído")=5,"Concluído",IF(COUNTIF('E3 — Levantamento'!$E195:$I195,"✔ Concluído")+COUNTIF('E3 — Levantamento'!$E195:$I195,"🔄 Em andamento")&gt;0,"Em andamento","Não iniciado"))))))))</f>
        <v/>
      </c>
      <c r="H213" s="234" t="str">
        <f>IF($B213="","",IF($G213&lt;&gt;"Concluído","Não iniciado",IF(COUNTIF(Lançamentos!$B$3:$B$1001,$B213)=0,"Bloqueado",IF('E4 — Execução'!$D195="","Bloqueado",IF(COUNTIF('E4 — Execução'!$E195:$K195,"⛔ Bloqueado")&gt;0,"Bloqueado",IF(COUNTIF('E4 — Execução'!$E195:$K195,"✔ Concluído")=7,"Concluído",IF(COUNTIF('E4 — Execução'!$E195:$K195,"✔ Concluído")+COUNTIF('E4 — Execução'!$E195:$K195,"🔄 Em andamento")&gt;0,"Em andamento","Não iniciado")))))))</f>
        <v/>
      </c>
      <c r="I213" s="234" t="str">
        <f>IF($B213="","",IF($H213&lt;&gt;"Concluído","Não iniciado",IF(COUNTIF(Lançamentos!$B$3:$B$1001,$B213)=0,"Bloqueado",IF('E5 — Validação'!$D195="","Bloqueado",IF(COUNTIF('E5 — Validação'!$E195:$I195,"⛔ Bloqueado")&gt;0,"Bloqueado",IF('E5 — Validação'!$I195="N/A","Bloqueado",IF(AND('E5 — Validação'!$E195="✔ Concluído",'E5 — Validação'!$F195="✔ Concluído",OR('E5 — Validação'!$G195="✔ Concluído",'E5 — Validação'!$G195="N/A"),'E5 — Validação'!$H195="✔ Concluído",'E5 — Validação'!$I195="✔ Concluído"),"Concluído",IF(COUNTIF('E5 — Validação'!$E195:$I195,"✔ Concluído")+COUNTIF('E5 — Validação'!$E195:$I195,"🔄 Em andamento")&gt;0,"Em andamento","Não iniciado"))))))))</f>
        <v/>
      </c>
      <c r="J213" s="234" t="str">
        <f>IF($B213="","",IF($I213&lt;&gt;"Concluído","Não iniciado",IF('E6 — Ajustes'!$N195="Não","N/A",IF(COUNTIF(Lançamentos!$B$3:$B$1001,$B213)=0,"Bloqueado",IF('E6 — Ajustes'!$D195="","Bloqueado",IF(COUNTIF('E6 — Ajustes'!$E195:$J195,"⛔ Bloqueado")&gt;0,"Bloqueado",IF(AND('E6 — Ajustes'!$E195="✔ Concluído",'E6 — Ajustes'!$F195="✔ Concluído",'E6 — Ajustes'!$G195="✔ Concluído",'E6 — Ajustes'!$H195="✔ Concluído",OR('E6 — Ajustes'!$I195="✔ Concluído",'E6 — Ajustes'!$I195="N/A"),'E6 — Ajustes'!$J195="✔ Concluído"),"Concluído",IF(COUNTIF('E6 — Ajustes'!$E195:$J195,"✔ Concluído")+COUNTIF('E6 — Ajustes'!$E195:$J195,"🔄 Em andamento")&gt;0,"Em andamento","Não iniciado"))))))))</f>
        <v/>
      </c>
      <c r="K213" s="234" t="str">
        <f>IF($B213="","",IF($I213&lt;&gt;"Concluído","Não iniciado",IF(AND($J213&lt;&gt;"Concluído",$J213&lt;&gt;"N/A"),"Não iniciado",IF(COUNTIF(Lançamentos!$B$3:$B$1001,$B213)=0,"Bloqueado",IF('E7 — Entrega'!$D195="","Bloqueado",IF(COUNTIF('E7 — Entrega'!$E195:$H195,"⛔ Bloqueado")&gt;0,"Bloqueado",IF(COUNTIF('E7 — Entrega'!$E195:$H195,"✔ Concluído")=4,"Concluído",IF(COUNTIF('E7 — Entrega'!$E195:$H195,"✔ Concluído")+COUNTIF('E7 — Entrega'!$E195:$H195,"🔄 Em andamento")&gt;0,"Em andamento","Não iniciado"))))))))</f>
        <v/>
      </c>
      <c r="L213" s="234" t="str">
        <f>IF($B213="","",IF($K213&lt;&gt;"Concluído","Não iniciado",IF(OR(COUNTIF('E08 — Estabilização Hypercare'!$E195:$J195,"⛔ Bloqueado")&gt;0,'E08 — Estabilização Hypercare'!$N195="⛔ Incidente Crítico — Encerramento Bloqueado",AND('E08 — Estabilização Hypercare'!$N195="🆕 Evolução Identificada — Nova Demanda Aberta",'E08 — Estabilização Hypercare'!$U195="")),"Bloqueado",IF(AND('E08 — Estabilização Hypercare'!$E195="✔ Concluído",'E08 — Estabilização Hypercare'!$F195="✔ Concluído",'E08 — Estabilização Hypercare'!$G195="✔ Concluído",OR('E08 — Estabilização Hypercare'!$H195="✔ Concluído",'E08 — Estabilização Hypercare'!$H195="N/A"),'E08 — Estabilização Hypercare'!$I195="✔ Concluído",'E08 — Estabilização Hypercare'!$J195="✔ Concluído",OR('E08 — Estabilização Hypercare'!$N195="✅ Estável — Demanda Encerrada",AND('E08 — Estabilização Hypercare'!$N195="🆕 Evolução Identificada — Nova Demanda Aberta",'E08 — Estabilização Hypercare'!$U195&lt;&gt;""))),"Concluído",IF(OR(COUNTIF('E08 — Estabilização Hypercare'!$E195:$J195,"✔ Concluído")&gt;0,COUNTIF('E08 — Estabilização Hypercare'!$E195:$J195,"🔄 Em andamento")&gt;0,'E08 — Estabilização Hypercare'!$N195&lt;&gt;""),"Em andamento","Não iniciado")))))</f>
        <v/>
      </c>
      <c r="M213" s="236" t="str" cm="1">
        <f t="array" ref="M213">IF(B213="","",_xlfn.IFS(E213&lt;&gt;"Concluído","E1 — Solicitação",F213&lt;&gt;"Concluído","E2 — Triagem",G213&lt;&gt;"Concluído","E3 — Levantamento ⚠",H213&lt;&gt;"Concluído","E4 — Execução",I213&lt;&gt;"Concluído","E5 — Validação ⚠",AND(J213&lt;&gt;"Concluído",J213&lt;&gt;"N/A"),"E6 — Ajustes",K213&lt;&gt;"Concluído","E7 — Entrega",L213&lt;&gt;"Concluído","E08 — Estabilização / Hypercare",TRUE,"✔ Fluxo concluído"))</f>
        <v/>
      </c>
      <c r="N213" s="237" t="str">
        <f t="shared" si="2"/>
        <v/>
      </c>
      <c r="O213" s="238"/>
    </row>
    <row r="214" spans="2:15" ht="15" customHeight="1" x14ac:dyDescent="0.35">
      <c r="B214" s="234" t="str">
        <f>IF(Lançamentos!$B191="","",Lançamentos!$B191)</f>
        <v/>
      </c>
      <c r="C214" s="235" t="str">
        <f>IF($B214="","",Lançamentos!$J191)</f>
        <v/>
      </c>
      <c r="D214" s="235" t="str">
        <f>IF($B214="","",Lançamentos!$H191)</f>
        <v/>
      </c>
      <c r="E214" s="234" t="str">
        <f>IF($B214="","",IF(COUNTIF(Lançamentos!$B$3:$B$1001,$B214)=0,"Bloqueado",IF(COUNTIF('E1 — Solicitação'!$E196:$L196,"⛔ Bloqueado")&gt;0,"Bloqueado",IF(COUNTIF('E1 — Solicitação'!$E196:$L196,"N/A")=8,"Bloqueado",IF(COUNTIF('E1 — Solicitação'!$E196:$L196,"✔ Concluído")+COUNTIF('E1 — Solicitação'!$E196:$L196,"N/A")=8,"Concluído",IF(COUNTIF('E1 — Solicitação'!$E196:$L196,"✔ Concluído")+COUNTIF('E1 — Solicitação'!$E196:$L196,"🔄 Em andamento")&gt;0,"Em andamento","Não iniciado"))))))</f>
        <v/>
      </c>
      <c r="F214" s="234" t="str">
        <f>IF($B214="","",IF($E214&lt;&gt;"Concluído","Não iniciado",IF(COUNTIF(Lançamentos!$B$3:$B$1001,$B214)=0,"Bloqueado",IF('E2 — Triagem'!$D196="","Bloqueado",IF(COUNTIF('E2 — Triagem'!$E196:$L196,"N/A")=8,"Bloqueado",IF(COUNTIF('E2 — Triagem'!$E196:$L196,"⛔ Bloqueado")&gt;0,"Bloqueado",IF(COUNTIF('E2 — Triagem'!$E196:$L196,"✔ Concluído")+COUNTIF('E2 — Triagem'!$E196:$L196,"N/A")=8,"Concluído",IF(COUNTIF('E2 — Triagem'!$E196:$L196,"✔ Concluído")+COUNTIF('E2 — Triagem'!$E196:$L196,"🔄 Em andamento")&gt;0,"Em andamento","Não iniciado"))))))))</f>
        <v/>
      </c>
      <c r="G214" s="234" t="str">
        <f>IF($B214="","",IF($F214&lt;&gt;"Concluído","Não iniciado",IF(COUNTIF(Lançamentos!$B$3:$B$1001,$B214)=0,"Bloqueado",IF('E3 — Levantamento'!$D196="","Bloqueado",IF(COUNTIF('E3 — Levantamento'!$E196:$I196,"⛔ Bloqueado")&gt;0,"Bloqueado",IF('E3 — Levantamento'!$I196="N/A","Bloqueado",IF(COUNTIF('E3 — Levantamento'!$E196:$I196,"✔ Concluído")=5,"Concluído",IF(COUNTIF('E3 — Levantamento'!$E196:$I196,"✔ Concluído")+COUNTIF('E3 — Levantamento'!$E196:$I196,"🔄 Em andamento")&gt;0,"Em andamento","Não iniciado"))))))))</f>
        <v/>
      </c>
      <c r="H214" s="234" t="str">
        <f>IF($B214="","",IF($G214&lt;&gt;"Concluído","Não iniciado",IF(COUNTIF(Lançamentos!$B$3:$B$1001,$B214)=0,"Bloqueado",IF('E4 — Execução'!$D196="","Bloqueado",IF(COUNTIF('E4 — Execução'!$E196:$K196,"⛔ Bloqueado")&gt;0,"Bloqueado",IF(COUNTIF('E4 — Execução'!$E196:$K196,"✔ Concluído")=7,"Concluído",IF(COUNTIF('E4 — Execução'!$E196:$K196,"✔ Concluído")+COUNTIF('E4 — Execução'!$E196:$K196,"🔄 Em andamento")&gt;0,"Em andamento","Não iniciado")))))))</f>
        <v/>
      </c>
      <c r="I214" s="234" t="str">
        <f>IF($B214="","",IF($H214&lt;&gt;"Concluído","Não iniciado",IF(COUNTIF(Lançamentos!$B$3:$B$1001,$B214)=0,"Bloqueado",IF('E5 — Validação'!$D196="","Bloqueado",IF(COUNTIF('E5 — Validação'!$E196:$I196,"⛔ Bloqueado")&gt;0,"Bloqueado",IF('E5 — Validação'!$I196="N/A","Bloqueado",IF(AND('E5 — Validação'!$E196="✔ Concluído",'E5 — Validação'!$F196="✔ Concluído",OR('E5 — Validação'!$G196="✔ Concluído",'E5 — Validação'!$G196="N/A"),'E5 — Validação'!$H196="✔ Concluído",'E5 — Validação'!$I196="✔ Concluído"),"Concluído",IF(COUNTIF('E5 — Validação'!$E196:$I196,"✔ Concluído")+COUNTIF('E5 — Validação'!$E196:$I196,"🔄 Em andamento")&gt;0,"Em andamento","Não iniciado"))))))))</f>
        <v/>
      </c>
      <c r="J214" s="234" t="str">
        <f>IF($B214="","",IF($I214&lt;&gt;"Concluído","Não iniciado",IF('E6 — Ajustes'!$N196="Não","N/A",IF(COUNTIF(Lançamentos!$B$3:$B$1001,$B214)=0,"Bloqueado",IF('E6 — Ajustes'!$D196="","Bloqueado",IF(COUNTIF('E6 — Ajustes'!$E196:$J196,"⛔ Bloqueado")&gt;0,"Bloqueado",IF(AND('E6 — Ajustes'!$E196="✔ Concluído",'E6 — Ajustes'!$F196="✔ Concluído",'E6 — Ajustes'!$G196="✔ Concluído",'E6 — Ajustes'!$H196="✔ Concluído",OR('E6 — Ajustes'!$I196="✔ Concluído",'E6 — Ajustes'!$I196="N/A"),'E6 — Ajustes'!$J196="✔ Concluído"),"Concluído",IF(COUNTIF('E6 — Ajustes'!$E196:$J196,"✔ Concluído")+COUNTIF('E6 — Ajustes'!$E196:$J196,"🔄 Em andamento")&gt;0,"Em andamento","Não iniciado"))))))))</f>
        <v/>
      </c>
      <c r="K214" s="234" t="str">
        <f>IF($B214="","",IF($I214&lt;&gt;"Concluído","Não iniciado",IF(AND($J214&lt;&gt;"Concluído",$J214&lt;&gt;"N/A"),"Não iniciado",IF(COUNTIF(Lançamentos!$B$3:$B$1001,$B214)=0,"Bloqueado",IF('E7 — Entrega'!$D196="","Bloqueado",IF(COUNTIF('E7 — Entrega'!$E196:$H196,"⛔ Bloqueado")&gt;0,"Bloqueado",IF(COUNTIF('E7 — Entrega'!$E196:$H196,"✔ Concluído")=4,"Concluído",IF(COUNTIF('E7 — Entrega'!$E196:$H196,"✔ Concluído")+COUNTIF('E7 — Entrega'!$E196:$H196,"🔄 Em andamento")&gt;0,"Em andamento","Não iniciado"))))))))</f>
        <v/>
      </c>
      <c r="L214" s="234" t="str">
        <f>IF($B214="","",IF($K214&lt;&gt;"Concluído","Não iniciado",IF(OR(COUNTIF('E08 — Estabilização Hypercare'!$E196:$J196,"⛔ Bloqueado")&gt;0,'E08 — Estabilização Hypercare'!$N196="⛔ Incidente Crítico — Encerramento Bloqueado",AND('E08 — Estabilização Hypercare'!$N196="🆕 Evolução Identificada — Nova Demanda Aberta",'E08 — Estabilização Hypercare'!$U196="")),"Bloqueado",IF(AND('E08 — Estabilização Hypercare'!$E196="✔ Concluído",'E08 — Estabilização Hypercare'!$F196="✔ Concluído",'E08 — Estabilização Hypercare'!$G196="✔ Concluído",OR('E08 — Estabilização Hypercare'!$H196="✔ Concluído",'E08 — Estabilização Hypercare'!$H196="N/A"),'E08 — Estabilização Hypercare'!$I196="✔ Concluído",'E08 — Estabilização Hypercare'!$J196="✔ Concluído",OR('E08 — Estabilização Hypercare'!$N196="✅ Estável — Demanda Encerrada",AND('E08 — Estabilização Hypercare'!$N196="🆕 Evolução Identificada — Nova Demanda Aberta",'E08 — Estabilização Hypercare'!$U196&lt;&gt;""))),"Concluído",IF(OR(COUNTIF('E08 — Estabilização Hypercare'!$E196:$J196,"✔ Concluído")&gt;0,COUNTIF('E08 — Estabilização Hypercare'!$E196:$J196,"🔄 Em andamento")&gt;0,'E08 — Estabilização Hypercare'!$N196&lt;&gt;""),"Em andamento","Não iniciado")))))</f>
        <v/>
      </c>
      <c r="M214" s="236" t="str" cm="1">
        <f t="array" ref="M214">IF(B214="","",_xlfn.IFS(E214&lt;&gt;"Concluído","E1 — Solicitação",F214&lt;&gt;"Concluído","E2 — Triagem",G214&lt;&gt;"Concluído","E3 — Levantamento ⚠",H214&lt;&gt;"Concluído","E4 — Execução",I214&lt;&gt;"Concluído","E5 — Validação ⚠",AND(J214&lt;&gt;"Concluído",J214&lt;&gt;"N/A"),"E6 — Ajustes",K214&lt;&gt;"Concluído","E7 — Entrega",L214&lt;&gt;"Concluído","E08 — Estabilização / Hypercare",TRUE,"✔ Fluxo concluído"))</f>
        <v/>
      </c>
      <c r="N214" s="237" t="str">
        <f t="shared" si="2"/>
        <v/>
      </c>
      <c r="O214" s="238"/>
    </row>
    <row r="215" spans="2:15" ht="15" customHeight="1" x14ac:dyDescent="0.35">
      <c r="B215" s="234" t="str">
        <f>IF(Lançamentos!$B192="","",Lançamentos!$B192)</f>
        <v/>
      </c>
      <c r="C215" s="235" t="str">
        <f>IF($B215="","",Lançamentos!$J192)</f>
        <v/>
      </c>
      <c r="D215" s="235" t="str">
        <f>IF($B215="","",Lançamentos!$H192)</f>
        <v/>
      </c>
      <c r="E215" s="234" t="str">
        <f>IF($B215="","",IF(COUNTIF(Lançamentos!$B$3:$B$1001,$B215)=0,"Bloqueado",IF(COUNTIF('E1 — Solicitação'!$E197:$L197,"⛔ Bloqueado")&gt;0,"Bloqueado",IF(COUNTIF('E1 — Solicitação'!$E197:$L197,"N/A")=8,"Bloqueado",IF(COUNTIF('E1 — Solicitação'!$E197:$L197,"✔ Concluído")+COUNTIF('E1 — Solicitação'!$E197:$L197,"N/A")=8,"Concluído",IF(COUNTIF('E1 — Solicitação'!$E197:$L197,"✔ Concluído")+COUNTIF('E1 — Solicitação'!$E197:$L197,"🔄 Em andamento")&gt;0,"Em andamento","Não iniciado"))))))</f>
        <v/>
      </c>
      <c r="F215" s="234" t="str">
        <f>IF($B215="","",IF($E215&lt;&gt;"Concluído","Não iniciado",IF(COUNTIF(Lançamentos!$B$3:$B$1001,$B215)=0,"Bloqueado",IF('E2 — Triagem'!$D197="","Bloqueado",IF(COUNTIF('E2 — Triagem'!$E197:$L197,"N/A")=8,"Bloqueado",IF(COUNTIF('E2 — Triagem'!$E197:$L197,"⛔ Bloqueado")&gt;0,"Bloqueado",IF(COUNTIF('E2 — Triagem'!$E197:$L197,"✔ Concluído")+COUNTIF('E2 — Triagem'!$E197:$L197,"N/A")=8,"Concluído",IF(COUNTIF('E2 — Triagem'!$E197:$L197,"✔ Concluído")+COUNTIF('E2 — Triagem'!$E197:$L197,"🔄 Em andamento")&gt;0,"Em andamento","Não iniciado"))))))))</f>
        <v/>
      </c>
      <c r="G215" s="234" t="str">
        <f>IF($B215="","",IF($F215&lt;&gt;"Concluído","Não iniciado",IF(COUNTIF(Lançamentos!$B$3:$B$1001,$B215)=0,"Bloqueado",IF('E3 — Levantamento'!$D197="","Bloqueado",IF(COUNTIF('E3 — Levantamento'!$E197:$I197,"⛔ Bloqueado")&gt;0,"Bloqueado",IF('E3 — Levantamento'!$I197="N/A","Bloqueado",IF(COUNTIF('E3 — Levantamento'!$E197:$I197,"✔ Concluído")=5,"Concluído",IF(COUNTIF('E3 — Levantamento'!$E197:$I197,"✔ Concluído")+COUNTIF('E3 — Levantamento'!$E197:$I197,"🔄 Em andamento")&gt;0,"Em andamento","Não iniciado"))))))))</f>
        <v/>
      </c>
      <c r="H215" s="234" t="str">
        <f>IF($B215="","",IF($G215&lt;&gt;"Concluído","Não iniciado",IF(COUNTIF(Lançamentos!$B$3:$B$1001,$B215)=0,"Bloqueado",IF('E4 — Execução'!$D197="","Bloqueado",IF(COUNTIF('E4 — Execução'!$E197:$K197,"⛔ Bloqueado")&gt;0,"Bloqueado",IF(COUNTIF('E4 — Execução'!$E197:$K197,"✔ Concluído")=7,"Concluído",IF(COUNTIF('E4 — Execução'!$E197:$K197,"✔ Concluído")+COUNTIF('E4 — Execução'!$E197:$K197,"🔄 Em andamento")&gt;0,"Em andamento","Não iniciado")))))))</f>
        <v/>
      </c>
      <c r="I215" s="234" t="str">
        <f>IF($B215="","",IF($H215&lt;&gt;"Concluído","Não iniciado",IF(COUNTIF(Lançamentos!$B$3:$B$1001,$B215)=0,"Bloqueado",IF('E5 — Validação'!$D197="","Bloqueado",IF(COUNTIF('E5 — Validação'!$E197:$I197,"⛔ Bloqueado")&gt;0,"Bloqueado",IF('E5 — Validação'!$I197="N/A","Bloqueado",IF(AND('E5 — Validação'!$E197="✔ Concluído",'E5 — Validação'!$F197="✔ Concluído",OR('E5 — Validação'!$G197="✔ Concluído",'E5 — Validação'!$G197="N/A"),'E5 — Validação'!$H197="✔ Concluído",'E5 — Validação'!$I197="✔ Concluído"),"Concluído",IF(COUNTIF('E5 — Validação'!$E197:$I197,"✔ Concluído")+COUNTIF('E5 — Validação'!$E197:$I197,"🔄 Em andamento")&gt;0,"Em andamento","Não iniciado"))))))))</f>
        <v/>
      </c>
      <c r="J215" s="234" t="str">
        <f>IF($B215="","",IF($I215&lt;&gt;"Concluído","Não iniciado",IF('E6 — Ajustes'!$N197="Não","N/A",IF(COUNTIF(Lançamentos!$B$3:$B$1001,$B215)=0,"Bloqueado",IF('E6 — Ajustes'!$D197="","Bloqueado",IF(COUNTIF('E6 — Ajustes'!$E197:$J197,"⛔ Bloqueado")&gt;0,"Bloqueado",IF(AND('E6 — Ajustes'!$E197="✔ Concluído",'E6 — Ajustes'!$F197="✔ Concluído",'E6 — Ajustes'!$G197="✔ Concluído",'E6 — Ajustes'!$H197="✔ Concluído",OR('E6 — Ajustes'!$I197="✔ Concluído",'E6 — Ajustes'!$I197="N/A"),'E6 — Ajustes'!$J197="✔ Concluído"),"Concluído",IF(COUNTIF('E6 — Ajustes'!$E197:$J197,"✔ Concluído")+COUNTIF('E6 — Ajustes'!$E197:$J197,"🔄 Em andamento")&gt;0,"Em andamento","Não iniciado"))))))))</f>
        <v/>
      </c>
      <c r="K215" s="234" t="str">
        <f>IF($B215="","",IF($I215&lt;&gt;"Concluído","Não iniciado",IF(AND($J215&lt;&gt;"Concluído",$J215&lt;&gt;"N/A"),"Não iniciado",IF(COUNTIF(Lançamentos!$B$3:$B$1001,$B215)=0,"Bloqueado",IF('E7 — Entrega'!$D197="","Bloqueado",IF(COUNTIF('E7 — Entrega'!$E197:$H197,"⛔ Bloqueado")&gt;0,"Bloqueado",IF(COUNTIF('E7 — Entrega'!$E197:$H197,"✔ Concluído")=4,"Concluído",IF(COUNTIF('E7 — Entrega'!$E197:$H197,"✔ Concluído")+COUNTIF('E7 — Entrega'!$E197:$H197,"🔄 Em andamento")&gt;0,"Em andamento","Não iniciado"))))))))</f>
        <v/>
      </c>
      <c r="L215" s="234" t="str">
        <f>IF($B215="","",IF($K215&lt;&gt;"Concluído","Não iniciado",IF(OR(COUNTIF('E08 — Estabilização Hypercare'!$E197:$J197,"⛔ Bloqueado")&gt;0,'E08 — Estabilização Hypercare'!$N197="⛔ Incidente Crítico — Encerramento Bloqueado",AND('E08 — Estabilização Hypercare'!$N197="🆕 Evolução Identificada — Nova Demanda Aberta",'E08 — Estabilização Hypercare'!$U197="")),"Bloqueado",IF(AND('E08 — Estabilização Hypercare'!$E197="✔ Concluído",'E08 — Estabilização Hypercare'!$F197="✔ Concluído",'E08 — Estabilização Hypercare'!$G197="✔ Concluído",OR('E08 — Estabilização Hypercare'!$H197="✔ Concluído",'E08 — Estabilização Hypercare'!$H197="N/A"),'E08 — Estabilização Hypercare'!$I197="✔ Concluído",'E08 — Estabilização Hypercare'!$J197="✔ Concluído",OR('E08 — Estabilização Hypercare'!$N197="✅ Estável — Demanda Encerrada",AND('E08 — Estabilização Hypercare'!$N197="🆕 Evolução Identificada — Nova Demanda Aberta",'E08 — Estabilização Hypercare'!$U197&lt;&gt;""))),"Concluído",IF(OR(COUNTIF('E08 — Estabilização Hypercare'!$E197:$J197,"✔ Concluído")&gt;0,COUNTIF('E08 — Estabilização Hypercare'!$E197:$J197,"🔄 Em andamento")&gt;0,'E08 — Estabilização Hypercare'!$N197&lt;&gt;""),"Em andamento","Não iniciado")))))</f>
        <v/>
      </c>
      <c r="M215" s="236" t="str" cm="1">
        <f t="array" ref="M215">IF(B215="","",_xlfn.IFS(E215&lt;&gt;"Concluído","E1 — Solicitação",F215&lt;&gt;"Concluído","E2 — Triagem",G215&lt;&gt;"Concluído","E3 — Levantamento ⚠",H215&lt;&gt;"Concluído","E4 — Execução",I215&lt;&gt;"Concluído","E5 — Validação ⚠",AND(J215&lt;&gt;"Concluído",J215&lt;&gt;"N/A"),"E6 — Ajustes",K215&lt;&gt;"Concluído","E7 — Entrega",L215&lt;&gt;"Concluído","E08 — Estabilização / Hypercare",TRUE,"✔ Fluxo concluído"))</f>
        <v/>
      </c>
      <c r="N215" s="237" t="str">
        <f t="shared" si="2"/>
        <v/>
      </c>
      <c r="O215" s="238"/>
    </row>
    <row r="216" spans="2:15" ht="15" customHeight="1" x14ac:dyDescent="0.35">
      <c r="B216" s="234" t="str">
        <f>IF(Lançamentos!$B193="","",Lançamentos!$B193)</f>
        <v/>
      </c>
      <c r="C216" s="235" t="str">
        <f>IF($B216="","",Lançamentos!$J193)</f>
        <v/>
      </c>
      <c r="D216" s="235" t="str">
        <f>IF($B216="","",Lançamentos!$H193)</f>
        <v/>
      </c>
      <c r="E216" s="234" t="str">
        <f>IF($B216="","",IF(COUNTIF(Lançamentos!$B$3:$B$1001,$B216)=0,"Bloqueado",IF(COUNTIF('E1 — Solicitação'!$E198:$L198,"⛔ Bloqueado")&gt;0,"Bloqueado",IF(COUNTIF('E1 — Solicitação'!$E198:$L198,"N/A")=8,"Bloqueado",IF(COUNTIF('E1 — Solicitação'!$E198:$L198,"✔ Concluído")+COUNTIF('E1 — Solicitação'!$E198:$L198,"N/A")=8,"Concluído",IF(COUNTIF('E1 — Solicitação'!$E198:$L198,"✔ Concluído")+COUNTIF('E1 — Solicitação'!$E198:$L198,"🔄 Em andamento")&gt;0,"Em andamento","Não iniciado"))))))</f>
        <v/>
      </c>
      <c r="F216" s="234" t="str">
        <f>IF($B216="","",IF($E216&lt;&gt;"Concluído","Não iniciado",IF(COUNTIF(Lançamentos!$B$3:$B$1001,$B216)=0,"Bloqueado",IF('E2 — Triagem'!$D198="","Bloqueado",IF(COUNTIF('E2 — Triagem'!$E198:$L198,"N/A")=8,"Bloqueado",IF(COUNTIF('E2 — Triagem'!$E198:$L198,"⛔ Bloqueado")&gt;0,"Bloqueado",IF(COUNTIF('E2 — Triagem'!$E198:$L198,"✔ Concluído")+COUNTIF('E2 — Triagem'!$E198:$L198,"N/A")=8,"Concluído",IF(COUNTIF('E2 — Triagem'!$E198:$L198,"✔ Concluído")+COUNTIF('E2 — Triagem'!$E198:$L198,"🔄 Em andamento")&gt;0,"Em andamento","Não iniciado"))))))))</f>
        <v/>
      </c>
      <c r="G216" s="234" t="str">
        <f>IF($B216="","",IF($F216&lt;&gt;"Concluído","Não iniciado",IF(COUNTIF(Lançamentos!$B$3:$B$1001,$B216)=0,"Bloqueado",IF('E3 — Levantamento'!$D198="","Bloqueado",IF(COUNTIF('E3 — Levantamento'!$E198:$I198,"⛔ Bloqueado")&gt;0,"Bloqueado",IF('E3 — Levantamento'!$I198="N/A","Bloqueado",IF(COUNTIF('E3 — Levantamento'!$E198:$I198,"✔ Concluído")=5,"Concluído",IF(COUNTIF('E3 — Levantamento'!$E198:$I198,"✔ Concluído")+COUNTIF('E3 — Levantamento'!$E198:$I198,"🔄 Em andamento")&gt;0,"Em andamento","Não iniciado"))))))))</f>
        <v/>
      </c>
      <c r="H216" s="234" t="str">
        <f>IF($B216="","",IF($G216&lt;&gt;"Concluído","Não iniciado",IF(COUNTIF(Lançamentos!$B$3:$B$1001,$B216)=0,"Bloqueado",IF('E4 — Execução'!$D198="","Bloqueado",IF(COUNTIF('E4 — Execução'!$E198:$K198,"⛔ Bloqueado")&gt;0,"Bloqueado",IF(COUNTIF('E4 — Execução'!$E198:$K198,"✔ Concluído")=7,"Concluído",IF(COUNTIF('E4 — Execução'!$E198:$K198,"✔ Concluído")+COUNTIF('E4 — Execução'!$E198:$K198,"🔄 Em andamento")&gt;0,"Em andamento","Não iniciado")))))))</f>
        <v/>
      </c>
      <c r="I216" s="234" t="str">
        <f>IF($B216="","",IF($H216&lt;&gt;"Concluído","Não iniciado",IF(COUNTIF(Lançamentos!$B$3:$B$1001,$B216)=0,"Bloqueado",IF('E5 — Validação'!$D198="","Bloqueado",IF(COUNTIF('E5 — Validação'!$E198:$I198,"⛔ Bloqueado")&gt;0,"Bloqueado",IF('E5 — Validação'!$I198="N/A","Bloqueado",IF(AND('E5 — Validação'!$E198="✔ Concluído",'E5 — Validação'!$F198="✔ Concluído",OR('E5 — Validação'!$G198="✔ Concluído",'E5 — Validação'!$G198="N/A"),'E5 — Validação'!$H198="✔ Concluído",'E5 — Validação'!$I198="✔ Concluído"),"Concluído",IF(COUNTIF('E5 — Validação'!$E198:$I198,"✔ Concluído")+COUNTIF('E5 — Validação'!$E198:$I198,"🔄 Em andamento")&gt;0,"Em andamento","Não iniciado"))))))))</f>
        <v/>
      </c>
      <c r="J216" s="234" t="str">
        <f>IF($B216="","",IF($I216&lt;&gt;"Concluído","Não iniciado",IF('E6 — Ajustes'!$N198="Não","N/A",IF(COUNTIF(Lançamentos!$B$3:$B$1001,$B216)=0,"Bloqueado",IF('E6 — Ajustes'!$D198="","Bloqueado",IF(COUNTIF('E6 — Ajustes'!$E198:$J198,"⛔ Bloqueado")&gt;0,"Bloqueado",IF(AND('E6 — Ajustes'!$E198="✔ Concluído",'E6 — Ajustes'!$F198="✔ Concluído",'E6 — Ajustes'!$G198="✔ Concluído",'E6 — Ajustes'!$H198="✔ Concluído",OR('E6 — Ajustes'!$I198="✔ Concluído",'E6 — Ajustes'!$I198="N/A"),'E6 — Ajustes'!$J198="✔ Concluído"),"Concluído",IF(COUNTIF('E6 — Ajustes'!$E198:$J198,"✔ Concluído")+COUNTIF('E6 — Ajustes'!$E198:$J198,"🔄 Em andamento")&gt;0,"Em andamento","Não iniciado"))))))))</f>
        <v/>
      </c>
      <c r="K216" s="234" t="str">
        <f>IF($B216="","",IF($I216&lt;&gt;"Concluído","Não iniciado",IF(AND($J216&lt;&gt;"Concluído",$J216&lt;&gt;"N/A"),"Não iniciado",IF(COUNTIF(Lançamentos!$B$3:$B$1001,$B216)=0,"Bloqueado",IF('E7 — Entrega'!$D198="","Bloqueado",IF(COUNTIF('E7 — Entrega'!$E198:$H198,"⛔ Bloqueado")&gt;0,"Bloqueado",IF(COUNTIF('E7 — Entrega'!$E198:$H198,"✔ Concluído")=4,"Concluído",IF(COUNTIF('E7 — Entrega'!$E198:$H198,"✔ Concluído")+COUNTIF('E7 — Entrega'!$E198:$H198,"🔄 Em andamento")&gt;0,"Em andamento","Não iniciado"))))))))</f>
        <v/>
      </c>
      <c r="L216" s="234" t="str">
        <f>IF($B216="","",IF($K216&lt;&gt;"Concluído","Não iniciado",IF(OR(COUNTIF('E08 — Estabilização Hypercare'!$E198:$J198,"⛔ Bloqueado")&gt;0,'E08 — Estabilização Hypercare'!$N198="⛔ Incidente Crítico — Encerramento Bloqueado",AND('E08 — Estabilização Hypercare'!$N198="🆕 Evolução Identificada — Nova Demanda Aberta",'E08 — Estabilização Hypercare'!$U198="")),"Bloqueado",IF(AND('E08 — Estabilização Hypercare'!$E198="✔ Concluído",'E08 — Estabilização Hypercare'!$F198="✔ Concluído",'E08 — Estabilização Hypercare'!$G198="✔ Concluído",OR('E08 — Estabilização Hypercare'!$H198="✔ Concluído",'E08 — Estabilização Hypercare'!$H198="N/A"),'E08 — Estabilização Hypercare'!$I198="✔ Concluído",'E08 — Estabilização Hypercare'!$J198="✔ Concluído",OR('E08 — Estabilização Hypercare'!$N198="✅ Estável — Demanda Encerrada",AND('E08 — Estabilização Hypercare'!$N198="🆕 Evolução Identificada — Nova Demanda Aberta",'E08 — Estabilização Hypercare'!$U198&lt;&gt;""))),"Concluído",IF(OR(COUNTIF('E08 — Estabilização Hypercare'!$E198:$J198,"✔ Concluído")&gt;0,COUNTIF('E08 — Estabilização Hypercare'!$E198:$J198,"🔄 Em andamento")&gt;0,'E08 — Estabilização Hypercare'!$N198&lt;&gt;""),"Em andamento","Não iniciado")))))</f>
        <v/>
      </c>
      <c r="M216" s="236" t="str" cm="1">
        <f t="array" ref="M216">IF(B216="","",_xlfn.IFS(E216&lt;&gt;"Concluído","E1 — Solicitação",F216&lt;&gt;"Concluído","E2 — Triagem",G216&lt;&gt;"Concluído","E3 — Levantamento ⚠",H216&lt;&gt;"Concluído","E4 — Execução",I216&lt;&gt;"Concluído","E5 — Validação ⚠",AND(J216&lt;&gt;"Concluído",J216&lt;&gt;"N/A"),"E6 — Ajustes",K216&lt;&gt;"Concluído","E7 — Entrega",L216&lt;&gt;"Concluído","E08 — Estabilização / Hypercare",TRUE,"✔ Fluxo concluído"))</f>
        <v/>
      </c>
      <c r="N216" s="237" t="str">
        <f t="shared" si="2"/>
        <v/>
      </c>
      <c r="O216" s="238"/>
    </row>
    <row r="217" spans="2:15" ht="15" customHeight="1" x14ac:dyDescent="0.35">
      <c r="B217" s="234" t="str">
        <f>IF(Lançamentos!$B194="","",Lançamentos!$B194)</f>
        <v/>
      </c>
      <c r="C217" s="235" t="str">
        <f>IF($B217="","",Lançamentos!$J194)</f>
        <v/>
      </c>
      <c r="D217" s="235" t="str">
        <f>IF($B217="","",Lançamentos!$H194)</f>
        <v/>
      </c>
      <c r="E217" s="234" t="str">
        <f>IF($B217="","",IF(COUNTIF(Lançamentos!$B$3:$B$1001,$B217)=0,"Bloqueado",IF(COUNTIF('E1 — Solicitação'!$E199:$L199,"⛔ Bloqueado")&gt;0,"Bloqueado",IF(COUNTIF('E1 — Solicitação'!$E199:$L199,"N/A")=8,"Bloqueado",IF(COUNTIF('E1 — Solicitação'!$E199:$L199,"✔ Concluído")+COUNTIF('E1 — Solicitação'!$E199:$L199,"N/A")=8,"Concluído",IF(COUNTIF('E1 — Solicitação'!$E199:$L199,"✔ Concluído")+COUNTIF('E1 — Solicitação'!$E199:$L199,"🔄 Em andamento")&gt;0,"Em andamento","Não iniciado"))))))</f>
        <v/>
      </c>
      <c r="F217" s="234" t="str">
        <f>IF($B217="","",IF($E217&lt;&gt;"Concluído","Não iniciado",IF(COUNTIF(Lançamentos!$B$3:$B$1001,$B217)=0,"Bloqueado",IF('E2 — Triagem'!$D199="","Bloqueado",IF(COUNTIF('E2 — Triagem'!$E199:$L199,"N/A")=8,"Bloqueado",IF(COUNTIF('E2 — Triagem'!$E199:$L199,"⛔ Bloqueado")&gt;0,"Bloqueado",IF(COUNTIF('E2 — Triagem'!$E199:$L199,"✔ Concluído")+COUNTIF('E2 — Triagem'!$E199:$L199,"N/A")=8,"Concluído",IF(COUNTIF('E2 — Triagem'!$E199:$L199,"✔ Concluído")+COUNTIF('E2 — Triagem'!$E199:$L199,"🔄 Em andamento")&gt;0,"Em andamento","Não iniciado"))))))))</f>
        <v/>
      </c>
      <c r="G217" s="234" t="str">
        <f>IF($B217="","",IF($F217&lt;&gt;"Concluído","Não iniciado",IF(COUNTIF(Lançamentos!$B$3:$B$1001,$B217)=0,"Bloqueado",IF('E3 — Levantamento'!$D199="","Bloqueado",IF(COUNTIF('E3 — Levantamento'!$E199:$I199,"⛔ Bloqueado")&gt;0,"Bloqueado",IF('E3 — Levantamento'!$I199="N/A","Bloqueado",IF(COUNTIF('E3 — Levantamento'!$E199:$I199,"✔ Concluído")=5,"Concluído",IF(COUNTIF('E3 — Levantamento'!$E199:$I199,"✔ Concluído")+COUNTIF('E3 — Levantamento'!$E199:$I199,"🔄 Em andamento")&gt;0,"Em andamento","Não iniciado"))))))))</f>
        <v/>
      </c>
      <c r="H217" s="234" t="str">
        <f>IF($B217="","",IF($G217&lt;&gt;"Concluído","Não iniciado",IF(COUNTIF(Lançamentos!$B$3:$B$1001,$B217)=0,"Bloqueado",IF('E4 — Execução'!$D199="","Bloqueado",IF(COUNTIF('E4 — Execução'!$E199:$K199,"⛔ Bloqueado")&gt;0,"Bloqueado",IF(COUNTIF('E4 — Execução'!$E199:$K199,"✔ Concluído")=7,"Concluído",IF(COUNTIF('E4 — Execução'!$E199:$K199,"✔ Concluído")+COUNTIF('E4 — Execução'!$E199:$K199,"🔄 Em andamento")&gt;0,"Em andamento","Não iniciado")))))))</f>
        <v/>
      </c>
      <c r="I217" s="234" t="str">
        <f>IF($B217="","",IF($H217&lt;&gt;"Concluído","Não iniciado",IF(COUNTIF(Lançamentos!$B$3:$B$1001,$B217)=0,"Bloqueado",IF('E5 — Validação'!$D199="","Bloqueado",IF(COUNTIF('E5 — Validação'!$E199:$I199,"⛔ Bloqueado")&gt;0,"Bloqueado",IF('E5 — Validação'!$I199="N/A","Bloqueado",IF(AND('E5 — Validação'!$E199="✔ Concluído",'E5 — Validação'!$F199="✔ Concluído",OR('E5 — Validação'!$G199="✔ Concluído",'E5 — Validação'!$G199="N/A"),'E5 — Validação'!$H199="✔ Concluído",'E5 — Validação'!$I199="✔ Concluído"),"Concluído",IF(COUNTIF('E5 — Validação'!$E199:$I199,"✔ Concluído")+COUNTIF('E5 — Validação'!$E199:$I199,"🔄 Em andamento")&gt;0,"Em andamento","Não iniciado"))))))))</f>
        <v/>
      </c>
      <c r="J217" s="234" t="str">
        <f>IF($B217="","",IF($I217&lt;&gt;"Concluído","Não iniciado",IF('E6 — Ajustes'!$N199="Não","N/A",IF(COUNTIF(Lançamentos!$B$3:$B$1001,$B217)=0,"Bloqueado",IF('E6 — Ajustes'!$D199="","Bloqueado",IF(COUNTIF('E6 — Ajustes'!$E199:$J199,"⛔ Bloqueado")&gt;0,"Bloqueado",IF(AND('E6 — Ajustes'!$E199="✔ Concluído",'E6 — Ajustes'!$F199="✔ Concluído",'E6 — Ajustes'!$G199="✔ Concluído",'E6 — Ajustes'!$H199="✔ Concluído",OR('E6 — Ajustes'!$I199="✔ Concluído",'E6 — Ajustes'!$I199="N/A"),'E6 — Ajustes'!$J199="✔ Concluído"),"Concluído",IF(COUNTIF('E6 — Ajustes'!$E199:$J199,"✔ Concluído")+COUNTIF('E6 — Ajustes'!$E199:$J199,"🔄 Em andamento")&gt;0,"Em andamento","Não iniciado"))))))))</f>
        <v/>
      </c>
      <c r="K217" s="234" t="str">
        <f>IF($B217="","",IF($I217&lt;&gt;"Concluído","Não iniciado",IF(AND($J217&lt;&gt;"Concluído",$J217&lt;&gt;"N/A"),"Não iniciado",IF(COUNTIF(Lançamentos!$B$3:$B$1001,$B217)=0,"Bloqueado",IF('E7 — Entrega'!$D199="","Bloqueado",IF(COUNTIF('E7 — Entrega'!$E199:$H199,"⛔ Bloqueado")&gt;0,"Bloqueado",IF(COUNTIF('E7 — Entrega'!$E199:$H199,"✔ Concluído")=4,"Concluído",IF(COUNTIF('E7 — Entrega'!$E199:$H199,"✔ Concluído")+COUNTIF('E7 — Entrega'!$E199:$H199,"🔄 Em andamento")&gt;0,"Em andamento","Não iniciado"))))))))</f>
        <v/>
      </c>
      <c r="L217" s="234" t="str">
        <f>IF($B217="","",IF($K217&lt;&gt;"Concluído","Não iniciado",IF(OR(COUNTIF('E08 — Estabilização Hypercare'!$E199:$J199,"⛔ Bloqueado")&gt;0,'E08 — Estabilização Hypercare'!$N199="⛔ Incidente Crítico — Encerramento Bloqueado",AND('E08 — Estabilização Hypercare'!$N199="🆕 Evolução Identificada — Nova Demanda Aberta",'E08 — Estabilização Hypercare'!$U199="")),"Bloqueado",IF(AND('E08 — Estabilização Hypercare'!$E199="✔ Concluído",'E08 — Estabilização Hypercare'!$F199="✔ Concluído",'E08 — Estabilização Hypercare'!$G199="✔ Concluído",OR('E08 — Estabilização Hypercare'!$H199="✔ Concluído",'E08 — Estabilização Hypercare'!$H199="N/A"),'E08 — Estabilização Hypercare'!$I199="✔ Concluído",'E08 — Estabilização Hypercare'!$J199="✔ Concluído",OR('E08 — Estabilização Hypercare'!$N199="✅ Estável — Demanda Encerrada",AND('E08 — Estabilização Hypercare'!$N199="🆕 Evolução Identificada — Nova Demanda Aberta",'E08 — Estabilização Hypercare'!$U199&lt;&gt;""))),"Concluído",IF(OR(COUNTIF('E08 — Estabilização Hypercare'!$E199:$J199,"✔ Concluído")&gt;0,COUNTIF('E08 — Estabilização Hypercare'!$E199:$J199,"🔄 Em andamento")&gt;0,'E08 — Estabilização Hypercare'!$N199&lt;&gt;""),"Em andamento","Não iniciado")))))</f>
        <v/>
      </c>
      <c r="M217" s="236" t="str" cm="1">
        <f t="array" ref="M217">IF(B217="","",_xlfn.IFS(E217&lt;&gt;"Concluído","E1 — Solicitação",F217&lt;&gt;"Concluído","E2 — Triagem",G217&lt;&gt;"Concluído","E3 — Levantamento ⚠",H217&lt;&gt;"Concluído","E4 — Execução",I217&lt;&gt;"Concluído","E5 — Validação ⚠",AND(J217&lt;&gt;"Concluído",J217&lt;&gt;"N/A"),"E6 — Ajustes",K217&lt;&gt;"Concluído","E7 — Entrega",L217&lt;&gt;"Concluído","E08 — Estabilização / Hypercare",TRUE,"✔ Fluxo concluído"))</f>
        <v/>
      </c>
      <c r="N217" s="237" t="str">
        <f t="shared" si="2"/>
        <v/>
      </c>
      <c r="O217" s="238"/>
    </row>
    <row r="218" spans="2:15" ht="15" customHeight="1" x14ac:dyDescent="0.35">
      <c r="B218" s="234" t="str">
        <f>IF(Lançamentos!$B195="","",Lançamentos!$B195)</f>
        <v/>
      </c>
      <c r="C218" s="235" t="str">
        <f>IF($B218="","",Lançamentos!$J195)</f>
        <v/>
      </c>
      <c r="D218" s="235" t="str">
        <f>IF($B218="","",Lançamentos!$H195)</f>
        <v/>
      </c>
      <c r="E218" s="234" t="str">
        <f>IF($B218="","",IF(COUNTIF(Lançamentos!$B$3:$B$1001,$B218)=0,"Bloqueado",IF(COUNTIF('E1 — Solicitação'!$E200:$L200,"⛔ Bloqueado")&gt;0,"Bloqueado",IF(COUNTIF('E1 — Solicitação'!$E200:$L200,"N/A")=8,"Bloqueado",IF(COUNTIF('E1 — Solicitação'!$E200:$L200,"✔ Concluído")+COUNTIF('E1 — Solicitação'!$E200:$L200,"N/A")=8,"Concluído",IF(COUNTIF('E1 — Solicitação'!$E200:$L200,"✔ Concluído")+COUNTIF('E1 — Solicitação'!$E200:$L200,"🔄 Em andamento")&gt;0,"Em andamento","Não iniciado"))))))</f>
        <v/>
      </c>
      <c r="F218" s="234" t="str">
        <f>IF($B218="","",IF($E218&lt;&gt;"Concluído","Não iniciado",IF(COUNTIF(Lançamentos!$B$3:$B$1001,$B218)=0,"Bloqueado",IF('E2 — Triagem'!$D200="","Bloqueado",IF(COUNTIF('E2 — Triagem'!$E200:$L200,"N/A")=8,"Bloqueado",IF(COUNTIF('E2 — Triagem'!$E200:$L200,"⛔ Bloqueado")&gt;0,"Bloqueado",IF(COUNTIF('E2 — Triagem'!$E200:$L200,"✔ Concluído")+COUNTIF('E2 — Triagem'!$E200:$L200,"N/A")=8,"Concluído",IF(COUNTIF('E2 — Triagem'!$E200:$L200,"✔ Concluído")+COUNTIF('E2 — Triagem'!$E200:$L200,"🔄 Em andamento")&gt;0,"Em andamento","Não iniciado"))))))))</f>
        <v/>
      </c>
      <c r="G218" s="234" t="str">
        <f>IF($B218="","",IF($F218&lt;&gt;"Concluído","Não iniciado",IF(COUNTIF(Lançamentos!$B$3:$B$1001,$B218)=0,"Bloqueado",IF('E3 — Levantamento'!$D200="","Bloqueado",IF(COUNTIF('E3 — Levantamento'!$E200:$I200,"⛔ Bloqueado")&gt;0,"Bloqueado",IF('E3 — Levantamento'!$I200="N/A","Bloqueado",IF(COUNTIF('E3 — Levantamento'!$E200:$I200,"✔ Concluído")=5,"Concluído",IF(COUNTIF('E3 — Levantamento'!$E200:$I200,"✔ Concluído")+COUNTIF('E3 — Levantamento'!$E200:$I200,"🔄 Em andamento")&gt;0,"Em andamento","Não iniciado"))))))))</f>
        <v/>
      </c>
      <c r="H218" s="234" t="str">
        <f>IF($B218="","",IF($G218&lt;&gt;"Concluído","Não iniciado",IF(COUNTIF(Lançamentos!$B$3:$B$1001,$B218)=0,"Bloqueado",IF('E4 — Execução'!$D200="","Bloqueado",IF(COUNTIF('E4 — Execução'!$E200:$K200,"⛔ Bloqueado")&gt;0,"Bloqueado",IF(COUNTIF('E4 — Execução'!$E200:$K200,"✔ Concluído")=7,"Concluído",IF(COUNTIF('E4 — Execução'!$E200:$K200,"✔ Concluído")+COUNTIF('E4 — Execução'!$E200:$K200,"🔄 Em andamento")&gt;0,"Em andamento","Não iniciado")))))))</f>
        <v/>
      </c>
      <c r="I218" s="234" t="str">
        <f>IF($B218="","",IF($H218&lt;&gt;"Concluído","Não iniciado",IF(COUNTIF(Lançamentos!$B$3:$B$1001,$B218)=0,"Bloqueado",IF('E5 — Validação'!$D200="","Bloqueado",IF(COUNTIF('E5 — Validação'!$E200:$I200,"⛔ Bloqueado")&gt;0,"Bloqueado",IF('E5 — Validação'!$I200="N/A","Bloqueado",IF(AND('E5 — Validação'!$E200="✔ Concluído",'E5 — Validação'!$F200="✔ Concluído",OR('E5 — Validação'!$G200="✔ Concluído",'E5 — Validação'!$G200="N/A"),'E5 — Validação'!$H200="✔ Concluído",'E5 — Validação'!$I200="✔ Concluído"),"Concluído",IF(COUNTIF('E5 — Validação'!$E200:$I200,"✔ Concluído")+COUNTIF('E5 — Validação'!$E200:$I200,"🔄 Em andamento")&gt;0,"Em andamento","Não iniciado"))))))))</f>
        <v/>
      </c>
      <c r="J218" s="234" t="str">
        <f>IF($B218="","",IF($I218&lt;&gt;"Concluído","Não iniciado",IF('E6 — Ajustes'!$N200="Não","N/A",IF(COUNTIF(Lançamentos!$B$3:$B$1001,$B218)=0,"Bloqueado",IF('E6 — Ajustes'!$D200="","Bloqueado",IF(COUNTIF('E6 — Ajustes'!$E200:$J200,"⛔ Bloqueado")&gt;0,"Bloqueado",IF(AND('E6 — Ajustes'!$E200="✔ Concluído",'E6 — Ajustes'!$F200="✔ Concluído",'E6 — Ajustes'!$G200="✔ Concluído",'E6 — Ajustes'!$H200="✔ Concluído",OR('E6 — Ajustes'!$I200="✔ Concluído",'E6 — Ajustes'!$I200="N/A"),'E6 — Ajustes'!$J200="✔ Concluído"),"Concluído",IF(COUNTIF('E6 — Ajustes'!$E200:$J200,"✔ Concluído")+COUNTIF('E6 — Ajustes'!$E200:$J200,"🔄 Em andamento")&gt;0,"Em andamento","Não iniciado"))))))))</f>
        <v/>
      </c>
      <c r="K218" s="234" t="str">
        <f>IF($B218="","",IF($I218&lt;&gt;"Concluído","Não iniciado",IF(AND($J218&lt;&gt;"Concluído",$J218&lt;&gt;"N/A"),"Não iniciado",IF(COUNTIF(Lançamentos!$B$3:$B$1001,$B218)=0,"Bloqueado",IF('E7 — Entrega'!$D200="","Bloqueado",IF(COUNTIF('E7 — Entrega'!$E200:$H200,"⛔ Bloqueado")&gt;0,"Bloqueado",IF(COUNTIF('E7 — Entrega'!$E200:$H200,"✔ Concluído")=4,"Concluído",IF(COUNTIF('E7 — Entrega'!$E200:$H200,"✔ Concluído")+COUNTIF('E7 — Entrega'!$E200:$H200,"🔄 Em andamento")&gt;0,"Em andamento","Não iniciado"))))))))</f>
        <v/>
      </c>
      <c r="L218" s="234" t="str">
        <f>IF($B218="","",IF($K218&lt;&gt;"Concluído","Não iniciado",IF(OR(COUNTIF('E08 — Estabilização Hypercare'!$E200:$J200,"⛔ Bloqueado")&gt;0,'E08 — Estabilização Hypercare'!$N200="⛔ Incidente Crítico — Encerramento Bloqueado",AND('E08 — Estabilização Hypercare'!$N200="🆕 Evolução Identificada — Nova Demanda Aberta",'E08 — Estabilização Hypercare'!$U200="")),"Bloqueado",IF(AND('E08 — Estabilização Hypercare'!$E200="✔ Concluído",'E08 — Estabilização Hypercare'!$F200="✔ Concluído",'E08 — Estabilização Hypercare'!$G200="✔ Concluído",OR('E08 — Estabilização Hypercare'!$H200="✔ Concluído",'E08 — Estabilização Hypercare'!$H200="N/A"),'E08 — Estabilização Hypercare'!$I200="✔ Concluído",'E08 — Estabilização Hypercare'!$J200="✔ Concluído",OR('E08 — Estabilização Hypercare'!$N200="✅ Estável — Demanda Encerrada",AND('E08 — Estabilização Hypercare'!$N200="🆕 Evolução Identificada — Nova Demanda Aberta",'E08 — Estabilização Hypercare'!$U200&lt;&gt;""))),"Concluído",IF(OR(COUNTIF('E08 — Estabilização Hypercare'!$E200:$J200,"✔ Concluído")&gt;0,COUNTIF('E08 — Estabilização Hypercare'!$E200:$J200,"🔄 Em andamento")&gt;0,'E08 — Estabilização Hypercare'!$N200&lt;&gt;""),"Em andamento","Não iniciado")))))</f>
        <v/>
      </c>
      <c r="M218" s="236" t="str" cm="1">
        <f t="array" ref="M218">IF(B218="","",_xlfn.IFS(E218&lt;&gt;"Concluído","E1 — Solicitação",F218&lt;&gt;"Concluído","E2 — Triagem",G218&lt;&gt;"Concluído","E3 — Levantamento ⚠",H218&lt;&gt;"Concluído","E4 — Execução",I218&lt;&gt;"Concluído","E5 — Validação ⚠",AND(J218&lt;&gt;"Concluído",J218&lt;&gt;"N/A"),"E6 — Ajustes",K218&lt;&gt;"Concluído","E7 — Entrega",L218&lt;&gt;"Concluído","E08 — Estabilização / Hypercare",TRUE,"✔ Fluxo concluído"))</f>
        <v/>
      </c>
      <c r="N218" s="237" t="str">
        <f t="shared" si="2"/>
        <v/>
      </c>
      <c r="O218" s="238"/>
    </row>
    <row r="219" spans="2:15" ht="15" customHeight="1" x14ac:dyDescent="0.35">
      <c r="B219" s="234" t="str">
        <f>IF(Lançamentos!$B196="","",Lançamentos!$B196)</f>
        <v/>
      </c>
      <c r="C219" s="235" t="str">
        <f>IF($B219="","",Lançamentos!$J196)</f>
        <v/>
      </c>
      <c r="D219" s="235" t="str">
        <f>IF($B219="","",Lançamentos!$H196)</f>
        <v/>
      </c>
      <c r="E219" s="234" t="str">
        <f>IF($B219="","",IF(COUNTIF(Lançamentos!$B$3:$B$1001,$B219)=0,"Bloqueado",IF(COUNTIF('E1 — Solicitação'!$E201:$L201,"⛔ Bloqueado")&gt;0,"Bloqueado",IF(COUNTIF('E1 — Solicitação'!$E201:$L201,"N/A")=8,"Bloqueado",IF(COUNTIF('E1 — Solicitação'!$E201:$L201,"✔ Concluído")+COUNTIF('E1 — Solicitação'!$E201:$L201,"N/A")=8,"Concluído",IF(COUNTIF('E1 — Solicitação'!$E201:$L201,"✔ Concluído")+COUNTIF('E1 — Solicitação'!$E201:$L201,"🔄 Em andamento")&gt;0,"Em andamento","Não iniciado"))))))</f>
        <v/>
      </c>
      <c r="F219" s="234" t="str">
        <f>IF($B219="","",IF($E219&lt;&gt;"Concluído","Não iniciado",IF(COUNTIF(Lançamentos!$B$3:$B$1001,$B219)=0,"Bloqueado",IF('E2 — Triagem'!$D201="","Bloqueado",IF(COUNTIF('E2 — Triagem'!$E201:$L201,"N/A")=8,"Bloqueado",IF(COUNTIF('E2 — Triagem'!$E201:$L201,"⛔ Bloqueado")&gt;0,"Bloqueado",IF(COUNTIF('E2 — Triagem'!$E201:$L201,"✔ Concluído")+COUNTIF('E2 — Triagem'!$E201:$L201,"N/A")=8,"Concluído",IF(COUNTIF('E2 — Triagem'!$E201:$L201,"✔ Concluído")+COUNTIF('E2 — Triagem'!$E201:$L201,"🔄 Em andamento")&gt;0,"Em andamento","Não iniciado"))))))))</f>
        <v/>
      </c>
      <c r="G219" s="234" t="str">
        <f>IF($B219="","",IF($F219&lt;&gt;"Concluído","Não iniciado",IF(COUNTIF(Lançamentos!$B$3:$B$1001,$B219)=0,"Bloqueado",IF('E3 — Levantamento'!$D201="","Bloqueado",IF(COUNTIF('E3 — Levantamento'!$E201:$I201,"⛔ Bloqueado")&gt;0,"Bloqueado",IF('E3 — Levantamento'!$I201="N/A","Bloqueado",IF(COUNTIF('E3 — Levantamento'!$E201:$I201,"✔ Concluído")=5,"Concluído",IF(COUNTIF('E3 — Levantamento'!$E201:$I201,"✔ Concluído")+COUNTIF('E3 — Levantamento'!$E201:$I201,"🔄 Em andamento")&gt;0,"Em andamento","Não iniciado"))))))))</f>
        <v/>
      </c>
      <c r="H219" s="234" t="str">
        <f>IF($B219="","",IF($G219&lt;&gt;"Concluído","Não iniciado",IF(COUNTIF(Lançamentos!$B$3:$B$1001,$B219)=0,"Bloqueado",IF('E4 — Execução'!$D201="","Bloqueado",IF(COUNTIF('E4 — Execução'!$E201:$K201,"⛔ Bloqueado")&gt;0,"Bloqueado",IF(COUNTIF('E4 — Execução'!$E201:$K201,"✔ Concluído")=7,"Concluído",IF(COUNTIF('E4 — Execução'!$E201:$K201,"✔ Concluído")+COUNTIF('E4 — Execução'!$E201:$K201,"🔄 Em andamento")&gt;0,"Em andamento","Não iniciado")))))))</f>
        <v/>
      </c>
      <c r="I219" s="234" t="str">
        <f>IF($B219="","",IF($H219&lt;&gt;"Concluído","Não iniciado",IF(COUNTIF(Lançamentos!$B$3:$B$1001,$B219)=0,"Bloqueado",IF('E5 — Validação'!$D201="","Bloqueado",IF(COUNTIF('E5 — Validação'!$E201:$I201,"⛔ Bloqueado")&gt;0,"Bloqueado",IF('E5 — Validação'!$I201="N/A","Bloqueado",IF(AND('E5 — Validação'!$E201="✔ Concluído",'E5 — Validação'!$F201="✔ Concluído",OR('E5 — Validação'!$G201="✔ Concluído",'E5 — Validação'!$G201="N/A"),'E5 — Validação'!$H201="✔ Concluído",'E5 — Validação'!$I201="✔ Concluído"),"Concluído",IF(COUNTIF('E5 — Validação'!$E201:$I201,"✔ Concluído")+COUNTIF('E5 — Validação'!$E201:$I201,"🔄 Em andamento")&gt;0,"Em andamento","Não iniciado"))))))))</f>
        <v/>
      </c>
      <c r="J219" s="234" t="str">
        <f>IF($B219="","",IF($I219&lt;&gt;"Concluído","Não iniciado",IF('E6 — Ajustes'!$N201="Não","N/A",IF(COUNTIF(Lançamentos!$B$3:$B$1001,$B219)=0,"Bloqueado",IF('E6 — Ajustes'!$D201="","Bloqueado",IF(COUNTIF('E6 — Ajustes'!$E201:$J201,"⛔ Bloqueado")&gt;0,"Bloqueado",IF(AND('E6 — Ajustes'!$E201="✔ Concluído",'E6 — Ajustes'!$F201="✔ Concluído",'E6 — Ajustes'!$G201="✔ Concluído",'E6 — Ajustes'!$H201="✔ Concluído",OR('E6 — Ajustes'!$I201="✔ Concluído",'E6 — Ajustes'!$I201="N/A"),'E6 — Ajustes'!$J201="✔ Concluído"),"Concluído",IF(COUNTIF('E6 — Ajustes'!$E201:$J201,"✔ Concluído")+COUNTIF('E6 — Ajustes'!$E201:$J201,"🔄 Em andamento")&gt;0,"Em andamento","Não iniciado"))))))))</f>
        <v/>
      </c>
      <c r="K219" s="234" t="str">
        <f>IF($B219="","",IF($I219&lt;&gt;"Concluído","Não iniciado",IF(AND($J219&lt;&gt;"Concluído",$J219&lt;&gt;"N/A"),"Não iniciado",IF(COUNTIF(Lançamentos!$B$3:$B$1001,$B219)=0,"Bloqueado",IF('E7 — Entrega'!$D201="","Bloqueado",IF(COUNTIF('E7 — Entrega'!$E201:$H201,"⛔ Bloqueado")&gt;0,"Bloqueado",IF(COUNTIF('E7 — Entrega'!$E201:$H201,"✔ Concluído")=4,"Concluído",IF(COUNTIF('E7 — Entrega'!$E201:$H201,"✔ Concluído")+COUNTIF('E7 — Entrega'!$E201:$H201,"🔄 Em andamento")&gt;0,"Em andamento","Não iniciado"))))))))</f>
        <v/>
      </c>
      <c r="L219" s="234" t="str">
        <f>IF($B219="","",IF($K219&lt;&gt;"Concluído","Não iniciado",IF(OR(COUNTIF('E08 — Estabilização Hypercare'!$E201:$J201,"⛔ Bloqueado")&gt;0,'E08 — Estabilização Hypercare'!$N201="⛔ Incidente Crítico — Encerramento Bloqueado",AND('E08 — Estabilização Hypercare'!$N201="🆕 Evolução Identificada — Nova Demanda Aberta",'E08 — Estabilização Hypercare'!$U201="")),"Bloqueado",IF(AND('E08 — Estabilização Hypercare'!$E201="✔ Concluído",'E08 — Estabilização Hypercare'!$F201="✔ Concluído",'E08 — Estabilização Hypercare'!$G201="✔ Concluído",OR('E08 — Estabilização Hypercare'!$H201="✔ Concluído",'E08 — Estabilização Hypercare'!$H201="N/A"),'E08 — Estabilização Hypercare'!$I201="✔ Concluído",'E08 — Estabilização Hypercare'!$J201="✔ Concluído",OR('E08 — Estabilização Hypercare'!$N201="✅ Estável — Demanda Encerrada",AND('E08 — Estabilização Hypercare'!$N201="🆕 Evolução Identificada — Nova Demanda Aberta",'E08 — Estabilização Hypercare'!$U201&lt;&gt;""))),"Concluído",IF(OR(COUNTIF('E08 — Estabilização Hypercare'!$E201:$J201,"✔ Concluído")&gt;0,COUNTIF('E08 — Estabilização Hypercare'!$E201:$J201,"🔄 Em andamento")&gt;0,'E08 — Estabilização Hypercare'!$N201&lt;&gt;""),"Em andamento","Não iniciado")))))</f>
        <v/>
      </c>
      <c r="M219" s="236" t="str" cm="1">
        <f t="array" ref="M219">IF(B219="","",_xlfn.IFS(E219&lt;&gt;"Concluído","E1 — Solicitação",F219&lt;&gt;"Concluído","E2 — Triagem",G219&lt;&gt;"Concluído","E3 — Levantamento ⚠",H219&lt;&gt;"Concluído","E4 — Execução",I219&lt;&gt;"Concluído","E5 — Validação ⚠",AND(J219&lt;&gt;"Concluído",J219&lt;&gt;"N/A"),"E6 — Ajustes",K219&lt;&gt;"Concluído","E7 — Entrega",L219&lt;&gt;"Concluído","E08 — Estabilização / Hypercare",TRUE,"✔ Fluxo concluído"))</f>
        <v/>
      </c>
      <c r="N219" s="237" t="str">
        <f t="shared" ref="N219:N225" si="3">IF(B219="","",(COUNTIF(E219:L219,"Concluído")+COUNTIF(E219:L219,"N/A"))/8)</f>
        <v/>
      </c>
      <c r="O219" s="238"/>
    </row>
    <row r="220" spans="2:15" ht="15" customHeight="1" x14ac:dyDescent="0.35">
      <c r="B220" s="234" t="str">
        <f>IF(Lançamentos!$B197="","",Lançamentos!$B197)</f>
        <v/>
      </c>
      <c r="C220" s="235" t="str">
        <f>IF($B220="","",Lançamentos!$J197)</f>
        <v/>
      </c>
      <c r="D220" s="235" t="str">
        <f>IF($B220="","",Lançamentos!$H197)</f>
        <v/>
      </c>
      <c r="E220" s="234" t="str">
        <f>IF($B220="","",IF(COUNTIF(Lançamentos!$B$3:$B$1001,$B220)=0,"Bloqueado",IF(COUNTIF('E1 — Solicitação'!$E202:$L202,"⛔ Bloqueado")&gt;0,"Bloqueado",IF(COUNTIF('E1 — Solicitação'!$E202:$L202,"N/A")=8,"Bloqueado",IF(COUNTIF('E1 — Solicitação'!$E202:$L202,"✔ Concluído")+COUNTIF('E1 — Solicitação'!$E202:$L202,"N/A")=8,"Concluído",IF(COUNTIF('E1 — Solicitação'!$E202:$L202,"✔ Concluído")+COUNTIF('E1 — Solicitação'!$E202:$L202,"🔄 Em andamento")&gt;0,"Em andamento","Não iniciado"))))))</f>
        <v/>
      </c>
      <c r="F220" s="234" t="str">
        <f>IF($B220="","",IF($E220&lt;&gt;"Concluído","Não iniciado",IF(COUNTIF(Lançamentos!$B$3:$B$1001,$B220)=0,"Bloqueado",IF('E2 — Triagem'!$D202="","Bloqueado",IF(COUNTIF('E2 — Triagem'!$E202:$L202,"N/A")=8,"Bloqueado",IF(COUNTIF('E2 — Triagem'!$E202:$L202,"⛔ Bloqueado")&gt;0,"Bloqueado",IF(COUNTIF('E2 — Triagem'!$E202:$L202,"✔ Concluído")+COUNTIF('E2 — Triagem'!$E202:$L202,"N/A")=8,"Concluído",IF(COUNTIF('E2 — Triagem'!$E202:$L202,"✔ Concluído")+COUNTIF('E2 — Triagem'!$E202:$L202,"🔄 Em andamento")&gt;0,"Em andamento","Não iniciado"))))))))</f>
        <v/>
      </c>
      <c r="G220" s="234" t="str">
        <f>IF($B220="","",IF($F220&lt;&gt;"Concluído","Não iniciado",IF(COUNTIF(Lançamentos!$B$3:$B$1001,$B220)=0,"Bloqueado",IF('E3 — Levantamento'!$D202="","Bloqueado",IF(COUNTIF('E3 — Levantamento'!$E202:$I202,"⛔ Bloqueado")&gt;0,"Bloqueado",IF('E3 — Levantamento'!$I202="N/A","Bloqueado",IF(COUNTIF('E3 — Levantamento'!$E202:$I202,"✔ Concluído")=5,"Concluído",IF(COUNTIF('E3 — Levantamento'!$E202:$I202,"✔ Concluído")+COUNTIF('E3 — Levantamento'!$E202:$I202,"🔄 Em andamento")&gt;0,"Em andamento","Não iniciado"))))))))</f>
        <v/>
      </c>
      <c r="H220" s="234" t="str">
        <f>IF($B220="","",IF($G220&lt;&gt;"Concluído","Não iniciado",IF(COUNTIF(Lançamentos!$B$3:$B$1001,$B220)=0,"Bloqueado",IF('E4 — Execução'!$D202="","Bloqueado",IF(COUNTIF('E4 — Execução'!$E202:$K202,"⛔ Bloqueado")&gt;0,"Bloqueado",IF(COUNTIF('E4 — Execução'!$E202:$K202,"✔ Concluído")=7,"Concluído",IF(COUNTIF('E4 — Execução'!$E202:$K202,"✔ Concluído")+COUNTIF('E4 — Execução'!$E202:$K202,"🔄 Em andamento")&gt;0,"Em andamento","Não iniciado")))))))</f>
        <v/>
      </c>
      <c r="I220" s="234" t="str">
        <f>IF($B220="","",IF($H220&lt;&gt;"Concluído","Não iniciado",IF(COUNTIF(Lançamentos!$B$3:$B$1001,$B220)=0,"Bloqueado",IF('E5 — Validação'!$D202="","Bloqueado",IF(COUNTIF('E5 — Validação'!$E202:$I202,"⛔ Bloqueado")&gt;0,"Bloqueado",IF('E5 — Validação'!$I202="N/A","Bloqueado",IF(AND('E5 — Validação'!$E202="✔ Concluído",'E5 — Validação'!$F202="✔ Concluído",OR('E5 — Validação'!$G202="✔ Concluído",'E5 — Validação'!$G202="N/A"),'E5 — Validação'!$H202="✔ Concluído",'E5 — Validação'!$I202="✔ Concluído"),"Concluído",IF(COUNTIF('E5 — Validação'!$E202:$I202,"✔ Concluído")+COUNTIF('E5 — Validação'!$E202:$I202,"🔄 Em andamento")&gt;0,"Em andamento","Não iniciado"))))))))</f>
        <v/>
      </c>
      <c r="J220" s="234" t="str">
        <f>IF($B220="","",IF($I220&lt;&gt;"Concluído","Não iniciado",IF('E6 — Ajustes'!$N202="Não","N/A",IF(COUNTIF(Lançamentos!$B$3:$B$1001,$B220)=0,"Bloqueado",IF('E6 — Ajustes'!$D202="","Bloqueado",IF(COUNTIF('E6 — Ajustes'!$E202:$J202,"⛔ Bloqueado")&gt;0,"Bloqueado",IF(AND('E6 — Ajustes'!$E202="✔ Concluído",'E6 — Ajustes'!$F202="✔ Concluído",'E6 — Ajustes'!$G202="✔ Concluído",'E6 — Ajustes'!$H202="✔ Concluído",OR('E6 — Ajustes'!$I202="✔ Concluído",'E6 — Ajustes'!$I202="N/A"),'E6 — Ajustes'!$J202="✔ Concluído"),"Concluído",IF(COUNTIF('E6 — Ajustes'!$E202:$J202,"✔ Concluído")+COUNTIF('E6 — Ajustes'!$E202:$J202,"🔄 Em andamento")&gt;0,"Em andamento","Não iniciado"))))))))</f>
        <v/>
      </c>
      <c r="K220" s="234" t="str">
        <f>IF($B220="","",IF($I220&lt;&gt;"Concluído","Não iniciado",IF(AND($J220&lt;&gt;"Concluído",$J220&lt;&gt;"N/A"),"Não iniciado",IF(COUNTIF(Lançamentos!$B$3:$B$1001,$B220)=0,"Bloqueado",IF('E7 — Entrega'!$D202="","Bloqueado",IF(COUNTIF('E7 — Entrega'!$E202:$H202,"⛔ Bloqueado")&gt;0,"Bloqueado",IF(COUNTIF('E7 — Entrega'!$E202:$H202,"✔ Concluído")=4,"Concluído",IF(COUNTIF('E7 — Entrega'!$E202:$H202,"✔ Concluído")+COUNTIF('E7 — Entrega'!$E202:$H202,"🔄 Em andamento")&gt;0,"Em andamento","Não iniciado"))))))))</f>
        <v/>
      </c>
      <c r="L220" s="234" t="str">
        <f>IF($B220="","",IF($K220&lt;&gt;"Concluído","Não iniciado",IF(OR(COUNTIF('E08 — Estabilização Hypercare'!$E202:$J202,"⛔ Bloqueado")&gt;0,'E08 — Estabilização Hypercare'!$N202="⛔ Incidente Crítico — Encerramento Bloqueado",AND('E08 — Estabilização Hypercare'!$N202="🆕 Evolução Identificada — Nova Demanda Aberta",'E08 — Estabilização Hypercare'!$U202="")),"Bloqueado",IF(AND('E08 — Estabilização Hypercare'!$E202="✔ Concluído",'E08 — Estabilização Hypercare'!$F202="✔ Concluído",'E08 — Estabilização Hypercare'!$G202="✔ Concluído",OR('E08 — Estabilização Hypercare'!$H202="✔ Concluído",'E08 — Estabilização Hypercare'!$H202="N/A"),'E08 — Estabilização Hypercare'!$I202="✔ Concluído",'E08 — Estabilização Hypercare'!$J202="✔ Concluído",OR('E08 — Estabilização Hypercare'!$N202="✅ Estável — Demanda Encerrada",AND('E08 — Estabilização Hypercare'!$N202="🆕 Evolução Identificada — Nova Demanda Aberta",'E08 — Estabilização Hypercare'!$U202&lt;&gt;""))),"Concluído",IF(OR(COUNTIF('E08 — Estabilização Hypercare'!$E202:$J202,"✔ Concluído")&gt;0,COUNTIF('E08 — Estabilização Hypercare'!$E202:$J202,"🔄 Em andamento")&gt;0,'E08 — Estabilização Hypercare'!$N202&lt;&gt;""),"Em andamento","Não iniciado")))))</f>
        <v/>
      </c>
      <c r="M220" s="236" t="str" cm="1">
        <f t="array" ref="M220">IF(B220="","",_xlfn.IFS(E220&lt;&gt;"Concluído","E1 — Solicitação",F220&lt;&gt;"Concluído","E2 — Triagem",G220&lt;&gt;"Concluído","E3 — Levantamento ⚠",H220&lt;&gt;"Concluído","E4 — Execução",I220&lt;&gt;"Concluído","E5 — Validação ⚠",AND(J220&lt;&gt;"Concluído",J220&lt;&gt;"N/A"),"E6 — Ajustes",K220&lt;&gt;"Concluído","E7 — Entrega",L220&lt;&gt;"Concluído","E08 — Estabilização / Hypercare",TRUE,"✔ Fluxo concluído"))</f>
        <v/>
      </c>
      <c r="N220" s="237" t="str">
        <f t="shared" si="3"/>
        <v/>
      </c>
      <c r="O220" s="238"/>
    </row>
    <row r="221" spans="2:15" ht="15" customHeight="1" x14ac:dyDescent="0.35">
      <c r="B221" s="234" t="str">
        <f>IF(Lançamentos!$B198="","",Lançamentos!$B198)</f>
        <v/>
      </c>
      <c r="C221" s="235" t="str">
        <f>IF($B221="","",Lançamentos!$J198)</f>
        <v/>
      </c>
      <c r="D221" s="235" t="str">
        <f>IF($B221="","",Lançamentos!$H198)</f>
        <v/>
      </c>
      <c r="E221" s="234" t="str">
        <f>IF($B221="","",IF(COUNTIF(Lançamentos!$B$3:$B$1001,$B221)=0,"Bloqueado",IF(COUNTIF('E1 — Solicitação'!$E203:$L203,"⛔ Bloqueado")&gt;0,"Bloqueado",IF(COUNTIF('E1 — Solicitação'!$E203:$L203,"N/A")=8,"Bloqueado",IF(COUNTIF('E1 — Solicitação'!$E203:$L203,"✔ Concluído")+COUNTIF('E1 — Solicitação'!$E203:$L203,"N/A")=8,"Concluído",IF(COUNTIF('E1 — Solicitação'!$E203:$L203,"✔ Concluído")+COUNTIF('E1 — Solicitação'!$E203:$L203,"🔄 Em andamento")&gt;0,"Em andamento","Não iniciado"))))))</f>
        <v/>
      </c>
      <c r="F221" s="234" t="str">
        <f>IF($B221="","",IF($E221&lt;&gt;"Concluído","Não iniciado",IF(COUNTIF(Lançamentos!$B$3:$B$1001,$B221)=0,"Bloqueado",IF('E2 — Triagem'!$D203="","Bloqueado",IF(COUNTIF('E2 — Triagem'!$E203:$L203,"N/A")=8,"Bloqueado",IF(COUNTIF('E2 — Triagem'!$E203:$L203,"⛔ Bloqueado")&gt;0,"Bloqueado",IF(COUNTIF('E2 — Triagem'!$E203:$L203,"✔ Concluído")+COUNTIF('E2 — Triagem'!$E203:$L203,"N/A")=8,"Concluído",IF(COUNTIF('E2 — Triagem'!$E203:$L203,"✔ Concluído")+COUNTIF('E2 — Triagem'!$E203:$L203,"🔄 Em andamento")&gt;0,"Em andamento","Não iniciado"))))))))</f>
        <v/>
      </c>
      <c r="G221" s="234" t="str">
        <f>IF($B221="","",IF($F221&lt;&gt;"Concluído","Não iniciado",IF(COUNTIF(Lançamentos!$B$3:$B$1001,$B221)=0,"Bloqueado",IF('E3 — Levantamento'!$D203="","Bloqueado",IF(COUNTIF('E3 — Levantamento'!$E203:$I203,"⛔ Bloqueado")&gt;0,"Bloqueado",IF('E3 — Levantamento'!$I203="N/A","Bloqueado",IF(COUNTIF('E3 — Levantamento'!$E203:$I203,"✔ Concluído")=5,"Concluído",IF(COUNTIF('E3 — Levantamento'!$E203:$I203,"✔ Concluído")+COUNTIF('E3 — Levantamento'!$E203:$I203,"🔄 Em andamento")&gt;0,"Em andamento","Não iniciado"))))))))</f>
        <v/>
      </c>
      <c r="H221" s="234" t="str">
        <f>IF($B221="","",IF($G221&lt;&gt;"Concluído","Não iniciado",IF(COUNTIF(Lançamentos!$B$3:$B$1001,$B221)=0,"Bloqueado",IF('E4 — Execução'!$D203="","Bloqueado",IF(COUNTIF('E4 — Execução'!$E203:$K203,"⛔ Bloqueado")&gt;0,"Bloqueado",IF(COUNTIF('E4 — Execução'!$E203:$K203,"✔ Concluído")=7,"Concluído",IF(COUNTIF('E4 — Execução'!$E203:$K203,"✔ Concluído")+COUNTIF('E4 — Execução'!$E203:$K203,"🔄 Em andamento")&gt;0,"Em andamento","Não iniciado")))))))</f>
        <v/>
      </c>
      <c r="I221" s="234" t="str">
        <f>IF($B221="","",IF($H221&lt;&gt;"Concluído","Não iniciado",IF(COUNTIF(Lançamentos!$B$3:$B$1001,$B221)=0,"Bloqueado",IF('E5 — Validação'!$D203="","Bloqueado",IF(COUNTIF('E5 — Validação'!$E203:$I203,"⛔ Bloqueado")&gt;0,"Bloqueado",IF('E5 — Validação'!$I203="N/A","Bloqueado",IF(AND('E5 — Validação'!$E203="✔ Concluído",'E5 — Validação'!$F203="✔ Concluído",OR('E5 — Validação'!$G203="✔ Concluído",'E5 — Validação'!$G203="N/A"),'E5 — Validação'!$H203="✔ Concluído",'E5 — Validação'!$I203="✔ Concluído"),"Concluído",IF(COUNTIF('E5 — Validação'!$E203:$I203,"✔ Concluído")+COUNTIF('E5 — Validação'!$E203:$I203,"🔄 Em andamento")&gt;0,"Em andamento","Não iniciado"))))))))</f>
        <v/>
      </c>
      <c r="J221" s="234" t="str">
        <f>IF($B221="","",IF($I221&lt;&gt;"Concluído","Não iniciado",IF('E6 — Ajustes'!$N203="Não","N/A",IF(COUNTIF(Lançamentos!$B$3:$B$1001,$B221)=0,"Bloqueado",IF('E6 — Ajustes'!$D203="","Bloqueado",IF(COUNTIF('E6 — Ajustes'!$E203:$J203,"⛔ Bloqueado")&gt;0,"Bloqueado",IF(AND('E6 — Ajustes'!$E203="✔ Concluído",'E6 — Ajustes'!$F203="✔ Concluído",'E6 — Ajustes'!$G203="✔ Concluído",'E6 — Ajustes'!$H203="✔ Concluído",OR('E6 — Ajustes'!$I203="✔ Concluído",'E6 — Ajustes'!$I203="N/A"),'E6 — Ajustes'!$J203="✔ Concluído"),"Concluído",IF(COUNTIF('E6 — Ajustes'!$E203:$J203,"✔ Concluído")+COUNTIF('E6 — Ajustes'!$E203:$J203,"🔄 Em andamento")&gt;0,"Em andamento","Não iniciado"))))))))</f>
        <v/>
      </c>
      <c r="K221" s="234" t="str">
        <f>IF($B221="","",IF($I221&lt;&gt;"Concluído","Não iniciado",IF(AND($J221&lt;&gt;"Concluído",$J221&lt;&gt;"N/A"),"Não iniciado",IF(COUNTIF(Lançamentos!$B$3:$B$1001,$B221)=0,"Bloqueado",IF('E7 — Entrega'!$D203="","Bloqueado",IF(COUNTIF('E7 — Entrega'!$E203:$H203,"⛔ Bloqueado")&gt;0,"Bloqueado",IF(COUNTIF('E7 — Entrega'!$E203:$H203,"✔ Concluído")=4,"Concluído",IF(COUNTIF('E7 — Entrega'!$E203:$H203,"✔ Concluído")+COUNTIF('E7 — Entrega'!$E203:$H203,"🔄 Em andamento")&gt;0,"Em andamento","Não iniciado"))))))))</f>
        <v/>
      </c>
      <c r="L221" s="234" t="str">
        <f>IF($B221="","",IF($K221&lt;&gt;"Concluído","Não iniciado",IF(OR(COUNTIF('E08 — Estabilização Hypercare'!$E203:$J203,"⛔ Bloqueado")&gt;0,'E08 — Estabilização Hypercare'!$N203="⛔ Incidente Crítico — Encerramento Bloqueado",AND('E08 — Estabilização Hypercare'!$N203="🆕 Evolução Identificada — Nova Demanda Aberta",'E08 — Estabilização Hypercare'!$U203="")),"Bloqueado",IF(AND('E08 — Estabilização Hypercare'!$E203="✔ Concluído",'E08 — Estabilização Hypercare'!$F203="✔ Concluído",'E08 — Estabilização Hypercare'!$G203="✔ Concluído",OR('E08 — Estabilização Hypercare'!$H203="✔ Concluído",'E08 — Estabilização Hypercare'!$H203="N/A"),'E08 — Estabilização Hypercare'!$I203="✔ Concluído",'E08 — Estabilização Hypercare'!$J203="✔ Concluído",OR('E08 — Estabilização Hypercare'!$N203="✅ Estável — Demanda Encerrada",AND('E08 — Estabilização Hypercare'!$N203="🆕 Evolução Identificada — Nova Demanda Aberta",'E08 — Estabilização Hypercare'!$U203&lt;&gt;""))),"Concluído",IF(OR(COUNTIF('E08 — Estabilização Hypercare'!$E203:$J203,"✔ Concluído")&gt;0,COUNTIF('E08 — Estabilização Hypercare'!$E203:$J203,"🔄 Em andamento")&gt;0,'E08 — Estabilização Hypercare'!$N203&lt;&gt;""),"Em andamento","Não iniciado")))))</f>
        <v/>
      </c>
      <c r="M221" s="236" t="str" cm="1">
        <f t="array" ref="M221">IF(B221="","",_xlfn.IFS(E221&lt;&gt;"Concluído","E1 — Solicitação",F221&lt;&gt;"Concluído","E2 — Triagem",G221&lt;&gt;"Concluído","E3 — Levantamento ⚠",H221&lt;&gt;"Concluído","E4 — Execução",I221&lt;&gt;"Concluído","E5 — Validação ⚠",AND(J221&lt;&gt;"Concluído",J221&lt;&gt;"N/A"),"E6 — Ajustes",K221&lt;&gt;"Concluído","E7 — Entrega",L221&lt;&gt;"Concluído","E08 — Estabilização / Hypercare",TRUE,"✔ Fluxo concluído"))</f>
        <v/>
      </c>
      <c r="N221" s="237" t="str">
        <f t="shared" si="3"/>
        <v/>
      </c>
      <c r="O221" s="238"/>
    </row>
    <row r="222" spans="2:15" ht="15" customHeight="1" x14ac:dyDescent="0.35">
      <c r="B222" s="234" t="str">
        <f>IF(Lançamentos!$B199="","",Lançamentos!$B199)</f>
        <v/>
      </c>
      <c r="C222" s="235" t="str">
        <f>IF($B222="","",Lançamentos!$J199)</f>
        <v/>
      </c>
      <c r="D222" s="235" t="str">
        <f>IF($B222="","",Lançamentos!$H199)</f>
        <v/>
      </c>
      <c r="E222" s="234" t="str">
        <f>IF($B222="","",IF(COUNTIF(Lançamentos!$B$3:$B$1001,$B222)=0,"Bloqueado",IF(COUNTIF('E1 — Solicitação'!$E204:$L204,"⛔ Bloqueado")&gt;0,"Bloqueado",IF(COUNTIF('E1 — Solicitação'!$E204:$L204,"N/A")=8,"Bloqueado",IF(COUNTIF('E1 — Solicitação'!$E204:$L204,"✔ Concluído")+COUNTIF('E1 — Solicitação'!$E204:$L204,"N/A")=8,"Concluído",IF(COUNTIF('E1 — Solicitação'!$E204:$L204,"✔ Concluído")+COUNTIF('E1 — Solicitação'!$E204:$L204,"🔄 Em andamento")&gt;0,"Em andamento","Não iniciado"))))))</f>
        <v/>
      </c>
      <c r="F222" s="234" t="str">
        <f>IF($B222="","",IF($E222&lt;&gt;"Concluído","Não iniciado",IF(COUNTIF(Lançamentos!$B$3:$B$1001,$B222)=0,"Bloqueado",IF('E2 — Triagem'!$D204="","Bloqueado",IF(COUNTIF('E2 — Triagem'!$E204:$L204,"N/A")=8,"Bloqueado",IF(COUNTIF('E2 — Triagem'!$E204:$L204,"⛔ Bloqueado")&gt;0,"Bloqueado",IF(COUNTIF('E2 — Triagem'!$E204:$L204,"✔ Concluído")+COUNTIF('E2 — Triagem'!$E204:$L204,"N/A")=8,"Concluído",IF(COUNTIF('E2 — Triagem'!$E204:$L204,"✔ Concluído")+COUNTIF('E2 — Triagem'!$E204:$L204,"🔄 Em andamento")&gt;0,"Em andamento","Não iniciado"))))))))</f>
        <v/>
      </c>
      <c r="G222" s="234" t="str">
        <f>IF($B222="","",IF($F222&lt;&gt;"Concluído","Não iniciado",IF(COUNTIF(Lançamentos!$B$3:$B$1001,$B222)=0,"Bloqueado",IF('E3 — Levantamento'!$D204="","Bloqueado",IF(COUNTIF('E3 — Levantamento'!$E204:$I204,"⛔ Bloqueado")&gt;0,"Bloqueado",IF('E3 — Levantamento'!$I204="N/A","Bloqueado",IF(COUNTIF('E3 — Levantamento'!$E204:$I204,"✔ Concluído")=5,"Concluído",IF(COUNTIF('E3 — Levantamento'!$E204:$I204,"✔ Concluído")+COUNTIF('E3 — Levantamento'!$E204:$I204,"🔄 Em andamento")&gt;0,"Em andamento","Não iniciado"))))))))</f>
        <v/>
      </c>
      <c r="H222" s="234" t="str">
        <f>IF($B222="","",IF($G222&lt;&gt;"Concluído","Não iniciado",IF(COUNTIF(Lançamentos!$B$3:$B$1001,$B222)=0,"Bloqueado",IF('E4 — Execução'!$D204="","Bloqueado",IF(COUNTIF('E4 — Execução'!$E204:$K204,"⛔ Bloqueado")&gt;0,"Bloqueado",IF(COUNTIF('E4 — Execução'!$E204:$K204,"✔ Concluído")=7,"Concluído",IF(COUNTIF('E4 — Execução'!$E204:$K204,"✔ Concluído")+COUNTIF('E4 — Execução'!$E204:$K204,"🔄 Em andamento")&gt;0,"Em andamento","Não iniciado")))))))</f>
        <v/>
      </c>
      <c r="I222" s="234" t="str">
        <f>IF($B222="","",IF($H222&lt;&gt;"Concluído","Não iniciado",IF(COUNTIF(Lançamentos!$B$3:$B$1001,$B222)=0,"Bloqueado",IF('E5 — Validação'!$D204="","Bloqueado",IF(COUNTIF('E5 — Validação'!$E204:$I204,"⛔ Bloqueado")&gt;0,"Bloqueado",IF('E5 — Validação'!$I204="N/A","Bloqueado",IF(AND('E5 — Validação'!$E204="✔ Concluído",'E5 — Validação'!$F204="✔ Concluído",OR('E5 — Validação'!$G204="✔ Concluído",'E5 — Validação'!$G204="N/A"),'E5 — Validação'!$H204="✔ Concluído",'E5 — Validação'!$I204="✔ Concluído"),"Concluído",IF(COUNTIF('E5 — Validação'!$E204:$I204,"✔ Concluído")+COUNTIF('E5 — Validação'!$E204:$I204,"🔄 Em andamento")&gt;0,"Em andamento","Não iniciado"))))))))</f>
        <v/>
      </c>
      <c r="J222" s="234" t="str">
        <f>IF($B222="","",IF($I222&lt;&gt;"Concluído","Não iniciado",IF('E6 — Ajustes'!$N204="Não","N/A",IF(COUNTIF(Lançamentos!$B$3:$B$1001,$B222)=0,"Bloqueado",IF('E6 — Ajustes'!$D204="","Bloqueado",IF(COUNTIF('E6 — Ajustes'!$E204:$J204,"⛔ Bloqueado")&gt;0,"Bloqueado",IF(AND('E6 — Ajustes'!$E204="✔ Concluído",'E6 — Ajustes'!$F204="✔ Concluído",'E6 — Ajustes'!$G204="✔ Concluído",'E6 — Ajustes'!$H204="✔ Concluído",OR('E6 — Ajustes'!$I204="✔ Concluído",'E6 — Ajustes'!$I204="N/A"),'E6 — Ajustes'!$J204="✔ Concluído"),"Concluído",IF(COUNTIF('E6 — Ajustes'!$E204:$J204,"✔ Concluído")+COUNTIF('E6 — Ajustes'!$E204:$J204,"🔄 Em andamento")&gt;0,"Em andamento","Não iniciado"))))))))</f>
        <v/>
      </c>
      <c r="K222" s="234" t="str">
        <f>IF($B222="","",IF($I222&lt;&gt;"Concluído","Não iniciado",IF(AND($J222&lt;&gt;"Concluído",$J222&lt;&gt;"N/A"),"Não iniciado",IF(COUNTIF(Lançamentos!$B$3:$B$1001,$B222)=0,"Bloqueado",IF('E7 — Entrega'!$D204="","Bloqueado",IF(COUNTIF('E7 — Entrega'!$E204:$H204,"⛔ Bloqueado")&gt;0,"Bloqueado",IF(COUNTIF('E7 — Entrega'!$E204:$H204,"✔ Concluído")=4,"Concluído",IF(COUNTIF('E7 — Entrega'!$E204:$H204,"✔ Concluído")+COUNTIF('E7 — Entrega'!$E204:$H204,"🔄 Em andamento")&gt;0,"Em andamento","Não iniciado"))))))))</f>
        <v/>
      </c>
      <c r="L222" s="234" t="str">
        <f>IF($B222="","",IF($K222&lt;&gt;"Concluído","Não iniciado",IF(OR(COUNTIF('E08 — Estabilização Hypercare'!$E204:$J204,"⛔ Bloqueado")&gt;0,'E08 — Estabilização Hypercare'!$N204="⛔ Incidente Crítico — Encerramento Bloqueado",AND('E08 — Estabilização Hypercare'!$N204="🆕 Evolução Identificada — Nova Demanda Aberta",'E08 — Estabilização Hypercare'!$U204="")),"Bloqueado",IF(AND('E08 — Estabilização Hypercare'!$E204="✔ Concluído",'E08 — Estabilização Hypercare'!$F204="✔ Concluído",'E08 — Estabilização Hypercare'!$G204="✔ Concluído",OR('E08 — Estabilização Hypercare'!$H204="✔ Concluído",'E08 — Estabilização Hypercare'!$H204="N/A"),'E08 — Estabilização Hypercare'!$I204="✔ Concluído",'E08 — Estabilização Hypercare'!$J204="✔ Concluído",OR('E08 — Estabilização Hypercare'!$N204="✅ Estável — Demanda Encerrada",AND('E08 — Estabilização Hypercare'!$N204="🆕 Evolução Identificada — Nova Demanda Aberta",'E08 — Estabilização Hypercare'!$U204&lt;&gt;""))),"Concluído",IF(OR(COUNTIF('E08 — Estabilização Hypercare'!$E204:$J204,"✔ Concluído")&gt;0,COUNTIF('E08 — Estabilização Hypercare'!$E204:$J204,"🔄 Em andamento")&gt;0,'E08 — Estabilização Hypercare'!$N204&lt;&gt;""),"Em andamento","Não iniciado")))))</f>
        <v/>
      </c>
      <c r="M222" s="236" t="str" cm="1">
        <f t="array" ref="M222">IF(B222="","",_xlfn.IFS(E222&lt;&gt;"Concluído","E1 — Solicitação",F222&lt;&gt;"Concluído","E2 — Triagem",G222&lt;&gt;"Concluído","E3 — Levantamento ⚠",H222&lt;&gt;"Concluído","E4 — Execução",I222&lt;&gt;"Concluído","E5 — Validação ⚠",AND(J222&lt;&gt;"Concluído",J222&lt;&gt;"N/A"),"E6 — Ajustes",K222&lt;&gt;"Concluído","E7 — Entrega",L222&lt;&gt;"Concluído","E08 — Estabilização / Hypercare",TRUE,"✔ Fluxo concluído"))</f>
        <v/>
      </c>
      <c r="N222" s="237" t="str">
        <f t="shared" si="3"/>
        <v/>
      </c>
      <c r="O222" s="238"/>
    </row>
    <row r="223" spans="2:15" ht="15" customHeight="1" x14ac:dyDescent="0.35">
      <c r="B223" s="234" t="str">
        <f>IF(Lançamentos!$B200="","",Lançamentos!$B200)</f>
        <v/>
      </c>
      <c r="C223" s="235" t="str">
        <f>IF($B223="","",Lançamentos!$J200)</f>
        <v/>
      </c>
      <c r="D223" s="235" t="str">
        <f>IF($B223="","",Lançamentos!$H200)</f>
        <v/>
      </c>
      <c r="E223" s="234" t="str">
        <f>IF($B223="","",IF(COUNTIF(Lançamentos!$B$3:$B$1001,$B223)=0,"Bloqueado",IF(COUNTIF('E1 — Solicitação'!$E205:$L205,"⛔ Bloqueado")&gt;0,"Bloqueado",IF(COUNTIF('E1 — Solicitação'!$E205:$L205,"N/A")=8,"Bloqueado",IF(COUNTIF('E1 — Solicitação'!$E205:$L205,"✔ Concluído")+COUNTIF('E1 — Solicitação'!$E205:$L205,"N/A")=8,"Concluído",IF(COUNTIF('E1 — Solicitação'!$E205:$L205,"✔ Concluído")+COUNTIF('E1 — Solicitação'!$E205:$L205,"🔄 Em andamento")&gt;0,"Em andamento","Não iniciado"))))))</f>
        <v/>
      </c>
      <c r="F223" s="234" t="str">
        <f>IF($B223="","",IF($E223&lt;&gt;"Concluído","Não iniciado",IF(COUNTIF(Lançamentos!$B$3:$B$1001,$B223)=0,"Bloqueado",IF('E2 — Triagem'!$D205="","Bloqueado",IF(COUNTIF('E2 — Triagem'!$E205:$L205,"N/A")=8,"Bloqueado",IF(COUNTIF('E2 — Triagem'!$E205:$L205,"⛔ Bloqueado")&gt;0,"Bloqueado",IF(COUNTIF('E2 — Triagem'!$E205:$L205,"✔ Concluído")+COUNTIF('E2 — Triagem'!$E205:$L205,"N/A")=8,"Concluído",IF(COUNTIF('E2 — Triagem'!$E205:$L205,"✔ Concluído")+COUNTIF('E2 — Triagem'!$E205:$L205,"🔄 Em andamento")&gt;0,"Em andamento","Não iniciado"))))))))</f>
        <v/>
      </c>
      <c r="G223" s="234" t="str">
        <f>IF($B223="","",IF($F223&lt;&gt;"Concluído","Não iniciado",IF(COUNTIF(Lançamentos!$B$3:$B$1001,$B223)=0,"Bloqueado",IF('E3 — Levantamento'!$D205="","Bloqueado",IF(COUNTIF('E3 — Levantamento'!$E205:$I205,"⛔ Bloqueado")&gt;0,"Bloqueado",IF('E3 — Levantamento'!$I205="N/A","Bloqueado",IF(COUNTIF('E3 — Levantamento'!$E205:$I205,"✔ Concluído")=5,"Concluído",IF(COUNTIF('E3 — Levantamento'!$E205:$I205,"✔ Concluído")+COUNTIF('E3 — Levantamento'!$E205:$I205,"🔄 Em andamento")&gt;0,"Em andamento","Não iniciado"))))))))</f>
        <v/>
      </c>
      <c r="H223" s="234" t="str">
        <f>IF($B223="","",IF($G223&lt;&gt;"Concluído","Não iniciado",IF(COUNTIF(Lançamentos!$B$3:$B$1001,$B223)=0,"Bloqueado",IF('E4 — Execução'!$D205="","Bloqueado",IF(COUNTIF('E4 — Execução'!$E205:$K205,"⛔ Bloqueado")&gt;0,"Bloqueado",IF(COUNTIF('E4 — Execução'!$E205:$K205,"✔ Concluído")=7,"Concluído",IF(COUNTIF('E4 — Execução'!$E205:$K205,"✔ Concluído")+COUNTIF('E4 — Execução'!$E205:$K205,"🔄 Em andamento")&gt;0,"Em andamento","Não iniciado")))))))</f>
        <v/>
      </c>
      <c r="I223" s="234" t="str">
        <f>IF($B223="","",IF($H223&lt;&gt;"Concluído","Não iniciado",IF(COUNTIF(Lançamentos!$B$3:$B$1001,$B223)=0,"Bloqueado",IF('E5 — Validação'!$D205="","Bloqueado",IF(COUNTIF('E5 — Validação'!$E205:$I205,"⛔ Bloqueado")&gt;0,"Bloqueado",IF('E5 — Validação'!$I205="N/A","Bloqueado",IF(AND('E5 — Validação'!$E205="✔ Concluído",'E5 — Validação'!$F205="✔ Concluído",OR('E5 — Validação'!$G205="✔ Concluído",'E5 — Validação'!$G205="N/A"),'E5 — Validação'!$H205="✔ Concluído",'E5 — Validação'!$I205="✔ Concluído"),"Concluído",IF(COUNTIF('E5 — Validação'!$E205:$I205,"✔ Concluído")+COUNTIF('E5 — Validação'!$E205:$I205,"🔄 Em andamento")&gt;0,"Em andamento","Não iniciado"))))))))</f>
        <v/>
      </c>
      <c r="J223" s="234" t="str">
        <f>IF($B223="","",IF($I223&lt;&gt;"Concluído","Não iniciado",IF('E6 — Ajustes'!$N205="Não","N/A",IF(COUNTIF(Lançamentos!$B$3:$B$1001,$B223)=0,"Bloqueado",IF('E6 — Ajustes'!$D205="","Bloqueado",IF(COUNTIF('E6 — Ajustes'!$E205:$J205,"⛔ Bloqueado")&gt;0,"Bloqueado",IF(AND('E6 — Ajustes'!$E205="✔ Concluído",'E6 — Ajustes'!$F205="✔ Concluído",'E6 — Ajustes'!$G205="✔ Concluído",'E6 — Ajustes'!$H205="✔ Concluído",OR('E6 — Ajustes'!$I205="✔ Concluído",'E6 — Ajustes'!$I205="N/A"),'E6 — Ajustes'!$J205="✔ Concluído"),"Concluído",IF(COUNTIF('E6 — Ajustes'!$E205:$J205,"✔ Concluído")+COUNTIF('E6 — Ajustes'!$E205:$J205,"🔄 Em andamento")&gt;0,"Em andamento","Não iniciado"))))))))</f>
        <v/>
      </c>
      <c r="K223" s="234" t="str">
        <f>IF($B223="","",IF($I223&lt;&gt;"Concluído","Não iniciado",IF(AND($J223&lt;&gt;"Concluído",$J223&lt;&gt;"N/A"),"Não iniciado",IF(COUNTIF(Lançamentos!$B$3:$B$1001,$B223)=0,"Bloqueado",IF('E7 — Entrega'!$D205="","Bloqueado",IF(COUNTIF('E7 — Entrega'!$E205:$H205,"⛔ Bloqueado")&gt;0,"Bloqueado",IF(COUNTIF('E7 — Entrega'!$E205:$H205,"✔ Concluído")=4,"Concluído",IF(COUNTIF('E7 — Entrega'!$E205:$H205,"✔ Concluído")+COUNTIF('E7 — Entrega'!$E205:$H205,"🔄 Em andamento")&gt;0,"Em andamento","Não iniciado"))))))))</f>
        <v/>
      </c>
      <c r="L223" s="234" t="str">
        <f>IF($B223="","",IF($K223&lt;&gt;"Concluído","Não iniciado",IF(OR(COUNTIF('E08 — Estabilização Hypercare'!$E205:$J205,"⛔ Bloqueado")&gt;0,'E08 — Estabilização Hypercare'!$N205="⛔ Incidente Crítico — Encerramento Bloqueado",AND('E08 — Estabilização Hypercare'!$N205="🆕 Evolução Identificada — Nova Demanda Aberta",'E08 — Estabilização Hypercare'!$U205="")),"Bloqueado",IF(AND('E08 — Estabilização Hypercare'!$E205="✔ Concluído",'E08 — Estabilização Hypercare'!$F205="✔ Concluído",'E08 — Estabilização Hypercare'!$G205="✔ Concluído",OR('E08 — Estabilização Hypercare'!$H205="✔ Concluído",'E08 — Estabilização Hypercare'!$H205="N/A"),'E08 — Estabilização Hypercare'!$I205="✔ Concluído",'E08 — Estabilização Hypercare'!$J205="✔ Concluído",OR('E08 — Estabilização Hypercare'!$N205="✅ Estável — Demanda Encerrada",AND('E08 — Estabilização Hypercare'!$N205="🆕 Evolução Identificada — Nova Demanda Aberta",'E08 — Estabilização Hypercare'!$U205&lt;&gt;""))),"Concluído",IF(OR(COUNTIF('E08 — Estabilização Hypercare'!$E205:$J205,"✔ Concluído")&gt;0,COUNTIF('E08 — Estabilização Hypercare'!$E205:$J205,"🔄 Em andamento")&gt;0,'E08 — Estabilização Hypercare'!$N205&lt;&gt;""),"Em andamento","Não iniciado")))))</f>
        <v/>
      </c>
      <c r="M223" s="236" t="str" cm="1">
        <f t="array" ref="M223">IF(B223="","",_xlfn.IFS(E223&lt;&gt;"Concluído","E1 — Solicitação",F223&lt;&gt;"Concluído","E2 — Triagem",G223&lt;&gt;"Concluído","E3 — Levantamento ⚠",H223&lt;&gt;"Concluído","E4 — Execução",I223&lt;&gt;"Concluído","E5 — Validação ⚠",AND(J223&lt;&gt;"Concluído",J223&lt;&gt;"N/A"),"E6 — Ajustes",K223&lt;&gt;"Concluído","E7 — Entrega",L223&lt;&gt;"Concluído","E08 — Estabilização / Hypercare",TRUE,"✔ Fluxo concluído"))</f>
        <v/>
      </c>
      <c r="N223" s="237" t="str">
        <f t="shared" si="3"/>
        <v/>
      </c>
      <c r="O223" s="238"/>
    </row>
    <row r="224" spans="2:15" ht="15" customHeight="1" x14ac:dyDescent="0.35">
      <c r="B224" s="234" t="str">
        <f>IF(Lançamentos!$B201="","",Lançamentos!$B201)</f>
        <v/>
      </c>
      <c r="C224" s="235" t="str">
        <f>IF($B224="","",Lançamentos!$J201)</f>
        <v/>
      </c>
      <c r="D224" s="235" t="str">
        <f>IF($B224="","",Lançamentos!$H201)</f>
        <v/>
      </c>
      <c r="E224" s="234" t="str">
        <f>IF($B224="","",IF(COUNTIF(Lançamentos!$B$3:$B$1001,$B224)=0,"Bloqueado",IF(COUNTIF('E1 — Solicitação'!$E206:$L206,"⛔ Bloqueado")&gt;0,"Bloqueado",IF(COUNTIF('E1 — Solicitação'!$E206:$L206,"N/A")=8,"Bloqueado",IF(COUNTIF('E1 — Solicitação'!$E206:$L206,"✔ Concluído")+COUNTIF('E1 — Solicitação'!$E206:$L206,"N/A")=8,"Concluído",IF(COUNTIF('E1 — Solicitação'!$E206:$L206,"✔ Concluído")+COUNTIF('E1 — Solicitação'!$E206:$L206,"🔄 Em andamento")&gt;0,"Em andamento","Não iniciado"))))))</f>
        <v/>
      </c>
      <c r="F224" s="234" t="str">
        <f>IF($B224="","",IF($E224&lt;&gt;"Concluído","Não iniciado",IF(COUNTIF(Lançamentos!$B$3:$B$1001,$B224)=0,"Bloqueado",IF('E2 — Triagem'!$D206="","Bloqueado",IF(COUNTIF('E2 — Triagem'!$E206:$L206,"N/A")=8,"Bloqueado",IF(COUNTIF('E2 — Triagem'!$E206:$L206,"⛔ Bloqueado")&gt;0,"Bloqueado",IF(COUNTIF('E2 — Triagem'!$E206:$L206,"✔ Concluído")+COUNTIF('E2 — Triagem'!$E206:$L206,"N/A")=8,"Concluído",IF(COUNTIF('E2 — Triagem'!$E206:$L206,"✔ Concluído")+COUNTIF('E2 — Triagem'!$E206:$L206,"🔄 Em andamento")&gt;0,"Em andamento","Não iniciado"))))))))</f>
        <v/>
      </c>
      <c r="G224" s="234" t="str">
        <f>IF($B224="","",IF($F224&lt;&gt;"Concluído","Não iniciado",IF(COUNTIF(Lançamentos!$B$3:$B$1001,$B224)=0,"Bloqueado",IF('E3 — Levantamento'!$D206="","Bloqueado",IF(COUNTIF('E3 — Levantamento'!$E206:$I206,"⛔ Bloqueado")&gt;0,"Bloqueado",IF('E3 — Levantamento'!$I206="N/A","Bloqueado",IF(COUNTIF('E3 — Levantamento'!$E206:$I206,"✔ Concluído")=5,"Concluído",IF(COUNTIF('E3 — Levantamento'!$E206:$I206,"✔ Concluído")+COUNTIF('E3 — Levantamento'!$E206:$I206,"🔄 Em andamento")&gt;0,"Em andamento","Não iniciado"))))))))</f>
        <v/>
      </c>
      <c r="H224" s="234" t="str">
        <f>IF($B224="","",IF($G224&lt;&gt;"Concluído","Não iniciado",IF(COUNTIF(Lançamentos!$B$3:$B$1001,$B224)=0,"Bloqueado",IF('E4 — Execução'!$D206="","Bloqueado",IF(COUNTIF('E4 — Execução'!$E206:$K206,"⛔ Bloqueado")&gt;0,"Bloqueado",IF(COUNTIF('E4 — Execução'!$E206:$K206,"✔ Concluído")=7,"Concluído",IF(COUNTIF('E4 — Execução'!$E206:$K206,"✔ Concluído")+COUNTIF('E4 — Execução'!$E206:$K206,"🔄 Em andamento")&gt;0,"Em andamento","Não iniciado")))))))</f>
        <v/>
      </c>
      <c r="I224" s="234" t="str">
        <f>IF($B224="","",IF($H224&lt;&gt;"Concluído","Não iniciado",IF(COUNTIF(Lançamentos!$B$3:$B$1001,$B224)=0,"Bloqueado",IF('E5 — Validação'!$D206="","Bloqueado",IF(COUNTIF('E5 — Validação'!$E206:$I206,"⛔ Bloqueado")&gt;0,"Bloqueado",IF('E5 — Validação'!$I206="N/A","Bloqueado",IF(AND('E5 — Validação'!$E206="✔ Concluído",'E5 — Validação'!$F206="✔ Concluído",OR('E5 — Validação'!$G206="✔ Concluído",'E5 — Validação'!$G206="N/A"),'E5 — Validação'!$H206="✔ Concluído",'E5 — Validação'!$I206="✔ Concluído"),"Concluído",IF(COUNTIF('E5 — Validação'!$E206:$I206,"✔ Concluído")+COUNTIF('E5 — Validação'!$E206:$I206,"🔄 Em andamento")&gt;0,"Em andamento","Não iniciado"))))))))</f>
        <v/>
      </c>
      <c r="J224" s="234" t="str">
        <f>IF($B224="","",IF($I224&lt;&gt;"Concluído","Não iniciado",IF('E6 — Ajustes'!$N206="Não","N/A",IF(COUNTIF(Lançamentos!$B$3:$B$1001,$B224)=0,"Bloqueado",IF('E6 — Ajustes'!$D206="","Bloqueado",IF(COUNTIF('E6 — Ajustes'!$E206:$J206,"⛔ Bloqueado")&gt;0,"Bloqueado",IF(AND('E6 — Ajustes'!$E206="✔ Concluído",'E6 — Ajustes'!$F206="✔ Concluído",'E6 — Ajustes'!$G206="✔ Concluído",'E6 — Ajustes'!$H206="✔ Concluído",OR('E6 — Ajustes'!$I206="✔ Concluído",'E6 — Ajustes'!$I206="N/A"),'E6 — Ajustes'!$J206="✔ Concluído"),"Concluído",IF(COUNTIF('E6 — Ajustes'!$E206:$J206,"✔ Concluído")+COUNTIF('E6 — Ajustes'!$E206:$J206,"🔄 Em andamento")&gt;0,"Em andamento","Não iniciado"))))))))</f>
        <v/>
      </c>
      <c r="K224" s="234" t="str">
        <f>IF($B224="","",IF($I224&lt;&gt;"Concluído","Não iniciado",IF(AND($J224&lt;&gt;"Concluído",$J224&lt;&gt;"N/A"),"Não iniciado",IF(COUNTIF(Lançamentos!$B$3:$B$1001,$B224)=0,"Bloqueado",IF('E7 — Entrega'!$D206="","Bloqueado",IF(COUNTIF('E7 — Entrega'!$E206:$H206,"⛔ Bloqueado")&gt;0,"Bloqueado",IF(COUNTIF('E7 — Entrega'!$E206:$H206,"✔ Concluído")=4,"Concluído",IF(COUNTIF('E7 — Entrega'!$E206:$H206,"✔ Concluído")+COUNTIF('E7 — Entrega'!$E206:$H206,"🔄 Em andamento")&gt;0,"Em andamento","Não iniciado"))))))))</f>
        <v/>
      </c>
      <c r="L224" s="234" t="str">
        <f>IF($B224="","",IF($K224&lt;&gt;"Concluído","Não iniciado",IF(OR(COUNTIF('E08 — Estabilização Hypercare'!$E206:$J206,"⛔ Bloqueado")&gt;0,'E08 — Estabilização Hypercare'!$N206="⛔ Incidente Crítico — Encerramento Bloqueado",AND('E08 — Estabilização Hypercare'!$N206="🆕 Evolução Identificada — Nova Demanda Aberta",'E08 — Estabilização Hypercare'!$U206="")),"Bloqueado",IF(AND('E08 — Estabilização Hypercare'!$E206="✔ Concluído",'E08 — Estabilização Hypercare'!$F206="✔ Concluído",'E08 — Estabilização Hypercare'!$G206="✔ Concluído",OR('E08 — Estabilização Hypercare'!$H206="✔ Concluído",'E08 — Estabilização Hypercare'!$H206="N/A"),'E08 — Estabilização Hypercare'!$I206="✔ Concluído",'E08 — Estabilização Hypercare'!$J206="✔ Concluído",OR('E08 — Estabilização Hypercare'!$N206="✅ Estável — Demanda Encerrada",AND('E08 — Estabilização Hypercare'!$N206="🆕 Evolução Identificada — Nova Demanda Aberta",'E08 — Estabilização Hypercare'!$U206&lt;&gt;""))),"Concluído",IF(OR(COUNTIF('E08 — Estabilização Hypercare'!$E206:$J206,"✔ Concluído")&gt;0,COUNTIF('E08 — Estabilização Hypercare'!$E206:$J206,"🔄 Em andamento")&gt;0,'E08 — Estabilização Hypercare'!$N206&lt;&gt;""),"Em andamento","Não iniciado")))))</f>
        <v/>
      </c>
      <c r="M224" s="236" t="str" cm="1">
        <f t="array" ref="M224">IF(B224="","",_xlfn.IFS(E224&lt;&gt;"Concluído","E1 — Solicitação",F224&lt;&gt;"Concluído","E2 — Triagem",G224&lt;&gt;"Concluído","E3 — Levantamento ⚠",H224&lt;&gt;"Concluído","E4 — Execução",I224&lt;&gt;"Concluído","E5 — Validação ⚠",AND(J224&lt;&gt;"Concluído",J224&lt;&gt;"N/A"),"E6 — Ajustes",K224&lt;&gt;"Concluído","E7 — Entrega",L224&lt;&gt;"Concluído","E08 — Estabilização / Hypercare",TRUE,"✔ Fluxo concluído"))</f>
        <v/>
      </c>
      <c r="N224" s="237" t="str">
        <f t="shared" si="3"/>
        <v/>
      </c>
      <c r="O224" s="238"/>
    </row>
    <row r="225" spans="2:15" ht="15" customHeight="1" x14ac:dyDescent="0.35">
      <c r="B225" s="229" t="str">
        <f>IF(Lançamentos!$B202="","",Lançamentos!$B202)</f>
        <v/>
      </c>
      <c r="C225" s="231" t="str">
        <f>IF($B225="","",Lançamentos!$J202)</f>
        <v/>
      </c>
      <c r="D225" s="231" t="str">
        <f>IF($B225="","",Lançamentos!$H202)</f>
        <v/>
      </c>
      <c r="E225" s="229" t="str">
        <f>IF($B225="","",IF(COUNTIF(Lançamentos!$B$3:$B$1001,$B225)=0,"Bloqueado",IF(COUNTIF('E1 — Solicitação'!$E207:$L207,"⛔ Bloqueado")&gt;0,"Bloqueado",IF(COUNTIF('E1 — Solicitação'!$E207:$L207,"N/A")=8,"Bloqueado",IF(COUNTIF('E1 — Solicitação'!$E207:$L207,"✔ Concluído")+COUNTIF('E1 — Solicitação'!$E207:$L207,"N/A")=8,"Concluído",IF(COUNTIF('E1 — Solicitação'!$E207:$L207,"✔ Concluído")+COUNTIF('E1 — Solicitação'!$E207:$L207,"🔄 Em andamento")&gt;0,"Em andamento","Não iniciado"))))))</f>
        <v/>
      </c>
      <c r="F225" s="229" t="str">
        <f>IF($B225="","",IF($E225&lt;&gt;"Concluído","Não iniciado",IF(COUNTIF(Lançamentos!$B$3:$B$1001,$B225)=0,"Bloqueado",IF('E2 — Triagem'!$D207="","Bloqueado",IF(COUNTIF('E2 — Triagem'!$E207:$L207,"N/A")=8,"Bloqueado",IF(COUNTIF('E2 — Triagem'!$E207:$L207,"⛔ Bloqueado")&gt;0,"Bloqueado",IF(COUNTIF('E2 — Triagem'!$E207:$L207,"✔ Concluído")+COUNTIF('E2 — Triagem'!$E207:$L207,"N/A")=8,"Concluído",IF(COUNTIF('E2 — Triagem'!$E207:$L207,"✔ Concluído")+COUNTIF('E2 — Triagem'!$E207:$L207,"🔄 Em andamento")&gt;0,"Em andamento","Não iniciado"))))))))</f>
        <v/>
      </c>
      <c r="G225" s="229" t="str">
        <f>IF($B225="","",IF($F225&lt;&gt;"Concluído","Não iniciado",IF(COUNTIF(Lançamentos!$B$3:$B$1001,$B225)=0,"Bloqueado",IF('E3 — Levantamento'!$D207="","Bloqueado",IF(COUNTIF('E3 — Levantamento'!$E207:$I207,"⛔ Bloqueado")&gt;0,"Bloqueado",IF('E3 — Levantamento'!$I207="N/A","Bloqueado",IF(COUNTIF('E3 — Levantamento'!$E207:$I207,"✔ Concluído")=5,"Concluído",IF(COUNTIF('E3 — Levantamento'!$E207:$I207,"✔ Concluído")+COUNTIF('E3 — Levantamento'!$E207:$I207,"🔄 Em andamento")&gt;0,"Em andamento","Não iniciado"))))))))</f>
        <v/>
      </c>
      <c r="H225" s="229" t="str">
        <f>IF($B225="","",IF($G225&lt;&gt;"Concluído","Não iniciado",IF(COUNTIF(Lançamentos!$B$3:$B$1001,$B225)=0,"Bloqueado",IF('E4 — Execução'!$D207="","Bloqueado",IF(COUNTIF('E4 — Execução'!$E207:$K207,"⛔ Bloqueado")&gt;0,"Bloqueado",IF(COUNTIF('E4 — Execução'!$E207:$K207,"✔ Concluído")=7,"Concluído",IF(COUNTIF('E4 — Execução'!$E207:$K207,"✔ Concluído")+COUNTIF('E4 — Execução'!$E207:$K207,"🔄 Em andamento")&gt;0,"Em andamento","Não iniciado")))))))</f>
        <v/>
      </c>
      <c r="I225" s="229" t="str">
        <f>IF($B225="","",IF($H225&lt;&gt;"Concluído","Não iniciado",IF(COUNTIF(Lançamentos!$B$3:$B$1001,$B225)=0,"Bloqueado",IF('E5 — Validação'!$D207="","Bloqueado",IF(COUNTIF('E5 — Validação'!$E207:$I207,"⛔ Bloqueado")&gt;0,"Bloqueado",IF('E5 — Validação'!$I207="N/A","Bloqueado",IF(AND('E5 — Validação'!$E207="✔ Concluído",'E5 — Validação'!$F207="✔ Concluído",OR('E5 — Validação'!$G207="✔ Concluído",'E5 — Validação'!$G207="N/A"),'E5 — Validação'!$H207="✔ Concluído",'E5 — Validação'!$I207="✔ Concluído"),"Concluído",IF(COUNTIF('E5 — Validação'!$E207:$I207,"✔ Concluído")+COUNTIF('E5 — Validação'!$E207:$I207,"🔄 Em andamento")&gt;0,"Em andamento","Não iniciado"))))))))</f>
        <v/>
      </c>
      <c r="J225" s="229" t="str">
        <f>IF($B225="","",IF($I225&lt;&gt;"Concluído","Não iniciado",IF('E6 — Ajustes'!$N207="Não","N/A",IF(COUNTIF(Lançamentos!$B$3:$B$1001,$B225)=0,"Bloqueado",IF('E6 — Ajustes'!$D207="","Bloqueado",IF(COUNTIF('E6 — Ajustes'!$E207:$J207,"⛔ Bloqueado")&gt;0,"Bloqueado",IF(AND('E6 — Ajustes'!$E207="✔ Concluído",'E6 — Ajustes'!$F207="✔ Concluído",'E6 — Ajustes'!$G207="✔ Concluído",'E6 — Ajustes'!$H207="✔ Concluído",OR('E6 — Ajustes'!$I207="✔ Concluído",'E6 — Ajustes'!$I207="N/A"),'E6 — Ajustes'!$J207="✔ Concluído"),"Concluído",IF(COUNTIF('E6 — Ajustes'!$E207:$J207,"✔ Concluído")+COUNTIF('E6 — Ajustes'!$E207:$J207,"🔄 Em andamento")&gt;0,"Em andamento","Não iniciado"))))))))</f>
        <v/>
      </c>
      <c r="K225" s="229" t="str">
        <f>IF($B225="","",IF($I225&lt;&gt;"Concluído","Não iniciado",IF(AND($J225&lt;&gt;"Concluído",$J225&lt;&gt;"N/A"),"Não iniciado",IF(COUNTIF(Lançamentos!$B$3:$B$1001,$B225)=0,"Bloqueado",IF('E7 — Entrega'!$D207="","Bloqueado",IF(COUNTIF('E7 — Entrega'!$E207:$H207,"⛔ Bloqueado")&gt;0,"Bloqueado",IF(COUNTIF('E7 — Entrega'!$E207:$H207,"✔ Concluído")=4,"Concluído",IF(COUNTIF('E7 — Entrega'!$E207:$H207,"✔ Concluído")+COUNTIF('E7 — Entrega'!$E207:$H207,"🔄 Em andamento")&gt;0,"Em andamento","Não iniciado"))))))))</f>
        <v/>
      </c>
      <c r="L225" s="229" t="str">
        <f>IF($B225="","",IF($K225&lt;&gt;"Concluído","Não iniciado",IF(OR(COUNTIF('E08 — Estabilização Hypercare'!$E207:$J207,"⛔ Bloqueado")&gt;0,'E08 — Estabilização Hypercare'!$N207="⛔ Incidente Crítico — Encerramento Bloqueado",AND('E08 — Estabilização Hypercare'!$N207="🆕 Evolução Identificada — Nova Demanda Aberta",'E08 — Estabilização Hypercare'!$U207="")),"Bloqueado",IF(AND('E08 — Estabilização Hypercare'!$E207="✔ Concluído",'E08 — Estabilização Hypercare'!$F207="✔ Concluído",'E08 — Estabilização Hypercare'!$G207="✔ Concluído",OR('E08 — Estabilização Hypercare'!$H207="✔ Concluído",'E08 — Estabilização Hypercare'!$H207="N/A"),'E08 — Estabilização Hypercare'!$I207="✔ Concluído",'E08 — Estabilização Hypercare'!$J207="✔ Concluído",OR('E08 — Estabilização Hypercare'!$N207="✅ Estável — Demanda Encerrada",AND('E08 — Estabilização Hypercare'!$N207="🆕 Evolução Identificada — Nova Demanda Aberta",'E08 — Estabilização Hypercare'!$U207&lt;&gt;""))),"Concluído",IF(OR(COUNTIF('E08 — Estabilização Hypercare'!$E207:$J207,"✔ Concluído")&gt;0,COUNTIF('E08 — Estabilização Hypercare'!$E207:$J207,"🔄 Em andamento")&gt;0,'E08 — Estabilização Hypercare'!$N207&lt;&gt;""),"Em andamento","Não iniciado")))))</f>
        <v/>
      </c>
      <c r="M225" s="232" t="str" cm="1">
        <f t="array" ref="M225">IF(B225="","",_xlfn.IFS(E225&lt;&gt;"Concluído","E1 — Solicitação",F225&lt;&gt;"Concluído","E2 — Triagem",G225&lt;&gt;"Concluído","E3 — Levantamento ⚠",H225&lt;&gt;"Concluído","E4 — Execução",I225&lt;&gt;"Concluído","E5 — Validação ⚠",AND(J225&lt;&gt;"Concluído",J225&lt;&gt;"N/A"),"E6 — Ajustes",K225&lt;&gt;"Concluído","E7 — Entrega",L225&lt;&gt;"Concluído","E08 — Estabilização / Hypercare",TRUE,"✔ Fluxo concluído"))</f>
        <v/>
      </c>
      <c r="N225" s="233" t="str">
        <f t="shared" si="3"/>
        <v/>
      </c>
      <c r="O225" s="230"/>
    </row>
    <row r="226" spans="2:15" x14ac:dyDescent="0.35">
      <c r="B226" s="229" t="str">
        <f>IF(Lançamentos!$B203="","",Lançamentos!$B203)</f>
        <v/>
      </c>
      <c r="C226" s="231" t="str">
        <f>IF($B226="","",Lançamentos!$J203)</f>
        <v/>
      </c>
      <c r="D226" s="231" t="str">
        <f>IF($B226="","",Lançamentos!$H203)</f>
        <v/>
      </c>
      <c r="E226" s="229" t="str">
        <f>IF($B226="","",IF(COUNTIF(Lançamentos!$B$3:$B$1001,$B226)=0,"Bloqueado",IF(COUNTIF('E1 — Solicitação'!$E208:$L208,"⛔ Bloqueado")&gt;0,"Bloqueado",IF(COUNTIF('E1 — Solicitação'!$E208:$L208,"N/A")=8,"Bloqueado",IF(COUNTIF('E1 — Solicitação'!$E208:$L208,"✔ Concluído")+COUNTIF('E1 — Solicitação'!$E208:$L208,"N/A")=8,"Concluído",IF(COUNTIF('E1 — Solicitação'!$E208:$L208,"✔ Concluído")+COUNTIF('E1 — Solicitação'!$E208:$L208,"🔄 Em andamento")&gt;0,"Em andamento","Não iniciado"))))))</f>
        <v/>
      </c>
      <c r="F226" s="229" t="str">
        <f>IF($B226="","",IF($E226&lt;&gt;"Concluído","Não iniciado",IF(COUNTIF(Lançamentos!$B$3:$B$1001,$B226)=0,"Bloqueado",IF('E2 — Triagem'!$D208="","Bloqueado",IF(COUNTIF('E2 — Triagem'!$E208:$L208,"N/A")=8,"Bloqueado",IF(COUNTIF('E2 — Triagem'!$E208:$L208,"⛔ Bloqueado")&gt;0,"Bloqueado",IF(COUNTIF('E2 — Triagem'!$E208:$L208,"✔ Concluído")+COUNTIF('E2 — Triagem'!$E208:$L208,"N/A")=8,"Concluído",IF(COUNTIF('E2 — Triagem'!$E208:$L208,"✔ Concluído")+COUNTIF('E2 — Triagem'!$E208:$L208,"🔄 Em andamento")&gt;0,"Em andamento","Não iniciado"))))))))</f>
        <v/>
      </c>
      <c r="G226" s="229" t="str">
        <f>IF($B226="","",IF($F226&lt;&gt;"Concluído","Não iniciado",IF(COUNTIF(Lançamentos!$B$3:$B$1001,$B226)=0,"Bloqueado",IF('E3 — Levantamento'!$D208="","Bloqueado",IF(COUNTIF('E3 — Levantamento'!$E208:$I208,"⛔ Bloqueado")&gt;0,"Bloqueado",IF('E3 — Levantamento'!$I208="N/A","Bloqueado",IF(COUNTIF('E3 — Levantamento'!$E208:$I208,"✔ Concluído")=5,"Concluído",IF(COUNTIF('E3 — Levantamento'!$E208:$I208,"✔ Concluído")+COUNTIF('E3 — Levantamento'!$E208:$I208,"🔄 Em andamento")&gt;0,"Em andamento","Não iniciado"))))))))</f>
        <v/>
      </c>
      <c r="H226" s="229" t="str">
        <f>IF($B226="","",IF($G226&lt;&gt;"Concluído","Não iniciado",IF(COUNTIF(Lançamentos!$B$3:$B$1001,$B226)=0,"Bloqueado",IF('E4 — Execução'!$D208="","Bloqueado",IF(COUNTIF('E4 — Execução'!$E208:$K208,"⛔ Bloqueado")&gt;0,"Bloqueado",IF(COUNTIF('E4 — Execução'!$E208:$K208,"✔ Concluído")=7,"Concluído",IF(COUNTIF('E4 — Execução'!$E208:$K208,"✔ Concluído")+COUNTIF('E4 — Execução'!$E208:$K208,"🔄 Em andamento")&gt;0,"Em andamento","Não iniciado")))))))</f>
        <v/>
      </c>
      <c r="I226" s="229" t="str">
        <f>IF($B226="","",IF($H226&lt;&gt;"Concluído","Não iniciado",IF(COUNTIF(Lançamentos!$B$3:$B$1001,$B226)=0,"Bloqueado",IF('E5 — Validação'!$D208="","Bloqueado",IF(COUNTIF('E5 — Validação'!$E208:$I208,"⛔ Bloqueado")&gt;0,"Bloqueado",IF('E5 — Validação'!$I208="N/A","Bloqueado",IF(AND('E5 — Validação'!$E208="✔ Concluído",'E5 — Validação'!$F208="✔ Concluído",OR('E5 — Validação'!$G208="✔ Concluído",'E5 — Validação'!$G208="N/A"),'E5 — Validação'!$H208="✔ Concluído",'E5 — Validação'!$I208="✔ Concluído"),"Concluído",IF(COUNTIF('E5 — Validação'!$E208:$I208,"✔ Concluído")+COUNTIF('E5 — Validação'!$E208:$I208,"🔄 Em andamento")&gt;0,"Em andamento","Não iniciado"))))))))</f>
        <v/>
      </c>
      <c r="J226" s="229" t="str">
        <f>IF($B226="","",IF($I226&lt;&gt;"Concluído","Não iniciado",IF('E6 — Ajustes'!$N208="Não","N/A",IF(COUNTIF(Lançamentos!$B$3:$B$1001,$B226)=0,"Bloqueado",IF('E6 — Ajustes'!$D208="","Bloqueado",IF(COUNTIF('E6 — Ajustes'!$E208:$J208,"⛔ Bloqueado")&gt;0,"Bloqueado",IF(AND('E6 — Ajustes'!$E208="✔ Concluído",'E6 — Ajustes'!$F208="✔ Concluído",'E6 — Ajustes'!$G208="✔ Concluído",'E6 — Ajustes'!$H208="✔ Concluído",OR('E6 — Ajustes'!$I208="✔ Concluído",'E6 — Ajustes'!$I208="N/A"),'E6 — Ajustes'!$J208="✔ Concluído"),"Concluído",IF(COUNTIF('E6 — Ajustes'!$E208:$J208,"✔ Concluído")+COUNTIF('E6 — Ajustes'!$E208:$J208,"🔄 Em andamento")&gt;0,"Em andamento","Não iniciado"))))))))</f>
        <v/>
      </c>
      <c r="K226" s="229" t="str">
        <f>IF($B226="","",IF($I226&lt;&gt;"Concluído","Não iniciado",IF(AND($J226&lt;&gt;"Concluído",$J226&lt;&gt;"N/A"),"Não iniciado",IF(COUNTIF(Lançamentos!$B$3:$B$1001,$B226)=0,"Bloqueado",IF('E7 — Entrega'!$D208="","Bloqueado",IF(COUNTIF('E7 — Entrega'!$E208:$H208,"⛔ Bloqueado")&gt;0,"Bloqueado",IF(COUNTIF('E7 — Entrega'!$E208:$H208,"✔ Concluído")=4,"Concluído",IF(COUNTIF('E7 — Entrega'!$E208:$H208,"✔ Concluído")+COUNTIF('E7 — Entrega'!$E208:$H208,"🔄 Em andamento")&gt;0,"Em andamento","Não iniciado"))))))))</f>
        <v/>
      </c>
      <c r="L226" s="229" t="str">
        <f>IF($B226="","",IF($K226&lt;&gt;"Concluído","Não iniciado",IF(OR(COUNTIF('E08 — Estabilização Hypercare'!$E208:$J208,"⛔ Bloqueado")&gt;0,'E08 — Estabilização Hypercare'!$N208="⛔ Incidente Crítico — Encerramento Bloqueado",AND('E08 — Estabilização Hypercare'!$N208="🆕 Evolução Identificada — Nova Demanda Aberta",'E08 — Estabilização Hypercare'!$U208="")),"Bloqueado",IF(AND('E08 — Estabilização Hypercare'!$E208="✔ Concluído",'E08 — Estabilização Hypercare'!$F208="✔ Concluído",'E08 — Estabilização Hypercare'!$G208="✔ Concluído",OR('E08 — Estabilização Hypercare'!$H208="✔ Concluído",'E08 — Estabilização Hypercare'!$H208="N/A"),'E08 — Estabilização Hypercare'!$I208="✔ Concluído",'E08 — Estabilização Hypercare'!$J208="✔ Concluído",OR('E08 — Estabilização Hypercare'!$N208="✅ Estável — Demanda Encerrada",AND('E08 — Estabilização Hypercare'!$N208="🆕 Evolução Identificada — Nova Demanda Aberta",'E08 — Estabilização Hypercare'!$U208&lt;&gt;""))),"Concluído",IF(OR(COUNTIF('E08 — Estabilização Hypercare'!$E208:$J208,"✔ Concluído")&gt;0,COUNTIF('E08 — Estabilização Hypercare'!$E208:$J208,"🔄 Em andamento")&gt;0,'E08 — Estabilização Hypercare'!$N208&lt;&gt;""),"Em andamento","Não iniciado")))))</f>
        <v/>
      </c>
      <c r="M226" s="232" t="str" cm="1">
        <f t="array" ref="M226">IF(B226="","",_xlfn.IFS(E226&lt;&gt;"Concluído","E1 — Solicitação",F226&lt;&gt;"Concluído","E2 — Triagem",G226&lt;&gt;"Concluído","E3 — Levantamento ⚠",H226&lt;&gt;"Concluído","E4 — Execução",I226&lt;&gt;"Concluído","E5 — Validação ⚠",AND(J226&lt;&gt;"Concluído",J226&lt;&gt;"N/A"),"E6 — Ajustes",K226&lt;&gt;"Concluído","E7 — Entrega",L226&lt;&gt;"Concluído","E08 — Estabilização / Hypercare",TRUE,"✔ Fluxo concluído"))</f>
        <v/>
      </c>
      <c r="N226" s="233" t="str">
        <f t="shared" ref="N226:N289" si="4">IF(B226="","",(COUNTIF(E226:L226,"Concluído")+COUNTIF(E226:L226,"N/A"))/8)</f>
        <v/>
      </c>
      <c r="O226" s="230"/>
    </row>
    <row r="227" spans="2:15" x14ac:dyDescent="0.35">
      <c r="B227" s="229" t="str">
        <f>IF(Lançamentos!$B204="","",Lançamentos!$B204)</f>
        <v/>
      </c>
      <c r="C227" s="231" t="str">
        <f>IF($B227="","",Lançamentos!$J204)</f>
        <v/>
      </c>
      <c r="D227" s="231" t="str">
        <f>IF($B227="","",Lançamentos!$H204)</f>
        <v/>
      </c>
      <c r="E227" s="229" t="str">
        <f>IF($B227="","",IF(COUNTIF(Lançamentos!$B$3:$B$1001,$B227)=0,"Bloqueado",IF(COUNTIF('E1 — Solicitação'!$E209:$L209,"⛔ Bloqueado")&gt;0,"Bloqueado",IF(COUNTIF('E1 — Solicitação'!$E209:$L209,"N/A")=8,"Bloqueado",IF(COUNTIF('E1 — Solicitação'!$E209:$L209,"✔ Concluído")+COUNTIF('E1 — Solicitação'!$E209:$L209,"N/A")=8,"Concluído",IF(COUNTIF('E1 — Solicitação'!$E209:$L209,"✔ Concluído")+COUNTIF('E1 — Solicitação'!$E209:$L209,"🔄 Em andamento")&gt;0,"Em andamento","Não iniciado"))))))</f>
        <v/>
      </c>
      <c r="F227" s="229" t="str">
        <f>IF($B227="","",IF($E227&lt;&gt;"Concluído","Não iniciado",IF(COUNTIF(Lançamentos!$B$3:$B$1001,$B227)=0,"Bloqueado",IF('E2 — Triagem'!$D209="","Bloqueado",IF(COUNTIF('E2 — Triagem'!$E209:$L209,"N/A")=8,"Bloqueado",IF(COUNTIF('E2 — Triagem'!$E209:$L209,"⛔ Bloqueado")&gt;0,"Bloqueado",IF(COUNTIF('E2 — Triagem'!$E209:$L209,"✔ Concluído")+COUNTIF('E2 — Triagem'!$E209:$L209,"N/A")=8,"Concluído",IF(COUNTIF('E2 — Triagem'!$E209:$L209,"✔ Concluído")+COUNTIF('E2 — Triagem'!$E209:$L209,"🔄 Em andamento")&gt;0,"Em andamento","Não iniciado"))))))))</f>
        <v/>
      </c>
      <c r="G227" s="229" t="str">
        <f>IF($B227="","",IF($F227&lt;&gt;"Concluído","Não iniciado",IF(COUNTIF(Lançamentos!$B$3:$B$1001,$B227)=0,"Bloqueado",IF('E3 — Levantamento'!$D209="","Bloqueado",IF(COUNTIF('E3 — Levantamento'!$E209:$I209,"⛔ Bloqueado")&gt;0,"Bloqueado",IF('E3 — Levantamento'!$I209="N/A","Bloqueado",IF(COUNTIF('E3 — Levantamento'!$E209:$I209,"✔ Concluído")=5,"Concluído",IF(COUNTIF('E3 — Levantamento'!$E209:$I209,"✔ Concluído")+COUNTIF('E3 — Levantamento'!$E209:$I209,"🔄 Em andamento")&gt;0,"Em andamento","Não iniciado"))))))))</f>
        <v/>
      </c>
      <c r="H227" s="229" t="str">
        <f>IF($B227="","",IF($G227&lt;&gt;"Concluído","Não iniciado",IF(COUNTIF(Lançamentos!$B$3:$B$1001,$B227)=0,"Bloqueado",IF('E4 — Execução'!$D209="","Bloqueado",IF(COUNTIF('E4 — Execução'!$E209:$K209,"⛔ Bloqueado")&gt;0,"Bloqueado",IF(COUNTIF('E4 — Execução'!$E209:$K209,"✔ Concluído")=7,"Concluído",IF(COUNTIF('E4 — Execução'!$E209:$K209,"✔ Concluído")+COUNTIF('E4 — Execução'!$E209:$K209,"🔄 Em andamento")&gt;0,"Em andamento","Não iniciado")))))))</f>
        <v/>
      </c>
      <c r="I227" s="229" t="str">
        <f>IF($B227="","",IF($H227&lt;&gt;"Concluído","Não iniciado",IF(COUNTIF(Lançamentos!$B$3:$B$1001,$B227)=0,"Bloqueado",IF('E5 — Validação'!$D209="","Bloqueado",IF(COUNTIF('E5 — Validação'!$E209:$I209,"⛔ Bloqueado")&gt;0,"Bloqueado",IF('E5 — Validação'!$I209="N/A","Bloqueado",IF(AND('E5 — Validação'!$E209="✔ Concluído",'E5 — Validação'!$F209="✔ Concluído",OR('E5 — Validação'!$G209="✔ Concluído",'E5 — Validação'!$G209="N/A"),'E5 — Validação'!$H209="✔ Concluído",'E5 — Validação'!$I209="✔ Concluído"),"Concluído",IF(COUNTIF('E5 — Validação'!$E209:$I209,"✔ Concluído")+COUNTIF('E5 — Validação'!$E209:$I209,"🔄 Em andamento")&gt;0,"Em andamento","Não iniciado"))))))))</f>
        <v/>
      </c>
      <c r="J227" s="229" t="str">
        <f>IF($B227="","",IF($I227&lt;&gt;"Concluído","Não iniciado",IF('E6 — Ajustes'!$N209="Não","N/A",IF(COUNTIF(Lançamentos!$B$3:$B$1001,$B227)=0,"Bloqueado",IF('E6 — Ajustes'!$D209="","Bloqueado",IF(COUNTIF('E6 — Ajustes'!$E209:$J209,"⛔ Bloqueado")&gt;0,"Bloqueado",IF(AND('E6 — Ajustes'!$E209="✔ Concluído",'E6 — Ajustes'!$F209="✔ Concluído",'E6 — Ajustes'!$G209="✔ Concluído",'E6 — Ajustes'!$H209="✔ Concluído",OR('E6 — Ajustes'!$I209="✔ Concluído",'E6 — Ajustes'!$I209="N/A"),'E6 — Ajustes'!$J209="✔ Concluído"),"Concluído",IF(COUNTIF('E6 — Ajustes'!$E209:$J209,"✔ Concluído")+COUNTIF('E6 — Ajustes'!$E209:$J209,"🔄 Em andamento")&gt;0,"Em andamento","Não iniciado"))))))))</f>
        <v/>
      </c>
      <c r="K227" s="229" t="str">
        <f>IF($B227="","",IF($I227&lt;&gt;"Concluído","Não iniciado",IF(AND($J227&lt;&gt;"Concluído",$J227&lt;&gt;"N/A"),"Não iniciado",IF(COUNTIF(Lançamentos!$B$3:$B$1001,$B227)=0,"Bloqueado",IF('E7 — Entrega'!$D209="","Bloqueado",IF(COUNTIF('E7 — Entrega'!$E209:$H209,"⛔ Bloqueado")&gt;0,"Bloqueado",IF(COUNTIF('E7 — Entrega'!$E209:$H209,"✔ Concluído")=4,"Concluído",IF(COUNTIF('E7 — Entrega'!$E209:$H209,"✔ Concluído")+COUNTIF('E7 — Entrega'!$E209:$H209,"🔄 Em andamento")&gt;0,"Em andamento","Não iniciado"))))))))</f>
        <v/>
      </c>
      <c r="L227" s="229" t="str">
        <f>IF($B227="","",IF($K227&lt;&gt;"Concluído","Não iniciado",IF(OR(COUNTIF('E08 — Estabilização Hypercare'!$E209:$J209,"⛔ Bloqueado")&gt;0,'E08 — Estabilização Hypercare'!$N209="⛔ Incidente Crítico — Encerramento Bloqueado",AND('E08 — Estabilização Hypercare'!$N209="🆕 Evolução Identificada — Nova Demanda Aberta",'E08 — Estabilização Hypercare'!$U209="")),"Bloqueado",IF(AND('E08 — Estabilização Hypercare'!$E209="✔ Concluído",'E08 — Estabilização Hypercare'!$F209="✔ Concluído",'E08 — Estabilização Hypercare'!$G209="✔ Concluído",OR('E08 — Estabilização Hypercare'!$H209="✔ Concluído",'E08 — Estabilização Hypercare'!$H209="N/A"),'E08 — Estabilização Hypercare'!$I209="✔ Concluído",'E08 — Estabilização Hypercare'!$J209="✔ Concluído",OR('E08 — Estabilização Hypercare'!$N209="✅ Estável — Demanda Encerrada",AND('E08 — Estabilização Hypercare'!$N209="🆕 Evolução Identificada — Nova Demanda Aberta",'E08 — Estabilização Hypercare'!$U209&lt;&gt;""))),"Concluído",IF(OR(COUNTIF('E08 — Estabilização Hypercare'!$E209:$J209,"✔ Concluído")&gt;0,COUNTIF('E08 — Estabilização Hypercare'!$E209:$J209,"🔄 Em andamento")&gt;0,'E08 — Estabilização Hypercare'!$N209&lt;&gt;""),"Em andamento","Não iniciado")))))</f>
        <v/>
      </c>
      <c r="M227" s="232" t="str" cm="1">
        <f t="array" ref="M227">IF(B227="","",_xlfn.IFS(E227&lt;&gt;"Concluído","E1 — Solicitação",F227&lt;&gt;"Concluído","E2 — Triagem",G227&lt;&gt;"Concluído","E3 — Levantamento ⚠",H227&lt;&gt;"Concluído","E4 — Execução",I227&lt;&gt;"Concluído","E5 — Validação ⚠",AND(J227&lt;&gt;"Concluído",J227&lt;&gt;"N/A"),"E6 — Ajustes",K227&lt;&gt;"Concluído","E7 — Entrega",L227&lt;&gt;"Concluído","E08 — Estabilização / Hypercare",TRUE,"✔ Fluxo concluído"))</f>
        <v/>
      </c>
      <c r="N227" s="233" t="str">
        <f t="shared" si="4"/>
        <v/>
      </c>
      <c r="O227" s="230"/>
    </row>
    <row r="228" spans="2:15" x14ac:dyDescent="0.35">
      <c r="B228" s="229" t="str">
        <f>IF(Lançamentos!$B205="","",Lançamentos!$B205)</f>
        <v/>
      </c>
      <c r="C228" s="231" t="str">
        <f>IF($B228="","",Lançamentos!$J205)</f>
        <v/>
      </c>
      <c r="D228" s="231" t="str">
        <f>IF($B228="","",Lançamentos!$H205)</f>
        <v/>
      </c>
      <c r="E228" s="229" t="str">
        <f>IF($B228="","",IF(COUNTIF(Lançamentos!$B$3:$B$1001,$B228)=0,"Bloqueado",IF(COUNTIF('E1 — Solicitação'!$E210:$L210,"⛔ Bloqueado")&gt;0,"Bloqueado",IF(COUNTIF('E1 — Solicitação'!$E210:$L210,"N/A")=8,"Bloqueado",IF(COUNTIF('E1 — Solicitação'!$E210:$L210,"✔ Concluído")+COUNTIF('E1 — Solicitação'!$E210:$L210,"N/A")=8,"Concluído",IF(COUNTIF('E1 — Solicitação'!$E210:$L210,"✔ Concluído")+COUNTIF('E1 — Solicitação'!$E210:$L210,"🔄 Em andamento")&gt;0,"Em andamento","Não iniciado"))))))</f>
        <v/>
      </c>
      <c r="F228" s="229" t="str">
        <f>IF($B228="","",IF($E228&lt;&gt;"Concluído","Não iniciado",IF(COUNTIF(Lançamentos!$B$3:$B$1001,$B228)=0,"Bloqueado",IF('E2 — Triagem'!$D210="","Bloqueado",IF(COUNTIF('E2 — Triagem'!$E210:$L210,"N/A")=8,"Bloqueado",IF(COUNTIF('E2 — Triagem'!$E210:$L210,"⛔ Bloqueado")&gt;0,"Bloqueado",IF(COUNTIF('E2 — Triagem'!$E210:$L210,"✔ Concluído")+COUNTIF('E2 — Triagem'!$E210:$L210,"N/A")=8,"Concluído",IF(COUNTIF('E2 — Triagem'!$E210:$L210,"✔ Concluído")+COUNTIF('E2 — Triagem'!$E210:$L210,"🔄 Em andamento")&gt;0,"Em andamento","Não iniciado"))))))))</f>
        <v/>
      </c>
      <c r="G228" s="229" t="str">
        <f>IF($B228="","",IF($F228&lt;&gt;"Concluído","Não iniciado",IF(COUNTIF(Lançamentos!$B$3:$B$1001,$B228)=0,"Bloqueado",IF('E3 — Levantamento'!$D210="","Bloqueado",IF(COUNTIF('E3 — Levantamento'!$E210:$I210,"⛔ Bloqueado")&gt;0,"Bloqueado",IF('E3 — Levantamento'!$I210="N/A","Bloqueado",IF(COUNTIF('E3 — Levantamento'!$E210:$I210,"✔ Concluído")=5,"Concluído",IF(COUNTIF('E3 — Levantamento'!$E210:$I210,"✔ Concluído")+COUNTIF('E3 — Levantamento'!$E210:$I210,"🔄 Em andamento")&gt;0,"Em andamento","Não iniciado"))))))))</f>
        <v/>
      </c>
      <c r="H228" s="229" t="str">
        <f>IF($B228="","",IF($G228&lt;&gt;"Concluído","Não iniciado",IF(COUNTIF(Lançamentos!$B$3:$B$1001,$B228)=0,"Bloqueado",IF('E4 — Execução'!$D210="","Bloqueado",IF(COUNTIF('E4 — Execução'!$E210:$K210,"⛔ Bloqueado")&gt;0,"Bloqueado",IF(COUNTIF('E4 — Execução'!$E210:$K210,"✔ Concluído")=7,"Concluído",IF(COUNTIF('E4 — Execução'!$E210:$K210,"✔ Concluído")+COUNTIF('E4 — Execução'!$E210:$K210,"🔄 Em andamento")&gt;0,"Em andamento","Não iniciado")))))))</f>
        <v/>
      </c>
      <c r="I228" s="229" t="str">
        <f>IF($B228="","",IF($H228&lt;&gt;"Concluído","Não iniciado",IF(COUNTIF(Lançamentos!$B$3:$B$1001,$B228)=0,"Bloqueado",IF('E5 — Validação'!$D210="","Bloqueado",IF(COUNTIF('E5 — Validação'!$E210:$I210,"⛔ Bloqueado")&gt;0,"Bloqueado",IF('E5 — Validação'!$I210="N/A","Bloqueado",IF(AND('E5 — Validação'!$E210="✔ Concluído",'E5 — Validação'!$F210="✔ Concluído",OR('E5 — Validação'!$G210="✔ Concluído",'E5 — Validação'!$G210="N/A"),'E5 — Validação'!$H210="✔ Concluído",'E5 — Validação'!$I210="✔ Concluído"),"Concluído",IF(COUNTIF('E5 — Validação'!$E210:$I210,"✔ Concluído")+COUNTIF('E5 — Validação'!$E210:$I210,"🔄 Em andamento")&gt;0,"Em andamento","Não iniciado"))))))))</f>
        <v/>
      </c>
      <c r="J228" s="229" t="str">
        <f>IF($B228="","",IF($I228&lt;&gt;"Concluído","Não iniciado",IF('E6 — Ajustes'!$N210="Não","N/A",IF(COUNTIF(Lançamentos!$B$3:$B$1001,$B228)=0,"Bloqueado",IF('E6 — Ajustes'!$D210="","Bloqueado",IF(COUNTIF('E6 — Ajustes'!$E210:$J210,"⛔ Bloqueado")&gt;0,"Bloqueado",IF(AND('E6 — Ajustes'!$E210="✔ Concluído",'E6 — Ajustes'!$F210="✔ Concluído",'E6 — Ajustes'!$G210="✔ Concluído",'E6 — Ajustes'!$H210="✔ Concluído",OR('E6 — Ajustes'!$I210="✔ Concluído",'E6 — Ajustes'!$I210="N/A"),'E6 — Ajustes'!$J210="✔ Concluído"),"Concluído",IF(COUNTIF('E6 — Ajustes'!$E210:$J210,"✔ Concluído")+COUNTIF('E6 — Ajustes'!$E210:$J210,"🔄 Em andamento")&gt;0,"Em andamento","Não iniciado"))))))))</f>
        <v/>
      </c>
      <c r="K228" s="229" t="str">
        <f>IF($B228="","",IF($I228&lt;&gt;"Concluído","Não iniciado",IF(AND($J228&lt;&gt;"Concluído",$J228&lt;&gt;"N/A"),"Não iniciado",IF(COUNTIF(Lançamentos!$B$3:$B$1001,$B228)=0,"Bloqueado",IF('E7 — Entrega'!$D210="","Bloqueado",IF(COUNTIF('E7 — Entrega'!$E210:$H210,"⛔ Bloqueado")&gt;0,"Bloqueado",IF(COUNTIF('E7 — Entrega'!$E210:$H210,"✔ Concluído")=4,"Concluído",IF(COUNTIF('E7 — Entrega'!$E210:$H210,"✔ Concluído")+COUNTIF('E7 — Entrega'!$E210:$H210,"🔄 Em andamento")&gt;0,"Em andamento","Não iniciado"))))))))</f>
        <v/>
      </c>
      <c r="L228" s="229" t="str">
        <f>IF($B228="","",IF($K228&lt;&gt;"Concluído","Não iniciado",IF(OR(COUNTIF('E08 — Estabilização Hypercare'!$E210:$J210,"⛔ Bloqueado")&gt;0,'E08 — Estabilização Hypercare'!$N210="⛔ Incidente Crítico — Encerramento Bloqueado",AND('E08 — Estabilização Hypercare'!$N210="🆕 Evolução Identificada — Nova Demanda Aberta",'E08 — Estabilização Hypercare'!$U210="")),"Bloqueado",IF(AND('E08 — Estabilização Hypercare'!$E210="✔ Concluído",'E08 — Estabilização Hypercare'!$F210="✔ Concluído",'E08 — Estabilização Hypercare'!$G210="✔ Concluído",OR('E08 — Estabilização Hypercare'!$H210="✔ Concluído",'E08 — Estabilização Hypercare'!$H210="N/A"),'E08 — Estabilização Hypercare'!$I210="✔ Concluído",'E08 — Estabilização Hypercare'!$J210="✔ Concluído",OR('E08 — Estabilização Hypercare'!$N210="✅ Estável — Demanda Encerrada",AND('E08 — Estabilização Hypercare'!$N210="🆕 Evolução Identificada — Nova Demanda Aberta",'E08 — Estabilização Hypercare'!$U210&lt;&gt;""))),"Concluído",IF(OR(COUNTIF('E08 — Estabilização Hypercare'!$E210:$J210,"✔ Concluído")&gt;0,COUNTIF('E08 — Estabilização Hypercare'!$E210:$J210,"🔄 Em andamento")&gt;0,'E08 — Estabilização Hypercare'!$N210&lt;&gt;""),"Em andamento","Não iniciado")))))</f>
        <v/>
      </c>
      <c r="M228" s="232" t="str" cm="1">
        <f t="array" ref="M228">IF(B228="","",_xlfn.IFS(E228&lt;&gt;"Concluído","E1 — Solicitação",F228&lt;&gt;"Concluído","E2 — Triagem",G228&lt;&gt;"Concluído","E3 — Levantamento ⚠",H228&lt;&gt;"Concluído","E4 — Execução",I228&lt;&gt;"Concluído","E5 — Validação ⚠",AND(J228&lt;&gt;"Concluído",J228&lt;&gt;"N/A"),"E6 — Ajustes",K228&lt;&gt;"Concluído","E7 — Entrega",L228&lt;&gt;"Concluído","E08 — Estabilização / Hypercare",TRUE,"✔ Fluxo concluído"))</f>
        <v/>
      </c>
      <c r="N228" s="233" t="str">
        <f t="shared" si="4"/>
        <v/>
      </c>
      <c r="O228" s="230"/>
    </row>
    <row r="229" spans="2:15" x14ac:dyDescent="0.35">
      <c r="B229" s="229" t="str">
        <f>IF(Lançamentos!$B206="","",Lançamentos!$B206)</f>
        <v/>
      </c>
      <c r="C229" s="231" t="str">
        <f>IF($B229="","",Lançamentos!$J206)</f>
        <v/>
      </c>
      <c r="D229" s="231" t="str">
        <f>IF($B229="","",Lançamentos!$H206)</f>
        <v/>
      </c>
      <c r="E229" s="229" t="str">
        <f>IF($B229="","",IF(COUNTIF(Lançamentos!$B$3:$B$1001,$B229)=0,"Bloqueado",IF(COUNTIF('E1 — Solicitação'!$E211:$L211,"⛔ Bloqueado")&gt;0,"Bloqueado",IF(COUNTIF('E1 — Solicitação'!$E211:$L211,"N/A")=8,"Bloqueado",IF(COUNTIF('E1 — Solicitação'!$E211:$L211,"✔ Concluído")+COUNTIF('E1 — Solicitação'!$E211:$L211,"N/A")=8,"Concluído",IF(COUNTIF('E1 — Solicitação'!$E211:$L211,"✔ Concluído")+COUNTIF('E1 — Solicitação'!$E211:$L211,"🔄 Em andamento")&gt;0,"Em andamento","Não iniciado"))))))</f>
        <v/>
      </c>
      <c r="F229" s="229" t="str">
        <f>IF($B229="","",IF($E229&lt;&gt;"Concluído","Não iniciado",IF(COUNTIF(Lançamentos!$B$3:$B$1001,$B229)=0,"Bloqueado",IF('E2 — Triagem'!$D211="","Bloqueado",IF(COUNTIF('E2 — Triagem'!$E211:$L211,"N/A")=8,"Bloqueado",IF(COUNTIF('E2 — Triagem'!$E211:$L211,"⛔ Bloqueado")&gt;0,"Bloqueado",IF(COUNTIF('E2 — Triagem'!$E211:$L211,"✔ Concluído")+COUNTIF('E2 — Triagem'!$E211:$L211,"N/A")=8,"Concluído",IF(COUNTIF('E2 — Triagem'!$E211:$L211,"✔ Concluído")+COUNTIF('E2 — Triagem'!$E211:$L211,"🔄 Em andamento")&gt;0,"Em andamento","Não iniciado"))))))))</f>
        <v/>
      </c>
      <c r="G229" s="229" t="str">
        <f>IF($B229="","",IF($F229&lt;&gt;"Concluído","Não iniciado",IF(COUNTIF(Lançamentos!$B$3:$B$1001,$B229)=0,"Bloqueado",IF('E3 — Levantamento'!$D211="","Bloqueado",IF(COUNTIF('E3 — Levantamento'!$E211:$I211,"⛔ Bloqueado")&gt;0,"Bloqueado",IF('E3 — Levantamento'!$I211="N/A","Bloqueado",IF(COUNTIF('E3 — Levantamento'!$E211:$I211,"✔ Concluído")=5,"Concluído",IF(COUNTIF('E3 — Levantamento'!$E211:$I211,"✔ Concluído")+COUNTIF('E3 — Levantamento'!$E211:$I211,"🔄 Em andamento")&gt;0,"Em andamento","Não iniciado"))))))))</f>
        <v/>
      </c>
      <c r="H229" s="229" t="str">
        <f>IF($B229="","",IF($G229&lt;&gt;"Concluído","Não iniciado",IF(COUNTIF(Lançamentos!$B$3:$B$1001,$B229)=0,"Bloqueado",IF('E4 — Execução'!$D211="","Bloqueado",IF(COUNTIF('E4 — Execução'!$E211:$K211,"⛔ Bloqueado")&gt;0,"Bloqueado",IF(COUNTIF('E4 — Execução'!$E211:$K211,"✔ Concluído")=7,"Concluído",IF(COUNTIF('E4 — Execução'!$E211:$K211,"✔ Concluído")+COUNTIF('E4 — Execução'!$E211:$K211,"🔄 Em andamento")&gt;0,"Em andamento","Não iniciado")))))))</f>
        <v/>
      </c>
      <c r="I229" s="229" t="str">
        <f>IF($B229="","",IF($H229&lt;&gt;"Concluído","Não iniciado",IF(COUNTIF(Lançamentos!$B$3:$B$1001,$B229)=0,"Bloqueado",IF('E5 — Validação'!$D211="","Bloqueado",IF(COUNTIF('E5 — Validação'!$E211:$I211,"⛔ Bloqueado")&gt;0,"Bloqueado",IF('E5 — Validação'!$I211="N/A","Bloqueado",IF(AND('E5 — Validação'!$E211="✔ Concluído",'E5 — Validação'!$F211="✔ Concluído",OR('E5 — Validação'!$G211="✔ Concluído",'E5 — Validação'!$G211="N/A"),'E5 — Validação'!$H211="✔ Concluído",'E5 — Validação'!$I211="✔ Concluído"),"Concluído",IF(COUNTIF('E5 — Validação'!$E211:$I211,"✔ Concluído")+COUNTIF('E5 — Validação'!$E211:$I211,"🔄 Em andamento")&gt;0,"Em andamento","Não iniciado"))))))))</f>
        <v/>
      </c>
      <c r="J229" s="229" t="str">
        <f>IF($B229="","",IF($I229&lt;&gt;"Concluído","Não iniciado",IF('E6 — Ajustes'!$N211="Não","N/A",IF(COUNTIF(Lançamentos!$B$3:$B$1001,$B229)=0,"Bloqueado",IF('E6 — Ajustes'!$D211="","Bloqueado",IF(COUNTIF('E6 — Ajustes'!$E211:$J211,"⛔ Bloqueado")&gt;0,"Bloqueado",IF(AND('E6 — Ajustes'!$E211="✔ Concluído",'E6 — Ajustes'!$F211="✔ Concluído",'E6 — Ajustes'!$G211="✔ Concluído",'E6 — Ajustes'!$H211="✔ Concluído",OR('E6 — Ajustes'!$I211="✔ Concluído",'E6 — Ajustes'!$I211="N/A"),'E6 — Ajustes'!$J211="✔ Concluído"),"Concluído",IF(COUNTIF('E6 — Ajustes'!$E211:$J211,"✔ Concluído")+COUNTIF('E6 — Ajustes'!$E211:$J211,"🔄 Em andamento")&gt;0,"Em andamento","Não iniciado"))))))))</f>
        <v/>
      </c>
      <c r="K229" s="229" t="str">
        <f>IF($B229="","",IF($I229&lt;&gt;"Concluído","Não iniciado",IF(AND($J229&lt;&gt;"Concluído",$J229&lt;&gt;"N/A"),"Não iniciado",IF(COUNTIF(Lançamentos!$B$3:$B$1001,$B229)=0,"Bloqueado",IF('E7 — Entrega'!$D211="","Bloqueado",IF(COUNTIF('E7 — Entrega'!$E211:$H211,"⛔ Bloqueado")&gt;0,"Bloqueado",IF(COUNTIF('E7 — Entrega'!$E211:$H211,"✔ Concluído")=4,"Concluído",IF(COUNTIF('E7 — Entrega'!$E211:$H211,"✔ Concluído")+COUNTIF('E7 — Entrega'!$E211:$H211,"🔄 Em andamento")&gt;0,"Em andamento","Não iniciado"))))))))</f>
        <v/>
      </c>
      <c r="L229" s="229" t="str">
        <f>IF($B229="","",IF($K229&lt;&gt;"Concluído","Não iniciado",IF(OR(COUNTIF('E08 — Estabilização Hypercare'!$E211:$J211,"⛔ Bloqueado")&gt;0,'E08 — Estabilização Hypercare'!$N211="⛔ Incidente Crítico — Encerramento Bloqueado",AND('E08 — Estabilização Hypercare'!$N211="🆕 Evolução Identificada — Nova Demanda Aberta",'E08 — Estabilização Hypercare'!$U211="")),"Bloqueado",IF(AND('E08 — Estabilização Hypercare'!$E211="✔ Concluído",'E08 — Estabilização Hypercare'!$F211="✔ Concluído",'E08 — Estabilização Hypercare'!$G211="✔ Concluído",OR('E08 — Estabilização Hypercare'!$H211="✔ Concluído",'E08 — Estabilização Hypercare'!$H211="N/A"),'E08 — Estabilização Hypercare'!$I211="✔ Concluído",'E08 — Estabilização Hypercare'!$J211="✔ Concluído",OR('E08 — Estabilização Hypercare'!$N211="✅ Estável — Demanda Encerrada",AND('E08 — Estabilização Hypercare'!$N211="🆕 Evolução Identificada — Nova Demanda Aberta",'E08 — Estabilização Hypercare'!$U211&lt;&gt;""))),"Concluído",IF(OR(COUNTIF('E08 — Estabilização Hypercare'!$E211:$J211,"✔ Concluído")&gt;0,COUNTIF('E08 — Estabilização Hypercare'!$E211:$J211,"🔄 Em andamento")&gt;0,'E08 — Estabilização Hypercare'!$N211&lt;&gt;""),"Em andamento","Não iniciado")))))</f>
        <v/>
      </c>
      <c r="M229" s="232" t="str" cm="1">
        <f t="array" ref="M229">IF(B229="","",_xlfn.IFS(E229&lt;&gt;"Concluído","E1 — Solicitação",F229&lt;&gt;"Concluído","E2 — Triagem",G229&lt;&gt;"Concluído","E3 — Levantamento ⚠",H229&lt;&gt;"Concluído","E4 — Execução",I229&lt;&gt;"Concluído","E5 — Validação ⚠",AND(J229&lt;&gt;"Concluído",J229&lt;&gt;"N/A"),"E6 — Ajustes",K229&lt;&gt;"Concluído","E7 — Entrega",L229&lt;&gt;"Concluído","E08 — Estabilização / Hypercare",TRUE,"✔ Fluxo concluído"))</f>
        <v/>
      </c>
      <c r="N229" s="233" t="str">
        <f t="shared" si="4"/>
        <v/>
      </c>
      <c r="O229" s="230"/>
    </row>
    <row r="230" spans="2:15" x14ac:dyDescent="0.35">
      <c r="B230" s="229" t="str">
        <f>IF(Lançamentos!$B207="","",Lançamentos!$B207)</f>
        <v/>
      </c>
      <c r="C230" s="231" t="str">
        <f>IF($B230="","",Lançamentos!$J207)</f>
        <v/>
      </c>
      <c r="D230" s="231" t="str">
        <f>IF($B230="","",Lançamentos!$H207)</f>
        <v/>
      </c>
      <c r="E230" s="229" t="str">
        <f>IF($B230="","",IF(COUNTIF(Lançamentos!$B$3:$B$1001,$B230)=0,"Bloqueado",IF(COUNTIF('E1 — Solicitação'!$E212:$L212,"⛔ Bloqueado")&gt;0,"Bloqueado",IF(COUNTIF('E1 — Solicitação'!$E212:$L212,"N/A")=8,"Bloqueado",IF(COUNTIF('E1 — Solicitação'!$E212:$L212,"✔ Concluído")+COUNTIF('E1 — Solicitação'!$E212:$L212,"N/A")=8,"Concluído",IF(COUNTIF('E1 — Solicitação'!$E212:$L212,"✔ Concluído")+COUNTIF('E1 — Solicitação'!$E212:$L212,"🔄 Em andamento")&gt;0,"Em andamento","Não iniciado"))))))</f>
        <v/>
      </c>
      <c r="F230" s="229" t="str">
        <f>IF($B230="","",IF($E230&lt;&gt;"Concluído","Não iniciado",IF(COUNTIF(Lançamentos!$B$3:$B$1001,$B230)=0,"Bloqueado",IF('E2 — Triagem'!$D212="","Bloqueado",IF(COUNTIF('E2 — Triagem'!$E212:$L212,"N/A")=8,"Bloqueado",IF(COUNTIF('E2 — Triagem'!$E212:$L212,"⛔ Bloqueado")&gt;0,"Bloqueado",IF(COUNTIF('E2 — Triagem'!$E212:$L212,"✔ Concluído")+COUNTIF('E2 — Triagem'!$E212:$L212,"N/A")=8,"Concluído",IF(COUNTIF('E2 — Triagem'!$E212:$L212,"✔ Concluído")+COUNTIF('E2 — Triagem'!$E212:$L212,"🔄 Em andamento")&gt;0,"Em andamento","Não iniciado"))))))))</f>
        <v/>
      </c>
      <c r="G230" s="229" t="str">
        <f>IF($B230="","",IF($F230&lt;&gt;"Concluído","Não iniciado",IF(COUNTIF(Lançamentos!$B$3:$B$1001,$B230)=0,"Bloqueado",IF('E3 — Levantamento'!$D212="","Bloqueado",IF(COUNTIF('E3 — Levantamento'!$E212:$I212,"⛔ Bloqueado")&gt;0,"Bloqueado",IF('E3 — Levantamento'!$I212="N/A","Bloqueado",IF(COUNTIF('E3 — Levantamento'!$E212:$I212,"✔ Concluído")=5,"Concluído",IF(COUNTIF('E3 — Levantamento'!$E212:$I212,"✔ Concluído")+COUNTIF('E3 — Levantamento'!$E212:$I212,"🔄 Em andamento")&gt;0,"Em andamento","Não iniciado"))))))))</f>
        <v/>
      </c>
      <c r="H230" s="229" t="str">
        <f>IF($B230="","",IF($G230&lt;&gt;"Concluído","Não iniciado",IF(COUNTIF(Lançamentos!$B$3:$B$1001,$B230)=0,"Bloqueado",IF('E4 — Execução'!$D212="","Bloqueado",IF(COUNTIF('E4 — Execução'!$E212:$K212,"⛔ Bloqueado")&gt;0,"Bloqueado",IF(COUNTIF('E4 — Execução'!$E212:$K212,"✔ Concluído")=7,"Concluído",IF(COUNTIF('E4 — Execução'!$E212:$K212,"✔ Concluído")+COUNTIF('E4 — Execução'!$E212:$K212,"🔄 Em andamento")&gt;0,"Em andamento","Não iniciado")))))))</f>
        <v/>
      </c>
      <c r="I230" s="229" t="str">
        <f>IF($B230="","",IF($H230&lt;&gt;"Concluído","Não iniciado",IF(COUNTIF(Lançamentos!$B$3:$B$1001,$B230)=0,"Bloqueado",IF('E5 — Validação'!$D212="","Bloqueado",IF(COUNTIF('E5 — Validação'!$E212:$I212,"⛔ Bloqueado")&gt;0,"Bloqueado",IF('E5 — Validação'!$I212="N/A","Bloqueado",IF(AND('E5 — Validação'!$E212="✔ Concluído",'E5 — Validação'!$F212="✔ Concluído",OR('E5 — Validação'!$G212="✔ Concluído",'E5 — Validação'!$G212="N/A"),'E5 — Validação'!$H212="✔ Concluído",'E5 — Validação'!$I212="✔ Concluído"),"Concluído",IF(COUNTIF('E5 — Validação'!$E212:$I212,"✔ Concluído")+COUNTIF('E5 — Validação'!$E212:$I212,"🔄 Em andamento")&gt;0,"Em andamento","Não iniciado"))))))))</f>
        <v/>
      </c>
      <c r="J230" s="229" t="str">
        <f>IF($B230="","",IF($I230&lt;&gt;"Concluído","Não iniciado",IF('E6 — Ajustes'!$N212="Não","N/A",IF(COUNTIF(Lançamentos!$B$3:$B$1001,$B230)=0,"Bloqueado",IF('E6 — Ajustes'!$D212="","Bloqueado",IF(COUNTIF('E6 — Ajustes'!$E212:$J212,"⛔ Bloqueado")&gt;0,"Bloqueado",IF(AND('E6 — Ajustes'!$E212="✔ Concluído",'E6 — Ajustes'!$F212="✔ Concluído",'E6 — Ajustes'!$G212="✔ Concluído",'E6 — Ajustes'!$H212="✔ Concluído",OR('E6 — Ajustes'!$I212="✔ Concluído",'E6 — Ajustes'!$I212="N/A"),'E6 — Ajustes'!$J212="✔ Concluído"),"Concluído",IF(COUNTIF('E6 — Ajustes'!$E212:$J212,"✔ Concluído")+COUNTIF('E6 — Ajustes'!$E212:$J212,"🔄 Em andamento")&gt;0,"Em andamento","Não iniciado"))))))))</f>
        <v/>
      </c>
      <c r="K230" s="229" t="str">
        <f>IF($B230="","",IF($I230&lt;&gt;"Concluído","Não iniciado",IF(AND($J230&lt;&gt;"Concluído",$J230&lt;&gt;"N/A"),"Não iniciado",IF(COUNTIF(Lançamentos!$B$3:$B$1001,$B230)=0,"Bloqueado",IF('E7 — Entrega'!$D212="","Bloqueado",IF(COUNTIF('E7 — Entrega'!$E212:$H212,"⛔ Bloqueado")&gt;0,"Bloqueado",IF(COUNTIF('E7 — Entrega'!$E212:$H212,"✔ Concluído")=4,"Concluído",IF(COUNTIF('E7 — Entrega'!$E212:$H212,"✔ Concluído")+COUNTIF('E7 — Entrega'!$E212:$H212,"🔄 Em andamento")&gt;0,"Em andamento","Não iniciado"))))))))</f>
        <v/>
      </c>
      <c r="L230" s="229" t="str">
        <f>IF($B230="","",IF($K230&lt;&gt;"Concluído","Não iniciado",IF(OR(COUNTIF('E08 — Estabilização Hypercare'!$E212:$J212,"⛔ Bloqueado")&gt;0,'E08 — Estabilização Hypercare'!$N212="⛔ Incidente Crítico — Encerramento Bloqueado",AND('E08 — Estabilização Hypercare'!$N212="🆕 Evolução Identificada — Nova Demanda Aberta",'E08 — Estabilização Hypercare'!$U212="")),"Bloqueado",IF(AND('E08 — Estabilização Hypercare'!$E212="✔ Concluído",'E08 — Estabilização Hypercare'!$F212="✔ Concluído",'E08 — Estabilização Hypercare'!$G212="✔ Concluído",OR('E08 — Estabilização Hypercare'!$H212="✔ Concluído",'E08 — Estabilização Hypercare'!$H212="N/A"),'E08 — Estabilização Hypercare'!$I212="✔ Concluído",'E08 — Estabilização Hypercare'!$J212="✔ Concluído",OR('E08 — Estabilização Hypercare'!$N212="✅ Estável — Demanda Encerrada",AND('E08 — Estabilização Hypercare'!$N212="🆕 Evolução Identificada — Nova Demanda Aberta",'E08 — Estabilização Hypercare'!$U212&lt;&gt;""))),"Concluído",IF(OR(COUNTIF('E08 — Estabilização Hypercare'!$E212:$J212,"✔ Concluído")&gt;0,COUNTIF('E08 — Estabilização Hypercare'!$E212:$J212,"🔄 Em andamento")&gt;0,'E08 — Estabilização Hypercare'!$N212&lt;&gt;""),"Em andamento","Não iniciado")))))</f>
        <v/>
      </c>
      <c r="M230" s="232" t="str" cm="1">
        <f t="array" ref="M230">IF(B230="","",_xlfn.IFS(E230&lt;&gt;"Concluído","E1 — Solicitação",F230&lt;&gt;"Concluído","E2 — Triagem",G230&lt;&gt;"Concluído","E3 — Levantamento ⚠",H230&lt;&gt;"Concluído","E4 — Execução",I230&lt;&gt;"Concluído","E5 — Validação ⚠",AND(J230&lt;&gt;"Concluído",J230&lt;&gt;"N/A"),"E6 — Ajustes",K230&lt;&gt;"Concluído","E7 — Entrega",L230&lt;&gt;"Concluído","E08 — Estabilização / Hypercare",TRUE,"✔ Fluxo concluído"))</f>
        <v/>
      </c>
      <c r="N230" s="233" t="str">
        <f t="shared" si="4"/>
        <v/>
      </c>
      <c r="O230" s="230"/>
    </row>
    <row r="231" spans="2:15" x14ac:dyDescent="0.35">
      <c r="B231" s="229" t="str">
        <f>IF(Lançamentos!$B208="","",Lançamentos!$B208)</f>
        <v/>
      </c>
      <c r="C231" s="231" t="str">
        <f>IF($B231="","",Lançamentos!$J208)</f>
        <v/>
      </c>
      <c r="D231" s="231" t="str">
        <f>IF($B231="","",Lançamentos!$H208)</f>
        <v/>
      </c>
      <c r="E231" s="229" t="str">
        <f>IF($B231="","",IF(COUNTIF(Lançamentos!$B$3:$B$1001,$B231)=0,"Bloqueado",IF(COUNTIF('E1 — Solicitação'!$E213:$L213,"⛔ Bloqueado")&gt;0,"Bloqueado",IF(COUNTIF('E1 — Solicitação'!$E213:$L213,"N/A")=8,"Bloqueado",IF(COUNTIF('E1 — Solicitação'!$E213:$L213,"✔ Concluído")+COUNTIF('E1 — Solicitação'!$E213:$L213,"N/A")=8,"Concluído",IF(COUNTIF('E1 — Solicitação'!$E213:$L213,"✔ Concluído")+COUNTIF('E1 — Solicitação'!$E213:$L213,"🔄 Em andamento")&gt;0,"Em andamento","Não iniciado"))))))</f>
        <v/>
      </c>
      <c r="F231" s="229" t="str">
        <f>IF($B231="","",IF($E231&lt;&gt;"Concluído","Não iniciado",IF(COUNTIF(Lançamentos!$B$3:$B$1001,$B231)=0,"Bloqueado",IF('E2 — Triagem'!$D213="","Bloqueado",IF(COUNTIF('E2 — Triagem'!$E213:$L213,"N/A")=8,"Bloqueado",IF(COUNTIF('E2 — Triagem'!$E213:$L213,"⛔ Bloqueado")&gt;0,"Bloqueado",IF(COUNTIF('E2 — Triagem'!$E213:$L213,"✔ Concluído")+COUNTIF('E2 — Triagem'!$E213:$L213,"N/A")=8,"Concluído",IF(COUNTIF('E2 — Triagem'!$E213:$L213,"✔ Concluído")+COUNTIF('E2 — Triagem'!$E213:$L213,"🔄 Em andamento")&gt;0,"Em andamento","Não iniciado"))))))))</f>
        <v/>
      </c>
      <c r="G231" s="229" t="str">
        <f>IF($B231="","",IF($F231&lt;&gt;"Concluído","Não iniciado",IF(COUNTIF(Lançamentos!$B$3:$B$1001,$B231)=0,"Bloqueado",IF('E3 — Levantamento'!$D213="","Bloqueado",IF(COUNTIF('E3 — Levantamento'!$E213:$I213,"⛔ Bloqueado")&gt;0,"Bloqueado",IF('E3 — Levantamento'!$I213="N/A","Bloqueado",IF(COUNTIF('E3 — Levantamento'!$E213:$I213,"✔ Concluído")=5,"Concluído",IF(COUNTIF('E3 — Levantamento'!$E213:$I213,"✔ Concluído")+COUNTIF('E3 — Levantamento'!$E213:$I213,"🔄 Em andamento")&gt;0,"Em andamento","Não iniciado"))))))))</f>
        <v/>
      </c>
      <c r="H231" s="229" t="str">
        <f>IF($B231="","",IF($G231&lt;&gt;"Concluído","Não iniciado",IF(COUNTIF(Lançamentos!$B$3:$B$1001,$B231)=0,"Bloqueado",IF('E4 — Execução'!$D213="","Bloqueado",IF(COUNTIF('E4 — Execução'!$E213:$K213,"⛔ Bloqueado")&gt;0,"Bloqueado",IF(COUNTIF('E4 — Execução'!$E213:$K213,"✔ Concluído")=7,"Concluído",IF(COUNTIF('E4 — Execução'!$E213:$K213,"✔ Concluído")+COUNTIF('E4 — Execução'!$E213:$K213,"🔄 Em andamento")&gt;0,"Em andamento","Não iniciado")))))))</f>
        <v/>
      </c>
      <c r="I231" s="229" t="str">
        <f>IF($B231="","",IF($H231&lt;&gt;"Concluído","Não iniciado",IF(COUNTIF(Lançamentos!$B$3:$B$1001,$B231)=0,"Bloqueado",IF('E5 — Validação'!$D213="","Bloqueado",IF(COUNTIF('E5 — Validação'!$E213:$I213,"⛔ Bloqueado")&gt;0,"Bloqueado",IF('E5 — Validação'!$I213="N/A","Bloqueado",IF(AND('E5 — Validação'!$E213="✔ Concluído",'E5 — Validação'!$F213="✔ Concluído",OR('E5 — Validação'!$G213="✔ Concluído",'E5 — Validação'!$G213="N/A"),'E5 — Validação'!$H213="✔ Concluído",'E5 — Validação'!$I213="✔ Concluído"),"Concluído",IF(COUNTIF('E5 — Validação'!$E213:$I213,"✔ Concluído")+COUNTIF('E5 — Validação'!$E213:$I213,"🔄 Em andamento")&gt;0,"Em andamento","Não iniciado"))))))))</f>
        <v/>
      </c>
      <c r="J231" s="229" t="str">
        <f>IF($B231="","",IF($I231&lt;&gt;"Concluído","Não iniciado",IF('E6 — Ajustes'!$N213="Não","N/A",IF(COUNTIF(Lançamentos!$B$3:$B$1001,$B231)=0,"Bloqueado",IF('E6 — Ajustes'!$D213="","Bloqueado",IF(COUNTIF('E6 — Ajustes'!$E213:$J213,"⛔ Bloqueado")&gt;0,"Bloqueado",IF(AND('E6 — Ajustes'!$E213="✔ Concluído",'E6 — Ajustes'!$F213="✔ Concluído",'E6 — Ajustes'!$G213="✔ Concluído",'E6 — Ajustes'!$H213="✔ Concluído",OR('E6 — Ajustes'!$I213="✔ Concluído",'E6 — Ajustes'!$I213="N/A"),'E6 — Ajustes'!$J213="✔ Concluído"),"Concluído",IF(COUNTIF('E6 — Ajustes'!$E213:$J213,"✔ Concluído")+COUNTIF('E6 — Ajustes'!$E213:$J213,"🔄 Em andamento")&gt;0,"Em andamento","Não iniciado"))))))))</f>
        <v/>
      </c>
      <c r="K231" s="229" t="str">
        <f>IF($B231="","",IF($I231&lt;&gt;"Concluído","Não iniciado",IF(AND($J231&lt;&gt;"Concluído",$J231&lt;&gt;"N/A"),"Não iniciado",IF(COUNTIF(Lançamentos!$B$3:$B$1001,$B231)=0,"Bloqueado",IF('E7 — Entrega'!$D213="","Bloqueado",IF(COUNTIF('E7 — Entrega'!$E213:$H213,"⛔ Bloqueado")&gt;0,"Bloqueado",IF(COUNTIF('E7 — Entrega'!$E213:$H213,"✔ Concluído")=4,"Concluído",IF(COUNTIF('E7 — Entrega'!$E213:$H213,"✔ Concluído")+COUNTIF('E7 — Entrega'!$E213:$H213,"🔄 Em andamento")&gt;0,"Em andamento","Não iniciado"))))))))</f>
        <v/>
      </c>
      <c r="L231" s="229" t="str">
        <f>IF($B231="","",IF($K231&lt;&gt;"Concluído","Não iniciado",IF(OR(COUNTIF('E08 — Estabilização Hypercare'!$E213:$J213,"⛔ Bloqueado")&gt;0,'E08 — Estabilização Hypercare'!$N213="⛔ Incidente Crítico — Encerramento Bloqueado",AND('E08 — Estabilização Hypercare'!$N213="🆕 Evolução Identificada — Nova Demanda Aberta",'E08 — Estabilização Hypercare'!$U213="")),"Bloqueado",IF(AND('E08 — Estabilização Hypercare'!$E213="✔ Concluído",'E08 — Estabilização Hypercare'!$F213="✔ Concluído",'E08 — Estabilização Hypercare'!$G213="✔ Concluído",OR('E08 — Estabilização Hypercare'!$H213="✔ Concluído",'E08 — Estabilização Hypercare'!$H213="N/A"),'E08 — Estabilização Hypercare'!$I213="✔ Concluído",'E08 — Estabilização Hypercare'!$J213="✔ Concluído",OR('E08 — Estabilização Hypercare'!$N213="✅ Estável — Demanda Encerrada",AND('E08 — Estabilização Hypercare'!$N213="🆕 Evolução Identificada — Nova Demanda Aberta",'E08 — Estabilização Hypercare'!$U213&lt;&gt;""))),"Concluído",IF(OR(COUNTIF('E08 — Estabilização Hypercare'!$E213:$J213,"✔ Concluído")&gt;0,COUNTIF('E08 — Estabilização Hypercare'!$E213:$J213,"🔄 Em andamento")&gt;0,'E08 — Estabilização Hypercare'!$N213&lt;&gt;""),"Em andamento","Não iniciado")))))</f>
        <v/>
      </c>
      <c r="M231" s="232" t="str" cm="1">
        <f t="array" ref="M231">IF(B231="","",_xlfn.IFS(E231&lt;&gt;"Concluído","E1 — Solicitação",F231&lt;&gt;"Concluído","E2 — Triagem",G231&lt;&gt;"Concluído","E3 — Levantamento ⚠",H231&lt;&gt;"Concluído","E4 — Execução",I231&lt;&gt;"Concluído","E5 — Validação ⚠",AND(J231&lt;&gt;"Concluído",J231&lt;&gt;"N/A"),"E6 — Ajustes",K231&lt;&gt;"Concluído","E7 — Entrega",L231&lt;&gt;"Concluído","E08 — Estabilização / Hypercare",TRUE,"✔ Fluxo concluído"))</f>
        <v/>
      </c>
      <c r="N231" s="233" t="str">
        <f t="shared" si="4"/>
        <v/>
      </c>
      <c r="O231" s="230"/>
    </row>
    <row r="232" spans="2:15" x14ac:dyDescent="0.35">
      <c r="B232" s="229" t="str">
        <f>IF(Lançamentos!$B209="","",Lançamentos!$B209)</f>
        <v/>
      </c>
      <c r="C232" s="231" t="str">
        <f>IF($B232="","",Lançamentos!$J209)</f>
        <v/>
      </c>
      <c r="D232" s="231" t="str">
        <f>IF($B232="","",Lançamentos!$H209)</f>
        <v/>
      </c>
      <c r="E232" s="229" t="str">
        <f>IF($B232="","",IF(COUNTIF(Lançamentos!$B$3:$B$1001,$B232)=0,"Bloqueado",IF(COUNTIF('E1 — Solicitação'!$E214:$L214,"⛔ Bloqueado")&gt;0,"Bloqueado",IF(COUNTIF('E1 — Solicitação'!$E214:$L214,"N/A")=8,"Bloqueado",IF(COUNTIF('E1 — Solicitação'!$E214:$L214,"✔ Concluído")+COUNTIF('E1 — Solicitação'!$E214:$L214,"N/A")=8,"Concluído",IF(COUNTIF('E1 — Solicitação'!$E214:$L214,"✔ Concluído")+COUNTIF('E1 — Solicitação'!$E214:$L214,"🔄 Em andamento")&gt;0,"Em andamento","Não iniciado"))))))</f>
        <v/>
      </c>
      <c r="F232" s="229" t="str">
        <f>IF($B232="","",IF($E232&lt;&gt;"Concluído","Não iniciado",IF(COUNTIF(Lançamentos!$B$3:$B$1001,$B232)=0,"Bloqueado",IF('E2 — Triagem'!$D214="","Bloqueado",IF(COUNTIF('E2 — Triagem'!$E214:$L214,"N/A")=8,"Bloqueado",IF(COUNTIF('E2 — Triagem'!$E214:$L214,"⛔ Bloqueado")&gt;0,"Bloqueado",IF(COUNTIF('E2 — Triagem'!$E214:$L214,"✔ Concluído")+COUNTIF('E2 — Triagem'!$E214:$L214,"N/A")=8,"Concluído",IF(COUNTIF('E2 — Triagem'!$E214:$L214,"✔ Concluído")+COUNTIF('E2 — Triagem'!$E214:$L214,"🔄 Em andamento")&gt;0,"Em andamento","Não iniciado"))))))))</f>
        <v/>
      </c>
      <c r="G232" s="229" t="str">
        <f>IF($B232="","",IF($F232&lt;&gt;"Concluído","Não iniciado",IF(COUNTIF(Lançamentos!$B$3:$B$1001,$B232)=0,"Bloqueado",IF('E3 — Levantamento'!$D214="","Bloqueado",IF(COUNTIF('E3 — Levantamento'!$E214:$I214,"⛔ Bloqueado")&gt;0,"Bloqueado",IF('E3 — Levantamento'!$I214="N/A","Bloqueado",IF(COUNTIF('E3 — Levantamento'!$E214:$I214,"✔ Concluído")=5,"Concluído",IF(COUNTIF('E3 — Levantamento'!$E214:$I214,"✔ Concluído")+COUNTIF('E3 — Levantamento'!$E214:$I214,"🔄 Em andamento")&gt;0,"Em andamento","Não iniciado"))))))))</f>
        <v/>
      </c>
      <c r="H232" s="229" t="str">
        <f>IF($B232="","",IF($G232&lt;&gt;"Concluído","Não iniciado",IF(COUNTIF(Lançamentos!$B$3:$B$1001,$B232)=0,"Bloqueado",IF('E4 — Execução'!$D214="","Bloqueado",IF(COUNTIF('E4 — Execução'!$E214:$K214,"⛔ Bloqueado")&gt;0,"Bloqueado",IF(COUNTIF('E4 — Execução'!$E214:$K214,"✔ Concluído")=7,"Concluído",IF(COUNTIF('E4 — Execução'!$E214:$K214,"✔ Concluído")+COUNTIF('E4 — Execução'!$E214:$K214,"🔄 Em andamento")&gt;0,"Em andamento","Não iniciado")))))))</f>
        <v/>
      </c>
      <c r="I232" s="229" t="str">
        <f>IF($B232="","",IF($H232&lt;&gt;"Concluído","Não iniciado",IF(COUNTIF(Lançamentos!$B$3:$B$1001,$B232)=0,"Bloqueado",IF('E5 — Validação'!$D214="","Bloqueado",IF(COUNTIF('E5 — Validação'!$E214:$I214,"⛔ Bloqueado")&gt;0,"Bloqueado",IF('E5 — Validação'!$I214="N/A","Bloqueado",IF(AND('E5 — Validação'!$E214="✔ Concluído",'E5 — Validação'!$F214="✔ Concluído",OR('E5 — Validação'!$G214="✔ Concluído",'E5 — Validação'!$G214="N/A"),'E5 — Validação'!$H214="✔ Concluído",'E5 — Validação'!$I214="✔ Concluído"),"Concluído",IF(COUNTIF('E5 — Validação'!$E214:$I214,"✔ Concluído")+COUNTIF('E5 — Validação'!$E214:$I214,"🔄 Em andamento")&gt;0,"Em andamento","Não iniciado"))))))))</f>
        <v/>
      </c>
      <c r="J232" s="229" t="str">
        <f>IF($B232="","",IF($I232&lt;&gt;"Concluído","Não iniciado",IF('E6 — Ajustes'!$N214="Não","N/A",IF(COUNTIF(Lançamentos!$B$3:$B$1001,$B232)=0,"Bloqueado",IF('E6 — Ajustes'!$D214="","Bloqueado",IF(COUNTIF('E6 — Ajustes'!$E214:$J214,"⛔ Bloqueado")&gt;0,"Bloqueado",IF(AND('E6 — Ajustes'!$E214="✔ Concluído",'E6 — Ajustes'!$F214="✔ Concluído",'E6 — Ajustes'!$G214="✔ Concluído",'E6 — Ajustes'!$H214="✔ Concluído",OR('E6 — Ajustes'!$I214="✔ Concluído",'E6 — Ajustes'!$I214="N/A"),'E6 — Ajustes'!$J214="✔ Concluído"),"Concluído",IF(COUNTIF('E6 — Ajustes'!$E214:$J214,"✔ Concluído")+COUNTIF('E6 — Ajustes'!$E214:$J214,"🔄 Em andamento")&gt;0,"Em andamento","Não iniciado"))))))))</f>
        <v/>
      </c>
      <c r="K232" s="229" t="str">
        <f>IF($B232="","",IF($I232&lt;&gt;"Concluído","Não iniciado",IF(AND($J232&lt;&gt;"Concluído",$J232&lt;&gt;"N/A"),"Não iniciado",IF(COUNTIF(Lançamentos!$B$3:$B$1001,$B232)=0,"Bloqueado",IF('E7 — Entrega'!$D214="","Bloqueado",IF(COUNTIF('E7 — Entrega'!$E214:$H214,"⛔ Bloqueado")&gt;0,"Bloqueado",IF(COUNTIF('E7 — Entrega'!$E214:$H214,"✔ Concluído")=4,"Concluído",IF(COUNTIF('E7 — Entrega'!$E214:$H214,"✔ Concluído")+COUNTIF('E7 — Entrega'!$E214:$H214,"🔄 Em andamento")&gt;0,"Em andamento","Não iniciado"))))))))</f>
        <v/>
      </c>
      <c r="L232" s="229" t="str">
        <f>IF($B232="","",IF($K232&lt;&gt;"Concluído","Não iniciado",IF(OR(COUNTIF('E08 — Estabilização Hypercare'!$E214:$J214,"⛔ Bloqueado")&gt;0,'E08 — Estabilização Hypercare'!$N214="⛔ Incidente Crítico — Encerramento Bloqueado",AND('E08 — Estabilização Hypercare'!$N214="🆕 Evolução Identificada — Nova Demanda Aberta",'E08 — Estabilização Hypercare'!$U214="")),"Bloqueado",IF(AND('E08 — Estabilização Hypercare'!$E214="✔ Concluído",'E08 — Estabilização Hypercare'!$F214="✔ Concluído",'E08 — Estabilização Hypercare'!$G214="✔ Concluído",OR('E08 — Estabilização Hypercare'!$H214="✔ Concluído",'E08 — Estabilização Hypercare'!$H214="N/A"),'E08 — Estabilização Hypercare'!$I214="✔ Concluído",'E08 — Estabilização Hypercare'!$J214="✔ Concluído",OR('E08 — Estabilização Hypercare'!$N214="✅ Estável — Demanda Encerrada",AND('E08 — Estabilização Hypercare'!$N214="🆕 Evolução Identificada — Nova Demanda Aberta",'E08 — Estabilização Hypercare'!$U214&lt;&gt;""))),"Concluído",IF(OR(COUNTIF('E08 — Estabilização Hypercare'!$E214:$J214,"✔ Concluído")&gt;0,COUNTIF('E08 — Estabilização Hypercare'!$E214:$J214,"🔄 Em andamento")&gt;0,'E08 — Estabilização Hypercare'!$N214&lt;&gt;""),"Em andamento","Não iniciado")))))</f>
        <v/>
      </c>
      <c r="M232" s="232" t="str" cm="1">
        <f t="array" ref="M232">IF(B232="","",_xlfn.IFS(E232&lt;&gt;"Concluído","E1 — Solicitação",F232&lt;&gt;"Concluído","E2 — Triagem",G232&lt;&gt;"Concluído","E3 — Levantamento ⚠",H232&lt;&gt;"Concluído","E4 — Execução",I232&lt;&gt;"Concluído","E5 — Validação ⚠",AND(J232&lt;&gt;"Concluído",J232&lt;&gt;"N/A"),"E6 — Ajustes",K232&lt;&gt;"Concluído","E7 — Entrega",L232&lt;&gt;"Concluído","E08 — Estabilização / Hypercare",TRUE,"✔ Fluxo concluído"))</f>
        <v/>
      </c>
      <c r="N232" s="233" t="str">
        <f t="shared" si="4"/>
        <v/>
      </c>
      <c r="O232" s="230"/>
    </row>
    <row r="233" spans="2:15" x14ac:dyDescent="0.35">
      <c r="B233" s="229" t="str">
        <f>IF(Lançamentos!$B210="","",Lançamentos!$B210)</f>
        <v/>
      </c>
      <c r="C233" s="231" t="str">
        <f>IF($B233="","",Lançamentos!$J210)</f>
        <v/>
      </c>
      <c r="D233" s="231" t="str">
        <f>IF($B233="","",Lançamentos!$H210)</f>
        <v/>
      </c>
      <c r="E233" s="229" t="str">
        <f>IF($B233="","",IF(COUNTIF(Lançamentos!$B$3:$B$1001,$B233)=0,"Bloqueado",IF(COUNTIF('E1 — Solicitação'!$E215:$L215,"⛔ Bloqueado")&gt;0,"Bloqueado",IF(COUNTIF('E1 — Solicitação'!$E215:$L215,"N/A")=8,"Bloqueado",IF(COUNTIF('E1 — Solicitação'!$E215:$L215,"✔ Concluído")+COUNTIF('E1 — Solicitação'!$E215:$L215,"N/A")=8,"Concluído",IF(COUNTIF('E1 — Solicitação'!$E215:$L215,"✔ Concluído")+COUNTIF('E1 — Solicitação'!$E215:$L215,"🔄 Em andamento")&gt;0,"Em andamento","Não iniciado"))))))</f>
        <v/>
      </c>
      <c r="F233" s="229" t="str">
        <f>IF($B233="","",IF($E233&lt;&gt;"Concluído","Não iniciado",IF(COUNTIF(Lançamentos!$B$3:$B$1001,$B233)=0,"Bloqueado",IF('E2 — Triagem'!$D215="","Bloqueado",IF(COUNTIF('E2 — Triagem'!$E215:$L215,"N/A")=8,"Bloqueado",IF(COUNTIF('E2 — Triagem'!$E215:$L215,"⛔ Bloqueado")&gt;0,"Bloqueado",IF(COUNTIF('E2 — Triagem'!$E215:$L215,"✔ Concluído")+COUNTIF('E2 — Triagem'!$E215:$L215,"N/A")=8,"Concluído",IF(COUNTIF('E2 — Triagem'!$E215:$L215,"✔ Concluído")+COUNTIF('E2 — Triagem'!$E215:$L215,"🔄 Em andamento")&gt;0,"Em andamento","Não iniciado"))))))))</f>
        <v/>
      </c>
      <c r="G233" s="229" t="str">
        <f>IF($B233="","",IF($F233&lt;&gt;"Concluído","Não iniciado",IF(COUNTIF(Lançamentos!$B$3:$B$1001,$B233)=0,"Bloqueado",IF('E3 — Levantamento'!$D215="","Bloqueado",IF(COUNTIF('E3 — Levantamento'!$E215:$I215,"⛔ Bloqueado")&gt;0,"Bloqueado",IF('E3 — Levantamento'!$I215="N/A","Bloqueado",IF(COUNTIF('E3 — Levantamento'!$E215:$I215,"✔ Concluído")=5,"Concluído",IF(COUNTIF('E3 — Levantamento'!$E215:$I215,"✔ Concluído")+COUNTIF('E3 — Levantamento'!$E215:$I215,"🔄 Em andamento")&gt;0,"Em andamento","Não iniciado"))))))))</f>
        <v/>
      </c>
      <c r="H233" s="229" t="str">
        <f>IF($B233="","",IF($G233&lt;&gt;"Concluído","Não iniciado",IF(COUNTIF(Lançamentos!$B$3:$B$1001,$B233)=0,"Bloqueado",IF('E4 — Execução'!$D215="","Bloqueado",IF(COUNTIF('E4 — Execução'!$E215:$K215,"⛔ Bloqueado")&gt;0,"Bloqueado",IF(COUNTIF('E4 — Execução'!$E215:$K215,"✔ Concluído")=7,"Concluído",IF(COUNTIF('E4 — Execução'!$E215:$K215,"✔ Concluído")+COUNTIF('E4 — Execução'!$E215:$K215,"🔄 Em andamento")&gt;0,"Em andamento","Não iniciado")))))))</f>
        <v/>
      </c>
      <c r="I233" s="229" t="str">
        <f>IF($B233="","",IF($H233&lt;&gt;"Concluído","Não iniciado",IF(COUNTIF(Lançamentos!$B$3:$B$1001,$B233)=0,"Bloqueado",IF('E5 — Validação'!$D215="","Bloqueado",IF(COUNTIF('E5 — Validação'!$E215:$I215,"⛔ Bloqueado")&gt;0,"Bloqueado",IF('E5 — Validação'!$I215="N/A","Bloqueado",IF(AND('E5 — Validação'!$E215="✔ Concluído",'E5 — Validação'!$F215="✔ Concluído",OR('E5 — Validação'!$G215="✔ Concluído",'E5 — Validação'!$G215="N/A"),'E5 — Validação'!$H215="✔ Concluído",'E5 — Validação'!$I215="✔ Concluído"),"Concluído",IF(COUNTIF('E5 — Validação'!$E215:$I215,"✔ Concluído")+COUNTIF('E5 — Validação'!$E215:$I215,"🔄 Em andamento")&gt;0,"Em andamento","Não iniciado"))))))))</f>
        <v/>
      </c>
      <c r="J233" s="229" t="str">
        <f>IF($B233="","",IF($I233&lt;&gt;"Concluído","Não iniciado",IF('E6 — Ajustes'!$N215="Não","N/A",IF(COUNTIF(Lançamentos!$B$3:$B$1001,$B233)=0,"Bloqueado",IF('E6 — Ajustes'!$D215="","Bloqueado",IF(COUNTIF('E6 — Ajustes'!$E215:$J215,"⛔ Bloqueado")&gt;0,"Bloqueado",IF(AND('E6 — Ajustes'!$E215="✔ Concluído",'E6 — Ajustes'!$F215="✔ Concluído",'E6 — Ajustes'!$G215="✔ Concluído",'E6 — Ajustes'!$H215="✔ Concluído",OR('E6 — Ajustes'!$I215="✔ Concluído",'E6 — Ajustes'!$I215="N/A"),'E6 — Ajustes'!$J215="✔ Concluído"),"Concluído",IF(COUNTIF('E6 — Ajustes'!$E215:$J215,"✔ Concluído")+COUNTIF('E6 — Ajustes'!$E215:$J215,"🔄 Em andamento")&gt;0,"Em andamento","Não iniciado"))))))))</f>
        <v/>
      </c>
      <c r="K233" s="229" t="str">
        <f>IF($B233="","",IF($I233&lt;&gt;"Concluído","Não iniciado",IF(AND($J233&lt;&gt;"Concluído",$J233&lt;&gt;"N/A"),"Não iniciado",IF(COUNTIF(Lançamentos!$B$3:$B$1001,$B233)=0,"Bloqueado",IF('E7 — Entrega'!$D215="","Bloqueado",IF(COUNTIF('E7 — Entrega'!$E215:$H215,"⛔ Bloqueado")&gt;0,"Bloqueado",IF(COUNTIF('E7 — Entrega'!$E215:$H215,"✔ Concluído")=4,"Concluído",IF(COUNTIF('E7 — Entrega'!$E215:$H215,"✔ Concluído")+COUNTIF('E7 — Entrega'!$E215:$H215,"🔄 Em andamento")&gt;0,"Em andamento","Não iniciado"))))))))</f>
        <v/>
      </c>
      <c r="L233" s="229" t="str">
        <f>IF($B233="","",IF($K233&lt;&gt;"Concluído","Não iniciado",IF(OR(COUNTIF('E08 — Estabilização Hypercare'!$E215:$J215,"⛔ Bloqueado")&gt;0,'E08 — Estabilização Hypercare'!$N215="⛔ Incidente Crítico — Encerramento Bloqueado",AND('E08 — Estabilização Hypercare'!$N215="🆕 Evolução Identificada — Nova Demanda Aberta",'E08 — Estabilização Hypercare'!$U215="")),"Bloqueado",IF(AND('E08 — Estabilização Hypercare'!$E215="✔ Concluído",'E08 — Estabilização Hypercare'!$F215="✔ Concluído",'E08 — Estabilização Hypercare'!$G215="✔ Concluído",OR('E08 — Estabilização Hypercare'!$H215="✔ Concluído",'E08 — Estabilização Hypercare'!$H215="N/A"),'E08 — Estabilização Hypercare'!$I215="✔ Concluído",'E08 — Estabilização Hypercare'!$J215="✔ Concluído",OR('E08 — Estabilização Hypercare'!$N215="✅ Estável — Demanda Encerrada",AND('E08 — Estabilização Hypercare'!$N215="🆕 Evolução Identificada — Nova Demanda Aberta",'E08 — Estabilização Hypercare'!$U215&lt;&gt;""))),"Concluído",IF(OR(COUNTIF('E08 — Estabilização Hypercare'!$E215:$J215,"✔ Concluído")&gt;0,COUNTIF('E08 — Estabilização Hypercare'!$E215:$J215,"🔄 Em andamento")&gt;0,'E08 — Estabilização Hypercare'!$N215&lt;&gt;""),"Em andamento","Não iniciado")))))</f>
        <v/>
      </c>
      <c r="M233" s="232" t="str" cm="1">
        <f t="array" ref="M233">IF(B233="","",_xlfn.IFS(E233&lt;&gt;"Concluído","E1 — Solicitação",F233&lt;&gt;"Concluído","E2 — Triagem",G233&lt;&gt;"Concluído","E3 — Levantamento ⚠",H233&lt;&gt;"Concluído","E4 — Execução",I233&lt;&gt;"Concluído","E5 — Validação ⚠",AND(J233&lt;&gt;"Concluído",J233&lt;&gt;"N/A"),"E6 — Ajustes",K233&lt;&gt;"Concluído","E7 — Entrega",L233&lt;&gt;"Concluído","E08 — Estabilização / Hypercare",TRUE,"✔ Fluxo concluído"))</f>
        <v/>
      </c>
      <c r="N233" s="233" t="str">
        <f t="shared" si="4"/>
        <v/>
      </c>
      <c r="O233" s="230"/>
    </row>
    <row r="234" spans="2:15" x14ac:dyDescent="0.35">
      <c r="B234" s="229" t="str">
        <f>IF(Lançamentos!$B211="","",Lançamentos!$B211)</f>
        <v/>
      </c>
      <c r="C234" s="231" t="str">
        <f>IF($B234="","",Lançamentos!$J211)</f>
        <v/>
      </c>
      <c r="D234" s="231" t="str">
        <f>IF($B234="","",Lançamentos!$H211)</f>
        <v/>
      </c>
      <c r="E234" s="229" t="str">
        <f>IF($B234="","",IF(COUNTIF(Lançamentos!$B$3:$B$1001,$B234)=0,"Bloqueado",IF(COUNTIF('E1 — Solicitação'!$E216:$L216,"⛔ Bloqueado")&gt;0,"Bloqueado",IF(COUNTIF('E1 — Solicitação'!$E216:$L216,"N/A")=8,"Bloqueado",IF(COUNTIF('E1 — Solicitação'!$E216:$L216,"✔ Concluído")+COUNTIF('E1 — Solicitação'!$E216:$L216,"N/A")=8,"Concluído",IF(COUNTIF('E1 — Solicitação'!$E216:$L216,"✔ Concluído")+COUNTIF('E1 — Solicitação'!$E216:$L216,"🔄 Em andamento")&gt;0,"Em andamento","Não iniciado"))))))</f>
        <v/>
      </c>
      <c r="F234" s="229" t="str">
        <f>IF($B234="","",IF($E234&lt;&gt;"Concluído","Não iniciado",IF(COUNTIF(Lançamentos!$B$3:$B$1001,$B234)=0,"Bloqueado",IF('E2 — Triagem'!$D216="","Bloqueado",IF(COUNTIF('E2 — Triagem'!$E216:$L216,"N/A")=8,"Bloqueado",IF(COUNTIF('E2 — Triagem'!$E216:$L216,"⛔ Bloqueado")&gt;0,"Bloqueado",IF(COUNTIF('E2 — Triagem'!$E216:$L216,"✔ Concluído")+COUNTIF('E2 — Triagem'!$E216:$L216,"N/A")=8,"Concluído",IF(COUNTIF('E2 — Triagem'!$E216:$L216,"✔ Concluído")+COUNTIF('E2 — Triagem'!$E216:$L216,"🔄 Em andamento")&gt;0,"Em andamento","Não iniciado"))))))))</f>
        <v/>
      </c>
      <c r="G234" s="229" t="str">
        <f>IF($B234="","",IF($F234&lt;&gt;"Concluído","Não iniciado",IF(COUNTIF(Lançamentos!$B$3:$B$1001,$B234)=0,"Bloqueado",IF('E3 — Levantamento'!$D216="","Bloqueado",IF(COUNTIF('E3 — Levantamento'!$E216:$I216,"⛔ Bloqueado")&gt;0,"Bloqueado",IF('E3 — Levantamento'!$I216="N/A","Bloqueado",IF(COUNTIF('E3 — Levantamento'!$E216:$I216,"✔ Concluído")=5,"Concluído",IF(COUNTIF('E3 — Levantamento'!$E216:$I216,"✔ Concluído")+COUNTIF('E3 — Levantamento'!$E216:$I216,"🔄 Em andamento")&gt;0,"Em andamento","Não iniciado"))))))))</f>
        <v/>
      </c>
      <c r="H234" s="229" t="str">
        <f>IF($B234="","",IF($G234&lt;&gt;"Concluído","Não iniciado",IF(COUNTIF(Lançamentos!$B$3:$B$1001,$B234)=0,"Bloqueado",IF('E4 — Execução'!$D216="","Bloqueado",IF(COUNTIF('E4 — Execução'!$E216:$K216,"⛔ Bloqueado")&gt;0,"Bloqueado",IF(COUNTIF('E4 — Execução'!$E216:$K216,"✔ Concluído")=7,"Concluído",IF(COUNTIF('E4 — Execução'!$E216:$K216,"✔ Concluído")+COUNTIF('E4 — Execução'!$E216:$K216,"🔄 Em andamento")&gt;0,"Em andamento","Não iniciado")))))))</f>
        <v/>
      </c>
      <c r="I234" s="229" t="str">
        <f>IF($B234="","",IF($H234&lt;&gt;"Concluído","Não iniciado",IF(COUNTIF(Lançamentos!$B$3:$B$1001,$B234)=0,"Bloqueado",IF('E5 — Validação'!$D216="","Bloqueado",IF(COUNTIF('E5 — Validação'!$E216:$I216,"⛔ Bloqueado")&gt;0,"Bloqueado",IF('E5 — Validação'!$I216="N/A","Bloqueado",IF(AND('E5 — Validação'!$E216="✔ Concluído",'E5 — Validação'!$F216="✔ Concluído",OR('E5 — Validação'!$G216="✔ Concluído",'E5 — Validação'!$G216="N/A"),'E5 — Validação'!$H216="✔ Concluído",'E5 — Validação'!$I216="✔ Concluído"),"Concluído",IF(COUNTIF('E5 — Validação'!$E216:$I216,"✔ Concluído")+COUNTIF('E5 — Validação'!$E216:$I216,"🔄 Em andamento")&gt;0,"Em andamento","Não iniciado"))))))))</f>
        <v/>
      </c>
      <c r="J234" s="229" t="str">
        <f>IF($B234="","",IF($I234&lt;&gt;"Concluído","Não iniciado",IF('E6 — Ajustes'!$N216="Não","N/A",IF(COUNTIF(Lançamentos!$B$3:$B$1001,$B234)=0,"Bloqueado",IF('E6 — Ajustes'!$D216="","Bloqueado",IF(COUNTIF('E6 — Ajustes'!$E216:$J216,"⛔ Bloqueado")&gt;0,"Bloqueado",IF(AND('E6 — Ajustes'!$E216="✔ Concluído",'E6 — Ajustes'!$F216="✔ Concluído",'E6 — Ajustes'!$G216="✔ Concluído",'E6 — Ajustes'!$H216="✔ Concluído",OR('E6 — Ajustes'!$I216="✔ Concluído",'E6 — Ajustes'!$I216="N/A"),'E6 — Ajustes'!$J216="✔ Concluído"),"Concluído",IF(COUNTIF('E6 — Ajustes'!$E216:$J216,"✔ Concluído")+COUNTIF('E6 — Ajustes'!$E216:$J216,"🔄 Em andamento")&gt;0,"Em andamento","Não iniciado"))))))))</f>
        <v/>
      </c>
      <c r="K234" s="229" t="str">
        <f>IF($B234="","",IF($I234&lt;&gt;"Concluído","Não iniciado",IF(AND($J234&lt;&gt;"Concluído",$J234&lt;&gt;"N/A"),"Não iniciado",IF(COUNTIF(Lançamentos!$B$3:$B$1001,$B234)=0,"Bloqueado",IF('E7 — Entrega'!$D216="","Bloqueado",IF(COUNTIF('E7 — Entrega'!$E216:$H216,"⛔ Bloqueado")&gt;0,"Bloqueado",IF(COUNTIF('E7 — Entrega'!$E216:$H216,"✔ Concluído")=4,"Concluído",IF(COUNTIF('E7 — Entrega'!$E216:$H216,"✔ Concluído")+COUNTIF('E7 — Entrega'!$E216:$H216,"🔄 Em andamento")&gt;0,"Em andamento","Não iniciado"))))))))</f>
        <v/>
      </c>
      <c r="L234" s="229" t="str">
        <f>IF($B234="","",IF($K234&lt;&gt;"Concluído","Não iniciado",IF(OR(COUNTIF('E08 — Estabilização Hypercare'!$E216:$J216,"⛔ Bloqueado")&gt;0,'E08 — Estabilização Hypercare'!$N216="⛔ Incidente Crítico — Encerramento Bloqueado",AND('E08 — Estabilização Hypercare'!$N216="🆕 Evolução Identificada — Nova Demanda Aberta",'E08 — Estabilização Hypercare'!$U216="")),"Bloqueado",IF(AND('E08 — Estabilização Hypercare'!$E216="✔ Concluído",'E08 — Estabilização Hypercare'!$F216="✔ Concluído",'E08 — Estabilização Hypercare'!$G216="✔ Concluído",OR('E08 — Estabilização Hypercare'!$H216="✔ Concluído",'E08 — Estabilização Hypercare'!$H216="N/A"),'E08 — Estabilização Hypercare'!$I216="✔ Concluído",'E08 — Estabilização Hypercare'!$J216="✔ Concluído",OR('E08 — Estabilização Hypercare'!$N216="✅ Estável — Demanda Encerrada",AND('E08 — Estabilização Hypercare'!$N216="🆕 Evolução Identificada — Nova Demanda Aberta",'E08 — Estabilização Hypercare'!$U216&lt;&gt;""))),"Concluído",IF(OR(COUNTIF('E08 — Estabilização Hypercare'!$E216:$J216,"✔ Concluído")&gt;0,COUNTIF('E08 — Estabilização Hypercare'!$E216:$J216,"🔄 Em andamento")&gt;0,'E08 — Estabilização Hypercare'!$N216&lt;&gt;""),"Em andamento","Não iniciado")))))</f>
        <v/>
      </c>
      <c r="M234" s="232" t="str" cm="1">
        <f t="array" ref="M234">IF(B234="","",_xlfn.IFS(E234&lt;&gt;"Concluído","E1 — Solicitação",F234&lt;&gt;"Concluído","E2 — Triagem",G234&lt;&gt;"Concluído","E3 — Levantamento ⚠",H234&lt;&gt;"Concluído","E4 — Execução",I234&lt;&gt;"Concluído","E5 — Validação ⚠",AND(J234&lt;&gt;"Concluído",J234&lt;&gt;"N/A"),"E6 — Ajustes",K234&lt;&gt;"Concluído","E7 — Entrega",L234&lt;&gt;"Concluído","E08 — Estabilização / Hypercare",TRUE,"✔ Fluxo concluído"))</f>
        <v/>
      </c>
      <c r="N234" s="233" t="str">
        <f t="shared" si="4"/>
        <v/>
      </c>
      <c r="O234" s="230"/>
    </row>
    <row r="235" spans="2:15" x14ac:dyDescent="0.35">
      <c r="B235" s="229" t="str">
        <f>IF(Lançamentos!$B212="","",Lançamentos!$B212)</f>
        <v/>
      </c>
      <c r="C235" s="231" t="str">
        <f>IF($B235="","",Lançamentos!$J212)</f>
        <v/>
      </c>
      <c r="D235" s="231" t="str">
        <f>IF($B235="","",Lançamentos!$H212)</f>
        <v/>
      </c>
      <c r="E235" s="229" t="str">
        <f>IF($B235="","",IF(COUNTIF(Lançamentos!$B$3:$B$1001,$B235)=0,"Bloqueado",IF(COUNTIF('E1 — Solicitação'!$E217:$L217,"⛔ Bloqueado")&gt;0,"Bloqueado",IF(COUNTIF('E1 — Solicitação'!$E217:$L217,"N/A")=8,"Bloqueado",IF(COUNTIF('E1 — Solicitação'!$E217:$L217,"✔ Concluído")+COUNTIF('E1 — Solicitação'!$E217:$L217,"N/A")=8,"Concluído",IF(COUNTIF('E1 — Solicitação'!$E217:$L217,"✔ Concluído")+COUNTIF('E1 — Solicitação'!$E217:$L217,"🔄 Em andamento")&gt;0,"Em andamento","Não iniciado"))))))</f>
        <v/>
      </c>
      <c r="F235" s="229" t="str">
        <f>IF($B235="","",IF($E235&lt;&gt;"Concluído","Não iniciado",IF(COUNTIF(Lançamentos!$B$3:$B$1001,$B235)=0,"Bloqueado",IF('E2 — Triagem'!$D217="","Bloqueado",IF(COUNTIF('E2 — Triagem'!$E217:$L217,"N/A")=8,"Bloqueado",IF(COUNTIF('E2 — Triagem'!$E217:$L217,"⛔ Bloqueado")&gt;0,"Bloqueado",IF(COUNTIF('E2 — Triagem'!$E217:$L217,"✔ Concluído")+COUNTIF('E2 — Triagem'!$E217:$L217,"N/A")=8,"Concluído",IF(COUNTIF('E2 — Triagem'!$E217:$L217,"✔ Concluído")+COUNTIF('E2 — Triagem'!$E217:$L217,"🔄 Em andamento")&gt;0,"Em andamento","Não iniciado"))))))))</f>
        <v/>
      </c>
      <c r="G235" s="229" t="str">
        <f>IF($B235="","",IF($F235&lt;&gt;"Concluído","Não iniciado",IF(COUNTIF(Lançamentos!$B$3:$B$1001,$B235)=0,"Bloqueado",IF('E3 — Levantamento'!$D217="","Bloqueado",IF(COUNTIF('E3 — Levantamento'!$E217:$I217,"⛔ Bloqueado")&gt;0,"Bloqueado",IF('E3 — Levantamento'!$I217="N/A","Bloqueado",IF(COUNTIF('E3 — Levantamento'!$E217:$I217,"✔ Concluído")=5,"Concluído",IF(COUNTIF('E3 — Levantamento'!$E217:$I217,"✔ Concluído")+COUNTIF('E3 — Levantamento'!$E217:$I217,"🔄 Em andamento")&gt;0,"Em andamento","Não iniciado"))))))))</f>
        <v/>
      </c>
      <c r="H235" s="229" t="str">
        <f>IF($B235="","",IF($G235&lt;&gt;"Concluído","Não iniciado",IF(COUNTIF(Lançamentos!$B$3:$B$1001,$B235)=0,"Bloqueado",IF('E4 — Execução'!$D217="","Bloqueado",IF(COUNTIF('E4 — Execução'!$E217:$K217,"⛔ Bloqueado")&gt;0,"Bloqueado",IF(COUNTIF('E4 — Execução'!$E217:$K217,"✔ Concluído")=7,"Concluído",IF(COUNTIF('E4 — Execução'!$E217:$K217,"✔ Concluído")+COUNTIF('E4 — Execução'!$E217:$K217,"🔄 Em andamento")&gt;0,"Em andamento","Não iniciado")))))))</f>
        <v/>
      </c>
      <c r="I235" s="229" t="str">
        <f>IF($B235="","",IF($H235&lt;&gt;"Concluído","Não iniciado",IF(COUNTIF(Lançamentos!$B$3:$B$1001,$B235)=0,"Bloqueado",IF('E5 — Validação'!$D217="","Bloqueado",IF(COUNTIF('E5 — Validação'!$E217:$I217,"⛔ Bloqueado")&gt;0,"Bloqueado",IF('E5 — Validação'!$I217="N/A","Bloqueado",IF(AND('E5 — Validação'!$E217="✔ Concluído",'E5 — Validação'!$F217="✔ Concluído",OR('E5 — Validação'!$G217="✔ Concluído",'E5 — Validação'!$G217="N/A"),'E5 — Validação'!$H217="✔ Concluído",'E5 — Validação'!$I217="✔ Concluído"),"Concluído",IF(COUNTIF('E5 — Validação'!$E217:$I217,"✔ Concluído")+COUNTIF('E5 — Validação'!$E217:$I217,"🔄 Em andamento")&gt;0,"Em andamento","Não iniciado"))))))))</f>
        <v/>
      </c>
      <c r="J235" s="229" t="str">
        <f>IF($B235="","",IF($I235&lt;&gt;"Concluído","Não iniciado",IF('E6 — Ajustes'!$N217="Não","N/A",IF(COUNTIF(Lançamentos!$B$3:$B$1001,$B235)=0,"Bloqueado",IF('E6 — Ajustes'!$D217="","Bloqueado",IF(COUNTIF('E6 — Ajustes'!$E217:$J217,"⛔ Bloqueado")&gt;0,"Bloqueado",IF(AND('E6 — Ajustes'!$E217="✔ Concluído",'E6 — Ajustes'!$F217="✔ Concluído",'E6 — Ajustes'!$G217="✔ Concluído",'E6 — Ajustes'!$H217="✔ Concluído",OR('E6 — Ajustes'!$I217="✔ Concluído",'E6 — Ajustes'!$I217="N/A"),'E6 — Ajustes'!$J217="✔ Concluído"),"Concluído",IF(COUNTIF('E6 — Ajustes'!$E217:$J217,"✔ Concluído")+COUNTIF('E6 — Ajustes'!$E217:$J217,"🔄 Em andamento")&gt;0,"Em andamento","Não iniciado"))))))))</f>
        <v/>
      </c>
      <c r="K235" s="229" t="str">
        <f>IF($B235="","",IF($I235&lt;&gt;"Concluído","Não iniciado",IF(AND($J235&lt;&gt;"Concluído",$J235&lt;&gt;"N/A"),"Não iniciado",IF(COUNTIF(Lançamentos!$B$3:$B$1001,$B235)=0,"Bloqueado",IF('E7 — Entrega'!$D217="","Bloqueado",IF(COUNTIF('E7 — Entrega'!$E217:$H217,"⛔ Bloqueado")&gt;0,"Bloqueado",IF(COUNTIF('E7 — Entrega'!$E217:$H217,"✔ Concluído")=4,"Concluído",IF(COUNTIF('E7 — Entrega'!$E217:$H217,"✔ Concluído")+COUNTIF('E7 — Entrega'!$E217:$H217,"🔄 Em andamento")&gt;0,"Em andamento","Não iniciado"))))))))</f>
        <v/>
      </c>
      <c r="L235" s="229" t="str">
        <f>IF($B235="","",IF($K235&lt;&gt;"Concluído","Não iniciado",IF(OR(COUNTIF('E08 — Estabilização Hypercare'!$E217:$J217,"⛔ Bloqueado")&gt;0,'E08 — Estabilização Hypercare'!$N217="⛔ Incidente Crítico — Encerramento Bloqueado",AND('E08 — Estabilização Hypercare'!$N217="🆕 Evolução Identificada — Nova Demanda Aberta",'E08 — Estabilização Hypercare'!$U217="")),"Bloqueado",IF(AND('E08 — Estabilização Hypercare'!$E217="✔ Concluído",'E08 — Estabilização Hypercare'!$F217="✔ Concluído",'E08 — Estabilização Hypercare'!$G217="✔ Concluído",OR('E08 — Estabilização Hypercare'!$H217="✔ Concluído",'E08 — Estabilização Hypercare'!$H217="N/A"),'E08 — Estabilização Hypercare'!$I217="✔ Concluído",'E08 — Estabilização Hypercare'!$J217="✔ Concluído",OR('E08 — Estabilização Hypercare'!$N217="✅ Estável — Demanda Encerrada",AND('E08 — Estabilização Hypercare'!$N217="🆕 Evolução Identificada — Nova Demanda Aberta",'E08 — Estabilização Hypercare'!$U217&lt;&gt;""))),"Concluído",IF(OR(COUNTIF('E08 — Estabilização Hypercare'!$E217:$J217,"✔ Concluído")&gt;0,COUNTIF('E08 — Estabilização Hypercare'!$E217:$J217,"🔄 Em andamento")&gt;0,'E08 — Estabilização Hypercare'!$N217&lt;&gt;""),"Em andamento","Não iniciado")))))</f>
        <v/>
      </c>
      <c r="M235" s="232" t="str" cm="1">
        <f t="array" ref="M235">IF(B235="","",_xlfn.IFS(E235&lt;&gt;"Concluído","E1 — Solicitação",F235&lt;&gt;"Concluído","E2 — Triagem",G235&lt;&gt;"Concluído","E3 — Levantamento ⚠",H235&lt;&gt;"Concluído","E4 — Execução",I235&lt;&gt;"Concluído","E5 — Validação ⚠",AND(J235&lt;&gt;"Concluído",J235&lt;&gt;"N/A"),"E6 — Ajustes",K235&lt;&gt;"Concluído","E7 — Entrega",L235&lt;&gt;"Concluído","E08 — Estabilização / Hypercare",TRUE,"✔ Fluxo concluído"))</f>
        <v/>
      </c>
      <c r="N235" s="233" t="str">
        <f t="shared" si="4"/>
        <v/>
      </c>
      <c r="O235" s="230"/>
    </row>
    <row r="236" spans="2:15" x14ac:dyDescent="0.35">
      <c r="B236" s="229" t="str">
        <f>IF(Lançamentos!$B213="","",Lançamentos!$B213)</f>
        <v/>
      </c>
      <c r="C236" s="231" t="str">
        <f>IF($B236="","",Lançamentos!$J213)</f>
        <v/>
      </c>
      <c r="D236" s="231" t="str">
        <f>IF($B236="","",Lançamentos!$H213)</f>
        <v/>
      </c>
      <c r="E236" s="229" t="str">
        <f>IF($B236="","",IF(COUNTIF(Lançamentos!$B$3:$B$1001,$B236)=0,"Bloqueado",IF(COUNTIF('E1 — Solicitação'!$E218:$L218,"⛔ Bloqueado")&gt;0,"Bloqueado",IF(COUNTIF('E1 — Solicitação'!$E218:$L218,"N/A")=8,"Bloqueado",IF(COUNTIF('E1 — Solicitação'!$E218:$L218,"✔ Concluído")+COUNTIF('E1 — Solicitação'!$E218:$L218,"N/A")=8,"Concluído",IF(COUNTIF('E1 — Solicitação'!$E218:$L218,"✔ Concluído")+COUNTIF('E1 — Solicitação'!$E218:$L218,"🔄 Em andamento")&gt;0,"Em andamento","Não iniciado"))))))</f>
        <v/>
      </c>
      <c r="F236" s="229" t="str">
        <f>IF($B236="","",IF($E236&lt;&gt;"Concluído","Não iniciado",IF(COUNTIF(Lançamentos!$B$3:$B$1001,$B236)=0,"Bloqueado",IF('E2 — Triagem'!$D218="","Bloqueado",IF(COUNTIF('E2 — Triagem'!$E218:$L218,"N/A")=8,"Bloqueado",IF(COUNTIF('E2 — Triagem'!$E218:$L218,"⛔ Bloqueado")&gt;0,"Bloqueado",IF(COUNTIF('E2 — Triagem'!$E218:$L218,"✔ Concluído")+COUNTIF('E2 — Triagem'!$E218:$L218,"N/A")=8,"Concluído",IF(COUNTIF('E2 — Triagem'!$E218:$L218,"✔ Concluído")+COUNTIF('E2 — Triagem'!$E218:$L218,"🔄 Em andamento")&gt;0,"Em andamento","Não iniciado"))))))))</f>
        <v/>
      </c>
      <c r="G236" s="229" t="str">
        <f>IF($B236="","",IF($F236&lt;&gt;"Concluído","Não iniciado",IF(COUNTIF(Lançamentos!$B$3:$B$1001,$B236)=0,"Bloqueado",IF('E3 — Levantamento'!$D218="","Bloqueado",IF(COUNTIF('E3 — Levantamento'!$E218:$I218,"⛔ Bloqueado")&gt;0,"Bloqueado",IF('E3 — Levantamento'!$I218="N/A","Bloqueado",IF(COUNTIF('E3 — Levantamento'!$E218:$I218,"✔ Concluído")=5,"Concluído",IF(COUNTIF('E3 — Levantamento'!$E218:$I218,"✔ Concluído")+COUNTIF('E3 — Levantamento'!$E218:$I218,"🔄 Em andamento")&gt;0,"Em andamento","Não iniciado"))))))))</f>
        <v/>
      </c>
      <c r="H236" s="229" t="str">
        <f>IF($B236="","",IF($G236&lt;&gt;"Concluído","Não iniciado",IF(COUNTIF(Lançamentos!$B$3:$B$1001,$B236)=0,"Bloqueado",IF('E4 — Execução'!$D218="","Bloqueado",IF(COUNTIF('E4 — Execução'!$E218:$K218,"⛔ Bloqueado")&gt;0,"Bloqueado",IF(COUNTIF('E4 — Execução'!$E218:$K218,"✔ Concluído")=7,"Concluído",IF(COUNTIF('E4 — Execução'!$E218:$K218,"✔ Concluído")+COUNTIF('E4 — Execução'!$E218:$K218,"🔄 Em andamento")&gt;0,"Em andamento","Não iniciado")))))))</f>
        <v/>
      </c>
      <c r="I236" s="229" t="str">
        <f>IF($B236="","",IF($H236&lt;&gt;"Concluído","Não iniciado",IF(COUNTIF(Lançamentos!$B$3:$B$1001,$B236)=0,"Bloqueado",IF('E5 — Validação'!$D218="","Bloqueado",IF(COUNTIF('E5 — Validação'!$E218:$I218,"⛔ Bloqueado")&gt;0,"Bloqueado",IF('E5 — Validação'!$I218="N/A","Bloqueado",IF(AND('E5 — Validação'!$E218="✔ Concluído",'E5 — Validação'!$F218="✔ Concluído",OR('E5 — Validação'!$G218="✔ Concluído",'E5 — Validação'!$G218="N/A"),'E5 — Validação'!$H218="✔ Concluído",'E5 — Validação'!$I218="✔ Concluído"),"Concluído",IF(COUNTIF('E5 — Validação'!$E218:$I218,"✔ Concluído")+COUNTIF('E5 — Validação'!$E218:$I218,"🔄 Em andamento")&gt;0,"Em andamento","Não iniciado"))))))))</f>
        <v/>
      </c>
      <c r="J236" s="229" t="str">
        <f>IF($B236="","",IF($I236&lt;&gt;"Concluído","Não iniciado",IF('E6 — Ajustes'!$N218="Não","N/A",IF(COUNTIF(Lançamentos!$B$3:$B$1001,$B236)=0,"Bloqueado",IF('E6 — Ajustes'!$D218="","Bloqueado",IF(COUNTIF('E6 — Ajustes'!$E218:$J218,"⛔ Bloqueado")&gt;0,"Bloqueado",IF(AND('E6 — Ajustes'!$E218="✔ Concluído",'E6 — Ajustes'!$F218="✔ Concluído",'E6 — Ajustes'!$G218="✔ Concluído",'E6 — Ajustes'!$H218="✔ Concluído",OR('E6 — Ajustes'!$I218="✔ Concluído",'E6 — Ajustes'!$I218="N/A"),'E6 — Ajustes'!$J218="✔ Concluído"),"Concluído",IF(COUNTIF('E6 — Ajustes'!$E218:$J218,"✔ Concluído")+COUNTIF('E6 — Ajustes'!$E218:$J218,"🔄 Em andamento")&gt;0,"Em andamento","Não iniciado"))))))))</f>
        <v/>
      </c>
      <c r="K236" s="229" t="str">
        <f>IF($B236="","",IF($I236&lt;&gt;"Concluído","Não iniciado",IF(AND($J236&lt;&gt;"Concluído",$J236&lt;&gt;"N/A"),"Não iniciado",IF(COUNTIF(Lançamentos!$B$3:$B$1001,$B236)=0,"Bloqueado",IF('E7 — Entrega'!$D218="","Bloqueado",IF(COUNTIF('E7 — Entrega'!$E218:$H218,"⛔ Bloqueado")&gt;0,"Bloqueado",IF(COUNTIF('E7 — Entrega'!$E218:$H218,"✔ Concluído")=4,"Concluído",IF(COUNTIF('E7 — Entrega'!$E218:$H218,"✔ Concluído")+COUNTIF('E7 — Entrega'!$E218:$H218,"🔄 Em andamento")&gt;0,"Em andamento","Não iniciado"))))))))</f>
        <v/>
      </c>
      <c r="L236" s="229" t="str">
        <f>IF($B236="","",IF($K236&lt;&gt;"Concluído","Não iniciado",IF(OR(COUNTIF('E08 — Estabilização Hypercare'!$E218:$J218,"⛔ Bloqueado")&gt;0,'E08 — Estabilização Hypercare'!$N218="⛔ Incidente Crítico — Encerramento Bloqueado",AND('E08 — Estabilização Hypercare'!$N218="🆕 Evolução Identificada — Nova Demanda Aberta",'E08 — Estabilização Hypercare'!$U218="")),"Bloqueado",IF(AND('E08 — Estabilização Hypercare'!$E218="✔ Concluído",'E08 — Estabilização Hypercare'!$F218="✔ Concluído",'E08 — Estabilização Hypercare'!$G218="✔ Concluído",OR('E08 — Estabilização Hypercare'!$H218="✔ Concluído",'E08 — Estabilização Hypercare'!$H218="N/A"),'E08 — Estabilização Hypercare'!$I218="✔ Concluído",'E08 — Estabilização Hypercare'!$J218="✔ Concluído",OR('E08 — Estabilização Hypercare'!$N218="✅ Estável — Demanda Encerrada",AND('E08 — Estabilização Hypercare'!$N218="🆕 Evolução Identificada — Nova Demanda Aberta",'E08 — Estabilização Hypercare'!$U218&lt;&gt;""))),"Concluído",IF(OR(COUNTIF('E08 — Estabilização Hypercare'!$E218:$J218,"✔ Concluído")&gt;0,COUNTIF('E08 — Estabilização Hypercare'!$E218:$J218,"🔄 Em andamento")&gt;0,'E08 — Estabilização Hypercare'!$N218&lt;&gt;""),"Em andamento","Não iniciado")))))</f>
        <v/>
      </c>
      <c r="M236" s="232" t="str" cm="1">
        <f t="array" ref="M236">IF(B236="","",_xlfn.IFS(E236&lt;&gt;"Concluído","E1 — Solicitação",F236&lt;&gt;"Concluído","E2 — Triagem",G236&lt;&gt;"Concluído","E3 — Levantamento ⚠",H236&lt;&gt;"Concluído","E4 — Execução",I236&lt;&gt;"Concluído","E5 — Validação ⚠",AND(J236&lt;&gt;"Concluído",J236&lt;&gt;"N/A"),"E6 — Ajustes",K236&lt;&gt;"Concluído","E7 — Entrega",L236&lt;&gt;"Concluído","E08 — Estabilização / Hypercare",TRUE,"✔ Fluxo concluído"))</f>
        <v/>
      </c>
      <c r="N236" s="233" t="str">
        <f t="shared" si="4"/>
        <v/>
      </c>
      <c r="O236" s="230"/>
    </row>
    <row r="237" spans="2:15" x14ac:dyDescent="0.35">
      <c r="B237" s="229" t="str">
        <f>IF(Lançamentos!$B214="","",Lançamentos!$B214)</f>
        <v/>
      </c>
      <c r="C237" s="231" t="str">
        <f>IF($B237="","",Lançamentos!$J214)</f>
        <v/>
      </c>
      <c r="D237" s="231" t="str">
        <f>IF($B237="","",Lançamentos!$H214)</f>
        <v/>
      </c>
      <c r="E237" s="229" t="str">
        <f>IF($B237="","",IF(COUNTIF(Lançamentos!$B$3:$B$1001,$B237)=0,"Bloqueado",IF(COUNTIF('E1 — Solicitação'!$E219:$L219,"⛔ Bloqueado")&gt;0,"Bloqueado",IF(COUNTIF('E1 — Solicitação'!$E219:$L219,"N/A")=8,"Bloqueado",IF(COUNTIF('E1 — Solicitação'!$E219:$L219,"✔ Concluído")+COUNTIF('E1 — Solicitação'!$E219:$L219,"N/A")=8,"Concluído",IF(COUNTIF('E1 — Solicitação'!$E219:$L219,"✔ Concluído")+COUNTIF('E1 — Solicitação'!$E219:$L219,"🔄 Em andamento")&gt;0,"Em andamento","Não iniciado"))))))</f>
        <v/>
      </c>
      <c r="F237" s="229" t="str">
        <f>IF($B237="","",IF($E237&lt;&gt;"Concluído","Não iniciado",IF(COUNTIF(Lançamentos!$B$3:$B$1001,$B237)=0,"Bloqueado",IF('E2 — Triagem'!$D219="","Bloqueado",IF(COUNTIF('E2 — Triagem'!$E219:$L219,"N/A")=8,"Bloqueado",IF(COUNTIF('E2 — Triagem'!$E219:$L219,"⛔ Bloqueado")&gt;0,"Bloqueado",IF(COUNTIF('E2 — Triagem'!$E219:$L219,"✔ Concluído")+COUNTIF('E2 — Triagem'!$E219:$L219,"N/A")=8,"Concluído",IF(COUNTIF('E2 — Triagem'!$E219:$L219,"✔ Concluído")+COUNTIF('E2 — Triagem'!$E219:$L219,"🔄 Em andamento")&gt;0,"Em andamento","Não iniciado"))))))))</f>
        <v/>
      </c>
      <c r="G237" s="229" t="str">
        <f>IF($B237="","",IF($F237&lt;&gt;"Concluído","Não iniciado",IF(COUNTIF(Lançamentos!$B$3:$B$1001,$B237)=0,"Bloqueado",IF('E3 — Levantamento'!$D219="","Bloqueado",IF(COUNTIF('E3 — Levantamento'!$E219:$I219,"⛔ Bloqueado")&gt;0,"Bloqueado",IF('E3 — Levantamento'!$I219="N/A","Bloqueado",IF(COUNTIF('E3 — Levantamento'!$E219:$I219,"✔ Concluído")=5,"Concluído",IF(COUNTIF('E3 — Levantamento'!$E219:$I219,"✔ Concluído")+COUNTIF('E3 — Levantamento'!$E219:$I219,"🔄 Em andamento")&gt;0,"Em andamento","Não iniciado"))))))))</f>
        <v/>
      </c>
      <c r="H237" s="229" t="str">
        <f>IF($B237="","",IF($G237&lt;&gt;"Concluído","Não iniciado",IF(COUNTIF(Lançamentos!$B$3:$B$1001,$B237)=0,"Bloqueado",IF('E4 — Execução'!$D219="","Bloqueado",IF(COUNTIF('E4 — Execução'!$E219:$K219,"⛔ Bloqueado")&gt;0,"Bloqueado",IF(COUNTIF('E4 — Execução'!$E219:$K219,"✔ Concluído")=7,"Concluído",IF(COUNTIF('E4 — Execução'!$E219:$K219,"✔ Concluído")+COUNTIF('E4 — Execução'!$E219:$K219,"🔄 Em andamento")&gt;0,"Em andamento","Não iniciado")))))))</f>
        <v/>
      </c>
      <c r="I237" s="229" t="str">
        <f>IF($B237="","",IF($H237&lt;&gt;"Concluído","Não iniciado",IF(COUNTIF(Lançamentos!$B$3:$B$1001,$B237)=0,"Bloqueado",IF('E5 — Validação'!$D219="","Bloqueado",IF(COUNTIF('E5 — Validação'!$E219:$I219,"⛔ Bloqueado")&gt;0,"Bloqueado",IF('E5 — Validação'!$I219="N/A","Bloqueado",IF(AND('E5 — Validação'!$E219="✔ Concluído",'E5 — Validação'!$F219="✔ Concluído",OR('E5 — Validação'!$G219="✔ Concluído",'E5 — Validação'!$G219="N/A"),'E5 — Validação'!$H219="✔ Concluído",'E5 — Validação'!$I219="✔ Concluído"),"Concluído",IF(COUNTIF('E5 — Validação'!$E219:$I219,"✔ Concluído")+COUNTIF('E5 — Validação'!$E219:$I219,"🔄 Em andamento")&gt;0,"Em andamento","Não iniciado"))))))))</f>
        <v/>
      </c>
      <c r="J237" s="229" t="str">
        <f>IF($B237="","",IF($I237&lt;&gt;"Concluído","Não iniciado",IF('E6 — Ajustes'!$N219="Não","N/A",IF(COUNTIF(Lançamentos!$B$3:$B$1001,$B237)=0,"Bloqueado",IF('E6 — Ajustes'!$D219="","Bloqueado",IF(COUNTIF('E6 — Ajustes'!$E219:$J219,"⛔ Bloqueado")&gt;0,"Bloqueado",IF(AND('E6 — Ajustes'!$E219="✔ Concluído",'E6 — Ajustes'!$F219="✔ Concluído",'E6 — Ajustes'!$G219="✔ Concluído",'E6 — Ajustes'!$H219="✔ Concluído",OR('E6 — Ajustes'!$I219="✔ Concluído",'E6 — Ajustes'!$I219="N/A"),'E6 — Ajustes'!$J219="✔ Concluído"),"Concluído",IF(COUNTIF('E6 — Ajustes'!$E219:$J219,"✔ Concluído")+COUNTIF('E6 — Ajustes'!$E219:$J219,"🔄 Em andamento")&gt;0,"Em andamento","Não iniciado"))))))))</f>
        <v/>
      </c>
      <c r="K237" s="229" t="str">
        <f>IF($B237="","",IF($I237&lt;&gt;"Concluído","Não iniciado",IF(AND($J237&lt;&gt;"Concluído",$J237&lt;&gt;"N/A"),"Não iniciado",IF(COUNTIF(Lançamentos!$B$3:$B$1001,$B237)=0,"Bloqueado",IF('E7 — Entrega'!$D219="","Bloqueado",IF(COUNTIF('E7 — Entrega'!$E219:$H219,"⛔ Bloqueado")&gt;0,"Bloqueado",IF(COUNTIF('E7 — Entrega'!$E219:$H219,"✔ Concluído")=4,"Concluído",IF(COUNTIF('E7 — Entrega'!$E219:$H219,"✔ Concluído")+COUNTIF('E7 — Entrega'!$E219:$H219,"🔄 Em andamento")&gt;0,"Em andamento","Não iniciado"))))))))</f>
        <v/>
      </c>
      <c r="L237" s="229" t="str">
        <f>IF($B237="","",IF($K237&lt;&gt;"Concluído","Não iniciado",IF(OR(COUNTIF('E08 — Estabilização Hypercare'!$E219:$J219,"⛔ Bloqueado")&gt;0,'E08 — Estabilização Hypercare'!$N219="⛔ Incidente Crítico — Encerramento Bloqueado",AND('E08 — Estabilização Hypercare'!$N219="🆕 Evolução Identificada — Nova Demanda Aberta",'E08 — Estabilização Hypercare'!$U219="")),"Bloqueado",IF(AND('E08 — Estabilização Hypercare'!$E219="✔ Concluído",'E08 — Estabilização Hypercare'!$F219="✔ Concluído",'E08 — Estabilização Hypercare'!$G219="✔ Concluído",OR('E08 — Estabilização Hypercare'!$H219="✔ Concluído",'E08 — Estabilização Hypercare'!$H219="N/A"),'E08 — Estabilização Hypercare'!$I219="✔ Concluído",'E08 — Estabilização Hypercare'!$J219="✔ Concluído",OR('E08 — Estabilização Hypercare'!$N219="✅ Estável — Demanda Encerrada",AND('E08 — Estabilização Hypercare'!$N219="🆕 Evolução Identificada — Nova Demanda Aberta",'E08 — Estabilização Hypercare'!$U219&lt;&gt;""))),"Concluído",IF(OR(COUNTIF('E08 — Estabilização Hypercare'!$E219:$J219,"✔ Concluído")&gt;0,COUNTIF('E08 — Estabilização Hypercare'!$E219:$J219,"🔄 Em andamento")&gt;0,'E08 — Estabilização Hypercare'!$N219&lt;&gt;""),"Em andamento","Não iniciado")))))</f>
        <v/>
      </c>
      <c r="M237" s="232" t="str" cm="1">
        <f t="array" ref="M237">IF(B237="","",_xlfn.IFS(E237&lt;&gt;"Concluído","E1 — Solicitação",F237&lt;&gt;"Concluído","E2 — Triagem",G237&lt;&gt;"Concluído","E3 — Levantamento ⚠",H237&lt;&gt;"Concluído","E4 — Execução",I237&lt;&gt;"Concluído","E5 — Validação ⚠",AND(J237&lt;&gt;"Concluído",J237&lt;&gt;"N/A"),"E6 — Ajustes",K237&lt;&gt;"Concluído","E7 — Entrega",L237&lt;&gt;"Concluído","E08 — Estabilização / Hypercare",TRUE,"✔ Fluxo concluído"))</f>
        <v/>
      </c>
      <c r="N237" s="233" t="str">
        <f t="shared" si="4"/>
        <v/>
      </c>
      <c r="O237" s="230"/>
    </row>
    <row r="238" spans="2:15" x14ac:dyDescent="0.35">
      <c r="B238" s="229" t="str">
        <f>IF(Lançamentos!$B215="","",Lançamentos!$B215)</f>
        <v/>
      </c>
      <c r="C238" s="231" t="str">
        <f>IF($B238="","",Lançamentos!$J215)</f>
        <v/>
      </c>
      <c r="D238" s="231" t="str">
        <f>IF($B238="","",Lançamentos!$H215)</f>
        <v/>
      </c>
      <c r="E238" s="229" t="str">
        <f>IF($B238="","",IF(COUNTIF(Lançamentos!$B$3:$B$1001,$B238)=0,"Bloqueado",IF(COUNTIF('E1 — Solicitação'!$E220:$L220,"⛔ Bloqueado")&gt;0,"Bloqueado",IF(COUNTIF('E1 — Solicitação'!$E220:$L220,"N/A")=8,"Bloqueado",IF(COUNTIF('E1 — Solicitação'!$E220:$L220,"✔ Concluído")+COUNTIF('E1 — Solicitação'!$E220:$L220,"N/A")=8,"Concluído",IF(COUNTIF('E1 — Solicitação'!$E220:$L220,"✔ Concluído")+COUNTIF('E1 — Solicitação'!$E220:$L220,"🔄 Em andamento")&gt;0,"Em andamento","Não iniciado"))))))</f>
        <v/>
      </c>
      <c r="F238" s="229" t="str">
        <f>IF($B238="","",IF($E238&lt;&gt;"Concluído","Não iniciado",IF(COUNTIF(Lançamentos!$B$3:$B$1001,$B238)=0,"Bloqueado",IF('E2 — Triagem'!$D220="","Bloqueado",IF(COUNTIF('E2 — Triagem'!$E220:$L220,"N/A")=8,"Bloqueado",IF(COUNTIF('E2 — Triagem'!$E220:$L220,"⛔ Bloqueado")&gt;0,"Bloqueado",IF(COUNTIF('E2 — Triagem'!$E220:$L220,"✔ Concluído")+COUNTIF('E2 — Triagem'!$E220:$L220,"N/A")=8,"Concluído",IF(COUNTIF('E2 — Triagem'!$E220:$L220,"✔ Concluído")+COUNTIF('E2 — Triagem'!$E220:$L220,"🔄 Em andamento")&gt;0,"Em andamento","Não iniciado"))))))))</f>
        <v/>
      </c>
      <c r="G238" s="229" t="str">
        <f>IF($B238="","",IF($F238&lt;&gt;"Concluído","Não iniciado",IF(COUNTIF(Lançamentos!$B$3:$B$1001,$B238)=0,"Bloqueado",IF('E3 — Levantamento'!$D220="","Bloqueado",IF(COUNTIF('E3 — Levantamento'!$E220:$I220,"⛔ Bloqueado")&gt;0,"Bloqueado",IF('E3 — Levantamento'!$I220="N/A","Bloqueado",IF(COUNTIF('E3 — Levantamento'!$E220:$I220,"✔ Concluído")=5,"Concluído",IF(COUNTIF('E3 — Levantamento'!$E220:$I220,"✔ Concluído")+COUNTIF('E3 — Levantamento'!$E220:$I220,"🔄 Em andamento")&gt;0,"Em andamento","Não iniciado"))))))))</f>
        <v/>
      </c>
      <c r="H238" s="229" t="str">
        <f>IF($B238="","",IF($G238&lt;&gt;"Concluído","Não iniciado",IF(COUNTIF(Lançamentos!$B$3:$B$1001,$B238)=0,"Bloqueado",IF('E4 — Execução'!$D220="","Bloqueado",IF(COUNTIF('E4 — Execução'!$E220:$K220,"⛔ Bloqueado")&gt;0,"Bloqueado",IF(COUNTIF('E4 — Execução'!$E220:$K220,"✔ Concluído")=7,"Concluído",IF(COUNTIF('E4 — Execução'!$E220:$K220,"✔ Concluído")+COUNTIF('E4 — Execução'!$E220:$K220,"🔄 Em andamento")&gt;0,"Em andamento","Não iniciado")))))))</f>
        <v/>
      </c>
      <c r="I238" s="229" t="str">
        <f>IF($B238="","",IF($H238&lt;&gt;"Concluído","Não iniciado",IF(COUNTIF(Lançamentos!$B$3:$B$1001,$B238)=0,"Bloqueado",IF('E5 — Validação'!$D220="","Bloqueado",IF(COUNTIF('E5 — Validação'!$E220:$I220,"⛔ Bloqueado")&gt;0,"Bloqueado",IF('E5 — Validação'!$I220="N/A","Bloqueado",IF(AND('E5 — Validação'!$E220="✔ Concluído",'E5 — Validação'!$F220="✔ Concluído",OR('E5 — Validação'!$G220="✔ Concluído",'E5 — Validação'!$G220="N/A"),'E5 — Validação'!$H220="✔ Concluído",'E5 — Validação'!$I220="✔ Concluído"),"Concluído",IF(COUNTIF('E5 — Validação'!$E220:$I220,"✔ Concluído")+COUNTIF('E5 — Validação'!$E220:$I220,"🔄 Em andamento")&gt;0,"Em andamento","Não iniciado"))))))))</f>
        <v/>
      </c>
      <c r="J238" s="229" t="str">
        <f>IF($B238="","",IF($I238&lt;&gt;"Concluído","Não iniciado",IF('E6 — Ajustes'!$N220="Não","N/A",IF(COUNTIF(Lançamentos!$B$3:$B$1001,$B238)=0,"Bloqueado",IF('E6 — Ajustes'!$D220="","Bloqueado",IF(COUNTIF('E6 — Ajustes'!$E220:$J220,"⛔ Bloqueado")&gt;0,"Bloqueado",IF(AND('E6 — Ajustes'!$E220="✔ Concluído",'E6 — Ajustes'!$F220="✔ Concluído",'E6 — Ajustes'!$G220="✔ Concluído",'E6 — Ajustes'!$H220="✔ Concluído",OR('E6 — Ajustes'!$I220="✔ Concluído",'E6 — Ajustes'!$I220="N/A"),'E6 — Ajustes'!$J220="✔ Concluído"),"Concluído",IF(COUNTIF('E6 — Ajustes'!$E220:$J220,"✔ Concluído")+COUNTIF('E6 — Ajustes'!$E220:$J220,"🔄 Em andamento")&gt;0,"Em andamento","Não iniciado"))))))))</f>
        <v/>
      </c>
      <c r="K238" s="229" t="str">
        <f>IF($B238="","",IF($I238&lt;&gt;"Concluído","Não iniciado",IF(AND($J238&lt;&gt;"Concluído",$J238&lt;&gt;"N/A"),"Não iniciado",IF(COUNTIF(Lançamentos!$B$3:$B$1001,$B238)=0,"Bloqueado",IF('E7 — Entrega'!$D220="","Bloqueado",IF(COUNTIF('E7 — Entrega'!$E220:$H220,"⛔ Bloqueado")&gt;0,"Bloqueado",IF(COUNTIF('E7 — Entrega'!$E220:$H220,"✔ Concluído")=4,"Concluído",IF(COUNTIF('E7 — Entrega'!$E220:$H220,"✔ Concluído")+COUNTIF('E7 — Entrega'!$E220:$H220,"🔄 Em andamento")&gt;0,"Em andamento","Não iniciado"))))))))</f>
        <v/>
      </c>
      <c r="L238" s="229" t="str">
        <f>IF($B238="","",IF($K238&lt;&gt;"Concluído","Não iniciado",IF(OR(COUNTIF('E08 — Estabilização Hypercare'!$E220:$J220,"⛔ Bloqueado")&gt;0,'E08 — Estabilização Hypercare'!$N220="⛔ Incidente Crítico — Encerramento Bloqueado",AND('E08 — Estabilização Hypercare'!$N220="🆕 Evolução Identificada — Nova Demanda Aberta",'E08 — Estabilização Hypercare'!$U220="")),"Bloqueado",IF(AND('E08 — Estabilização Hypercare'!$E220="✔ Concluído",'E08 — Estabilização Hypercare'!$F220="✔ Concluído",'E08 — Estabilização Hypercare'!$G220="✔ Concluído",OR('E08 — Estabilização Hypercare'!$H220="✔ Concluído",'E08 — Estabilização Hypercare'!$H220="N/A"),'E08 — Estabilização Hypercare'!$I220="✔ Concluído",'E08 — Estabilização Hypercare'!$J220="✔ Concluído",OR('E08 — Estabilização Hypercare'!$N220="✅ Estável — Demanda Encerrada",AND('E08 — Estabilização Hypercare'!$N220="🆕 Evolução Identificada — Nova Demanda Aberta",'E08 — Estabilização Hypercare'!$U220&lt;&gt;""))),"Concluído",IF(OR(COUNTIF('E08 — Estabilização Hypercare'!$E220:$J220,"✔ Concluído")&gt;0,COUNTIF('E08 — Estabilização Hypercare'!$E220:$J220,"🔄 Em andamento")&gt;0,'E08 — Estabilização Hypercare'!$N220&lt;&gt;""),"Em andamento","Não iniciado")))))</f>
        <v/>
      </c>
      <c r="M238" s="232" t="str" cm="1">
        <f t="array" ref="M238">IF(B238="","",_xlfn.IFS(E238&lt;&gt;"Concluído","E1 — Solicitação",F238&lt;&gt;"Concluído","E2 — Triagem",G238&lt;&gt;"Concluído","E3 — Levantamento ⚠",H238&lt;&gt;"Concluído","E4 — Execução",I238&lt;&gt;"Concluído","E5 — Validação ⚠",AND(J238&lt;&gt;"Concluído",J238&lt;&gt;"N/A"),"E6 — Ajustes",K238&lt;&gt;"Concluído","E7 — Entrega",L238&lt;&gt;"Concluído","E08 — Estabilização / Hypercare",TRUE,"✔ Fluxo concluído"))</f>
        <v/>
      </c>
      <c r="N238" s="233" t="str">
        <f t="shared" si="4"/>
        <v/>
      </c>
      <c r="O238" s="230"/>
    </row>
    <row r="239" spans="2:15" x14ac:dyDescent="0.35">
      <c r="B239" s="229" t="str">
        <f>IF(Lançamentos!$B216="","",Lançamentos!$B216)</f>
        <v/>
      </c>
      <c r="C239" s="231" t="str">
        <f>IF($B239="","",Lançamentos!$J216)</f>
        <v/>
      </c>
      <c r="D239" s="231" t="str">
        <f>IF($B239="","",Lançamentos!$H216)</f>
        <v/>
      </c>
      <c r="E239" s="229" t="str">
        <f>IF($B239="","",IF(COUNTIF(Lançamentos!$B$3:$B$1001,$B239)=0,"Bloqueado",IF(COUNTIF('E1 — Solicitação'!$E221:$L221,"⛔ Bloqueado")&gt;0,"Bloqueado",IF(COUNTIF('E1 — Solicitação'!$E221:$L221,"N/A")=8,"Bloqueado",IF(COUNTIF('E1 — Solicitação'!$E221:$L221,"✔ Concluído")+COUNTIF('E1 — Solicitação'!$E221:$L221,"N/A")=8,"Concluído",IF(COUNTIF('E1 — Solicitação'!$E221:$L221,"✔ Concluído")+COUNTIF('E1 — Solicitação'!$E221:$L221,"🔄 Em andamento")&gt;0,"Em andamento","Não iniciado"))))))</f>
        <v/>
      </c>
      <c r="F239" s="229" t="str">
        <f>IF($B239="","",IF($E239&lt;&gt;"Concluído","Não iniciado",IF(COUNTIF(Lançamentos!$B$3:$B$1001,$B239)=0,"Bloqueado",IF('E2 — Triagem'!$D221="","Bloqueado",IF(COUNTIF('E2 — Triagem'!$E221:$L221,"N/A")=8,"Bloqueado",IF(COUNTIF('E2 — Triagem'!$E221:$L221,"⛔ Bloqueado")&gt;0,"Bloqueado",IF(COUNTIF('E2 — Triagem'!$E221:$L221,"✔ Concluído")+COUNTIF('E2 — Triagem'!$E221:$L221,"N/A")=8,"Concluído",IF(COUNTIF('E2 — Triagem'!$E221:$L221,"✔ Concluído")+COUNTIF('E2 — Triagem'!$E221:$L221,"🔄 Em andamento")&gt;0,"Em andamento","Não iniciado"))))))))</f>
        <v/>
      </c>
      <c r="G239" s="229" t="str">
        <f>IF($B239="","",IF($F239&lt;&gt;"Concluído","Não iniciado",IF(COUNTIF(Lançamentos!$B$3:$B$1001,$B239)=0,"Bloqueado",IF('E3 — Levantamento'!$D221="","Bloqueado",IF(COUNTIF('E3 — Levantamento'!$E221:$I221,"⛔ Bloqueado")&gt;0,"Bloqueado",IF('E3 — Levantamento'!$I221="N/A","Bloqueado",IF(COUNTIF('E3 — Levantamento'!$E221:$I221,"✔ Concluído")=5,"Concluído",IF(COUNTIF('E3 — Levantamento'!$E221:$I221,"✔ Concluído")+COUNTIF('E3 — Levantamento'!$E221:$I221,"🔄 Em andamento")&gt;0,"Em andamento","Não iniciado"))))))))</f>
        <v/>
      </c>
      <c r="H239" s="229" t="str">
        <f>IF($B239="","",IF($G239&lt;&gt;"Concluído","Não iniciado",IF(COUNTIF(Lançamentos!$B$3:$B$1001,$B239)=0,"Bloqueado",IF('E4 — Execução'!$D221="","Bloqueado",IF(COUNTIF('E4 — Execução'!$E221:$K221,"⛔ Bloqueado")&gt;0,"Bloqueado",IF(COUNTIF('E4 — Execução'!$E221:$K221,"✔ Concluído")=7,"Concluído",IF(COUNTIF('E4 — Execução'!$E221:$K221,"✔ Concluído")+COUNTIF('E4 — Execução'!$E221:$K221,"🔄 Em andamento")&gt;0,"Em andamento","Não iniciado")))))))</f>
        <v/>
      </c>
      <c r="I239" s="229" t="str">
        <f>IF($B239="","",IF($H239&lt;&gt;"Concluído","Não iniciado",IF(COUNTIF(Lançamentos!$B$3:$B$1001,$B239)=0,"Bloqueado",IF('E5 — Validação'!$D221="","Bloqueado",IF(COUNTIF('E5 — Validação'!$E221:$I221,"⛔ Bloqueado")&gt;0,"Bloqueado",IF('E5 — Validação'!$I221="N/A","Bloqueado",IF(AND('E5 — Validação'!$E221="✔ Concluído",'E5 — Validação'!$F221="✔ Concluído",OR('E5 — Validação'!$G221="✔ Concluído",'E5 — Validação'!$G221="N/A"),'E5 — Validação'!$H221="✔ Concluído",'E5 — Validação'!$I221="✔ Concluído"),"Concluído",IF(COUNTIF('E5 — Validação'!$E221:$I221,"✔ Concluído")+COUNTIF('E5 — Validação'!$E221:$I221,"🔄 Em andamento")&gt;0,"Em andamento","Não iniciado"))))))))</f>
        <v/>
      </c>
      <c r="J239" s="229" t="str">
        <f>IF($B239="","",IF($I239&lt;&gt;"Concluído","Não iniciado",IF('E6 — Ajustes'!$N221="Não","N/A",IF(COUNTIF(Lançamentos!$B$3:$B$1001,$B239)=0,"Bloqueado",IF('E6 — Ajustes'!$D221="","Bloqueado",IF(COUNTIF('E6 — Ajustes'!$E221:$J221,"⛔ Bloqueado")&gt;0,"Bloqueado",IF(AND('E6 — Ajustes'!$E221="✔ Concluído",'E6 — Ajustes'!$F221="✔ Concluído",'E6 — Ajustes'!$G221="✔ Concluído",'E6 — Ajustes'!$H221="✔ Concluído",OR('E6 — Ajustes'!$I221="✔ Concluído",'E6 — Ajustes'!$I221="N/A"),'E6 — Ajustes'!$J221="✔ Concluído"),"Concluído",IF(COUNTIF('E6 — Ajustes'!$E221:$J221,"✔ Concluído")+COUNTIF('E6 — Ajustes'!$E221:$J221,"🔄 Em andamento")&gt;0,"Em andamento","Não iniciado"))))))))</f>
        <v/>
      </c>
      <c r="K239" s="229" t="str">
        <f>IF($B239="","",IF($I239&lt;&gt;"Concluído","Não iniciado",IF(AND($J239&lt;&gt;"Concluído",$J239&lt;&gt;"N/A"),"Não iniciado",IF(COUNTIF(Lançamentos!$B$3:$B$1001,$B239)=0,"Bloqueado",IF('E7 — Entrega'!$D221="","Bloqueado",IF(COUNTIF('E7 — Entrega'!$E221:$H221,"⛔ Bloqueado")&gt;0,"Bloqueado",IF(COUNTIF('E7 — Entrega'!$E221:$H221,"✔ Concluído")=4,"Concluído",IF(COUNTIF('E7 — Entrega'!$E221:$H221,"✔ Concluído")+COUNTIF('E7 — Entrega'!$E221:$H221,"🔄 Em andamento")&gt;0,"Em andamento","Não iniciado"))))))))</f>
        <v/>
      </c>
      <c r="L239" s="229" t="str">
        <f>IF($B239="","",IF($K239&lt;&gt;"Concluído","Não iniciado",IF(OR(COUNTIF('E08 — Estabilização Hypercare'!$E221:$J221,"⛔ Bloqueado")&gt;0,'E08 — Estabilização Hypercare'!$N221="⛔ Incidente Crítico — Encerramento Bloqueado",AND('E08 — Estabilização Hypercare'!$N221="🆕 Evolução Identificada — Nova Demanda Aberta",'E08 — Estabilização Hypercare'!$U221="")),"Bloqueado",IF(AND('E08 — Estabilização Hypercare'!$E221="✔ Concluído",'E08 — Estabilização Hypercare'!$F221="✔ Concluído",'E08 — Estabilização Hypercare'!$G221="✔ Concluído",OR('E08 — Estabilização Hypercare'!$H221="✔ Concluído",'E08 — Estabilização Hypercare'!$H221="N/A"),'E08 — Estabilização Hypercare'!$I221="✔ Concluído",'E08 — Estabilização Hypercare'!$J221="✔ Concluído",OR('E08 — Estabilização Hypercare'!$N221="✅ Estável — Demanda Encerrada",AND('E08 — Estabilização Hypercare'!$N221="🆕 Evolução Identificada — Nova Demanda Aberta",'E08 — Estabilização Hypercare'!$U221&lt;&gt;""))),"Concluído",IF(OR(COUNTIF('E08 — Estabilização Hypercare'!$E221:$J221,"✔ Concluído")&gt;0,COUNTIF('E08 — Estabilização Hypercare'!$E221:$J221,"🔄 Em andamento")&gt;0,'E08 — Estabilização Hypercare'!$N221&lt;&gt;""),"Em andamento","Não iniciado")))))</f>
        <v/>
      </c>
      <c r="M239" s="232" t="str" cm="1">
        <f t="array" ref="M239">IF(B239="","",_xlfn.IFS(E239&lt;&gt;"Concluído","E1 — Solicitação",F239&lt;&gt;"Concluído","E2 — Triagem",G239&lt;&gt;"Concluído","E3 — Levantamento ⚠",H239&lt;&gt;"Concluído","E4 — Execução",I239&lt;&gt;"Concluído","E5 — Validação ⚠",AND(J239&lt;&gt;"Concluído",J239&lt;&gt;"N/A"),"E6 — Ajustes",K239&lt;&gt;"Concluído","E7 — Entrega",L239&lt;&gt;"Concluído","E08 — Estabilização / Hypercare",TRUE,"✔ Fluxo concluído"))</f>
        <v/>
      </c>
      <c r="N239" s="233" t="str">
        <f t="shared" si="4"/>
        <v/>
      </c>
      <c r="O239" s="230"/>
    </row>
    <row r="240" spans="2:15" x14ac:dyDescent="0.35">
      <c r="B240" s="229" t="str">
        <f>IF(Lançamentos!$B217="","",Lançamentos!$B217)</f>
        <v/>
      </c>
      <c r="C240" s="231" t="str">
        <f>IF($B240="","",Lançamentos!$J217)</f>
        <v/>
      </c>
      <c r="D240" s="231" t="str">
        <f>IF($B240="","",Lançamentos!$H217)</f>
        <v/>
      </c>
      <c r="E240" s="229" t="str">
        <f>IF($B240="","",IF(COUNTIF(Lançamentos!$B$3:$B$1001,$B240)=0,"Bloqueado",IF(COUNTIF('E1 — Solicitação'!$E222:$L222,"⛔ Bloqueado")&gt;0,"Bloqueado",IF(COUNTIF('E1 — Solicitação'!$E222:$L222,"N/A")=8,"Bloqueado",IF(COUNTIF('E1 — Solicitação'!$E222:$L222,"✔ Concluído")+COUNTIF('E1 — Solicitação'!$E222:$L222,"N/A")=8,"Concluído",IF(COUNTIF('E1 — Solicitação'!$E222:$L222,"✔ Concluído")+COUNTIF('E1 — Solicitação'!$E222:$L222,"🔄 Em andamento")&gt;0,"Em andamento","Não iniciado"))))))</f>
        <v/>
      </c>
      <c r="F240" s="229" t="str">
        <f>IF($B240="","",IF($E240&lt;&gt;"Concluído","Não iniciado",IF(COUNTIF(Lançamentos!$B$3:$B$1001,$B240)=0,"Bloqueado",IF('E2 — Triagem'!$D222="","Bloqueado",IF(COUNTIF('E2 — Triagem'!$E222:$L222,"N/A")=8,"Bloqueado",IF(COUNTIF('E2 — Triagem'!$E222:$L222,"⛔ Bloqueado")&gt;0,"Bloqueado",IF(COUNTIF('E2 — Triagem'!$E222:$L222,"✔ Concluído")+COUNTIF('E2 — Triagem'!$E222:$L222,"N/A")=8,"Concluído",IF(COUNTIF('E2 — Triagem'!$E222:$L222,"✔ Concluído")+COUNTIF('E2 — Triagem'!$E222:$L222,"🔄 Em andamento")&gt;0,"Em andamento","Não iniciado"))))))))</f>
        <v/>
      </c>
      <c r="G240" s="229" t="str">
        <f>IF($B240="","",IF($F240&lt;&gt;"Concluído","Não iniciado",IF(COUNTIF(Lançamentos!$B$3:$B$1001,$B240)=0,"Bloqueado",IF('E3 — Levantamento'!$D222="","Bloqueado",IF(COUNTIF('E3 — Levantamento'!$E222:$I222,"⛔ Bloqueado")&gt;0,"Bloqueado",IF('E3 — Levantamento'!$I222="N/A","Bloqueado",IF(COUNTIF('E3 — Levantamento'!$E222:$I222,"✔ Concluído")=5,"Concluído",IF(COUNTIF('E3 — Levantamento'!$E222:$I222,"✔ Concluído")+COUNTIF('E3 — Levantamento'!$E222:$I222,"🔄 Em andamento")&gt;0,"Em andamento","Não iniciado"))))))))</f>
        <v/>
      </c>
      <c r="H240" s="229" t="str">
        <f>IF($B240="","",IF($G240&lt;&gt;"Concluído","Não iniciado",IF(COUNTIF(Lançamentos!$B$3:$B$1001,$B240)=0,"Bloqueado",IF('E4 — Execução'!$D222="","Bloqueado",IF(COUNTIF('E4 — Execução'!$E222:$K222,"⛔ Bloqueado")&gt;0,"Bloqueado",IF(COUNTIF('E4 — Execução'!$E222:$K222,"✔ Concluído")=7,"Concluído",IF(COUNTIF('E4 — Execução'!$E222:$K222,"✔ Concluído")+COUNTIF('E4 — Execução'!$E222:$K222,"🔄 Em andamento")&gt;0,"Em andamento","Não iniciado")))))))</f>
        <v/>
      </c>
      <c r="I240" s="229" t="str">
        <f>IF($B240="","",IF($H240&lt;&gt;"Concluído","Não iniciado",IF(COUNTIF(Lançamentos!$B$3:$B$1001,$B240)=0,"Bloqueado",IF('E5 — Validação'!$D222="","Bloqueado",IF(COUNTIF('E5 — Validação'!$E222:$I222,"⛔ Bloqueado")&gt;0,"Bloqueado",IF('E5 — Validação'!$I222="N/A","Bloqueado",IF(AND('E5 — Validação'!$E222="✔ Concluído",'E5 — Validação'!$F222="✔ Concluído",OR('E5 — Validação'!$G222="✔ Concluído",'E5 — Validação'!$G222="N/A"),'E5 — Validação'!$H222="✔ Concluído",'E5 — Validação'!$I222="✔ Concluído"),"Concluído",IF(COUNTIF('E5 — Validação'!$E222:$I222,"✔ Concluído")+COUNTIF('E5 — Validação'!$E222:$I222,"🔄 Em andamento")&gt;0,"Em andamento","Não iniciado"))))))))</f>
        <v/>
      </c>
      <c r="J240" s="229" t="str">
        <f>IF($B240="","",IF($I240&lt;&gt;"Concluído","Não iniciado",IF('E6 — Ajustes'!$N222="Não","N/A",IF(COUNTIF(Lançamentos!$B$3:$B$1001,$B240)=0,"Bloqueado",IF('E6 — Ajustes'!$D222="","Bloqueado",IF(COUNTIF('E6 — Ajustes'!$E222:$J222,"⛔ Bloqueado")&gt;0,"Bloqueado",IF(AND('E6 — Ajustes'!$E222="✔ Concluído",'E6 — Ajustes'!$F222="✔ Concluído",'E6 — Ajustes'!$G222="✔ Concluído",'E6 — Ajustes'!$H222="✔ Concluído",OR('E6 — Ajustes'!$I222="✔ Concluído",'E6 — Ajustes'!$I222="N/A"),'E6 — Ajustes'!$J222="✔ Concluído"),"Concluído",IF(COUNTIF('E6 — Ajustes'!$E222:$J222,"✔ Concluído")+COUNTIF('E6 — Ajustes'!$E222:$J222,"🔄 Em andamento")&gt;0,"Em andamento","Não iniciado"))))))))</f>
        <v/>
      </c>
      <c r="K240" s="229" t="str">
        <f>IF($B240="","",IF($I240&lt;&gt;"Concluído","Não iniciado",IF(AND($J240&lt;&gt;"Concluído",$J240&lt;&gt;"N/A"),"Não iniciado",IF(COUNTIF(Lançamentos!$B$3:$B$1001,$B240)=0,"Bloqueado",IF('E7 — Entrega'!$D222="","Bloqueado",IF(COUNTIF('E7 — Entrega'!$E222:$H222,"⛔ Bloqueado")&gt;0,"Bloqueado",IF(COUNTIF('E7 — Entrega'!$E222:$H222,"✔ Concluído")=4,"Concluído",IF(COUNTIF('E7 — Entrega'!$E222:$H222,"✔ Concluído")+COUNTIF('E7 — Entrega'!$E222:$H222,"🔄 Em andamento")&gt;0,"Em andamento","Não iniciado"))))))))</f>
        <v/>
      </c>
      <c r="L240" s="229" t="str">
        <f>IF($B240="","",IF($K240&lt;&gt;"Concluído","Não iniciado",IF(OR(COUNTIF('E08 — Estabilização Hypercare'!$E222:$J222,"⛔ Bloqueado")&gt;0,'E08 — Estabilização Hypercare'!$N222="⛔ Incidente Crítico — Encerramento Bloqueado",AND('E08 — Estabilização Hypercare'!$N222="🆕 Evolução Identificada — Nova Demanda Aberta",'E08 — Estabilização Hypercare'!$U222="")),"Bloqueado",IF(AND('E08 — Estabilização Hypercare'!$E222="✔ Concluído",'E08 — Estabilização Hypercare'!$F222="✔ Concluído",'E08 — Estabilização Hypercare'!$G222="✔ Concluído",OR('E08 — Estabilização Hypercare'!$H222="✔ Concluído",'E08 — Estabilização Hypercare'!$H222="N/A"),'E08 — Estabilização Hypercare'!$I222="✔ Concluído",'E08 — Estabilização Hypercare'!$J222="✔ Concluído",OR('E08 — Estabilização Hypercare'!$N222="✅ Estável — Demanda Encerrada",AND('E08 — Estabilização Hypercare'!$N222="🆕 Evolução Identificada — Nova Demanda Aberta",'E08 — Estabilização Hypercare'!$U222&lt;&gt;""))),"Concluído",IF(OR(COUNTIF('E08 — Estabilização Hypercare'!$E222:$J222,"✔ Concluído")&gt;0,COUNTIF('E08 — Estabilização Hypercare'!$E222:$J222,"🔄 Em andamento")&gt;0,'E08 — Estabilização Hypercare'!$N222&lt;&gt;""),"Em andamento","Não iniciado")))))</f>
        <v/>
      </c>
      <c r="M240" s="232" t="str" cm="1">
        <f t="array" ref="M240">IF(B240="","",_xlfn.IFS(E240&lt;&gt;"Concluído","E1 — Solicitação",F240&lt;&gt;"Concluído","E2 — Triagem",G240&lt;&gt;"Concluído","E3 — Levantamento ⚠",H240&lt;&gt;"Concluído","E4 — Execução",I240&lt;&gt;"Concluído","E5 — Validação ⚠",AND(J240&lt;&gt;"Concluído",J240&lt;&gt;"N/A"),"E6 — Ajustes",K240&lt;&gt;"Concluído","E7 — Entrega",L240&lt;&gt;"Concluído","E08 — Estabilização / Hypercare",TRUE,"✔ Fluxo concluído"))</f>
        <v/>
      </c>
      <c r="N240" s="233" t="str">
        <f t="shared" si="4"/>
        <v/>
      </c>
      <c r="O240" s="230"/>
    </row>
    <row r="241" spans="2:15" x14ac:dyDescent="0.35">
      <c r="B241" s="229" t="str">
        <f>IF(Lançamentos!$B218="","",Lançamentos!$B218)</f>
        <v/>
      </c>
      <c r="C241" s="231" t="str">
        <f>IF($B241="","",Lançamentos!$J218)</f>
        <v/>
      </c>
      <c r="D241" s="231" t="str">
        <f>IF($B241="","",Lançamentos!$H218)</f>
        <v/>
      </c>
      <c r="E241" s="229" t="str">
        <f>IF($B241="","",IF(COUNTIF(Lançamentos!$B$3:$B$1001,$B241)=0,"Bloqueado",IF(COUNTIF('E1 — Solicitação'!$E223:$L223,"⛔ Bloqueado")&gt;0,"Bloqueado",IF(COUNTIF('E1 — Solicitação'!$E223:$L223,"N/A")=8,"Bloqueado",IF(COUNTIF('E1 — Solicitação'!$E223:$L223,"✔ Concluído")+COUNTIF('E1 — Solicitação'!$E223:$L223,"N/A")=8,"Concluído",IF(COUNTIF('E1 — Solicitação'!$E223:$L223,"✔ Concluído")+COUNTIF('E1 — Solicitação'!$E223:$L223,"🔄 Em andamento")&gt;0,"Em andamento","Não iniciado"))))))</f>
        <v/>
      </c>
      <c r="F241" s="229" t="str">
        <f>IF($B241="","",IF($E241&lt;&gt;"Concluído","Não iniciado",IF(COUNTIF(Lançamentos!$B$3:$B$1001,$B241)=0,"Bloqueado",IF('E2 — Triagem'!$D223="","Bloqueado",IF(COUNTIF('E2 — Triagem'!$E223:$L223,"N/A")=8,"Bloqueado",IF(COUNTIF('E2 — Triagem'!$E223:$L223,"⛔ Bloqueado")&gt;0,"Bloqueado",IF(COUNTIF('E2 — Triagem'!$E223:$L223,"✔ Concluído")+COUNTIF('E2 — Triagem'!$E223:$L223,"N/A")=8,"Concluído",IF(COUNTIF('E2 — Triagem'!$E223:$L223,"✔ Concluído")+COUNTIF('E2 — Triagem'!$E223:$L223,"🔄 Em andamento")&gt;0,"Em andamento","Não iniciado"))))))))</f>
        <v/>
      </c>
      <c r="G241" s="229" t="str">
        <f>IF($B241="","",IF($F241&lt;&gt;"Concluído","Não iniciado",IF(COUNTIF(Lançamentos!$B$3:$B$1001,$B241)=0,"Bloqueado",IF('E3 — Levantamento'!$D223="","Bloqueado",IF(COUNTIF('E3 — Levantamento'!$E223:$I223,"⛔ Bloqueado")&gt;0,"Bloqueado",IF('E3 — Levantamento'!$I223="N/A","Bloqueado",IF(COUNTIF('E3 — Levantamento'!$E223:$I223,"✔ Concluído")=5,"Concluído",IF(COUNTIF('E3 — Levantamento'!$E223:$I223,"✔ Concluído")+COUNTIF('E3 — Levantamento'!$E223:$I223,"🔄 Em andamento")&gt;0,"Em andamento","Não iniciado"))))))))</f>
        <v/>
      </c>
      <c r="H241" s="229" t="str">
        <f>IF($B241="","",IF($G241&lt;&gt;"Concluído","Não iniciado",IF(COUNTIF(Lançamentos!$B$3:$B$1001,$B241)=0,"Bloqueado",IF('E4 — Execução'!$D223="","Bloqueado",IF(COUNTIF('E4 — Execução'!$E223:$K223,"⛔ Bloqueado")&gt;0,"Bloqueado",IF(COUNTIF('E4 — Execução'!$E223:$K223,"✔ Concluído")=7,"Concluído",IF(COUNTIF('E4 — Execução'!$E223:$K223,"✔ Concluído")+COUNTIF('E4 — Execução'!$E223:$K223,"🔄 Em andamento")&gt;0,"Em andamento","Não iniciado")))))))</f>
        <v/>
      </c>
      <c r="I241" s="229" t="str">
        <f>IF($B241="","",IF($H241&lt;&gt;"Concluído","Não iniciado",IF(COUNTIF(Lançamentos!$B$3:$B$1001,$B241)=0,"Bloqueado",IF('E5 — Validação'!$D223="","Bloqueado",IF(COUNTIF('E5 — Validação'!$E223:$I223,"⛔ Bloqueado")&gt;0,"Bloqueado",IF('E5 — Validação'!$I223="N/A","Bloqueado",IF(AND('E5 — Validação'!$E223="✔ Concluído",'E5 — Validação'!$F223="✔ Concluído",OR('E5 — Validação'!$G223="✔ Concluído",'E5 — Validação'!$G223="N/A"),'E5 — Validação'!$H223="✔ Concluído",'E5 — Validação'!$I223="✔ Concluído"),"Concluído",IF(COUNTIF('E5 — Validação'!$E223:$I223,"✔ Concluído")+COUNTIF('E5 — Validação'!$E223:$I223,"🔄 Em andamento")&gt;0,"Em andamento","Não iniciado"))))))))</f>
        <v/>
      </c>
      <c r="J241" s="229" t="str">
        <f>IF($B241="","",IF($I241&lt;&gt;"Concluído","Não iniciado",IF('E6 — Ajustes'!$N223="Não","N/A",IF(COUNTIF(Lançamentos!$B$3:$B$1001,$B241)=0,"Bloqueado",IF('E6 — Ajustes'!$D223="","Bloqueado",IF(COUNTIF('E6 — Ajustes'!$E223:$J223,"⛔ Bloqueado")&gt;0,"Bloqueado",IF(AND('E6 — Ajustes'!$E223="✔ Concluído",'E6 — Ajustes'!$F223="✔ Concluído",'E6 — Ajustes'!$G223="✔ Concluído",'E6 — Ajustes'!$H223="✔ Concluído",OR('E6 — Ajustes'!$I223="✔ Concluído",'E6 — Ajustes'!$I223="N/A"),'E6 — Ajustes'!$J223="✔ Concluído"),"Concluído",IF(COUNTIF('E6 — Ajustes'!$E223:$J223,"✔ Concluído")+COUNTIF('E6 — Ajustes'!$E223:$J223,"🔄 Em andamento")&gt;0,"Em andamento","Não iniciado"))))))))</f>
        <v/>
      </c>
      <c r="K241" s="229" t="str">
        <f>IF($B241="","",IF($I241&lt;&gt;"Concluído","Não iniciado",IF(AND($J241&lt;&gt;"Concluído",$J241&lt;&gt;"N/A"),"Não iniciado",IF(COUNTIF(Lançamentos!$B$3:$B$1001,$B241)=0,"Bloqueado",IF('E7 — Entrega'!$D223="","Bloqueado",IF(COUNTIF('E7 — Entrega'!$E223:$H223,"⛔ Bloqueado")&gt;0,"Bloqueado",IF(COUNTIF('E7 — Entrega'!$E223:$H223,"✔ Concluído")=4,"Concluído",IF(COUNTIF('E7 — Entrega'!$E223:$H223,"✔ Concluído")+COUNTIF('E7 — Entrega'!$E223:$H223,"🔄 Em andamento")&gt;0,"Em andamento","Não iniciado"))))))))</f>
        <v/>
      </c>
      <c r="L241" s="229" t="str">
        <f>IF($B241="","",IF($K241&lt;&gt;"Concluído","Não iniciado",IF(OR(COUNTIF('E08 — Estabilização Hypercare'!$E223:$J223,"⛔ Bloqueado")&gt;0,'E08 — Estabilização Hypercare'!$N223="⛔ Incidente Crítico — Encerramento Bloqueado",AND('E08 — Estabilização Hypercare'!$N223="🆕 Evolução Identificada — Nova Demanda Aberta",'E08 — Estabilização Hypercare'!$U223="")),"Bloqueado",IF(AND('E08 — Estabilização Hypercare'!$E223="✔ Concluído",'E08 — Estabilização Hypercare'!$F223="✔ Concluído",'E08 — Estabilização Hypercare'!$G223="✔ Concluído",OR('E08 — Estabilização Hypercare'!$H223="✔ Concluído",'E08 — Estabilização Hypercare'!$H223="N/A"),'E08 — Estabilização Hypercare'!$I223="✔ Concluído",'E08 — Estabilização Hypercare'!$J223="✔ Concluído",OR('E08 — Estabilização Hypercare'!$N223="✅ Estável — Demanda Encerrada",AND('E08 — Estabilização Hypercare'!$N223="🆕 Evolução Identificada — Nova Demanda Aberta",'E08 — Estabilização Hypercare'!$U223&lt;&gt;""))),"Concluído",IF(OR(COUNTIF('E08 — Estabilização Hypercare'!$E223:$J223,"✔ Concluído")&gt;0,COUNTIF('E08 — Estabilização Hypercare'!$E223:$J223,"🔄 Em andamento")&gt;0,'E08 — Estabilização Hypercare'!$N223&lt;&gt;""),"Em andamento","Não iniciado")))))</f>
        <v/>
      </c>
      <c r="M241" s="232" t="str" cm="1">
        <f t="array" ref="M241">IF(B241="","",_xlfn.IFS(E241&lt;&gt;"Concluído","E1 — Solicitação",F241&lt;&gt;"Concluído","E2 — Triagem",G241&lt;&gt;"Concluído","E3 — Levantamento ⚠",H241&lt;&gt;"Concluído","E4 — Execução",I241&lt;&gt;"Concluído","E5 — Validação ⚠",AND(J241&lt;&gt;"Concluído",J241&lt;&gt;"N/A"),"E6 — Ajustes",K241&lt;&gt;"Concluído","E7 — Entrega",L241&lt;&gt;"Concluído","E08 — Estabilização / Hypercare",TRUE,"✔ Fluxo concluído"))</f>
        <v/>
      </c>
      <c r="N241" s="233" t="str">
        <f t="shared" si="4"/>
        <v/>
      </c>
      <c r="O241" s="230"/>
    </row>
    <row r="242" spans="2:15" x14ac:dyDescent="0.35">
      <c r="B242" s="229" t="str">
        <f>IF(Lançamentos!$B219="","",Lançamentos!$B219)</f>
        <v/>
      </c>
      <c r="C242" s="231" t="str">
        <f>IF($B242="","",Lançamentos!$J219)</f>
        <v/>
      </c>
      <c r="D242" s="231" t="str">
        <f>IF($B242="","",Lançamentos!$H219)</f>
        <v/>
      </c>
      <c r="E242" s="229" t="str">
        <f>IF($B242="","",IF(COUNTIF(Lançamentos!$B$3:$B$1001,$B242)=0,"Bloqueado",IF(COUNTIF('E1 — Solicitação'!$E224:$L224,"⛔ Bloqueado")&gt;0,"Bloqueado",IF(COUNTIF('E1 — Solicitação'!$E224:$L224,"N/A")=8,"Bloqueado",IF(COUNTIF('E1 — Solicitação'!$E224:$L224,"✔ Concluído")+COUNTIF('E1 — Solicitação'!$E224:$L224,"N/A")=8,"Concluído",IF(COUNTIF('E1 — Solicitação'!$E224:$L224,"✔ Concluído")+COUNTIF('E1 — Solicitação'!$E224:$L224,"🔄 Em andamento")&gt;0,"Em andamento","Não iniciado"))))))</f>
        <v/>
      </c>
      <c r="F242" s="229" t="str">
        <f>IF($B242="","",IF($E242&lt;&gt;"Concluído","Não iniciado",IF(COUNTIF(Lançamentos!$B$3:$B$1001,$B242)=0,"Bloqueado",IF('E2 — Triagem'!$D224="","Bloqueado",IF(COUNTIF('E2 — Triagem'!$E224:$L224,"N/A")=8,"Bloqueado",IF(COUNTIF('E2 — Triagem'!$E224:$L224,"⛔ Bloqueado")&gt;0,"Bloqueado",IF(COUNTIF('E2 — Triagem'!$E224:$L224,"✔ Concluído")+COUNTIF('E2 — Triagem'!$E224:$L224,"N/A")=8,"Concluído",IF(COUNTIF('E2 — Triagem'!$E224:$L224,"✔ Concluído")+COUNTIF('E2 — Triagem'!$E224:$L224,"🔄 Em andamento")&gt;0,"Em andamento","Não iniciado"))))))))</f>
        <v/>
      </c>
      <c r="G242" s="229" t="str">
        <f>IF($B242="","",IF($F242&lt;&gt;"Concluído","Não iniciado",IF(COUNTIF(Lançamentos!$B$3:$B$1001,$B242)=0,"Bloqueado",IF('E3 — Levantamento'!$D224="","Bloqueado",IF(COUNTIF('E3 — Levantamento'!$E224:$I224,"⛔ Bloqueado")&gt;0,"Bloqueado",IF('E3 — Levantamento'!$I224="N/A","Bloqueado",IF(COUNTIF('E3 — Levantamento'!$E224:$I224,"✔ Concluído")=5,"Concluído",IF(COUNTIF('E3 — Levantamento'!$E224:$I224,"✔ Concluído")+COUNTIF('E3 — Levantamento'!$E224:$I224,"🔄 Em andamento")&gt;0,"Em andamento","Não iniciado"))))))))</f>
        <v/>
      </c>
      <c r="H242" s="229" t="str">
        <f>IF($B242="","",IF($G242&lt;&gt;"Concluído","Não iniciado",IF(COUNTIF(Lançamentos!$B$3:$B$1001,$B242)=0,"Bloqueado",IF('E4 — Execução'!$D224="","Bloqueado",IF(COUNTIF('E4 — Execução'!$E224:$K224,"⛔ Bloqueado")&gt;0,"Bloqueado",IF(COUNTIF('E4 — Execução'!$E224:$K224,"✔ Concluído")=7,"Concluído",IF(COUNTIF('E4 — Execução'!$E224:$K224,"✔ Concluído")+COUNTIF('E4 — Execução'!$E224:$K224,"🔄 Em andamento")&gt;0,"Em andamento","Não iniciado")))))))</f>
        <v/>
      </c>
      <c r="I242" s="229" t="str">
        <f>IF($B242="","",IF($H242&lt;&gt;"Concluído","Não iniciado",IF(COUNTIF(Lançamentos!$B$3:$B$1001,$B242)=0,"Bloqueado",IF('E5 — Validação'!$D224="","Bloqueado",IF(COUNTIF('E5 — Validação'!$E224:$I224,"⛔ Bloqueado")&gt;0,"Bloqueado",IF('E5 — Validação'!$I224="N/A","Bloqueado",IF(AND('E5 — Validação'!$E224="✔ Concluído",'E5 — Validação'!$F224="✔ Concluído",OR('E5 — Validação'!$G224="✔ Concluído",'E5 — Validação'!$G224="N/A"),'E5 — Validação'!$H224="✔ Concluído",'E5 — Validação'!$I224="✔ Concluído"),"Concluído",IF(COUNTIF('E5 — Validação'!$E224:$I224,"✔ Concluído")+COUNTIF('E5 — Validação'!$E224:$I224,"🔄 Em andamento")&gt;0,"Em andamento","Não iniciado"))))))))</f>
        <v/>
      </c>
      <c r="J242" s="229" t="str">
        <f>IF($B242="","",IF($I242&lt;&gt;"Concluído","Não iniciado",IF('E6 — Ajustes'!$N224="Não","N/A",IF(COUNTIF(Lançamentos!$B$3:$B$1001,$B242)=0,"Bloqueado",IF('E6 — Ajustes'!$D224="","Bloqueado",IF(COUNTIF('E6 — Ajustes'!$E224:$J224,"⛔ Bloqueado")&gt;0,"Bloqueado",IF(AND('E6 — Ajustes'!$E224="✔ Concluído",'E6 — Ajustes'!$F224="✔ Concluído",'E6 — Ajustes'!$G224="✔ Concluído",'E6 — Ajustes'!$H224="✔ Concluído",OR('E6 — Ajustes'!$I224="✔ Concluído",'E6 — Ajustes'!$I224="N/A"),'E6 — Ajustes'!$J224="✔ Concluído"),"Concluído",IF(COUNTIF('E6 — Ajustes'!$E224:$J224,"✔ Concluído")+COUNTIF('E6 — Ajustes'!$E224:$J224,"🔄 Em andamento")&gt;0,"Em andamento","Não iniciado"))))))))</f>
        <v/>
      </c>
      <c r="K242" s="229" t="str">
        <f>IF($B242="","",IF($I242&lt;&gt;"Concluído","Não iniciado",IF(AND($J242&lt;&gt;"Concluído",$J242&lt;&gt;"N/A"),"Não iniciado",IF(COUNTIF(Lançamentos!$B$3:$B$1001,$B242)=0,"Bloqueado",IF('E7 — Entrega'!$D224="","Bloqueado",IF(COUNTIF('E7 — Entrega'!$E224:$H224,"⛔ Bloqueado")&gt;0,"Bloqueado",IF(COUNTIF('E7 — Entrega'!$E224:$H224,"✔ Concluído")=4,"Concluído",IF(COUNTIF('E7 — Entrega'!$E224:$H224,"✔ Concluído")+COUNTIF('E7 — Entrega'!$E224:$H224,"🔄 Em andamento")&gt;0,"Em andamento","Não iniciado"))))))))</f>
        <v/>
      </c>
      <c r="L242" s="229" t="str">
        <f>IF($B242="","",IF($K242&lt;&gt;"Concluído","Não iniciado",IF(OR(COUNTIF('E08 — Estabilização Hypercare'!$E224:$J224,"⛔ Bloqueado")&gt;0,'E08 — Estabilização Hypercare'!$N224="⛔ Incidente Crítico — Encerramento Bloqueado",AND('E08 — Estabilização Hypercare'!$N224="🆕 Evolução Identificada — Nova Demanda Aberta",'E08 — Estabilização Hypercare'!$U224="")),"Bloqueado",IF(AND('E08 — Estabilização Hypercare'!$E224="✔ Concluído",'E08 — Estabilização Hypercare'!$F224="✔ Concluído",'E08 — Estabilização Hypercare'!$G224="✔ Concluído",OR('E08 — Estabilização Hypercare'!$H224="✔ Concluído",'E08 — Estabilização Hypercare'!$H224="N/A"),'E08 — Estabilização Hypercare'!$I224="✔ Concluído",'E08 — Estabilização Hypercare'!$J224="✔ Concluído",OR('E08 — Estabilização Hypercare'!$N224="✅ Estável — Demanda Encerrada",AND('E08 — Estabilização Hypercare'!$N224="🆕 Evolução Identificada — Nova Demanda Aberta",'E08 — Estabilização Hypercare'!$U224&lt;&gt;""))),"Concluído",IF(OR(COUNTIF('E08 — Estabilização Hypercare'!$E224:$J224,"✔ Concluído")&gt;0,COUNTIF('E08 — Estabilização Hypercare'!$E224:$J224,"🔄 Em andamento")&gt;0,'E08 — Estabilização Hypercare'!$N224&lt;&gt;""),"Em andamento","Não iniciado")))))</f>
        <v/>
      </c>
      <c r="M242" s="232" t="str" cm="1">
        <f t="array" ref="M242">IF(B242="","",_xlfn.IFS(E242&lt;&gt;"Concluído","E1 — Solicitação",F242&lt;&gt;"Concluído","E2 — Triagem",G242&lt;&gt;"Concluído","E3 — Levantamento ⚠",H242&lt;&gt;"Concluído","E4 — Execução",I242&lt;&gt;"Concluído","E5 — Validação ⚠",AND(J242&lt;&gt;"Concluído",J242&lt;&gt;"N/A"),"E6 — Ajustes",K242&lt;&gt;"Concluído","E7 — Entrega",L242&lt;&gt;"Concluído","E08 — Estabilização / Hypercare",TRUE,"✔ Fluxo concluído"))</f>
        <v/>
      </c>
      <c r="N242" s="233" t="str">
        <f t="shared" si="4"/>
        <v/>
      </c>
      <c r="O242" s="230"/>
    </row>
    <row r="243" spans="2:15" x14ac:dyDescent="0.35">
      <c r="B243" s="229" t="str">
        <f>IF(Lançamentos!$B220="","",Lançamentos!$B220)</f>
        <v/>
      </c>
      <c r="C243" s="231" t="str">
        <f>IF($B243="","",Lançamentos!$J220)</f>
        <v/>
      </c>
      <c r="D243" s="231" t="str">
        <f>IF($B243="","",Lançamentos!$H220)</f>
        <v/>
      </c>
      <c r="E243" s="229" t="str">
        <f>IF($B243="","",IF(COUNTIF(Lançamentos!$B$3:$B$1001,$B243)=0,"Bloqueado",IF(COUNTIF('E1 — Solicitação'!$E225:$L225,"⛔ Bloqueado")&gt;0,"Bloqueado",IF(COUNTIF('E1 — Solicitação'!$E225:$L225,"N/A")=8,"Bloqueado",IF(COUNTIF('E1 — Solicitação'!$E225:$L225,"✔ Concluído")+COUNTIF('E1 — Solicitação'!$E225:$L225,"N/A")=8,"Concluído",IF(COUNTIF('E1 — Solicitação'!$E225:$L225,"✔ Concluído")+COUNTIF('E1 — Solicitação'!$E225:$L225,"🔄 Em andamento")&gt;0,"Em andamento","Não iniciado"))))))</f>
        <v/>
      </c>
      <c r="F243" s="229" t="str">
        <f>IF($B243="","",IF($E243&lt;&gt;"Concluído","Não iniciado",IF(COUNTIF(Lançamentos!$B$3:$B$1001,$B243)=0,"Bloqueado",IF('E2 — Triagem'!$D225="","Bloqueado",IF(COUNTIF('E2 — Triagem'!$E225:$L225,"N/A")=8,"Bloqueado",IF(COUNTIF('E2 — Triagem'!$E225:$L225,"⛔ Bloqueado")&gt;0,"Bloqueado",IF(COUNTIF('E2 — Triagem'!$E225:$L225,"✔ Concluído")+COUNTIF('E2 — Triagem'!$E225:$L225,"N/A")=8,"Concluído",IF(COUNTIF('E2 — Triagem'!$E225:$L225,"✔ Concluído")+COUNTIF('E2 — Triagem'!$E225:$L225,"🔄 Em andamento")&gt;0,"Em andamento","Não iniciado"))))))))</f>
        <v/>
      </c>
      <c r="G243" s="229" t="str">
        <f>IF($B243="","",IF($F243&lt;&gt;"Concluído","Não iniciado",IF(COUNTIF(Lançamentos!$B$3:$B$1001,$B243)=0,"Bloqueado",IF('E3 — Levantamento'!$D225="","Bloqueado",IF(COUNTIF('E3 — Levantamento'!$E225:$I225,"⛔ Bloqueado")&gt;0,"Bloqueado",IF('E3 — Levantamento'!$I225="N/A","Bloqueado",IF(COUNTIF('E3 — Levantamento'!$E225:$I225,"✔ Concluído")=5,"Concluído",IF(COUNTIF('E3 — Levantamento'!$E225:$I225,"✔ Concluído")+COUNTIF('E3 — Levantamento'!$E225:$I225,"🔄 Em andamento")&gt;0,"Em andamento","Não iniciado"))))))))</f>
        <v/>
      </c>
      <c r="H243" s="229" t="str">
        <f>IF($B243="","",IF($G243&lt;&gt;"Concluído","Não iniciado",IF(COUNTIF(Lançamentos!$B$3:$B$1001,$B243)=0,"Bloqueado",IF('E4 — Execução'!$D225="","Bloqueado",IF(COUNTIF('E4 — Execução'!$E225:$K225,"⛔ Bloqueado")&gt;0,"Bloqueado",IF(COUNTIF('E4 — Execução'!$E225:$K225,"✔ Concluído")=7,"Concluído",IF(COUNTIF('E4 — Execução'!$E225:$K225,"✔ Concluído")+COUNTIF('E4 — Execução'!$E225:$K225,"🔄 Em andamento")&gt;0,"Em andamento","Não iniciado")))))))</f>
        <v/>
      </c>
      <c r="I243" s="229" t="str">
        <f>IF($B243="","",IF($H243&lt;&gt;"Concluído","Não iniciado",IF(COUNTIF(Lançamentos!$B$3:$B$1001,$B243)=0,"Bloqueado",IF('E5 — Validação'!$D225="","Bloqueado",IF(COUNTIF('E5 — Validação'!$E225:$I225,"⛔ Bloqueado")&gt;0,"Bloqueado",IF('E5 — Validação'!$I225="N/A","Bloqueado",IF(AND('E5 — Validação'!$E225="✔ Concluído",'E5 — Validação'!$F225="✔ Concluído",OR('E5 — Validação'!$G225="✔ Concluído",'E5 — Validação'!$G225="N/A"),'E5 — Validação'!$H225="✔ Concluído",'E5 — Validação'!$I225="✔ Concluído"),"Concluído",IF(COUNTIF('E5 — Validação'!$E225:$I225,"✔ Concluído")+COUNTIF('E5 — Validação'!$E225:$I225,"🔄 Em andamento")&gt;0,"Em andamento","Não iniciado"))))))))</f>
        <v/>
      </c>
      <c r="J243" s="229" t="str">
        <f>IF($B243="","",IF($I243&lt;&gt;"Concluído","Não iniciado",IF('E6 — Ajustes'!$N225="Não","N/A",IF(COUNTIF(Lançamentos!$B$3:$B$1001,$B243)=0,"Bloqueado",IF('E6 — Ajustes'!$D225="","Bloqueado",IF(COUNTIF('E6 — Ajustes'!$E225:$J225,"⛔ Bloqueado")&gt;0,"Bloqueado",IF(AND('E6 — Ajustes'!$E225="✔ Concluído",'E6 — Ajustes'!$F225="✔ Concluído",'E6 — Ajustes'!$G225="✔ Concluído",'E6 — Ajustes'!$H225="✔ Concluído",OR('E6 — Ajustes'!$I225="✔ Concluído",'E6 — Ajustes'!$I225="N/A"),'E6 — Ajustes'!$J225="✔ Concluído"),"Concluído",IF(COUNTIF('E6 — Ajustes'!$E225:$J225,"✔ Concluído")+COUNTIF('E6 — Ajustes'!$E225:$J225,"🔄 Em andamento")&gt;0,"Em andamento","Não iniciado"))))))))</f>
        <v/>
      </c>
      <c r="K243" s="229" t="str">
        <f>IF($B243="","",IF($I243&lt;&gt;"Concluído","Não iniciado",IF(AND($J243&lt;&gt;"Concluído",$J243&lt;&gt;"N/A"),"Não iniciado",IF(COUNTIF(Lançamentos!$B$3:$B$1001,$B243)=0,"Bloqueado",IF('E7 — Entrega'!$D225="","Bloqueado",IF(COUNTIF('E7 — Entrega'!$E225:$H225,"⛔ Bloqueado")&gt;0,"Bloqueado",IF(COUNTIF('E7 — Entrega'!$E225:$H225,"✔ Concluído")=4,"Concluído",IF(COUNTIF('E7 — Entrega'!$E225:$H225,"✔ Concluído")+COUNTIF('E7 — Entrega'!$E225:$H225,"🔄 Em andamento")&gt;0,"Em andamento","Não iniciado"))))))))</f>
        <v/>
      </c>
      <c r="L243" s="229" t="str">
        <f>IF($B243="","",IF($K243&lt;&gt;"Concluído","Não iniciado",IF(OR(COUNTIF('E08 — Estabilização Hypercare'!$E225:$J225,"⛔ Bloqueado")&gt;0,'E08 — Estabilização Hypercare'!$N225="⛔ Incidente Crítico — Encerramento Bloqueado",AND('E08 — Estabilização Hypercare'!$N225="🆕 Evolução Identificada — Nova Demanda Aberta",'E08 — Estabilização Hypercare'!$U225="")),"Bloqueado",IF(AND('E08 — Estabilização Hypercare'!$E225="✔ Concluído",'E08 — Estabilização Hypercare'!$F225="✔ Concluído",'E08 — Estabilização Hypercare'!$G225="✔ Concluído",OR('E08 — Estabilização Hypercare'!$H225="✔ Concluído",'E08 — Estabilização Hypercare'!$H225="N/A"),'E08 — Estabilização Hypercare'!$I225="✔ Concluído",'E08 — Estabilização Hypercare'!$J225="✔ Concluído",OR('E08 — Estabilização Hypercare'!$N225="✅ Estável — Demanda Encerrada",AND('E08 — Estabilização Hypercare'!$N225="🆕 Evolução Identificada — Nova Demanda Aberta",'E08 — Estabilização Hypercare'!$U225&lt;&gt;""))),"Concluído",IF(OR(COUNTIF('E08 — Estabilização Hypercare'!$E225:$J225,"✔ Concluído")&gt;0,COUNTIF('E08 — Estabilização Hypercare'!$E225:$J225,"🔄 Em andamento")&gt;0,'E08 — Estabilização Hypercare'!$N225&lt;&gt;""),"Em andamento","Não iniciado")))))</f>
        <v/>
      </c>
      <c r="M243" s="232" t="str" cm="1">
        <f t="array" ref="M243">IF(B243="","",_xlfn.IFS(E243&lt;&gt;"Concluído","E1 — Solicitação",F243&lt;&gt;"Concluído","E2 — Triagem",G243&lt;&gt;"Concluído","E3 — Levantamento ⚠",H243&lt;&gt;"Concluído","E4 — Execução",I243&lt;&gt;"Concluído","E5 — Validação ⚠",AND(J243&lt;&gt;"Concluído",J243&lt;&gt;"N/A"),"E6 — Ajustes",K243&lt;&gt;"Concluído","E7 — Entrega",L243&lt;&gt;"Concluído","E08 — Estabilização / Hypercare",TRUE,"✔ Fluxo concluído"))</f>
        <v/>
      </c>
      <c r="N243" s="233" t="str">
        <f t="shared" si="4"/>
        <v/>
      </c>
      <c r="O243" s="230"/>
    </row>
    <row r="244" spans="2:15" x14ac:dyDescent="0.35">
      <c r="B244" s="229" t="str">
        <f>IF(Lançamentos!$B221="","",Lançamentos!$B221)</f>
        <v/>
      </c>
      <c r="C244" s="231" t="str">
        <f>IF($B244="","",Lançamentos!$J221)</f>
        <v/>
      </c>
      <c r="D244" s="231" t="str">
        <f>IF($B244="","",Lançamentos!$H221)</f>
        <v/>
      </c>
      <c r="E244" s="229" t="str">
        <f>IF($B244="","",IF(COUNTIF(Lançamentos!$B$3:$B$1001,$B244)=0,"Bloqueado",IF(COUNTIF('E1 — Solicitação'!$E226:$L226,"⛔ Bloqueado")&gt;0,"Bloqueado",IF(COUNTIF('E1 — Solicitação'!$E226:$L226,"N/A")=8,"Bloqueado",IF(COUNTIF('E1 — Solicitação'!$E226:$L226,"✔ Concluído")+COUNTIF('E1 — Solicitação'!$E226:$L226,"N/A")=8,"Concluído",IF(COUNTIF('E1 — Solicitação'!$E226:$L226,"✔ Concluído")+COUNTIF('E1 — Solicitação'!$E226:$L226,"🔄 Em andamento")&gt;0,"Em andamento","Não iniciado"))))))</f>
        <v/>
      </c>
      <c r="F244" s="229" t="str">
        <f>IF($B244="","",IF($E244&lt;&gt;"Concluído","Não iniciado",IF(COUNTIF(Lançamentos!$B$3:$B$1001,$B244)=0,"Bloqueado",IF('E2 — Triagem'!$D226="","Bloqueado",IF(COUNTIF('E2 — Triagem'!$E226:$L226,"N/A")=8,"Bloqueado",IF(COUNTIF('E2 — Triagem'!$E226:$L226,"⛔ Bloqueado")&gt;0,"Bloqueado",IF(COUNTIF('E2 — Triagem'!$E226:$L226,"✔ Concluído")+COUNTIF('E2 — Triagem'!$E226:$L226,"N/A")=8,"Concluído",IF(COUNTIF('E2 — Triagem'!$E226:$L226,"✔ Concluído")+COUNTIF('E2 — Triagem'!$E226:$L226,"🔄 Em andamento")&gt;0,"Em andamento","Não iniciado"))))))))</f>
        <v/>
      </c>
      <c r="G244" s="229" t="str">
        <f>IF($B244="","",IF($F244&lt;&gt;"Concluído","Não iniciado",IF(COUNTIF(Lançamentos!$B$3:$B$1001,$B244)=0,"Bloqueado",IF('E3 — Levantamento'!$D226="","Bloqueado",IF(COUNTIF('E3 — Levantamento'!$E226:$I226,"⛔ Bloqueado")&gt;0,"Bloqueado",IF('E3 — Levantamento'!$I226="N/A","Bloqueado",IF(COUNTIF('E3 — Levantamento'!$E226:$I226,"✔ Concluído")=5,"Concluído",IF(COUNTIF('E3 — Levantamento'!$E226:$I226,"✔ Concluído")+COUNTIF('E3 — Levantamento'!$E226:$I226,"🔄 Em andamento")&gt;0,"Em andamento","Não iniciado"))))))))</f>
        <v/>
      </c>
      <c r="H244" s="229" t="str">
        <f>IF($B244="","",IF($G244&lt;&gt;"Concluído","Não iniciado",IF(COUNTIF(Lançamentos!$B$3:$B$1001,$B244)=0,"Bloqueado",IF('E4 — Execução'!$D226="","Bloqueado",IF(COUNTIF('E4 — Execução'!$E226:$K226,"⛔ Bloqueado")&gt;0,"Bloqueado",IF(COUNTIF('E4 — Execução'!$E226:$K226,"✔ Concluído")=7,"Concluído",IF(COUNTIF('E4 — Execução'!$E226:$K226,"✔ Concluído")+COUNTIF('E4 — Execução'!$E226:$K226,"🔄 Em andamento")&gt;0,"Em andamento","Não iniciado")))))))</f>
        <v/>
      </c>
      <c r="I244" s="229" t="str">
        <f>IF($B244="","",IF($H244&lt;&gt;"Concluído","Não iniciado",IF(COUNTIF(Lançamentos!$B$3:$B$1001,$B244)=0,"Bloqueado",IF('E5 — Validação'!$D226="","Bloqueado",IF(COUNTIF('E5 — Validação'!$E226:$I226,"⛔ Bloqueado")&gt;0,"Bloqueado",IF('E5 — Validação'!$I226="N/A","Bloqueado",IF(AND('E5 — Validação'!$E226="✔ Concluído",'E5 — Validação'!$F226="✔ Concluído",OR('E5 — Validação'!$G226="✔ Concluído",'E5 — Validação'!$G226="N/A"),'E5 — Validação'!$H226="✔ Concluído",'E5 — Validação'!$I226="✔ Concluído"),"Concluído",IF(COUNTIF('E5 — Validação'!$E226:$I226,"✔ Concluído")+COUNTIF('E5 — Validação'!$E226:$I226,"🔄 Em andamento")&gt;0,"Em andamento","Não iniciado"))))))))</f>
        <v/>
      </c>
      <c r="J244" s="229" t="str">
        <f>IF($B244="","",IF($I244&lt;&gt;"Concluído","Não iniciado",IF('E6 — Ajustes'!$N226="Não","N/A",IF(COUNTIF(Lançamentos!$B$3:$B$1001,$B244)=0,"Bloqueado",IF('E6 — Ajustes'!$D226="","Bloqueado",IF(COUNTIF('E6 — Ajustes'!$E226:$J226,"⛔ Bloqueado")&gt;0,"Bloqueado",IF(AND('E6 — Ajustes'!$E226="✔ Concluído",'E6 — Ajustes'!$F226="✔ Concluído",'E6 — Ajustes'!$G226="✔ Concluído",'E6 — Ajustes'!$H226="✔ Concluído",OR('E6 — Ajustes'!$I226="✔ Concluído",'E6 — Ajustes'!$I226="N/A"),'E6 — Ajustes'!$J226="✔ Concluído"),"Concluído",IF(COUNTIF('E6 — Ajustes'!$E226:$J226,"✔ Concluído")+COUNTIF('E6 — Ajustes'!$E226:$J226,"🔄 Em andamento")&gt;0,"Em andamento","Não iniciado"))))))))</f>
        <v/>
      </c>
      <c r="K244" s="229" t="str">
        <f>IF($B244="","",IF($I244&lt;&gt;"Concluído","Não iniciado",IF(AND($J244&lt;&gt;"Concluído",$J244&lt;&gt;"N/A"),"Não iniciado",IF(COUNTIF(Lançamentos!$B$3:$B$1001,$B244)=0,"Bloqueado",IF('E7 — Entrega'!$D226="","Bloqueado",IF(COUNTIF('E7 — Entrega'!$E226:$H226,"⛔ Bloqueado")&gt;0,"Bloqueado",IF(COUNTIF('E7 — Entrega'!$E226:$H226,"✔ Concluído")=4,"Concluído",IF(COUNTIF('E7 — Entrega'!$E226:$H226,"✔ Concluído")+COUNTIF('E7 — Entrega'!$E226:$H226,"🔄 Em andamento")&gt;0,"Em andamento","Não iniciado"))))))))</f>
        <v/>
      </c>
      <c r="L244" s="229" t="str">
        <f>IF($B244="","",IF($K244&lt;&gt;"Concluído","Não iniciado",IF(OR(COUNTIF('E08 — Estabilização Hypercare'!$E226:$J226,"⛔ Bloqueado")&gt;0,'E08 — Estabilização Hypercare'!$N226="⛔ Incidente Crítico — Encerramento Bloqueado",AND('E08 — Estabilização Hypercare'!$N226="🆕 Evolução Identificada — Nova Demanda Aberta",'E08 — Estabilização Hypercare'!$U226="")),"Bloqueado",IF(AND('E08 — Estabilização Hypercare'!$E226="✔ Concluído",'E08 — Estabilização Hypercare'!$F226="✔ Concluído",'E08 — Estabilização Hypercare'!$G226="✔ Concluído",OR('E08 — Estabilização Hypercare'!$H226="✔ Concluído",'E08 — Estabilização Hypercare'!$H226="N/A"),'E08 — Estabilização Hypercare'!$I226="✔ Concluído",'E08 — Estabilização Hypercare'!$J226="✔ Concluído",OR('E08 — Estabilização Hypercare'!$N226="✅ Estável — Demanda Encerrada",AND('E08 — Estabilização Hypercare'!$N226="🆕 Evolução Identificada — Nova Demanda Aberta",'E08 — Estabilização Hypercare'!$U226&lt;&gt;""))),"Concluído",IF(OR(COUNTIF('E08 — Estabilização Hypercare'!$E226:$J226,"✔ Concluído")&gt;0,COUNTIF('E08 — Estabilização Hypercare'!$E226:$J226,"🔄 Em andamento")&gt;0,'E08 — Estabilização Hypercare'!$N226&lt;&gt;""),"Em andamento","Não iniciado")))))</f>
        <v/>
      </c>
      <c r="M244" s="232" t="str" cm="1">
        <f t="array" ref="M244">IF(B244="","",_xlfn.IFS(E244&lt;&gt;"Concluído","E1 — Solicitação",F244&lt;&gt;"Concluído","E2 — Triagem",G244&lt;&gt;"Concluído","E3 — Levantamento ⚠",H244&lt;&gt;"Concluído","E4 — Execução",I244&lt;&gt;"Concluído","E5 — Validação ⚠",AND(J244&lt;&gt;"Concluído",J244&lt;&gt;"N/A"),"E6 — Ajustes",K244&lt;&gt;"Concluído","E7 — Entrega",L244&lt;&gt;"Concluído","E08 — Estabilização / Hypercare",TRUE,"✔ Fluxo concluído"))</f>
        <v/>
      </c>
      <c r="N244" s="233" t="str">
        <f t="shared" si="4"/>
        <v/>
      </c>
      <c r="O244" s="230"/>
    </row>
    <row r="245" spans="2:15" x14ac:dyDescent="0.35">
      <c r="B245" s="229" t="str">
        <f>IF(Lançamentos!$B222="","",Lançamentos!$B222)</f>
        <v/>
      </c>
      <c r="C245" s="231" t="str">
        <f>IF($B245="","",Lançamentos!$J222)</f>
        <v/>
      </c>
      <c r="D245" s="231" t="str">
        <f>IF($B245="","",Lançamentos!$H222)</f>
        <v/>
      </c>
      <c r="E245" s="229" t="str">
        <f>IF($B245="","",IF(COUNTIF(Lançamentos!$B$3:$B$1001,$B245)=0,"Bloqueado",IF(COUNTIF('E1 — Solicitação'!$E227:$L227,"⛔ Bloqueado")&gt;0,"Bloqueado",IF(COUNTIF('E1 — Solicitação'!$E227:$L227,"N/A")=8,"Bloqueado",IF(COUNTIF('E1 — Solicitação'!$E227:$L227,"✔ Concluído")+COUNTIF('E1 — Solicitação'!$E227:$L227,"N/A")=8,"Concluído",IF(COUNTIF('E1 — Solicitação'!$E227:$L227,"✔ Concluído")+COUNTIF('E1 — Solicitação'!$E227:$L227,"🔄 Em andamento")&gt;0,"Em andamento","Não iniciado"))))))</f>
        <v/>
      </c>
      <c r="F245" s="229" t="str">
        <f>IF($B245="","",IF($E245&lt;&gt;"Concluído","Não iniciado",IF(COUNTIF(Lançamentos!$B$3:$B$1001,$B245)=0,"Bloqueado",IF('E2 — Triagem'!$D227="","Bloqueado",IF(COUNTIF('E2 — Triagem'!$E227:$L227,"N/A")=8,"Bloqueado",IF(COUNTIF('E2 — Triagem'!$E227:$L227,"⛔ Bloqueado")&gt;0,"Bloqueado",IF(COUNTIF('E2 — Triagem'!$E227:$L227,"✔ Concluído")+COUNTIF('E2 — Triagem'!$E227:$L227,"N/A")=8,"Concluído",IF(COUNTIF('E2 — Triagem'!$E227:$L227,"✔ Concluído")+COUNTIF('E2 — Triagem'!$E227:$L227,"🔄 Em andamento")&gt;0,"Em andamento","Não iniciado"))))))))</f>
        <v/>
      </c>
      <c r="G245" s="229" t="str">
        <f>IF($B245="","",IF($F245&lt;&gt;"Concluído","Não iniciado",IF(COUNTIF(Lançamentos!$B$3:$B$1001,$B245)=0,"Bloqueado",IF('E3 — Levantamento'!$D227="","Bloqueado",IF(COUNTIF('E3 — Levantamento'!$E227:$I227,"⛔ Bloqueado")&gt;0,"Bloqueado",IF('E3 — Levantamento'!$I227="N/A","Bloqueado",IF(COUNTIF('E3 — Levantamento'!$E227:$I227,"✔ Concluído")=5,"Concluído",IF(COUNTIF('E3 — Levantamento'!$E227:$I227,"✔ Concluído")+COUNTIF('E3 — Levantamento'!$E227:$I227,"🔄 Em andamento")&gt;0,"Em andamento","Não iniciado"))))))))</f>
        <v/>
      </c>
      <c r="H245" s="229" t="str">
        <f>IF($B245="","",IF($G245&lt;&gt;"Concluído","Não iniciado",IF(COUNTIF(Lançamentos!$B$3:$B$1001,$B245)=0,"Bloqueado",IF('E4 — Execução'!$D227="","Bloqueado",IF(COUNTIF('E4 — Execução'!$E227:$K227,"⛔ Bloqueado")&gt;0,"Bloqueado",IF(COUNTIF('E4 — Execução'!$E227:$K227,"✔ Concluído")=7,"Concluído",IF(COUNTIF('E4 — Execução'!$E227:$K227,"✔ Concluído")+COUNTIF('E4 — Execução'!$E227:$K227,"🔄 Em andamento")&gt;0,"Em andamento","Não iniciado")))))))</f>
        <v/>
      </c>
      <c r="I245" s="229" t="str">
        <f>IF($B245="","",IF($H245&lt;&gt;"Concluído","Não iniciado",IF(COUNTIF(Lançamentos!$B$3:$B$1001,$B245)=0,"Bloqueado",IF('E5 — Validação'!$D227="","Bloqueado",IF(COUNTIF('E5 — Validação'!$E227:$I227,"⛔ Bloqueado")&gt;0,"Bloqueado",IF('E5 — Validação'!$I227="N/A","Bloqueado",IF(AND('E5 — Validação'!$E227="✔ Concluído",'E5 — Validação'!$F227="✔ Concluído",OR('E5 — Validação'!$G227="✔ Concluído",'E5 — Validação'!$G227="N/A"),'E5 — Validação'!$H227="✔ Concluído",'E5 — Validação'!$I227="✔ Concluído"),"Concluído",IF(COUNTIF('E5 — Validação'!$E227:$I227,"✔ Concluído")+COUNTIF('E5 — Validação'!$E227:$I227,"🔄 Em andamento")&gt;0,"Em andamento","Não iniciado"))))))))</f>
        <v/>
      </c>
      <c r="J245" s="229" t="str">
        <f>IF($B245="","",IF($I245&lt;&gt;"Concluído","Não iniciado",IF('E6 — Ajustes'!$N227="Não","N/A",IF(COUNTIF(Lançamentos!$B$3:$B$1001,$B245)=0,"Bloqueado",IF('E6 — Ajustes'!$D227="","Bloqueado",IF(COUNTIF('E6 — Ajustes'!$E227:$J227,"⛔ Bloqueado")&gt;0,"Bloqueado",IF(AND('E6 — Ajustes'!$E227="✔ Concluído",'E6 — Ajustes'!$F227="✔ Concluído",'E6 — Ajustes'!$G227="✔ Concluído",'E6 — Ajustes'!$H227="✔ Concluído",OR('E6 — Ajustes'!$I227="✔ Concluído",'E6 — Ajustes'!$I227="N/A"),'E6 — Ajustes'!$J227="✔ Concluído"),"Concluído",IF(COUNTIF('E6 — Ajustes'!$E227:$J227,"✔ Concluído")+COUNTIF('E6 — Ajustes'!$E227:$J227,"🔄 Em andamento")&gt;0,"Em andamento","Não iniciado"))))))))</f>
        <v/>
      </c>
      <c r="K245" s="229" t="str">
        <f>IF($B245="","",IF($I245&lt;&gt;"Concluído","Não iniciado",IF(AND($J245&lt;&gt;"Concluído",$J245&lt;&gt;"N/A"),"Não iniciado",IF(COUNTIF(Lançamentos!$B$3:$B$1001,$B245)=0,"Bloqueado",IF('E7 — Entrega'!$D227="","Bloqueado",IF(COUNTIF('E7 — Entrega'!$E227:$H227,"⛔ Bloqueado")&gt;0,"Bloqueado",IF(COUNTIF('E7 — Entrega'!$E227:$H227,"✔ Concluído")=4,"Concluído",IF(COUNTIF('E7 — Entrega'!$E227:$H227,"✔ Concluído")+COUNTIF('E7 — Entrega'!$E227:$H227,"🔄 Em andamento")&gt;0,"Em andamento","Não iniciado"))))))))</f>
        <v/>
      </c>
      <c r="L245" s="229" t="str">
        <f>IF($B245="","",IF($K245&lt;&gt;"Concluído","Não iniciado",IF(OR(COUNTIF('E08 — Estabilização Hypercare'!$E227:$J227,"⛔ Bloqueado")&gt;0,'E08 — Estabilização Hypercare'!$N227="⛔ Incidente Crítico — Encerramento Bloqueado",AND('E08 — Estabilização Hypercare'!$N227="🆕 Evolução Identificada — Nova Demanda Aberta",'E08 — Estabilização Hypercare'!$U227="")),"Bloqueado",IF(AND('E08 — Estabilização Hypercare'!$E227="✔ Concluído",'E08 — Estabilização Hypercare'!$F227="✔ Concluído",'E08 — Estabilização Hypercare'!$G227="✔ Concluído",OR('E08 — Estabilização Hypercare'!$H227="✔ Concluído",'E08 — Estabilização Hypercare'!$H227="N/A"),'E08 — Estabilização Hypercare'!$I227="✔ Concluído",'E08 — Estabilização Hypercare'!$J227="✔ Concluído",OR('E08 — Estabilização Hypercare'!$N227="✅ Estável — Demanda Encerrada",AND('E08 — Estabilização Hypercare'!$N227="🆕 Evolução Identificada — Nova Demanda Aberta",'E08 — Estabilização Hypercare'!$U227&lt;&gt;""))),"Concluído",IF(OR(COUNTIF('E08 — Estabilização Hypercare'!$E227:$J227,"✔ Concluído")&gt;0,COUNTIF('E08 — Estabilização Hypercare'!$E227:$J227,"🔄 Em andamento")&gt;0,'E08 — Estabilização Hypercare'!$N227&lt;&gt;""),"Em andamento","Não iniciado")))))</f>
        <v/>
      </c>
      <c r="M245" s="232" t="str" cm="1">
        <f t="array" ref="M245">IF(B245="","",_xlfn.IFS(E245&lt;&gt;"Concluído","E1 — Solicitação",F245&lt;&gt;"Concluído","E2 — Triagem",G245&lt;&gt;"Concluído","E3 — Levantamento ⚠",H245&lt;&gt;"Concluído","E4 — Execução",I245&lt;&gt;"Concluído","E5 — Validação ⚠",AND(J245&lt;&gt;"Concluído",J245&lt;&gt;"N/A"),"E6 — Ajustes",K245&lt;&gt;"Concluído","E7 — Entrega",L245&lt;&gt;"Concluído","E08 — Estabilização / Hypercare",TRUE,"✔ Fluxo concluído"))</f>
        <v/>
      </c>
      <c r="N245" s="233" t="str">
        <f t="shared" si="4"/>
        <v/>
      </c>
      <c r="O245" s="230"/>
    </row>
    <row r="246" spans="2:15" x14ac:dyDescent="0.35">
      <c r="B246" s="229" t="str">
        <f>IF(Lançamentos!$B223="","",Lançamentos!$B223)</f>
        <v/>
      </c>
      <c r="C246" s="231" t="str">
        <f>IF($B246="","",Lançamentos!$J223)</f>
        <v/>
      </c>
      <c r="D246" s="231" t="str">
        <f>IF($B246="","",Lançamentos!$H223)</f>
        <v/>
      </c>
      <c r="E246" s="229" t="str">
        <f>IF($B246="","",IF(COUNTIF(Lançamentos!$B$3:$B$1001,$B246)=0,"Bloqueado",IF(COUNTIF('E1 — Solicitação'!$E228:$L228,"⛔ Bloqueado")&gt;0,"Bloqueado",IF(COUNTIF('E1 — Solicitação'!$E228:$L228,"N/A")=8,"Bloqueado",IF(COUNTIF('E1 — Solicitação'!$E228:$L228,"✔ Concluído")+COUNTIF('E1 — Solicitação'!$E228:$L228,"N/A")=8,"Concluído",IF(COUNTIF('E1 — Solicitação'!$E228:$L228,"✔ Concluído")+COUNTIF('E1 — Solicitação'!$E228:$L228,"🔄 Em andamento")&gt;0,"Em andamento","Não iniciado"))))))</f>
        <v/>
      </c>
      <c r="F246" s="229" t="str">
        <f>IF($B246="","",IF($E246&lt;&gt;"Concluído","Não iniciado",IF(COUNTIF(Lançamentos!$B$3:$B$1001,$B246)=0,"Bloqueado",IF('E2 — Triagem'!$D228="","Bloqueado",IF(COUNTIF('E2 — Triagem'!$E228:$L228,"N/A")=8,"Bloqueado",IF(COUNTIF('E2 — Triagem'!$E228:$L228,"⛔ Bloqueado")&gt;0,"Bloqueado",IF(COUNTIF('E2 — Triagem'!$E228:$L228,"✔ Concluído")+COUNTIF('E2 — Triagem'!$E228:$L228,"N/A")=8,"Concluído",IF(COUNTIF('E2 — Triagem'!$E228:$L228,"✔ Concluído")+COUNTIF('E2 — Triagem'!$E228:$L228,"🔄 Em andamento")&gt;0,"Em andamento","Não iniciado"))))))))</f>
        <v/>
      </c>
      <c r="G246" s="229" t="str">
        <f>IF($B246="","",IF($F246&lt;&gt;"Concluído","Não iniciado",IF(COUNTIF(Lançamentos!$B$3:$B$1001,$B246)=0,"Bloqueado",IF('E3 — Levantamento'!$D228="","Bloqueado",IF(COUNTIF('E3 — Levantamento'!$E228:$I228,"⛔ Bloqueado")&gt;0,"Bloqueado",IF('E3 — Levantamento'!$I228="N/A","Bloqueado",IF(COUNTIF('E3 — Levantamento'!$E228:$I228,"✔ Concluído")=5,"Concluído",IF(COUNTIF('E3 — Levantamento'!$E228:$I228,"✔ Concluído")+COUNTIF('E3 — Levantamento'!$E228:$I228,"🔄 Em andamento")&gt;0,"Em andamento","Não iniciado"))))))))</f>
        <v/>
      </c>
      <c r="H246" s="229" t="str">
        <f>IF($B246="","",IF($G246&lt;&gt;"Concluído","Não iniciado",IF(COUNTIF(Lançamentos!$B$3:$B$1001,$B246)=0,"Bloqueado",IF('E4 — Execução'!$D228="","Bloqueado",IF(COUNTIF('E4 — Execução'!$E228:$K228,"⛔ Bloqueado")&gt;0,"Bloqueado",IF(COUNTIF('E4 — Execução'!$E228:$K228,"✔ Concluído")=7,"Concluído",IF(COUNTIF('E4 — Execução'!$E228:$K228,"✔ Concluído")+COUNTIF('E4 — Execução'!$E228:$K228,"🔄 Em andamento")&gt;0,"Em andamento","Não iniciado")))))))</f>
        <v/>
      </c>
      <c r="I246" s="229" t="str">
        <f>IF($B246="","",IF($H246&lt;&gt;"Concluído","Não iniciado",IF(COUNTIF(Lançamentos!$B$3:$B$1001,$B246)=0,"Bloqueado",IF('E5 — Validação'!$D228="","Bloqueado",IF(COUNTIF('E5 — Validação'!$E228:$I228,"⛔ Bloqueado")&gt;0,"Bloqueado",IF('E5 — Validação'!$I228="N/A","Bloqueado",IF(AND('E5 — Validação'!$E228="✔ Concluído",'E5 — Validação'!$F228="✔ Concluído",OR('E5 — Validação'!$G228="✔ Concluído",'E5 — Validação'!$G228="N/A"),'E5 — Validação'!$H228="✔ Concluído",'E5 — Validação'!$I228="✔ Concluído"),"Concluído",IF(COUNTIF('E5 — Validação'!$E228:$I228,"✔ Concluído")+COUNTIF('E5 — Validação'!$E228:$I228,"🔄 Em andamento")&gt;0,"Em andamento","Não iniciado"))))))))</f>
        <v/>
      </c>
      <c r="J246" s="229" t="str">
        <f>IF($B246="","",IF($I246&lt;&gt;"Concluído","Não iniciado",IF('E6 — Ajustes'!$N228="Não","N/A",IF(COUNTIF(Lançamentos!$B$3:$B$1001,$B246)=0,"Bloqueado",IF('E6 — Ajustes'!$D228="","Bloqueado",IF(COUNTIF('E6 — Ajustes'!$E228:$J228,"⛔ Bloqueado")&gt;0,"Bloqueado",IF(AND('E6 — Ajustes'!$E228="✔ Concluído",'E6 — Ajustes'!$F228="✔ Concluído",'E6 — Ajustes'!$G228="✔ Concluído",'E6 — Ajustes'!$H228="✔ Concluído",OR('E6 — Ajustes'!$I228="✔ Concluído",'E6 — Ajustes'!$I228="N/A"),'E6 — Ajustes'!$J228="✔ Concluído"),"Concluído",IF(COUNTIF('E6 — Ajustes'!$E228:$J228,"✔ Concluído")+COUNTIF('E6 — Ajustes'!$E228:$J228,"🔄 Em andamento")&gt;0,"Em andamento","Não iniciado"))))))))</f>
        <v/>
      </c>
      <c r="K246" s="229" t="str">
        <f>IF($B246="","",IF($I246&lt;&gt;"Concluído","Não iniciado",IF(AND($J246&lt;&gt;"Concluído",$J246&lt;&gt;"N/A"),"Não iniciado",IF(COUNTIF(Lançamentos!$B$3:$B$1001,$B246)=0,"Bloqueado",IF('E7 — Entrega'!$D228="","Bloqueado",IF(COUNTIF('E7 — Entrega'!$E228:$H228,"⛔ Bloqueado")&gt;0,"Bloqueado",IF(COUNTIF('E7 — Entrega'!$E228:$H228,"✔ Concluído")=4,"Concluído",IF(COUNTIF('E7 — Entrega'!$E228:$H228,"✔ Concluído")+COUNTIF('E7 — Entrega'!$E228:$H228,"🔄 Em andamento")&gt;0,"Em andamento","Não iniciado"))))))))</f>
        <v/>
      </c>
      <c r="L246" s="229" t="str">
        <f>IF($B246="","",IF($K246&lt;&gt;"Concluído","Não iniciado",IF(OR(COUNTIF('E08 — Estabilização Hypercare'!$E228:$J228,"⛔ Bloqueado")&gt;0,'E08 — Estabilização Hypercare'!$N228="⛔ Incidente Crítico — Encerramento Bloqueado",AND('E08 — Estabilização Hypercare'!$N228="🆕 Evolução Identificada — Nova Demanda Aberta",'E08 — Estabilização Hypercare'!$U228="")),"Bloqueado",IF(AND('E08 — Estabilização Hypercare'!$E228="✔ Concluído",'E08 — Estabilização Hypercare'!$F228="✔ Concluído",'E08 — Estabilização Hypercare'!$G228="✔ Concluído",OR('E08 — Estabilização Hypercare'!$H228="✔ Concluído",'E08 — Estabilização Hypercare'!$H228="N/A"),'E08 — Estabilização Hypercare'!$I228="✔ Concluído",'E08 — Estabilização Hypercare'!$J228="✔ Concluído",OR('E08 — Estabilização Hypercare'!$N228="✅ Estável — Demanda Encerrada",AND('E08 — Estabilização Hypercare'!$N228="🆕 Evolução Identificada — Nova Demanda Aberta",'E08 — Estabilização Hypercare'!$U228&lt;&gt;""))),"Concluído",IF(OR(COUNTIF('E08 — Estabilização Hypercare'!$E228:$J228,"✔ Concluído")&gt;0,COUNTIF('E08 — Estabilização Hypercare'!$E228:$J228,"🔄 Em andamento")&gt;0,'E08 — Estabilização Hypercare'!$N228&lt;&gt;""),"Em andamento","Não iniciado")))))</f>
        <v/>
      </c>
      <c r="M246" s="232" t="str" cm="1">
        <f t="array" ref="M246">IF(B246="","",_xlfn.IFS(E246&lt;&gt;"Concluído","E1 — Solicitação",F246&lt;&gt;"Concluído","E2 — Triagem",G246&lt;&gt;"Concluído","E3 — Levantamento ⚠",H246&lt;&gt;"Concluído","E4 — Execução",I246&lt;&gt;"Concluído","E5 — Validação ⚠",AND(J246&lt;&gt;"Concluído",J246&lt;&gt;"N/A"),"E6 — Ajustes",K246&lt;&gt;"Concluído","E7 — Entrega",L246&lt;&gt;"Concluído","E08 — Estabilização / Hypercare",TRUE,"✔ Fluxo concluído"))</f>
        <v/>
      </c>
      <c r="N246" s="233" t="str">
        <f t="shared" si="4"/>
        <v/>
      </c>
      <c r="O246" s="230"/>
    </row>
    <row r="247" spans="2:15" x14ac:dyDescent="0.35">
      <c r="B247" s="229" t="str">
        <f>IF(Lançamentos!$B224="","",Lançamentos!$B224)</f>
        <v/>
      </c>
      <c r="C247" s="231" t="str">
        <f>IF($B247="","",Lançamentos!$J224)</f>
        <v/>
      </c>
      <c r="D247" s="231" t="str">
        <f>IF($B247="","",Lançamentos!$H224)</f>
        <v/>
      </c>
      <c r="E247" s="229" t="str">
        <f>IF($B247="","",IF(COUNTIF(Lançamentos!$B$3:$B$1001,$B247)=0,"Bloqueado",IF(COUNTIF('E1 — Solicitação'!$E229:$L229,"⛔ Bloqueado")&gt;0,"Bloqueado",IF(COUNTIF('E1 — Solicitação'!$E229:$L229,"N/A")=8,"Bloqueado",IF(COUNTIF('E1 — Solicitação'!$E229:$L229,"✔ Concluído")+COUNTIF('E1 — Solicitação'!$E229:$L229,"N/A")=8,"Concluído",IF(COUNTIF('E1 — Solicitação'!$E229:$L229,"✔ Concluído")+COUNTIF('E1 — Solicitação'!$E229:$L229,"🔄 Em andamento")&gt;0,"Em andamento","Não iniciado"))))))</f>
        <v/>
      </c>
      <c r="F247" s="229" t="str">
        <f>IF($B247="","",IF($E247&lt;&gt;"Concluído","Não iniciado",IF(COUNTIF(Lançamentos!$B$3:$B$1001,$B247)=0,"Bloqueado",IF('E2 — Triagem'!$D229="","Bloqueado",IF(COUNTIF('E2 — Triagem'!$E229:$L229,"N/A")=8,"Bloqueado",IF(COUNTIF('E2 — Triagem'!$E229:$L229,"⛔ Bloqueado")&gt;0,"Bloqueado",IF(COUNTIF('E2 — Triagem'!$E229:$L229,"✔ Concluído")+COUNTIF('E2 — Triagem'!$E229:$L229,"N/A")=8,"Concluído",IF(COUNTIF('E2 — Triagem'!$E229:$L229,"✔ Concluído")+COUNTIF('E2 — Triagem'!$E229:$L229,"🔄 Em andamento")&gt;0,"Em andamento","Não iniciado"))))))))</f>
        <v/>
      </c>
      <c r="G247" s="229" t="str">
        <f>IF($B247="","",IF($F247&lt;&gt;"Concluído","Não iniciado",IF(COUNTIF(Lançamentos!$B$3:$B$1001,$B247)=0,"Bloqueado",IF('E3 — Levantamento'!$D229="","Bloqueado",IF(COUNTIF('E3 — Levantamento'!$E229:$I229,"⛔ Bloqueado")&gt;0,"Bloqueado",IF('E3 — Levantamento'!$I229="N/A","Bloqueado",IF(COUNTIF('E3 — Levantamento'!$E229:$I229,"✔ Concluído")=5,"Concluído",IF(COUNTIF('E3 — Levantamento'!$E229:$I229,"✔ Concluído")+COUNTIF('E3 — Levantamento'!$E229:$I229,"🔄 Em andamento")&gt;0,"Em andamento","Não iniciado"))))))))</f>
        <v/>
      </c>
      <c r="H247" s="229" t="str">
        <f>IF($B247="","",IF($G247&lt;&gt;"Concluído","Não iniciado",IF(COUNTIF(Lançamentos!$B$3:$B$1001,$B247)=0,"Bloqueado",IF('E4 — Execução'!$D229="","Bloqueado",IF(COUNTIF('E4 — Execução'!$E229:$K229,"⛔ Bloqueado")&gt;0,"Bloqueado",IF(COUNTIF('E4 — Execução'!$E229:$K229,"✔ Concluído")=7,"Concluído",IF(COUNTIF('E4 — Execução'!$E229:$K229,"✔ Concluído")+COUNTIF('E4 — Execução'!$E229:$K229,"🔄 Em andamento")&gt;0,"Em andamento","Não iniciado")))))))</f>
        <v/>
      </c>
      <c r="I247" s="229" t="str">
        <f>IF($B247="","",IF($H247&lt;&gt;"Concluído","Não iniciado",IF(COUNTIF(Lançamentos!$B$3:$B$1001,$B247)=0,"Bloqueado",IF('E5 — Validação'!$D229="","Bloqueado",IF(COUNTIF('E5 — Validação'!$E229:$I229,"⛔ Bloqueado")&gt;0,"Bloqueado",IF('E5 — Validação'!$I229="N/A","Bloqueado",IF(AND('E5 — Validação'!$E229="✔ Concluído",'E5 — Validação'!$F229="✔ Concluído",OR('E5 — Validação'!$G229="✔ Concluído",'E5 — Validação'!$G229="N/A"),'E5 — Validação'!$H229="✔ Concluído",'E5 — Validação'!$I229="✔ Concluído"),"Concluído",IF(COUNTIF('E5 — Validação'!$E229:$I229,"✔ Concluído")+COUNTIF('E5 — Validação'!$E229:$I229,"🔄 Em andamento")&gt;0,"Em andamento","Não iniciado"))))))))</f>
        <v/>
      </c>
      <c r="J247" s="229" t="str">
        <f>IF($B247="","",IF($I247&lt;&gt;"Concluído","Não iniciado",IF('E6 — Ajustes'!$N229="Não","N/A",IF(COUNTIF(Lançamentos!$B$3:$B$1001,$B247)=0,"Bloqueado",IF('E6 — Ajustes'!$D229="","Bloqueado",IF(COUNTIF('E6 — Ajustes'!$E229:$J229,"⛔ Bloqueado")&gt;0,"Bloqueado",IF(AND('E6 — Ajustes'!$E229="✔ Concluído",'E6 — Ajustes'!$F229="✔ Concluído",'E6 — Ajustes'!$G229="✔ Concluído",'E6 — Ajustes'!$H229="✔ Concluído",OR('E6 — Ajustes'!$I229="✔ Concluído",'E6 — Ajustes'!$I229="N/A"),'E6 — Ajustes'!$J229="✔ Concluído"),"Concluído",IF(COUNTIF('E6 — Ajustes'!$E229:$J229,"✔ Concluído")+COUNTIF('E6 — Ajustes'!$E229:$J229,"🔄 Em andamento")&gt;0,"Em andamento","Não iniciado"))))))))</f>
        <v/>
      </c>
      <c r="K247" s="229" t="str">
        <f>IF($B247="","",IF($I247&lt;&gt;"Concluído","Não iniciado",IF(AND($J247&lt;&gt;"Concluído",$J247&lt;&gt;"N/A"),"Não iniciado",IF(COUNTIF(Lançamentos!$B$3:$B$1001,$B247)=0,"Bloqueado",IF('E7 — Entrega'!$D229="","Bloqueado",IF(COUNTIF('E7 — Entrega'!$E229:$H229,"⛔ Bloqueado")&gt;0,"Bloqueado",IF(COUNTIF('E7 — Entrega'!$E229:$H229,"✔ Concluído")=4,"Concluído",IF(COUNTIF('E7 — Entrega'!$E229:$H229,"✔ Concluído")+COUNTIF('E7 — Entrega'!$E229:$H229,"🔄 Em andamento")&gt;0,"Em andamento","Não iniciado"))))))))</f>
        <v/>
      </c>
      <c r="L247" s="229" t="str">
        <f>IF($B247="","",IF($K247&lt;&gt;"Concluído","Não iniciado",IF(OR(COUNTIF('E08 — Estabilização Hypercare'!$E229:$J229,"⛔ Bloqueado")&gt;0,'E08 — Estabilização Hypercare'!$N229="⛔ Incidente Crítico — Encerramento Bloqueado",AND('E08 — Estabilização Hypercare'!$N229="🆕 Evolução Identificada — Nova Demanda Aberta",'E08 — Estabilização Hypercare'!$U229="")),"Bloqueado",IF(AND('E08 — Estabilização Hypercare'!$E229="✔ Concluído",'E08 — Estabilização Hypercare'!$F229="✔ Concluído",'E08 — Estabilização Hypercare'!$G229="✔ Concluído",OR('E08 — Estabilização Hypercare'!$H229="✔ Concluído",'E08 — Estabilização Hypercare'!$H229="N/A"),'E08 — Estabilização Hypercare'!$I229="✔ Concluído",'E08 — Estabilização Hypercare'!$J229="✔ Concluído",OR('E08 — Estabilização Hypercare'!$N229="✅ Estável — Demanda Encerrada",AND('E08 — Estabilização Hypercare'!$N229="🆕 Evolução Identificada — Nova Demanda Aberta",'E08 — Estabilização Hypercare'!$U229&lt;&gt;""))),"Concluído",IF(OR(COUNTIF('E08 — Estabilização Hypercare'!$E229:$J229,"✔ Concluído")&gt;0,COUNTIF('E08 — Estabilização Hypercare'!$E229:$J229,"🔄 Em andamento")&gt;0,'E08 — Estabilização Hypercare'!$N229&lt;&gt;""),"Em andamento","Não iniciado")))))</f>
        <v/>
      </c>
      <c r="M247" s="232" t="str" cm="1">
        <f t="array" ref="M247">IF(B247="","",_xlfn.IFS(E247&lt;&gt;"Concluído","E1 — Solicitação",F247&lt;&gt;"Concluído","E2 — Triagem",G247&lt;&gt;"Concluído","E3 — Levantamento ⚠",H247&lt;&gt;"Concluído","E4 — Execução",I247&lt;&gt;"Concluído","E5 — Validação ⚠",AND(J247&lt;&gt;"Concluído",J247&lt;&gt;"N/A"),"E6 — Ajustes",K247&lt;&gt;"Concluído","E7 — Entrega",L247&lt;&gt;"Concluído","E08 — Estabilização / Hypercare",TRUE,"✔ Fluxo concluído"))</f>
        <v/>
      </c>
      <c r="N247" s="233" t="str">
        <f t="shared" si="4"/>
        <v/>
      </c>
      <c r="O247" s="230"/>
    </row>
    <row r="248" spans="2:15" x14ac:dyDescent="0.35">
      <c r="B248" s="229" t="str">
        <f>IF(Lançamentos!$B225="","",Lançamentos!$B225)</f>
        <v/>
      </c>
      <c r="C248" s="231" t="str">
        <f>IF($B248="","",Lançamentos!$J225)</f>
        <v/>
      </c>
      <c r="D248" s="231" t="str">
        <f>IF($B248="","",Lançamentos!$H225)</f>
        <v/>
      </c>
      <c r="E248" s="229" t="str">
        <f>IF($B248="","",IF(COUNTIF(Lançamentos!$B$3:$B$1001,$B248)=0,"Bloqueado",IF(COUNTIF('E1 — Solicitação'!$E230:$L230,"⛔ Bloqueado")&gt;0,"Bloqueado",IF(COUNTIF('E1 — Solicitação'!$E230:$L230,"N/A")=8,"Bloqueado",IF(COUNTIF('E1 — Solicitação'!$E230:$L230,"✔ Concluído")+COUNTIF('E1 — Solicitação'!$E230:$L230,"N/A")=8,"Concluído",IF(COUNTIF('E1 — Solicitação'!$E230:$L230,"✔ Concluído")+COUNTIF('E1 — Solicitação'!$E230:$L230,"🔄 Em andamento")&gt;0,"Em andamento","Não iniciado"))))))</f>
        <v/>
      </c>
      <c r="F248" s="229" t="str">
        <f>IF($B248="","",IF($E248&lt;&gt;"Concluído","Não iniciado",IF(COUNTIF(Lançamentos!$B$3:$B$1001,$B248)=0,"Bloqueado",IF('E2 — Triagem'!$D230="","Bloqueado",IF(COUNTIF('E2 — Triagem'!$E230:$L230,"N/A")=8,"Bloqueado",IF(COUNTIF('E2 — Triagem'!$E230:$L230,"⛔ Bloqueado")&gt;0,"Bloqueado",IF(COUNTIF('E2 — Triagem'!$E230:$L230,"✔ Concluído")+COUNTIF('E2 — Triagem'!$E230:$L230,"N/A")=8,"Concluído",IF(COUNTIF('E2 — Triagem'!$E230:$L230,"✔ Concluído")+COUNTIF('E2 — Triagem'!$E230:$L230,"🔄 Em andamento")&gt;0,"Em andamento","Não iniciado"))))))))</f>
        <v/>
      </c>
      <c r="G248" s="229" t="str">
        <f>IF($B248="","",IF($F248&lt;&gt;"Concluído","Não iniciado",IF(COUNTIF(Lançamentos!$B$3:$B$1001,$B248)=0,"Bloqueado",IF('E3 — Levantamento'!$D230="","Bloqueado",IF(COUNTIF('E3 — Levantamento'!$E230:$I230,"⛔ Bloqueado")&gt;0,"Bloqueado",IF('E3 — Levantamento'!$I230="N/A","Bloqueado",IF(COUNTIF('E3 — Levantamento'!$E230:$I230,"✔ Concluído")=5,"Concluído",IF(COUNTIF('E3 — Levantamento'!$E230:$I230,"✔ Concluído")+COUNTIF('E3 — Levantamento'!$E230:$I230,"🔄 Em andamento")&gt;0,"Em andamento","Não iniciado"))))))))</f>
        <v/>
      </c>
      <c r="H248" s="229" t="str">
        <f>IF($B248="","",IF($G248&lt;&gt;"Concluído","Não iniciado",IF(COUNTIF(Lançamentos!$B$3:$B$1001,$B248)=0,"Bloqueado",IF('E4 — Execução'!$D230="","Bloqueado",IF(COUNTIF('E4 — Execução'!$E230:$K230,"⛔ Bloqueado")&gt;0,"Bloqueado",IF(COUNTIF('E4 — Execução'!$E230:$K230,"✔ Concluído")=7,"Concluído",IF(COUNTIF('E4 — Execução'!$E230:$K230,"✔ Concluído")+COUNTIF('E4 — Execução'!$E230:$K230,"🔄 Em andamento")&gt;0,"Em andamento","Não iniciado")))))))</f>
        <v/>
      </c>
      <c r="I248" s="229" t="str">
        <f>IF($B248="","",IF($H248&lt;&gt;"Concluído","Não iniciado",IF(COUNTIF(Lançamentos!$B$3:$B$1001,$B248)=0,"Bloqueado",IF('E5 — Validação'!$D230="","Bloqueado",IF(COUNTIF('E5 — Validação'!$E230:$I230,"⛔ Bloqueado")&gt;0,"Bloqueado",IF('E5 — Validação'!$I230="N/A","Bloqueado",IF(AND('E5 — Validação'!$E230="✔ Concluído",'E5 — Validação'!$F230="✔ Concluído",OR('E5 — Validação'!$G230="✔ Concluído",'E5 — Validação'!$G230="N/A"),'E5 — Validação'!$H230="✔ Concluído",'E5 — Validação'!$I230="✔ Concluído"),"Concluído",IF(COUNTIF('E5 — Validação'!$E230:$I230,"✔ Concluído")+COUNTIF('E5 — Validação'!$E230:$I230,"🔄 Em andamento")&gt;0,"Em andamento","Não iniciado"))))))))</f>
        <v/>
      </c>
      <c r="J248" s="229" t="str">
        <f>IF($B248="","",IF($I248&lt;&gt;"Concluído","Não iniciado",IF('E6 — Ajustes'!$N230="Não","N/A",IF(COUNTIF(Lançamentos!$B$3:$B$1001,$B248)=0,"Bloqueado",IF('E6 — Ajustes'!$D230="","Bloqueado",IF(COUNTIF('E6 — Ajustes'!$E230:$J230,"⛔ Bloqueado")&gt;0,"Bloqueado",IF(AND('E6 — Ajustes'!$E230="✔ Concluído",'E6 — Ajustes'!$F230="✔ Concluído",'E6 — Ajustes'!$G230="✔ Concluído",'E6 — Ajustes'!$H230="✔ Concluído",OR('E6 — Ajustes'!$I230="✔ Concluído",'E6 — Ajustes'!$I230="N/A"),'E6 — Ajustes'!$J230="✔ Concluído"),"Concluído",IF(COUNTIF('E6 — Ajustes'!$E230:$J230,"✔ Concluído")+COUNTIF('E6 — Ajustes'!$E230:$J230,"🔄 Em andamento")&gt;0,"Em andamento","Não iniciado"))))))))</f>
        <v/>
      </c>
      <c r="K248" s="229" t="str">
        <f>IF($B248="","",IF($I248&lt;&gt;"Concluído","Não iniciado",IF(AND($J248&lt;&gt;"Concluído",$J248&lt;&gt;"N/A"),"Não iniciado",IF(COUNTIF(Lançamentos!$B$3:$B$1001,$B248)=0,"Bloqueado",IF('E7 — Entrega'!$D230="","Bloqueado",IF(COUNTIF('E7 — Entrega'!$E230:$H230,"⛔ Bloqueado")&gt;0,"Bloqueado",IF(COUNTIF('E7 — Entrega'!$E230:$H230,"✔ Concluído")=4,"Concluído",IF(COUNTIF('E7 — Entrega'!$E230:$H230,"✔ Concluído")+COUNTIF('E7 — Entrega'!$E230:$H230,"🔄 Em andamento")&gt;0,"Em andamento","Não iniciado"))))))))</f>
        <v/>
      </c>
      <c r="L248" s="229" t="str">
        <f>IF($B248="","",IF($K248&lt;&gt;"Concluído","Não iniciado",IF(OR(COUNTIF('E08 — Estabilização Hypercare'!$E230:$J230,"⛔ Bloqueado")&gt;0,'E08 — Estabilização Hypercare'!$N230="⛔ Incidente Crítico — Encerramento Bloqueado",AND('E08 — Estabilização Hypercare'!$N230="🆕 Evolução Identificada — Nova Demanda Aberta",'E08 — Estabilização Hypercare'!$U230="")),"Bloqueado",IF(AND('E08 — Estabilização Hypercare'!$E230="✔ Concluído",'E08 — Estabilização Hypercare'!$F230="✔ Concluído",'E08 — Estabilização Hypercare'!$G230="✔ Concluído",OR('E08 — Estabilização Hypercare'!$H230="✔ Concluído",'E08 — Estabilização Hypercare'!$H230="N/A"),'E08 — Estabilização Hypercare'!$I230="✔ Concluído",'E08 — Estabilização Hypercare'!$J230="✔ Concluído",OR('E08 — Estabilização Hypercare'!$N230="✅ Estável — Demanda Encerrada",AND('E08 — Estabilização Hypercare'!$N230="🆕 Evolução Identificada — Nova Demanda Aberta",'E08 — Estabilização Hypercare'!$U230&lt;&gt;""))),"Concluído",IF(OR(COUNTIF('E08 — Estabilização Hypercare'!$E230:$J230,"✔ Concluído")&gt;0,COUNTIF('E08 — Estabilização Hypercare'!$E230:$J230,"🔄 Em andamento")&gt;0,'E08 — Estabilização Hypercare'!$N230&lt;&gt;""),"Em andamento","Não iniciado")))))</f>
        <v/>
      </c>
      <c r="M248" s="232" t="str" cm="1">
        <f t="array" ref="M248">IF(B248="","",_xlfn.IFS(E248&lt;&gt;"Concluído","E1 — Solicitação",F248&lt;&gt;"Concluído","E2 — Triagem",G248&lt;&gt;"Concluído","E3 — Levantamento ⚠",H248&lt;&gt;"Concluído","E4 — Execução",I248&lt;&gt;"Concluído","E5 — Validação ⚠",AND(J248&lt;&gt;"Concluído",J248&lt;&gt;"N/A"),"E6 — Ajustes",K248&lt;&gt;"Concluído","E7 — Entrega",L248&lt;&gt;"Concluído","E08 — Estabilização / Hypercare",TRUE,"✔ Fluxo concluído"))</f>
        <v/>
      </c>
      <c r="N248" s="233" t="str">
        <f t="shared" si="4"/>
        <v/>
      </c>
      <c r="O248" s="230"/>
    </row>
    <row r="249" spans="2:15" x14ac:dyDescent="0.35">
      <c r="B249" s="229" t="str">
        <f>IF(Lançamentos!$B226="","",Lançamentos!$B226)</f>
        <v/>
      </c>
      <c r="C249" s="231" t="str">
        <f>IF($B249="","",Lançamentos!$J226)</f>
        <v/>
      </c>
      <c r="D249" s="231" t="str">
        <f>IF($B249="","",Lançamentos!$H226)</f>
        <v/>
      </c>
      <c r="E249" s="229" t="str">
        <f>IF($B249="","",IF(COUNTIF(Lançamentos!$B$3:$B$1001,$B249)=0,"Bloqueado",IF(COUNTIF('E1 — Solicitação'!$E231:$L231,"⛔ Bloqueado")&gt;0,"Bloqueado",IF(COUNTIF('E1 — Solicitação'!$E231:$L231,"N/A")=8,"Bloqueado",IF(COUNTIF('E1 — Solicitação'!$E231:$L231,"✔ Concluído")+COUNTIF('E1 — Solicitação'!$E231:$L231,"N/A")=8,"Concluído",IF(COUNTIF('E1 — Solicitação'!$E231:$L231,"✔ Concluído")+COUNTIF('E1 — Solicitação'!$E231:$L231,"🔄 Em andamento")&gt;0,"Em andamento","Não iniciado"))))))</f>
        <v/>
      </c>
      <c r="F249" s="229" t="str">
        <f>IF($B249="","",IF($E249&lt;&gt;"Concluído","Não iniciado",IF(COUNTIF(Lançamentos!$B$3:$B$1001,$B249)=0,"Bloqueado",IF('E2 — Triagem'!$D231="","Bloqueado",IF(COUNTIF('E2 — Triagem'!$E231:$L231,"N/A")=8,"Bloqueado",IF(COUNTIF('E2 — Triagem'!$E231:$L231,"⛔ Bloqueado")&gt;0,"Bloqueado",IF(COUNTIF('E2 — Triagem'!$E231:$L231,"✔ Concluído")+COUNTIF('E2 — Triagem'!$E231:$L231,"N/A")=8,"Concluído",IF(COUNTIF('E2 — Triagem'!$E231:$L231,"✔ Concluído")+COUNTIF('E2 — Triagem'!$E231:$L231,"🔄 Em andamento")&gt;0,"Em andamento","Não iniciado"))))))))</f>
        <v/>
      </c>
      <c r="G249" s="229" t="str">
        <f>IF($B249="","",IF($F249&lt;&gt;"Concluído","Não iniciado",IF(COUNTIF(Lançamentos!$B$3:$B$1001,$B249)=0,"Bloqueado",IF('E3 — Levantamento'!$D231="","Bloqueado",IF(COUNTIF('E3 — Levantamento'!$E231:$I231,"⛔ Bloqueado")&gt;0,"Bloqueado",IF('E3 — Levantamento'!$I231="N/A","Bloqueado",IF(COUNTIF('E3 — Levantamento'!$E231:$I231,"✔ Concluído")=5,"Concluído",IF(COUNTIF('E3 — Levantamento'!$E231:$I231,"✔ Concluído")+COUNTIF('E3 — Levantamento'!$E231:$I231,"🔄 Em andamento")&gt;0,"Em andamento","Não iniciado"))))))))</f>
        <v/>
      </c>
      <c r="H249" s="229" t="str">
        <f>IF($B249="","",IF($G249&lt;&gt;"Concluído","Não iniciado",IF(COUNTIF(Lançamentos!$B$3:$B$1001,$B249)=0,"Bloqueado",IF('E4 — Execução'!$D231="","Bloqueado",IF(COUNTIF('E4 — Execução'!$E231:$K231,"⛔ Bloqueado")&gt;0,"Bloqueado",IF(COUNTIF('E4 — Execução'!$E231:$K231,"✔ Concluído")=7,"Concluído",IF(COUNTIF('E4 — Execução'!$E231:$K231,"✔ Concluído")+COUNTIF('E4 — Execução'!$E231:$K231,"🔄 Em andamento")&gt;0,"Em andamento","Não iniciado")))))))</f>
        <v/>
      </c>
      <c r="I249" s="229" t="str">
        <f>IF($B249="","",IF($H249&lt;&gt;"Concluído","Não iniciado",IF(COUNTIF(Lançamentos!$B$3:$B$1001,$B249)=0,"Bloqueado",IF('E5 — Validação'!$D231="","Bloqueado",IF(COUNTIF('E5 — Validação'!$E231:$I231,"⛔ Bloqueado")&gt;0,"Bloqueado",IF('E5 — Validação'!$I231="N/A","Bloqueado",IF(AND('E5 — Validação'!$E231="✔ Concluído",'E5 — Validação'!$F231="✔ Concluído",OR('E5 — Validação'!$G231="✔ Concluído",'E5 — Validação'!$G231="N/A"),'E5 — Validação'!$H231="✔ Concluído",'E5 — Validação'!$I231="✔ Concluído"),"Concluído",IF(COUNTIF('E5 — Validação'!$E231:$I231,"✔ Concluído")+COUNTIF('E5 — Validação'!$E231:$I231,"🔄 Em andamento")&gt;0,"Em andamento","Não iniciado"))))))))</f>
        <v/>
      </c>
      <c r="J249" s="229" t="str">
        <f>IF($B249="","",IF($I249&lt;&gt;"Concluído","Não iniciado",IF('E6 — Ajustes'!$N231="Não","N/A",IF(COUNTIF(Lançamentos!$B$3:$B$1001,$B249)=0,"Bloqueado",IF('E6 — Ajustes'!$D231="","Bloqueado",IF(COUNTIF('E6 — Ajustes'!$E231:$J231,"⛔ Bloqueado")&gt;0,"Bloqueado",IF(AND('E6 — Ajustes'!$E231="✔ Concluído",'E6 — Ajustes'!$F231="✔ Concluído",'E6 — Ajustes'!$G231="✔ Concluído",'E6 — Ajustes'!$H231="✔ Concluído",OR('E6 — Ajustes'!$I231="✔ Concluído",'E6 — Ajustes'!$I231="N/A"),'E6 — Ajustes'!$J231="✔ Concluído"),"Concluído",IF(COUNTIF('E6 — Ajustes'!$E231:$J231,"✔ Concluído")+COUNTIF('E6 — Ajustes'!$E231:$J231,"🔄 Em andamento")&gt;0,"Em andamento","Não iniciado"))))))))</f>
        <v/>
      </c>
      <c r="K249" s="229" t="str">
        <f>IF($B249="","",IF($I249&lt;&gt;"Concluído","Não iniciado",IF(AND($J249&lt;&gt;"Concluído",$J249&lt;&gt;"N/A"),"Não iniciado",IF(COUNTIF(Lançamentos!$B$3:$B$1001,$B249)=0,"Bloqueado",IF('E7 — Entrega'!$D231="","Bloqueado",IF(COUNTIF('E7 — Entrega'!$E231:$H231,"⛔ Bloqueado")&gt;0,"Bloqueado",IF(COUNTIF('E7 — Entrega'!$E231:$H231,"✔ Concluído")=4,"Concluído",IF(COUNTIF('E7 — Entrega'!$E231:$H231,"✔ Concluído")+COUNTIF('E7 — Entrega'!$E231:$H231,"🔄 Em andamento")&gt;0,"Em andamento","Não iniciado"))))))))</f>
        <v/>
      </c>
      <c r="L249" s="229" t="str">
        <f>IF($B249="","",IF($K249&lt;&gt;"Concluído","Não iniciado",IF(OR(COUNTIF('E08 — Estabilização Hypercare'!$E231:$J231,"⛔ Bloqueado")&gt;0,'E08 — Estabilização Hypercare'!$N231="⛔ Incidente Crítico — Encerramento Bloqueado",AND('E08 — Estabilização Hypercare'!$N231="🆕 Evolução Identificada — Nova Demanda Aberta",'E08 — Estabilização Hypercare'!$U231="")),"Bloqueado",IF(AND('E08 — Estabilização Hypercare'!$E231="✔ Concluído",'E08 — Estabilização Hypercare'!$F231="✔ Concluído",'E08 — Estabilização Hypercare'!$G231="✔ Concluído",OR('E08 — Estabilização Hypercare'!$H231="✔ Concluído",'E08 — Estabilização Hypercare'!$H231="N/A"),'E08 — Estabilização Hypercare'!$I231="✔ Concluído",'E08 — Estabilização Hypercare'!$J231="✔ Concluído",OR('E08 — Estabilização Hypercare'!$N231="✅ Estável — Demanda Encerrada",AND('E08 — Estabilização Hypercare'!$N231="🆕 Evolução Identificada — Nova Demanda Aberta",'E08 — Estabilização Hypercare'!$U231&lt;&gt;""))),"Concluído",IF(OR(COUNTIF('E08 — Estabilização Hypercare'!$E231:$J231,"✔ Concluído")&gt;0,COUNTIF('E08 — Estabilização Hypercare'!$E231:$J231,"🔄 Em andamento")&gt;0,'E08 — Estabilização Hypercare'!$N231&lt;&gt;""),"Em andamento","Não iniciado")))))</f>
        <v/>
      </c>
      <c r="M249" s="232" t="str" cm="1">
        <f t="array" ref="M249">IF(B249="","",_xlfn.IFS(E249&lt;&gt;"Concluído","E1 — Solicitação",F249&lt;&gt;"Concluído","E2 — Triagem",G249&lt;&gt;"Concluído","E3 — Levantamento ⚠",H249&lt;&gt;"Concluído","E4 — Execução",I249&lt;&gt;"Concluído","E5 — Validação ⚠",AND(J249&lt;&gt;"Concluído",J249&lt;&gt;"N/A"),"E6 — Ajustes",K249&lt;&gt;"Concluído","E7 — Entrega",L249&lt;&gt;"Concluído","E08 — Estabilização / Hypercare",TRUE,"✔ Fluxo concluído"))</f>
        <v/>
      </c>
      <c r="N249" s="233" t="str">
        <f t="shared" si="4"/>
        <v/>
      </c>
      <c r="O249" s="230"/>
    </row>
    <row r="250" spans="2:15" x14ac:dyDescent="0.35">
      <c r="B250" s="229" t="str">
        <f>IF(Lançamentos!$B227="","",Lançamentos!$B227)</f>
        <v/>
      </c>
      <c r="C250" s="231" t="str">
        <f>IF($B250="","",Lançamentos!$J227)</f>
        <v/>
      </c>
      <c r="D250" s="231" t="str">
        <f>IF($B250="","",Lançamentos!$H227)</f>
        <v/>
      </c>
      <c r="E250" s="229" t="str">
        <f>IF($B250="","",IF(COUNTIF(Lançamentos!$B$3:$B$1001,$B250)=0,"Bloqueado",IF(COUNTIF('E1 — Solicitação'!$E232:$L232,"⛔ Bloqueado")&gt;0,"Bloqueado",IF(COUNTIF('E1 — Solicitação'!$E232:$L232,"N/A")=8,"Bloqueado",IF(COUNTIF('E1 — Solicitação'!$E232:$L232,"✔ Concluído")+COUNTIF('E1 — Solicitação'!$E232:$L232,"N/A")=8,"Concluído",IF(COUNTIF('E1 — Solicitação'!$E232:$L232,"✔ Concluído")+COUNTIF('E1 — Solicitação'!$E232:$L232,"🔄 Em andamento")&gt;0,"Em andamento","Não iniciado"))))))</f>
        <v/>
      </c>
      <c r="F250" s="229" t="str">
        <f>IF($B250="","",IF($E250&lt;&gt;"Concluído","Não iniciado",IF(COUNTIF(Lançamentos!$B$3:$B$1001,$B250)=0,"Bloqueado",IF('E2 — Triagem'!$D232="","Bloqueado",IF(COUNTIF('E2 — Triagem'!$E232:$L232,"N/A")=8,"Bloqueado",IF(COUNTIF('E2 — Triagem'!$E232:$L232,"⛔ Bloqueado")&gt;0,"Bloqueado",IF(COUNTIF('E2 — Triagem'!$E232:$L232,"✔ Concluído")+COUNTIF('E2 — Triagem'!$E232:$L232,"N/A")=8,"Concluído",IF(COUNTIF('E2 — Triagem'!$E232:$L232,"✔ Concluído")+COUNTIF('E2 — Triagem'!$E232:$L232,"🔄 Em andamento")&gt;0,"Em andamento","Não iniciado"))))))))</f>
        <v/>
      </c>
      <c r="G250" s="229" t="str">
        <f>IF($B250="","",IF($F250&lt;&gt;"Concluído","Não iniciado",IF(COUNTIF(Lançamentos!$B$3:$B$1001,$B250)=0,"Bloqueado",IF('E3 — Levantamento'!$D232="","Bloqueado",IF(COUNTIF('E3 — Levantamento'!$E232:$I232,"⛔ Bloqueado")&gt;0,"Bloqueado",IF('E3 — Levantamento'!$I232="N/A","Bloqueado",IF(COUNTIF('E3 — Levantamento'!$E232:$I232,"✔ Concluído")=5,"Concluído",IF(COUNTIF('E3 — Levantamento'!$E232:$I232,"✔ Concluído")+COUNTIF('E3 — Levantamento'!$E232:$I232,"🔄 Em andamento")&gt;0,"Em andamento","Não iniciado"))))))))</f>
        <v/>
      </c>
      <c r="H250" s="229" t="str">
        <f>IF($B250="","",IF($G250&lt;&gt;"Concluído","Não iniciado",IF(COUNTIF(Lançamentos!$B$3:$B$1001,$B250)=0,"Bloqueado",IF('E4 — Execução'!$D232="","Bloqueado",IF(COUNTIF('E4 — Execução'!$E232:$K232,"⛔ Bloqueado")&gt;0,"Bloqueado",IF(COUNTIF('E4 — Execução'!$E232:$K232,"✔ Concluído")=7,"Concluído",IF(COUNTIF('E4 — Execução'!$E232:$K232,"✔ Concluído")+COUNTIF('E4 — Execução'!$E232:$K232,"🔄 Em andamento")&gt;0,"Em andamento","Não iniciado")))))))</f>
        <v/>
      </c>
      <c r="I250" s="229" t="str">
        <f>IF($B250="","",IF($H250&lt;&gt;"Concluído","Não iniciado",IF(COUNTIF(Lançamentos!$B$3:$B$1001,$B250)=0,"Bloqueado",IF('E5 — Validação'!$D232="","Bloqueado",IF(COUNTIF('E5 — Validação'!$E232:$I232,"⛔ Bloqueado")&gt;0,"Bloqueado",IF('E5 — Validação'!$I232="N/A","Bloqueado",IF(AND('E5 — Validação'!$E232="✔ Concluído",'E5 — Validação'!$F232="✔ Concluído",OR('E5 — Validação'!$G232="✔ Concluído",'E5 — Validação'!$G232="N/A"),'E5 — Validação'!$H232="✔ Concluído",'E5 — Validação'!$I232="✔ Concluído"),"Concluído",IF(COUNTIF('E5 — Validação'!$E232:$I232,"✔ Concluído")+COUNTIF('E5 — Validação'!$E232:$I232,"🔄 Em andamento")&gt;0,"Em andamento","Não iniciado"))))))))</f>
        <v/>
      </c>
      <c r="J250" s="229" t="str">
        <f>IF($B250="","",IF($I250&lt;&gt;"Concluído","Não iniciado",IF('E6 — Ajustes'!$N232="Não","N/A",IF(COUNTIF(Lançamentos!$B$3:$B$1001,$B250)=0,"Bloqueado",IF('E6 — Ajustes'!$D232="","Bloqueado",IF(COUNTIF('E6 — Ajustes'!$E232:$J232,"⛔ Bloqueado")&gt;0,"Bloqueado",IF(AND('E6 — Ajustes'!$E232="✔ Concluído",'E6 — Ajustes'!$F232="✔ Concluído",'E6 — Ajustes'!$G232="✔ Concluído",'E6 — Ajustes'!$H232="✔ Concluído",OR('E6 — Ajustes'!$I232="✔ Concluído",'E6 — Ajustes'!$I232="N/A"),'E6 — Ajustes'!$J232="✔ Concluído"),"Concluído",IF(COUNTIF('E6 — Ajustes'!$E232:$J232,"✔ Concluído")+COUNTIF('E6 — Ajustes'!$E232:$J232,"🔄 Em andamento")&gt;0,"Em andamento","Não iniciado"))))))))</f>
        <v/>
      </c>
      <c r="K250" s="229" t="str">
        <f>IF($B250="","",IF($I250&lt;&gt;"Concluído","Não iniciado",IF(AND($J250&lt;&gt;"Concluído",$J250&lt;&gt;"N/A"),"Não iniciado",IF(COUNTIF(Lançamentos!$B$3:$B$1001,$B250)=0,"Bloqueado",IF('E7 — Entrega'!$D232="","Bloqueado",IF(COUNTIF('E7 — Entrega'!$E232:$H232,"⛔ Bloqueado")&gt;0,"Bloqueado",IF(COUNTIF('E7 — Entrega'!$E232:$H232,"✔ Concluído")=4,"Concluído",IF(COUNTIF('E7 — Entrega'!$E232:$H232,"✔ Concluído")+COUNTIF('E7 — Entrega'!$E232:$H232,"🔄 Em andamento")&gt;0,"Em andamento","Não iniciado"))))))))</f>
        <v/>
      </c>
      <c r="L250" s="229" t="str">
        <f>IF($B250="","",IF($K250&lt;&gt;"Concluído","Não iniciado",IF(OR(COUNTIF('E08 — Estabilização Hypercare'!$E232:$J232,"⛔ Bloqueado")&gt;0,'E08 — Estabilização Hypercare'!$N232="⛔ Incidente Crítico — Encerramento Bloqueado",AND('E08 — Estabilização Hypercare'!$N232="🆕 Evolução Identificada — Nova Demanda Aberta",'E08 — Estabilização Hypercare'!$U232="")),"Bloqueado",IF(AND('E08 — Estabilização Hypercare'!$E232="✔ Concluído",'E08 — Estabilização Hypercare'!$F232="✔ Concluído",'E08 — Estabilização Hypercare'!$G232="✔ Concluído",OR('E08 — Estabilização Hypercare'!$H232="✔ Concluído",'E08 — Estabilização Hypercare'!$H232="N/A"),'E08 — Estabilização Hypercare'!$I232="✔ Concluído",'E08 — Estabilização Hypercare'!$J232="✔ Concluído",OR('E08 — Estabilização Hypercare'!$N232="✅ Estável — Demanda Encerrada",AND('E08 — Estabilização Hypercare'!$N232="🆕 Evolução Identificada — Nova Demanda Aberta",'E08 — Estabilização Hypercare'!$U232&lt;&gt;""))),"Concluído",IF(OR(COUNTIF('E08 — Estabilização Hypercare'!$E232:$J232,"✔ Concluído")&gt;0,COUNTIF('E08 — Estabilização Hypercare'!$E232:$J232,"🔄 Em andamento")&gt;0,'E08 — Estabilização Hypercare'!$N232&lt;&gt;""),"Em andamento","Não iniciado")))))</f>
        <v/>
      </c>
      <c r="M250" s="232" t="str" cm="1">
        <f t="array" ref="M250">IF(B250="","",_xlfn.IFS(E250&lt;&gt;"Concluído","E1 — Solicitação",F250&lt;&gt;"Concluído","E2 — Triagem",G250&lt;&gt;"Concluído","E3 — Levantamento ⚠",H250&lt;&gt;"Concluído","E4 — Execução",I250&lt;&gt;"Concluído","E5 — Validação ⚠",AND(J250&lt;&gt;"Concluído",J250&lt;&gt;"N/A"),"E6 — Ajustes",K250&lt;&gt;"Concluído","E7 — Entrega",L250&lt;&gt;"Concluído","E08 — Estabilização / Hypercare",TRUE,"✔ Fluxo concluído"))</f>
        <v/>
      </c>
      <c r="N250" s="233" t="str">
        <f t="shared" si="4"/>
        <v/>
      </c>
      <c r="O250" s="230"/>
    </row>
    <row r="251" spans="2:15" x14ac:dyDescent="0.35">
      <c r="B251" s="229" t="str">
        <f>IF(Lançamentos!$B228="","",Lançamentos!$B228)</f>
        <v/>
      </c>
      <c r="C251" s="231" t="str">
        <f>IF($B251="","",Lançamentos!$J228)</f>
        <v/>
      </c>
      <c r="D251" s="231" t="str">
        <f>IF($B251="","",Lançamentos!$H228)</f>
        <v/>
      </c>
      <c r="E251" s="229" t="str">
        <f>IF($B251="","",IF(COUNTIF(Lançamentos!$B$3:$B$1001,$B251)=0,"Bloqueado",IF(COUNTIF('E1 — Solicitação'!$E233:$L233,"⛔ Bloqueado")&gt;0,"Bloqueado",IF(COUNTIF('E1 — Solicitação'!$E233:$L233,"N/A")=8,"Bloqueado",IF(COUNTIF('E1 — Solicitação'!$E233:$L233,"✔ Concluído")+COUNTIF('E1 — Solicitação'!$E233:$L233,"N/A")=8,"Concluído",IF(COUNTIF('E1 — Solicitação'!$E233:$L233,"✔ Concluído")+COUNTIF('E1 — Solicitação'!$E233:$L233,"🔄 Em andamento")&gt;0,"Em andamento","Não iniciado"))))))</f>
        <v/>
      </c>
      <c r="F251" s="229" t="str">
        <f>IF($B251="","",IF($E251&lt;&gt;"Concluído","Não iniciado",IF(COUNTIF(Lançamentos!$B$3:$B$1001,$B251)=0,"Bloqueado",IF('E2 — Triagem'!$D233="","Bloqueado",IF(COUNTIF('E2 — Triagem'!$E233:$L233,"N/A")=8,"Bloqueado",IF(COUNTIF('E2 — Triagem'!$E233:$L233,"⛔ Bloqueado")&gt;0,"Bloqueado",IF(COUNTIF('E2 — Triagem'!$E233:$L233,"✔ Concluído")+COUNTIF('E2 — Triagem'!$E233:$L233,"N/A")=8,"Concluído",IF(COUNTIF('E2 — Triagem'!$E233:$L233,"✔ Concluído")+COUNTIF('E2 — Triagem'!$E233:$L233,"🔄 Em andamento")&gt;0,"Em andamento","Não iniciado"))))))))</f>
        <v/>
      </c>
      <c r="G251" s="229" t="str">
        <f>IF($B251="","",IF($F251&lt;&gt;"Concluído","Não iniciado",IF(COUNTIF(Lançamentos!$B$3:$B$1001,$B251)=0,"Bloqueado",IF('E3 — Levantamento'!$D233="","Bloqueado",IF(COUNTIF('E3 — Levantamento'!$E233:$I233,"⛔ Bloqueado")&gt;0,"Bloqueado",IF('E3 — Levantamento'!$I233="N/A","Bloqueado",IF(COUNTIF('E3 — Levantamento'!$E233:$I233,"✔ Concluído")=5,"Concluído",IF(COUNTIF('E3 — Levantamento'!$E233:$I233,"✔ Concluído")+COUNTIF('E3 — Levantamento'!$E233:$I233,"🔄 Em andamento")&gt;0,"Em andamento","Não iniciado"))))))))</f>
        <v/>
      </c>
      <c r="H251" s="229" t="str">
        <f>IF($B251="","",IF($G251&lt;&gt;"Concluído","Não iniciado",IF(COUNTIF(Lançamentos!$B$3:$B$1001,$B251)=0,"Bloqueado",IF('E4 — Execução'!$D233="","Bloqueado",IF(COUNTIF('E4 — Execução'!$E233:$K233,"⛔ Bloqueado")&gt;0,"Bloqueado",IF(COUNTIF('E4 — Execução'!$E233:$K233,"✔ Concluído")=7,"Concluído",IF(COUNTIF('E4 — Execução'!$E233:$K233,"✔ Concluído")+COUNTIF('E4 — Execução'!$E233:$K233,"🔄 Em andamento")&gt;0,"Em andamento","Não iniciado")))))))</f>
        <v/>
      </c>
      <c r="I251" s="229" t="str">
        <f>IF($B251="","",IF($H251&lt;&gt;"Concluído","Não iniciado",IF(COUNTIF(Lançamentos!$B$3:$B$1001,$B251)=0,"Bloqueado",IF('E5 — Validação'!$D233="","Bloqueado",IF(COUNTIF('E5 — Validação'!$E233:$I233,"⛔ Bloqueado")&gt;0,"Bloqueado",IF('E5 — Validação'!$I233="N/A","Bloqueado",IF(AND('E5 — Validação'!$E233="✔ Concluído",'E5 — Validação'!$F233="✔ Concluído",OR('E5 — Validação'!$G233="✔ Concluído",'E5 — Validação'!$G233="N/A"),'E5 — Validação'!$H233="✔ Concluído",'E5 — Validação'!$I233="✔ Concluído"),"Concluído",IF(COUNTIF('E5 — Validação'!$E233:$I233,"✔ Concluído")+COUNTIF('E5 — Validação'!$E233:$I233,"🔄 Em andamento")&gt;0,"Em andamento","Não iniciado"))))))))</f>
        <v/>
      </c>
      <c r="J251" s="229" t="str">
        <f>IF($B251="","",IF($I251&lt;&gt;"Concluído","Não iniciado",IF('E6 — Ajustes'!$N233="Não","N/A",IF(COUNTIF(Lançamentos!$B$3:$B$1001,$B251)=0,"Bloqueado",IF('E6 — Ajustes'!$D233="","Bloqueado",IF(COUNTIF('E6 — Ajustes'!$E233:$J233,"⛔ Bloqueado")&gt;0,"Bloqueado",IF(AND('E6 — Ajustes'!$E233="✔ Concluído",'E6 — Ajustes'!$F233="✔ Concluído",'E6 — Ajustes'!$G233="✔ Concluído",'E6 — Ajustes'!$H233="✔ Concluído",OR('E6 — Ajustes'!$I233="✔ Concluído",'E6 — Ajustes'!$I233="N/A"),'E6 — Ajustes'!$J233="✔ Concluído"),"Concluído",IF(COUNTIF('E6 — Ajustes'!$E233:$J233,"✔ Concluído")+COUNTIF('E6 — Ajustes'!$E233:$J233,"🔄 Em andamento")&gt;0,"Em andamento","Não iniciado"))))))))</f>
        <v/>
      </c>
      <c r="K251" s="229" t="str">
        <f>IF($B251="","",IF($I251&lt;&gt;"Concluído","Não iniciado",IF(AND($J251&lt;&gt;"Concluído",$J251&lt;&gt;"N/A"),"Não iniciado",IF(COUNTIF(Lançamentos!$B$3:$B$1001,$B251)=0,"Bloqueado",IF('E7 — Entrega'!$D233="","Bloqueado",IF(COUNTIF('E7 — Entrega'!$E233:$H233,"⛔ Bloqueado")&gt;0,"Bloqueado",IF(COUNTIF('E7 — Entrega'!$E233:$H233,"✔ Concluído")=4,"Concluído",IF(COUNTIF('E7 — Entrega'!$E233:$H233,"✔ Concluído")+COUNTIF('E7 — Entrega'!$E233:$H233,"🔄 Em andamento")&gt;0,"Em andamento","Não iniciado"))))))))</f>
        <v/>
      </c>
      <c r="L251" s="229" t="str">
        <f>IF($B251="","",IF($K251&lt;&gt;"Concluído","Não iniciado",IF(OR(COUNTIF('E08 — Estabilização Hypercare'!$E233:$J233,"⛔ Bloqueado")&gt;0,'E08 — Estabilização Hypercare'!$N233="⛔ Incidente Crítico — Encerramento Bloqueado",AND('E08 — Estabilização Hypercare'!$N233="🆕 Evolução Identificada — Nova Demanda Aberta",'E08 — Estabilização Hypercare'!$U233="")),"Bloqueado",IF(AND('E08 — Estabilização Hypercare'!$E233="✔ Concluído",'E08 — Estabilização Hypercare'!$F233="✔ Concluído",'E08 — Estabilização Hypercare'!$G233="✔ Concluído",OR('E08 — Estabilização Hypercare'!$H233="✔ Concluído",'E08 — Estabilização Hypercare'!$H233="N/A"),'E08 — Estabilização Hypercare'!$I233="✔ Concluído",'E08 — Estabilização Hypercare'!$J233="✔ Concluído",OR('E08 — Estabilização Hypercare'!$N233="✅ Estável — Demanda Encerrada",AND('E08 — Estabilização Hypercare'!$N233="🆕 Evolução Identificada — Nova Demanda Aberta",'E08 — Estabilização Hypercare'!$U233&lt;&gt;""))),"Concluído",IF(OR(COUNTIF('E08 — Estabilização Hypercare'!$E233:$J233,"✔ Concluído")&gt;0,COUNTIF('E08 — Estabilização Hypercare'!$E233:$J233,"🔄 Em andamento")&gt;0,'E08 — Estabilização Hypercare'!$N233&lt;&gt;""),"Em andamento","Não iniciado")))))</f>
        <v/>
      </c>
      <c r="M251" s="232" t="str" cm="1">
        <f t="array" ref="M251">IF(B251="","",_xlfn.IFS(E251&lt;&gt;"Concluído","E1 — Solicitação",F251&lt;&gt;"Concluído","E2 — Triagem",G251&lt;&gt;"Concluído","E3 — Levantamento ⚠",H251&lt;&gt;"Concluído","E4 — Execução",I251&lt;&gt;"Concluído","E5 — Validação ⚠",AND(J251&lt;&gt;"Concluído",J251&lt;&gt;"N/A"),"E6 — Ajustes",K251&lt;&gt;"Concluído","E7 — Entrega",L251&lt;&gt;"Concluído","E08 — Estabilização / Hypercare",TRUE,"✔ Fluxo concluído"))</f>
        <v/>
      </c>
      <c r="N251" s="233" t="str">
        <f t="shared" si="4"/>
        <v/>
      </c>
      <c r="O251" s="230"/>
    </row>
    <row r="252" spans="2:15" x14ac:dyDescent="0.35">
      <c r="B252" s="229" t="str">
        <f>IF(Lançamentos!$B229="","",Lançamentos!$B229)</f>
        <v/>
      </c>
      <c r="C252" s="231" t="str">
        <f>IF($B252="","",Lançamentos!$J229)</f>
        <v/>
      </c>
      <c r="D252" s="231" t="str">
        <f>IF($B252="","",Lançamentos!$H229)</f>
        <v/>
      </c>
      <c r="E252" s="229" t="str">
        <f>IF($B252="","",IF(COUNTIF(Lançamentos!$B$3:$B$1001,$B252)=0,"Bloqueado",IF(COUNTIF('E1 — Solicitação'!$E234:$L234,"⛔ Bloqueado")&gt;0,"Bloqueado",IF(COUNTIF('E1 — Solicitação'!$E234:$L234,"N/A")=8,"Bloqueado",IF(COUNTIF('E1 — Solicitação'!$E234:$L234,"✔ Concluído")+COUNTIF('E1 — Solicitação'!$E234:$L234,"N/A")=8,"Concluído",IF(COUNTIF('E1 — Solicitação'!$E234:$L234,"✔ Concluído")+COUNTIF('E1 — Solicitação'!$E234:$L234,"🔄 Em andamento")&gt;0,"Em andamento","Não iniciado"))))))</f>
        <v/>
      </c>
      <c r="F252" s="229" t="str">
        <f>IF($B252="","",IF($E252&lt;&gt;"Concluído","Não iniciado",IF(COUNTIF(Lançamentos!$B$3:$B$1001,$B252)=0,"Bloqueado",IF('E2 — Triagem'!$D234="","Bloqueado",IF(COUNTIF('E2 — Triagem'!$E234:$L234,"N/A")=8,"Bloqueado",IF(COUNTIF('E2 — Triagem'!$E234:$L234,"⛔ Bloqueado")&gt;0,"Bloqueado",IF(COUNTIF('E2 — Triagem'!$E234:$L234,"✔ Concluído")+COUNTIF('E2 — Triagem'!$E234:$L234,"N/A")=8,"Concluído",IF(COUNTIF('E2 — Triagem'!$E234:$L234,"✔ Concluído")+COUNTIF('E2 — Triagem'!$E234:$L234,"🔄 Em andamento")&gt;0,"Em andamento","Não iniciado"))))))))</f>
        <v/>
      </c>
      <c r="G252" s="229" t="str">
        <f>IF($B252="","",IF($F252&lt;&gt;"Concluído","Não iniciado",IF(COUNTIF(Lançamentos!$B$3:$B$1001,$B252)=0,"Bloqueado",IF('E3 — Levantamento'!$D234="","Bloqueado",IF(COUNTIF('E3 — Levantamento'!$E234:$I234,"⛔ Bloqueado")&gt;0,"Bloqueado",IF('E3 — Levantamento'!$I234="N/A","Bloqueado",IF(COUNTIF('E3 — Levantamento'!$E234:$I234,"✔ Concluído")=5,"Concluído",IF(COUNTIF('E3 — Levantamento'!$E234:$I234,"✔ Concluído")+COUNTIF('E3 — Levantamento'!$E234:$I234,"🔄 Em andamento")&gt;0,"Em andamento","Não iniciado"))))))))</f>
        <v/>
      </c>
      <c r="H252" s="229" t="str">
        <f>IF($B252="","",IF($G252&lt;&gt;"Concluído","Não iniciado",IF(COUNTIF(Lançamentos!$B$3:$B$1001,$B252)=0,"Bloqueado",IF('E4 — Execução'!$D234="","Bloqueado",IF(COUNTIF('E4 — Execução'!$E234:$K234,"⛔ Bloqueado")&gt;0,"Bloqueado",IF(COUNTIF('E4 — Execução'!$E234:$K234,"✔ Concluído")=7,"Concluído",IF(COUNTIF('E4 — Execução'!$E234:$K234,"✔ Concluído")+COUNTIF('E4 — Execução'!$E234:$K234,"🔄 Em andamento")&gt;0,"Em andamento","Não iniciado")))))))</f>
        <v/>
      </c>
      <c r="I252" s="229" t="str">
        <f>IF($B252="","",IF($H252&lt;&gt;"Concluído","Não iniciado",IF(COUNTIF(Lançamentos!$B$3:$B$1001,$B252)=0,"Bloqueado",IF('E5 — Validação'!$D234="","Bloqueado",IF(COUNTIF('E5 — Validação'!$E234:$I234,"⛔ Bloqueado")&gt;0,"Bloqueado",IF('E5 — Validação'!$I234="N/A","Bloqueado",IF(AND('E5 — Validação'!$E234="✔ Concluído",'E5 — Validação'!$F234="✔ Concluído",OR('E5 — Validação'!$G234="✔ Concluído",'E5 — Validação'!$G234="N/A"),'E5 — Validação'!$H234="✔ Concluído",'E5 — Validação'!$I234="✔ Concluído"),"Concluído",IF(COUNTIF('E5 — Validação'!$E234:$I234,"✔ Concluído")+COUNTIF('E5 — Validação'!$E234:$I234,"🔄 Em andamento")&gt;0,"Em andamento","Não iniciado"))))))))</f>
        <v/>
      </c>
      <c r="J252" s="229" t="str">
        <f>IF($B252="","",IF($I252&lt;&gt;"Concluído","Não iniciado",IF('E6 — Ajustes'!$N234="Não","N/A",IF(COUNTIF(Lançamentos!$B$3:$B$1001,$B252)=0,"Bloqueado",IF('E6 — Ajustes'!$D234="","Bloqueado",IF(COUNTIF('E6 — Ajustes'!$E234:$J234,"⛔ Bloqueado")&gt;0,"Bloqueado",IF(AND('E6 — Ajustes'!$E234="✔ Concluído",'E6 — Ajustes'!$F234="✔ Concluído",'E6 — Ajustes'!$G234="✔ Concluído",'E6 — Ajustes'!$H234="✔ Concluído",OR('E6 — Ajustes'!$I234="✔ Concluído",'E6 — Ajustes'!$I234="N/A"),'E6 — Ajustes'!$J234="✔ Concluído"),"Concluído",IF(COUNTIF('E6 — Ajustes'!$E234:$J234,"✔ Concluído")+COUNTIF('E6 — Ajustes'!$E234:$J234,"🔄 Em andamento")&gt;0,"Em andamento","Não iniciado"))))))))</f>
        <v/>
      </c>
      <c r="K252" s="229" t="str">
        <f>IF($B252="","",IF($I252&lt;&gt;"Concluído","Não iniciado",IF(AND($J252&lt;&gt;"Concluído",$J252&lt;&gt;"N/A"),"Não iniciado",IF(COUNTIF(Lançamentos!$B$3:$B$1001,$B252)=0,"Bloqueado",IF('E7 — Entrega'!$D234="","Bloqueado",IF(COUNTIF('E7 — Entrega'!$E234:$H234,"⛔ Bloqueado")&gt;0,"Bloqueado",IF(COUNTIF('E7 — Entrega'!$E234:$H234,"✔ Concluído")=4,"Concluído",IF(COUNTIF('E7 — Entrega'!$E234:$H234,"✔ Concluído")+COUNTIF('E7 — Entrega'!$E234:$H234,"🔄 Em andamento")&gt;0,"Em andamento","Não iniciado"))))))))</f>
        <v/>
      </c>
      <c r="L252" s="229" t="str">
        <f>IF($B252="","",IF($K252&lt;&gt;"Concluído","Não iniciado",IF(OR(COUNTIF('E08 — Estabilização Hypercare'!$E234:$J234,"⛔ Bloqueado")&gt;0,'E08 — Estabilização Hypercare'!$N234="⛔ Incidente Crítico — Encerramento Bloqueado",AND('E08 — Estabilização Hypercare'!$N234="🆕 Evolução Identificada — Nova Demanda Aberta",'E08 — Estabilização Hypercare'!$U234="")),"Bloqueado",IF(AND('E08 — Estabilização Hypercare'!$E234="✔ Concluído",'E08 — Estabilização Hypercare'!$F234="✔ Concluído",'E08 — Estabilização Hypercare'!$G234="✔ Concluído",OR('E08 — Estabilização Hypercare'!$H234="✔ Concluído",'E08 — Estabilização Hypercare'!$H234="N/A"),'E08 — Estabilização Hypercare'!$I234="✔ Concluído",'E08 — Estabilização Hypercare'!$J234="✔ Concluído",OR('E08 — Estabilização Hypercare'!$N234="✅ Estável — Demanda Encerrada",AND('E08 — Estabilização Hypercare'!$N234="🆕 Evolução Identificada — Nova Demanda Aberta",'E08 — Estabilização Hypercare'!$U234&lt;&gt;""))),"Concluído",IF(OR(COUNTIF('E08 — Estabilização Hypercare'!$E234:$J234,"✔ Concluído")&gt;0,COUNTIF('E08 — Estabilização Hypercare'!$E234:$J234,"🔄 Em andamento")&gt;0,'E08 — Estabilização Hypercare'!$N234&lt;&gt;""),"Em andamento","Não iniciado")))))</f>
        <v/>
      </c>
      <c r="M252" s="232" t="str" cm="1">
        <f t="array" ref="M252">IF(B252="","",_xlfn.IFS(E252&lt;&gt;"Concluído","E1 — Solicitação",F252&lt;&gt;"Concluído","E2 — Triagem",G252&lt;&gt;"Concluído","E3 — Levantamento ⚠",H252&lt;&gt;"Concluído","E4 — Execução",I252&lt;&gt;"Concluído","E5 — Validação ⚠",AND(J252&lt;&gt;"Concluído",J252&lt;&gt;"N/A"),"E6 — Ajustes",K252&lt;&gt;"Concluído","E7 — Entrega",L252&lt;&gt;"Concluído","E08 — Estabilização / Hypercare",TRUE,"✔ Fluxo concluído"))</f>
        <v/>
      </c>
      <c r="N252" s="233" t="str">
        <f t="shared" si="4"/>
        <v/>
      </c>
      <c r="O252" s="230"/>
    </row>
    <row r="253" spans="2:15" x14ac:dyDescent="0.35">
      <c r="B253" s="229" t="str">
        <f>IF(Lançamentos!$B230="","",Lançamentos!$B230)</f>
        <v/>
      </c>
      <c r="C253" s="231" t="str">
        <f>IF($B253="","",Lançamentos!$J230)</f>
        <v/>
      </c>
      <c r="D253" s="231" t="str">
        <f>IF($B253="","",Lançamentos!$H230)</f>
        <v/>
      </c>
      <c r="E253" s="229" t="str">
        <f>IF($B253="","",IF(COUNTIF(Lançamentos!$B$3:$B$1001,$B253)=0,"Bloqueado",IF(COUNTIF('E1 — Solicitação'!$E235:$L235,"⛔ Bloqueado")&gt;0,"Bloqueado",IF(COUNTIF('E1 — Solicitação'!$E235:$L235,"N/A")=8,"Bloqueado",IF(COUNTIF('E1 — Solicitação'!$E235:$L235,"✔ Concluído")+COUNTIF('E1 — Solicitação'!$E235:$L235,"N/A")=8,"Concluído",IF(COUNTIF('E1 — Solicitação'!$E235:$L235,"✔ Concluído")+COUNTIF('E1 — Solicitação'!$E235:$L235,"🔄 Em andamento")&gt;0,"Em andamento","Não iniciado"))))))</f>
        <v/>
      </c>
      <c r="F253" s="229" t="str">
        <f>IF($B253="","",IF($E253&lt;&gt;"Concluído","Não iniciado",IF(COUNTIF(Lançamentos!$B$3:$B$1001,$B253)=0,"Bloqueado",IF('E2 — Triagem'!$D235="","Bloqueado",IF(COUNTIF('E2 — Triagem'!$E235:$L235,"N/A")=8,"Bloqueado",IF(COUNTIF('E2 — Triagem'!$E235:$L235,"⛔ Bloqueado")&gt;0,"Bloqueado",IF(COUNTIF('E2 — Triagem'!$E235:$L235,"✔ Concluído")+COUNTIF('E2 — Triagem'!$E235:$L235,"N/A")=8,"Concluído",IF(COUNTIF('E2 — Triagem'!$E235:$L235,"✔ Concluído")+COUNTIF('E2 — Triagem'!$E235:$L235,"🔄 Em andamento")&gt;0,"Em andamento","Não iniciado"))))))))</f>
        <v/>
      </c>
      <c r="G253" s="229" t="str">
        <f>IF($B253="","",IF($F253&lt;&gt;"Concluído","Não iniciado",IF(COUNTIF(Lançamentos!$B$3:$B$1001,$B253)=0,"Bloqueado",IF('E3 — Levantamento'!$D235="","Bloqueado",IF(COUNTIF('E3 — Levantamento'!$E235:$I235,"⛔ Bloqueado")&gt;0,"Bloqueado",IF('E3 — Levantamento'!$I235="N/A","Bloqueado",IF(COUNTIF('E3 — Levantamento'!$E235:$I235,"✔ Concluído")=5,"Concluído",IF(COUNTIF('E3 — Levantamento'!$E235:$I235,"✔ Concluído")+COUNTIF('E3 — Levantamento'!$E235:$I235,"🔄 Em andamento")&gt;0,"Em andamento","Não iniciado"))))))))</f>
        <v/>
      </c>
      <c r="H253" s="229" t="str">
        <f>IF($B253="","",IF($G253&lt;&gt;"Concluído","Não iniciado",IF(COUNTIF(Lançamentos!$B$3:$B$1001,$B253)=0,"Bloqueado",IF('E4 — Execução'!$D235="","Bloqueado",IF(COUNTIF('E4 — Execução'!$E235:$K235,"⛔ Bloqueado")&gt;0,"Bloqueado",IF(COUNTIF('E4 — Execução'!$E235:$K235,"✔ Concluído")=7,"Concluído",IF(COUNTIF('E4 — Execução'!$E235:$K235,"✔ Concluído")+COUNTIF('E4 — Execução'!$E235:$K235,"🔄 Em andamento")&gt;0,"Em andamento","Não iniciado")))))))</f>
        <v/>
      </c>
      <c r="I253" s="229" t="str">
        <f>IF($B253="","",IF($H253&lt;&gt;"Concluído","Não iniciado",IF(COUNTIF(Lançamentos!$B$3:$B$1001,$B253)=0,"Bloqueado",IF('E5 — Validação'!$D235="","Bloqueado",IF(COUNTIF('E5 — Validação'!$E235:$I235,"⛔ Bloqueado")&gt;0,"Bloqueado",IF('E5 — Validação'!$I235="N/A","Bloqueado",IF(AND('E5 — Validação'!$E235="✔ Concluído",'E5 — Validação'!$F235="✔ Concluído",OR('E5 — Validação'!$G235="✔ Concluído",'E5 — Validação'!$G235="N/A"),'E5 — Validação'!$H235="✔ Concluído",'E5 — Validação'!$I235="✔ Concluído"),"Concluído",IF(COUNTIF('E5 — Validação'!$E235:$I235,"✔ Concluído")+COUNTIF('E5 — Validação'!$E235:$I235,"🔄 Em andamento")&gt;0,"Em andamento","Não iniciado"))))))))</f>
        <v/>
      </c>
      <c r="J253" s="229" t="str">
        <f>IF($B253="","",IF($I253&lt;&gt;"Concluído","Não iniciado",IF('E6 — Ajustes'!$N235="Não","N/A",IF(COUNTIF(Lançamentos!$B$3:$B$1001,$B253)=0,"Bloqueado",IF('E6 — Ajustes'!$D235="","Bloqueado",IF(COUNTIF('E6 — Ajustes'!$E235:$J235,"⛔ Bloqueado")&gt;0,"Bloqueado",IF(AND('E6 — Ajustes'!$E235="✔ Concluído",'E6 — Ajustes'!$F235="✔ Concluído",'E6 — Ajustes'!$G235="✔ Concluído",'E6 — Ajustes'!$H235="✔ Concluído",OR('E6 — Ajustes'!$I235="✔ Concluído",'E6 — Ajustes'!$I235="N/A"),'E6 — Ajustes'!$J235="✔ Concluído"),"Concluído",IF(COUNTIF('E6 — Ajustes'!$E235:$J235,"✔ Concluído")+COUNTIF('E6 — Ajustes'!$E235:$J235,"🔄 Em andamento")&gt;0,"Em andamento","Não iniciado"))))))))</f>
        <v/>
      </c>
      <c r="K253" s="229" t="str">
        <f>IF($B253="","",IF($I253&lt;&gt;"Concluído","Não iniciado",IF(AND($J253&lt;&gt;"Concluído",$J253&lt;&gt;"N/A"),"Não iniciado",IF(COUNTIF(Lançamentos!$B$3:$B$1001,$B253)=0,"Bloqueado",IF('E7 — Entrega'!$D235="","Bloqueado",IF(COUNTIF('E7 — Entrega'!$E235:$H235,"⛔ Bloqueado")&gt;0,"Bloqueado",IF(COUNTIF('E7 — Entrega'!$E235:$H235,"✔ Concluído")=4,"Concluído",IF(COUNTIF('E7 — Entrega'!$E235:$H235,"✔ Concluído")+COUNTIF('E7 — Entrega'!$E235:$H235,"🔄 Em andamento")&gt;0,"Em andamento","Não iniciado"))))))))</f>
        <v/>
      </c>
      <c r="L253" s="229" t="str">
        <f>IF($B253="","",IF($K253&lt;&gt;"Concluído","Não iniciado",IF(OR(COUNTIF('E08 — Estabilização Hypercare'!$E235:$J235,"⛔ Bloqueado")&gt;0,'E08 — Estabilização Hypercare'!$N235="⛔ Incidente Crítico — Encerramento Bloqueado",AND('E08 — Estabilização Hypercare'!$N235="🆕 Evolução Identificada — Nova Demanda Aberta",'E08 — Estabilização Hypercare'!$U235="")),"Bloqueado",IF(AND('E08 — Estabilização Hypercare'!$E235="✔ Concluído",'E08 — Estabilização Hypercare'!$F235="✔ Concluído",'E08 — Estabilização Hypercare'!$G235="✔ Concluído",OR('E08 — Estabilização Hypercare'!$H235="✔ Concluído",'E08 — Estabilização Hypercare'!$H235="N/A"),'E08 — Estabilização Hypercare'!$I235="✔ Concluído",'E08 — Estabilização Hypercare'!$J235="✔ Concluído",OR('E08 — Estabilização Hypercare'!$N235="✅ Estável — Demanda Encerrada",AND('E08 — Estabilização Hypercare'!$N235="🆕 Evolução Identificada — Nova Demanda Aberta",'E08 — Estabilização Hypercare'!$U235&lt;&gt;""))),"Concluído",IF(OR(COUNTIF('E08 — Estabilização Hypercare'!$E235:$J235,"✔ Concluído")&gt;0,COUNTIF('E08 — Estabilização Hypercare'!$E235:$J235,"🔄 Em andamento")&gt;0,'E08 — Estabilização Hypercare'!$N235&lt;&gt;""),"Em andamento","Não iniciado")))))</f>
        <v/>
      </c>
      <c r="M253" s="232" t="str" cm="1">
        <f t="array" ref="M253">IF(B253="","",_xlfn.IFS(E253&lt;&gt;"Concluído","E1 — Solicitação",F253&lt;&gt;"Concluído","E2 — Triagem",G253&lt;&gt;"Concluído","E3 — Levantamento ⚠",H253&lt;&gt;"Concluído","E4 — Execução",I253&lt;&gt;"Concluído","E5 — Validação ⚠",AND(J253&lt;&gt;"Concluído",J253&lt;&gt;"N/A"),"E6 — Ajustes",K253&lt;&gt;"Concluído","E7 — Entrega",L253&lt;&gt;"Concluído","E08 — Estabilização / Hypercare",TRUE,"✔ Fluxo concluído"))</f>
        <v/>
      </c>
      <c r="N253" s="233" t="str">
        <f t="shared" si="4"/>
        <v/>
      </c>
      <c r="O253" s="230"/>
    </row>
    <row r="254" spans="2:15" x14ac:dyDescent="0.35">
      <c r="B254" s="229" t="str">
        <f>IF(Lançamentos!$B231="","",Lançamentos!$B231)</f>
        <v/>
      </c>
      <c r="C254" s="231" t="str">
        <f>IF($B254="","",Lançamentos!$J231)</f>
        <v/>
      </c>
      <c r="D254" s="231" t="str">
        <f>IF($B254="","",Lançamentos!$H231)</f>
        <v/>
      </c>
      <c r="E254" s="229" t="str">
        <f>IF($B254="","",IF(COUNTIF(Lançamentos!$B$3:$B$1001,$B254)=0,"Bloqueado",IF(COUNTIF('E1 — Solicitação'!$E236:$L236,"⛔ Bloqueado")&gt;0,"Bloqueado",IF(COUNTIF('E1 — Solicitação'!$E236:$L236,"N/A")=8,"Bloqueado",IF(COUNTIF('E1 — Solicitação'!$E236:$L236,"✔ Concluído")+COUNTIF('E1 — Solicitação'!$E236:$L236,"N/A")=8,"Concluído",IF(COUNTIF('E1 — Solicitação'!$E236:$L236,"✔ Concluído")+COUNTIF('E1 — Solicitação'!$E236:$L236,"🔄 Em andamento")&gt;0,"Em andamento","Não iniciado"))))))</f>
        <v/>
      </c>
      <c r="F254" s="229" t="str">
        <f>IF($B254="","",IF($E254&lt;&gt;"Concluído","Não iniciado",IF(COUNTIF(Lançamentos!$B$3:$B$1001,$B254)=0,"Bloqueado",IF('E2 — Triagem'!$D236="","Bloqueado",IF(COUNTIF('E2 — Triagem'!$E236:$L236,"N/A")=8,"Bloqueado",IF(COUNTIF('E2 — Triagem'!$E236:$L236,"⛔ Bloqueado")&gt;0,"Bloqueado",IF(COUNTIF('E2 — Triagem'!$E236:$L236,"✔ Concluído")+COUNTIF('E2 — Triagem'!$E236:$L236,"N/A")=8,"Concluído",IF(COUNTIF('E2 — Triagem'!$E236:$L236,"✔ Concluído")+COUNTIF('E2 — Triagem'!$E236:$L236,"🔄 Em andamento")&gt;0,"Em andamento","Não iniciado"))))))))</f>
        <v/>
      </c>
      <c r="G254" s="229" t="str">
        <f>IF($B254="","",IF($F254&lt;&gt;"Concluído","Não iniciado",IF(COUNTIF(Lançamentos!$B$3:$B$1001,$B254)=0,"Bloqueado",IF('E3 — Levantamento'!$D236="","Bloqueado",IF(COUNTIF('E3 — Levantamento'!$E236:$I236,"⛔ Bloqueado")&gt;0,"Bloqueado",IF('E3 — Levantamento'!$I236="N/A","Bloqueado",IF(COUNTIF('E3 — Levantamento'!$E236:$I236,"✔ Concluído")=5,"Concluído",IF(COUNTIF('E3 — Levantamento'!$E236:$I236,"✔ Concluído")+COUNTIF('E3 — Levantamento'!$E236:$I236,"🔄 Em andamento")&gt;0,"Em andamento","Não iniciado"))))))))</f>
        <v/>
      </c>
      <c r="H254" s="229" t="str">
        <f>IF($B254="","",IF($G254&lt;&gt;"Concluído","Não iniciado",IF(COUNTIF(Lançamentos!$B$3:$B$1001,$B254)=0,"Bloqueado",IF('E4 — Execução'!$D236="","Bloqueado",IF(COUNTIF('E4 — Execução'!$E236:$K236,"⛔ Bloqueado")&gt;0,"Bloqueado",IF(COUNTIF('E4 — Execução'!$E236:$K236,"✔ Concluído")=7,"Concluído",IF(COUNTIF('E4 — Execução'!$E236:$K236,"✔ Concluído")+COUNTIF('E4 — Execução'!$E236:$K236,"🔄 Em andamento")&gt;0,"Em andamento","Não iniciado")))))))</f>
        <v/>
      </c>
      <c r="I254" s="229" t="str">
        <f>IF($B254="","",IF($H254&lt;&gt;"Concluído","Não iniciado",IF(COUNTIF(Lançamentos!$B$3:$B$1001,$B254)=0,"Bloqueado",IF('E5 — Validação'!$D236="","Bloqueado",IF(COUNTIF('E5 — Validação'!$E236:$I236,"⛔ Bloqueado")&gt;0,"Bloqueado",IF('E5 — Validação'!$I236="N/A","Bloqueado",IF(AND('E5 — Validação'!$E236="✔ Concluído",'E5 — Validação'!$F236="✔ Concluído",OR('E5 — Validação'!$G236="✔ Concluído",'E5 — Validação'!$G236="N/A"),'E5 — Validação'!$H236="✔ Concluído",'E5 — Validação'!$I236="✔ Concluído"),"Concluído",IF(COUNTIF('E5 — Validação'!$E236:$I236,"✔ Concluído")+COUNTIF('E5 — Validação'!$E236:$I236,"🔄 Em andamento")&gt;0,"Em andamento","Não iniciado"))))))))</f>
        <v/>
      </c>
      <c r="J254" s="229" t="str">
        <f>IF($B254="","",IF($I254&lt;&gt;"Concluído","Não iniciado",IF('E6 — Ajustes'!$N236="Não","N/A",IF(COUNTIF(Lançamentos!$B$3:$B$1001,$B254)=0,"Bloqueado",IF('E6 — Ajustes'!$D236="","Bloqueado",IF(COUNTIF('E6 — Ajustes'!$E236:$J236,"⛔ Bloqueado")&gt;0,"Bloqueado",IF(AND('E6 — Ajustes'!$E236="✔ Concluído",'E6 — Ajustes'!$F236="✔ Concluído",'E6 — Ajustes'!$G236="✔ Concluído",'E6 — Ajustes'!$H236="✔ Concluído",OR('E6 — Ajustes'!$I236="✔ Concluído",'E6 — Ajustes'!$I236="N/A"),'E6 — Ajustes'!$J236="✔ Concluído"),"Concluído",IF(COUNTIF('E6 — Ajustes'!$E236:$J236,"✔ Concluído")+COUNTIF('E6 — Ajustes'!$E236:$J236,"🔄 Em andamento")&gt;0,"Em andamento","Não iniciado"))))))))</f>
        <v/>
      </c>
      <c r="K254" s="229" t="str">
        <f>IF($B254="","",IF($I254&lt;&gt;"Concluído","Não iniciado",IF(AND($J254&lt;&gt;"Concluído",$J254&lt;&gt;"N/A"),"Não iniciado",IF(COUNTIF(Lançamentos!$B$3:$B$1001,$B254)=0,"Bloqueado",IF('E7 — Entrega'!$D236="","Bloqueado",IF(COUNTIF('E7 — Entrega'!$E236:$H236,"⛔ Bloqueado")&gt;0,"Bloqueado",IF(COUNTIF('E7 — Entrega'!$E236:$H236,"✔ Concluído")=4,"Concluído",IF(COUNTIF('E7 — Entrega'!$E236:$H236,"✔ Concluído")+COUNTIF('E7 — Entrega'!$E236:$H236,"🔄 Em andamento")&gt;0,"Em andamento","Não iniciado"))))))))</f>
        <v/>
      </c>
      <c r="L254" s="229" t="str">
        <f>IF($B254="","",IF($K254&lt;&gt;"Concluído","Não iniciado",IF(OR(COUNTIF('E08 — Estabilização Hypercare'!$E236:$J236,"⛔ Bloqueado")&gt;0,'E08 — Estabilização Hypercare'!$N236="⛔ Incidente Crítico — Encerramento Bloqueado",AND('E08 — Estabilização Hypercare'!$N236="🆕 Evolução Identificada — Nova Demanda Aberta",'E08 — Estabilização Hypercare'!$U236="")),"Bloqueado",IF(AND('E08 — Estabilização Hypercare'!$E236="✔ Concluído",'E08 — Estabilização Hypercare'!$F236="✔ Concluído",'E08 — Estabilização Hypercare'!$G236="✔ Concluído",OR('E08 — Estabilização Hypercare'!$H236="✔ Concluído",'E08 — Estabilização Hypercare'!$H236="N/A"),'E08 — Estabilização Hypercare'!$I236="✔ Concluído",'E08 — Estabilização Hypercare'!$J236="✔ Concluído",OR('E08 — Estabilização Hypercare'!$N236="✅ Estável — Demanda Encerrada",AND('E08 — Estabilização Hypercare'!$N236="🆕 Evolução Identificada — Nova Demanda Aberta",'E08 — Estabilização Hypercare'!$U236&lt;&gt;""))),"Concluído",IF(OR(COUNTIF('E08 — Estabilização Hypercare'!$E236:$J236,"✔ Concluído")&gt;0,COUNTIF('E08 — Estabilização Hypercare'!$E236:$J236,"🔄 Em andamento")&gt;0,'E08 — Estabilização Hypercare'!$N236&lt;&gt;""),"Em andamento","Não iniciado")))))</f>
        <v/>
      </c>
      <c r="M254" s="232" t="str" cm="1">
        <f t="array" ref="M254">IF(B254="","",_xlfn.IFS(E254&lt;&gt;"Concluído","E1 — Solicitação",F254&lt;&gt;"Concluído","E2 — Triagem",G254&lt;&gt;"Concluído","E3 — Levantamento ⚠",H254&lt;&gt;"Concluído","E4 — Execução",I254&lt;&gt;"Concluído","E5 — Validação ⚠",AND(J254&lt;&gt;"Concluído",J254&lt;&gt;"N/A"),"E6 — Ajustes",K254&lt;&gt;"Concluído","E7 — Entrega",L254&lt;&gt;"Concluído","E08 — Estabilização / Hypercare",TRUE,"✔ Fluxo concluído"))</f>
        <v/>
      </c>
      <c r="N254" s="233" t="str">
        <f t="shared" si="4"/>
        <v/>
      </c>
      <c r="O254" s="230"/>
    </row>
    <row r="255" spans="2:15" x14ac:dyDescent="0.35">
      <c r="B255" s="229" t="str">
        <f>IF(Lançamentos!$B232="","",Lançamentos!$B232)</f>
        <v/>
      </c>
      <c r="C255" s="231" t="str">
        <f>IF($B255="","",Lançamentos!$J232)</f>
        <v/>
      </c>
      <c r="D255" s="231" t="str">
        <f>IF($B255="","",Lançamentos!$H232)</f>
        <v/>
      </c>
      <c r="E255" s="229" t="str">
        <f>IF($B255="","",IF(COUNTIF(Lançamentos!$B$3:$B$1001,$B255)=0,"Bloqueado",IF(COUNTIF('E1 — Solicitação'!$E237:$L237,"⛔ Bloqueado")&gt;0,"Bloqueado",IF(COUNTIF('E1 — Solicitação'!$E237:$L237,"N/A")=8,"Bloqueado",IF(COUNTIF('E1 — Solicitação'!$E237:$L237,"✔ Concluído")+COUNTIF('E1 — Solicitação'!$E237:$L237,"N/A")=8,"Concluído",IF(COUNTIF('E1 — Solicitação'!$E237:$L237,"✔ Concluído")+COUNTIF('E1 — Solicitação'!$E237:$L237,"🔄 Em andamento")&gt;0,"Em andamento","Não iniciado"))))))</f>
        <v/>
      </c>
      <c r="F255" s="229" t="str">
        <f>IF($B255="","",IF($E255&lt;&gt;"Concluído","Não iniciado",IF(COUNTIF(Lançamentos!$B$3:$B$1001,$B255)=0,"Bloqueado",IF('E2 — Triagem'!$D237="","Bloqueado",IF(COUNTIF('E2 — Triagem'!$E237:$L237,"N/A")=8,"Bloqueado",IF(COUNTIF('E2 — Triagem'!$E237:$L237,"⛔ Bloqueado")&gt;0,"Bloqueado",IF(COUNTIF('E2 — Triagem'!$E237:$L237,"✔ Concluído")+COUNTIF('E2 — Triagem'!$E237:$L237,"N/A")=8,"Concluído",IF(COUNTIF('E2 — Triagem'!$E237:$L237,"✔ Concluído")+COUNTIF('E2 — Triagem'!$E237:$L237,"🔄 Em andamento")&gt;0,"Em andamento","Não iniciado"))))))))</f>
        <v/>
      </c>
      <c r="G255" s="229" t="str">
        <f>IF($B255="","",IF($F255&lt;&gt;"Concluído","Não iniciado",IF(COUNTIF(Lançamentos!$B$3:$B$1001,$B255)=0,"Bloqueado",IF('E3 — Levantamento'!$D237="","Bloqueado",IF(COUNTIF('E3 — Levantamento'!$E237:$I237,"⛔ Bloqueado")&gt;0,"Bloqueado",IF('E3 — Levantamento'!$I237="N/A","Bloqueado",IF(COUNTIF('E3 — Levantamento'!$E237:$I237,"✔ Concluído")=5,"Concluído",IF(COUNTIF('E3 — Levantamento'!$E237:$I237,"✔ Concluído")+COUNTIF('E3 — Levantamento'!$E237:$I237,"🔄 Em andamento")&gt;0,"Em andamento","Não iniciado"))))))))</f>
        <v/>
      </c>
      <c r="H255" s="229" t="str">
        <f>IF($B255="","",IF($G255&lt;&gt;"Concluído","Não iniciado",IF(COUNTIF(Lançamentos!$B$3:$B$1001,$B255)=0,"Bloqueado",IF('E4 — Execução'!$D237="","Bloqueado",IF(COUNTIF('E4 — Execução'!$E237:$K237,"⛔ Bloqueado")&gt;0,"Bloqueado",IF(COUNTIF('E4 — Execução'!$E237:$K237,"✔ Concluído")=7,"Concluído",IF(COUNTIF('E4 — Execução'!$E237:$K237,"✔ Concluído")+COUNTIF('E4 — Execução'!$E237:$K237,"🔄 Em andamento")&gt;0,"Em andamento","Não iniciado")))))))</f>
        <v/>
      </c>
      <c r="I255" s="229" t="str">
        <f>IF($B255="","",IF($H255&lt;&gt;"Concluído","Não iniciado",IF(COUNTIF(Lançamentos!$B$3:$B$1001,$B255)=0,"Bloqueado",IF('E5 — Validação'!$D237="","Bloqueado",IF(COUNTIF('E5 — Validação'!$E237:$I237,"⛔ Bloqueado")&gt;0,"Bloqueado",IF('E5 — Validação'!$I237="N/A","Bloqueado",IF(AND('E5 — Validação'!$E237="✔ Concluído",'E5 — Validação'!$F237="✔ Concluído",OR('E5 — Validação'!$G237="✔ Concluído",'E5 — Validação'!$G237="N/A"),'E5 — Validação'!$H237="✔ Concluído",'E5 — Validação'!$I237="✔ Concluído"),"Concluído",IF(COUNTIF('E5 — Validação'!$E237:$I237,"✔ Concluído")+COUNTIF('E5 — Validação'!$E237:$I237,"🔄 Em andamento")&gt;0,"Em andamento","Não iniciado"))))))))</f>
        <v/>
      </c>
      <c r="J255" s="229" t="str">
        <f>IF($B255="","",IF($I255&lt;&gt;"Concluído","Não iniciado",IF('E6 — Ajustes'!$N237="Não","N/A",IF(COUNTIF(Lançamentos!$B$3:$B$1001,$B255)=0,"Bloqueado",IF('E6 — Ajustes'!$D237="","Bloqueado",IF(COUNTIF('E6 — Ajustes'!$E237:$J237,"⛔ Bloqueado")&gt;0,"Bloqueado",IF(AND('E6 — Ajustes'!$E237="✔ Concluído",'E6 — Ajustes'!$F237="✔ Concluído",'E6 — Ajustes'!$G237="✔ Concluído",'E6 — Ajustes'!$H237="✔ Concluído",OR('E6 — Ajustes'!$I237="✔ Concluído",'E6 — Ajustes'!$I237="N/A"),'E6 — Ajustes'!$J237="✔ Concluído"),"Concluído",IF(COUNTIF('E6 — Ajustes'!$E237:$J237,"✔ Concluído")+COUNTIF('E6 — Ajustes'!$E237:$J237,"🔄 Em andamento")&gt;0,"Em andamento","Não iniciado"))))))))</f>
        <v/>
      </c>
      <c r="K255" s="229" t="str">
        <f>IF($B255="","",IF($I255&lt;&gt;"Concluído","Não iniciado",IF(AND($J255&lt;&gt;"Concluído",$J255&lt;&gt;"N/A"),"Não iniciado",IF(COUNTIF(Lançamentos!$B$3:$B$1001,$B255)=0,"Bloqueado",IF('E7 — Entrega'!$D237="","Bloqueado",IF(COUNTIF('E7 — Entrega'!$E237:$H237,"⛔ Bloqueado")&gt;0,"Bloqueado",IF(COUNTIF('E7 — Entrega'!$E237:$H237,"✔ Concluído")=4,"Concluído",IF(COUNTIF('E7 — Entrega'!$E237:$H237,"✔ Concluído")+COUNTIF('E7 — Entrega'!$E237:$H237,"🔄 Em andamento")&gt;0,"Em andamento","Não iniciado"))))))))</f>
        <v/>
      </c>
      <c r="L255" s="229" t="str">
        <f>IF($B255="","",IF($K255&lt;&gt;"Concluído","Não iniciado",IF(OR(COUNTIF('E08 — Estabilização Hypercare'!$E237:$J237,"⛔ Bloqueado")&gt;0,'E08 — Estabilização Hypercare'!$N237="⛔ Incidente Crítico — Encerramento Bloqueado",AND('E08 — Estabilização Hypercare'!$N237="🆕 Evolução Identificada — Nova Demanda Aberta",'E08 — Estabilização Hypercare'!$U237="")),"Bloqueado",IF(AND('E08 — Estabilização Hypercare'!$E237="✔ Concluído",'E08 — Estabilização Hypercare'!$F237="✔ Concluído",'E08 — Estabilização Hypercare'!$G237="✔ Concluído",OR('E08 — Estabilização Hypercare'!$H237="✔ Concluído",'E08 — Estabilização Hypercare'!$H237="N/A"),'E08 — Estabilização Hypercare'!$I237="✔ Concluído",'E08 — Estabilização Hypercare'!$J237="✔ Concluído",OR('E08 — Estabilização Hypercare'!$N237="✅ Estável — Demanda Encerrada",AND('E08 — Estabilização Hypercare'!$N237="🆕 Evolução Identificada — Nova Demanda Aberta",'E08 — Estabilização Hypercare'!$U237&lt;&gt;""))),"Concluído",IF(OR(COUNTIF('E08 — Estabilização Hypercare'!$E237:$J237,"✔ Concluído")&gt;0,COUNTIF('E08 — Estabilização Hypercare'!$E237:$J237,"🔄 Em andamento")&gt;0,'E08 — Estabilização Hypercare'!$N237&lt;&gt;""),"Em andamento","Não iniciado")))))</f>
        <v/>
      </c>
      <c r="M255" s="232" t="str" cm="1">
        <f t="array" ref="M255">IF(B255="","",_xlfn.IFS(E255&lt;&gt;"Concluído","E1 — Solicitação",F255&lt;&gt;"Concluído","E2 — Triagem",G255&lt;&gt;"Concluído","E3 — Levantamento ⚠",H255&lt;&gt;"Concluído","E4 — Execução",I255&lt;&gt;"Concluído","E5 — Validação ⚠",AND(J255&lt;&gt;"Concluído",J255&lt;&gt;"N/A"),"E6 — Ajustes",K255&lt;&gt;"Concluído","E7 — Entrega",L255&lt;&gt;"Concluído","E08 — Estabilização / Hypercare",TRUE,"✔ Fluxo concluído"))</f>
        <v/>
      </c>
      <c r="N255" s="233" t="str">
        <f t="shared" si="4"/>
        <v/>
      </c>
      <c r="O255" s="230"/>
    </row>
    <row r="256" spans="2:15" x14ac:dyDescent="0.35">
      <c r="B256" s="229" t="str">
        <f>IF(Lançamentos!$B233="","",Lançamentos!$B233)</f>
        <v/>
      </c>
      <c r="C256" s="231" t="str">
        <f>IF($B256="","",Lançamentos!$J233)</f>
        <v/>
      </c>
      <c r="D256" s="231" t="str">
        <f>IF($B256="","",Lançamentos!$H233)</f>
        <v/>
      </c>
      <c r="E256" s="229" t="str">
        <f>IF($B256="","",IF(COUNTIF(Lançamentos!$B$3:$B$1001,$B256)=0,"Bloqueado",IF(COUNTIF('E1 — Solicitação'!$E238:$L238,"⛔ Bloqueado")&gt;0,"Bloqueado",IF(COUNTIF('E1 — Solicitação'!$E238:$L238,"N/A")=8,"Bloqueado",IF(COUNTIF('E1 — Solicitação'!$E238:$L238,"✔ Concluído")+COUNTIF('E1 — Solicitação'!$E238:$L238,"N/A")=8,"Concluído",IF(COUNTIF('E1 — Solicitação'!$E238:$L238,"✔ Concluído")+COUNTIF('E1 — Solicitação'!$E238:$L238,"🔄 Em andamento")&gt;0,"Em andamento","Não iniciado"))))))</f>
        <v/>
      </c>
      <c r="F256" s="229" t="str">
        <f>IF($B256="","",IF($E256&lt;&gt;"Concluído","Não iniciado",IF(COUNTIF(Lançamentos!$B$3:$B$1001,$B256)=0,"Bloqueado",IF('E2 — Triagem'!$D238="","Bloqueado",IF(COUNTIF('E2 — Triagem'!$E238:$L238,"N/A")=8,"Bloqueado",IF(COUNTIF('E2 — Triagem'!$E238:$L238,"⛔ Bloqueado")&gt;0,"Bloqueado",IF(COUNTIF('E2 — Triagem'!$E238:$L238,"✔ Concluído")+COUNTIF('E2 — Triagem'!$E238:$L238,"N/A")=8,"Concluído",IF(COUNTIF('E2 — Triagem'!$E238:$L238,"✔ Concluído")+COUNTIF('E2 — Triagem'!$E238:$L238,"🔄 Em andamento")&gt;0,"Em andamento","Não iniciado"))))))))</f>
        <v/>
      </c>
      <c r="G256" s="229" t="str">
        <f>IF($B256="","",IF($F256&lt;&gt;"Concluído","Não iniciado",IF(COUNTIF(Lançamentos!$B$3:$B$1001,$B256)=0,"Bloqueado",IF('E3 — Levantamento'!$D238="","Bloqueado",IF(COUNTIF('E3 — Levantamento'!$E238:$I238,"⛔ Bloqueado")&gt;0,"Bloqueado",IF('E3 — Levantamento'!$I238="N/A","Bloqueado",IF(COUNTIF('E3 — Levantamento'!$E238:$I238,"✔ Concluído")=5,"Concluído",IF(COUNTIF('E3 — Levantamento'!$E238:$I238,"✔ Concluído")+COUNTIF('E3 — Levantamento'!$E238:$I238,"🔄 Em andamento")&gt;0,"Em andamento","Não iniciado"))))))))</f>
        <v/>
      </c>
      <c r="H256" s="229" t="str">
        <f>IF($B256="","",IF($G256&lt;&gt;"Concluído","Não iniciado",IF(COUNTIF(Lançamentos!$B$3:$B$1001,$B256)=0,"Bloqueado",IF('E4 — Execução'!$D238="","Bloqueado",IF(COUNTIF('E4 — Execução'!$E238:$K238,"⛔ Bloqueado")&gt;0,"Bloqueado",IF(COUNTIF('E4 — Execução'!$E238:$K238,"✔ Concluído")=7,"Concluído",IF(COUNTIF('E4 — Execução'!$E238:$K238,"✔ Concluído")+COUNTIF('E4 — Execução'!$E238:$K238,"🔄 Em andamento")&gt;0,"Em andamento","Não iniciado")))))))</f>
        <v/>
      </c>
      <c r="I256" s="229" t="str">
        <f>IF($B256="","",IF($H256&lt;&gt;"Concluído","Não iniciado",IF(COUNTIF(Lançamentos!$B$3:$B$1001,$B256)=0,"Bloqueado",IF('E5 — Validação'!$D238="","Bloqueado",IF(COUNTIF('E5 — Validação'!$E238:$I238,"⛔ Bloqueado")&gt;0,"Bloqueado",IF('E5 — Validação'!$I238="N/A","Bloqueado",IF(AND('E5 — Validação'!$E238="✔ Concluído",'E5 — Validação'!$F238="✔ Concluído",OR('E5 — Validação'!$G238="✔ Concluído",'E5 — Validação'!$G238="N/A"),'E5 — Validação'!$H238="✔ Concluído",'E5 — Validação'!$I238="✔ Concluído"),"Concluído",IF(COUNTIF('E5 — Validação'!$E238:$I238,"✔ Concluído")+COUNTIF('E5 — Validação'!$E238:$I238,"🔄 Em andamento")&gt;0,"Em andamento","Não iniciado"))))))))</f>
        <v/>
      </c>
      <c r="J256" s="229" t="str">
        <f>IF($B256="","",IF($I256&lt;&gt;"Concluído","Não iniciado",IF('E6 — Ajustes'!$N238="Não","N/A",IF(COUNTIF(Lançamentos!$B$3:$B$1001,$B256)=0,"Bloqueado",IF('E6 — Ajustes'!$D238="","Bloqueado",IF(COUNTIF('E6 — Ajustes'!$E238:$J238,"⛔ Bloqueado")&gt;0,"Bloqueado",IF(AND('E6 — Ajustes'!$E238="✔ Concluído",'E6 — Ajustes'!$F238="✔ Concluído",'E6 — Ajustes'!$G238="✔ Concluído",'E6 — Ajustes'!$H238="✔ Concluído",OR('E6 — Ajustes'!$I238="✔ Concluído",'E6 — Ajustes'!$I238="N/A"),'E6 — Ajustes'!$J238="✔ Concluído"),"Concluído",IF(COUNTIF('E6 — Ajustes'!$E238:$J238,"✔ Concluído")+COUNTIF('E6 — Ajustes'!$E238:$J238,"🔄 Em andamento")&gt;0,"Em andamento","Não iniciado"))))))))</f>
        <v/>
      </c>
      <c r="K256" s="229" t="str">
        <f>IF($B256="","",IF($I256&lt;&gt;"Concluído","Não iniciado",IF(AND($J256&lt;&gt;"Concluído",$J256&lt;&gt;"N/A"),"Não iniciado",IF(COUNTIF(Lançamentos!$B$3:$B$1001,$B256)=0,"Bloqueado",IF('E7 — Entrega'!$D238="","Bloqueado",IF(COUNTIF('E7 — Entrega'!$E238:$H238,"⛔ Bloqueado")&gt;0,"Bloqueado",IF(COUNTIF('E7 — Entrega'!$E238:$H238,"✔ Concluído")=4,"Concluído",IF(COUNTIF('E7 — Entrega'!$E238:$H238,"✔ Concluído")+COUNTIF('E7 — Entrega'!$E238:$H238,"🔄 Em andamento")&gt;0,"Em andamento","Não iniciado"))))))))</f>
        <v/>
      </c>
      <c r="L256" s="229" t="str">
        <f>IF($B256="","",IF($K256&lt;&gt;"Concluído","Não iniciado",IF(OR(COUNTIF('E08 — Estabilização Hypercare'!$E238:$J238,"⛔ Bloqueado")&gt;0,'E08 — Estabilização Hypercare'!$N238="⛔ Incidente Crítico — Encerramento Bloqueado",AND('E08 — Estabilização Hypercare'!$N238="🆕 Evolução Identificada — Nova Demanda Aberta",'E08 — Estabilização Hypercare'!$U238="")),"Bloqueado",IF(AND('E08 — Estabilização Hypercare'!$E238="✔ Concluído",'E08 — Estabilização Hypercare'!$F238="✔ Concluído",'E08 — Estabilização Hypercare'!$G238="✔ Concluído",OR('E08 — Estabilização Hypercare'!$H238="✔ Concluído",'E08 — Estabilização Hypercare'!$H238="N/A"),'E08 — Estabilização Hypercare'!$I238="✔ Concluído",'E08 — Estabilização Hypercare'!$J238="✔ Concluído",OR('E08 — Estabilização Hypercare'!$N238="✅ Estável — Demanda Encerrada",AND('E08 — Estabilização Hypercare'!$N238="🆕 Evolução Identificada — Nova Demanda Aberta",'E08 — Estabilização Hypercare'!$U238&lt;&gt;""))),"Concluído",IF(OR(COUNTIF('E08 — Estabilização Hypercare'!$E238:$J238,"✔ Concluído")&gt;0,COUNTIF('E08 — Estabilização Hypercare'!$E238:$J238,"🔄 Em andamento")&gt;0,'E08 — Estabilização Hypercare'!$N238&lt;&gt;""),"Em andamento","Não iniciado")))))</f>
        <v/>
      </c>
      <c r="M256" s="232" t="str" cm="1">
        <f t="array" ref="M256">IF(B256="","",_xlfn.IFS(E256&lt;&gt;"Concluído","E1 — Solicitação",F256&lt;&gt;"Concluído","E2 — Triagem",G256&lt;&gt;"Concluído","E3 — Levantamento ⚠",H256&lt;&gt;"Concluído","E4 — Execução",I256&lt;&gt;"Concluído","E5 — Validação ⚠",AND(J256&lt;&gt;"Concluído",J256&lt;&gt;"N/A"),"E6 — Ajustes",K256&lt;&gt;"Concluído","E7 — Entrega",L256&lt;&gt;"Concluído","E08 — Estabilização / Hypercare",TRUE,"✔ Fluxo concluído"))</f>
        <v/>
      </c>
      <c r="N256" s="233" t="str">
        <f t="shared" si="4"/>
        <v/>
      </c>
      <c r="O256" s="230"/>
    </row>
    <row r="257" spans="2:15" x14ac:dyDescent="0.35">
      <c r="B257" s="229" t="str">
        <f>IF(Lançamentos!$B234="","",Lançamentos!$B234)</f>
        <v/>
      </c>
      <c r="C257" s="231" t="str">
        <f>IF($B257="","",Lançamentos!$J234)</f>
        <v/>
      </c>
      <c r="D257" s="231" t="str">
        <f>IF($B257="","",Lançamentos!$H234)</f>
        <v/>
      </c>
      <c r="E257" s="229" t="str">
        <f>IF($B257="","",IF(COUNTIF(Lançamentos!$B$3:$B$1001,$B257)=0,"Bloqueado",IF(COUNTIF('E1 — Solicitação'!$E239:$L239,"⛔ Bloqueado")&gt;0,"Bloqueado",IF(COUNTIF('E1 — Solicitação'!$E239:$L239,"N/A")=8,"Bloqueado",IF(COUNTIF('E1 — Solicitação'!$E239:$L239,"✔ Concluído")+COUNTIF('E1 — Solicitação'!$E239:$L239,"N/A")=8,"Concluído",IF(COUNTIF('E1 — Solicitação'!$E239:$L239,"✔ Concluído")+COUNTIF('E1 — Solicitação'!$E239:$L239,"🔄 Em andamento")&gt;0,"Em andamento","Não iniciado"))))))</f>
        <v/>
      </c>
      <c r="F257" s="229" t="str">
        <f>IF($B257="","",IF($E257&lt;&gt;"Concluído","Não iniciado",IF(COUNTIF(Lançamentos!$B$3:$B$1001,$B257)=0,"Bloqueado",IF('E2 — Triagem'!$D239="","Bloqueado",IF(COUNTIF('E2 — Triagem'!$E239:$L239,"N/A")=8,"Bloqueado",IF(COUNTIF('E2 — Triagem'!$E239:$L239,"⛔ Bloqueado")&gt;0,"Bloqueado",IF(COUNTIF('E2 — Triagem'!$E239:$L239,"✔ Concluído")+COUNTIF('E2 — Triagem'!$E239:$L239,"N/A")=8,"Concluído",IF(COUNTIF('E2 — Triagem'!$E239:$L239,"✔ Concluído")+COUNTIF('E2 — Triagem'!$E239:$L239,"🔄 Em andamento")&gt;0,"Em andamento","Não iniciado"))))))))</f>
        <v/>
      </c>
      <c r="G257" s="229" t="str">
        <f>IF($B257="","",IF($F257&lt;&gt;"Concluído","Não iniciado",IF(COUNTIF(Lançamentos!$B$3:$B$1001,$B257)=0,"Bloqueado",IF('E3 — Levantamento'!$D239="","Bloqueado",IF(COUNTIF('E3 — Levantamento'!$E239:$I239,"⛔ Bloqueado")&gt;0,"Bloqueado",IF('E3 — Levantamento'!$I239="N/A","Bloqueado",IF(COUNTIF('E3 — Levantamento'!$E239:$I239,"✔ Concluído")=5,"Concluído",IF(COUNTIF('E3 — Levantamento'!$E239:$I239,"✔ Concluído")+COUNTIF('E3 — Levantamento'!$E239:$I239,"🔄 Em andamento")&gt;0,"Em andamento","Não iniciado"))))))))</f>
        <v/>
      </c>
      <c r="H257" s="229" t="str">
        <f>IF($B257="","",IF($G257&lt;&gt;"Concluído","Não iniciado",IF(COUNTIF(Lançamentos!$B$3:$B$1001,$B257)=0,"Bloqueado",IF('E4 — Execução'!$D239="","Bloqueado",IF(COUNTIF('E4 — Execução'!$E239:$K239,"⛔ Bloqueado")&gt;0,"Bloqueado",IF(COUNTIF('E4 — Execução'!$E239:$K239,"✔ Concluído")=7,"Concluído",IF(COUNTIF('E4 — Execução'!$E239:$K239,"✔ Concluído")+COUNTIF('E4 — Execução'!$E239:$K239,"🔄 Em andamento")&gt;0,"Em andamento","Não iniciado")))))))</f>
        <v/>
      </c>
      <c r="I257" s="229" t="str">
        <f>IF($B257="","",IF($H257&lt;&gt;"Concluído","Não iniciado",IF(COUNTIF(Lançamentos!$B$3:$B$1001,$B257)=0,"Bloqueado",IF('E5 — Validação'!$D239="","Bloqueado",IF(COUNTIF('E5 — Validação'!$E239:$I239,"⛔ Bloqueado")&gt;0,"Bloqueado",IF('E5 — Validação'!$I239="N/A","Bloqueado",IF(AND('E5 — Validação'!$E239="✔ Concluído",'E5 — Validação'!$F239="✔ Concluído",OR('E5 — Validação'!$G239="✔ Concluído",'E5 — Validação'!$G239="N/A"),'E5 — Validação'!$H239="✔ Concluído",'E5 — Validação'!$I239="✔ Concluído"),"Concluído",IF(COUNTIF('E5 — Validação'!$E239:$I239,"✔ Concluído")+COUNTIF('E5 — Validação'!$E239:$I239,"🔄 Em andamento")&gt;0,"Em andamento","Não iniciado"))))))))</f>
        <v/>
      </c>
      <c r="J257" s="229" t="str">
        <f>IF($B257="","",IF($I257&lt;&gt;"Concluído","Não iniciado",IF('E6 — Ajustes'!$N239="Não","N/A",IF(COUNTIF(Lançamentos!$B$3:$B$1001,$B257)=0,"Bloqueado",IF('E6 — Ajustes'!$D239="","Bloqueado",IF(COUNTIF('E6 — Ajustes'!$E239:$J239,"⛔ Bloqueado")&gt;0,"Bloqueado",IF(AND('E6 — Ajustes'!$E239="✔ Concluído",'E6 — Ajustes'!$F239="✔ Concluído",'E6 — Ajustes'!$G239="✔ Concluído",'E6 — Ajustes'!$H239="✔ Concluído",OR('E6 — Ajustes'!$I239="✔ Concluído",'E6 — Ajustes'!$I239="N/A"),'E6 — Ajustes'!$J239="✔ Concluído"),"Concluído",IF(COUNTIF('E6 — Ajustes'!$E239:$J239,"✔ Concluído")+COUNTIF('E6 — Ajustes'!$E239:$J239,"🔄 Em andamento")&gt;0,"Em andamento","Não iniciado"))))))))</f>
        <v/>
      </c>
      <c r="K257" s="229" t="str">
        <f>IF($B257="","",IF($I257&lt;&gt;"Concluído","Não iniciado",IF(AND($J257&lt;&gt;"Concluído",$J257&lt;&gt;"N/A"),"Não iniciado",IF(COUNTIF(Lançamentos!$B$3:$B$1001,$B257)=0,"Bloqueado",IF('E7 — Entrega'!$D239="","Bloqueado",IF(COUNTIF('E7 — Entrega'!$E239:$H239,"⛔ Bloqueado")&gt;0,"Bloqueado",IF(COUNTIF('E7 — Entrega'!$E239:$H239,"✔ Concluído")=4,"Concluído",IF(COUNTIF('E7 — Entrega'!$E239:$H239,"✔ Concluído")+COUNTIF('E7 — Entrega'!$E239:$H239,"🔄 Em andamento")&gt;0,"Em andamento","Não iniciado"))))))))</f>
        <v/>
      </c>
      <c r="L257" s="229" t="str">
        <f>IF($B257="","",IF($K257&lt;&gt;"Concluído","Não iniciado",IF(OR(COUNTIF('E08 — Estabilização Hypercare'!$E239:$J239,"⛔ Bloqueado")&gt;0,'E08 — Estabilização Hypercare'!$N239="⛔ Incidente Crítico — Encerramento Bloqueado",AND('E08 — Estabilização Hypercare'!$N239="🆕 Evolução Identificada — Nova Demanda Aberta",'E08 — Estabilização Hypercare'!$U239="")),"Bloqueado",IF(AND('E08 — Estabilização Hypercare'!$E239="✔ Concluído",'E08 — Estabilização Hypercare'!$F239="✔ Concluído",'E08 — Estabilização Hypercare'!$G239="✔ Concluído",OR('E08 — Estabilização Hypercare'!$H239="✔ Concluído",'E08 — Estabilização Hypercare'!$H239="N/A"),'E08 — Estabilização Hypercare'!$I239="✔ Concluído",'E08 — Estabilização Hypercare'!$J239="✔ Concluído",OR('E08 — Estabilização Hypercare'!$N239="✅ Estável — Demanda Encerrada",AND('E08 — Estabilização Hypercare'!$N239="🆕 Evolução Identificada — Nova Demanda Aberta",'E08 — Estabilização Hypercare'!$U239&lt;&gt;""))),"Concluído",IF(OR(COUNTIF('E08 — Estabilização Hypercare'!$E239:$J239,"✔ Concluído")&gt;0,COUNTIF('E08 — Estabilização Hypercare'!$E239:$J239,"🔄 Em andamento")&gt;0,'E08 — Estabilização Hypercare'!$N239&lt;&gt;""),"Em andamento","Não iniciado")))))</f>
        <v/>
      </c>
      <c r="M257" s="232" t="str" cm="1">
        <f t="array" ref="M257">IF(B257="","",_xlfn.IFS(E257&lt;&gt;"Concluído","E1 — Solicitação",F257&lt;&gt;"Concluído","E2 — Triagem",G257&lt;&gt;"Concluído","E3 — Levantamento ⚠",H257&lt;&gt;"Concluído","E4 — Execução",I257&lt;&gt;"Concluído","E5 — Validação ⚠",AND(J257&lt;&gt;"Concluído",J257&lt;&gt;"N/A"),"E6 — Ajustes",K257&lt;&gt;"Concluído","E7 — Entrega",L257&lt;&gt;"Concluído","E08 — Estabilização / Hypercare",TRUE,"✔ Fluxo concluído"))</f>
        <v/>
      </c>
      <c r="N257" s="233" t="str">
        <f t="shared" si="4"/>
        <v/>
      </c>
      <c r="O257" s="230"/>
    </row>
    <row r="258" spans="2:15" x14ac:dyDescent="0.35">
      <c r="B258" s="229" t="str">
        <f>IF(Lançamentos!$B235="","",Lançamentos!$B235)</f>
        <v/>
      </c>
      <c r="C258" s="231" t="str">
        <f>IF($B258="","",Lançamentos!$J235)</f>
        <v/>
      </c>
      <c r="D258" s="231" t="str">
        <f>IF($B258="","",Lançamentos!$H235)</f>
        <v/>
      </c>
      <c r="E258" s="229" t="str">
        <f>IF($B258="","",IF(COUNTIF(Lançamentos!$B$3:$B$1001,$B258)=0,"Bloqueado",IF(COUNTIF('E1 — Solicitação'!$E240:$L240,"⛔ Bloqueado")&gt;0,"Bloqueado",IF(COUNTIF('E1 — Solicitação'!$E240:$L240,"N/A")=8,"Bloqueado",IF(COUNTIF('E1 — Solicitação'!$E240:$L240,"✔ Concluído")+COUNTIF('E1 — Solicitação'!$E240:$L240,"N/A")=8,"Concluído",IF(COUNTIF('E1 — Solicitação'!$E240:$L240,"✔ Concluído")+COUNTIF('E1 — Solicitação'!$E240:$L240,"🔄 Em andamento")&gt;0,"Em andamento","Não iniciado"))))))</f>
        <v/>
      </c>
      <c r="F258" s="229" t="str">
        <f>IF($B258="","",IF($E258&lt;&gt;"Concluído","Não iniciado",IF(COUNTIF(Lançamentos!$B$3:$B$1001,$B258)=0,"Bloqueado",IF('E2 — Triagem'!$D240="","Bloqueado",IF(COUNTIF('E2 — Triagem'!$E240:$L240,"N/A")=8,"Bloqueado",IF(COUNTIF('E2 — Triagem'!$E240:$L240,"⛔ Bloqueado")&gt;0,"Bloqueado",IF(COUNTIF('E2 — Triagem'!$E240:$L240,"✔ Concluído")+COUNTIF('E2 — Triagem'!$E240:$L240,"N/A")=8,"Concluído",IF(COUNTIF('E2 — Triagem'!$E240:$L240,"✔ Concluído")+COUNTIF('E2 — Triagem'!$E240:$L240,"🔄 Em andamento")&gt;0,"Em andamento","Não iniciado"))))))))</f>
        <v/>
      </c>
      <c r="G258" s="229" t="str">
        <f>IF($B258="","",IF($F258&lt;&gt;"Concluído","Não iniciado",IF(COUNTIF(Lançamentos!$B$3:$B$1001,$B258)=0,"Bloqueado",IF('E3 — Levantamento'!$D240="","Bloqueado",IF(COUNTIF('E3 — Levantamento'!$E240:$I240,"⛔ Bloqueado")&gt;0,"Bloqueado",IF('E3 — Levantamento'!$I240="N/A","Bloqueado",IF(COUNTIF('E3 — Levantamento'!$E240:$I240,"✔ Concluído")=5,"Concluído",IF(COUNTIF('E3 — Levantamento'!$E240:$I240,"✔ Concluído")+COUNTIF('E3 — Levantamento'!$E240:$I240,"🔄 Em andamento")&gt;0,"Em andamento","Não iniciado"))))))))</f>
        <v/>
      </c>
      <c r="H258" s="229" t="str">
        <f>IF($B258="","",IF($G258&lt;&gt;"Concluído","Não iniciado",IF(COUNTIF(Lançamentos!$B$3:$B$1001,$B258)=0,"Bloqueado",IF('E4 — Execução'!$D240="","Bloqueado",IF(COUNTIF('E4 — Execução'!$E240:$K240,"⛔ Bloqueado")&gt;0,"Bloqueado",IF(COUNTIF('E4 — Execução'!$E240:$K240,"✔ Concluído")=7,"Concluído",IF(COUNTIF('E4 — Execução'!$E240:$K240,"✔ Concluído")+COUNTIF('E4 — Execução'!$E240:$K240,"🔄 Em andamento")&gt;0,"Em andamento","Não iniciado")))))))</f>
        <v/>
      </c>
      <c r="I258" s="229" t="str">
        <f>IF($B258="","",IF($H258&lt;&gt;"Concluído","Não iniciado",IF(COUNTIF(Lançamentos!$B$3:$B$1001,$B258)=0,"Bloqueado",IF('E5 — Validação'!$D240="","Bloqueado",IF(COUNTIF('E5 — Validação'!$E240:$I240,"⛔ Bloqueado")&gt;0,"Bloqueado",IF('E5 — Validação'!$I240="N/A","Bloqueado",IF(AND('E5 — Validação'!$E240="✔ Concluído",'E5 — Validação'!$F240="✔ Concluído",OR('E5 — Validação'!$G240="✔ Concluído",'E5 — Validação'!$G240="N/A"),'E5 — Validação'!$H240="✔ Concluído",'E5 — Validação'!$I240="✔ Concluído"),"Concluído",IF(COUNTIF('E5 — Validação'!$E240:$I240,"✔ Concluído")+COUNTIF('E5 — Validação'!$E240:$I240,"🔄 Em andamento")&gt;0,"Em andamento","Não iniciado"))))))))</f>
        <v/>
      </c>
      <c r="J258" s="229" t="str">
        <f>IF($B258="","",IF($I258&lt;&gt;"Concluído","Não iniciado",IF('E6 — Ajustes'!$N240="Não","N/A",IF(COUNTIF(Lançamentos!$B$3:$B$1001,$B258)=0,"Bloqueado",IF('E6 — Ajustes'!$D240="","Bloqueado",IF(COUNTIF('E6 — Ajustes'!$E240:$J240,"⛔ Bloqueado")&gt;0,"Bloqueado",IF(AND('E6 — Ajustes'!$E240="✔ Concluído",'E6 — Ajustes'!$F240="✔ Concluído",'E6 — Ajustes'!$G240="✔ Concluído",'E6 — Ajustes'!$H240="✔ Concluído",OR('E6 — Ajustes'!$I240="✔ Concluído",'E6 — Ajustes'!$I240="N/A"),'E6 — Ajustes'!$J240="✔ Concluído"),"Concluído",IF(COUNTIF('E6 — Ajustes'!$E240:$J240,"✔ Concluído")+COUNTIF('E6 — Ajustes'!$E240:$J240,"🔄 Em andamento")&gt;0,"Em andamento","Não iniciado"))))))))</f>
        <v/>
      </c>
      <c r="K258" s="229" t="str">
        <f>IF($B258="","",IF($I258&lt;&gt;"Concluído","Não iniciado",IF(AND($J258&lt;&gt;"Concluído",$J258&lt;&gt;"N/A"),"Não iniciado",IF(COUNTIF(Lançamentos!$B$3:$B$1001,$B258)=0,"Bloqueado",IF('E7 — Entrega'!$D240="","Bloqueado",IF(COUNTIF('E7 — Entrega'!$E240:$H240,"⛔ Bloqueado")&gt;0,"Bloqueado",IF(COUNTIF('E7 — Entrega'!$E240:$H240,"✔ Concluído")=4,"Concluído",IF(COUNTIF('E7 — Entrega'!$E240:$H240,"✔ Concluído")+COUNTIF('E7 — Entrega'!$E240:$H240,"🔄 Em andamento")&gt;0,"Em andamento","Não iniciado"))))))))</f>
        <v/>
      </c>
      <c r="L258" s="229" t="str">
        <f>IF($B258="","",IF($K258&lt;&gt;"Concluído","Não iniciado",IF(OR(COUNTIF('E08 — Estabilização Hypercare'!$E240:$J240,"⛔ Bloqueado")&gt;0,'E08 — Estabilização Hypercare'!$N240="⛔ Incidente Crítico — Encerramento Bloqueado",AND('E08 — Estabilização Hypercare'!$N240="🆕 Evolução Identificada — Nova Demanda Aberta",'E08 — Estabilização Hypercare'!$U240="")),"Bloqueado",IF(AND('E08 — Estabilização Hypercare'!$E240="✔ Concluído",'E08 — Estabilização Hypercare'!$F240="✔ Concluído",'E08 — Estabilização Hypercare'!$G240="✔ Concluído",OR('E08 — Estabilização Hypercare'!$H240="✔ Concluído",'E08 — Estabilização Hypercare'!$H240="N/A"),'E08 — Estabilização Hypercare'!$I240="✔ Concluído",'E08 — Estabilização Hypercare'!$J240="✔ Concluído",OR('E08 — Estabilização Hypercare'!$N240="✅ Estável — Demanda Encerrada",AND('E08 — Estabilização Hypercare'!$N240="🆕 Evolução Identificada — Nova Demanda Aberta",'E08 — Estabilização Hypercare'!$U240&lt;&gt;""))),"Concluído",IF(OR(COUNTIF('E08 — Estabilização Hypercare'!$E240:$J240,"✔ Concluído")&gt;0,COUNTIF('E08 — Estabilização Hypercare'!$E240:$J240,"🔄 Em andamento")&gt;0,'E08 — Estabilização Hypercare'!$N240&lt;&gt;""),"Em andamento","Não iniciado")))))</f>
        <v/>
      </c>
      <c r="M258" s="232" t="str" cm="1">
        <f t="array" ref="M258">IF(B258="","",_xlfn.IFS(E258&lt;&gt;"Concluído","E1 — Solicitação",F258&lt;&gt;"Concluído","E2 — Triagem",G258&lt;&gt;"Concluído","E3 — Levantamento ⚠",H258&lt;&gt;"Concluído","E4 — Execução",I258&lt;&gt;"Concluído","E5 — Validação ⚠",AND(J258&lt;&gt;"Concluído",J258&lt;&gt;"N/A"),"E6 — Ajustes",K258&lt;&gt;"Concluído","E7 — Entrega",L258&lt;&gt;"Concluído","E08 — Estabilização / Hypercare",TRUE,"✔ Fluxo concluído"))</f>
        <v/>
      </c>
      <c r="N258" s="233" t="str">
        <f t="shared" si="4"/>
        <v/>
      </c>
      <c r="O258" s="230"/>
    </row>
    <row r="259" spans="2:15" x14ac:dyDescent="0.35">
      <c r="B259" s="229" t="str">
        <f>IF(Lançamentos!$B236="","",Lançamentos!$B236)</f>
        <v/>
      </c>
      <c r="C259" s="231" t="str">
        <f>IF($B259="","",Lançamentos!$J236)</f>
        <v/>
      </c>
      <c r="D259" s="231" t="str">
        <f>IF($B259="","",Lançamentos!$H236)</f>
        <v/>
      </c>
      <c r="E259" s="229" t="str">
        <f>IF($B259="","",IF(COUNTIF(Lançamentos!$B$3:$B$1001,$B259)=0,"Bloqueado",IF(COUNTIF('E1 — Solicitação'!$E241:$L241,"⛔ Bloqueado")&gt;0,"Bloqueado",IF(COUNTIF('E1 — Solicitação'!$E241:$L241,"N/A")=8,"Bloqueado",IF(COUNTIF('E1 — Solicitação'!$E241:$L241,"✔ Concluído")+COUNTIF('E1 — Solicitação'!$E241:$L241,"N/A")=8,"Concluído",IF(COUNTIF('E1 — Solicitação'!$E241:$L241,"✔ Concluído")+COUNTIF('E1 — Solicitação'!$E241:$L241,"🔄 Em andamento")&gt;0,"Em andamento","Não iniciado"))))))</f>
        <v/>
      </c>
      <c r="F259" s="229" t="str">
        <f>IF($B259="","",IF($E259&lt;&gt;"Concluído","Não iniciado",IF(COUNTIF(Lançamentos!$B$3:$B$1001,$B259)=0,"Bloqueado",IF('E2 — Triagem'!$D241="","Bloqueado",IF(COUNTIF('E2 — Triagem'!$E241:$L241,"N/A")=8,"Bloqueado",IF(COUNTIF('E2 — Triagem'!$E241:$L241,"⛔ Bloqueado")&gt;0,"Bloqueado",IF(COUNTIF('E2 — Triagem'!$E241:$L241,"✔ Concluído")+COUNTIF('E2 — Triagem'!$E241:$L241,"N/A")=8,"Concluído",IF(COUNTIF('E2 — Triagem'!$E241:$L241,"✔ Concluído")+COUNTIF('E2 — Triagem'!$E241:$L241,"🔄 Em andamento")&gt;0,"Em andamento","Não iniciado"))))))))</f>
        <v/>
      </c>
      <c r="G259" s="229" t="str">
        <f>IF($B259="","",IF($F259&lt;&gt;"Concluído","Não iniciado",IF(COUNTIF(Lançamentos!$B$3:$B$1001,$B259)=0,"Bloqueado",IF('E3 — Levantamento'!$D241="","Bloqueado",IF(COUNTIF('E3 — Levantamento'!$E241:$I241,"⛔ Bloqueado")&gt;0,"Bloqueado",IF('E3 — Levantamento'!$I241="N/A","Bloqueado",IF(COUNTIF('E3 — Levantamento'!$E241:$I241,"✔ Concluído")=5,"Concluído",IF(COUNTIF('E3 — Levantamento'!$E241:$I241,"✔ Concluído")+COUNTIF('E3 — Levantamento'!$E241:$I241,"🔄 Em andamento")&gt;0,"Em andamento","Não iniciado"))))))))</f>
        <v/>
      </c>
      <c r="H259" s="229" t="str">
        <f>IF($B259="","",IF($G259&lt;&gt;"Concluído","Não iniciado",IF(COUNTIF(Lançamentos!$B$3:$B$1001,$B259)=0,"Bloqueado",IF('E4 — Execução'!$D241="","Bloqueado",IF(COUNTIF('E4 — Execução'!$E241:$K241,"⛔ Bloqueado")&gt;0,"Bloqueado",IF(COUNTIF('E4 — Execução'!$E241:$K241,"✔ Concluído")=7,"Concluído",IF(COUNTIF('E4 — Execução'!$E241:$K241,"✔ Concluído")+COUNTIF('E4 — Execução'!$E241:$K241,"🔄 Em andamento")&gt;0,"Em andamento","Não iniciado")))))))</f>
        <v/>
      </c>
      <c r="I259" s="229" t="str">
        <f>IF($B259="","",IF($H259&lt;&gt;"Concluído","Não iniciado",IF(COUNTIF(Lançamentos!$B$3:$B$1001,$B259)=0,"Bloqueado",IF('E5 — Validação'!$D241="","Bloqueado",IF(COUNTIF('E5 — Validação'!$E241:$I241,"⛔ Bloqueado")&gt;0,"Bloqueado",IF('E5 — Validação'!$I241="N/A","Bloqueado",IF(AND('E5 — Validação'!$E241="✔ Concluído",'E5 — Validação'!$F241="✔ Concluído",OR('E5 — Validação'!$G241="✔ Concluído",'E5 — Validação'!$G241="N/A"),'E5 — Validação'!$H241="✔ Concluído",'E5 — Validação'!$I241="✔ Concluído"),"Concluído",IF(COUNTIF('E5 — Validação'!$E241:$I241,"✔ Concluído")+COUNTIF('E5 — Validação'!$E241:$I241,"🔄 Em andamento")&gt;0,"Em andamento","Não iniciado"))))))))</f>
        <v/>
      </c>
      <c r="J259" s="229" t="str">
        <f>IF($B259="","",IF($I259&lt;&gt;"Concluído","Não iniciado",IF('E6 — Ajustes'!$N241="Não","N/A",IF(COUNTIF(Lançamentos!$B$3:$B$1001,$B259)=0,"Bloqueado",IF('E6 — Ajustes'!$D241="","Bloqueado",IF(COUNTIF('E6 — Ajustes'!$E241:$J241,"⛔ Bloqueado")&gt;0,"Bloqueado",IF(AND('E6 — Ajustes'!$E241="✔ Concluído",'E6 — Ajustes'!$F241="✔ Concluído",'E6 — Ajustes'!$G241="✔ Concluído",'E6 — Ajustes'!$H241="✔ Concluído",OR('E6 — Ajustes'!$I241="✔ Concluído",'E6 — Ajustes'!$I241="N/A"),'E6 — Ajustes'!$J241="✔ Concluído"),"Concluído",IF(COUNTIF('E6 — Ajustes'!$E241:$J241,"✔ Concluído")+COUNTIF('E6 — Ajustes'!$E241:$J241,"🔄 Em andamento")&gt;0,"Em andamento","Não iniciado"))))))))</f>
        <v/>
      </c>
      <c r="K259" s="229" t="str">
        <f>IF($B259="","",IF($I259&lt;&gt;"Concluído","Não iniciado",IF(AND($J259&lt;&gt;"Concluído",$J259&lt;&gt;"N/A"),"Não iniciado",IF(COUNTIF(Lançamentos!$B$3:$B$1001,$B259)=0,"Bloqueado",IF('E7 — Entrega'!$D241="","Bloqueado",IF(COUNTIF('E7 — Entrega'!$E241:$H241,"⛔ Bloqueado")&gt;0,"Bloqueado",IF(COUNTIF('E7 — Entrega'!$E241:$H241,"✔ Concluído")=4,"Concluído",IF(COUNTIF('E7 — Entrega'!$E241:$H241,"✔ Concluído")+COUNTIF('E7 — Entrega'!$E241:$H241,"🔄 Em andamento")&gt;0,"Em andamento","Não iniciado"))))))))</f>
        <v/>
      </c>
      <c r="L259" s="229" t="str">
        <f>IF($B259="","",IF($K259&lt;&gt;"Concluído","Não iniciado",IF(OR(COUNTIF('E08 — Estabilização Hypercare'!$E241:$J241,"⛔ Bloqueado")&gt;0,'E08 — Estabilização Hypercare'!$N241="⛔ Incidente Crítico — Encerramento Bloqueado",AND('E08 — Estabilização Hypercare'!$N241="🆕 Evolução Identificada — Nova Demanda Aberta",'E08 — Estabilização Hypercare'!$U241="")),"Bloqueado",IF(AND('E08 — Estabilização Hypercare'!$E241="✔ Concluído",'E08 — Estabilização Hypercare'!$F241="✔ Concluído",'E08 — Estabilização Hypercare'!$G241="✔ Concluído",OR('E08 — Estabilização Hypercare'!$H241="✔ Concluído",'E08 — Estabilização Hypercare'!$H241="N/A"),'E08 — Estabilização Hypercare'!$I241="✔ Concluído",'E08 — Estabilização Hypercare'!$J241="✔ Concluído",OR('E08 — Estabilização Hypercare'!$N241="✅ Estável — Demanda Encerrada",AND('E08 — Estabilização Hypercare'!$N241="🆕 Evolução Identificada — Nova Demanda Aberta",'E08 — Estabilização Hypercare'!$U241&lt;&gt;""))),"Concluído",IF(OR(COUNTIF('E08 — Estabilização Hypercare'!$E241:$J241,"✔ Concluído")&gt;0,COUNTIF('E08 — Estabilização Hypercare'!$E241:$J241,"🔄 Em andamento")&gt;0,'E08 — Estabilização Hypercare'!$N241&lt;&gt;""),"Em andamento","Não iniciado")))))</f>
        <v/>
      </c>
      <c r="M259" s="232" t="str" cm="1">
        <f t="array" ref="M259">IF(B259="","",_xlfn.IFS(E259&lt;&gt;"Concluído","E1 — Solicitação",F259&lt;&gt;"Concluído","E2 — Triagem",G259&lt;&gt;"Concluído","E3 — Levantamento ⚠",H259&lt;&gt;"Concluído","E4 — Execução",I259&lt;&gt;"Concluído","E5 — Validação ⚠",AND(J259&lt;&gt;"Concluído",J259&lt;&gt;"N/A"),"E6 — Ajustes",K259&lt;&gt;"Concluído","E7 — Entrega",L259&lt;&gt;"Concluído","E08 — Estabilização / Hypercare",TRUE,"✔ Fluxo concluído"))</f>
        <v/>
      </c>
      <c r="N259" s="233" t="str">
        <f t="shared" si="4"/>
        <v/>
      </c>
      <c r="O259" s="230"/>
    </row>
    <row r="260" spans="2:15" x14ac:dyDescent="0.35">
      <c r="B260" s="229" t="str">
        <f>IF(Lançamentos!$B237="","",Lançamentos!$B237)</f>
        <v/>
      </c>
      <c r="C260" s="231" t="str">
        <f>IF($B260="","",Lançamentos!$J237)</f>
        <v/>
      </c>
      <c r="D260" s="231" t="str">
        <f>IF($B260="","",Lançamentos!$H237)</f>
        <v/>
      </c>
      <c r="E260" s="229" t="str">
        <f>IF($B260="","",IF(COUNTIF(Lançamentos!$B$3:$B$1001,$B260)=0,"Bloqueado",IF(COUNTIF('E1 — Solicitação'!$E242:$L242,"⛔ Bloqueado")&gt;0,"Bloqueado",IF(COUNTIF('E1 — Solicitação'!$E242:$L242,"N/A")=8,"Bloqueado",IF(COUNTIF('E1 — Solicitação'!$E242:$L242,"✔ Concluído")+COUNTIF('E1 — Solicitação'!$E242:$L242,"N/A")=8,"Concluído",IF(COUNTIF('E1 — Solicitação'!$E242:$L242,"✔ Concluído")+COUNTIF('E1 — Solicitação'!$E242:$L242,"🔄 Em andamento")&gt;0,"Em andamento","Não iniciado"))))))</f>
        <v/>
      </c>
      <c r="F260" s="229" t="str">
        <f>IF($B260="","",IF($E260&lt;&gt;"Concluído","Não iniciado",IF(COUNTIF(Lançamentos!$B$3:$B$1001,$B260)=0,"Bloqueado",IF('E2 — Triagem'!$D242="","Bloqueado",IF(COUNTIF('E2 — Triagem'!$E242:$L242,"N/A")=8,"Bloqueado",IF(COUNTIF('E2 — Triagem'!$E242:$L242,"⛔ Bloqueado")&gt;0,"Bloqueado",IF(COUNTIF('E2 — Triagem'!$E242:$L242,"✔ Concluído")+COUNTIF('E2 — Triagem'!$E242:$L242,"N/A")=8,"Concluído",IF(COUNTIF('E2 — Triagem'!$E242:$L242,"✔ Concluído")+COUNTIF('E2 — Triagem'!$E242:$L242,"🔄 Em andamento")&gt;0,"Em andamento","Não iniciado"))))))))</f>
        <v/>
      </c>
      <c r="G260" s="229" t="str">
        <f>IF($B260="","",IF($F260&lt;&gt;"Concluído","Não iniciado",IF(COUNTIF(Lançamentos!$B$3:$B$1001,$B260)=0,"Bloqueado",IF('E3 — Levantamento'!$D242="","Bloqueado",IF(COUNTIF('E3 — Levantamento'!$E242:$I242,"⛔ Bloqueado")&gt;0,"Bloqueado",IF('E3 — Levantamento'!$I242="N/A","Bloqueado",IF(COUNTIF('E3 — Levantamento'!$E242:$I242,"✔ Concluído")=5,"Concluído",IF(COUNTIF('E3 — Levantamento'!$E242:$I242,"✔ Concluído")+COUNTIF('E3 — Levantamento'!$E242:$I242,"🔄 Em andamento")&gt;0,"Em andamento","Não iniciado"))))))))</f>
        <v/>
      </c>
      <c r="H260" s="229" t="str">
        <f>IF($B260="","",IF($G260&lt;&gt;"Concluído","Não iniciado",IF(COUNTIF(Lançamentos!$B$3:$B$1001,$B260)=0,"Bloqueado",IF('E4 — Execução'!$D242="","Bloqueado",IF(COUNTIF('E4 — Execução'!$E242:$K242,"⛔ Bloqueado")&gt;0,"Bloqueado",IF(COUNTIF('E4 — Execução'!$E242:$K242,"✔ Concluído")=7,"Concluído",IF(COUNTIF('E4 — Execução'!$E242:$K242,"✔ Concluído")+COUNTIF('E4 — Execução'!$E242:$K242,"🔄 Em andamento")&gt;0,"Em andamento","Não iniciado")))))))</f>
        <v/>
      </c>
      <c r="I260" s="229" t="str">
        <f>IF($B260="","",IF($H260&lt;&gt;"Concluído","Não iniciado",IF(COUNTIF(Lançamentos!$B$3:$B$1001,$B260)=0,"Bloqueado",IF('E5 — Validação'!$D242="","Bloqueado",IF(COUNTIF('E5 — Validação'!$E242:$I242,"⛔ Bloqueado")&gt;0,"Bloqueado",IF('E5 — Validação'!$I242="N/A","Bloqueado",IF(AND('E5 — Validação'!$E242="✔ Concluído",'E5 — Validação'!$F242="✔ Concluído",OR('E5 — Validação'!$G242="✔ Concluído",'E5 — Validação'!$G242="N/A"),'E5 — Validação'!$H242="✔ Concluído",'E5 — Validação'!$I242="✔ Concluído"),"Concluído",IF(COUNTIF('E5 — Validação'!$E242:$I242,"✔ Concluído")+COUNTIF('E5 — Validação'!$E242:$I242,"🔄 Em andamento")&gt;0,"Em andamento","Não iniciado"))))))))</f>
        <v/>
      </c>
      <c r="J260" s="229" t="str">
        <f>IF($B260="","",IF($I260&lt;&gt;"Concluído","Não iniciado",IF('E6 — Ajustes'!$N242="Não","N/A",IF(COUNTIF(Lançamentos!$B$3:$B$1001,$B260)=0,"Bloqueado",IF('E6 — Ajustes'!$D242="","Bloqueado",IF(COUNTIF('E6 — Ajustes'!$E242:$J242,"⛔ Bloqueado")&gt;0,"Bloqueado",IF(AND('E6 — Ajustes'!$E242="✔ Concluído",'E6 — Ajustes'!$F242="✔ Concluído",'E6 — Ajustes'!$G242="✔ Concluído",'E6 — Ajustes'!$H242="✔ Concluído",OR('E6 — Ajustes'!$I242="✔ Concluído",'E6 — Ajustes'!$I242="N/A"),'E6 — Ajustes'!$J242="✔ Concluído"),"Concluído",IF(COUNTIF('E6 — Ajustes'!$E242:$J242,"✔ Concluído")+COUNTIF('E6 — Ajustes'!$E242:$J242,"🔄 Em andamento")&gt;0,"Em andamento","Não iniciado"))))))))</f>
        <v/>
      </c>
      <c r="K260" s="229" t="str">
        <f>IF($B260="","",IF($I260&lt;&gt;"Concluído","Não iniciado",IF(AND($J260&lt;&gt;"Concluído",$J260&lt;&gt;"N/A"),"Não iniciado",IF(COUNTIF(Lançamentos!$B$3:$B$1001,$B260)=0,"Bloqueado",IF('E7 — Entrega'!$D242="","Bloqueado",IF(COUNTIF('E7 — Entrega'!$E242:$H242,"⛔ Bloqueado")&gt;0,"Bloqueado",IF(COUNTIF('E7 — Entrega'!$E242:$H242,"✔ Concluído")=4,"Concluído",IF(COUNTIF('E7 — Entrega'!$E242:$H242,"✔ Concluído")+COUNTIF('E7 — Entrega'!$E242:$H242,"🔄 Em andamento")&gt;0,"Em andamento","Não iniciado"))))))))</f>
        <v/>
      </c>
      <c r="L260" s="229" t="str">
        <f>IF($B260="","",IF($K260&lt;&gt;"Concluído","Não iniciado",IF(OR(COUNTIF('E08 — Estabilização Hypercare'!$E242:$J242,"⛔ Bloqueado")&gt;0,'E08 — Estabilização Hypercare'!$N242="⛔ Incidente Crítico — Encerramento Bloqueado",AND('E08 — Estabilização Hypercare'!$N242="🆕 Evolução Identificada — Nova Demanda Aberta",'E08 — Estabilização Hypercare'!$U242="")),"Bloqueado",IF(AND('E08 — Estabilização Hypercare'!$E242="✔ Concluído",'E08 — Estabilização Hypercare'!$F242="✔ Concluído",'E08 — Estabilização Hypercare'!$G242="✔ Concluído",OR('E08 — Estabilização Hypercare'!$H242="✔ Concluído",'E08 — Estabilização Hypercare'!$H242="N/A"),'E08 — Estabilização Hypercare'!$I242="✔ Concluído",'E08 — Estabilização Hypercare'!$J242="✔ Concluído",OR('E08 — Estabilização Hypercare'!$N242="✅ Estável — Demanda Encerrada",AND('E08 — Estabilização Hypercare'!$N242="🆕 Evolução Identificada — Nova Demanda Aberta",'E08 — Estabilização Hypercare'!$U242&lt;&gt;""))),"Concluído",IF(OR(COUNTIF('E08 — Estabilização Hypercare'!$E242:$J242,"✔ Concluído")&gt;0,COUNTIF('E08 — Estabilização Hypercare'!$E242:$J242,"🔄 Em andamento")&gt;0,'E08 — Estabilização Hypercare'!$N242&lt;&gt;""),"Em andamento","Não iniciado")))))</f>
        <v/>
      </c>
      <c r="M260" s="232" t="str" cm="1">
        <f t="array" ref="M260">IF(B260="","",_xlfn.IFS(E260&lt;&gt;"Concluído","E1 — Solicitação",F260&lt;&gt;"Concluído","E2 — Triagem",G260&lt;&gt;"Concluído","E3 — Levantamento ⚠",H260&lt;&gt;"Concluído","E4 — Execução",I260&lt;&gt;"Concluído","E5 — Validação ⚠",AND(J260&lt;&gt;"Concluído",J260&lt;&gt;"N/A"),"E6 — Ajustes",K260&lt;&gt;"Concluído","E7 — Entrega",L260&lt;&gt;"Concluído","E08 — Estabilização / Hypercare",TRUE,"✔ Fluxo concluído"))</f>
        <v/>
      </c>
      <c r="N260" s="233" t="str">
        <f t="shared" si="4"/>
        <v/>
      </c>
      <c r="O260" s="230"/>
    </row>
    <row r="261" spans="2:15" x14ac:dyDescent="0.35">
      <c r="B261" s="229" t="str">
        <f>IF(Lançamentos!$B238="","",Lançamentos!$B238)</f>
        <v/>
      </c>
      <c r="C261" s="231" t="str">
        <f>IF($B261="","",Lançamentos!$J238)</f>
        <v/>
      </c>
      <c r="D261" s="231" t="str">
        <f>IF($B261="","",Lançamentos!$H238)</f>
        <v/>
      </c>
      <c r="E261" s="229" t="str">
        <f>IF($B261="","",IF(COUNTIF(Lançamentos!$B$3:$B$1001,$B261)=0,"Bloqueado",IF(COUNTIF('E1 — Solicitação'!$E243:$L243,"⛔ Bloqueado")&gt;0,"Bloqueado",IF(COUNTIF('E1 — Solicitação'!$E243:$L243,"N/A")=8,"Bloqueado",IF(COUNTIF('E1 — Solicitação'!$E243:$L243,"✔ Concluído")+COUNTIF('E1 — Solicitação'!$E243:$L243,"N/A")=8,"Concluído",IF(COUNTIF('E1 — Solicitação'!$E243:$L243,"✔ Concluído")+COUNTIF('E1 — Solicitação'!$E243:$L243,"🔄 Em andamento")&gt;0,"Em andamento","Não iniciado"))))))</f>
        <v/>
      </c>
      <c r="F261" s="229" t="str">
        <f>IF($B261="","",IF($E261&lt;&gt;"Concluído","Não iniciado",IF(COUNTIF(Lançamentos!$B$3:$B$1001,$B261)=0,"Bloqueado",IF('E2 — Triagem'!$D243="","Bloqueado",IF(COUNTIF('E2 — Triagem'!$E243:$L243,"N/A")=8,"Bloqueado",IF(COUNTIF('E2 — Triagem'!$E243:$L243,"⛔ Bloqueado")&gt;0,"Bloqueado",IF(COUNTIF('E2 — Triagem'!$E243:$L243,"✔ Concluído")+COUNTIF('E2 — Triagem'!$E243:$L243,"N/A")=8,"Concluído",IF(COUNTIF('E2 — Triagem'!$E243:$L243,"✔ Concluído")+COUNTIF('E2 — Triagem'!$E243:$L243,"🔄 Em andamento")&gt;0,"Em andamento","Não iniciado"))))))))</f>
        <v/>
      </c>
      <c r="G261" s="229" t="str">
        <f>IF($B261="","",IF($F261&lt;&gt;"Concluído","Não iniciado",IF(COUNTIF(Lançamentos!$B$3:$B$1001,$B261)=0,"Bloqueado",IF('E3 — Levantamento'!$D243="","Bloqueado",IF(COUNTIF('E3 — Levantamento'!$E243:$I243,"⛔ Bloqueado")&gt;0,"Bloqueado",IF('E3 — Levantamento'!$I243="N/A","Bloqueado",IF(COUNTIF('E3 — Levantamento'!$E243:$I243,"✔ Concluído")=5,"Concluído",IF(COUNTIF('E3 — Levantamento'!$E243:$I243,"✔ Concluído")+COUNTIF('E3 — Levantamento'!$E243:$I243,"🔄 Em andamento")&gt;0,"Em andamento","Não iniciado"))))))))</f>
        <v/>
      </c>
      <c r="H261" s="229" t="str">
        <f>IF($B261="","",IF($G261&lt;&gt;"Concluído","Não iniciado",IF(COUNTIF(Lançamentos!$B$3:$B$1001,$B261)=0,"Bloqueado",IF('E4 — Execução'!$D243="","Bloqueado",IF(COUNTIF('E4 — Execução'!$E243:$K243,"⛔ Bloqueado")&gt;0,"Bloqueado",IF(COUNTIF('E4 — Execução'!$E243:$K243,"✔ Concluído")=7,"Concluído",IF(COUNTIF('E4 — Execução'!$E243:$K243,"✔ Concluído")+COUNTIF('E4 — Execução'!$E243:$K243,"🔄 Em andamento")&gt;0,"Em andamento","Não iniciado")))))))</f>
        <v/>
      </c>
      <c r="I261" s="229" t="str">
        <f>IF($B261="","",IF($H261&lt;&gt;"Concluído","Não iniciado",IF(COUNTIF(Lançamentos!$B$3:$B$1001,$B261)=0,"Bloqueado",IF('E5 — Validação'!$D243="","Bloqueado",IF(COUNTIF('E5 — Validação'!$E243:$I243,"⛔ Bloqueado")&gt;0,"Bloqueado",IF('E5 — Validação'!$I243="N/A","Bloqueado",IF(AND('E5 — Validação'!$E243="✔ Concluído",'E5 — Validação'!$F243="✔ Concluído",OR('E5 — Validação'!$G243="✔ Concluído",'E5 — Validação'!$G243="N/A"),'E5 — Validação'!$H243="✔ Concluído",'E5 — Validação'!$I243="✔ Concluído"),"Concluído",IF(COUNTIF('E5 — Validação'!$E243:$I243,"✔ Concluído")+COUNTIF('E5 — Validação'!$E243:$I243,"🔄 Em andamento")&gt;0,"Em andamento","Não iniciado"))))))))</f>
        <v/>
      </c>
      <c r="J261" s="229" t="str">
        <f>IF($B261="","",IF($I261&lt;&gt;"Concluído","Não iniciado",IF('E6 — Ajustes'!$N243="Não","N/A",IF(COUNTIF(Lançamentos!$B$3:$B$1001,$B261)=0,"Bloqueado",IF('E6 — Ajustes'!$D243="","Bloqueado",IF(COUNTIF('E6 — Ajustes'!$E243:$J243,"⛔ Bloqueado")&gt;0,"Bloqueado",IF(AND('E6 — Ajustes'!$E243="✔ Concluído",'E6 — Ajustes'!$F243="✔ Concluído",'E6 — Ajustes'!$G243="✔ Concluído",'E6 — Ajustes'!$H243="✔ Concluído",OR('E6 — Ajustes'!$I243="✔ Concluído",'E6 — Ajustes'!$I243="N/A"),'E6 — Ajustes'!$J243="✔ Concluído"),"Concluído",IF(COUNTIF('E6 — Ajustes'!$E243:$J243,"✔ Concluído")+COUNTIF('E6 — Ajustes'!$E243:$J243,"🔄 Em andamento")&gt;0,"Em andamento","Não iniciado"))))))))</f>
        <v/>
      </c>
      <c r="K261" s="229" t="str">
        <f>IF($B261="","",IF($I261&lt;&gt;"Concluído","Não iniciado",IF(AND($J261&lt;&gt;"Concluído",$J261&lt;&gt;"N/A"),"Não iniciado",IF(COUNTIF(Lançamentos!$B$3:$B$1001,$B261)=0,"Bloqueado",IF('E7 — Entrega'!$D243="","Bloqueado",IF(COUNTIF('E7 — Entrega'!$E243:$H243,"⛔ Bloqueado")&gt;0,"Bloqueado",IF(COUNTIF('E7 — Entrega'!$E243:$H243,"✔ Concluído")=4,"Concluído",IF(COUNTIF('E7 — Entrega'!$E243:$H243,"✔ Concluído")+COUNTIF('E7 — Entrega'!$E243:$H243,"🔄 Em andamento")&gt;0,"Em andamento","Não iniciado"))))))))</f>
        <v/>
      </c>
      <c r="L261" s="229" t="str">
        <f>IF($B261="","",IF($K261&lt;&gt;"Concluído","Não iniciado",IF(OR(COUNTIF('E08 — Estabilização Hypercare'!$E243:$J243,"⛔ Bloqueado")&gt;0,'E08 — Estabilização Hypercare'!$N243="⛔ Incidente Crítico — Encerramento Bloqueado",AND('E08 — Estabilização Hypercare'!$N243="🆕 Evolução Identificada — Nova Demanda Aberta",'E08 — Estabilização Hypercare'!$U243="")),"Bloqueado",IF(AND('E08 — Estabilização Hypercare'!$E243="✔ Concluído",'E08 — Estabilização Hypercare'!$F243="✔ Concluído",'E08 — Estabilização Hypercare'!$G243="✔ Concluído",OR('E08 — Estabilização Hypercare'!$H243="✔ Concluído",'E08 — Estabilização Hypercare'!$H243="N/A"),'E08 — Estabilização Hypercare'!$I243="✔ Concluído",'E08 — Estabilização Hypercare'!$J243="✔ Concluído",OR('E08 — Estabilização Hypercare'!$N243="✅ Estável — Demanda Encerrada",AND('E08 — Estabilização Hypercare'!$N243="🆕 Evolução Identificada — Nova Demanda Aberta",'E08 — Estabilização Hypercare'!$U243&lt;&gt;""))),"Concluído",IF(OR(COUNTIF('E08 — Estabilização Hypercare'!$E243:$J243,"✔ Concluído")&gt;0,COUNTIF('E08 — Estabilização Hypercare'!$E243:$J243,"🔄 Em andamento")&gt;0,'E08 — Estabilização Hypercare'!$N243&lt;&gt;""),"Em andamento","Não iniciado")))))</f>
        <v/>
      </c>
      <c r="M261" s="232" t="str" cm="1">
        <f t="array" ref="M261">IF(B261="","",_xlfn.IFS(E261&lt;&gt;"Concluído","E1 — Solicitação",F261&lt;&gt;"Concluído","E2 — Triagem",G261&lt;&gt;"Concluído","E3 — Levantamento ⚠",H261&lt;&gt;"Concluído","E4 — Execução",I261&lt;&gt;"Concluído","E5 — Validação ⚠",AND(J261&lt;&gt;"Concluído",J261&lt;&gt;"N/A"),"E6 — Ajustes",K261&lt;&gt;"Concluído","E7 — Entrega",L261&lt;&gt;"Concluído","E08 — Estabilização / Hypercare",TRUE,"✔ Fluxo concluído"))</f>
        <v/>
      </c>
      <c r="N261" s="233" t="str">
        <f t="shared" si="4"/>
        <v/>
      </c>
      <c r="O261" s="230"/>
    </row>
    <row r="262" spans="2:15" x14ac:dyDescent="0.35">
      <c r="B262" s="229" t="str">
        <f>IF(Lançamentos!$B239="","",Lançamentos!$B239)</f>
        <v/>
      </c>
      <c r="C262" s="231" t="str">
        <f>IF($B262="","",Lançamentos!$J239)</f>
        <v/>
      </c>
      <c r="D262" s="231" t="str">
        <f>IF($B262="","",Lançamentos!$H239)</f>
        <v/>
      </c>
      <c r="E262" s="229" t="str">
        <f>IF($B262="","",IF(COUNTIF(Lançamentos!$B$3:$B$1001,$B262)=0,"Bloqueado",IF(COUNTIF('E1 — Solicitação'!$E244:$L244,"⛔ Bloqueado")&gt;0,"Bloqueado",IF(COUNTIF('E1 — Solicitação'!$E244:$L244,"N/A")=8,"Bloqueado",IF(COUNTIF('E1 — Solicitação'!$E244:$L244,"✔ Concluído")+COUNTIF('E1 — Solicitação'!$E244:$L244,"N/A")=8,"Concluído",IF(COUNTIF('E1 — Solicitação'!$E244:$L244,"✔ Concluído")+COUNTIF('E1 — Solicitação'!$E244:$L244,"🔄 Em andamento")&gt;0,"Em andamento","Não iniciado"))))))</f>
        <v/>
      </c>
      <c r="F262" s="229" t="str">
        <f>IF($B262="","",IF($E262&lt;&gt;"Concluído","Não iniciado",IF(COUNTIF(Lançamentos!$B$3:$B$1001,$B262)=0,"Bloqueado",IF('E2 — Triagem'!$D244="","Bloqueado",IF(COUNTIF('E2 — Triagem'!$E244:$L244,"N/A")=8,"Bloqueado",IF(COUNTIF('E2 — Triagem'!$E244:$L244,"⛔ Bloqueado")&gt;0,"Bloqueado",IF(COUNTIF('E2 — Triagem'!$E244:$L244,"✔ Concluído")+COUNTIF('E2 — Triagem'!$E244:$L244,"N/A")=8,"Concluído",IF(COUNTIF('E2 — Triagem'!$E244:$L244,"✔ Concluído")+COUNTIF('E2 — Triagem'!$E244:$L244,"🔄 Em andamento")&gt;0,"Em andamento","Não iniciado"))))))))</f>
        <v/>
      </c>
      <c r="G262" s="229" t="str">
        <f>IF($B262="","",IF($F262&lt;&gt;"Concluído","Não iniciado",IF(COUNTIF(Lançamentos!$B$3:$B$1001,$B262)=0,"Bloqueado",IF('E3 — Levantamento'!$D244="","Bloqueado",IF(COUNTIF('E3 — Levantamento'!$E244:$I244,"⛔ Bloqueado")&gt;0,"Bloqueado",IF('E3 — Levantamento'!$I244="N/A","Bloqueado",IF(COUNTIF('E3 — Levantamento'!$E244:$I244,"✔ Concluído")=5,"Concluído",IF(COUNTIF('E3 — Levantamento'!$E244:$I244,"✔ Concluído")+COUNTIF('E3 — Levantamento'!$E244:$I244,"🔄 Em andamento")&gt;0,"Em andamento","Não iniciado"))))))))</f>
        <v/>
      </c>
      <c r="H262" s="229" t="str">
        <f>IF($B262="","",IF($G262&lt;&gt;"Concluído","Não iniciado",IF(COUNTIF(Lançamentos!$B$3:$B$1001,$B262)=0,"Bloqueado",IF('E4 — Execução'!$D244="","Bloqueado",IF(COUNTIF('E4 — Execução'!$E244:$K244,"⛔ Bloqueado")&gt;0,"Bloqueado",IF(COUNTIF('E4 — Execução'!$E244:$K244,"✔ Concluído")=7,"Concluído",IF(COUNTIF('E4 — Execução'!$E244:$K244,"✔ Concluído")+COUNTIF('E4 — Execução'!$E244:$K244,"🔄 Em andamento")&gt;0,"Em andamento","Não iniciado")))))))</f>
        <v/>
      </c>
      <c r="I262" s="229" t="str">
        <f>IF($B262="","",IF($H262&lt;&gt;"Concluído","Não iniciado",IF(COUNTIF(Lançamentos!$B$3:$B$1001,$B262)=0,"Bloqueado",IF('E5 — Validação'!$D244="","Bloqueado",IF(COUNTIF('E5 — Validação'!$E244:$I244,"⛔ Bloqueado")&gt;0,"Bloqueado",IF('E5 — Validação'!$I244="N/A","Bloqueado",IF(AND('E5 — Validação'!$E244="✔ Concluído",'E5 — Validação'!$F244="✔ Concluído",OR('E5 — Validação'!$G244="✔ Concluído",'E5 — Validação'!$G244="N/A"),'E5 — Validação'!$H244="✔ Concluído",'E5 — Validação'!$I244="✔ Concluído"),"Concluído",IF(COUNTIF('E5 — Validação'!$E244:$I244,"✔ Concluído")+COUNTIF('E5 — Validação'!$E244:$I244,"🔄 Em andamento")&gt;0,"Em andamento","Não iniciado"))))))))</f>
        <v/>
      </c>
      <c r="J262" s="229" t="str">
        <f>IF($B262="","",IF($I262&lt;&gt;"Concluído","Não iniciado",IF('E6 — Ajustes'!$N244="Não","N/A",IF(COUNTIF(Lançamentos!$B$3:$B$1001,$B262)=0,"Bloqueado",IF('E6 — Ajustes'!$D244="","Bloqueado",IF(COUNTIF('E6 — Ajustes'!$E244:$J244,"⛔ Bloqueado")&gt;0,"Bloqueado",IF(AND('E6 — Ajustes'!$E244="✔ Concluído",'E6 — Ajustes'!$F244="✔ Concluído",'E6 — Ajustes'!$G244="✔ Concluído",'E6 — Ajustes'!$H244="✔ Concluído",OR('E6 — Ajustes'!$I244="✔ Concluído",'E6 — Ajustes'!$I244="N/A"),'E6 — Ajustes'!$J244="✔ Concluído"),"Concluído",IF(COUNTIF('E6 — Ajustes'!$E244:$J244,"✔ Concluído")+COUNTIF('E6 — Ajustes'!$E244:$J244,"🔄 Em andamento")&gt;0,"Em andamento","Não iniciado"))))))))</f>
        <v/>
      </c>
      <c r="K262" s="229" t="str">
        <f>IF($B262="","",IF($I262&lt;&gt;"Concluído","Não iniciado",IF(AND($J262&lt;&gt;"Concluído",$J262&lt;&gt;"N/A"),"Não iniciado",IF(COUNTIF(Lançamentos!$B$3:$B$1001,$B262)=0,"Bloqueado",IF('E7 — Entrega'!$D244="","Bloqueado",IF(COUNTIF('E7 — Entrega'!$E244:$H244,"⛔ Bloqueado")&gt;0,"Bloqueado",IF(COUNTIF('E7 — Entrega'!$E244:$H244,"✔ Concluído")=4,"Concluído",IF(COUNTIF('E7 — Entrega'!$E244:$H244,"✔ Concluído")+COUNTIF('E7 — Entrega'!$E244:$H244,"🔄 Em andamento")&gt;0,"Em andamento","Não iniciado"))))))))</f>
        <v/>
      </c>
      <c r="L262" s="229" t="str">
        <f>IF($B262="","",IF($K262&lt;&gt;"Concluído","Não iniciado",IF(OR(COUNTIF('E08 — Estabilização Hypercare'!$E244:$J244,"⛔ Bloqueado")&gt;0,'E08 — Estabilização Hypercare'!$N244="⛔ Incidente Crítico — Encerramento Bloqueado",AND('E08 — Estabilização Hypercare'!$N244="🆕 Evolução Identificada — Nova Demanda Aberta",'E08 — Estabilização Hypercare'!$U244="")),"Bloqueado",IF(AND('E08 — Estabilização Hypercare'!$E244="✔ Concluído",'E08 — Estabilização Hypercare'!$F244="✔ Concluído",'E08 — Estabilização Hypercare'!$G244="✔ Concluído",OR('E08 — Estabilização Hypercare'!$H244="✔ Concluído",'E08 — Estabilização Hypercare'!$H244="N/A"),'E08 — Estabilização Hypercare'!$I244="✔ Concluído",'E08 — Estabilização Hypercare'!$J244="✔ Concluído",OR('E08 — Estabilização Hypercare'!$N244="✅ Estável — Demanda Encerrada",AND('E08 — Estabilização Hypercare'!$N244="🆕 Evolução Identificada — Nova Demanda Aberta",'E08 — Estabilização Hypercare'!$U244&lt;&gt;""))),"Concluído",IF(OR(COUNTIF('E08 — Estabilização Hypercare'!$E244:$J244,"✔ Concluído")&gt;0,COUNTIF('E08 — Estabilização Hypercare'!$E244:$J244,"🔄 Em andamento")&gt;0,'E08 — Estabilização Hypercare'!$N244&lt;&gt;""),"Em andamento","Não iniciado")))))</f>
        <v/>
      </c>
      <c r="M262" s="232" t="str" cm="1">
        <f t="array" ref="M262">IF(B262="","",_xlfn.IFS(E262&lt;&gt;"Concluído","E1 — Solicitação",F262&lt;&gt;"Concluído","E2 — Triagem",G262&lt;&gt;"Concluído","E3 — Levantamento ⚠",H262&lt;&gt;"Concluído","E4 — Execução",I262&lt;&gt;"Concluído","E5 — Validação ⚠",AND(J262&lt;&gt;"Concluído",J262&lt;&gt;"N/A"),"E6 — Ajustes",K262&lt;&gt;"Concluído","E7 — Entrega",L262&lt;&gt;"Concluído","E08 — Estabilização / Hypercare",TRUE,"✔ Fluxo concluído"))</f>
        <v/>
      </c>
      <c r="N262" s="233" t="str">
        <f t="shared" si="4"/>
        <v/>
      </c>
      <c r="O262" s="230"/>
    </row>
    <row r="263" spans="2:15" x14ac:dyDescent="0.35">
      <c r="B263" s="229" t="str">
        <f>IF(Lançamentos!$B240="","",Lançamentos!$B240)</f>
        <v/>
      </c>
      <c r="C263" s="231" t="str">
        <f>IF($B263="","",Lançamentos!$J240)</f>
        <v/>
      </c>
      <c r="D263" s="231" t="str">
        <f>IF($B263="","",Lançamentos!$H240)</f>
        <v/>
      </c>
      <c r="E263" s="229" t="str">
        <f>IF($B263="","",IF(COUNTIF(Lançamentos!$B$3:$B$1001,$B263)=0,"Bloqueado",IF(COUNTIF('E1 — Solicitação'!$E245:$L245,"⛔ Bloqueado")&gt;0,"Bloqueado",IF(COUNTIF('E1 — Solicitação'!$E245:$L245,"N/A")=8,"Bloqueado",IF(COUNTIF('E1 — Solicitação'!$E245:$L245,"✔ Concluído")+COUNTIF('E1 — Solicitação'!$E245:$L245,"N/A")=8,"Concluído",IF(COUNTIF('E1 — Solicitação'!$E245:$L245,"✔ Concluído")+COUNTIF('E1 — Solicitação'!$E245:$L245,"🔄 Em andamento")&gt;0,"Em andamento","Não iniciado"))))))</f>
        <v/>
      </c>
      <c r="F263" s="229" t="str">
        <f>IF($B263="","",IF($E263&lt;&gt;"Concluído","Não iniciado",IF(COUNTIF(Lançamentos!$B$3:$B$1001,$B263)=0,"Bloqueado",IF('E2 — Triagem'!$D245="","Bloqueado",IF(COUNTIF('E2 — Triagem'!$E245:$L245,"N/A")=8,"Bloqueado",IF(COUNTIF('E2 — Triagem'!$E245:$L245,"⛔ Bloqueado")&gt;0,"Bloqueado",IF(COUNTIF('E2 — Triagem'!$E245:$L245,"✔ Concluído")+COUNTIF('E2 — Triagem'!$E245:$L245,"N/A")=8,"Concluído",IF(COUNTIF('E2 — Triagem'!$E245:$L245,"✔ Concluído")+COUNTIF('E2 — Triagem'!$E245:$L245,"🔄 Em andamento")&gt;0,"Em andamento","Não iniciado"))))))))</f>
        <v/>
      </c>
      <c r="G263" s="229" t="str">
        <f>IF($B263="","",IF($F263&lt;&gt;"Concluído","Não iniciado",IF(COUNTIF(Lançamentos!$B$3:$B$1001,$B263)=0,"Bloqueado",IF('E3 — Levantamento'!$D245="","Bloqueado",IF(COUNTIF('E3 — Levantamento'!$E245:$I245,"⛔ Bloqueado")&gt;0,"Bloqueado",IF('E3 — Levantamento'!$I245="N/A","Bloqueado",IF(COUNTIF('E3 — Levantamento'!$E245:$I245,"✔ Concluído")=5,"Concluído",IF(COUNTIF('E3 — Levantamento'!$E245:$I245,"✔ Concluído")+COUNTIF('E3 — Levantamento'!$E245:$I245,"🔄 Em andamento")&gt;0,"Em andamento","Não iniciado"))))))))</f>
        <v/>
      </c>
      <c r="H263" s="229" t="str">
        <f>IF($B263="","",IF($G263&lt;&gt;"Concluído","Não iniciado",IF(COUNTIF(Lançamentos!$B$3:$B$1001,$B263)=0,"Bloqueado",IF('E4 — Execução'!$D245="","Bloqueado",IF(COUNTIF('E4 — Execução'!$E245:$K245,"⛔ Bloqueado")&gt;0,"Bloqueado",IF(COUNTIF('E4 — Execução'!$E245:$K245,"✔ Concluído")=7,"Concluído",IF(COUNTIF('E4 — Execução'!$E245:$K245,"✔ Concluído")+COUNTIF('E4 — Execução'!$E245:$K245,"🔄 Em andamento")&gt;0,"Em andamento","Não iniciado")))))))</f>
        <v/>
      </c>
      <c r="I263" s="229" t="str">
        <f>IF($B263="","",IF($H263&lt;&gt;"Concluído","Não iniciado",IF(COUNTIF(Lançamentos!$B$3:$B$1001,$B263)=0,"Bloqueado",IF('E5 — Validação'!$D245="","Bloqueado",IF(COUNTIF('E5 — Validação'!$E245:$I245,"⛔ Bloqueado")&gt;0,"Bloqueado",IF('E5 — Validação'!$I245="N/A","Bloqueado",IF(AND('E5 — Validação'!$E245="✔ Concluído",'E5 — Validação'!$F245="✔ Concluído",OR('E5 — Validação'!$G245="✔ Concluído",'E5 — Validação'!$G245="N/A"),'E5 — Validação'!$H245="✔ Concluído",'E5 — Validação'!$I245="✔ Concluído"),"Concluído",IF(COUNTIF('E5 — Validação'!$E245:$I245,"✔ Concluído")+COUNTIF('E5 — Validação'!$E245:$I245,"🔄 Em andamento")&gt;0,"Em andamento","Não iniciado"))))))))</f>
        <v/>
      </c>
      <c r="J263" s="229" t="str">
        <f>IF($B263="","",IF($I263&lt;&gt;"Concluído","Não iniciado",IF('E6 — Ajustes'!$N245="Não","N/A",IF(COUNTIF(Lançamentos!$B$3:$B$1001,$B263)=0,"Bloqueado",IF('E6 — Ajustes'!$D245="","Bloqueado",IF(COUNTIF('E6 — Ajustes'!$E245:$J245,"⛔ Bloqueado")&gt;0,"Bloqueado",IF(AND('E6 — Ajustes'!$E245="✔ Concluído",'E6 — Ajustes'!$F245="✔ Concluído",'E6 — Ajustes'!$G245="✔ Concluído",'E6 — Ajustes'!$H245="✔ Concluído",OR('E6 — Ajustes'!$I245="✔ Concluído",'E6 — Ajustes'!$I245="N/A"),'E6 — Ajustes'!$J245="✔ Concluído"),"Concluído",IF(COUNTIF('E6 — Ajustes'!$E245:$J245,"✔ Concluído")+COUNTIF('E6 — Ajustes'!$E245:$J245,"🔄 Em andamento")&gt;0,"Em andamento","Não iniciado"))))))))</f>
        <v/>
      </c>
      <c r="K263" s="229" t="str">
        <f>IF($B263="","",IF($I263&lt;&gt;"Concluído","Não iniciado",IF(AND($J263&lt;&gt;"Concluído",$J263&lt;&gt;"N/A"),"Não iniciado",IF(COUNTIF(Lançamentos!$B$3:$B$1001,$B263)=0,"Bloqueado",IF('E7 — Entrega'!$D245="","Bloqueado",IF(COUNTIF('E7 — Entrega'!$E245:$H245,"⛔ Bloqueado")&gt;0,"Bloqueado",IF(COUNTIF('E7 — Entrega'!$E245:$H245,"✔ Concluído")=4,"Concluído",IF(COUNTIF('E7 — Entrega'!$E245:$H245,"✔ Concluído")+COUNTIF('E7 — Entrega'!$E245:$H245,"🔄 Em andamento")&gt;0,"Em andamento","Não iniciado"))))))))</f>
        <v/>
      </c>
      <c r="L263" s="229" t="str">
        <f>IF($B263="","",IF($K263&lt;&gt;"Concluído","Não iniciado",IF(OR(COUNTIF('E08 — Estabilização Hypercare'!$E245:$J245,"⛔ Bloqueado")&gt;0,'E08 — Estabilização Hypercare'!$N245="⛔ Incidente Crítico — Encerramento Bloqueado",AND('E08 — Estabilização Hypercare'!$N245="🆕 Evolução Identificada — Nova Demanda Aberta",'E08 — Estabilização Hypercare'!$U245="")),"Bloqueado",IF(AND('E08 — Estabilização Hypercare'!$E245="✔ Concluído",'E08 — Estabilização Hypercare'!$F245="✔ Concluído",'E08 — Estabilização Hypercare'!$G245="✔ Concluído",OR('E08 — Estabilização Hypercare'!$H245="✔ Concluído",'E08 — Estabilização Hypercare'!$H245="N/A"),'E08 — Estabilização Hypercare'!$I245="✔ Concluído",'E08 — Estabilização Hypercare'!$J245="✔ Concluído",OR('E08 — Estabilização Hypercare'!$N245="✅ Estável — Demanda Encerrada",AND('E08 — Estabilização Hypercare'!$N245="🆕 Evolução Identificada — Nova Demanda Aberta",'E08 — Estabilização Hypercare'!$U245&lt;&gt;""))),"Concluído",IF(OR(COUNTIF('E08 — Estabilização Hypercare'!$E245:$J245,"✔ Concluído")&gt;0,COUNTIF('E08 — Estabilização Hypercare'!$E245:$J245,"🔄 Em andamento")&gt;0,'E08 — Estabilização Hypercare'!$N245&lt;&gt;""),"Em andamento","Não iniciado")))))</f>
        <v/>
      </c>
      <c r="M263" s="232" t="str" cm="1">
        <f t="array" ref="M263">IF(B263="","",_xlfn.IFS(E263&lt;&gt;"Concluído","E1 — Solicitação",F263&lt;&gt;"Concluído","E2 — Triagem",G263&lt;&gt;"Concluído","E3 — Levantamento ⚠",H263&lt;&gt;"Concluído","E4 — Execução",I263&lt;&gt;"Concluído","E5 — Validação ⚠",AND(J263&lt;&gt;"Concluído",J263&lt;&gt;"N/A"),"E6 — Ajustes",K263&lt;&gt;"Concluído","E7 — Entrega",L263&lt;&gt;"Concluído","E08 — Estabilização / Hypercare",TRUE,"✔ Fluxo concluído"))</f>
        <v/>
      </c>
      <c r="N263" s="233" t="str">
        <f t="shared" si="4"/>
        <v/>
      </c>
      <c r="O263" s="230"/>
    </row>
    <row r="264" spans="2:15" x14ac:dyDescent="0.35">
      <c r="B264" s="229" t="str">
        <f>IF(Lançamentos!$B241="","",Lançamentos!$B241)</f>
        <v/>
      </c>
      <c r="C264" s="231" t="str">
        <f>IF($B264="","",Lançamentos!$J241)</f>
        <v/>
      </c>
      <c r="D264" s="231" t="str">
        <f>IF($B264="","",Lançamentos!$H241)</f>
        <v/>
      </c>
      <c r="E264" s="229" t="str">
        <f>IF($B264="","",IF(COUNTIF(Lançamentos!$B$3:$B$1001,$B264)=0,"Bloqueado",IF(COUNTIF('E1 — Solicitação'!$E246:$L246,"⛔ Bloqueado")&gt;0,"Bloqueado",IF(COUNTIF('E1 — Solicitação'!$E246:$L246,"N/A")=8,"Bloqueado",IF(COUNTIF('E1 — Solicitação'!$E246:$L246,"✔ Concluído")+COUNTIF('E1 — Solicitação'!$E246:$L246,"N/A")=8,"Concluído",IF(COUNTIF('E1 — Solicitação'!$E246:$L246,"✔ Concluído")+COUNTIF('E1 — Solicitação'!$E246:$L246,"🔄 Em andamento")&gt;0,"Em andamento","Não iniciado"))))))</f>
        <v/>
      </c>
      <c r="F264" s="229" t="str">
        <f>IF($B264="","",IF($E264&lt;&gt;"Concluído","Não iniciado",IF(COUNTIF(Lançamentos!$B$3:$B$1001,$B264)=0,"Bloqueado",IF('E2 — Triagem'!$D246="","Bloqueado",IF(COUNTIF('E2 — Triagem'!$E246:$L246,"N/A")=8,"Bloqueado",IF(COUNTIF('E2 — Triagem'!$E246:$L246,"⛔ Bloqueado")&gt;0,"Bloqueado",IF(COUNTIF('E2 — Triagem'!$E246:$L246,"✔ Concluído")+COUNTIF('E2 — Triagem'!$E246:$L246,"N/A")=8,"Concluído",IF(COUNTIF('E2 — Triagem'!$E246:$L246,"✔ Concluído")+COUNTIF('E2 — Triagem'!$E246:$L246,"🔄 Em andamento")&gt;0,"Em andamento","Não iniciado"))))))))</f>
        <v/>
      </c>
      <c r="G264" s="229" t="str">
        <f>IF($B264="","",IF($F264&lt;&gt;"Concluído","Não iniciado",IF(COUNTIF(Lançamentos!$B$3:$B$1001,$B264)=0,"Bloqueado",IF('E3 — Levantamento'!$D246="","Bloqueado",IF(COUNTIF('E3 — Levantamento'!$E246:$I246,"⛔ Bloqueado")&gt;0,"Bloqueado",IF('E3 — Levantamento'!$I246="N/A","Bloqueado",IF(COUNTIF('E3 — Levantamento'!$E246:$I246,"✔ Concluído")=5,"Concluído",IF(COUNTIF('E3 — Levantamento'!$E246:$I246,"✔ Concluído")+COUNTIF('E3 — Levantamento'!$E246:$I246,"🔄 Em andamento")&gt;0,"Em andamento","Não iniciado"))))))))</f>
        <v/>
      </c>
      <c r="H264" s="229" t="str">
        <f>IF($B264="","",IF($G264&lt;&gt;"Concluído","Não iniciado",IF(COUNTIF(Lançamentos!$B$3:$B$1001,$B264)=0,"Bloqueado",IF('E4 — Execução'!$D246="","Bloqueado",IF(COUNTIF('E4 — Execução'!$E246:$K246,"⛔ Bloqueado")&gt;0,"Bloqueado",IF(COUNTIF('E4 — Execução'!$E246:$K246,"✔ Concluído")=7,"Concluído",IF(COUNTIF('E4 — Execução'!$E246:$K246,"✔ Concluído")+COUNTIF('E4 — Execução'!$E246:$K246,"🔄 Em andamento")&gt;0,"Em andamento","Não iniciado")))))))</f>
        <v/>
      </c>
      <c r="I264" s="229" t="str">
        <f>IF($B264="","",IF($H264&lt;&gt;"Concluído","Não iniciado",IF(COUNTIF(Lançamentos!$B$3:$B$1001,$B264)=0,"Bloqueado",IF('E5 — Validação'!$D246="","Bloqueado",IF(COUNTIF('E5 — Validação'!$E246:$I246,"⛔ Bloqueado")&gt;0,"Bloqueado",IF('E5 — Validação'!$I246="N/A","Bloqueado",IF(AND('E5 — Validação'!$E246="✔ Concluído",'E5 — Validação'!$F246="✔ Concluído",OR('E5 — Validação'!$G246="✔ Concluído",'E5 — Validação'!$G246="N/A"),'E5 — Validação'!$H246="✔ Concluído",'E5 — Validação'!$I246="✔ Concluído"),"Concluído",IF(COUNTIF('E5 — Validação'!$E246:$I246,"✔ Concluído")+COUNTIF('E5 — Validação'!$E246:$I246,"🔄 Em andamento")&gt;0,"Em andamento","Não iniciado"))))))))</f>
        <v/>
      </c>
      <c r="J264" s="229" t="str">
        <f>IF($B264="","",IF($I264&lt;&gt;"Concluído","Não iniciado",IF('E6 — Ajustes'!$N246="Não","N/A",IF(COUNTIF(Lançamentos!$B$3:$B$1001,$B264)=0,"Bloqueado",IF('E6 — Ajustes'!$D246="","Bloqueado",IF(COUNTIF('E6 — Ajustes'!$E246:$J246,"⛔ Bloqueado")&gt;0,"Bloqueado",IF(AND('E6 — Ajustes'!$E246="✔ Concluído",'E6 — Ajustes'!$F246="✔ Concluído",'E6 — Ajustes'!$G246="✔ Concluído",'E6 — Ajustes'!$H246="✔ Concluído",OR('E6 — Ajustes'!$I246="✔ Concluído",'E6 — Ajustes'!$I246="N/A"),'E6 — Ajustes'!$J246="✔ Concluído"),"Concluído",IF(COUNTIF('E6 — Ajustes'!$E246:$J246,"✔ Concluído")+COUNTIF('E6 — Ajustes'!$E246:$J246,"🔄 Em andamento")&gt;0,"Em andamento","Não iniciado"))))))))</f>
        <v/>
      </c>
      <c r="K264" s="229" t="str">
        <f>IF($B264="","",IF($I264&lt;&gt;"Concluído","Não iniciado",IF(AND($J264&lt;&gt;"Concluído",$J264&lt;&gt;"N/A"),"Não iniciado",IF(COUNTIF(Lançamentos!$B$3:$B$1001,$B264)=0,"Bloqueado",IF('E7 — Entrega'!$D246="","Bloqueado",IF(COUNTIF('E7 — Entrega'!$E246:$H246,"⛔ Bloqueado")&gt;0,"Bloqueado",IF(COUNTIF('E7 — Entrega'!$E246:$H246,"✔ Concluído")=4,"Concluído",IF(COUNTIF('E7 — Entrega'!$E246:$H246,"✔ Concluído")+COUNTIF('E7 — Entrega'!$E246:$H246,"🔄 Em andamento")&gt;0,"Em andamento","Não iniciado"))))))))</f>
        <v/>
      </c>
      <c r="L264" s="229" t="str">
        <f>IF($B264="","",IF($K264&lt;&gt;"Concluído","Não iniciado",IF(OR(COUNTIF('E08 — Estabilização Hypercare'!$E246:$J246,"⛔ Bloqueado")&gt;0,'E08 — Estabilização Hypercare'!$N246="⛔ Incidente Crítico — Encerramento Bloqueado",AND('E08 — Estabilização Hypercare'!$N246="🆕 Evolução Identificada — Nova Demanda Aberta",'E08 — Estabilização Hypercare'!$U246="")),"Bloqueado",IF(AND('E08 — Estabilização Hypercare'!$E246="✔ Concluído",'E08 — Estabilização Hypercare'!$F246="✔ Concluído",'E08 — Estabilização Hypercare'!$G246="✔ Concluído",OR('E08 — Estabilização Hypercare'!$H246="✔ Concluído",'E08 — Estabilização Hypercare'!$H246="N/A"),'E08 — Estabilização Hypercare'!$I246="✔ Concluído",'E08 — Estabilização Hypercare'!$J246="✔ Concluído",OR('E08 — Estabilização Hypercare'!$N246="✅ Estável — Demanda Encerrada",AND('E08 — Estabilização Hypercare'!$N246="🆕 Evolução Identificada — Nova Demanda Aberta",'E08 — Estabilização Hypercare'!$U246&lt;&gt;""))),"Concluído",IF(OR(COUNTIF('E08 — Estabilização Hypercare'!$E246:$J246,"✔ Concluído")&gt;0,COUNTIF('E08 — Estabilização Hypercare'!$E246:$J246,"🔄 Em andamento")&gt;0,'E08 — Estabilização Hypercare'!$N246&lt;&gt;""),"Em andamento","Não iniciado")))))</f>
        <v/>
      </c>
      <c r="M264" s="232" t="str" cm="1">
        <f t="array" ref="M264">IF(B264="","",_xlfn.IFS(E264&lt;&gt;"Concluído","E1 — Solicitação",F264&lt;&gt;"Concluído","E2 — Triagem",G264&lt;&gt;"Concluído","E3 — Levantamento ⚠",H264&lt;&gt;"Concluído","E4 — Execução",I264&lt;&gt;"Concluído","E5 — Validação ⚠",AND(J264&lt;&gt;"Concluído",J264&lt;&gt;"N/A"),"E6 — Ajustes",K264&lt;&gt;"Concluído","E7 — Entrega",L264&lt;&gt;"Concluído","E08 — Estabilização / Hypercare",TRUE,"✔ Fluxo concluído"))</f>
        <v/>
      </c>
      <c r="N264" s="233" t="str">
        <f t="shared" si="4"/>
        <v/>
      </c>
      <c r="O264" s="230"/>
    </row>
    <row r="265" spans="2:15" x14ac:dyDescent="0.35">
      <c r="B265" s="229" t="str">
        <f>IF(Lançamentos!$B242="","",Lançamentos!$B242)</f>
        <v/>
      </c>
      <c r="C265" s="231" t="str">
        <f>IF($B265="","",Lançamentos!$J242)</f>
        <v/>
      </c>
      <c r="D265" s="231" t="str">
        <f>IF($B265="","",Lançamentos!$H242)</f>
        <v/>
      </c>
      <c r="E265" s="229" t="str">
        <f>IF($B265="","",IF(COUNTIF(Lançamentos!$B$3:$B$1001,$B265)=0,"Bloqueado",IF(COUNTIF('E1 — Solicitação'!$E247:$L247,"⛔ Bloqueado")&gt;0,"Bloqueado",IF(COUNTIF('E1 — Solicitação'!$E247:$L247,"N/A")=8,"Bloqueado",IF(COUNTIF('E1 — Solicitação'!$E247:$L247,"✔ Concluído")+COUNTIF('E1 — Solicitação'!$E247:$L247,"N/A")=8,"Concluído",IF(COUNTIF('E1 — Solicitação'!$E247:$L247,"✔ Concluído")+COUNTIF('E1 — Solicitação'!$E247:$L247,"🔄 Em andamento")&gt;0,"Em andamento","Não iniciado"))))))</f>
        <v/>
      </c>
      <c r="F265" s="229" t="str">
        <f>IF($B265="","",IF($E265&lt;&gt;"Concluído","Não iniciado",IF(COUNTIF(Lançamentos!$B$3:$B$1001,$B265)=0,"Bloqueado",IF('E2 — Triagem'!$D247="","Bloqueado",IF(COUNTIF('E2 — Triagem'!$E247:$L247,"N/A")=8,"Bloqueado",IF(COUNTIF('E2 — Triagem'!$E247:$L247,"⛔ Bloqueado")&gt;0,"Bloqueado",IF(COUNTIF('E2 — Triagem'!$E247:$L247,"✔ Concluído")+COUNTIF('E2 — Triagem'!$E247:$L247,"N/A")=8,"Concluído",IF(COUNTIF('E2 — Triagem'!$E247:$L247,"✔ Concluído")+COUNTIF('E2 — Triagem'!$E247:$L247,"🔄 Em andamento")&gt;0,"Em andamento","Não iniciado"))))))))</f>
        <v/>
      </c>
      <c r="G265" s="229" t="str">
        <f>IF($B265="","",IF($F265&lt;&gt;"Concluído","Não iniciado",IF(COUNTIF(Lançamentos!$B$3:$B$1001,$B265)=0,"Bloqueado",IF('E3 — Levantamento'!$D247="","Bloqueado",IF(COUNTIF('E3 — Levantamento'!$E247:$I247,"⛔ Bloqueado")&gt;0,"Bloqueado",IF('E3 — Levantamento'!$I247="N/A","Bloqueado",IF(COUNTIF('E3 — Levantamento'!$E247:$I247,"✔ Concluído")=5,"Concluído",IF(COUNTIF('E3 — Levantamento'!$E247:$I247,"✔ Concluído")+COUNTIF('E3 — Levantamento'!$E247:$I247,"🔄 Em andamento")&gt;0,"Em andamento","Não iniciado"))))))))</f>
        <v/>
      </c>
      <c r="H265" s="229" t="str">
        <f>IF($B265="","",IF($G265&lt;&gt;"Concluído","Não iniciado",IF(COUNTIF(Lançamentos!$B$3:$B$1001,$B265)=0,"Bloqueado",IF('E4 — Execução'!$D247="","Bloqueado",IF(COUNTIF('E4 — Execução'!$E247:$K247,"⛔ Bloqueado")&gt;0,"Bloqueado",IF(COUNTIF('E4 — Execução'!$E247:$K247,"✔ Concluído")=7,"Concluído",IF(COUNTIF('E4 — Execução'!$E247:$K247,"✔ Concluído")+COUNTIF('E4 — Execução'!$E247:$K247,"🔄 Em andamento")&gt;0,"Em andamento","Não iniciado")))))))</f>
        <v/>
      </c>
      <c r="I265" s="229" t="str">
        <f>IF($B265="","",IF($H265&lt;&gt;"Concluído","Não iniciado",IF(COUNTIF(Lançamentos!$B$3:$B$1001,$B265)=0,"Bloqueado",IF('E5 — Validação'!$D247="","Bloqueado",IF(COUNTIF('E5 — Validação'!$E247:$I247,"⛔ Bloqueado")&gt;0,"Bloqueado",IF('E5 — Validação'!$I247="N/A","Bloqueado",IF(AND('E5 — Validação'!$E247="✔ Concluído",'E5 — Validação'!$F247="✔ Concluído",OR('E5 — Validação'!$G247="✔ Concluído",'E5 — Validação'!$G247="N/A"),'E5 — Validação'!$H247="✔ Concluído",'E5 — Validação'!$I247="✔ Concluído"),"Concluído",IF(COUNTIF('E5 — Validação'!$E247:$I247,"✔ Concluído")+COUNTIF('E5 — Validação'!$E247:$I247,"🔄 Em andamento")&gt;0,"Em andamento","Não iniciado"))))))))</f>
        <v/>
      </c>
      <c r="J265" s="229" t="str">
        <f>IF($B265="","",IF($I265&lt;&gt;"Concluído","Não iniciado",IF('E6 — Ajustes'!$N247="Não","N/A",IF(COUNTIF(Lançamentos!$B$3:$B$1001,$B265)=0,"Bloqueado",IF('E6 — Ajustes'!$D247="","Bloqueado",IF(COUNTIF('E6 — Ajustes'!$E247:$J247,"⛔ Bloqueado")&gt;0,"Bloqueado",IF(AND('E6 — Ajustes'!$E247="✔ Concluído",'E6 — Ajustes'!$F247="✔ Concluído",'E6 — Ajustes'!$G247="✔ Concluído",'E6 — Ajustes'!$H247="✔ Concluído",OR('E6 — Ajustes'!$I247="✔ Concluído",'E6 — Ajustes'!$I247="N/A"),'E6 — Ajustes'!$J247="✔ Concluído"),"Concluído",IF(COUNTIF('E6 — Ajustes'!$E247:$J247,"✔ Concluído")+COUNTIF('E6 — Ajustes'!$E247:$J247,"🔄 Em andamento")&gt;0,"Em andamento","Não iniciado"))))))))</f>
        <v/>
      </c>
      <c r="K265" s="229" t="str">
        <f>IF($B265="","",IF($I265&lt;&gt;"Concluído","Não iniciado",IF(AND($J265&lt;&gt;"Concluído",$J265&lt;&gt;"N/A"),"Não iniciado",IF(COUNTIF(Lançamentos!$B$3:$B$1001,$B265)=0,"Bloqueado",IF('E7 — Entrega'!$D247="","Bloqueado",IF(COUNTIF('E7 — Entrega'!$E247:$H247,"⛔ Bloqueado")&gt;0,"Bloqueado",IF(COUNTIF('E7 — Entrega'!$E247:$H247,"✔ Concluído")=4,"Concluído",IF(COUNTIF('E7 — Entrega'!$E247:$H247,"✔ Concluído")+COUNTIF('E7 — Entrega'!$E247:$H247,"🔄 Em andamento")&gt;0,"Em andamento","Não iniciado"))))))))</f>
        <v/>
      </c>
      <c r="L265" s="229" t="str">
        <f>IF($B265="","",IF($K265&lt;&gt;"Concluído","Não iniciado",IF(OR(COUNTIF('E08 — Estabilização Hypercare'!$E247:$J247,"⛔ Bloqueado")&gt;0,'E08 — Estabilização Hypercare'!$N247="⛔ Incidente Crítico — Encerramento Bloqueado",AND('E08 — Estabilização Hypercare'!$N247="🆕 Evolução Identificada — Nova Demanda Aberta",'E08 — Estabilização Hypercare'!$U247="")),"Bloqueado",IF(AND('E08 — Estabilização Hypercare'!$E247="✔ Concluído",'E08 — Estabilização Hypercare'!$F247="✔ Concluído",'E08 — Estabilização Hypercare'!$G247="✔ Concluído",OR('E08 — Estabilização Hypercare'!$H247="✔ Concluído",'E08 — Estabilização Hypercare'!$H247="N/A"),'E08 — Estabilização Hypercare'!$I247="✔ Concluído",'E08 — Estabilização Hypercare'!$J247="✔ Concluído",OR('E08 — Estabilização Hypercare'!$N247="✅ Estável — Demanda Encerrada",AND('E08 — Estabilização Hypercare'!$N247="🆕 Evolução Identificada — Nova Demanda Aberta",'E08 — Estabilização Hypercare'!$U247&lt;&gt;""))),"Concluído",IF(OR(COUNTIF('E08 — Estabilização Hypercare'!$E247:$J247,"✔ Concluído")&gt;0,COUNTIF('E08 — Estabilização Hypercare'!$E247:$J247,"🔄 Em andamento")&gt;0,'E08 — Estabilização Hypercare'!$N247&lt;&gt;""),"Em andamento","Não iniciado")))))</f>
        <v/>
      </c>
      <c r="M265" s="232" t="str" cm="1">
        <f t="array" ref="M265">IF(B265="","",_xlfn.IFS(E265&lt;&gt;"Concluído","E1 — Solicitação",F265&lt;&gt;"Concluído","E2 — Triagem",G265&lt;&gt;"Concluído","E3 — Levantamento ⚠",H265&lt;&gt;"Concluído","E4 — Execução",I265&lt;&gt;"Concluído","E5 — Validação ⚠",AND(J265&lt;&gt;"Concluído",J265&lt;&gt;"N/A"),"E6 — Ajustes",K265&lt;&gt;"Concluído","E7 — Entrega",L265&lt;&gt;"Concluído","E08 — Estabilização / Hypercare",TRUE,"✔ Fluxo concluído"))</f>
        <v/>
      </c>
      <c r="N265" s="233" t="str">
        <f t="shared" si="4"/>
        <v/>
      </c>
      <c r="O265" s="230"/>
    </row>
    <row r="266" spans="2:15" x14ac:dyDescent="0.35">
      <c r="B266" s="229" t="str">
        <f>IF(Lançamentos!$B243="","",Lançamentos!$B243)</f>
        <v/>
      </c>
      <c r="C266" s="231" t="str">
        <f>IF($B266="","",Lançamentos!$J243)</f>
        <v/>
      </c>
      <c r="D266" s="231" t="str">
        <f>IF($B266="","",Lançamentos!$H243)</f>
        <v/>
      </c>
      <c r="E266" s="229" t="str">
        <f>IF($B266="","",IF(COUNTIF(Lançamentos!$B$3:$B$1001,$B266)=0,"Bloqueado",IF(COUNTIF('E1 — Solicitação'!$E248:$L248,"⛔ Bloqueado")&gt;0,"Bloqueado",IF(COUNTIF('E1 — Solicitação'!$E248:$L248,"N/A")=8,"Bloqueado",IF(COUNTIF('E1 — Solicitação'!$E248:$L248,"✔ Concluído")+COUNTIF('E1 — Solicitação'!$E248:$L248,"N/A")=8,"Concluído",IF(COUNTIF('E1 — Solicitação'!$E248:$L248,"✔ Concluído")+COUNTIF('E1 — Solicitação'!$E248:$L248,"🔄 Em andamento")&gt;0,"Em andamento","Não iniciado"))))))</f>
        <v/>
      </c>
      <c r="F266" s="229" t="str">
        <f>IF($B266="","",IF($E266&lt;&gt;"Concluído","Não iniciado",IF(COUNTIF(Lançamentos!$B$3:$B$1001,$B266)=0,"Bloqueado",IF('E2 — Triagem'!$D248="","Bloqueado",IF(COUNTIF('E2 — Triagem'!$E248:$L248,"N/A")=8,"Bloqueado",IF(COUNTIF('E2 — Triagem'!$E248:$L248,"⛔ Bloqueado")&gt;0,"Bloqueado",IF(COUNTIF('E2 — Triagem'!$E248:$L248,"✔ Concluído")+COUNTIF('E2 — Triagem'!$E248:$L248,"N/A")=8,"Concluído",IF(COUNTIF('E2 — Triagem'!$E248:$L248,"✔ Concluído")+COUNTIF('E2 — Triagem'!$E248:$L248,"🔄 Em andamento")&gt;0,"Em andamento","Não iniciado"))))))))</f>
        <v/>
      </c>
      <c r="G266" s="229" t="str">
        <f>IF($B266="","",IF($F266&lt;&gt;"Concluído","Não iniciado",IF(COUNTIF(Lançamentos!$B$3:$B$1001,$B266)=0,"Bloqueado",IF('E3 — Levantamento'!$D248="","Bloqueado",IF(COUNTIF('E3 — Levantamento'!$E248:$I248,"⛔ Bloqueado")&gt;0,"Bloqueado",IF('E3 — Levantamento'!$I248="N/A","Bloqueado",IF(COUNTIF('E3 — Levantamento'!$E248:$I248,"✔ Concluído")=5,"Concluído",IF(COUNTIF('E3 — Levantamento'!$E248:$I248,"✔ Concluído")+COUNTIF('E3 — Levantamento'!$E248:$I248,"🔄 Em andamento")&gt;0,"Em andamento","Não iniciado"))))))))</f>
        <v/>
      </c>
      <c r="H266" s="229" t="str">
        <f>IF($B266="","",IF($G266&lt;&gt;"Concluído","Não iniciado",IF(COUNTIF(Lançamentos!$B$3:$B$1001,$B266)=0,"Bloqueado",IF('E4 — Execução'!$D248="","Bloqueado",IF(COUNTIF('E4 — Execução'!$E248:$K248,"⛔ Bloqueado")&gt;0,"Bloqueado",IF(COUNTIF('E4 — Execução'!$E248:$K248,"✔ Concluído")=7,"Concluído",IF(COUNTIF('E4 — Execução'!$E248:$K248,"✔ Concluído")+COUNTIF('E4 — Execução'!$E248:$K248,"🔄 Em andamento")&gt;0,"Em andamento","Não iniciado")))))))</f>
        <v/>
      </c>
      <c r="I266" s="229" t="str">
        <f>IF($B266="","",IF($H266&lt;&gt;"Concluído","Não iniciado",IF(COUNTIF(Lançamentos!$B$3:$B$1001,$B266)=0,"Bloqueado",IF('E5 — Validação'!$D248="","Bloqueado",IF(COUNTIF('E5 — Validação'!$E248:$I248,"⛔ Bloqueado")&gt;0,"Bloqueado",IF('E5 — Validação'!$I248="N/A","Bloqueado",IF(AND('E5 — Validação'!$E248="✔ Concluído",'E5 — Validação'!$F248="✔ Concluído",OR('E5 — Validação'!$G248="✔ Concluído",'E5 — Validação'!$G248="N/A"),'E5 — Validação'!$H248="✔ Concluído",'E5 — Validação'!$I248="✔ Concluído"),"Concluído",IF(COUNTIF('E5 — Validação'!$E248:$I248,"✔ Concluído")+COUNTIF('E5 — Validação'!$E248:$I248,"🔄 Em andamento")&gt;0,"Em andamento","Não iniciado"))))))))</f>
        <v/>
      </c>
      <c r="J266" s="229" t="str">
        <f>IF($B266="","",IF($I266&lt;&gt;"Concluído","Não iniciado",IF('E6 — Ajustes'!$N248="Não","N/A",IF(COUNTIF(Lançamentos!$B$3:$B$1001,$B266)=0,"Bloqueado",IF('E6 — Ajustes'!$D248="","Bloqueado",IF(COUNTIF('E6 — Ajustes'!$E248:$J248,"⛔ Bloqueado")&gt;0,"Bloqueado",IF(AND('E6 — Ajustes'!$E248="✔ Concluído",'E6 — Ajustes'!$F248="✔ Concluído",'E6 — Ajustes'!$G248="✔ Concluído",'E6 — Ajustes'!$H248="✔ Concluído",OR('E6 — Ajustes'!$I248="✔ Concluído",'E6 — Ajustes'!$I248="N/A"),'E6 — Ajustes'!$J248="✔ Concluído"),"Concluído",IF(COUNTIF('E6 — Ajustes'!$E248:$J248,"✔ Concluído")+COUNTIF('E6 — Ajustes'!$E248:$J248,"🔄 Em andamento")&gt;0,"Em andamento","Não iniciado"))))))))</f>
        <v/>
      </c>
      <c r="K266" s="229" t="str">
        <f>IF($B266="","",IF($I266&lt;&gt;"Concluído","Não iniciado",IF(AND($J266&lt;&gt;"Concluído",$J266&lt;&gt;"N/A"),"Não iniciado",IF(COUNTIF(Lançamentos!$B$3:$B$1001,$B266)=0,"Bloqueado",IF('E7 — Entrega'!$D248="","Bloqueado",IF(COUNTIF('E7 — Entrega'!$E248:$H248,"⛔ Bloqueado")&gt;0,"Bloqueado",IF(COUNTIF('E7 — Entrega'!$E248:$H248,"✔ Concluído")=4,"Concluído",IF(COUNTIF('E7 — Entrega'!$E248:$H248,"✔ Concluído")+COUNTIF('E7 — Entrega'!$E248:$H248,"🔄 Em andamento")&gt;0,"Em andamento","Não iniciado"))))))))</f>
        <v/>
      </c>
      <c r="L266" s="229" t="str">
        <f>IF($B266="","",IF($K266&lt;&gt;"Concluído","Não iniciado",IF(OR(COUNTIF('E08 — Estabilização Hypercare'!$E248:$J248,"⛔ Bloqueado")&gt;0,'E08 — Estabilização Hypercare'!$N248="⛔ Incidente Crítico — Encerramento Bloqueado",AND('E08 — Estabilização Hypercare'!$N248="🆕 Evolução Identificada — Nova Demanda Aberta",'E08 — Estabilização Hypercare'!$U248="")),"Bloqueado",IF(AND('E08 — Estabilização Hypercare'!$E248="✔ Concluído",'E08 — Estabilização Hypercare'!$F248="✔ Concluído",'E08 — Estabilização Hypercare'!$G248="✔ Concluído",OR('E08 — Estabilização Hypercare'!$H248="✔ Concluído",'E08 — Estabilização Hypercare'!$H248="N/A"),'E08 — Estabilização Hypercare'!$I248="✔ Concluído",'E08 — Estabilização Hypercare'!$J248="✔ Concluído",OR('E08 — Estabilização Hypercare'!$N248="✅ Estável — Demanda Encerrada",AND('E08 — Estabilização Hypercare'!$N248="🆕 Evolução Identificada — Nova Demanda Aberta",'E08 — Estabilização Hypercare'!$U248&lt;&gt;""))),"Concluído",IF(OR(COUNTIF('E08 — Estabilização Hypercare'!$E248:$J248,"✔ Concluído")&gt;0,COUNTIF('E08 — Estabilização Hypercare'!$E248:$J248,"🔄 Em andamento")&gt;0,'E08 — Estabilização Hypercare'!$N248&lt;&gt;""),"Em andamento","Não iniciado")))))</f>
        <v/>
      </c>
      <c r="M266" s="232" t="str" cm="1">
        <f t="array" ref="M266">IF(B266="","",_xlfn.IFS(E266&lt;&gt;"Concluído","E1 — Solicitação",F266&lt;&gt;"Concluído","E2 — Triagem",G266&lt;&gt;"Concluído","E3 — Levantamento ⚠",H266&lt;&gt;"Concluído","E4 — Execução",I266&lt;&gt;"Concluído","E5 — Validação ⚠",AND(J266&lt;&gt;"Concluído",J266&lt;&gt;"N/A"),"E6 — Ajustes",K266&lt;&gt;"Concluído","E7 — Entrega",L266&lt;&gt;"Concluído","E08 — Estabilização / Hypercare",TRUE,"✔ Fluxo concluído"))</f>
        <v/>
      </c>
      <c r="N266" s="233" t="str">
        <f t="shared" si="4"/>
        <v/>
      </c>
      <c r="O266" s="230"/>
    </row>
    <row r="267" spans="2:15" x14ac:dyDescent="0.35">
      <c r="B267" s="229" t="str">
        <f>IF(Lançamentos!$B244="","",Lançamentos!$B244)</f>
        <v/>
      </c>
      <c r="C267" s="231" t="str">
        <f>IF($B267="","",Lançamentos!$J244)</f>
        <v/>
      </c>
      <c r="D267" s="231" t="str">
        <f>IF($B267="","",Lançamentos!$H244)</f>
        <v/>
      </c>
      <c r="E267" s="229" t="str">
        <f>IF($B267="","",IF(COUNTIF(Lançamentos!$B$3:$B$1001,$B267)=0,"Bloqueado",IF(COUNTIF('E1 — Solicitação'!$E249:$L249,"⛔ Bloqueado")&gt;0,"Bloqueado",IF(COUNTIF('E1 — Solicitação'!$E249:$L249,"N/A")=8,"Bloqueado",IF(COUNTIF('E1 — Solicitação'!$E249:$L249,"✔ Concluído")+COUNTIF('E1 — Solicitação'!$E249:$L249,"N/A")=8,"Concluído",IF(COUNTIF('E1 — Solicitação'!$E249:$L249,"✔ Concluído")+COUNTIF('E1 — Solicitação'!$E249:$L249,"🔄 Em andamento")&gt;0,"Em andamento","Não iniciado"))))))</f>
        <v/>
      </c>
      <c r="F267" s="229" t="str">
        <f>IF($B267="","",IF($E267&lt;&gt;"Concluído","Não iniciado",IF(COUNTIF(Lançamentos!$B$3:$B$1001,$B267)=0,"Bloqueado",IF('E2 — Triagem'!$D249="","Bloqueado",IF(COUNTIF('E2 — Triagem'!$E249:$L249,"N/A")=8,"Bloqueado",IF(COUNTIF('E2 — Triagem'!$E249:$L249,"⛔ Bloqueado")&gt;0,"Bloqueado",IF(COUNTIF('E2 — Triagem'!$E249:$L249,"✔ Concluído")+COUNTIF('E2 — Triagem'!$E249:$L249,"N/A")=8,"Concluído",IF(COUNTIF('E2 — Triagem'!$E249:$L249,"✔ Concluído")+COUNTIF('E2 — Triagem'!$E249:$L249,"🔄 Em andamento")&gt;0,"Em andamento","Não iniciado"))))))))</f>
        <v/>
      </c>
      <c r="G267" s="229" t="str">
        <f>IF($B267="","",IF($F267&lt;&gt;"Concluído","Não iniciado",IF(COUNTIF(Lançamentos!$B$3:$B$1001,$B267)=0,"Bloqueado",IF('E3 — Levantamento'!$D249="","Bloqueado",IF(COUNTIF('E3 — Levantamento'!$E249:$I249,"⛔ Bloqueado")&gt;0,"Bloqueado",IF('E3 — Levantamento'!$I249="N/A","Bloqueado",IF(COUNTIF('E3 — Levantamento'!$E249:$I249,"✔ Concluído")=5,"Concluído",IF(COUNTIF('E3 — Levantamento'!$E249:$I249,"✔ Concluído")+COUNTIF('E3 — Levantamento'!$E249:$I249,"🔄 Em andamento")&gt;0,"Em andamento","Não iniciado"))))))))</f>
        <v/>
      </c>
      <c r="H267" s="229" t="str">
        <f>IF($B267="","",IF($G267&lt;&gt;"Concluído","Não iniciado",IF(COUNTIF(Lançamentos!$B$3:$B$1001,$B267)=0,"Bloqueado",IF('E4 — Execução'!$D249="","Bloqueado",IF(COUNTIF('E4 — Execução'!$E249:$K249,"⛔ Bloqueado")&gt;0,"Bloqueado",IF(COUNTIF('E4 — Execução'!$E249:$K249,"✔ Concluído")=7,"Concluído",IF(COUNTIF('E4 — Execução'!$E249:$K249,"✔ Concluído")+COUNTIF('E4 — Execução'!$E249:$K249,"🔄 Em andamento")&gt;0,"Em andamento","Não iniciado")))))))</f>
        <v/>
      </c>
      <c r="I267" s="229" t="str">
        <f>IF($B267="","",IF($H267&lt;&gt;"Concluído","Não iniciado",IF(COUNTIF(Lançamentos!$B$3:$B$1001,$B267)=0,"Bloqueado",IF('E5 — Validação'!$D249="","Bloqueado",IF(COUNTIF('E5 — Validação'!$E249:$I249,"⛔ Bloqueado")&gt;0,"Bloqueado",IF('E5 — Validação'!$I249="N/A","Bloqueado",IF(AND('E5 — Validação'!$E249="✔ Concluído",'E5 — Validação'!$F249="✔ Concluído",OR('E5 — Validação'!$G249="✔ Concluído",'E5 — Validação'!$G249="N/A"),'E5 — Validação'!$H249="✔ Concluído",'E5 — Validação'!$I249="✔ Concluído"),"Concluído",IF(COUNTIF('E5 — Validação'!$E249:$I249,"✔ Concluído")+COUNTIF('E5 — Validação'!$E249:$I249,"🔄 Em andamento")&gt;0,"Em andamento","Não iniciado"))))))))</f>
        <v/>
      </c>
      <c r="J267" s="229" t="str">
        <f>IF($B267="","",IF($I267&lt;&gt;"Concluído","Não iniciado",IF('E6 — Ajustes'!$N249="Não","N/A",IF(COUNTIF(Lançamentos!$B$3:$B$1001,$B267)=0,"Bloqueado",IF('E6 — Ajustes'!$D249="","Bloqueado",IF(COUNTIF('E6 — Ajustes'!$E249:$J249,"⛔ Bloqueado")&gt;0,"Bloqueado",IF(AND('E6 — Ajustes'!$E249="✔ Concluído",'E6 — Ajustes'!$F249="✔ Concluído",'E6 — Ajustes'!$G249="✔ Concluído",'E6 — Ajustes'!$H249="✔ Concluído",OR('E6 — Ajustes'!$I249="✔ Concluído",'E6 — Ajustes'!$I249="N/A"),'E6 — Ajustes'!$J249="✔ Concluído"),"Concluído",IF(COUNTIF('E6 — Ajustes'!$E249:$J249,"✔ Concluído")+COUNTIF('E6 — Ajustes'!$E249:$J249,"🔄 Em andamento")&gt;0,"Em andamento","Não iniciado"))))))))</f>
        <v/>
      </c>
      <c r="K267" s="229" t="str">
        <f>IF($B267="","",IF($I267&lt;&gt;"Concluído","Não iniciado",IF(AND($J267&lt;&gt;"Concluído",$J267&lt;&gt;"N/A"),"Não iniciado",IF(COUNTIF(Lançamentos!$B$3:$B$1001,$B267)=0,"Bloqueado",IF('E7 — Entrega'!$D249="","Bloqueado",IF(COUNTIF('E7 — Entrega'!$E249:$H249,"⛔ Bloqueado")&gt;0,"Bloqueado",IF(COUNTIF('E7 — Entrega'!$E249:$H249,"✔ Concluído")=4,"Concluído",IF(COUNTIF('E7 — Entrega'!$E249:$H249,"✔ Concluído")+COUNTIF('E7 — Entrega'!$E249:$H249,"🔄 Em andamento")&gt;0,"Em andamento","Não iniciado"))))))))</f>
        <v/>
      </c>
      <c r="L267" s="229" t="str">
        <f>IF($B267="","",IF($K267&lt;&gt;"Concluído","Não iniciado",IF(OR(COUNTIF('E08 — Estabilização Hypercare'!$E249:$J249,"⛔ Bloqueado")&gt;0,'E08 — Estabilização Hypercare'!$N249="⛔ Incidente Crítico — Encerramento Bloqueado",AND('E08 — Estabilização Hypercare'!$N249="🆕 Evolução Identificada — Nova Demanda Aberta",'E08 — Estabilização Hypercare'!$U249="")),"Bloqueado",IF(AND('E08 — Estabilização Hypercare'!$E249="✔ Concluído",'E08 — Estabilização Hypercare'!$F249="✔ Concluído",'E08 — Estabilização Hypercare'!$G249="✔ Concluído",OR('E08 — Estabilização Hypercare'!$H249="✔ Concluído",'E08 — Estabilização Hypercare'!$H249="N/A"),'E08 — Estabilização Hypercare'!$I249="✔ Concluído",'E08 — Estabilização Hypercare'!$J249="✔ Concluído",OR('E08 — Estabilização Hypercare'!$N249="✅ Estável — Demanda Encerrada",AND('E08 — Estabilização Hypercare'!$N249="🆕 Evolução Identificada — Nova Demanda Aberta",'E08 — Estabilização Hypercare'!$U249&lt;&gt;""))),"Concluído",IF(OR(COUNTIF('E08 — Estabilização Hypercare'!$E249:$J249,"✔ Concluído")&gt;0,COUNTIF('E08 — Estabilização Hypercare'!$E249:$J249,"🔄 Em andamento")&gt;0,'E08 — Estabilização Hypercare'!$N249&lt;&gt;""),"Em andamento","Não iniciado")))))</f>
        <v/>
      </c>
      <c r="M267" s="232" t="str" cm="1">
        <f t="array" ref="M267">IF(B267="","",_xlfn.IFS(E267&lt;&gt;"Concluído","E1 — Solicitação",F267&lt;&gt;"Concluído","E2 — Triagem",G267&lt;&gt;"Concluído","E3 — Levantamento ⚠",H267&lt;&gt;"Concluído","E4 — Execução",I267&lt;&gt;"Concluído","E5 — Validação ⚠",AND(J267&lt;&gt;"Concluído",J267&lt;&gt;"N/A"),"E6 — Ajustes",K267&lt;&gt;"Concluído","E7 — Entrega",L267&lt;&gt;"Concluído","E08 — Estabilização / Hypercare",TRUE,"✔ Fluxo concluído"))</f>
        <v/>
      </c>
      <c r="N267" s="233" t="str">
        <f t="shared" si="4"/>
        <v/>
      </c>
      <c r="O267" s="230"/>
    </row>
    <row r="268" spans="2:15" x14ac:dyDescent="0.35">
      <c r="B268" s="229" t="str">
        <f>IF(Lançamentos!$B245="","",Lançamentos!$B245)</f>
        <v/>
      </c>
      <c r="C268" s="231" t="str">
        <f>IF($B268="","",Lançamentos!$J245)</f>
        <v/>
      </c>
      <c r="D268" s="231" t="str">
        <f>IF($B268="","",Lançamentos!$H245)</f>
        <v/>
      </c>
      <c r="E268" s="229" t="str">
        <f>IF($B268="","",IF(COUNTIF(Lançamentos!$B$3:$B$1001,$B268)=0,"Bloqueado",IF(COUNTIF('E1 — Solicitação'!$E250:$L250,"⛔ Bloqueado")&gt;0,"Bloqueado",IF(COUNTIF('E1 — Solicitação'!$E250:$L250,"N/A")=8,"Bloqueado",IF(COUNTIF('E1 — Solicitação'!$E250:$L250,"✔ Concluído")+COUNTIF('E1 — Solicitação'!$E250:$L250,"N/A")=8,"Concluído",IF(COUNTIF('E1 — Solicitação'!$E250:$L250,"✔ Concluído")+COUNTIF('E1 — Solicitação'!$E250:$L250,"🔄 Em andamento")&gt;0,"Em andamento","Não iniciado"))))))</f>
        <v/>
      </c>
      <c r="F268" s="229" t="str">
        <f>IF($B268="","",IF($E268&lt;&gt;"Concluído","Não iniciado",IF(COUNTIF(Lançamentos!$B$3:$B$1001,$B268)=0,"Bloqueado",IF('E2 — Triagem'!$D250="","Bloqueado",IF(COUNTIF('E2 — Triagem'!$E250:$L250,"N/A")=8,"Bloqueado",IF(COUNTIF('E2 — Triagem'!$E250:$L250,"⛔ Bloqueado")&gt;0,"Bloqueado",IF(COUNTIF('E2 — Triagem'!$E250:$L250,"✔ Concluído")+COUNTIF('E2 — Triagem'!$E250:$L250,"N/A")=8,"Concluído",IF(COUNTIF('E2 — Triagem'!$E250:$L250,"✔ Concluído")+COUNTIF('E2 — Triagem'!$E250:$L250,"🔄 Em andamento")&gt;0,"Em andamento","Não iniciado"))))))))</f>
        <v/>
      </c>
      <c r="G268" s="229" t="str">
        <f>IF($B268="","",IF($F268&lt;&gt;"Concluído","Não iniciado",IF(COUNTIF(Lançamentos!$B$3:$B$1001,$B268)=0,"Bloqueado",IF('E3 — Levantamento'!$D250="","Bloqueado",IF(COUNTIF('E3 — Levantamento'!$E250:$I250,"⛔ Bloqueado")&gt;0,"Bloqueado",IF('E3 — Levantamento'!$I250="N/A","Bloqueado",IF(COUNTIF('E3 — Levantamento'!$E250:$I250,"✔ Concluído")=5,"Concluído",IF(COUNTIF('E3 — Levantamento'!$E250:$I250,"✔ Concluído")+COUNTIF('E3 — Levantamento'!$E250:$I250,"🔄 Em andamento")&gt;0,"Em andamento","Não iniciado"))))))))</f>
        <v/>
      </c>
      <c r="H268" s="229" t="str">
        <f>IF($B268="","",IF($G268&lt;&gt;"Concluído","Não iniciado",IF(COUNTIF(Lançamentos!$B$3:$B$1001,$B268)=0,"Bloqueado",IF('E4 — Execução'!$D250="","Bloqueado",IF(COUNTIF('E4 — Execução'!$E250:$K250,"⛔ Bloqueado")&gt;0,"Bloqueado",IF(COUNTIF('E4 — Execução'!$E250:$K250,"✔ Concluído")=7,"Concluído",IF(COUNTIF('E4 — Execução'!$E250:$K250,"✔ Concluído")+COUNTIF('E4 — Execução'!$E250:$K250,"🔄 Em andamento")&gt;0,"Em andamento","Não iniciado")))))))</f>
        <v/>
      </c>
      <c r="I268" s="229" t="str">
        <f>IF($B268="","",IF($H268&lt;&gt;"Concluído","Não iniciado",IF(COUNTIF(Lançamentos!$B$3:$B$1001,$B268)=0,"Bloqueado",IF('E5 — Validação'!$D250="","Bloqueado",IF(COUNTIF('E5 — Validação'!$E250:$I250,"⛔ Bloqueado")&gt;0,"Bloqueado",IF('E5 — Validação'!$I250="N/A","Bloqueado",IF(AND('E5 — Validação'!$E250="✔ Concluído",'E5 — Validação'!$F250="✔ Concluído",OR('E5 — Validação'!$G250="✔ Concluído",'E5 — Validação'!$G250="N/A"),'E5 — Validação'!$H250="✔ Concluído",'E5 — Validação'!$I250="✔ Concluído"),"Concluído",IF(COUNTIF('E5 — Validação'!$E250:$I250,"✔ Concluído")+COUNTIF('E5 — Validação'!$E250:$I250,"🔄 Em andamento")&gt;0,"Em andamento","Não iniciado"))))))))</f>
        <v/>
      </c>
      <c r="J268" s="229" t="str">
        <f>IF($B268="","",IF($I268&lt;&gt;"Concluído","Não iniciado",IF('E6 — Ajustes'!$N250="Não","N/A",IF(COUNTIF(Lançamentos!$B$3:$B$1001,$B268)=0,"Bloqueado",IF('E6 — Ajustes'!$D250="","Bloqueado",IF(COUNTIF('E6 — Ajustes'!$E250:$J250,"⛔ Bloqueado")&gt;0,"Bloqueado",IF(AND('E6 — Ajustes'!$E250="✔ Concluído",'E6 — Ajustes'!$F250="✔ Concluído",'E6 — Ajustes'!$G250="✔ Concluído",'E6 — Ajustes'!$H250="✔ Concluído",OR('E6 — Ajustes'!$I250="✔ Concluído",'E6 — Ajustes'!$I250="N/A"),'E6 — Ajustes'!$J250="✔ Concluído"),"Concluído",IF(COUNTIF('E6 — Ajustes'!$E250:$J250,"✔ Concluído")+COUNTIF('E6 — Ajustes'!$E250:$J250,"🔄 Em andamento")&gt;0,"Em andamento","Não iniciado"))))))))</f>
        <v/>
      </c>
      <c r="K268" s="229" t="str">
        <f>IF($B268="","",IF($I268&lt;&gt;"Concluído","Não iniciado",IF(AND($J268&lt;&gt;"Concluído",$J268&lt;&gt;"N/A"),"Não iniciado",IF(COUNTIF(Lançamentos!$B$3:$B$1001,$B268)=0,"Bloqueado",IF('E7 — Entrega'!$D250="","Bloqueado",IF(COUNTIF('E7 — Entrega'!$E250:$H250,"⛔ Bloqueado")&gt;0,"Bloqueado",IF(COUNTIF('E7 — Entrega'!$E250:$H250,"✔ Concluído")=4,"Concluído",IF(COUNTIF('E7 — Entrega'!$E250:$H250,"✔ Concluído")+COUNTIF('E7 — Entrega'!$E250:$H250,"🔄 Em andamento")&gt;0,"Em andamento","Não iniciado"))))))))</f>
        <v/>
      </c>
      <c r="L268" s="229" t="str">
        <f>IF($B268="","",IF($K268&lt;&gt;"Concluído","Não iniciado",IF(OR(COUNTIF('E08 — Estabilização Hypercare'!$E250:$J250,"⛔ Bloqueado")&gt;0,'E08 — Estabilização Hypercare'!$N250="⛔ Incidente Crítico — Encerramento Bloqueado",AND('E08 — Estabilização Hypercare'!$N250="🆕 Evolução Identificada — Nova Demanda Aberta",'E08 — Estabilização Hypercare'!$U250="")),"Bloqueado",IF(AND('E08 — Estabilização Hypercare'!$E250="✔ Concluído",'E08 — Estabilização Hypercare'!$F250="✔ Concluído",'E08 — Estabilização Hypercare'!$G250="✔ Concluído",OR('E08 — Estabilização Hypercare'!$H250="✔ Concluído",'E08 — Estabilização Hypercare'!$H250="N/A"),'E08 — Estabilização Hypercare'!$I250="✔ Concluído",'E08 — Estabilização Hypercare'!$J250="✔ Concluído",OR('E08 — Estabilização Hypercare'!$N250="✅ Estável — Demanda Encerrada",AND('E08 — Estabilização Hypercare'!$N250="🆕 Evolução Identificada — Nova Demanda Aberta",'E08 — Estabilização Hypercare'!$U250&lt;&gt;""))),"Concluído",IF(OR(COUNTIF('E08 — Estabilização Hypercare'!$E250:$J250,"✔ Concluído")&gt;0,COUNTIF('E08 — Estabilização Hypercare'!$E250:$J250,"🔄 Em andamento")&gt;0,'E08 — Estabilização Hypercare'!$N250&lt;&gt;""),"Em andamento","Não iniciado")))))</f>
        <v/>
      </c>
      <c r="M268" s="232" t="str" cm="1">
        <f t="array" ref="M268">IF(B268="","",_xlfn.IFS(E268&lt;&gt;"Concluído","E1 — Solicitação",F268&lt;&gt;"Concluído","E2 — Triagem",G268&lt;&gt;"Concluído","E3 — Levantamento ⚠",H268&lt;&gt;"Concluído","E4 — Execução",I268&lt;&gt;"Concluído","E5 — Validação ⚠",AND(J268&lt;&gt;"Concluído",J268&lt;&gt;"N/A"),"E6 — Ajustes",K268&lt;&gt;"Concluído","E7 — Entrega",L268&lt;&gt;"Concluído","E08 — Estabilização / Hypercare",TRUE,"✔ Fluxo concluído"))</f>
        <v/>
      </c>
      <c r="N268" s="233" t="str">
        <f t="shared" si="4"/>
        <v/>
      </c>
      <c r="O268" s="230"/>
    </row>
    <row r="269" spans="2:15" x14ac:dyDescent="0.35">
      <c r="B269" s="229" t="str">
        <f>IF(Lançamentos!$B246="","",Lançamentos!$B246)</f>
        <v/>
      </c>
      <c r="C269" s="231" t="str">
        <f>IF($B269="","",Lançamentos!$J246)</f>
        <v/>
      </c>
      <c r="D269" s="231" t="str">
        <f>IF($B269="","",Lançamentos!$H246)</f>
        <v/>
      </c>
      <c r="E269" s="229" t="str">
        <f>IF($B269="","",IF(COUNTIF(Lançamentos!$B$3:$B$1001,$B269)=0,"Bloqueado",IF(COUNTIF('E1 — Solicitação'!$E251:$L251,"⛔ Bloqueado")&gt;0,"Bloqueado",IF(COUNTIF('E1 — Solicitação'!$E251:$L251,"N/A")=8,"Bloqueado",IF(COUNTIF('E1 — Solicitação'!$E251:$L251,"✔ Concluído")+COUNTIF('E1 — Solicitação'!$E251:$L251,"N/A")=8,"Concluído",IF(COUNTIF('E1 — Solicitação'!$E251:$L251,"✔ Concluído")+COUNTIF('E1 — Solicitação'!$E251:$L251,"🔄 Em andamento")&gt;0,"Em andamento","Não iniciado"))))))</f>
        <v/>
      </c>
      <c r="F269" s="229" t="str">
        <f>IF($B269="","",IF($E269&lt;&gt;"Concluído","Não iniciado",IF(COUNTIF(Lançamentos!$B$3:$B$1001,$B269)=0,"Bloqueado",IF('E2 — Triagem'!$D251="","Bloqueado",IF(COUNTIF('E2 — Triagem'!$E251:$L251,"N/A")=8,"Bloqueado",IF(COUNTIF('E2 — Triagem'!$E251:$L251,"⛔ Bloqueado")&gt;0,"Bloqueado",IF(COUNTIF('E2 — Triagem'!$E251:$L251,"✔ Concluído")+COUNTIF('E2 — Triagem'!$E251:$L251,"N/A")=8,"Concluído",IF(COUNTIF('E2 — Triagem'!$E251:$L251,"✔ Concluído")+COUNTIF('E2 — Triagem'!$E251:$L251,"🔄 Em andamento")&gt;0,"Em andamento","Não iniciado"))))))))</f>
        <v/>
      </c>
      <c r="G269" s="229" t="str">
        <f>IF($B269="","",IF($F269&lt;&gt;"Concluído","Não iniciado",IF(COUNTIF(Lançamentos!$B$3:$B$1001,$B269)=0,"Bloqueado",IF('E3 — Levantamento'!$D251="","Bloqueado",IF(COUNTIF('E3 — Levantamento'!$E251:$I251,"⛔ Bloqueado")&gt;0,"Bloqueado",IF('E3 — Levantamento'!$I251="N/A","Bloqueado",IF(COUNTIF('E3 — Levantamento'!$E251:$I251,"✔ Concluído")=5,"Concluído",IF(COUNTIF('E3 — Levantamento'!$E251:$I251,"✔ Concluído")+COUNTIF('E3 — Levantamento'!$E251:$I251,"🔄 Em andamento")&gt;0,"Em andamento","Não iniciado"))))))))</f>
        <v/>
      </c>
      <c r="H269" s="229" t="str">
        <f>IF($B269="","",IF($G269&lt;&gt;"Concluído","Não iniciado",IF(COUNTIF(Lançamentos!$B$3:$B$1001,$B269)=0,"Bloqueado",IF('E4 — Execução'!$D251="","Bloqueado",IF(COUNTIF('E4 — Execução'!$E251:$K251,"⛔ Bloqueado")&gt;0,"Bloqueado",IF(COUNTIF('E4 — Execução'!$E251:$K251,"✔ Concluído")=7,"Concluído",IF(COUNTIF('E4 — Execução'!$E251:$K251,"✔ Concluído")+COUNTIF('E4 — Execução'!$E251:$K251,"🔄 Em andamento")&gt;0,"Em andamento","Não iniciado")))))))</f>
        <v/>
      </c>
      <c r="I269" s="229" t="str">
        <f>IF($B269="","",IF($H269&lt;&gt;"Concluído","Não iniciado",IF(COUNTIF(Lançamentos!$B$3:$B$1001,$B269)=0,"Bloqueado",IF('E5 — Validação'!$D251="","Bloqueado",IF(COUNTIF('E5 — Validação'!$E251:$I251,"⛔ Bloqueado")&gt;0,"Bloqueado",IF('E5 — Validação'!$I251="N/A","Bloqueado",IF(AND('E5 — Validação'!$E251="✔ Concluído",'E5 — Validação'!$F251="✔ Concluído",OR('E5 — Validação'!$G251="✔ Concluído",'E5 — Validação'!$G251="N/A"),'E5 — Validação'!$H251="✔ Concluído",'E5 — Validação'!$I251="✔ Concluído"),"Concluído",IF(COUNTIF('E5 — Validação'!$E251:$I251,"✔ Concluído")+COUNTIF('E5 — Validação'!$E251:$I251,"🔄 Em andamento")&gt;0,"Em andamento","Não iniciado"))))))))</f>
        <v/>
      </c>
      <c r="J269" s="229" t="str">
        <f>IF($B269="","",IF($I269&lt;&gt;"Concluído","Não iniciado",IF('E6 — Ajustes'!$N251="Não","N/A",IF(COUNTIF(Lançamentos!$B$3:$B$1001,$B269)=0,"Bloqueado",IF('E6 — Ajustes'!$D251="","Bloqueado",IF(COUNTIF('E6 — Ajustes'!$E251:$J251,"⛔ Bloqueado")&gt;0,"Bloqueado",IF(AND('E6 — Ajustes'!$E251="✔ Concluído",'E6 — Ajustes'!$F251="✔ Concluído",'E6 — Ajustes'!$G251="✔ Concluído",'E6 — Ajustes'!$H251="✔ Concluído",OR('E6 — Ajustes'!$I251="✔ Concluído",'E6 — Ajustes'!$I251="N/A"),'E6 — Ajustes'!$J251="✔ Concluído"),"Concluído",IF(COUNTIF('E6 — Ajustes'!$E251:$J251,"✔ Concluído")+COUNTIF('E6 — Ajustes'!$E251:$J251,"🔄 Em andamento")&gt;0,"Em andamento","Não iniciado"))))))))</f>
        <v/>
      </c>
      <c r="K269" s="229" t="str">
        <f>IF($B269="","",IF($I269&lt;&gt;"Concluído","Não iniciado",IF(AND($J269&lt;&gt;"Concluído",$J269&lt;&gt;"N/A"),"Não iniciado",IF(COUNTIF(Lançamentos!$B$3:$B$1001,$B269)=0,"Bloqueado",IF('E7 — Entrega'!$D251="","Bloqueado",IF(COUNTIF('E7 — Entrega'!$E251:$H251,"⛔ Bloqueado")&gt;0,"Bloqueado",IF(COUNTIF('E7 — Entrega'!$E251:$H251,"✔ Concluído")=4,"Concluído",IF(COUNTIF('E7 — Entrega'!$E251:$H251,"✔ Concluído")+COUNTIF('E7 — Entrega'!$E251:$H251,"🔄 Em andamento")&gt;0,"Em andamento","Não iniciado"))))))))</f>
        <v/>
      </c>
      <c r="L269" s="229" t="str">
        <f>IF($B269="","",IF($K269&lt;&gt;"Concluído","Não iniciado",IF(OR(COUNTIF('E08 — Estabilização Hypercare'!$E251:$J251,"⛔ Bloqueado")&gt;0,'E08 — Estabilização Hypercare'!$N251="⛔ Incidente Crítico — Encerramento Bloqueado",AND('E08 — Estabilização Hypercare'!$N251="🆕 Evolução Identificada — Nova Demanda Aberta",'E08 — Estabilização Hypercare'!$U251="")),"Bloqueado",IF(AND('E08 — Estabilização Hypercare'!$E251="✔ Concluído",'E08 — Estabilização Hypercare'!$F251="✔ Concluído",'E08 — Estabilização Hypercare'!$G251="✔ Concluído",OR('E08 — Estabilização Hypercare'!$H251="✔ Concluído",'E08 — Estabilização Hypercare'!$H251="N/A"),'E08 — Estabilização Hypercare'!$I251="✔ Concluído",'E08 — Estabilização Hypercare'!$J251="✔ Concluído",OR('E08 — Estabilização Hypercare'!$N251="✅ Estável — Demanda Encerrada",AND('E08 — Estabilização Hypercare'!$N251="🆕 Evolução Identificada — Nova Demanda Aberta",'E08 — Estabilização Hypercare'!$U251&lt;&gt;""))),"Concluído",IF(OR(COUNTIF('E08 — Estabilização Hypercare'!$E251:$J251,"✔ Concluído")&gt;0,COUNTIF('E08 — Estabilização Hypercare'!$E251:$J251,"🔄 Em andamento")&gt;0,'E08 — Estabilização Hypercare'!$N251&lt;&gt;""),"Em andamento","Não iniciado")))))</f>
        <v/>
      </c>
      <c r="M269" s="232" t="str" cm="1">
        <f t="array" ref="M269">IF(B269="","",_xlfn.IFS(E269&lt;&gt;"Concluído","E1 — Solicitação",F269&lt;&gt;"Concluído","E2 — Triagem",G269&lt;&gt;"Concluído","E3 — Levantamento ⚠",H269&lt;&gt;"Concluído","E4 — Execução",I269&lt;&gt;"Concluído","E5 — Validação ⚠",AND(J269&lt;&gt;"Concluído",J269&lt;&gt;"N/A"),"E6 — Ajustes",K269&lt;&gt;"Concluído","E7 — Entrega",L269&lt;&gt;"Concluído","E08 — Estabilização / Hypercare",TRUE,"✔ Fluxo concluído"))</f>
        <v/>
      </c>
      <c r="N269" s="233" t="str">
        <f t="shared" si="4"/>
        <v/>
      </c>
      <c r="O269" s="230"/>
    </row>
    <row r="270" spans="2:15" x14ac:dyDescent="0.35">
      <c r="B270" s="229" t="str">
        <f>IF(Lançamentos!$B247="","",Lançamentos!$B247)</f>
        <v/>
      </c>
      <c r="C270" s="231" t="str">
        <f>IF($B270="","",Lançamentos!$J247)</f>
        <v/>
      </c>
      <c r="D270" s="231" t="str">
        <f>IF($B270="","",Lançamentos!$H247)</f>
        <v/>
      </c>
      <c r="E270" s="229" t="str">
        <f>IF($B270="","",IF(COUNTIF(Lançamentos!$B$3:$B$1001,$B270)=0,"Bloqueado",IF(COUNTIF('E1 — Solicitação'!$E252:$L252,"⛔ Bloqueado")&gt;0,"Bloqueado",IF(COUNTIF('E1 — Solicitação'!$E252:$L252,"N/A")=8,"Bloqueado",IF(COUNTIF('E1 — Solicitação'!$E252:$L252,"✔ Concluído")+COUNTIF('E1 — Solicitação'!$E252:$L252,"N/A")=8,"Concluído",IF(COUNTIF('E1 — Solicitação'!$E252:$L252,"✔ Concluído")+COUNTIF('E1 — Solicitação'!$E252:$L252,"🔄 Em andamento")&gt;0,"Em andamento","Não iniciado"))))))</f>
        <v/>
      </c>
      <c r="F270" s="229" t="str">
        <f>IF($B270="","",IF($E270&lt;&gt;"Concluído","Não iniciado",IF(COUNTIF(Lançamentos!$B$3:$B$1001,$B270)=0,"Bloqueado",IF('E2 — Triagem'!$D252="","Bloqueado",IF(COUNTIF('E2 — Triagem'!$E252:$L252,"N/A")=8,"Bloqueado",IF(COUNTIF('E2 — Triagem'!$E252:$L252,"⛔ Bloqueado")&gt;0,"Bloqueado",IF(COUNTIF('E2 — Triagem'!$E252:$L252,"✔ Concluído")+COUNTIF('E2 — Triagem'!$E252:$L252,"N/A")=8,"Concluído",IF(COUNTIF('E2 — Triagem'!$E252:$L252,"✔ Concluído")+COUNTIF('E2 — Triagem'!$E252:$L252,"🔄 Em andamento")&gt;0,"Em andamento","Não iniciado"))))))))</f>
        <v/>
      </c>
      <c r="G270" s="229" t="str">
        <f>IF($B270="","",IF($F270&lt;&gt;"Concluído","Não iniciado",IF(COUNTIF(Lançamentos!$B$3:$B$1001,$B270)=0,"Bloqueado",IF('E3 — Levantamento'!$D252="","Bloqueado",IF(COUNTIF('E3 — Levantamento'!$E252:$I252,"⛔ Bloqueado")&gt;0,"Bloqueado",IF('E3 — Levantamento'!$I252="N/A","Bloqueado",IF(COUNTIF('E3 — Levantamento'!$E252:$I252,"✔ Concluído")=5,"Concluído",IF(COUNTIF('E3 — Levantamento'!$E252:$I252,"✔ Concluído")+COUNTIF('E3 — Levantamento'!$E252:$I252,"🔄 Em andamento")&gt;0,"Em andamento","Não iniciado"))))))))</f>
        <v/>
      </c>
      <c r="H270" s="229" t="str">
        <f>IF($B270="","",IF($G270&lt;&gt;"Concluído","Não iniciado",IF(COUNTIF(Lançamentos!$B$3:$B$1001,$B270)=0,"Bloqueado",IF('E4 — Execução'!$D252="","Bloqueado",IF(COUNTIF('E4 — Execução'!$E252:$K252,"⛔ Bloqueado")&gt;0,"Bloqueado",IF(COUNTIF('E4 — Execução'!$E252:$K252,"✔ Concluído")=7,"Concluído",IF(COUNTIF('E4 — Execução'!$E252:$K252,"✔ Concluído")+COUNTIF('E4 — Execução'!$E252:$K252,"🔄 Em andamento")&gt;0,"Em andamento","Não iniciado")))))))</f>
        <v/>
      </c>
      <c r="I270" s="229" t="str">
        <f>IF($B270="","",IF($H270&lt;&gt;"Concluído","Não iniciado",IF(COUNTIF(Lançamentos!$B$3:$B$1001,$B270)=0,"Bloqueado",IF('E5 — Validação'!$D252="","Bloqueado",IF(COUNTIF('E5 — Validação'!$E252:$I252,"⛔ Bloqueado")&gt;0,"Bloqueado",IF('E5 — Validação'!$I252="N/A","Bloqueado",IF(AND('E5 — Validação'!$E252="✔ Concluído",'E5 — Validação'!$F252="✔ Concluído",OR('E5 — Validação'!$G252="✔ Concluído",'E5 — Validação'!$G252="N/A"),'E5 — Validação'!$H252="✔ Concluído",'E5 — Validação'!$I252="✔ Concluído"),"Concluído",IF(COUNTIF('E5 — Validação'!$E252:$I252,"✔ Concluído")+COUNTIF('E5 — Validação'!$E252:$I252,"🔄 Em andamento")&gt;0,"Em andamento","Não iniciado"))))))))</f>
        <v/>
      </c>
      <c r="J270" s="229" t="str">
        <f>IF($B270="","",IF($I270&lt;&gt;"Concluído","Não iniciado",IF('E6 — Ajustes'!$N252="Não","N/A",IF(COUNTIF(Lançamentos!$B$3:$B$1001,$B270)=0,"Bloqueado",IF('E6 — Ajustes'!$D252="","Bloqueado",IF(COUNTIF('E6 — Ajustes'!$E252:$J252,"⛔ Bloqueado")&gt;0,"Bloqueado",IF(AND('E6 — Ajustes'!$E252="✔ Concluído",'E6 — Ajustes'!$F252="✔ Concluído",'E6 — Ajustes'!$G252="✔ Concluído",'E6 — Ajustes'!$H252="✔ Concluído",OR('E6 — Ajustes'!$I252="✔ Concluído",'E6 — Ajustes'!$I252="N/A"),'E6 — Ajustes'!$J252="✔ Concluído"),"Concluído",IF(COUNTIF('E6 — Ajustes'!$E252:$J252,"✔ Concluído")+COUNTIF('E6 — Ajustes'!$E252:$J252,"🔄 Em andamento")&gt;0,"Em andamento","Não iniciado"))))))))</f>
        <v/>
      </c>
      <c r="K270" s="229" t="str">
        <f>IF($B270="","",IF($I270&lt;&gt;"Concluído","Não iniciado",IF(AND($J270&lt;&gt;"Concluído",$J270&lt;&gt;"N/A"),"Não iniciado",IF(COUNTIF(Lançamentos!$B$3:$B$1001,$B270)=0,"Bloqueado",IF('E7 — Entrega'!$D252="","Bloqueado",IF(COUNTIF('E7 — Entrega'!$E252:$H252,"⛔ Bloqueado")&gt;0,"Bloqueado",IF(COUNTIF('E7 — Entrega'!$E252:$H252,"✔ Concluído")=4,"Concluído",IF(COUNTIF('E7 — Entrega'!$E252:$H252,"✔ Concluído")+COUNTIF('E7 — Entrega'!$E252:$H252,"🔄 Em andamento")&gt;0,"Em andamento","Não iniciado"))))))))</f>
        <v/>
      </c>
      <c r="L270" s="229" t="str">
        <f>IF($B270="","",IF($K270&lt;&gt;"Concluído","Não iniciado",IF(OR(COUNTIF('E08 — Estabilização Hypercare'!$E252:$J252,"⛔ Bloqueado")&gt;0,'E08 — Estabilização Hypercare'!$N252="⛔ Incidente Crítico — Encerramento Bloqueado",AND('E08 — Estabilização Hypercare'!$N252="🆕 Evolução Identificada — Nova Demanda Aberta",'E08 — Estabilização Hypercare'!$U252="")),"Bloqueado",IF(AND('E08 — Estabilização Hypercare'!$E252="✔ Concluído",'E08 — Estabilização Hypercare'!$F252="✔ Concluído",'E08 — Estabilização Hypercare'!$G252="✔ Concluído",OR('E08 — Estabilização Hypercare'!$H252="✔ Concluído",'E08 — Estabilização Hypercare'!$H252="N/A"),'E08 — Estabilização Hypercare'!$I252="✔ Concluído",'E08 — Estabilização Hypercare'!$J252="✔ Concluído",OR('E08 — Estabilização Hypercare'!$N252="✅ Estável — Demanda Encerrada",AND('E08 — Estabilização Hypercare'!$N252="🆕 Evolução Identificada — Nova Demanda Aberta",'E08 — Estabilização Hypercare'!$U252&lt;&gt;""))),"Concluído",IF(OR(COUNTIF('E08 — Estabilização Hypercare'!$E252:$J252,"✔ Concluído")&gt;0,COUNTIF('E08 — Estabilização Hypercare'!$E252:$J252,"🔄 Em andamento")&gt;0,'E08 — Estabilização Hypercare'!$N252&lt;&gt;""),"Em andamento","Não iniciado")))))</f>
        <v/>
      </c>
      <c r="M270" s="232" t="str" cm="1">
        <f t="array" ref="M270">IF(B270="","",_xlfn.IFS(E270&lt;&gt;"Concluído","E1 — Solicitação",F270&lt;&gt;"Concluído","E2 — Triagem",G270&lt;&gt;"Concluído","E3 — Levantamento ⚠",H270&lt;&gt;"Concluído","E4 — Execução",I270&lt;&gt;"Concluído","E5 — Validação ⚠",AND(J270&lt;&gt;"Concluído",J270&lt;&gt;"N/A"),"E6 — Ajustes",K270&lt;&gt;"Concluído","E7 — Entrega",L270&lt;&gt;"Concluído","E08 — Estabilização / Hypercare",TRUE,"✔ Fluxo concluído"))</f>
        <v/>
      </c>
      <c r="N270" s="233" t="str">
        <f t="shared" si="4"/>
        <v/>
      </c>
      <c r="O270" s="230"/>
    </row>
    <row r="271" spans="2:15" x14ac:dyDescent="0.35">
      <c r="B271" s="229" t="str">
        <f>IF(Lançamentos!$B248="","",Lançamentos!$B248)</f>
        <v/>
      </c>
      <c r="C271" s="231" t="str">
        <f>IF($B271="","",Lançamentos!$J248)</f>
        <v/>
      </c>
      <c r="D271" s="231" t="str">
        <f>IF($B271="","",Lançamentos!$H248)</f>
        <v/>
      </c>
      <c r="E271" s="229" t="str">
        <f>IF($B271="","",IF(COUNTIF(Lançamentos!$B$3:$B$1001,$B271)=0,"Bloqueado",IF(COUNTIF('E1 — Solicitação'!$E253:$L253,"⛔ Bloqueado")&gt;0,"Bloqueado",IF(COUNTIF('E1 — Solicitação'!$E253:$L253,"N/A")=8,"Bloqueado",IF(COUNTIF('E1 — Solicitação'!$E253:$L253,"✔ Concluído")+COUNTIF('E1 — Solicitação'!$E253:$L253,"N/A")=8,"Concluído",IF(COUNTIF('E1 — Solicitação'!$E253:$L253,"✔ Concluído")+COUNTIF('E1 — Solicitação'!$E253:$L253,"🔄 Em andamento")&gt;0,"Em andamento","Não iniciado"))))))</f>
        <v/>
      </c>
      <c r="F271" s="229" t="str">
        <f>IF($B271="","",IF($E271&lt;&gt;"Concluído","Não iniciado",IF(COUNTIF(Lançamentos!$B$3:$B$1001,$B271)=0,"Bloqueado",IF('E2 — Triagem'!$D253="","Bloqueado",IF(COUNTIF('E2 — Triagem'!$E253:$L253,"N/A")=8,"Bloqueado",IF(COUNTIF('E2 — Triagem'!$E253:$L253,"⛔ Bloqueado")&gt;0,"Bloqueado",IF(COUNTIF('E2 — Triagem'!$E253:$L253,"✔ Concluído")+COUNTIF('E2 — Triagem'!$E253:$L253,"N/A")=8,"Concluído",IF(COUNTIF('E2 — Triagem'!$E253:$L253,"✔ Concluído")+COUNTIF('E2 — Triagem'!$E253:$L253,"🔄 Em andamento")&gt;0,"Em andamento","Não iniciado"))))))))</f>
        <v/>
      </c>
      <c r="G271" s="229" t="str">
        <f>IF($B271="","",IF($F271&lt;&gt;"Concluído","Não iniciado",IF(COUNTIF(Lançamentos!$B$3:$B$1001,$B271)=0,"Bloqueado",IF('E3 — Levantamento'!$D253="","Bloqueado",IF(COUNTIF('E3 — Levantamento'!$E253:$I253,"⛔ Bloqueado")&gt;0,"Bloqueado",IF('E3 — Levantamento'!$I253="N/A","Bloqueado",IF(COUNTIF('E3 — Levantamento'!$E253:$I253,"✔ Concluído")=5,"Concluído",IF(COUNTIF('E3 — Levantamento'!$E253:$I253,"✔ Concluído")+COUNTIF('E3 — Levantamento'!$E253:$I253,"🔄 Em andamento")&gt;0,"Em andamento","Não iniciado"))))))))</f>
        <v/>
      </c>
      <c r="H271" s="229" t="str">
        <f>IF($B271="","",IF($G271&lt;&gt;"Concluído","Não iniciado",IF(COUNTIF(Lançamentos!$B$3:$B$1001,$B271)=0,"Bloqueado",IF('E4 — Execução'!$D253="","Bloqueado",IF(COUNTIF('E4 — Execução'!$E253:$K253,"⛔ Bloqueado")&gt;0,"Bloqueado",IF(COUNTIF('E4 — Execução'!$E253:$K253,"✔ Concluído")=7,"Concluído",IF(COUNTIF('E4 — Execução'!$E253:$K253,"✔ Concluído")+COUNTIF('E4 — Execução'!$E253:$K253,"🔄 Em andamento")&gt;0,"Em andamento","Não iniciado")))))))</f>
        <v/>
      </c>
      <c r="I271" s="229" t="str">
        <f>IF($B271="","",IF($H271&lt;&gt;"Concluído","Não iniciado",IF(COUNTIF(Lançamentos!$B$3:$B$1001,$B271)=0,"Bloqueado",IF('E5 — Validação'!$D253="","Bloqueado",IF(COUNTIF('E5 — Validação'!$E253:$I253,"⛔ Bloqueado")&gt;0,"Bloqueado",IF('E5 — Validação'!$I253="N/A","Bloqueado",IF(AND('E5 — Validação'!$E253="✔ Concluído",'E5 — Validação'!$F253="✔ Concluído",OR('E5 — Validação'!$G253="✔ Concluído",'E5 — Validação'!$G253="N/A"),'E5 — Validação'!$H253="✔ Concluído",'E5 — Validação'!$I253="✔ Concluído"),"Concluído",IF(COUNTIF('E5 — Validação'!$E253:$I253,"✔ Concluído")+COUNTIF('E5 — Validação'!$E253:$I253,"🔄 Em andamento")&gt;0,"Em andamento","Não iniciado"))))))))</f>
        <v/>
      </c>
      <c r="J271" s="229" t="str">
        <f>IF($B271="","",IF($I271&lt;&gt;"Concluído","Não iniciado",IF('E6 — Ajustes'!$N253="Não","N/A",IF(COUNTIF(Lançamentos!$B$3:$B$1001,$B271)=0,"Bloqueado",IF('E6 — Ajustes'!$D253="","Bloqueado",IF(COUNTIF('E6 — Ajustes'!$E253:$J253,"⛔ Bloqueado")&gt;0,"Bloqueado",IF(AND('E6 — Ajustes'!$E253="✔ Concluído",'E6 — Ajustes'!$F253="✔ Concluído",'E6 — Ajustes'!$G253="✔ Concluído",'E6 — Ajustes'!$H253="✔ Concluído",OR('E6 — Ajustes'!$I253="✔ Concluído",'E6 — Ajustes'!$I253="N/A"),'E6 — Ajustes'!$J253="✔ Concluído"),"Concluído",IF(COUNTIF('E6 — Ajustes'!$E253:$J253,"✔ Concluído")+COUNTIF('E6 — Ajustes'!$E253:$J253,"🔄 Em andamento")&gt;0,"Em andamento","Não iniciado"))))))))</f>
        <v/>
      </c>
      <c r="K271" s="229" t="str">
        <f>IF($B271="","",IF($I271&lt;&gt;"Concluído","Não iniciado",IF(AND($J271&lt;&gt;"Concluído",$J271&lt;&gt;"N/A"),"Não iniciado",IF(COUNTIF(Lançamentos!$B$3:$B$1001,$B271)=0,"Bloqueado",IF('E7 — Entrega'!$D253="","Bloqueado",IF(COUNTIF('E7 — Entrega'!$E253:$H253,"⛔ Bloqueado")&gt;0,"Bloqueado",IF(COUNTIF('E7 — Entrega'!$E253:$H253,"✔ Concluído")=4,"Concluído",IF(COUNTIF('E7 — Entrega'!$E253:$H253,"✔ Concluído")+COUNTIF('E7 — Entrega'!$E253:$H253,"🔄 Em andamento")&gt;0,"Em andamento","Não iniciado"))))))))</f>
        <v/>
      </c>
      <c r="L271" s="229" t="str">
        <f>IF($B271="","",IF($K271&lt;&gt;"Concluído","Não iniciado",IF(OR(COUNTIF('E08 — Estabilização Hypercare'!$E253:$J253,"⛔ Bloqueado")&gt;0,'E08 — Estabilização Hypercare'!$N253="⛔ Incidente Crítico — Encerramento Bloqueado",AND('E08 — Estabilização Hypercare'!$N253="🆕 Evolução Identificada — Nova Demanda Aberta",'E08 — Estabilização Hypercare'!$U253="")),"Bloqueado",IF(AND('E08 — Estabilização Hypercare'!$E253="✔ Concluído",'E08 — Estabilização Hypercare'!$F253="✔ Concluído",'E08 — Estabilização Hypercare'!$G253="✔ Concluído",OR('E08 — Estabilização Hypercare'!$H253="✔ Concluído",'E08 — Estabilização Hypercare'!$H253="N/A"),'E08 — Estabilização Hypercare'!$I253="✔ Concluído",'E08 — Estabilização Hypercare'!$J253="✔ Concluído",OR('E08 — Estabilização Hypercare'!$N253="✅ Estável — Demanda Encerrada",AND('E08 — Estabilização Hypercare'!$N253="🆕 Evolução Identificada — Nova Demanda Aberta",'E08 — Estabilização Hypercare'!$U253&lt;&gt;""))),"Concluído",IF(OR(COUNTIF('E08 — Estabilização Hypercare'!$E253:$J253,"✔ Concluído")&gt;0,COUNTIF('E08 — Estabilização Hypercare'!$E253:$J253,"🔄 Em andamento")&gt;0,'E08 — Estabilização Hypercare'!$N253&lt;&gt;""),"Em andamento","Não iniciado")))))</f>
        <v/>
      </c>
      <c r="M271" s="232" t="str" cm="1">
        <f t="array" ref="M271">IF(B271="","",_xlfn.IFS(E271&lt;&gt;"Concluído","E1 — Solicitação",F271&lt;&gt;"Concluído","E2 — Triagem",G271&lt;&gt;"Concluído","E3 — Levantamento ⚠",H271&lt;&gt;"Concluído","E4 — Execução",I271&lt;&gt;"Concluído","E5 — Validação ⚠",AND(J271&lt;&gt;"Concluído",J271&lt;&gt;"N/A"),"E6 — Ajustes",K271&lt;&gt;"Concluído","E7 — Entrega",L271&lt;&gt;"Concluído","E08 — Estabilização / Hypercare",TRUE,"✔ Fluxo concluído"))</f>
        <v/>
      </c>
      <c r="N271" s="233" t="str">
        <f t="shared" si="4"/>
        <v/>
      </c>
      <c r="O271" s="230"/>
    </row>
    <row r="272" spans="2:15" x14ac:dyDescent="0.35">
      <c r="B272" s="229" t="str">
        <f>IF(Lançamentos!$B249="","",Lançamentos!$B249)</f>
        <v/>
      </c>
      <c r="C272" s="231" t="str">
        <f>IF($B272="","",Lançamentos!$J249)</f>
        <v/>
      </c>
      <c r="D272" s="231" t="str">
        <f>IF($B272="","",Lançamentos!$H249)</f>
        <v/>
      </c>
      <c r="E272" s="229" t="str">
        <f>IF($B272="","",IF(COUNTIF(Lançamentos!$B$3:$B$1001,$B272)=0,"Bloqueado",IF(COUNTIF('E1 — Solicitação'!$E254:$L254,"⛔ Bloqueado")&gt;0,"Bloqueado",IF(COUNTIF('E1 — Solicitação'!$E254:$L254,"N/A")=8,"Bloqueado",IF(COUNTIF('E1 — Solicitação'!$E254:$L254,"✔ Concluído")+COUNTIF('E1 — Solicitação'!$E254:$L254,"N/A")=8,"Concluído",IF(COUNTIF('E1 — Solicitação'!$E254:$L254,"✔ Concluído")+COUNTIF('E1 — Solicitação'!$E254:$L254,"🔄 Em andamento")&gt;0,"Em andamento","Não iniciado"))))))</f>
        <v/>
      </c>
      <c r="F272" s="229" t="str">
        <f>IF($B272="","",IF($E272&lt;&gt;"Concluído","Não iniciado",IF(COUNTIF(Lançamentos!$B$3:$B$1001,$B272)=0,"Bloqueado",IF('E2 — Triagem'!$D254="","Bloqueado",IF(COUNTIF('E2 — Triagem'!$E254:$L254,"N/A")=8,"Bloqueado",IF(COUNTIF('E2 — Triagem'!$E254:$L254,"⛔ Bloqueado")&gt;0,"Bloqueado",IF(COUNTIF('E2 — Triagem'!$E254:$L254,"✔ Concluído")+COUNTIF('E2 — Triagem'!$E254:$L254,"N/A")=8,"Concluído",IF(COUNTIF('E2 — Triagem'!$E254:$L254,"✔ Concluído")+COUNTIF('E2 — Triagem'!$E254:$L254,"🔄 Em andamento")&gt;0,"Em andamento","Não iniciado"))))))))</f>
        <v/>
      </c>
      <c r="G272" s="229" t="str">
        <f>IF($B272="","",IF($F272&lt;&gt;"Concluído","Não iniciado",IF(COUNTIF(Lançamentos!$B$3:$B$1001,$B272)=0,"Bloqueado",IF('E3 — Levantamento'!$D254="","Bloqueado",IF(COUNTIF('E3 — Levantamento'!$E254:$I254,"⛔ Bloqueado")&gt;0,"Bloqueado",IF('E3 — Levantamento'!$I254="N/A","Bloqueado",IF(COUNTIF('E3 — Levantamento'!$E254:$I254,"✔ Concluído")=5,"Concluído",IF(COUNTIF('E3 — Levantamento'!$E254:$I254,"✔ Concluído")+COUNTIF('E3 — Levantamento'!$E254:$I254,"🔄 Em andamento")&gt;0,"Em andamento","Não iniciado"))))))))</f>
        <v/>
      </c>
      <c r="H272" s="229" t="str">
        <f>IF($B272="","",IF($G272&lt;&gt;"Concluído","Não iniciado",IF(COUNTIF(Lançamentos!$B$3:$B$1001,$B272)=0,"Bloqueado",IF('E4 — Execução'!$D254="","Bloqueado",IF(COUNTIF('E4 — Execução'!$E254:$K254,"⛔ Bloqueado")&gt;0,"Bloqueado",IF(COUNTIF('E4 — Execução'!$E254:$K254,"✔ Concluído")=7,"Concluído",IF(COUNTIF('E4 — Execução'!$E254:$K254,"✔ Concluído")+COUNTIF('E4 — Execução'!$E254:$K254,"🔄 Em andamento")&gt;0,"Em andamento","Não iniciado")))))))</f>
        <v/>
      </c>
      <c r="I272" s="229" t="str">
        <f>IF($B272="","",IF($H272&lt;&gt;"Concluído","Não iniciado",IF(COUNTIF(Lançamentos!$B$3:$B$1001,$B272)=0,"Bloqueado",IF('E5 — Validação'!$D254="","Bloqueado",IF(COUNTIF('E5 — Validação'!$E254:$I254,"⛔ Bloqueado")&gt;0,"Bloqueado",IF('E5 — Validação'!$I254="N/A","Bloqueado",IF(AND('E5 — Validação'!$E254="✔ Concluído",'E5 — Validação'!$F254="✔ Concluído",OR('E5 — Validação'!$G254="✔ Concluído",'E5 — Validação'!$G254="N/A"),'E5 — Validação'!$H254="✔ Concluído",'E5 — Validação'!$I254="✔ Concluído"),"Concluído",IF(COUNTIF('E5 — Validação'!$E254:$I254,"✔ Concluído")+COUNTIF('E5 — Validação'!$E254:$I254,"🔄 Em andamento")&gt;0,"Em andamento","Não iniciado"))))))))</f>
        <v/>
      </c>
      <c r="J272" s="229" t="str">
        <f>IF($B272="","",IF($I272&lt;&gt;"Concluído","Não iniciado",IF('E6 — Ajustes'!$N254="Não","N/A",IF(COUNTIF(Lançamentos!$B$3:$B$1001,$B272)=0,"Bloqueado",IF('E6 — Ajustes'!$D254="","Bloqueado",IF(COUNTIF('E6 — Ajustes'!$E254:$J254,"⛔ Bloqueado")&gt;0,"Bloqueado",IF(AND('E6 — Ajustes'!$E254="✔ Concluído",'E6 — Ajustes'!$F254="✔ Concluído",'E6 — Ajustes'!$G254="✔ Concluído",'E6 — Ajustes'!$H254="✔ Concluído",OR('E6 — Ajustes'!$I254="✔ Concluído",'E6 — Ajustes'!$I254="N/A"),'E6 — Ajustes'!$J254="✔ Concluído"),"Concluído",IF(COUNTIF('E6 — Ajustes'!$E254:$J254,"✔ Concluído")+COUNTIF('E6 — Ajustes'!$E254:$J254,"🔄 Em andamento")&gt;0,"Em andamento","Não iniciado"))))))))</f>
        <v/>
      </c>
      <c r="K272" s="229" t="str">
        <f>IF($B272="","",IF($I272&lt;&gt;"Concluído","Não iniciado",IF(AND($J272&lt;&gt;"Concluído",$J272&lt;&gt;"N/A"),"Não iniciado",IF(COUNTIF(Lançamentos!$B$3:$B$1001,$B272)=0,"Bloqueado",IF('E7 — Entrega'!$D254="","Bloqueado",IF(COUNTIF('E7 — Entrega'!$E254:$H254,"⛔ Bloqueado")&gt;0,"Bloqueado",IF(COUNTIF('E7 — Entrega'!$E254:$H254,"✔ Concluído")=4,"Concluído",IF(COUNTIF('E7 — Entrega'!$E254:$H254,"✔ Concluído")+COUNTIF('E7 — Entrega'!$E254:$H254,"🔄 Em andamento")&gt;0,"Em andamento","Não iniciado"))))))))</f>
        <v/>
      </c>
      <c r="L272" s="229" t="str">
        <f>IF($B272="","",IF($K272&lt;&gt;"Concluído","Não iniciado",IF(OR(COUNTIF('E08 — Estabilização Hypercare'!$E254:$J254,"⛔ Bloqueado")&gt;0,'E08 — Estabilização Hypercare'!$N254="⛔ Incidente Crítico — Encerramento Bloqueado",AND('E08 — Estabilização Hypercare'!$N254="🆕 Evolução Identificada — Nova Demanda Aberta",'E08 — Estabilização Hypercare'!$U254="")),"Bloqueado",IF(AND('E08 — Estabilização Hypercare'!$E254="✔ Concluído",'E08 — Estabilização Hypercare'!$F254="✔ Concluído",'E08 — Estabilização Hypercare'!$G254="✔ Concluído",OR('E08 — Estabilização Hypercare'!$H254="✔ Concluído",'E08 — Estabilização Hypercare'!$H254="N/A"),'E08 — Estabilização Hypercare'!$I254="✔ Concluído",'E08 — Estabilização Hypercare'!$J254="✔ Concluído",OR('E08 — Estabilização Hypercare'!$N254="✅ Estável — Demanda Encerrada",AND('E08 — Estabilização Hypercare'!$N254="🆕 Evolução Identificada — Nova Demanda Aberta",'E08 — Estabilização Hypercare'!$U254&lt;&gt;""))),"Concluído",IF(OR(COUNTIF('E08 — Estabilização Hypercare'!$E254:$J254,"✔ Concluído")&gt;0,COUNTIF('E08 — Estabilização Hypercare'!$E254:$J254,"🔄 Em andamento")&gt;0,'E08 — Estabilização Hypercare'!$N254&lt;&gt;""),"Em andamento","Não iniciado")))))</f>
        <v/>
      </c>
      <c r="M272" s="232" t="str" cm="1">
        <f t="array" ref="M272">IF(B272="","",_xlfn.IFS(E272&lt;&gt;"Concluído","E1 — Solicitação",F272&lt;&gt;"Concluído","E2 — Triagem",G272&lt;&gt;"Concluído","E3 — Levantamento ⚠",H272&lt;&gt;"Concluído","E4 — Execução",I272&lt;&gt;"Concluído","E5 — Validação ⚠",AND(J272&lt;&gt;"Concluído",J272&lt;&gt;"N/A"),"E6 — Ajustes",K272&lt;&gt;"Concluído","E7 — Entrega",L272&lt;&gt;"Concluído","E08 — Estabilização / Hypercare",TRUE,"✔ Fluxo concluído"))</f>
        <v/>
      </c>
      <c r="N272" s="233" t="str">
        <f t="shared" si="4"/>
        <v/>
      </c>
      <c r="O272" s="230"/>
    </row>
    <row r="273" spans="2:15" x14ac:dyDescent="0.35">
      <c r="B273" s="229" t="str">
        <f>IF(Lançamentos!$B250="","",Lançamentos!$B250)</f>
        <v/>
      </c>
      <c r="C273" s="231" t="str">
        <f>IF($B273="","",Lançamentos!$J250)</f>
        <v/>
      </c>
      <c r="D273" s="231" t="str">
        <f>IF($B273="","",Lançamentos!$H250)</f>
        <v/>
      </c>
      <c r="E273" s="229" t="str">
        <f>IF($B273="","",IF(COUNTIF(Lançamentos!$B$3:$B$1001,$B273)=0,"Bloqueado",IF(COUNTIF('E1 — Solicitação'!$E255:$L255,"⛔ Bloqueado")&gt;0,"Bloqueado",IF(COUNTIF('E1 — Solicitação'!$E255:$L255,"N/A")=8,"Bloqueado",IF(COUNTIF('E1 — Solicitação'!$E255:$L255,"✔ Concluído")+COUNTIF('E1 — Solicitação'!$E255:$L255,"N/A")=8,"Concluído",IF(COUNTIF('E1 — Solicitação'!$E255:$L255,"✔ Concluído")+COUNTIF('E1 — Solicitação'!$E255:$L255,"🔄 Em andamento")&gt;0,"Em andamento","Não iniciado"))))))</f>
        <v/>
      </c>
      <c r="F273" s="229" t="str">
        <f>IF($B273="","",IF($E273&lt;&gt;"Concluído","Não iniciado",IF(COUNTIF(Lançamentos!$B$3:$B$1001,$B273)=0,"Bloqueado",IF('E2 — Triagem'!$D255="","Bloqueado",IF(COUNTIF('E2 — Triagem'!$E255:$L255,"N/A")=8,"Bloqueado",IF(COUNTIF('E2 — Triagem'!$E255:$L255,"⛔ Bloqueado")&gt;0,"Bloqueado",IF(COUNTIF('E2 — Triagem'!$E255:$L255,"✔ Concluído")+COUNTIF('E2 — Triagem'!$E255:$L255,"N/A")=8,"Concluído",IF(COUNTIF('E2 — Triagem'!$E255:$L255,"✔ Concluído")+COUNTIF('E2 — Triagem'!$E255:$L255,"🔄 Em andamento")&gt;0,"Em andamento","Não iniciado"))))))))</f>
        <v/>
      </c>
      <c r="G273" s="229" t="str">
        <f>IF($B273="","",IF($F273&lt;&gt;"Concluído","Não iniciado",IF(COUNTIF(Lançamentos!$B$3:$B$1001,$B273)=0,"Bloqueado",IF('E3 — Levantamento'!$D255="","Bloqueado",IF(COUNTIF('E3 — Levantamento'!$E255:$I255,"⛔ Bloqueado")&gt;0,"Bloqueado",IF('E3 — Levantamento'!$I255="N/A","Bloqueado",IF(COUNTIF('E3 — Levantamento'!$E255:$I255,"✔ Concluído")=5,"Concluído",IF(COUNTIF('E3 — Levantamento'!$E255:$I255,"✔ Concluído")+COUNTIF('E3 — Levantamento'!$E255:$I255,"🔄 Em andamento")&gt;0,"Em andamento","Não iniciado"))))))))</f>
        <v/>
      </c>
      <c r="H273" s="229" t="str">
        <f>IF($B273="","",IF($G273&lt;&gt;"Concluído","Não iniciado",IF(COUNTIF(Lançamentos!$B$3:$B$1001,$B273)=0,"Bloqueado",IF('E4 — Execução'!$D255="","Bloqueado",IF(COUNTIF('E4 — Execução'!$E255:$K255,"⛔ Bloqueado")&gt;0,"Bloqueado",IF(COUNTIF('E4 — Execução'!$E255:$K255,"✔ Concluído")=7,"Concluído",IF(COUNTIF('E4 — Execução'!$E255:$K255,"✔ Concluído")+COUNTIF('E4 — Execução'!$E255:$K255,"🔄 Em andamento")&gt;0,"Em andamento","Não iniciado")))))))</f>
        <v/>
      </c>
      <c r="I273" s="229" t="str">
        <f>IF($B273="","",IF($H273&lt;&gt;"Concluído","Não iniciado",IF(COUNTIF(Lançamentos!$B$3:$B$1001,$B273)=0,"Bloqueado",IF('E5 — Validação'!$D255="","Bloqueado",IF(COUNTIF('E5 — Validação'!$E255:$I255,"⛔ Bloqueado")&gt;0,"Bloqueado",IF('E5 — Validação'!$I255="N/A","Bloqueado",IF(AND('E5 — Validação'!$E255="✔ Concluído",'E5 — Validação'!$F255="✔ Concluído",OR('E5 — Validação'!$G255="✔ Concluído",'E5 — Validação'!$G255="N/A"),'E5 — Validação'!$H255="✔ Concluído",'E5 — Validação'!$I255="✔ Concluído"),"Concluído",IF(COUNTIF('E5 — Validação'!$E255:$I255,"✔ Concluído")+COUNTIF('E5 — Validação'!$E255:$I255,"🔄 Em andamento")&gt;0,"Em andamento","Não iniciado"))))))))</f>
        <v/>
      </c>
      <c r="J273" s="229" t="str">
        <f>IF($B273="","",IF($I273&lt;&gt;"Concluído","Não iniciado",IF('E6 — Ajustes'!$N255="Não","N/A",IF(COUNTIF(Lançamentos!$B$3:$B$1001,$B273)=0,"Bloqueado",IF('E6 — Ajustes'!$D255="","Bloqueado",IF(COUNTIF('E6 — Ajustes'!$E255:$J255,"⛔ Bloqueado")&gt;0,"Bloqueado",IF(AND('E6 — Ajustes'!$E255="✔ Concluído",'E6 — Ajustes'!$F255="✔ Concluído",'E6 — Ajustes'!$G255="✔ Concluído",'E6 — Ajustes'!$H255="✔ Concluído",OR('E6 — Ajustes'!$I255="✔ Concluído",'E6 — Ajustes'!$I255="N/A"),'E6 — Ajustes'!$J255="✔ Concluído"),"Concluído",IF(COUNTIF('E6 — Ajustes'!$E255:$J255,"✔ Concluído")+COUNTIF('E6 — Ajustes'!$E255:$J255,"🔄 Em andamento")&gt;0,"Em andamento","Não iniciado"))))))))</f>
        <v/>
      </c>
      <c r="K273" s="229" t="str">
        <f>IF($B273="","",IF($I273&lt;&gt;"Concluído","Não iniciado",IF(AND($J273&lt;&gt;"Concluído",$J273&lt;&gt;"N/A"),"Não iniciado",IF(COUNTIF(Lançamentos!$B$3:$B$1001,$B273)=0,"Bloqueado",IF('E7 — Entrega'!$D255="","Bloqueado",IF(COUNTIF('E7 — Entrega'!$E255:$H255,"⛔ Bloqueado")&gt;0,"Bloqueado",IF(COUNTIF('E7 — Entrega'!$E255:$H255,"✔ Concluído")=4,"Concluído",IF(COUNTIF('E7 — Entrega'!$E255:$H255,"✔ Concluído")+COUNTIF('E7 — Entrega'!$E255:$H255,"🔄 Em andamento")&gt;0,"Em andamento","Não iniciado"))))))))</f>
        <v/>
      </c>
      <c r="L273" s="229" t="str">
        <f>IF($B273="","",IF($K273&lt;&gt;"Concluído","Não iniciado",IF(OR(COUNTIF('E08 — Estabilização Hypercare'!$E255:$J255,"⛔ Bloqueado")&gt;0,'E08 — Estabilização Hypercare'!$N255="⛔ Incidente Crítico — Encerramento Bloqueado",AND('E08 — Estabilização Hypercare'!$N255="🆕 Evolução Identificada — Nova Demanda Aberta",'E08 — Estabilização Hypercare'!$U255="")),"Bloqueado",IF(AND('E08 — Estabilização Hypercare'!$E255="✔ Concluído",'E08 — Estabilização Hypercare'!$F255="✔ Concluído",'E08 — Estabilização Hypercare'!$G255="✔ Concluído",OR('E08 — Estabilização Hypercare'!$H255="✔ Concluído",'E08 — Estabilização Hypercare'!$H255="N/A"),'E08 — Estabilização Hypercare'!$I255="✔ Concluído",'E08 — Estabilização Hypercare'!$J255="✔ Concluído",OR('E08 — Estabilização Hypercare'!$N255="✅ Estável — Demanda Encerrada",AND('E08 — Estabilização Hypercare'!$N255="🆕 Evolução Identificada — Nova Demanda Aberta",'E08 — Estabilização Hypercare'!$U255&lt;&gt;""))),"Concluído",IF(OR(COUNTIF('E08 — Estabilização Hypercare'!$E255:$J255,"✔ Concluído")&gt;0,COUNTIF('E08 — Estabilização Hypercare'!$E255:$J255,"🔄 Em andamento")&gt;0,'E08 — Estabilização Hypercare'!$N255&lt;&gt;""),"Em andamento","Não iniciado")))))</f>
        <v/>
      </c>
      <c r="M273" s="232" t="str" cm="1">
        <f t="array" ref="M273">IF(B273="","",_xlfn.IFS(E273&lt;&gt;"Concluído","E1 — Solicitação",F273&lt;&gt;"Concluído","E2 — Triagem",G273&lt;&gt;"Concluído","E3 — Levantamento ⚠",H273&lt;&gt;"Concluído","E4 — Execução",I273&lt;&gt;"Concluído","E5 — Validação ⚠",AND(J273&lt;&gt;"Concluído",J273&lt;&gt;"N/A"),"E6 — Ajustes",K273&lt;&gt;"Concluído","E7 — Entrega",L273&lt;&gt;"Concluído","E08 — Estabilização / Hypercare",TRUE,"✔ Fluxo concluído"))</f>
        <v/>
      </c>
      <c r="N273" s="233" t="str">
        <f t="shared" si="4"/>
        <v/>
      </c>
      <c r="O273" s="230"/>
    </row>
    <row r="274" spans="2:15" x14ac:dyDescent="0.35">
      <c r="B274" s="229" t="str">
        <f>IF(Lançamentos!$B251="","",Lançamentos!$B251)</f>
        <v/>
      </c>
      <c r="C274" s="231" t="str">
        <f>IF($B274="","",Lançamentos!$J251)</f>
        <v/>
      </c>
      <c r="D274" s="231" t="str">
        <f>IF($B274="","",Lançamentos!$H251)</f>
        <v/>
      </c>
      <c r="E274" s="229" t="str">
        <f>IF($B274="","",IF(COUNTIF(Lançamentos!$B$3:$B$1001,$B274)=0,"Bloqueado",IF(COUNTIF('E1 — Solicitação'!$E256:$L256,"⛔ Bloqueado")&gt;0,"Bloqueado",IF(COUNTIF('E1 — Solicitação'!$E256:$L256,"N/A")=8,"Bloqueado",IF(COUNTIF('E1 — Solicitação'!$E256:$L256,"✔ Concluído")+COUNTIF('E1 — Solicitação'!$E256:$L256,"N/A")=8,"Concluído",IF(COUNTIF('E1 — Solicitação'!$E256:$L256,"✔ Concluído")+COUNTIF('E1 — Solicitação'!$E256:$L256,"🔄 Em andamento")&gt;0,"Em andamento","Não iniciado"))))))</f>
        <v/>
      </c>
      <c r="F274" s="229" t="str">
        <f>IF($B274="","",IF($E274&lt;&gt;"Concluído","Não iniciado",IF(COUNTIF(Lançamentos!$B$3:$B$1001,$B274)=0,"Bloqueado",IF('E2 — Triagem'!$D256="","Bloqueado",IF(COUNTIF('E2 — Triagem'!$E256:$L256,"N/A")=8,"Bloqueado",IF(COUNTIF('E2 — Triagem'!$E256:$L256,"⛔ Bloqueado")&gt;0,"Bloqueado",IF(COUNTIF('E2 — Triagem'!$E256:$L256,"✔ Concluído")+COUNTIF('E2 — Triagem'!$E256:$L256,"N/A")=8,"Concluído",IF(COUNTIF('E2 — Triagem'!$E256:$L256,"✔ Concluído")+COUNTIF('E2 — Triagem'!$E256:$L256,"🔄 Em andamento")&gt;0,"Em andamento","Não iniciado"))))))))</f>
        <v/>
      </c>
      <c r="G274" s="229" t="str">
        <f>IF($B274="","",IF($F274&lt;&gt;"Concluído","Não iniciado",IF(COUNTIF(Lançamentos!$B$3:$B$1001,$B274)=0,"Bloqueado",IF('E3 — Levantamento'!$D256="","Bloqueado",IF(COUNTIF('E3 — Levantamento'!$E256:$I256,"⛔ Bloqueado")&gt;0,"Bloqueado",IF('E3 — Levantamento'!$I256="N/A","Bloqueado",IF(COUNTIF('E3 — Levantamento'!$E256:$I256,"✔ Concluído")=5,"Concluído",IF(COUNTIF('E3 — Levantamento'!$E256:$I256,"✔ Concluído")+COUNTIF('E3 — Levantamento'!$E256:$I256,"🔄 Em andamento")&gt;0,"Em andamento","Não iniciado"))))))))</f>
        <v/>
      </c>
      <c r="H274" s="229" t="str">
        <f>IF($B274="","",IF($G274&lt;&gt;"Concluído","Não iniciado",IF(COUNTIF(Lançamentos!$B$3:$B$1001,$B274)=0,"Bloqueado",IF('E4 — Execução'!$D256="","Bloqueado",IF(COUNTIF('E4 — Execução'!$E256:$K256,"⛔ Bloqueado")&gt;0,"Bloqueado",IF(COUNTIF('E4 — Execução'!$E256:$K256,"✔ Concluído")=7,"Concluído",IF(COUNTIF('E4 — Execução'!$E256:$K256,"✔ Concluído")+COUNTIF('E4 — Execução'!$E256:$K256,"🔄 Em andamento")&gt;0,"Em andamento","Não iniciado")))))))</f>
        <v/>
      </c>
      <c r="I274" s="229" t="str">
        <f>IF($B274="","",IF($H274&lt;&gt;"Concluído","Não iniciado",IF(COUNTIF(Lançamentos!$B$3:$B$1001,$B274)=0,"Bloqueado",IF('E5 — Validação'!$D256="","Bloqueado",IF(COUNTIF('E5 — Validação'!$E256:$I256,"⛔ Bloqueado")&gt;0,"Bloqueado",IF('E5 — Validação'!$I256="N/A","Bloqueado",IF(AND('E5 — Validação'!$E256="✔ Concluído",'E5 — Validação'!$F256="✔ Concluído",OR('E5 — Validação'!$G256="✔ Concluído",'E5 — Validação'!$G256="N/A"),'E5 — Validação'!$H256="✔ Concluído",'E5 — Validação'!$I256="✔ Concluído"),"Concluído",IF(COUNTIF('E5 — Validação'!$E256:$I256,"✔ Concluído")+COUNTIF('E5 — Validação'!$E256:$I256,"🔄 Em andamento")&gt;0,"Em andamento","Não iniciado"))))))))</f>
        <v/>
      </c>
      <c r="J274" s="229" t="str">
        <f>IF($B274="","",IF($I274&lt;&gt;"Concluído","Não iniciado",IF('E6 — Ajustes'!$N256="Não","N/A",IF(COUNTIF(Lançamentos!$B$3:$B$1001,$B274)=0,"Bloqueado",IF('E6 — Ajustes'!$D256="","Bloqueado",IF(COUNTIF('E6 — Ajustes'!$E256:$J256,"⛔ Bloqueado")&gt;0,"Bloqueado",IF(AND('E6 — Ajustes'!$E256="✔ Concluído",'E6 — Ajustes'!$F256="✔ Concluído",'E6 — Ajustes'!$G256="✔ Concluído",'E6 — Ajustes'!$H256="✔ Concluído",OR('E6 — Ajustes'!$I256="✔ Concluído",'E6 — Ajustes'!$I256="N/A"),'E6 — Ajustes'!$J256="✔ Concluído"),"Concluído",IF(COUNTIF('E6 — Ajustes'!$E256:$J256,"✔ Concluído")+COUNTIF('E6 — Ajustes'!$E256:$J256,"🔄 Em andamento")&gt;0,"Em andamento","Não iniciado"))))))))</f>
        <v/>
      </c>
      <c r="K274" s="229" t="str">
        <f>IF($B274="","",IF($I274&lt;&gt;"Concluído","Não iniciado",IF(AND($J274&lt;&gt;"Concluído",$J274&lt;&gt;"N/A"),"Não iniciado",IF(COUNTIF(Lançamentos!$B$3:$B$1001,$B274)=0,"Bloqueado",IF('E7 — Entrega'!$D256="","Bloqueado",IF(COUNTIF('E7 — Entrega'!$E256:$H256,"⛔ Bloqueado")&gt;0,"Bloqueado",IF(COUNTIF('E7 — Entrega'!$E256:$H256,"✔ Concluído")=4,"Concluído",IF(COUNTIF('E7 — Entrega'!$E256:$H256,"✔ Concluído")+COUNTIF('E7 — Entrega'!$E256:$H256,"🔄 Em andamento")&gt;0,"Em andamento","Não iniciado"))))))))</f>
        <v/>
      </c>
      <c r="L274" s="229" t="str">
        <f>IF($B274="","",IF($K274&lt;&gt;"Concluído","Não iniciado",IF(OR(COUNTIF('E08 — Estabilização Hypercare'!$E256:$J256,"⛔ Bloqueado")&gt;0,'E08 — Estabilização Hypercare'!$N256="⛔ Incidente Crítico — Encerramento Bloqueado",AND('E08 — Estabilização Hypercare'!$N256="🆕 Evolução Identificada — Nova Demanda Aberta",'E08 — Estabilização Hypercare'!$U256="")),"Bloqueado",IF(AND('E08 — Estabilização Hypercare'!$E256="✔ Concluído",'E08 — Estabilização Hypercare'!$F256="✔ Concluído",'E08 — Estabilização Hypercare'!$G256="✔ Concluído",OR('E08 — Estabilização Hypercare'!$H256="✔ Concluído",'E08 — Estabilização Hypercare'!$H256="N/A"),'E08 — Estabilização Hypercare'!$I256="✔ Concluído",'E08 — Estabilização Hypercare'!$J256="✔ Concluído",OR('E08 — Estabilização Hypercare'!$N256="✅ Estável — Demanda Encerrada",AND('E08 — Estabilização Hypercare'!$N256="🆕 Evolução Identificada — Nova Demanda Aberta",'E08 — Estabilização Hypercare'!$U256&lt;&gt;""))),"Concluído",IF(OR(COUNTIF('E08 — Estabilização Hypercare'!$E256:$J256,"✔ Concluído")&gt;0,COUNTIF('E08 — Estabilização Hypercare'!$E256:$J256,"🔄 Em andamento")&gt;0,'E08 — Estabilização Hypercare'!$N256&lt;&gt;""),"Em andamento","Não iniciado")))))</f>
        <v/>
      </c>
      <c r="M274" s="232" t="str" cm="1">
        <f t="array" ref="M274">IF(B274="","",_xlfn.IFS(E274&lt;&gt;"Concluído","E1 — Solicitação",F274&lt;&gt;"Concluído","E2 — Triagem",G274&lt;&gt;"Concluído","E3 — Levantamento ⚠",H274&lt;&gt;"Concluído","E4 — Execução",I274&lt;&gt;"Concluído","E5 — Validação ⚠",AND(J274&lt;&gt;"Concluído",J274&lt;&gt;"N/A"),"E6 — Ajustes",K274&lt;&gt;"Concluído","E7 — Entrega",L274&lt;&gt;"Concluído","E08 — Estabilização / Hypercare",TRUE,"✔ Fluxo concluído"))</f>
        <v/>
      </c>
      <c r="N274" s="233" t="str">
        <f t="shared" si="4"/>
        <v/>
      </c>
      <c r="O274" s="230"/>
    </row>
    <row r="275" spans="2:15" x14ac:dyDescent="0.35">
      <c r="B275" s="229" t="str">
        <f>IF(Lançamentos!$B252="","",Lançamentos!$B252)</f>
        <v/>
      </c>
      <c r="C275" s="231" t="str">
        <f>IF($B275="","",Lançamentos!$J252)</f>
        <v/>
      </c>
      <c r="D275" s="231" t="str">
        <f>IF($B275="","",Lançamentos!$H252)</f>
        <v/>
      </c>
      <c r="E275" s="229" t="str">
        <f>IF($B275="","",IF(COUNTIF(Lançamentos!$B$3:$B$1001,$B275)=0,"Bloqueado",IF(COUNTIF('E1 — Solicitação'!$E257:$L257,"⛔ Bloqueado")&gt;0,"Bloqueado",IF(COUNTIF('E1 — Solicitação'!$E257:$L257,"N/A")=8,"Bloqueado",IF(COUNTIF('E1 — Solicitação'!$E257:$L257,"✔ Concluído")+COUNTIF('E1 — Solicitação'!$E257:$L257,"N/A")=8,"Concluído",IF(COUNTIF('E1 — Solicitação'!$E257:$L257,"✔ Concluído")+COUNTIF('E1 — Solicitação'!$E257:$L257,"🔄 Em andamento")&gt;0,"Em andamento","Não iniciado"))))))</f>
        <v/>
      </c>
      <c r="F275" s="229" t="str">
        <f>IF($B275="","",IF($E275&lt;&gt;"Concluído","Não iniciado",IF(COUNTIF(Lançamentos!$B$3:$B$1001,$B275)=0,"Bloqueado",IF('E2 — Triagem'!$D257="","Bloqueado",IF(COUNTIF('E2 — Triagem'!$E257:$L257,"N/A")=8,"Bloqueado",IF(COUNTIF('E2 — Triagem'!$E257:$L257,"⛔ Bloqueado")&gt;0,"Bloqueado",IF(COUNTIF('E2 — Triagem'!$E257:$L257,"✔ Concluído")+COUNTIF('E2 — Triagem'!$E257:$L257,"N/A")=8,"Concluído",IF(COUNTIF('E2 — Triagem'!$E257:$L257,"✔ Concluído")+COUNTIF('E2 — Triagem'!$E257:$L257,"🔄 Em andamento")&gt;0,"Em andamento","Não iniciado"))))))))</f>
        <v/>
      </c>
      <c r="G275" s="229" t="str">
        <f>IF($B275="","",IF($F275&lt;&gt;"Concluído","Não iniciado",IF(COUNTIF(Lançamentos!$B$3:$B$1001,$B275)=0,"Bloqueado",IF('E3 — Levantamento'!$D257="","Bloqueado",IF(COUNTIF('E3 — Levantamento'!$E257:$I257,"⛔ Bloqueado")&gt;0,"Bloqueado",IF('E3 — Levantamento'!$I257="N/A","Bloqueado",IF(COUNTIF('E3 — Levantamento'!$E257:$I257,"✔ Concluído")=5,"Concluído",IF(COUNTIF('E3 — Levantamento'!$E257:$I257,"✔ Concluído")+COUNTIF('E3 — Levantamento'!$E257:$I257,"🔄 Em andamento")&gt;0,"Em andamento","Não iniciado"))))))))</f>
        <v/>
      </c>
      <c r="H275" s="229" t="str">
        <f>IF($B275="","",IF($G275&lt;&gt;"Concluído","Não iniciado",IF(COUNTIF(Lançamentos!$B$3:$B$1001,$B275)=0,"Bloqueado",IF('E4 — Execução'!$D257="","Bloqueado",IF(COUNTIF('E4 — Execução'!$E257:$K257,"⛔ Bloqueado")&gt;0,"Bloqueado",IF(COUNTIF('E4 — Execução'!$E257:$K257,"✔ Concluído")=7,"Concluído",IF(COUNTIF('E4 — Execução'!$E257:$K257,"✔ Concluído")+COUNTIF('E4 — Execução'!$E257:$K257,"🔄 Em andamento")&gt;0,"Em andamento","Não iniciado")))))))</f>
        <v/>
      </c>
      <c r="I275" s="229" t="str">
        <f>IF($B275="","",IF($H275&lt;&gt;"Concluído","Não iniciado",IF(COUNTIF(Lançamentos!$B$3:$B$1001,$B275)=0,"Bloqueado",IF('E5 — Validação'!$D257="","Bloqueado",IF(COUNTIF('E5 — Validação'!$E257:$I257,"⛔ Bloqueado")&gt;0,"Bloqueado",IF('E5 — Validação'!$I257="N/A","Bloqueado",IF(AND('E5 — Validação'!$E257="✔ Concluído",'E5 — Validação'!$F257="✔ Concluído",OR('E5 — Validação'!$G257="✔ Concluído",'E5 — Validação'!$G257="N/A"),'E5 — Validação'!$H257="✔ Concluído",'E5 — Validação'!$I257="✔ Concluído"),"Concluído",IF(COUNTIF('E5 — Validação'!$E257:$I257,"✔ Concluído")+COUNTIF('E5 — Validação'!$E257:$I257,"🔄 Em andamento")&gt;0,"Em andamento","Não iniciado"))))))))</f>
        <v/>
      </c>
      <c r="J275" s="229" t="str">
        <f>IF($B275="","",IF($I275&lt;&gt;"Concluído","Não iniciado",IF('E6 — Ajustes'!$N257="Não","N/A",IF(COUNTIF(Lançamentos!$B$3:$B$1001,$B275)=0,"Bloqueado",IF('E6 — Ajustes'!$D257="","Bloqueado",IF(COUNTIF('E6 — Ajustes'!$E257:$J257,"⛔ Bloqueado")&gt;0,"Bloqueado",IF(AND('E6 — Ajustes'!$E257="✔ Concluído",'E6 — Ajustes'!$F257="✔ Concluído",'E6 — Ajustes'!$G257="✔ Concluído",'E6 — Ajustes'!$H257="✔ Concluído",OR('E6 — Ajustes'!$I257="✔ Concluído",'E6 — Ajustes'!$I257="N/A"),'E6 — Ajustes'!$J257="✔ Concluído"),"Concluído",IF(COUNTIF('E6 — Ajustes'!$E257:$J257,"✔ Concluído")+COUNTIF('E6 — Ajustes'!$E257:$J257,"🔄 Em andamento")&gt;0,"Em andamento","Não iniciado"))))))))</f>
        <v/>
      </c>
      <c r="K275" s="229" t="str">
        <f>IF($B275="","",IF($I275&lt;&gt;"Concluído","Não iniciado",IF(AND($J275&lt;&gt;"Concluído",$J275&lt;&gt;"N/A"),"Não iniciado",IF(COUNTIF(Lançamentos!$B$3:$B$1001,$B275)=0,"Bloqueado",IF('E7 — Entrega'!$D257="","Bloqueado",IF(COUNTIF('E7 — Entrega'!$E257:$H257,"⛔ Bloqueado")&gt;0,"Bloqueado",IF(COUNTIF('E7 — Entrega'!$E257:$H257,"✔ Concluído")=4,"Concluído",IF(COUNTIF('E7 — Entrega'!$E257:$H257,"✔ Concluído")+COUNTIF('E7 — Entrega'!$E257:$H257,"🔄 Em andamento")&gt;0,"Em andamento","Não iniciado"))))))))</f>
        <v/>
      </c>
      <c r="L275" s="229" t="str">
        <f>IF($B275="","",IF($K275&lt;&gt;"Concluído","Não iniciado",IF(OR(COUNTIF('E08 — Estabilização Hypercare'!$E257:$J257,"⛔ Bloqueado")&gt;0,'E08 — Estabilização Hypercare'!$N257="⛔ Incidente Crítico — Encerramento Bloqueado",AND('E08 — Estabilização Hypercare'!$N257="🆕 Evolução Identificada — Nova Demanda Aberta",'E08 — Estabilização Hypercare'!$U257="")),"Bloqueado",IF(AND('E08 — Estabilização Hypercare'!$E257="✔ Concluído",'E08 — Estabilização Hypercare'!$F257="✔ Concluído",'E08 — Estabilização Hypercare'!$G257="✔ Concluído",OR('E08 — Estabilização Hypercare'!$H257="✔ Concluído",'E08 — Estabilização Hypercare'!$H257="N/A"),'E08 — Estabilização Hypercare'!$I257="✔ Concluído",'E08 — Estabilização Hypercare'!$J257="✔ Concluído",OR('E08 — Estabilização Hypercare'!$N257="✅ Estável — Demanda Encerrada",AND('E08 — Estabilização Hypercare'!$N257="🆕 Evolução Identificada — Nova Demanda Aberta",'E08 — Estabilização Hypercare'!$U257&lt;&gt;""))),"Concluído",IF(OR(COUNTIF('E08 — Estabilização Hypercare'!$E257:$J257,"✔ Concluído")&gt;0,COUNTIF('E08 — Estabilização Hypercare'!$E257:$J257,"🔄 Em andamento")&gt;0,'E08 — Estabilização Hypercare'!$N257&lt;&gt;""),"Em andamento","Não iniciado")))))</f>
        <v/>
      </c>
      <c r="M275" s="232" t="str" cm="1">
        <f t="array" ref="M275">IF(B275="","",_xlfn.IFS(E275&lt;&gt;"Concluído","E1 — Solicitação",F275&lt;&gt;"Concluído","E2 — Triagem",G275&lt;&gt;"Concluído","E3 — Levantamento ⚠",H275&lt;&gt;"Concluído","E4 — Execução",I275&lt;&gt;"Concluído","E5 — Validação ⚠",AND(J275&lt;&gt;"Concluído",J275&lt;&gt;"N/A"),"E6 — Ajustes",K275&lt;&gt;"Concluído","E7 — Entrega",L275&lt;&gt;"Concluído","E08 — Estabilização / Hypercare",TRUE,"✔ Fluxo concluído"))</f>
        <v/>
      </c>
      <c r="N275" s="233" t="str">
        <f t="shared" si="4"/>
        <v/>
      </c>
      <c r="O275" s="230"/>
    </row>
    <row r="276" spans="2:15" x14ac:dyDescent="0.35">
      <c r="B276" s="229" t="str">
        <f>IF(Lançamentos!$B253="","",Lançamentos!$B253)</f>
        <v/>
      </c>
      <c r="C276" s="231" t="str">
        <f>IF($B276="","",Lançamentos!$J253)</f>
        <v/>
      </c>
      <c r="D276" s="231" t="str">
        <f>IF($B276="","",Lançamentos!$H253)</f>
        <v/>
      </c>
      <c r="E276" s="229" t="str">
        <f>IF($B276="","",IF(COUNTIF(Lançamentos!$B$3:$B$1001,$B276)=0,"Bloqueado",IF(COUNTIF('E1 — Solicitação'!$E258:$L258,"⛔ Bloqueado")&gt;0,"Bloqueado",IF(COUNTIF('E1 — Solicitação'!$E258:$L258,"N/A")=8,"Bloqueado",IF(COUNTIF('E1 — Solicitação'!$E258:$L258,"✔ Concluído")+COUNTIF('E1 — Solicitação'!$E258:$L258,"N/A")=8,"Concluído",IF(COUNTIF('E1 — Solicitação'!$E258:$L258,"✔ Concluído")+COUNTIF('E1 — Solicitação'!$E258:$L258,"🔄 Em andamento")&gt;0,"Em andamento","Não iniciado"))))))</f>
        <v/>
      </c>
      <c r="F276" s="229" t="str">
        <f>IF($B276="","",IF($E276&lt;&gt;"Concluído","Não iniciado",IF(COUNTIF(Lançamentos!$B$3:$B$1001,$B276)=0,"Bloqueado",IF('E2 — Triagem'!$D258="","Bloqueado",IF(COUNTIF('E2 — Triagem'!$E258:$L258,"N/A")=8,"Bloqueado",IF(COUNTIF('E2 — Triagem'!$E258:$L258,"⛔ Bloqueado")&gt;0,"Bloqueado",IF(COUNTIF('E2 — Triagem'!$E258:$L258,"✔ Concluído")+COUNTIF('E2 — Triagem'!$E258:$L258,"N/A")=8,"Concluído",IF(COUNTIF('E2 — Triagem'!$E258:$L258,"✔ Concluído")+COUNTIF('E2 — Triagem'!$E258:$L258,"🔄 Em andamento")&gt;0,"Em andamento","Não iniciado"))))))))</f>
        <v/>
      </c>
      <c r="G276" s="229" t="str">
        <f>IF($B276="","",IF($F276&lt;&gt;"Concluído","Não iniciado",IF(COUNTIF(Lançamentos!$B$3:$B$1001,$B276)=0,"Bloqueado",IF('E3 — Levantamento'!$D258="","Bloqueado",IF(COUNTIF('E3 — Levantamento'!$E258:$I258,"⛔ Bloqueado")&gt;0,"Bloqueado",IF('E3 — Levantamento'!$I258="N/A","Bloqueado",IF(COUNTIF('E3 — Levantamento'!$E258:$I258,"✔ Concluído")=5,"Concluído",IF(COUNTIF('E3 — Levantamento'!$E258:$I258,"✔ Concluído")+COUNTIF('E3 — Levantamento'!$E258:$I258,"🔄 Em andamento")&gt;0,"Em andamento","Não iniciado"))))))))</f>
        <v/>
      </c>
      <c r="H276" s="229" t="str">
        <f>IF($B276="","",IF($G276&lt;&gt;"Concluído","Não iniciado",IF(COUNTIF(Lançamentos!$B$3:$B$1001,$B276)=0,"Bloqueado",IF('E4 — Execução'!$D258="","Bloqueado",IF(COUNTIF('E4 — Execução'!$E258:$K258,"⛔ Bloqueado")&gt;0,"Bloqueado",IF(COUNTIF('E4 — Execução'!$E258:$K258,"✔ Concluído")=7,"Concluído",IF(COUNTIF('E4 — Execução'!$E258:$K258,"✔ Concluído")+COUNTIF('E4 — Execução'!$E258:$K258,"🔄 Em andamento")&gt;0,"Em andamento","Não iniciado")))))))</f>
        <v/>
      </c>
      <c r="I276" s="229" t="str">
        <f>IF($B276="","",IF($H276&lt;&gt;"Concluído","Não iniciado",IF(COUNTIF(Lançamentos!$B$3:$B$1001,$B276)=0,"Bloqueado",IF('E5 — Validação'!$D258="","Bloqueado",IF(COUNTIF('E5 — Validação'!$E258:$I258,"⛔ Bloqueado")&gt;0,"Bloqueado",IF('E5 — Validação'!$I258="N/A","Bloqueado",IF(AND('E5 — Validação'!$E258="✔ Concluído",'E5 — Validação'!$F258="✔ Concluído",OR('E5 — Validação'!$G258="✔ Concluído",'E5 — Validação'!$G258="N/A"),'E5 — Validação'!$H258="✔ Concluído",'E5 — Validação'!$I258="✔ Concluído"),"Concluído",IF(COUNTIF('E5 — Validação'!$E258:$I258,"✔ Concluído")+COUNTIF('E5 — Validação'!$E258:$I258,"🔄 Em andamento")&gt;0,"Em andamento","Não iniciado"))))))))</f>
        <v/>
      </c>
      <c r="J276" s="229" t="str">
        <f>IF($B276="","",IF($I276&lt;&gt;"Concluído","Não iniciado",IF('E6 — Ajustes'!$N258="Não","N/A",IF(COUNTIF(Lançamentos!$B$3:$B$1001,$B276)=0,"Bloqueado",IF('E6 — Ajustes'!$D258="","Bloqueado",IF(COUNTIF('E6 — Ajustes'!$E258:$J258,"⛔ Bloqueado")&gt;0,"Bloqueado",IF(AND('E6 — Ajustes'!$E258="✔ Concluído",'E6 — Ajustes'!$F258="✔ Concluído",'E6 — Ajustes'!$G258="✔ Concluído",'E6 — Ajustes'!$H258="✔ Concluído",OR('E6 — Ajustes'!$I258="✔ Concluído",'E6 — Ajustes'!$I258="N/A"),'E6 — Ajustes'!$J258="✔ Concluído"),"Concluído",IF(COUNTIF('E6 — Ajustes'!$E258:$J258,"✔ Concluído")+COUNTIF('E6 — Ajustes'!$E258:$J258,"🔄 Em andamento")&gt;0,"Em andamento","Não iniciado"))))))))</f>
        <v/>
      </c>
      <c r="K276" s="229" t="str">
        <f>IF($B276="","",IF($I276&lt;&gt;"Concluído","Não iniciado",IF(AND($J276&lt;&gt;"Concluído",$J276&lt;&gt;"N/A"),"Não iniciado",IF(COUNTIF(Lançamentos!$B$3:$B$1001,$B276)=0,"Bloqueado",IF('E7 — Entrega'!$D258="","Bloqueado",IF(COUNTIF('E7 — Entrega'!$E258:$H258,"⛔ Bloqueado")&gt;0,"Bloqueado",IF(COUNTIF('E7 — Entrega'!$E258:$H258,"✔ Concluído")=4,"Concluído",IF(COUNTIF('E7 — Entrega'!$E258:$H258,"✔ Concluído")+COUNTIF('E7 — Entrega'!$E258:$H258,"🔄 Em andamento")&gt;0,"Em andamento","Não iniciado"))))))))</f>
        <v/>
      </c>
      <c r="L276" s="229" t="str">
        <f>IF($B276="","",IF($K276&lt;&gt;"Concluído","Não iniciado",IF(OR(COUNTIF('E08 — Estabilização Hypercare'!$E258:$J258,"⛔ Bloqueado")&gt;0,'E08 — Estabilização Hypercare'!$N258="⛔ Incidente Crítico — Encerramento Bloqueado",AND('E08 — Estabilização Hypercare'!$N258="🆕 Evolução Identificada — Nova Demanda Aberta",'E08 — Estabilização Hypercare'!$U258="")),"Bloqueado",IF(AND('E08 — Estabilização Hypercare'!$E258="✔ Concluído",'E08 — Estabilização Hypercare'!$F258="✔ Concluído",'E08 — Estabilização Hypercare'!$G258="✔ Concluído",OR('E08 — Estabilização Hypercare'!$H258="✔ Concluído",'E08 — Estabilização Hypercare'!$H258="N/A"),'E08 — Estabilização Hypercare'!$I258="✔ Concluído",'E08 — Estabilização Hypercare'!$J258="✔ Concluído",OR('E08 — Estabilização Hypercare'!$N258="✅ Estável — Demanda Encerrada",AND('E08 — Estabilização Hypercare'!$N258="🆕 Evolução Identificada — Nova Demanda Aberta",'E08 — Estabilização Hypercare'!$U258&lt;&gt;""))),"Concluído",IF(OR(COUNTIF('E08 — Estabilização Hypercare'!$E258:$J258,"✔ Concluído")&gt;0,COUNTIF('E08 — Estabilização Hypercare'!$E258:$J258,"🔄 Em andamento")&gt;0,'E08 — Estabilização Hypercare'!$N258&lt;&gt;""),"Em andamento","Não iniciado")))))</f>
        <v/>
      </c>
      <c r="M276" s="232" t="str" cm="1">
        <f t="array" ref="M276">IF(B276="","",_xlfn.IFS(E276&lt;&gt;"Concluído","E1 — Solicitação",F276&lt;&gt;"Concluído","E2 — Triagem",G276&lt;&gt;"Concluído","E3 — Levantamento ⚠",H276&lt;&gt;"Concluído","E4 — Execução",I276&lt;&gt;"Concluído","E5 — Validação ⚠",AND(J276&lt;&gt;"Concluído",J276&lt;&gt;"N/A"),"E6 — Ajustes",K276&lt;&gt;"Concluído","E7 — Entrega",L276&lt;&gt;"Concluído","E08 — Estabilização / Hypercare",TRUE,"✔ Fluxo concluído"))</f>
        <v/>
      </c>
      <c r="N276" s="233" t="str">
        <f t="shared" si="4"/>
        <v/>
      </c>
      <c r="O276" s="230"/>
    </row>
    <row r="277" spans="2:15" x14ac:dyDescent="0.35">
      <c r="B277" s="229" t="str">
        <f>IF(Lançamentos!$B254="","",Lançamentos!$B254)</f>
        <v/>
      </c>
      <c r="C277" s="231" t="str">
        <f>IF($B277="","",Lançamentos!$J254)</f>
        <v/>
      </c>
      <c r="D277" s="231" t="str">
        <f>IF($B277="","",Lançamentos!$H254)</f>
        <v/>
      </c>
      <c r="E277" s="229" t="str">
        <f>IF($B277="","",IF(COUNTIF(Lançamentos!$B$3:$B$1001,$B277)=0,"Bloqueado",IF(COUNTIF('E1 — Solicitação'!$E259:$L259,"⛔ Bloqueado")&gt;0,"Bloqueado",IF(COUNTIF('E1 — Solicitação'!$E259:$L259,"N/A")=8,"Bloqueado",IF(COUNTIF('E1 — Solicitação'!$E259:$L259,"✔ Concluído")+COUNTIF('E1 — Solicitação'!$E259:$L259,"N/A")=8,"Concluído",IF(COUNTIF('E1 — Solicitação'!$E259:$L259,"✔ Concluído")+COUNTIF('E1 — Solicitação'!$E259:$L259,"🔄 Em andamento")&gt;0,"Em andamento","Não iniciado"))))))</f>
        <v/>
      </c>
      <c r="F277" s="229" t="str">
        <f>IF($B277="","",IF($E277&lt;&gt;"Concluído","Não iniciado",IF(COUNTIF(Lançamentos!$B$3:$B$1001,$B277)=0,"Bloqueado",IF('E2 — Triagem'!$D259="","Bloqueado",IF(COUNTIF('E2 — Triagem'!$E259:$L259,"N/A")=8,"Bloqueado",IF(COUNTIF('E2 — Triagem'!$E259:$L259,"⛔ Bloqueado")&gt;0,"Bloqueado",IF(COUNTIF('E2 — Triagem'!$E259:$L259,"✔ Concluído")+COUNTIF('E2 — Triagem'!$E259:$L259,"N/A")=8,"Concluído",IF(COUNTIF('E2 — Triagem'!$E259:$L259,"✔ Concluído")+COUNTIF('E2 — Triagem'!$E259:$L259,"🔄 Em andamento")&gt;0,"Em andamento","Não iniciado"))))))))</f>
        <v/>
      </c>
      <c r="G277" s="229" t="str">
        <f>IF($B277="","",IF($F277&lt;&gt;"Concluído","Não iniciado",IF(COUNTIF(Lançamentos!$B$3:$B$1001,$B277)=0,"Bloqueado",IF('E3 — Levantamento'!$D259="","Bloqueado",IF(COUNTIF('E3 — Levantamento'!$E259:$I259,"⛔ Bloqueado")&gt;0,"Bloqueado",IF('E3 — Levantamento'!$I259="N/A","Bloqueado",IF(COUNTIF('E3 — Levantamento'!$E259:$I259,"✔ Concluído")=5,"Concluído",IF(COUNTIF('E3 — Levantamento'!$E259:$I259,"✔ Concluído")+COUNTIF('E3 — Levantamento'!$E259:$I259,"🔄 Em andamento")&gt;0,"Em andamento","Não iniciado"))))))))</f>
        <v/>
      </c>
      <c r="H277" s="229" t="str">
        <f>IF($B277="","",IF($G277&lt;&gt;"Concluído","Não iniciado",IF(COUNTIF(Lançamentos!$B$3:$B$1001,$B277)=0,"Bloqueado",IF('E4 — Execução'!$D259="","Bloqueado",IF(COUNTIF('E4 — Execução'!$E259:$K259,"⛔ Bloqueado")&gt;0,"Bloqueado",IF(COUNTIF('E4 — Execução'!$E259:$K259,"✔ Concluído")=7,"Concluído",IF(COUNTIF('E4 — Execução'!$E259:$K259,"✔ Concluído")+COUNTIF('E4 — Execução'!$E259:$K259,"🔄 Em andamento")&gt;0,"Em andamento","Não iniciado")))))))</f>
        <v/>
      </c>
      <c r="I277" s="229" t="str">
        <f>IF($B277="","",IF($H277&lt;&gt;"Concluído","Não iniciado",IF(COUNTIF(Lançamentos!$B$3:$B$1001,$B277)=0,"Bloqueado",IF('E5 — Validação'!$D259="","Bloqueado",IF(COUNTIF('E5 — Validação'!$E259:$I259,"⛔ Bloqueado")&gt;0,"Bloqueado",IF('E5 — Validação'!$I259="N/A","Bloqueado",IF(AND('E5 — Validação'!$E259="✔ Concluído",'E5 — Validação'!$F259="✔ Concluído",OR('E5 — Validação'!$G259="✔ Concluído",'E5 — Validação'!$G259="N/A"),'E5 — Validação'!$H259="✔ Concluído",'E5 — Validação'!$I259="✔ Concluído"),"Concluído",IF(COUNTIF('E5 — Validação'!$E259:$I259,"✔ Concluído")+COUNTIF('E5 — Validação'!$E259:$I259,"🔄 Em andamento")&gt;0,"Em andamento","Não iniciado"))))))))</f>
        <v/>
      </c>
      <c r="J277" s="229" t="str">
        <f>IF($B277="","",IF($I277&lt;&gt;"Concluído","Não iniciado",IF('E6 — Ajustes'!$N259="Não","N/A",IF(COUNTIF(Lançamentos!$B$3:$B$1001,$B277)=0,"Bloqueado",IF('E6 — Ajustes'!$D259="","Bloqueado",IF(COUNTIF('E6 — Ajustes'!$E259:$J259,"⛔ Bloqueado")&gt;0,"Bloqueado",IF(AND('E6 — Ajustes'!$E259="✔ Concluído",'E6 — Ajustes'!$F259="✔ Concluído",'E6 — Ajustes'!$G259="✔ Concluído",'E6 — Ajustes'!$H259="✔ Concluído",OR('E6 — Ajustes'!$I259="✔ Concluído",'E6 — Ajustes'!$I259="N/A"),'E6 — Ajustes'!$J259="✔ Concluído"),"Concluído",IF(COUNTIF('E6 — Ajustes'!$E259:$J259,"✔ Concluído")+COUNTIF('E6 — Ajustes'!$E259:$J259,"🔄 Em andamento")&gt;0,"Em andamento","Não iniciado"))))))))</f>
        <v/>
      </c>
      <c r="K277" s="229" t="str">
        <f>IF($B277="","",IF($I277&lt;&gt;"Concluído","Não iniciado",IF(AND($J277&lt;&gt;"Concluído",$J277&lt;&gt;"N/A"),"Não iniciado",IF(COUNTIF(Lançamentos!$B$3:$B$1001,$B277)=0,"Bloqueado",IF('E7 — Entrega'!$D259="","Bloqueado",IF(COUNTIF('E7 — Entrega'!$E259:$H259,"⛔ Bloqueado")&gt;0,"Bloqueado",IF(COUNTIF('E7 — Entrega'!$E259:$H259,"✔ Concluído")=4,"Concluído",IF(COUNTIF('E7 — Entrega'!$E259:$H259,"✔ Concluído")+COUNTIF('E7 — Entrega'!$E259:$H259,"🔄 Em andamento")&gt;0,"Em andamento","Não iniciado"))))))))</f>
        <v/>
      </c>
      <c r="L277" s="229" t="str">
        <f>IF($B277="","",IF($K277&lt;&gt;"Concluído","Não iniciado",IF(OR(COUNTIF('E08 — Estabilização Hypercare'!$E259:$J259,"⛔ Bloqueado")&gt;0,'E08 — Estabilização Hypercare'!$N259="⛔ Incidente Crítico — Encerramento Bloqueado",AND('E08 — Estabilização Hypercare'!$N259="🆕 Evolução Identificada — Nova Demanda Aberta",'E08 — Estabilização Hypercare'!$U259="")),"Bloqueado",IF(AND('E08 — Estabilização Hypercare'!$E259="✔ Concluído",'E08 — Estabilização Hypercare'!$F259="✔ Concluído",'E08 — Estabilização Hypercare'!$G259="✔ Concluído",OR('E08 — Estabilização Hypercare'!$H259="✔ Concluído",'E08 — Estabilização Hypercare'!$H259="N/A"),'E08 — Estabilização Hypercare'!$I259="✔ Concluído",'E08 — Estabilização Hypercare'!$J259="✔ Concluído",OR('E08 — Estabilização Hypercare'!$N259="✅ Estável — Demanda Encerrada",AND('E08 — Estabilização Hypercare'!$N259="🆕 Evolução Identificada — Nova Demanda Aberta",'E08 — Estabilização Hypercare'!$U259&lt;&gt;""))),"Concluído",IF(OR(COUNTIF('E08 — Estabilização Hypercare'!$E259:$J259,"✔ Concluído")&gt;0,COUNTIF('E08 — Estabilização Hypercare'!$E259:$J259,"🔄 Em andamento")&gt;0,'E08 — Estabilização Hypercare'!$N259&lt;&gt;""),"Em andamento","Não iniciado")))))</f>
        <v/>
      </c>
      <c r="M277" s="232" t="str" cm="1">
        <f t="array" ref="M277">IF(B277="","",_xlfn.IFS(E277&lt;&gt;"Concluído","E1 — Solicitação",F277&lt;&gt;"Concluído","E2 — Triagem",G277&lt;&gt;"Concluído","E3 — Levantamento ⚠",H277&lt;&gt;"Concluído","E4 — Execução",I277&lt;&gt;"Concluído","E5 — Validação ⚠",AND(J277&lt;&gt;"Concluído",J277&lt;&gt;"N/A"),"E6 — Ajustes",K277&lt;&gt;"Concluído","E7 — Entrega",L277&lt;&gt;"Concluído","E08 — Estabilização / Hypercare",TRUE,"✔ Fluxo concluído"))</f>
        <v/>
      </c>
      <c r="N277" s="233" t="str">
        <f t="shared" si="4"/>
        <v/>
      </c>
      <c r="O277" s="230"/>
    </row>
    <row r="278" spans="2:15" x14ac:dyDescent="0.35">
      <c r="B278" s="229" t="str">
        <f>IF(Lançamentos!$B255="","",Lançamentos!$B255)</f>
        <v/>
      </c>
      <c r="C278" s="231" t="str">
        <f>IF($B278="","",Lançamentos!$J255)</f>
        <v/>
      </c>
      <c r="D278" s="231" t="str">
        <f>IF($B278="","",Lançamentos!$H255)</f>
        <v/>
      </c>
      <c r="E278" s="229" t="str">
        <f>IF($B278="","",IF(COUNTIF(Lançamentos!$B$3:$B$1001,$B278)=0,"Bloqueado",IF(COUNTIF('E1 — Solicitação'!$E260:$L260,"⛔ Bloqueado")&gt;0,"Bloqueado",IF(COUNTIF('E1 — Solicitação'!$E260:$L260,"N/A")=8,"Bloqueado",IF(COUNTIF('E1 — Solicitação'!$E260:$L260,"✔ Concluído")+COUNTIF('E1 — Solicitação'!$E260:$L260,"N/A")=8,"Concluído",IF(COUNTIF('E1 — Solicitação'!$E260:$L260,"✔ Concluído")+COUNTIF('E1 — Solicitação'!$E260:$L260,"🔄 Em andamento")&gt;0,"Em andamento","Não iniciado"))))))</f>
        <v/>
      </c>
      <c r="F278" s="229" t="str">
        <f>IF($B278="","",IF($E278&lt;&gt;"Concluído","Não iniciado",IF(COUNTIF(Lançamentos!$B$3:$B$1001,$B278)=0,"Bloqueado",IF('E2 — Triagem'!$D260="","Bloqueado",IF(COUNTIF('E2 — Triagem'!$E260:$L260,"N/A")=8,"Bloqueado",IF(COUNTIF('E2 — Triagem'!$E260:$L260,"⛔ Bloqueado")&gt;0,"Bloqueado",IF(COUNTIF('E2 — Triagem'!$E260:$L260,"✔ Concluído")+COUNTIF('E2 — Triagem'!$E260:$L260,"N/A")=8,"Concluído",IF(COUNTIF('E2 — Triagem'!$E260:$L260,"✔ Concluído")+COUNTIF('E2 — Triagem'!$E260:$L260,"🔄 Em andamento")&gt;0,"Em andamento","Não iniciado"))))))))</f>
        <v/>
      </c>
      <c r="G278" s="229" t="str">
        <f>IF($B278="","",IF($F278&lt;&gt;"Concluído","Não iniciado",IF(COUNTIF(Lançamentos!$B$3:$B$1001,$B278)=0,"Bloqueado",IF('E3 — Levantamento'!$D260="","Bloqueado",IF(COUNTIF('E3 — Levantamento'!$E260:$I260,"⛔ Bloqueado")&gt;0,"Bloqueado",IF('E3 — Levantamento'!$I260="N/A","Bloqueado",IF(COUNTIF('E3 — Levantamento'!$E260:$I260,"✔ Concluído")=5,"Concluído",IF(COUNTIF('E3 — Levantamento'!$E260:$I260,"✔ Concluído")+COUNTIF('E3 — Levantamento'!$E260:$I260,"🔄 Em andamento")&gt;0,"Em andamento","Não iniciado"))))))))</f>
        <v/>
      </c>
      <c r="H278" s="229" t="str">
        <f>IF($B278="","",IF($G278&lt;&gt;"Concluído","Não iniciado",IF(COUNTIF(Lançamentos!$B$3:$B$1001,$B278)=0,"Bloqueado",IF('E4 — Execução'!$D260="","Bloqueado",IF(COUNTIF('E4 — Execução'!$E260:$K260,"⛔ Bloqueado")&gt;0,"Bloqueado",IF(COUNTIF('E4 — Execução'!$E260:$K260,"✔ Concluído")=7,"Concluído",IF(COUNTIF('E4 — Execução'!$E260:$K260,"✔ Concluído")+COUNTIF('E4 — Execução'!$E260:$K260,"🔄 Em andamento")&gt;0,"Em andamento","Não iniciado")))))))</f>
        <v/>
      </c>
      <c r="I278" s="229" t="str">
        <f>IF($B278="","",IF($H278&lt;&gt;"Concluído","Não iniciado",IF(COUNTIF(Lançamentos!$B$3:$B$1001,$B278)=0,"Bloqueado",IF('E5 — Validação'!$D260="","Bloqueado",IF(COUNTIF('E5 — Validação'!$E260:$I260,"⛔ Bloqueado")&gt;0,"Bloqueado",IF('E5 — Validação'!$I260="N/A","Bloqueado",IF(AND('E5 — Validação'!$E260="✔ Concluído",'E5 — Validação'!$F260="✔ Concluído",OR('E5 — Validação'!$G260="✔ Concluído",'E5 — Validação'!$G260="N/A"),'E5 — Validação'!$H260="✔ Concluído",'E5 — Validação'!$I260="✔ Concluído"),"Concluído",IF(COUNTIF('E5 — Validação'!$E260:$I260,"✔ Concluído")+COUNTIF('E5 — Validação'!$E260:$I260,"🔄 Em andamento")&gt;0,"Em andamento","Não iniciado"))))))))</f>
        <v/>
      </c>
      <c r="J278" s="229" t="str">
        <f>IF($B278="","",IF($I278&lt;&gt;"Concluído","Não iniciado",IF('E6 — Ajustes'!$N260="Não","N/A",IF(COUNTIF(Lançamentos!$B$3:$B$1001,$B278)=0,"Bloqueado",IF('E6 — Ajustes'!$D260="","Bloqueado",IF(COUNTIF('E6 — Ajustes'!$E260:$J260,"⛔ Bloqueado")&gt;0,"Bloqueado",IF(AND('E6 — Ajustes'!$E260="✔ Concluído",'E6 — Ajustes'!$F260="✔ Concluído",'E6 — Ajustes'!$G260="✔ Concluído",'E6 — Ajustes'!$H260="✔ Concluído",OR('E6 — Ajustes'!$I260="✔ Concluído",'E6 — Ajustes'!$I260="N/A"),'E6 — Ajustes'!$J260="✔ Concluído"),"Concluído",IF(COUNTIF('E6 — Ajustes'!$E260:$J260,"✔ Concluído")+COUNTIF('E6 — Ajustes'!$E260:$J260,"🔄 Em andamento")&gt;0,"Em andamento","Não iniciado"))))))))</f>
        <v/>
      </c>
      <c r="K278" s="229" t="str">
        <f>IF($B278="","",IF($I278&lt;&gt;"Concluído","Não iniciado",IF(AND($J278&lt;&gt;"Concluído",$J278&lt;&gt;"N/A"),"Não iniciado",IF(COUNTIF(Lançamentos!$B$3:$B$1001,$B278)=0,"Bloqueado",IF('E7 — Entrega'!$D260="","Bloqueado",IF(COUNTIF('E7 — Entrega'!$E260:$H260,"⛔ Bloqueado")&gt;0,"Bloqueado",IF(COUNTIF('E7 — Entrega'!$E260:$H260,"✔ Concluído")=4,"Concluído",IF(COUNTIF('E7 — Entrega'!$E260:$H260,"✔ Concluído")+COUNTIF('E7 — Entrega'!$E260:$H260,"🔄 Em andamento")&gt;0,"Em andamento","Não iniciado"))))))))</f>
        <v/>
      </c>
      <c r="L278" s="229" t="str">
        <f>IF($B278="","",IF($K278&lt;&gt;"Concluído","Não iniciado",IF(OR(COUNTIF('E08 — Estabilização Hypercare'!$E260:$J260,"⛔ Bloqueado")&gt;0,'E08 — Estabilização Hypercare'!$N260="⛔ Incidente Crítico — Encerramento Bloqueado",AND('E08 — Estabilização Hypercare'!$N260="🆕 Evolução Identificada — Nova Demanda Aberta",'E08 — Estabilização Hypercare'!$U260="")),"Bloqueado",IF(AND('E08 — Estabilização Hypercare'!$E260="✔ Concluído",'E08 — Estabilização Hypercare'!$F260="✔ Concluído",'E08 — Estabilização Hypercare'!$G260="✔ Concluído",OR('E08 — Estabilização Hypercare'!$H260="✔ Concluído",'E08 — Estabilização Hypercare'!$H260="N/A"),'E08 — Estabilização Hypercare'!$I260="✔ Concluído",'E08 — Estabilização Hypercare'!$J260="✔ Concluído",OR('E08 — Estabilização Hypercare'!$N260="✅ Estável — Demanda Encerrada",AND('E08 — Estabilização Hypercare'!$N260="🆕 Evolução Identificada — Nova Demanda Aberta",'E08 — Estabilização Hypercare'!$U260&lt;&gt;""))),"Concluído",IF(OR(COUNTIF('E08 — Estabilização Hypercare'!$E260:$J260,"✔ Concluído")&gt;0,COUNTIF('E08 — Estabilização Hypercare'!$E260:$J260,"🔄 Em andamento")&gt;0,'E08 — Estabilização Hypercare'!$N260&lt;&gt;""),"Em andamento","Não iniciado")))))</f>
        <v/>
      </c>
      <c r="M278" s="232" t="str" cm="1">
        <f t="array" ref="M278">IF(B278="","",_xlfn.IFS(E278&lt;&gt;"Concluído","E1 — Solicitação",F278&lt;&gt;"Concluído","E2 — Triagem",G278&lt;&gt;"Concluído","E3 — Levantamento ⚠",H278&lt;&gt;"Concluído","E4 — Execução",I278&lt;&gt;"Concluído","E5 — Validação ⚠",AND(J278&lt;&gt;"Concluído",J278&lt;&gt;"N/A"),"E6 — Ajustes",K278&lt;&gt;"Concluído","E7 — Entrega",L278&lt;&gt;"Concluído","E08 — Estabilização / Hypercare",TRUE,"✔ Fluxo concluído"))</f>
        <v/>
      </c>
      <c r="N278" s="233" t="str">
        <f t="shared" si="4"/>
        <v/>
      </c>
      <c r="O278" s="230"/>
    </row>
    <row r="279" spans="2:15" x14ac:dyDescent="0.35">
      <c r="B279" s="229" t="str">
        <f>IF(Lançamentos!$B256="","",Lançamentos!$B256)</f>
        <v/>
      </c>
      <c r="C279" s="231" t="str">
        <f>IF($B279="","",Lançamentos!$J256)</f>
        <v/>
      </c>
      <c r="D279" s="231" t="str">
        <f>IF($B279="","",Lançamentos!$H256)</f>
        <v/>
      </c>
      <c r="E279" s="229" t="str">
        <f>IF($B279="","",IF(COUNTIF(Lançamentos!$B$3:$B$1001,$B279)=0,"Bloqueado",IF(COUNTIF('E1 — Solicitação'!$E261:$L261,"⛔ Bloqueado")&gt;0,"Bloqueado",IF(COUNTIF('E1 — Solicitação'!$E261:$L261,"N/A")=8,"Bloqueado",IF(COUNTIF('E1 — Solicitação'!$E261:$L261,"✔ Concluído")+COUNTIF('E1 — Solicitação'!$E261:$L261,"N/A")=8,"Concluído",IF(COUNTIF('E1 — Solicitação'!$E261:$L261,"✔ Concluído")+COUNTIF('E1 — Solicitação'!$E261:$L261,"🔄 Em andamento")&gt;0,"Em andamento","Não iniciado"))))))</f>
        <v/>
      </c>
      <c r="F279" s="229" t="str">
        <f>IF($B279="","",IF($E279&lt;&gt;"Concluído","Não iniciado",IF(COUNTIF(Lançamentos!$B$3:$B$1001,$B279)=0,"Bloqueado",IF('E2 — Triagem'!$D261="","Bloqueado",IF(COUNTIF('E2 — Triagem'!$E261:$L261,"N/A")=8,"Bloqueado",IF(COUNTIF('E2 — Triagem'!$E261:$L261,"⛔ Bloqueado")&gt;0,"Bloqueado",IF(COUNTIF('E2 — Triagem'!$E261:$L261,"✔ Concluído")+COUNTIF('E2 — Triagem'!$E261:$L261,"N/A")=8,"Concluído",IF(COUNTIF('E2 — Triagem'!$E261:$L261,"✔ Concluído")+COUNTIF('E2 — Triagem'!$E261:$L261,"🔄 Em andamento")&gt;0,"Em andamento","Não iniciado"))))))))</f>
        <v/>
      </c>
      <c r="G279" s="229" t="str">
        <f>IF($B279="","",IF($F279&lt;&gt;"Concluído","Não iniciado",IF(COUNTIF(Lançamentos!$B$3:$B$1001,$B279)=0,"Bloqueado",IF('E3 — Levantamento'!$D261="","Bloqueado",IF(COUNTIF('E3 — Levantamento'!$E261:$I261,"⛔ Bloqueado")&gt;0,"Bloqueado",IF('E3 — Levantamento'!$I261="N/A","Bloqueado",IF(COUNTIF('E3 — Levantamento'!$E261:$I261,"✔ Concluído")=5,"Concluído",IF(COUNTIF('E3 — Levantamento'!$E261:$I261,"✔ Concluído")+COUNTIF('E3 — Levantamento'!$E261:$I261,"🔄 Em andamento")&gt;0,"Em andamento","Não iniciado"))))))))</f>
        <v/>
      </c>
      <c r="H279" s="229" t="str">
        <f>IF($B279="","",IF($G279&lt;&gt;"Concluído","Não iniciado",IF(COUNTIF(Lançamentos!$B$3:$B$1001,$B279)=0,"Bloqueado",IF('E4 — Execução'!$D261="","Bloqueado",IF(COUNTIF('E4 — Execução'!$E261:$K261,"⛔ Bloqueado")&gt;0,"Bloqueado",IF(COUNTIF('E4 — Execução'!$E261:$K261,"✔ Concluído")=7,"Concluído",IF(COUNTIF('E4 — Execução'!$E261:$K261,"✔ Concluído")+COUNTIF('E4 — Execução'!$E261:$K261,"🔄 Em andamento")&gt;0,"Em andamento","Não iniciado")))))))</f>
        <v/>
      </c>
      <c r="I279" s="229" t="str">
        <f>IF($B279="","",IF($H279&lt;&gt;"Concluído","Não iniciado",IF(COUNTIF(Lançamentos!$B$3:$B$1001,$B279)=0,"Bloqueado",IF('E5 — Validação'!$D261="","Bloqueado",IF(COUNTIF('E5 — Validação'!$E261:$I261,"⛔ Bloqueado")&gt;0,"Bloqueado",IF('E5 — Validação'!$I261="N/A","Bloqueado",IF(AND('E5 — Validação'!$E261="✔ Concluído",'E5 — Validação'!$F261="✔ Concluído",OR('E5 — Validação'!$G261="✔ Concluído",'E5 — Validação'!$G261="N/A"),'E5 — Validação'!$H261="✔ Concluído",'E5 — Validação'!$I261="✔ Concluído"),"Concluído",IF(COUNTIF('E5 — Validação'!$E261:$I261,"✔ Concluído")+COUNTIF('E5 — Validação'!$E261:$I261,"🔄 Em andamento")&gt;0,"Em andamento","Não iniciado"))))))))</f>
        <v/>
      </c>
      <c r="J279" s="229" t="str">
        <f>IF($B279="","",IF($I279&lt;&gt;"Concluído","Não iniciado",IF('E6 — Ajustes'!$N261="Não","N/A",IF(COUNTIF(Lançamentos!$B$3:$B$1001,$B279)=0,"Bloqueado",IF('E6 — Ajustes'!$D261="","Bloqueado",IF(COUNTIF('E6 — Ajustes'!$E261:$J261,"⛔ Bloqueado")&gt;0,"Bloqueado",IF(AND('E6 — Ajustes'!$E261="✔ Concluído",'E6 — Ajustes'!$F261="✔ Concluído",'E6 — Ajustes'!$G261="✔ Concluído",'E6 — Ajustes'!$H261="✔ Concluído",OR('E6 — Ajustes'!$I261="✔ Concluído",'E6 — Ajustes'!$I261="N/A"),'E6 — Ajustes'!$J261="✔ Concluído"),"Concluído",IF(COUNTIF('E6 — Ajustes'!$E261:$J261,"✔ Concluído")+COUNTIF('E6 — Ajustes'!$E261:$J261,"🔄 Em andamento")&gt;0,"Em andamento","Não iniciado"))))))))</f>
        <v/>
      </c>
      <c r="K279" s="229" t="str">
        <f>IF($B279="","",IF($I279&lt;&gt;"Concluído","Não iniciado",IF(AND($J279&lt;&gt;"Concluído",$J279&lt;&gt;"N/A"),"Não iniciado",IF(COUNTIF(Lançamentos!$B$3:$B$1001,$B279)=0,"Bloqueado",IF('E7 — Entrega'!$D261="","Bloqueado",IF(COUNTIF('E7 — Entrega'!$E261:$H261,"⛔ Bloqueado")&gt;0,"Bloqueado",IF(COUNTIF('E7 — Entrega'!$E261:$H261,"✔ Concluído")=4,"Concluído",IF(COUNTIF('E7 — Entrega'!$E261:$H261,"✔ Concluído")+COUNTIF('E7 — Entrega'!$E261:$H261,"🔄 Em andamento")&gt;0,"Em andamento","Não iniciado"))))))))</f>
        <v/>
      </c>
      <c r="L279" s="229" t="str">
        <f>IF($B279="","",IF($K279&lt;&gt;"Concluído","Não iniciado",IF(OR(COUNTIF('E08 — Estabilização Hypercare'!$E261:$J261,"⛔ Bloqueado")&gt;0,'E08 — Estabilização Hypercare'!$N261="⛔ Incidente Crítico — Encerramento Bloqueado",AND('E08 — Estabilização Hypercare'!$N261="🆕 Evolução Identificada — Nova Demanda Aberta",'E08 — Estabilização Hypercare'!$U261="")),"Bloqueado",IF(AND('E08 — Estabilização Hypercare'!$E261="✔ Concluído",'E08 — Estabilização Hypercare'!$F261="✔ Concluído",'E08 — Estabilização Hypercare'!$G261="✔ Concluído",OR('E08 — Estabilização Hypercare'!$H261="✔ Concluído",'E08 — Estabilização Hypercare'!$H261="N/A"),'E08 — Estabilização Hypercare'!$I261="✔ Concluído",'E08 — Estabilização Hypercare'!$J261="✔ Concluído",OR('E08 — Estabilização Hypercare'!$N261="✅ Estável — Demanda Encerrada",AND('E08 — Estabilização Hypercare'!$N261="🆕 Evolução Identificada — Nova Demanda Aberta",'E08 — Estabilização Hypercare'!$U261&lt;&gt;""))),"Concluído",IF(OR(COUNTIF('E08 — Estabilização Hypercare'!$E261:$J261,"✔ Concluído")&gt;0,COUNTIF('E08 — Estabilização Hypercare'!$E261:$J261,"🔄 Em andamento")&gt;0,'E08 — Estabilização Hypercare'!$N261&lt;&gt;""),"Em andamento","Não iniciado")))))</f>
        <v/>
      </c>
      <c r="M279" s="232" t="str" cm="1">
        <f t="array" ref="M279">IF(B279="","",_xlfn.IFS(E279&lt;&gt;"Concluído","E1 — Solicitação",F279&lt;&gt;"Concluído","E2 — Triagem",G279&lt;&gt;"Concluído","E3 — Levantamento ⚠",H279&lt;&gt;"Concluído","E4 — Execução",I279&lt;&gt;"Concluído","E5 — Validação ⚠",AND(J279&lt;&gt;"Concluído",J279&lt;&gt;"N/A"),"E6 — Ajustes",K279&lt;&gt;"Concluído","E7 — Entrega",L279&lt;&gt;"Concluído","E08 — Estabilização / Hypercare",TRUE,"✔ Fluxo concluído"))</f>
        <v/>
      </c>
      <c r="N279" s="233" t="str">
        <f t="shared" si="4"/>
        <v/>
      </c>
      <c r="O279" s="230"/>
    </row>
    <row r="280" spans="2:15" x14ac:dyDescent="0.35">
      <c r="B280" s="229" t="str">
        <f>IF(Lançamentos!$B257="","",Lançamentos!$B257)</f>
        <v/>
      </c>
      <c r="C280" s="231" t="str">
        <f>IF($B280="","",Lançamentos!$J257)</f>
        <v/>
      </c>
      <c r="D280" s="231" t="str">
        <f>IF($B280="","",Lançamentos!$H257)</f>
        <v/>
      </c>
      <c r="E280" s="229" t="str">
        <f>IF($B280="","",IF(COUNTIF(Lançamentos!$B$3:$B$1001,$B280)=0,"Bloqueado",IF(COUNTIF('E1 — Solicitação'!$E262:$L262,"⛔ Bloqueado")&gt;0,"Bloqueado",IF(COUNTIF('E1 — Solicitação'!$E262:$L262,"N/A")=8,"Bloqueado",IF(COUNTIF('E1 — Solicitação'!$E262:$L262,"✔ Concluído")+COUNTIF('E1 — Solicitação'!$E262:$L262,"N/A")=8,"Concluído",IF(COUNTIF('E1 — Solicitação'!$E262:$L262,"✔ Concluído")+COUNTIF('E1 — Solicitação'!$E262:$L262,"🔄 Em andamento")&gt;0,"Em andamento","Não iniciado"))))))</f>
        <v/>
      </c>
      <c r="F280" s="229" t="str">
        <f>IF($B280="","",IF($E280&lt;&gt;"Concluído","Não iniciado",IF(COUNTIF(Lançamentos!$B$3:$B$1001,$B280)=0,"Bloqueado",IF('E2 — Triagem'!$D262="","Bloqueado",IF(COUNTIF('E2 — Triagem'!$E262:$L262,"N/A")=8,"Bloqueado",IF(COUNTIF('E2 — Triagem'!$E262:$L262,"⛔ Bloqueado")&gt;0,"Bloqueado",IF(COUNTIF('E2 — Triagem'!$E262:$L262,"✔ Concluído")+COUNTIF('E2 — Triagem'!$E262:$L262,"N/A")=8,"Concluído",IF(COUNTIF('E2 — Triagem'!$E262:$L262,"✔ Concluído")+COUNTIF('E2 — Triagem'!$E262:$L262,"🔄 Em andamento")&gt;0,"Em andamento","Não iniciado"))))))))</f>
        <v/>
      </c>
      <c r="G280" s="229" t="str">
        <f>IF($B280="","",IF($F280&lt;&gt;"Concluído","Não iniciado",IF(COUNTIF(Lançamentos!$B$3:$B$1001,$B280)=0,"Bloqueado",IF('E3 — Levantamento'!$D262="","Bloqueado",IF(COUNTIF('E3 — Levantamento'!$E262:$I262,"⛔ Bloqueado")&gt;0,"Bloqueado",IF('E3 — Levantamento'!$I262="N/A","Bloqueado",IF(COUNTIF('E3 — Levantamento'!$E262:$I262,"✔ Concluído")=5,"Concluído",IF(COUNTIF('E3 — Levantamento'!$E262:$I262,"✔ Concluído")+COUNTIF('E3 — Levantamento'!$E262:$I262,"🔄 Em andamento")&gt;0,"Em andamento","Não iniciado"))))))))</f>
        <v/>
      </c>
      <c r="H280" s="229" t="str">
        <f>IF($B280="","",IF($G280&lt;&gt;"Concluído","Não iniciado",IF(COUNTIF(Lançamentos!$B$3:$B$1001,$B280)=0,"Bloqueado",IF('E4 — Execução'!$D262="","Bloqueado",IF(COUNTIF('E4 — Execução'!$E262:$K262,"⛔ Bloqueado")&gt;0,"Bloqueado",IF(COUNTIF('E4 — Execução'!$E262:$K262,"✔ Concluído")=7,"Concluído",IF(COUNTIF('E4 — Execução'!$E262:$K262,"✔ Concluído")+COUNTIF('E4 — Execução'!$E262:$K262,"🔄 Em andamento")&gt;0,"Em andamento","Não iniciado")))))))</f>
        <v/>
      </c>
      <c r="I280" s="229" t="str">
        <f>IF($B280="","",IF($H280&lt;&gt;"Concluído","Não iniciado",IF(COUNTIF(Lançamentos!$B$3:$B$1001,$B280)=0,"Bloqueado",IF('E5 — Validação'!$D262="","Bloqueado",IF(COUNTIF('E5 — Validação'!$E262:$I262,"⛔ Bloqueado")&gt;0,"Bloqueado",IF('E5 — Validação'!$I262="N/A","Bloqueado",IF(AND('E5 — Validação'!$E262="✔ Concluído",'E5 — Validação'!$F262="✔ Concluído",OR('E5 — Validação'!$G262="✔ Concluído",'E5 — Validação'!$G262="N/A"),'E5 — Validação'!$H262="✔ Concluído",'E5 — Validação'!$I262="✔ Concluído"),"Concluído",IF(COUNTIF('E5 — Validação'!$E262:$I262,"✔ Concluído")+COUNTIF('E5 — Validação'!$E262:$I262,"🔄 Em andamento")&gt;0,"Em andamento","Não iniciado"))))))))</f>
        <v/>
      </c>
      <c r="J280" s="229" t="str">
        <f>IF($B280="","",IF($I280&lt;&gt;"Concluído","Não iniciado",IF('E6 — Ajustes'!$N262="Não","N/A",IF(COUNTIF(Lançamentos!$B$3:$B$1001,$B280)=0,"Bloqueado",IF('E6 — Ajustes'!$D262="","Bloqueado",IF(COUNTIF('E6 — Ajustes'!$E262:$J262,"⛔ Bloqueado")&gt;0,"Bloqueado",IF(AND('E6 — Ajustes'!$E262="✔ Concluído",'E6 — Ajustes'!$F262="✔ Concluído",'E6 — Ajustes'!$G262="✔ Concluído",'E6 — Ajustes'!$H262="✔ Concluído",OR('E6 — Ajustes'!$I262="✔ Concluído",'E6 — Ajustes'!$I262="N/A"),'E6 — Ajustes'!$J262="✔ Concluído"),"Concluído",IF(COUNTIF('E6 — Ajustes'!$E262:$J262,"✔ Concluído")+COUNTIF('E6 — Ajustes'!$E262:$J262,"🔄 Em andamento")&gt;0,"Em andamento","Não iniciado"))))))))</f>
        <v/>
      </c>
      <c r="K280" s="229" t="str">
        <f>IF($B280="","",IF($I280&lt;&gt;"Concluído","Não iniciado",IF(AND($J280&lt;&gt;"Concluído",$J280&lt;&gt;"N/A"),"Não iniciado",IF(COUNTIF(Lançamentos!$B$3:$B$1001,$B280)=0,"Bloqueado",IF('E7 — Entrega'!$D262="","Bloqueado",IF(COUNTIF('E7 — Entrega'!$E262:$H262,"⛔ Bloqueado")&gt;0,"Bloqueado",IF(COUNTIF('E7 — Entrega'!$E262:$H262,"✔ Concluído")=4,"Concluído",IF(COUNTIF('E7 — Entrega'!$E262:$H262,"✔ Concluído")+COUNTIF('E7 — Entrega'!$E262:$H262,"🔄 Em andamento")&gt;0,"Em andamento","Não iniciado"))))))))</f>
        <v/>
      </c>
      <c r="L280" s="229" t="str">
        <f>IF($B280="","",IF($K280&lt;&gt;"Concluído","Não iniciado",IF(OR(COUNTIF('E08 — Estabilização Hypercare'!$E262:$J262,"⛔ Bloqueado")&gt;0,'E08 — Estabilização Hypercare'!$N262="⛔ Incidente Crítico — Encerramento Bloqueado",AND('E08 — Estabilização Hypercare'!$N262="🆕 Evolução Identificada — Nova Demanda Aberta",'E08 — Estabilização Hypercare'!$U262="")),"Bloqueado",IF(AND('E08 — Estabilização Hypercare'!$E262="✔ Concluído",'E08 — Estabilização Hypercare'!$F262="✔ Concluído",'E08 — Estabilização Hypercare'!$G262="✔ Concluído",OR('E08 — Estabilização Hypercare'!$H262="✔ Concluído",'E08 — Estabilização Hypercare'!$H262="N/A"),'E08 — Estabilização Hypercare'!$I262="✔ Concluído",'E08 — Estabilização Hypercare'!$J262="✔ Concluído",OR('E08 — Estabilização Hypercare'!$N262="✅ Estável — Demanda Encerrada",AND('E08 — Estabilização Hypercare'!$N262="🆕 Evolução Identificada — Nova Demanda Aberta",'E08 — Estabilização Hypercare'!$U262&lt;&gt;""))),"Concluído",IF(OR(COUNTIF('E08 — Estabilização Hypercare'!$E262:$J262,"✔ Concluído")&gt;0,COUNTIF('E08 — Estabilização Hypercare'!$E262:$J262,"🔄 Em andamento")&gt;0,'E08 — Estabilização Hypercare'!$N262&lt;&gt;""),"Em andamento","Não iniciado")))))</f>
        <v/>
      </c>
      <c r="M280" s="232" t="str" cm="1">
        <f t="array" ref="M280">IF(B280="","",_xlfn.IFS(E280&lt;&gt;"Concluído","E1 — Solicitação",F280&lt;&gt;"Concluído","E2 — Triagem",G280&lt;&gt;"Concluído","E3 — Levantamento ⚠",H280&lt;&gt;"Concluído","E4 — Execução",I280&lt;&gt;"Concluído","E5 — Validação ⚠",AND(J280&lt;&gt;"Concluído",J280&lt;&gt;"N/A"),"E6 — Ajustes",K280&lt;&gt;"Concluído","E7 — Entrega",L280&lt;&gt;"Concluído","E08 — Estabilização / Hypercare",TRUE,"✔ Fluxo concluído"))</f>
        <v/>
      </c>
      <c r="N280" s="233" t="str">
        <f t="shared" si="4"/>
        <v/>
      </c>
      <c r="O280" s="230"/>
    </row>
    <row r="281" spans="2:15" x14ac:dyDescent="0.35">
      <c r="B281" s="229" t="str">
        <f>IF(Lançamentos!$B258="","",Lançamentos!$B258)</f>
        <v/>
      </c>
      <c r="C281" s="231" t="str">
        <f>IF($B281="","",Lançamentos!$J258)</f>
        <v/>
      </c>
      <c r="D281" s="231" t="str">
        <f>IF($B281="","",Lançamentos!$H258)</f>
        <v/>
      </c>
      <c r="E281" s="229" t="str">
        <f>IF($B281="","",IF(COUNTIF(Lançamentos!$B$3:$B$1001,$B281)=0,"Bloqueado",IF(COUNTIF('E1 — Solicitação'!$E263:$L263,"⛔ Bloqueado")&gt;0,"Bloqueado",IF(COUNTIF('E1 — Solicitação'!$E263:$L263,"N/A")=8,"Bloqueado",IF(COUNTIF('E1 — Solicitação'!$E263:$L263,"✔ Concluído")+COUNTIF('E1 — Solicitação'!$E263:$L263,"N/A")=8,"Concluído",IF(COUNTIF('E1 — Solicitação'!$E263:$L263,"✔ Concluído")+COUNTIF('E1 — Solicitação'!$E263:$L263,"🔄 Em andamento")&gt;0,"Em andamento","Não iniciado"))))))</f>
        <v/>
      </c>
      <c r="F281" s="229" t="str">
        <f>IF($B281="","",IF($E281&lt;&gt;"Concluído","Não iniciado",IF(COUNTIF(Lançamentos!$B$3:$B$1001,$B281)=0,"Bloqueado",IF('E2 — Triagem'!$D263="","Bloqueado",IF(COUNTIF('E2 — Triagem'!$E263:$L263,"N/A")=8,"Bloqueado",IF(COUNTIF('E2 — Triagem'!$E263:$L263,"⛔ Bloqueado")&gt;0,"Bloqueado",IF(COUNTIF('E2 — Triagem'!$E263:$L263,"✔ Concluído")+COUNTIF('E2 — Triagem'!$E263:$L263,"N/A")=8,"Concluído",IF(COUNTIF('E2 — Triagem'!$E263:$L263,"✔ Concluído")+COUNTIF('E2 — Triagem'!$E263:$L263,"🔄 Em andamento")&gt;0,"Em andamento","Não iniciado"))))))))</f>
        <v/>
      </c>
      <c r="G281" s="229" t="str">
        <f>IF($B281="","",IF($F281&lt;&gt;"Concluído","Não iniciado",IF(COUNTIF(Lançamentos!$B$3:$B$1001,$B281)=0,"Bloqueado",IF('E3 — Levantamento'!$D263="","Bloqueado",IF(COUNTIF('E3 — Levantamento'!$E263:$I263,"⛔ Bloqueado")&gt;0,"Bloqueado",IF('E3 — Levantamento'!$I263="N/A","Bloqueado",IF(COUNTIF('E3 — Levantamento'!$E263:$I263,"✔ Concluído")=5,"Concluído",IF(COUNTIF('E3 — Levantamento'!$E263:$I263,"✔ Concluído")+COUNTIF('E3 — Levantamento'!$E263:$I263,"🔄 Em andamento")&gt;0,"Em andamento","Não iniciado"))))))))</f>
        <v/>
      </c>
      <c r="H281" s="229" t="str">
        <f>IF($B281="","",IF($G281&lt;&gt;"Concluído","Não iniciado",IF(COUNTIF(Lançamentos!$B$3:$B$1001,$B281)=0,"Bloqueado",IF('E4 — Execução'!$D263="","Bloqueado",IF(COUNTIF('E4 — Execução'!$E263:$K263,"⛔ Bloqueado")&gt;0,"Bloqueado",IF(COUNTIF('E4 — Execução'!$E263:$K263,"✔ Concluído")=7,"Concluído",IF(COUNTIF('E4 — Execução'!$E263:$K263,"✔ Concluído")+COUNTIF('E4 — Execução'!$E263:$K263,"🔄 Em andamento")&gt;0,"Em andamento","Não iniciado")))))))</f>
        <v/>
      </c>
      <c r="I281" s="229" t="str">
        <f>IF($B281="","",IF($H281&lt;&gt;"Concluído","Não iniciado",IF(COUNTIF(Lançamentos!$B$3:$B$1001,$B281)=0,"Bloqueado",IF('E5 — Validação'!$D263="","Bloqueado",IF(COUNTIF('E5 — Validação'!$E263:$I263,"⛔ Bloqueado")&gt;0,"Bloqueado",IF('E5 — Validação'!$I263="N/A","Bloqueado",IF(AND('E5 — Validação'!$E263="✔ Concluído",'E5 — Validação'!$F263="✔ Concluído",OR('E5 — Validação'!$G263="✔ Concluído",'E5 — Validação'!$G263="N/A"),'E5 — Validação'!$H263="✔ Concluído",'E5 — Validação'!$I263="✔ Concluído"),"Concluído",IF(COUNTIF('E5 — Validação'!$E263:$I263,"✔ Concluído")+COUNTIF('E5 — Validação'!$E263:$I263,"🔄 Em andamento")&gt;0,"Em andamento","Não iniciado"))))))))</f>
        <v/>
      </c>
      <c r="J281" s="229" t="str">
        <f>IF($B281="","",IF($I281&lt;&gt;"Concluído","Não iniciado",IF('E6 — Ajustes'!$N263="Não","N/A",IF(COUNTIF(Lançamentos!$B$3:$B$1001,$B281)=0,"Bloqueado",IF('E6 — Ajustes'!$D263="","Bloqueado",IF(COUNTIF('E6 — Ajustes'!$E263:$J263,"⛔ Bloqueado")&gt;0,"Bloqueado",IF(AND('E6 — Ajustes'!$E263="✔ Concluído",'E6 — Ajustes'!$F263="✔ Concluído",'E6 — Ajustes'!$G263="✔ Concluído",'E6 — Ajustes'!$H263="✔ Concluído",OR('E6 — Ajustes'!$I263="✔ Concluído",'E6 — Ajustes'!$I263="N/A"),'E6 — Ajustes'!$J263="✔ Concluído"),"Concluído",IF(COUNTIF('E6 — Ajustes'!$E263:$J263,"✔ Concluído")+COUNTIF('E6 — Ajustes'!$E263:$J263,"🔄 Em andamento")&gt;0,"Em andamento","Não iniciado"))))))))</f>
        <v/>
      </c>
      <c r="K281" s="229" t="str">
        <f>IF($B281="","",IF($I281&lt;&gt;"Concluído","Não iniciado",IF(AND($J281&lt;&gt;"Concluído",$J281&lt;&gt;"N/A"),"Não iniciado",IF(COUNTIF(Lançamentos!$B$3:$B$1001,$B281)=0,"Bloqueado",IF('E7 — Entrega'!$D263="","Bloqueado",IF(COUNTIF('E7 — Entrega'!$E263:$H263,"⛔ Bloqueado")&gt;0,"Bloqueado",IF(COUNTIF('E7 — Entrega'!$E263:$H263,"✔ Concluído")=4,"Concluído",IF(COUNTIF('E7 — Entrega'!$E263:$H263,"✔ Concluído")+COUNTIF('E7 — Entrega'!$E263:$H263,"🔄 Em andamento")&gt;0,"Em andamento","Não iniciado"))))))))</f>
        <v/>
      </c>
      <c r="L281" s="229" t="str">
        <f>IF($B281="","",IF($K281&lt;&gt;"Concluído","Não iniciado",IF(OR(COUNTIF('E08 — Estabilização Hypercare'!$E263:$J263,"⛔ Bloqueado")&gt;0,'E08 — Estabilização Hypercare'!$N263="⛔ Incidente Crítico — Encerramento Bloqueado",AND('E08 — Estabilização Hypercare'!$N263="🆕 Evolução Identificada — Nova Demanda Aberta",'E08 — Estabilização Hypercare'!$U263="")),"Bloqueado",IF(AND('E08 — Estabilização Hypercare'!$E263="✔ Concluído",'E08 — Estabilização Hypercare'!$F263="✔ Concluído",'E08 — Estabilização Hypercare'!$G263="✔ Concluído",OR('E08 — Estabilização Hypercare'!$H263="✔ Concluído",'E08 — Estabilização Hypercare'!$H263="N/A"),'E08 — Estabilização Hypercare'!$I263="✔ Concluído",'E08 — Estabilização Hypercare'!$J263="✔ Concluído",OR('E08 — Estabilização Hypercare'!$N263="✅ Estável — Demanda Encerrada",AND('E08 — Estabilização Hypercare'!$N263="🆕 Evolução Identificada — Nova Demanda Aberta",'E08 — Estabilização Hypercare'!$U263&lt;&gt;""))),"Concluído",IF(OR(COUNTIF('E08 — Estabilização Hypercare'!$E263:$J263,"✔ Concluído")&gt;0,COUNTIF('E08 — Estabilização Hypercare'!$E263:$J263,"🔄 Em andamento")&gt;0,'E08 — Estabilização Hypercare'!$N263&lt;&gt;""),"Em andamento","Não iniciado")))))</f>
        <v/>
      </c>
      <c r="M281" s="232" t="str" cm="1">
        <f t="array" ref="M281">IF(B281="","",_xlfn.IFS(E281&lt;&gt;"Concluído","E1 — Solicitação",F281&lt;&gt;"Concluído","E2 — Triagem",G281&lt;&gt;"Concluído","E3 — Levantamento ⚠",H281&lt;&gt;"Concluído","E4 — Execução",I281&lt;&gt;"Concluído","E5 — Validação ⚠",AND(J281&lt;&gt;"Concluído",J281&lt;&gt;"N/A"),"E6 — Ajustes",K281&lt;&gt;"Concluído","E7 — Entrega",L281&lt;&gt;"Concluído","E08 — Estabilização / Hypercare",TRUE,"✔ Fluxo concluído"))</f>
        <v/>
      </c>
      <c r="N281" s="233" t="str">
        <f t="shared" si="4"/>
        <v/>
      </c>
      <c r="O281" s="230"/>
    </row>
    <row r="282" spans="2:15" x14ac:dyDescent="0.35">
      <c r="B282" s="229" t="str">
        <f>IF(Lançamentos!$B259="","",Lançamentos!$B259)</f>
        <v/>
      </c>
      <c r="C282" s="231" t="str">
        <f>IF($B282="","",Lançamentos!$J259)</f>
        <v/>
      </c>
      <c r="D282" s="231" t="str">
        <f>IF($B282="","",Lançamentos!$H259)</f>
        <v/>
      </c>
      <c r="E282" s="229" t="str">
        <f>IF($B282="","",IF(COUNTIF(Lançamentos!$B$3:$B$1001,$B282)=0,"Bloqueado",IF(COUNTIF('E1 — Solicitação'!$E264:$L264,"⛔ Bloqueado")&gt;0,"Bloqueado",IF(COUNTIF('E1 — Solicitação'!$E264:$L264,"N/A")=8,"Bloqueado",IF(COUNTIF('E1 — Solicitação'!$E264:$L264,"✔ Concluído")+COUNTIF('E1 — Solicitação'!$E264:$L264,"N/A")=8,"Concluído",IF(COUNTIF('E1 — Solicitação'!$E264:$L264,"✔ Concluído")+COUNTIF('E1 — Solicitação'!$E264:$L264,"🔄 Em andamento")&gt;0,"Em andamento","Não iniciado"))))))</f>
        <v/>
      </c>
      <c r="F282" s="229" t="str">
        <f>IF($B282="","",IF($E282&lt;&gt;"Concluído","Não iniciado",IF(COUNTIF(Lançamentos!$B$3:$B$1001,$B282)=0,"Bloqueado",IF('E2 — Triagem'!$D264="","Bloqueado",IF(COUNTIF('E2 — Triagem'!$E264:$L264,"N/A")=8,"Bloqueado",IF(COUNTIF('E2 — Triagem'!$E264:$L264,"⛔ Bloqueado")&gt;0,"Bloqueado",IF(COUNTIF('E2 — Triagem'!$E264:$L264,"✔ Concluído")+COUNTIF('E2 — Triagem'!$E264:$L264,"N/A")=8,"Concluído",IF(COUNTIF('E2 — Triagem'!$E264:$L264,"✔ Concluído")+COUNTIF('E2 — Triagem'!$E264:$L264,"🔄 Em andamento")&gt;0,"Em andamento","Não iniciado"))))))))</f>
        <v/>
      </c>
      <c r="G282" s="229" t="str">
        <f>IF($B282="","",IF($F282&lt;&gt;"Concluído","Não iniciado",IF(COUNTIF(Lançamentos!$B$3:$B$1001,$B282)=0,"Bloqueado",IF('E3 — Levantamento'!$D264="","Bloqueado",IF(COUNTIF('E3 — Levantamento'!$E264:$I264,"⛔ Bloqueado")&gt;0,"Bloqueado",IF('E3 — Levantamento'!$I264="N/A","Bloqueado",IF(COUNTIF('E3 — Levantamento'!$E264:$I264,"✔ Concluído")=5,"Concluído",IF(COUNTIF('E3 — Levantamento'!$E264:$I264,"✔ Concluído")+COUNTIF('E3 — Levantamento'!$E264:$I264,"🔄 Em andamento")&gt;0,"Em andamento","Não iniciado"))))))))</f>
        <v/>
      </c>
      <c r="H282" s="229" t="str">
        <f>IF($B282="","",IF($G282&lt;&gt;"Concluído","Não iniciado",IF(COUNTIF(Lançamentos!$B$3:$B$1001,$B282)=0,"Bloqueado",IF('E4 — Execução'!$D264="","Bloqueado",IF(COUNTIF('E4 — Execução'!$E264:$K264,"⛔ Bloqueado")&gt;0,"Bloqueado",IF(COUNTIF('E4 — Execução'!$E264:$K264,"✔ Concluído")=7,"Concluído",IF(COUNTIF('E4 — Execução'!$E264:$K264,"✔ Concluído")+COUNTIF('E4 — Execução'!$E264:$K264,"🔄 Em andamento")&gt;0,"Em andamento","Não iniciado")))))))</f>
        <v/>
      </c>
      <c r="I282" s="229" t="str">
        <f>IF($B282="","",IF($H282&lt;&gt;"Concluído","Não iniciado",IF(COUNTIF(Lançamentos!$B$3:$B$1001,$B282)=0,"Bloqueado",IF('E5 — Validação'!$D264="","Bloqueado",IF(COUNTIF('E5 — Validação'!$E264:$I264,"⛔ Bloqueado")&gt;0,"Bloqueado",IF('E5 — Validação'!$I264="N/A","Bloqueado",IF(AND('E5 — Validação'!$E264="✔ Concluído",'E5 — Validação'!$F264="✔ Concluído",OR('E5 — Validação'!$G264="✔ Concluído",'E5 — Validação'!$G264="N/A"),'E5 — Validação'!$H264="✔ Concluído",'E5 — Validação'!$I264="✔ Concluído"),"Concluído",IF(COUNTIF('E5 — Validação'!$E264:$I264,"✔ Concluído")+COUNTIF('E5 — Validação'!$E264:$I264,"🔄 Em andamento")&gt;0,"Em andamento","Não iniciado"))))))))</f>
        <v/>
      </c>
      <c r="J282" s="229" t="str">
        <f>IF($B282="","",IF($I282&lt;&gt;"Concluído","Não iniciado",IF('E6 — Ajustes'!$N264="Não","N/A",IF(COUNTIF(Lançamentos!$B$3:$B$1001,$B282)=0,"Bloqueado",IF('E6 — Ajustes'!$D264="","Bloqueado",IF(COUNTIF('E6 — Ajustes'!$E264:$J264,"⛔ Bloqueado")&gt;0,"Bloqueado",IF(AND('E6 — Ajustes'!$E264="✔ Concluído",'E6 — Ajustes'!$F264="✔ Concluído",'E6 — Ajustes'!$G264="✔ Concluído",'E6 — Ajustes'!$H264="✔ Concluído",OR('E6 — Ajustes'!$I264="✔ Concluído",'E6 — Ajustes'!$I264="N/A"),'E6 — Ajustes'!$J264="✔ Concluído"),"Concluído",IF(COUNTIF('E6 — Ajustes'!$E264:$J264,"✔ Concluído")+COUNTIF('E6 — Ajustes'!$E264:$J264,"🔄 Em andamento")&gt;0,"Em andamento","Não iniciado"))))))))</f>
        <v/>
      </c>
      <c r="K282" s="229" t="str">
        <f>IF($B282="","",IF($I282&lt;&gt;"Concluído","Não iniciado",IF(AND($J282&lt;&gt;"Concluído",$J282&lt;&gt;"N/A"),"Não iniciado",IF(COUNTIF(Lançamentos!$B$3:$B$1001,$B282)=0,"Bloqueado",IF('E7 — Entrega'!$D264="","Bloqueado",IF(COUNTIF('E7 — Entrega'!$E264:$H264,"⛔ Bloqueado")&gt;0,"Bloqueado",IF(COUNTIF('E7 — Entrega'!$E264:$H264,"✔ Concluído")=4,"Concluído",IF(COUNTIF('E7 — Entrega'!$E264:$H264,"✔ Concluído")+COUNTIF('E7 — Entrega'!$E264:$H264,"🔄 Em andamento")&gt;0,"Em andamento","Não iniciado"))))))))</f>
        <v/>
      </c>
      <c r="L282" s="229" t="str">
        <f>IF($B282="","",IF($K282&lt;&gt;"Concluído","Não iniciado",IF(OR(COUNTIF('E08 — Estabilização Hypercare'!$E264:$J264,"⛔ Bloqueado")&gt;0,'E08 — Estabilização Hypercare'!$N264="⛔ Incidente Crítico — Encerramento Bloqueado",AND('E08 — Estabilização Hypercare'!$N264="🆕 Evolução Identificada — Nova Demanda Aberta",'E08 — Estabilização Hypercare'!$U264="")),"Bloqueado",IF(AND('E08 — Estabilização Hypercare'!$E264="✔ Concluído",'E08 — Estabilização Hypercare'!$F264="✔ Concluído",'E08 — Estabilização Hypercare'!$G264="✔ Concluído",OR('E08 — Estabilização Hypercare'!$H264="✔ Concluído",'E08 — Estabilização Hypercare'!$H264="N/A"),'E08 — Estabilização Hypercare'!$I264="✔ Concluído",'E08 — Estabilização Hypercare'!$J264="✔ Concluído",OR('E08 — Estabilização Hypercare'!$N264="✅ Estável — Demanda Encerrada",AND('E08 — Estabilização Hypercare'!$N264="🆕 Evolução Identificada — Nova Demanda Aberta",'E08 — Estabilização Hypercare'!$U264&lt;&gt;""))),"Concluído",IF(OR(COUNTIF('E08 — Estabilização Hypercare'!$E264:$J264,"✔ Concluído")&gt;0,COUNTIF('E08 — Estabilização Hypercare'!$E264:$J264,"🔄 Em andamento")&gt;0,'E08 — Estabilização Hypercare'!$N264&lt;&gt;""),"Em andamento","Não iniciado")))))</f>
        <v/>
      </c>
      <c r="M282" s="232" t="str" cm="1">
        <f t="array" ref="M282">IF(B282="","",_xlfn.IFS(E282&lt;&gt;"Concluído","E1 — Solicitação",F282&lt;&gt;"Concluído","E2 — Triagem",G282&lt;&gt;"Concluído","E3 — Levantamento ⚠",H282&lt;&gt;"Concluído","E4 — Execução",I282&lt;&gt;"Concluído","E5 — Validação ⚠",AND(J282&lt;&gt;"Concluído",J282&lt;&gt;"N/A"),"E6 — Ajustes",K282&lt;&gt;"Concluído","E7 — Entrega",L282&lt;&gt;"Concluído","E08 — Estabilização / Hypercare",TRUE,"✔ Fluxo concluído"))</f>
        <v/>
      </c>
      <c r="N282" s="233" t="str">
        <f t="shared" si="4"/>
        <v/>
      </c>
      <c r="O282" s="230"/>
    </row>
    <row r="283" spans="2:15" x14ac:dyDescent="0.35">
      <c r="B283" s="229" t="str">
        <f>IF(Lançamentos!$B260="","",Lançamentos!$B260)</f>
        <v/>
      </c>
      <c r="C283" s="231" t="str">
        <f>IF($B283="","",Lançamentos!$J260)</f>
        <v/>
      </c>
      <c r="D283" s="231" t="str">
        <f>IF($B283="","",Lançamentos!$H260)</f>
        <v/>
      </c>
      <c r="E283" s="229" t="str">
        <f>IF($B283="","",IF(COUNTIF(Lançamentos!$B$3:$B$1001,$B283)=0,"Bloqueado",IF(COUNTIF('E1 — Solicitação'!$E265:$L265,"⛔ Bloqueado")&gt;0,"Bloqueado",IF(COUNTIF('E1 — Solicitação'!$E265:$L265,"N/A")=8,"Bloqueado",IF(COUNTIF('E1 — Solicitação'!$E265:$L265,"✔ Concluído")+COUNTIF('E1 — Solicitação'!$E265:$L265,"N/A")=8,"Concluído",IF(COUNTIF('E1 — Solicitação'!$E265:$L265,"✔ Concluído")+COUNTIF('E1 — Solicitação'!$E265:$L265,"🔄 Em andamento")&gt;0,"Em andamento","Não iniciado"))))))</f>
        <v/>
      </c>
      <c r="F283" s="229" t="str">
        <f>IF($B283="","",IF($E283&lt;&gt;"Concluído","Não iniciado",IF(COUNTIF(Lançamentos!$B$3:$B$1001,$B283)=0,"Bloqueado",IF('E2 — Triagem'!$D265="","Bloqueado",IF(COUNTIF('E2 — Triagem'!$E265:$L265,"N/A")=8,"Bloqueado",IF(COUNTIF('E2 — Triagem'!$E265:$L265,"⛔ Bloqueado")&gt;0,"Bloqueado",IF(COUNTIF('E2 — Triagem'!$E265:$L265,"✔ Concluído")+COUNTIF('E2 — Triagem'!$E265:$L265,"N/A")=8,"Concluído",IF(COUNTIF('E2 — Triagem'!$E265:$L265,"✔ Concluído")+COUNTIF('E2 — Triagem'!$E265:$L265,"🔄 Em andamento")&gt;0,"Em andamento","Não iniciado"))))))))</f>
        <v/>
      </c>
      <c r="G283" s="229" t="str">
        <f>IF($B283="","",IF($F283&lt;&gt;"Concluído","Não iniciado",IF(COUNTIF(Lançamentos!$B$3:$B$1001,$B283)=0,"Bloqueado",IF('E3 — Levantamento'!$D265="","Bloqueado",IF(COUNTIF('E3 — Levantamento'!$E265:$I265,"⛔ Bloqueado")&gt;0,"Bloqueado",IF('E3 — Levantamento'!$I265="N/A","Bloqueado",IF(COUNTIF('E3 — Levantamento'!$E265:$I265,"✔ Concluído")=5,"Concluído",IF(COUNTIF('E3 — Levantamento'!$E265:$I265,"✔ Concluído")+COUNTIF('E3 — Levantamento'!$E265:$I265,"🔄 Em andamento")&gt;0,"Em andamento","Não iniciado"))))))))</f>
        <v/>
      </c>
      <c r="H283" s="229" t="str">
        <f>IF($B283="","",IF($G283&lt;&gt;"Concluído","Não iniciado",IF(COUNTIF(Lançamentos!$B$3:$B$1001,$B283)=0,"Bloqueado",IF('E4 — Execução'!$D265="","Bloqueado",IF(COUNTIF('E4 — Execução'!$E265:$K265,"⛔ Bloqueado")&gt;0,"Bloqueado",IF(COUNTIF('E4 — Execução'!$E265:$K265,"✔ Concluído")=7,"Concluído",IF(COUNTIF('E4 — Execução'!$E265:$K265,"✔ Concluído")+COUNTIF('E4 — Execução'!$E265:$K265,"🔄 Em andamento")&gt;0,"Em andamento","Não iniciado")))))))</f>
        <v/>
      </c>
      <c r="I283" s="229" t="str">
        <f>IF($B283="","",IF($H283&lt;&gt;"Concluído","Não iniciado",IF(COUNTIF(Lançamentos!$B$3:$B$1001,$B283)=0,"Bloqueado",IF('E5 — Validação'!$D265="","Bloqueado",IF(COUNTIF('E5 — Validação'!$E265:$I265,"⛔ Bloqueado")&gt;0,"Bloqueado",IF('E5 — Validação'!$I265="N/A","Bloqueado",IF(AND('E5 — Validação'!$E265="✔ Concluído",'E5 — Validação'!$F265="✔ Concluído",OR('E5 — Validação'!$G265="✔ Concluído",'E5 — Validação'!$G265="N/A"),'E5 — Validação'!$H265="✔ Concluído",'E5 — Validação'!$I265="✔ Concluído"),"Concluído",IF(COUNTIF('E5 — Validação'!$E265:$I265,"✔ Concluído")+COUNTIF('E5 — Validação'!$E265:$I265,"🔄 Em andamento")&gt;0,"Em andamento","Não iniciado"))))))))</f>
        <v/>
      </c>
      <c r="J283" s="229" t="str">
        <f>IF($B283="","",IF($I283&lt;&gt;"Concluído","Não iniciado",IF('E6 — Ajustes'!$N265="Não","N/A",IF(COUNTIF(Lançamentos!$B$3:$B$1001,$B283)=0,"Bloqueado",IF('E6 — Ajustes'!$D265="","Bloqueado",IF(COUNTIF('E6 — Ajustes'!$E265:$J265,"⛔ Bloqueado")&gt;0,"Bloqueado",IF(AND('E6 — Ajustes'!$E265="✔ Concluído",'E6 — Ajustes'!$F265="✔ Concluído",'E6 — Ajustes'!$G265="✔ Concluído",'E6 — Ajustes'!$H265="✔ Concluído",OR('E6 — Ajustes'!$I265="✔ Concluído",'E6 — Ajustes'!$I265="N/A"),'E6 — Ajustes'!$J265="✔ Concluído"),"Concluído",IF(COUNTIF('E6 — Ajustes'!$E265:$J265,"✔ Concluído")+COUNTIF('E6 — Ajustes'!$E265:$J265,"🔄 Em andamento")&gt;0,"Em andamento","Não iniciado"))))))))</f>
        <v/>
      </c>
      <c r="K283" s="229" t="str">
        <f>IF($B283="","",IF($I283&lt;&gt;"Concluído","Não iniciado",IF(AND($J283&lt;&gt;"Concluído",$J283&lt;&gt;"N/A"),"Não iniciado",IF(COUNTIF(Lançamentos!$B$3:$B$1001,$B283)=0,"Bloqueado",IF('E7 — Entrega'!$D265="","Bloqueado",IF(COUNTIF('E7 — Entrega'!$E265:$H265,"⛔ Bloqueado")&gt;0,"Bloqueado",IF(COUNTIF('E7 — Entrega'!$E265:$H265,"✔ Concluído")=4,"Concluído",IF(COUNTIF('E7 — Entrega'!$E265:$H265,"✔ Concluído")+COUNTIF('E7 — Entrega'!$E265:$H265,"🔄 Em andamento")&gt;0,"Em andamento","Não iniciado"))))))))</f>
        <v/>
      </c>
      <c r="L283" s="229" t="str">
        <f>IF($B283="","",IF($K283&lt;&gt;"Concluído","Não iniciado",IF(OR(COUNTIF('E08 — Estabilização Hypercare'!$E265:$J265,"⛔ Bloqueado")&gt;0,'E08 — Estabilização Hypercare'!$N265="⛔ Incidente Crítico — Encerramento Bloqueado",AND('E08 — Estabilização Hypercare'!$N265="🆕 Evolução Identificada — Nova Demanda Aberta",'E08 — Estabilização Hypercare'!$U265="")),"Bloqueado",IF(AND('E08 — Estabilização Hypercare'!$E265="✔ Concluído",'E08 — Estabilização Hypercare'!$F265="✔ Concluído",'E08 — Estabilização Hypercare'!$G265="✔ Concluído",OR('E08 — Estabilização Hypercare'!$H265="✔ Concluído",'E08 — Estabilização Hypercare'!$H265="N/A"),'E08 — Estabilização Hypercare'!$I265="✔ Concluído",'E08 — Estabilização Hypercare'!$J265="✔ Concluído",OR('E08 — Estabilização Hypercare'!$N265="✅ Estável — Demanda Encerrada",AND('E08 — Estabilização Hypercare'!$N265="🆕 Evolução Identificada — Nova Demanda Aberta",'E08 — Estabilização Hypercare'!$U265&lt;&gt;""))),"Concluído",IF(OR(COUNTIF('E08 — Estabilização Hypercare'!$E265:$J265,"✔ Concluído")&gt;0,COUNTIF('E08 — Estabilização Hypercare'!$E265:$J265,"🔄 Em andamento")&gt;0,'E08 — Estabilização Hypercare'!$N265&lt;&gt;""),"Em andamento","Não iniciado")))))</f>
        <v/>
      </c>
      <c r="M283" s="232" t="str" cm="1">
        <f t="array" ref="M283">IF(B283="","",_xlfn.IFS(E283&lt;&gt;"Concluído","E1 — Solicitação",F283&lt;&gt;"Concluído","E2 — Triagem",G283&lt;&gt;"Concluído","E3 — Levantamento ⚠",H283&lt;&gt;"Concluído","E4 — Execução",I283&lt;&gt;"Concluído","E5 — Validação ⚠",AND(J283&lt;&gt;"Concluído",J283&lt;&gt;"N/A"),"E6 — Ajustes",K283&lt;&gt;"Concluído","E7 — Entrega",L283&lt;&gt;"Concluído","E08 — Estabilização / Hypercare",TRUE,"✔ Fluxo concluído"))</f>
        <v/>
      </c>
      <c r="N283" s="233" t="str">
        <f t="shared" si="4"/>
        <v/>
      </c>
      <c r="O283" s="230"/>
    </row>
    <row r="284" spans="2:15" x14ac:dyDescent="0.35">
      <c r="B284" s="229" t="str">
        <f>IF(Lançamentos!$B261="","",Lançamentos!$B261)</f>
        <v/>
      </c>
      <c r="C284" s="231" t="str">
        <f>IF($B284="","",Lançamentos!$J261)</f>
        <v/>
      </c>
      <c r="D284" s="231" t="str">
        <f>IF($B284="","",Lançamentos!$H261)</f>
        <v/>
      </c>
      <c r="E284" s="229" t="str">
        <f>IF($B284="","",IF(COUNTIF(Lançamentos!$B$3:$B$1001,$B284)=0,"Bloqueado",IF(COUNTIF('E1 — Solicitação'!$E266:$L266,"⛔ Bloqueado")&gt;0,"Bloqueado",IF(COUNTIF('E1 — Solicitação'!$E266:$L266,"N/A")=8,"Bloqueado",IF(COUNTIF('E1 — Solicitação'!$E266:$L266,"✔ Concluído")+COUNTIF('E1 — Solicitação'!$E266:$L266,"N/A")=8,"Concluído",IF(COUNTIF('E1 — Solicitação'!$E266:$L266,"✔ Concluído")+COUNTIF('E1 — Solicitação'!$E266:$L266,"🔄 Em andamento")&gt;0,"Em andamento","Não iniciado"))))))</f>
        <v/>
      </c>
      <c r="F284" s="229" t="str">
        <f>IF($B284="","",IF($E284&lt;&gt;"Concluído","Não iniciado",IF(COUNTIF(Lançamentos!$B$3:$B$1001,$B284)=0,"Bloqueado",IF('E2 — Triagem'!$D266="","Bloqueado",IF(COUNTIF('E2 — Triagem'!$E266:$L266,"N/A")=8,"Bloqueado",IF(COUNTIF('E2 — Triagem'!$E266:$L266,"⛔ Bloqueado")&gt;0,"Bloqueado",IF(COUNTIF('E2 — Triagem'!$E266:$L266,"✔ Concluído")+COUNTIF('E2 — Triagem'!$E266:$L266,"N/A")=8,"Concluído",IF(COUNTIF('E2 — Triagem'!$E266:$L266,"✔ Concluído")+COUNTIF('E2 — Triagem'!$E266:$L266,"🔄 Em andamento")&gt;0,"Em andamento","Não iniciado"))))))))</f>
        <v/>
      </c>
      <c r="G284" s="229" t="str">
        <f>IF($B284="","",IF($F284&lt;&gt;"Concluído","Não iniciado",IF(COUNTIF(Lançamentos!$B$3:$B$1001,$B284)=0,"Bloqueado",IF('E3 — Levantamento'!$D266="","Bloqueado",IF(COUNTIF('E3 — Levantamento'!$E266:$I266,"⛔ Bloqueado")&gt;0,"Bloqueado",IF('E3 — Levantamento'!$I266="N/A","Bloqueado",IF(COUNTIF('E3 — Levantamento'!$E266:$I266,"✔ Concluído")=5,"Concluído",IF(COUNTIF('E3 — Levantamento'!$E266:$I266,"✔ Concluído")+COUNTIF('E3 — Levantamento'!$E266:$I266,"🔄 Em andamento")&gt;0,"Em andamento","Não iniciado"))))))))</f>
        <v/>
      </c>
      <c r="H284" s="229" t="str">
        <f>IF($B284="","",IF($G284&lt;&gt;"Concluído","Não iniciado",IF(COUNTIF(Lançamentos!$B$3:$B$1001,$B284)=0,"Bloqueado",IF('E4 — Execução'!$D266="","Bloqueado",IF(COUNTIF('E4 — Execução'!$E266:$K266,"⛔ Bloqueado")&gt;0,"Bloqueado",IF(COUNTIF('E4 — Execução'!$E266:$K266,"✔ Concluído")=7,"Concluído",IF(COUNTIF('E4 — Execução'!$E266:$K266,"✔ Concluído")+COUNTIF('E4 — Execução'!$E266:$K266,"🔄 Em andamento")&gt;0,"Em andamento","Não iniciado")))))))</f>
        <v/>
      </c>
      <c r="I284" s="229" t="str">
        <f>IF($B284="","",IF($H284&lt;&gt;"Concluído","Não iniciado",IF(COUNTIF(Lançamentos!$B$3:$B$1001,$B284)=0,"Bloqueado",IF('E5 — Validação'!$D266="","Bloqueado",IF(COUNTIF('E5 — Validação'!$E266:$I266,"⛔ Bloqueado")&gt;0,"Bloqueado",IF('E5 — Validação'!$I266="N/A","Bloqueado",IF(AND('E5 — Validação'!$E266="✔ Concluído",'E5 — Validação'!$F266="✔ Concluído",OR('E5 — Validação'!$G266="✔ Concluído",'E5 — Validação'!$G266="N/A"),'E5 — Validação'!$H266="✔ Concluído",'E5 — Validação'!$I266="✔ Concluído"),"Concluído",IF(COUNTIF('E5 — Validação'!$E266:$I266,"✔ Concluído")+COUNTIF('E5 — Validação'!$E266:$I266,"🔄 Em andamento")&gt;0,"Em andamento","Não iniciado"))))))))</f>
        <v/>
      </c>
      <c r="J284" s="229" t="str">
        <f>IF($B284="","",IF($I284&lt;&gt;"Concluído","Não iniciado",IF('E6 — Ajustes'!$N266="Não","N/A",IF(COUNTIF(Lançamentos!$B$3:$B$1001,$B284)=0,"Bloqueado",IF('E6 — Ajustes'!$D266="","Bloqueado",IF(COUNTIF('E6 — Ajustes'!$E266:$J266,"⛔ Bloqueado")&gt;0,"Bloqueado",IF(AND('E6 — Ajustes'!$E266="✔ Concluído",'E6 — Ajustes'!$F266="✔ Concluído",'E6 — Ajustes'!$G266="✔ Concluído",'E6 — Ajustes'!$H266="✔ Concluído",OR('E6 — Ajustes'!$I266="✔ Concluído",'E6 — Ajustes'!$I266="N/A"),'E6 — Ajustes'!$J266="✔ Concluído"),"Concluído",IF(COUNTIF('E6 — Ajustes'!$E266:$J266,"✔ Concluído")+COUNTIF('E6 — Ajustes'!$E266:$J266,"🔄 Em andamento")&gt;0,"Em andamento","Não iniciado"))))))))</f>
        <v/>
      </c>
      <c r="K284" s="229" t="str">
        <f>IF($B284="","",IF($I284&lt;&gt;"Concluído","Não iniciado",IF(AND($J284&lt;&gt;"Concluído",$J284&lt;&gt;"N/A"),"Não iniciado",IF(COUNTIF(Lançamentos!$B$3:$B$1001,$B284)=0,"Bloqueado",IF('E7 — Entrega'!$D266="","Bloqueado",IF(COUNTIF('E7 — Entrega'!$E266:$H266,"⛔ Bloqueado")&gt;0,"Bloqueado",IF(COUNTIF('E7 — Entrega'!$E266:$H266,"✔ Concluído")=4,"Concluído",IF(COUNTIF('E7 — Entrega'!$E266:$H266,"✔ Concluído")+COUNTIF('E7 — Entrega'!$E266:$H266,"🔄 Em andamento")&gt;0,"Em andamento","Não iniciado"))))))))</f>
        <v/>
      </c>
      <c r="L284" s="229" t="str">
        <f>IF($B284="","",IF($K284&lt;&gt;"Concluído","Não iniciado",IF(OR(COUNTIF('E08 — Estabilização Hypercare'!$E266:$J266,"⛔ Bloqueado")&gt;0,'E08 — Estabilização Hypercare'!$N266="⛔ Incidente Crítico — Encerramento Bloqueado",AND('E08 — Estabilização Hypercare'!$N266="🆕 Evolução Identificada — Nova Demanda Aberta",'E08 — Estabilização Hypercare'!$U266="")),"Bloqueado",IF(AND('E08 — Estabilização Hypercare'!$E266="✔ Concluído",'E08 — Estabilização Hypercare'!$F266="✔ Concluído",'E08 — Estabilização Hypercare'!$G266="✔ Concluído",OR('E08 — Estabilização Hypercare'!$H266="✔ Concluído",'E08 — Estabilização Hypercare'!$H266="N/A"),'E08 — Estabilização Hypercare'!$I266="✔ Concluído",'E08 — Estabilização Hypercare'!$J266="✔ Concluído",OR('E08 — Estabilização Hypercare'!$N266="✅ Estável — Demanda Encerrada",AND('E08 — Estabilização Hypercare'!$N266="🆕 Evolução Identificada — Nova Demanda Aberta",'E08 — Estabilização Hypercare'!$U266&lt;&gt;""))),"Concluído",IF(OR(COUNTIF('E08 — Estabilização Hypercare'!$E266:$J266,"✔ Concluído")&gt;0,COUNTIF('E08 — Estabilização Hypercare'!$E266:$J266,"🔄 Em andamento")&gt;0,'E08 — Estabilização Hypercare'!$N266&lt;&gt;""),"Em andamento","Não iniciado")))))</f>
        <v/>
      </c>
      <c r="M284" s="232" t="str" cm="1">
        <f t="array" ref="M284">IF(B284="","",_xlfn.IFS(E284&lt;&gt;"Concluído","E1 — Solicitação",F284&lt;&gt;"Concluído","E2 — Triagem",G284&lt;&gt;"Concluído","E3 — Levantamento ⚠",H284&lt;&gt;"Concluído","E4 — Execução",I284&lt;&gt;"Concluído","E5 — Validação ⚠",AND(J284&lt;&gt;"Concluído",J284&lt;&gt;"N/A"),"E6 — Ajustes",K284&lt;&gt;"Concluído","E7 — Entrega",L284&lt;&gt;"Concluído","E08 — Estabilização / Hypercare",TRUE,"✔ Fluxo concluído"))</f>
        <v/>
      </c>
      <c r="N284" s="233" t="str">
        <f t="shared" si="4"/>
        <v/>
      </c>
      <c r="O284" s="230"/>
    </row>
    <row r="285" spans="2:15" x14ac:dyDescent="0.35">
      <c r="B285" s="229" t="str">
        <f>IF(Lançamentos!$B262="","",Lançamentos!$B262)</f>
        <v/>
      </c>
      <c r="C285" s="231" t="str">
        <f>IF($B285="","",Lançamentos!$J262)</f>
        <v/>
      </c>
      <c r="D285" s="231" t="str">
        <f>IF($B285="","",Lançamentos!$H262)</f>
        <v/>
      </c>
      <c r="E285" s="229" t="str">
        <f>IF($B285="","",IF(COUNTIF(Lançamentos!$B$3:$B$1001,$B285)=0,"Bloqueado",IF(COUNTIF('E1 — Solicitação'!$E267:$L267,"⛔ Bloqueado")&gt;0,"Bloqueado",IF(COUNTIF('E1 — Solicitação'!$E267:$L267,"N/A")=8,"Bloqueado",IF(COUNTIF('E1 — Solicitação'!$E267:$L267,"✔ Concluído")+COUNTIF('E1 — Solicitação'!$E267:$L267,"N/A")=8,"Concluído",IF(COUNTIF('E1 — Solicitação'!$E267:$L267,"✔ Concluído")+COUNTIF('E1 — Solicitação'!$E267:$L267,"🔄 Em andamento")&gt;0,"Em andamento","Não iniciado"))))))</f>
        <v/>
      </c>
      <c r="F285" s="229" t="str">
        <f>IF($B285="","",IF($E285&lt;&gt;"Concluído","Não iniciado",IF(COUNTIF(Lançamentos!$B$3:$B$1001,$B285)=0,"Bloqueado",IF('E2 — Triagem'!$D267="","Bloqueado",IF(COUNTIF('E2 — Triagem'!$E267:$L267,"N/A")=8,"Bloqueado",IF(COUNTIF('E2 — Triagem'!$E267:$L267,"⛔ Bloqueado")&gt;0,"Bloqueado",IF(COUNTIF('E2 — Triagem'!$E267:$L267,"✔ Concluído")+COUNTIF('E2 — Triagem'!$E267:$L267,"N/A")=8,"Concluído",IF(COUNTIF('E2 — Triagem'!$E267:$L267,"✔ Concluído")+COUNTIF('E2 — Triagem'!$E267:$L267,"🔄 Em andamento")&gt;0,"Em andamento","Não iniciado"))))))))</f>
        <v/>
      </c>
      <c r="G285" s="229" t="str">
        <f>IF($B285="","",IF($F285&lt;&gt;"Concluído","Não iniciado",IF(COUNTIF(Lançamentos!$B$3:$B$1001,$B285)=0,"Bloqueado",IF('E3 — Levantamento'!$D267="","Bloqueado",IF(COUNTIF('E3 — Levantamento'!$E267:$I267,"⛔ Bloqueado")&gt;0,"Bloqueado",IF('E3 — Levantamento'!$I267="N/A","Bloqueado",IF(COUNTIF('E3 — Levantamento'!$E267:$I267,"✔ Concluído")=5,"Concluído",IF(COUNTIF('E3 — Levantamento'!$E267:$I267,"✔ Concluído")+COUNTIF('E3 — Levantamento'!$E267:$I267,"🔄 Em andamento")&gt;0,"Em andamento","Não iniciado"))))))))</f>
        <v/>
      </c>
      <c r="H285" s="229" t="str">
        <f>IF($B285="","",IF($G285&lt;&gt;"Concluído","Não iniciado",IF(COUNTIF(Lançamentos!$B$3:$B$1001,$B285)=0,"Bloqueado",IF('E4 — Execução'!$D267="","Bloqueado",IF(COUNTIF('E4 — Execução'!$E267:$K267,"⛔ Bloqueado")&gt;0,"Bloqueado",IF(COUNTIF('E4 — Execução'!$E267:$K267,"✔ Concluído")=7,"Concluído",IF(COUNTIF('E4 — Execução'!$E267:$K267,"✔ Concluído")+COUNTIF('E4 — Execução'!$E267:$K267,"🔄 Em andamento")&gt;0,"Em andamento","Não iniciado")))))))</f>
        <v/>
      </c>
      <c r="I285" s="229" t="str">
        <f>IF($B285="","",IF($H285&lt;&gt;"Concluído","Não iniciado",IF(COUNTIF(Lançamentos!$B$3:$B$1001,$B285)=0,"Bloqueado",IF('E5 — Validação'!$D267="","Bloqueado",IF(COUNTIF('E5 — Validação'!$E267:$I267,"⛔ Bloqueado")&gt;0,"Bloqueado",IF('E5 — Validação'!$I267="N/A","Bloqueado",IF(AND('E5 — Validação'!$E267="✔ Concluído",'E5 — Validação'!$F267="✔ Concluído",OR('E5 — Validação'!$G267="✔ Concluído",'E5 — Validação'!$G267="N/A"),'E5 — Validação'!$H267="✔ Concluído",'E5 — Validação'!$I267="✔ Concluído"),"Concluído",IF(COUNTIF('E5 — Validação'!$E267:$I267,"✔ Concluído")+COUNTIF('E5 — Validação'!$E267:$I267,"🔄 Em andamento")&gt;0,"Em andamento","Não iniciado"))))))))</f>
        <v/>
      </c>
      <c r="J285" s="229" t="str">
        <f>IF($B285="","",IF($I285&lt;&gt;"Concluído","Não iniciado",IF('E6 — Ajustes'!$N267="Não","N/A",IF(COUNTIF(Lançamentos!$B$3:$B$1001,$B285)=0,"Bloqueado",IF('E6 — Ajustes'!$D267="","Bloqueado",IF(COUNTIF('E6 — Ajustes'!$E267:$J267,"⛔ Bloqueado")&gt;0,"Bloqueado",IF(AND('E6 — Ajustes'!$E267="✔ Concluído",'E6 — Ajustes'!$F267="✔ Concluído",'E6 — Ajustes'!$G267="✔ Concluído",'E6 — Ajustes'!$H267="✔ Concluído",OR('E6 — Ajustes'!$I267="✔ Concluído",'E6 — Ajustes'!$I267="N/A"),'E6 — Ajustes'!$J267="✔ Concluído"),"Concluído",IF(COUNTIF('E6 — Ajustes'!$E267:$J267,"✔ Concluído")+COUNTIF('E6 — Ajustes'!$E267:$J267,"🔄 Em andamento")&gt;0,"Em andamento","Não iniciado"))))))))</f>
        <v/>
      </c>
      <c r="K285" s="229" t="str">
        <f>IF($B285="","",IF($I285&lt;&gt;"Concluído","Não iniciado",IF(AND($J285&lt;&gt;"Concluído",$J285&lt;&gt;"N/A"),"Não iniciado",IF(COUNTIF(Lançamentos!$B$3:$B$1001,$B285)=0,"Bloqueado",IF('E7 — Entrega'!$D267="","Bloqueado",IF(COUNTIF('E7 — Entrega'!$E267:$H267,"⛔ Bloqueado")&gt;0,"Bloqueado",IF(COUNTIF('E7 — Entrega'!$E267:$H267,"✔ Concluído")=4,"Concluído",IF(COUNTIF('E7 — Entrega'!$E267:$H267,"✔ Concluído")+COUNTIF('E7 — Entrega'!$E267:$H267,"🔄 Em andamento")&gt;0,"Em andamento","Não iniciado"))))))))</f>
        <v/>
      </c>
      <c r="L285" s="229" t="str">
        <f>IF($B285="","",IF($K285&lt;&gt;"Concluído","Não iniciado",IF(OR(COUNTIF('E08 — Estabilização Hypercare'!$E267:$J267,"⛔ Bloqueado")&gt;0,'E08 — Estabilização Hypercare'!$N267="⛔ Incidente Crítico — Encerramento Bloqueado",AND('E08 — Estabilização Hypercare'!$N267="🆕 Evolução Identificada — Nova Demanda Aberta",'E08 — Estabilização Hypercare'!$U267="")),"Bloqueado",IF(AND('E08 — Estabilização Hypercare'!$E267="✔ Concluído",'E08 — Estabilização Hypercare'!$F267="✔ Concluído",'E08 — Estabilização Hypercare'!$G267="✔ Concluído",OR('E08 — Estabilização Hypercare'!$H267="✔ Concluído",'E08 — Estabilização Hypercare'!$H267="N/A"),'E08 — Estabilização Hypercare'!$I267="✔ Concluído",'E08 — Estabilização Hypercare'!$J267="✔ Concluído",OR('E08 — Estabilização Hypercare'!$N267="✅ Estável — Demanda Encerrada",AND('E08 — Estabilização Hypercare'!$N267="🆕 Evolução Identificada — Nova Demanda Aberta",'E08 — Estabilização Hypercare'!$U267&lt;&gt;""))),"Concluído",IF(OR(COUNTIF('E08 — Estabilização Hypercare'!$E267:$J267,"✔ Concluído")&gt;0,COUNTIF('E08 — Estabilização Hypercare'!$E267:$J267,"🔄 Em andamento")&gt;0,'E08 — Estabilização Hypercare'!$N267&lt;&gt;""),"Em andamento","Não iniciado")))))</f>
        <v/>
      </c>
      <c r="M285" s="232" t="str" cm="1">
        <f t="array" ref="M285">IF(B285="","",_xlfn.IFS(E285&lt;&gt;"Concluído","E1 — Solicitação",F285&lt;&gt;"Concluído","E2 — Triagem",G285&lt;&gt;"Concluído","E3 — Levantamento ⚠",H285&lt;&gt;"Concluído","E4 — Execução",I285&lt;&gt;"Concluído","E5 — Validação ⚠",AND(J285&lt;&gt;"Concluído",J285&lt;&gt;"N/A"),"E6 — Ajustes",K285&lt;&gt;"Concluído","E7 — Entrega",L285&lt;&gt;"Concluído","E08 — Estabilização / Hypercare",TRUE,"✔ Fluxo concluído"))</f>
        <v/>
      </c>
      <c r="N285" s="233" t="str">
        <f t="shared" si="4"/>
        <v/>
      </c>
      <c r="O285" s="230"/>
    </row>
    <row r="286" spans="2:15" x14ac:dyDescent="0.35">
      <c r="B286" s="229" t="str">
        <f>IF(Lançamentos!$B263="","",Lançamentos!$B263)</f>
        <v/>
      </c>
      <c r="C286" s="231" t="str">
        <f>IF($B286="","",Lançamentos!$J263)</f>
        <v/>
      </c>
      <c r="D286" s="231" t="str">
        <f>IF($B286="","",Lançamentos!$H263)</f>
        <v/>
      </c>
      <c r="E286" s="229" t="str">
        <f>IF($B286="","",IF(COUNTIF(Lançamentos!$B$3:$B$1001,$B286)=0,"Bloqueado",IF(COUNTIF('E1 — Solicitação'!$E268:$L268,"⛔ Bloqueado")&gt;0,"Bloqueado",IF(COUNTIF('E1 — Solicitação'!$E268:$L268,"N/A")=8,"Bloqueado",IF(COUNTIF('E1 — Solicitação'!$E268:$L268,"✔ Concluído")+COUNTIF('E1 — Solicitação'!$E268:$L268,"N/A")=8,"Concluído",IF(COUNTIF('E1 — Solicitação'!$E268:$L268,"✔ Concluído")+COUNTIF('E1 — Solicitação'!$E268:$L268,"🔄 Em andamento")&gt;0,"Em andamento","Não iniciado"))))))</f>
        <v/>
      </c>
      <c r="F286" s="229" t="str">
        <f>IF($B286="","",IF($E286&lt;&gt;"Concluído","Não iniciado",IF(COUNTIF(Lançamentos!$B$3:$B$1001,$B286)=0,"Bloqueado",IF('E2 — Triagem'!$D268="","Bloqueado",IF(COUNTIF('E2 — Triagem'!$E268:$L268,"N/A")=8,"Bloqueado",IF(COUNTIF('E2 — Triagem'!$E268:$L268,"⛔ Bloqueado")&gt;0,"Bloqueado",IF(COUNTIF('E2 — Triagem'!$E268:$L268,"✔ Concluído")+COUNTIF('E2 — Triagem'!$E268:$L268,"N/A")=8,"Concluído",IF(COUNTIF('E2 — Triagem'!$E268:$L268,"✔ Concluído")+COUNTIF('E2 — Triagem'!$E268:$L268,"🔄 Em andamento")&gt;0,"Em andamento","Não iniciado"))))))))</f>
        <v/>
      </c>
      <c r="G286" s="229" t="str">
        <f>IF($B286="","",IF($F286&lt;&gt;"Concluído","Não iniciado",IF(COUNTIF(Lançamentos!$B$3:$B$1001,$B286)=0,"Bloqueado",IF('E3 — Levantamento'!$D268="","Bloqueado",IF(COUNTIF('E3 — Levantamento'!$E268:$I268,"⛔ Bloqueado")&gt;0,"Bloqueado",IF('E3 — Levantamento'!$I268="N/A","Bloqueado",IF(COUNTIF('E3 — Levantamento'!$E268:$I268,"✔ Concluído")=5,"Concluído",IF(COUNTIF('E3 — Levantamento'!$E268:$I268,"✔ Concluído")+COUNTIF('E3 — Levantamento'!$E268:$I268,"🔄 Em andamento")&gt;0,"Em andamento","Não iniciado"))))))))</f>
        <v/>
      </c>
      <c r="H286" s="229" t="str">
        <f>IF($B286="","",IF($G286&lt;&gt;"Concluído","Não iniciado",IF(COUNTIF(Lançamentos!$B$3:$B$1001,$B286)=0,"Bloqueado",IF('E4 — Execução'!$D268="","Bloqueado",IF(COUNTIF('E4 — Execução'!$E268:$K268,"⛔ Bloqueado")&gt;0,"Bloqueado",IF(COUNTIF('E4 — Execução'!$E268:$K268,"✔ Concluído")=7,"Concluído",IF(COUNTIF('E4 — Execução'!$E268:$K268,"✔ Concluído")+COUNTIF('E4 — Execução'!$E268:$K268,"🔄 Em andamento")&gt;0,"Em andamento","Não iniciado")))))))</f>
        <v/>
      </c>
      <c r="I286" s="229" t="str">
        <f>IF($B286="","",IF($H286&lt;&gt;"Concluído","Não iniciado",IF(COUNTIF(Lançamentos!$B$3:$B$1001,$B286)=0,"Bloqueado",IF('E5 — Validação'!$D268="","Bloqueado",IF(COUNTIF('E5 — Validação'!$E268:$I268,"⛔ Bloqueado")&gt;0,"Bloqueado",IF('E5 — Validação'!$I268="N/A","Bloqueado",IF(AND('E5 — Validação'!$E268="✔ Concluído",'E5 — Validação'!$F268="✔ Concluído",OR('E5 — Validação'!$G268="✔ Concluído",'E5 — Validação'!$G268="N/A"),'E5 — Validação'!$H268="✔ Concluído",'E5 — Validação'!$I268="✔ Concluído"),"Concluído",IF(COUNTIF('E5 — Validação'!$E268:$I268,"✔ Concluído")+COUNTIF('E5 — Validação'!$E268:$I268,"🔄 Em andamento")&gt;0,"Em andamento","Não iniciado"))))))))</f>
        <v/>
      </c>
      <c r="J286" s="229" t="str">
        <f>IF($B286="","",IF($I286&lt;&gt;"Concluído","Não iniciado",IF('E6 — Ajustes'!$N268="Não","N/A",IF(COUNTIF(Lançamentos!$B$3:$B$1001,$B286)=0,"Bloqueado",IF('E6 — Ajustes'!$D268="","Bloqueado",IF(COUNTIF('E6 — Ajustes'!$E268:$J268,"⛔ Bloqueado")&gt;0,"Bloqueado",IF(AND('E6 — Ajustes'!$E268="✔ Concluído",'E6 — Ajustes'!$F268="✔ Concluído",'E6 — Ajustes'!$G268="✔ Concluído",'E6 — Ajustes'!$H268="✔ Concluído",OR('E6 — Ajustes'!$I268="✔ Concluído",'E6 — Ajustes'!$I268="N/A"),'E6 — Ajustes'!$J268="✔ Concluído"),"Concluído",IF(COUNTIF('E6 — Ajustes'!$E268:$J268,"✔ Concluído")+COUNTIF('E6 — Ajustes'!$E268:$J268,"🔄 Em andamento")&gt;0,"Em andamento","Não iniciado"))))))))</f>
        <v/>
      </c>
      <c r="K286" s="229" t="str">
        <f>IF($B286="","",IF($I286&lt;&gt;"Concluído","Não iniciado",IF(AND($J286&lt;&gt;"Concluído",$J286&lt;&gt;"N/A"),"Não iniciado",IF(COUNTIF(Lançamentos!$B$3:$B$1001,$B286)=0,"Bloqueado",IF('E7 — Entrega'!$D268="","Bloqueado",IF(COUNTIF('E7 — Entrega'!$E268:$H268,"⛔ Bloqueado")&gt;0,"Bloqueado",IF(COUNTIF('E7 — Entrega'!$E268:$H268,"✔ Concluído")=4,"Concluído",IF(COUNTIF('E7 — Entrega'!$E268:$H268,"✔ Concluído")+COUNTIF('E7 — Entrega'!$E268:$H268,"🔄 Em andamento")&gt;0,"Em andamento","Não iniciado"))))))))</f>
        <v/>
      </c>
      <c r="L286" s="229" t="str">
        <f>IF($B286="","",IF($K286&lt;&gt;"Concluído","Não iniciado",IF(OR(COUNTIF('E08 — Estabilização Hypercare'!$E268:$J268,"⛔ Bloqueado")&gt;0,'E08 — Estabilização Hypercare'!$N268="⛔ Incidente Crítico — Encerramento Bloqueado",AND('E08 — Estabilização Hypercare'!$N268="🆕 Evolução Identificada — Nova Demanda Aberta",'E08 — Estabilização Hypercare'!$U268="")),"Bloqueado",IF(AND('E08 — Estabilização Hypercare'!$E268="✔ Concluído",'E08 — Estabilização Hypercare'!$F268="✔ Concluído",'E08 — Estabilização Hypercare'!$G268="✔ Concluído",OR('E08 — Estabilização Hypercare'!$H268="✔ Concluído",'E08 — Estabilização Hypercare'!$H268="N/A"),'E08 — Estabilização Hypercare'!$I268="✔ Concluído",'E08 — Estabilização Hypercare'!$J268="✔ Concluído",OR('E08 — Estabilização Hypercare'!$N268="✅ Estável — Demanda Encerrada",AND('E08 — Estabilização Hypercare'!$N268="🆕 Evolução Identificada — Nova Demanda Aberta",'E08 — Estabilização Hypercare'!$U268&lt;&gt;""))),"Concluído",IF(OR(COUNTIF('E08 — Estabilização Hypercare'!$E268:$J268,"✔ Concluído")&gt;0,COUNTIF('E08 — Estabilização Hypercare'!$E268:$J268,"🔄 Em andamento")&gt;0,'E08 — Estabilização Hypercare'!$N268&lt;&gt;""),"Em andamento","Não iniciado")))))</f>
        <v/>
      </c>
      <c r="M286" s="232" t="str" cm="1">
        <f t="array" ref="M286">IF(B286="","",_xlfn.IFS(E286&lt;&gt;"Concluído","E1 — Solicitação",F286&lt;&gt;"Concluído","E2 — Triagem",G286&lt;&gt;"Concluído","E3 — Levantamento ⚠",H286&lt;&gt;"Concluído","E4 — Execução",I286&lt;&gt;"Concluído","E5 — Validação ⚠",AND(J286&lt;&gt;"Concluído",J286&lt;&gt;"N/A"),"E6 — Ajustes",K286&lt;&gt;"Concluído","E7 — Entrega",L286&lt;&gt;"Concluído","E08 — Estabilização / Hypercare",TRUE,"✔ Fluxo concluído"))</f>
        <v/>
      </c>
      <c r="N286" s="233" t="str">
        <f t="shared" si="4"/>
        <v/>
      </c>
      <c r="O286" s="230"/>
    </row>
    <row r="287" spans="2:15" x14ac:dyDescent="0.35">
      <c r="B287" s="229" t="str">
        <f>IF(Lançamentos!$B264="","",Lançamentos!$B264)</f>
        <v/>
      </c>
      <c r="C287" s="231" t="str">
        <f>IF($B287="","",Lançamentos!$J264)</f>
        <v/>
      </c>
      <c r="D287" s="231" t="str">
        <f>IF($B287="","",Lançamentos!$H264)</f>
        <v/>
      </c>
      <c r="E287" s="229" t="str">
        <f>IF($B287="","",IF(COUNTIF(Lançamentos!$B$3:$B$1001,$B287)=0,"Bloqueado",IF(COUNTIF('E1 — Solicitação'!$E269:$L269,"⛔ Bloqueado")&gt;0,"Bloqueado",IF(COUNTIF('E1 — Solicitação'!$E269:$L269,"N/A")=8,"Bloqueado",IF(COUNTIF('E1 — Solicitação'!$E269:$L269,"✔ Concluído")+COUNTIF('E1 — Solicitação'!$E269:$L269,"N/A")=8,"Concluído",IF(COUNTIF('E1 — Solicitação'!$E269:$L269,"✔ Concluído")+COUNTIF('E1 — Solicitação'!$E269:$L269,"🔄 Em andamento")&gt;0,"Em andamento","Não iniciado"))))))</f>
        <v/>
      </c>
      <c r="F287" s="229" t="str">
        <f>IF($B287="","",IF($E287&lt;&gt;"Concluído","Não iniciado",IF(COUNTIF(Lançamentos!$B$3:$B$1001,$B287)=0,"Bloqueado",IF('E2 — Triagem'!$D269="","Bloqueado",IF(COUNTIF('E2 — Triagem'!$E269:$L269,"N/A")=8,"Bloqueado",IF(COUNTIF('E2 — Triagem'!$E269:$L269,"⛔ Bloqueado")&gt;0,"Bloqueado",IF(COUNTIF('E2 — Triagem'!$E269:$L269,"✔ Concluído")+COUNTIF('E2 — Triagem'!$E269:$L269,"N/A")=8,"Concluído",IF(COUNTIF('E2 — Triagem'!$E269:$L269,"✔ Concluído")+COUNTIF('E2 — Triagem'!$E269:$L269,"🔄 Em andamento")&gt;0,"Em andamento","Não iniciado"))))))))</f>
        <v/>
      </c>
      <c r="G287" s="229" t="str">
        <f>IF($B287="","",IF($F287&lt;&gt;"Concluído","Não iniciado",IF(COUNTIF(Lançamentos!$B$3:$B$1001,$B287)=0,"Bloqueado",IF('E3 — Levantamento'!$D269="","Bloqueado",IF(COUNTIF('E3 — Levantamento'!$E269:$I269,"⛔ Bloqueado")&gt;0,"Bloqueado",IF('E3 — Levantamento'!$I269="N/A","Bloqueado",IF(COUNTIF('E3 — Levantamento'!$E269:$I269,"✔ Concluído")=5,"Concluído",IF(COUNTIF('E3 — Levantamento'!$E269:$I269,"✔ Concluído")+COUNTIF('E3 — Levantamento'!$E269:$I269,"🔄 Em andamento")&gt;0,"Em andamento","Não iniciado"))))))))</f>
        <v/>
      </c>
      <c r="H287" s="229" t="str">
        <f>IF($B287="","",IF($G287&lt;&gt;"Concluído","Não iniciado",IF(COUNTIF(Lançamentos!$B$3:$B$1001,$B287)=0,"Bloqueado",IF('E4 — Execução'!$D269="","Bloqueado",IF(COUNTIF('E4 — Execução'!$E269:$K269,"⛔ Bloqueado")&gt;0,"Bloqueado",IF(COUNTIF('E4 — Execução'!$E269:$K269,"✔ Concluído")=7,"Concluído",IF(COUNTIF('E4 — Execução'!$E269:$K269,"✔ Concluído")+COUNTIF('E4 — Execução'!$E269:$K269,"🔄 Em andamento")&gt;0,"Em andamento","Não iniciado")))))))</f>
        <v/>
      </c>
      <c r="I287" s="229" t="str">
        <f>IF($B287="","",IF($H287&lt;&gt;"Concluído","Não iniciado",IF(COUNTIF(Lançamentos!$B$3:$B$1001,$B287)=0,"Bloqueado",IF('E5 — Validação'!$D269="","Bloqueado",IF(COUNTIF('E5 — Validação'!$E269:$I269,"⛔ Bloqueado")&gt;0,"Bloqueado",IF('E5 — Validação'!$I269="N/A","Bloqueado",IF(AND('E5 — Validação'!$E269="✔ Concluído",'E5 — Validação'!$F269="✔ Concluído",OR('E5 — Validação'!$G269="✔ Concluído",'E5 — Validação'!$G269="N/A"),'E5 — Validação'!$H269="✔ Concluído",'E5 — Validação'!$I269="✔ Concluído"),"Concluído",IF(COUNTIF('E5 — Validação'!$E269:$I269,"✔ Concluído")+COUNTIF('E5 — Validação'!$E269:$I269,"🔄 Em andamento")&gt;0,"Em andamento","Não iniciado"))))))))</f>
        <v/>
      </c>
      <c r="J287" s="229" t="str">
        <f>IF($B287="","",IF($I287&lt;&gt;"Concluído","Não iniciado",IF('E6 — Ajustes'!$N269="Não","N/A",IF(COUNTIF(Lançamentos!$B$3:$B$1001,$B287)=0,"Bloqueado",IF('E6 — Ajustes'!$D269="","Bloqueado",IF(COUNTIF('E6 — Ajustes'!$E269:$J269,"⛔ Bloqueado")&gt;0,"Bloqueado",IF(AND('E6 — Ajustes'!$E269="✔ Concluído",'E6 — Ajustes'!$F269="✔ Concluído",'E6 — Ajustes'!$G269="✔ Concluído",'E6 — Ajustes'!$H269="✔ Concluído",OR('E6 — Ajustes'!$I269="✔ Concluído",'E6 — Ajustes'!$I269="N/A"),'E6 — Ajustes'!$J269="✔ Concluído"),"Concluído",IF(COUNTIF('E6 — Ajustes'!$E269:$J269,"✔ Concluído")+COUNTIF('E6 — Ajustes'!$E269:$J269,"🔄 Em andamento")&gt;0,"Em andamento","Não iniciado"))))))))</f>
        <v/>
      </c>
      <c r="K287" s="229" t="str">
        <f>IF($B287="","",IF($I287&lt;&gt;"Concluído","Não iniciado",IF(AND($J287&lt;&gt;"Concluído",$J287&lt;&gt;"N/A"),"Não iniciado",IF(COUNTIF(Lançamentos!$B$3:$B$1001,$B287)=0,"Bloqueado",IF('E7 — Entrega'!$D269="","Bloqueado",IF(COUNTIF('E7 — Entrega'!$E269:$H269,"⛔ Bloqueado")&gt;0,"Bloqueado",IF(COUNTIF('E7 — Entrega'!$E269:$H269,"✔ Concluído")=4,"Concluído",IF(COUNTIF('E7 — Entrega'!$E269:$H269,"✔ Concluído")+COUNTIF('E7 — Entrega'!$E269:$H269,"🔄 Em andamento")&gt;0,"Em andamento","Não iniciado"))))))))</f>
        <v/>
      </c>
      <c r="L287" s="229" t="str">
        <f>IF($B287="","",IF($K287&lt;&gt;"Concluído","Não iniciado",IF(OR(COUNTIF('E08 — Estabilização Hypercare'!$E269:$J269,"⛔ Bloqueado")&gt;0,'E08 — Estabilização Hypercare'!$N269="⛔ Incidente Crítico — Encerramento Bloqueado",AND('E08 — Estabilização Hypercare'!$N269="🆕 Evolução Identificada — Nova Demanda Aberta",'E08 — Estabilização Hypercare'!$U269="")),"Bloqueado",IF(AND('E08 — Estabilização Hypercare'!$E269="✔ Concluído",'E08 — Estabilização Hypercare'!$F269="✔ Concluído",'E08 — Estabilização Hypercare'!$G269="✔ Concluído",OR('E08 — Estabilização Hypercare'!$H269="✔ Concluído",'E08 — Estabilização Hypercare'!$H269="N/A"),'E08 — Estabilização Hypercare'!$I269="✔ Concluído",'E08 — Estabilização Hypercare'!$J269="✔ Concluído",OR('E08 — Estabilização Hypercare'!$N269="✅ Estável — Demanda Encerrada",AND('E08 — Estabilização Hypercare'!$N269="🆕 Evolução Identificada — Nova Demanda Aberta",'E08 — Estabilização Hypercare'!$U269&lt;&gt;""))),"Concluído",IF(OR(COUNTIF('E08 — Estabilização Hypercare'!$E269:$J269,"✔ Concluído")&gt;0,COUNTIF('E08 — Estabilização Hypercare'!$E269:$J269,"🔄 Em andamento")&gt;0,'E08 — Estabilização Hypercare'!$N269&lt;&gt;""),"Em andamento","Não iniciado")))))</f>
        <v/>
      </c>
      <c r="M287" s="232" t="str" cm="1">
        <f t="array" ref="M287">IF(B287="","",_xlfn.IFS(E287&lt;&gt;"Concluído","E1 — Solicitação",F287&lt;&gt;"Concluído","E2 — Triagem",G287&lt;&gt;"Concluído","E3 — Levantamento ⚠",H287&lt;&gt;"Concluído","E4 — Execução",I287&lt;&gt;"Concluído","E5 — Validação ⚠",AND(J287&lt;&gt;"Concluído",J287&lt;&gt;"N/A"),"E6 — Ajustes",K287&lt;&gt;"Concluído","E7 — Entrega",L287&lt;&gt;"Concluído","E08 — Estabilização / Hypercare",TRUE,"✔ Fluxo concluído"))</f>
        <v/>
      </c>
      <c r="N287" s="233" t="str">
        <f t="shared" si="4"/>
        <v/>
      </c>
      <c r="O287" s="230"/>
    </row>
    <row r="288" spans="2:15" x14ac:dyDescent="0.35">
      <c r="B288" s="229" t="str">
        <f>IF(Lançamentos!$B265="","",Lançamentos!$B265)</f>
        <v/>
      </c>
      <c r="C288" s="231" t="str">
        <f>IF($B288="","",Lançamentos!$J265)</f>
        <v/>
      </c>
      <c r="D288" s="231" t="str">
        <f>IF($B288="","",Lançamentos!$H265)</f>
        <v/>
      </c>
      <c r="E288" s="229" t="str">
        <f>IF($B288="","",IF(COUNTIF(Lançamentos!$B$3:$B$1001,$B288)=0,"Bloqueado",IF(COUNTIF('E1 — Solicitação'!$E270:$L270,"⛔ Bloqueado")&gt;0,"Bloqueado",IF(COUNTIF('E1 — Solicitação'!$E270:$L270,"N/A")=8,"Bloqueado",IF(COUNTIF('E1 — Solicitação'!$E270:$L270,"✔ Concluído")+COUNTIF('E1 — Solicitação'!$E270:$L270,"N/A")=8,"Concluído",IF(COUNTIF('E1 — Solicitação'!$E270:$L270,"✔ Concluído")+COUNTIF('E1 — Solicitação'!$E270:$L270,"🔄 Em andamento")&gt;0,"Em andamento","Não iniciado"))))))</f>
        <v/>
      </c>
      <c r="F288" s="229" t="str">
        <f>IF($B288="","",IF($E288&lt;&gt;"Concluído","Não iniciado",IF(COUNTIF(Lançamentos!$B$3:$B$1001,$B288)=0,"Bloqueado",IF('E2 — Triagem'!$D270="","Bloqueado",IF(COUNTIF('E2 — Triagem'!$E270:$L270,"N/A")=8,"Bloqueado",IF(COUNTIF('E2 — Triagem'!$E270:$L270,"⛔ Bloqueado")&gt;0,"Bloqueado",IF(COUNTIF('E2 — Triagem'!$E270:$L270,"✔ Concluído")+COUNTIF('E2 — Triagem'!$E270:$L270,"N/A")=8,"Concluído",IF(COUNTIF('E2 — Triagem'!$E270:$L270,"✔ Concluído")+COUNTIF('E2 — Triagem'!$E270:$L270,"🔄 Em andamento")&gt;0,"Em andamento","Não iniciado"))))))))</f>
        <v/>
      </c>
      <c r="G288" s="229" t="str">
        <f>IF($B288="","",IF($F288&lt;&gt;"Concluído","Não iniciado",IF(COUNTIF(Lançamentos!$B$3:$B$1001,$B288)=0,"Bloqueado",IF('E3 — Levantamento'!$D270="","Bloqueado",IF(COUNTIF('E3 — Levantamento'!$E270:$I270,"⛔ Bloqueado")&gt;0,"Bloqueado",IF('E3 — Levantamento'!$I270="N/A","Bloqueado",IF(COUNTIF('E3 — Levantamento'!$E270:$I270,"✔ Concluído")=5,"Concluído",IF(COUNTIF('E3 — Levantamento'!$E270:$I270,"✔ Concluído")+COUNTIF('E3 — Levantamento'!$E270:$I270,"🔄 Em andamento")&gt;0,"Em andamento","Não iniciado"))))))))</f>
        <v/>
      </c>
      <c r="H288" s="229" t="str">
        <f>IF($B288="","",IF($G288&lt;&gt;"Concluído","Não iniciado",IF(COUNTIF(Lançamentos!$B$3:$B$1001,$B288)=0,"Bloqueado",IF('E4 — Execução'!$D270="","Bloqueado",IF(COUNTIF('E4 — Execução'!$E270:$K270,"⛔ Bloqueado")&gt;0,"Bloqueado",IF(COUNTIF('E4 — Execução'!$E270:$K270,"✔ Concluído")=7,"Concluído",IF(COUNTIF('E4 — Execução'!$E270:$K270,"✔ Concluído")+COUNTIF('E4 — Execução'!$E270:$K270,"🔄 Em andamento")&gt;0,"Em andamento","Não iniciado")))))))</f>
        <v/>
      </c>
      <c r="I288" s="229" t="str">
        <f>IF($B288="","",IF($H288&lt;&gt;"Concluído","Não iniciado",IF(COUNTIF(Lançamentos!$B$3:$B$1001,$B288)=0,"Bloqueado",IF('E5 — Validação'!$D270="","Bloqueado",IF(COUNTIF('E5 — Validação'!$E270:$I270,"⛔ Bloqueado")&gt;0,"Bloqueado",IF('E5 — Validação'!$I270="N/A","Bloqueado",IF(AND('E5 — Validação'!$E270="✔ Concluído",'E5 — Validação'!$F270="✔ Concluído",OR('E5 — Validação'!$G270="✔ Concluído",'E5 — Validação'!$G270="N/A"),'E5 — Validação'!$H270="✔ Concluído",'E5 — Validação'!$I270="✔ Concluído"),"Concluído",IF(COUNTIF('E5 — Validação'!$E270:$I270,"✔ Concluído")+COUNTIF('E5 — Validação'!$E270:$I270,"🔄 Em andamento")&gt;0,"Em andamento","Não iniciado"))))))))</f>
        <v/>
      </c>
      <c r="J288" s="229" t="str">
        <f>IF($B288="","",IF($I288&lt;&gt;"Concluído","Não iniciado",IF('E6 — Ajustes'!$N270="Não","N/A",IF(COUNTIF(Lançamentos!$B$3:$B$1001,$B288)=0,"Bloqueado",IF('E6 — Ajustes'!$D270="","Bloqueado",IF(COUNTIF('E6 — Ajustes'!$E270:$J270,"⛔ Bloqueado")&gt;0,"Bloqueado",IF(AND('E6 — Ajustes'!$E270="✔ Concluído",'E6 — Ajustes'!$F270="✔ Concluído",'E6 — Ajustes'!$G270="✔ Concluído",'E6 — Ajustes'!$H270="✔ Concluído",OR('E6 — Ajustes'!$I270="✔ Concluído",'E6 — Ajustes'!$I270="N/A"),'E6 — Ajustes'!$J270="✔ Concluído"),"Concluído",IF(COUNTIF('E6 — Ajustes'!$E270:$J270,"✔ Concluído")+COUNTIF('E6 — Ajustes'!$E270:$J270,"🔄 Em andamento")&gt;0,"Em andamento","Não iniciado"))))))))</f>
        <v/>
      </c>
      <c r="K288" s="229" t="str">
        <f>IF($B288="","",IF($I288&lt;&gt;"Concluído","Não iniciado",IF(AND($J288&lt;&gt;"Concluído",$J288&lt;&gt;"N/A"),"Não iniciado",IF(COUNTIF(Lançamentos!$B$3:$B$1001,$B288)=0,"Bloqueado",IF('E7 — Entrega'!$D270="","Bloqueado",IF(COUNTIF('E7 — Entrega'!$E270:$H270,"⛔ Bloqueado")&gt;0,"Bloqueado",IF(COUNTIF('E7 — Entrega'!$E270:$H270,"✔ Concluído")=4,"Concluído",IF(COUNTIF('E7 — Entrega'!$E270:$H270,"✔ Concluído")+COUNTIF('E7 — Entrega'!$E270:$H270,"🔄 Em andamento")&gt;0,"Em andamento","Não iniciado"))))))))</f>
        <v/>
      </c>
      <c r="L288" s="229" t="str">
        <f>IF($B288="","",IF($K288&lt;&gt;"Concluído","Não iniciado",IF(OR(COUNTIF('E08 — Estabilização Hypercare'!$E270:$J270,"⛔ Bloqueado")&gt;0,'E08 — Estabilização Hypercare'!$N270="⛔ Incidente Crítico — Encerramento Bloqueado",AND('E08 — Estabilização Hypercare'!$N270="🆕 Evolução Identificada — Nova Demanda Aberta",'E08 — Estabilização Hypercare'!$U270="")),"Bloqueado",IF(AND('E08 — Estabilização Hypercare'!$E270="✔ Concluído",'E08 — Estabilização Hypercare'!$F270="✔ Concluído",'E08 — Estabilização Hypercare'!$G270="✔ Concluído",OR('E08 — Estabilização Hypercare'!$H270="✔ Concluído",'E08 — Estabilização Hypercare'!$H270="N/A"),'E08 — Estabilização Hypercare'!$I270="✔ Concluído",'E08 — Estabilização Hypercare'!$J270="✔ Concluído",OR('E08 — Estabilização Hypercare'!$N270="✅ Estável — Demanda Encerrada",AND('E08 — Estabilização Hypercare'!$N270="🆕 Evolução Identificada — Nova Demanda Aberta",'E08 — Estabilização Hypercare'!$U270&lt;&gt;""))),"Concluído",IF(OR(COUNTIF('E08 — Estabilização Hypercare'!$E270:$J270,"✔ Concluído")&gt;0,COUNTIF('E08 — Estabilização Hypercare'!$E270:$J270,"🔄 Em andamento")&gt;0,'E08 — Estabilização Hypercare'!$N270&lt;&gt;""),"Em andamento","Não iniciado")))))</f>
        <v/>
      </c>
      <c r="M288" s="232" t="str" cm="1">
        <f t="array" ref="M288">IF(B288="","",_xlfn.IFS(E288&lt;&gt;"Concluído","E1 — Solicitação",F288&lt;&gt;"Concluído","E2 — Triagem",G288&lt;&gt;"Concluído","E3 — Levantamento ⚠",H288&lt;&gt;"Concluído","E4 — Execução",I288&lt;&gt;"Concluído","E5 — Validação ⚠",AND(J288&lt;&gt;"Concluído",J288&lt;&gt;"N/A"),"E6 — Ajustes",K288&lt;&gt;"Concluído","E7 — Entrega",L288&lt;&gt;"Concluído","E08 — Estabilização / Hypercare",TRUE,"✔ Fluxo concluído"))</f>
        <v/>
      </c>
      <c r="N288" s="233" t="str">
        <f t="shared" si="4"/>
        <v/>
      </c>
      <c r="O288" s="230"/>
    </row>
    <row r="289" spans="2:15" x14ac:dyDescent="0.35">
      <c r="B289" s="229" t="str">
        <f>IF(Lançamentos!$B266="","",Lançamentos!$B266)</f>
        <v/>
      </c>
      <c r="C289" s="231" t="str">
        <f>IF($B289="","",Lançamentos!$J266)</f>
        <v/>
      </c>
      <c r="D289" s="231" t="str">
        <f>IF($B289="","",Lançamentos!$H266)</f>
        <v/>
      </c>
      <c r="E289" s="229" t="str">
        <f>IF($B289="","",IF(COUNTIF(Lançamentos!$B$3:$B$1001,$B289)=0,"Bloqueado",IF(COUNTIF('E1 — Solicitação'!$E271:$L271,"⛔ Bloqueado")&gt;0,"Bloqueado",IF(COUNTIF('E1 — Solicitação'!$E271:$L271,"N/A")=8,"Bloqueado",IF(COUNTIF('E1 — Solicitação'!$E271:$L271,"✔ Concluído")+COUNTIF('E1 — Solicitação'!$E271:$L271,"N/A")=8,"Concluído",IF(COUNTIF('E1 — Solicitação'!$E271:$L271,"✔ Concluído")+COUNTIF('E1 — Solicitação'!$E271:$L271,"🔄 Em andamento")&gt;0,"Em andamento","Não iniciado"))))))</f>
        <v/>
      </c>
      <c r="F289" s="229" t="str">
        <f>IF($B289="","",IF($E289&lt;&gt;"Concluído","Não iniciado",IF(COUNTIF(Lançamentos!$B$3:$B$1001,$B289)=0,"Bloqueado",IF('E2 — Triagem'!$D271="","Bloqueado",IF(COUNTIF('E2 — Triagem'!$E271:$L271,"N/A")=8,"Bloqueado",IF(COUNTIF('E2 — Triagem'!$E271:$L271,"⛔ Bloqueado")&gt;0,"Bloqueado",IF(COUNTIF('E2 — Triagem'!$E271:$L271,"✔ Concluído")+COUNTIF('E2 — Triagem'!$E271:$L271,"N/A")=8,"Concluído",IF(COUNTIF('E2 — Triagem'!$E271:$L271,"✔ Concluído")+COUNTIF('E2 — Triagem'!$E271:$L271,"🔄 Em andamento")&gt;0,"Em andamento","Não iniciado"))))))))</f>
        <v/>
      </c>
      <c r="G289" s="229" t="str">
        <f>IF($B289="","",IF($F289&lt;&gt;"Concluído","Não iniciado",IF(COUNTIF(Lançamentos!$B$3:$B$1001,$B289)=0,"Bloqueado",IF('E3 — Levantamento'!$D271="","Bloqueado",IF(COUNTIF('E3 — Levantamento'!$E271:$I271,"⛔ Bloqueado")&gt;0,"Bloqueado",IF('E3 — Levantamento'!$I271="N/A","Bloqueado",IF(COUNTIF('E3 — Levantamento'!$E271:$I271,"✔ Concluído")=5,"Concluído",IF(COUNTIF('E3 — Levantamento'!$E271:$I271,"✔ Concluído")+COUNTIF('E3 — Levantamento'!$E271:$I271,"🔄 Em andamento")&gt;0,"Em andamento","Não iniciado"))))))))</f>
        <v/>
      </c>
      <c r="H289" s="229" t="str">
        <f>IF($B289="","",IF($G289&lt;&gt;"Concluído","Não iniciado",IF(COUNTIF(Lançamentos!$B$3:$B$1001,$B289)=0,"Bloqueado",IF('E4 — Execução'!$D271="","Bloqueado",IF(COUNTIF('E4 — Execução'!$E271:$K271,"⛔ Bloqueado")&gt;0,"Bloqueado",IF(COUNTIF('E4 — Execução'!$E271:$K271,"✔ Concluído")=7,"Concluído",IF(COUNTIF('E4 — Execução'!$E271:$K271,"✔ Concluído")+COUNTIF('E4 — Execução'!$E271:$K271,"🔄 Em andamento")&gt;0,"Em andamento","Não iniciado")))))))</f>
        <v/>
      </c>
      <c r="I289" s="229" t="str">
        <f>IF($B289="","",IF($H289&lt;&gt;"Concluído","Não iniciado",IF(COUNTIF(Lançamentos!$B$3:$B$1001,$B289)=0,"Bloqueado",IF('E5 — Validação'!$D271="","Bloqueado",IF(COUNTIF('E5 — Validação'!$E271:$I271,"⛔ Bloqueado")&gt;0,"Bloqueado",IF('E5 — Validação'!$I271="N/A","Bloqueado",IF(AND('E5 — Validação'!$E271="✔ Concluído",'E5 — Validação'!$F271="✔ Concluído",OR('E5 — Validação'!$G271="✔ Concluído",'E5 — Validação'!$G271="N/A"),'E5 — Validação'!$H271="✔ Concluído",'E5 — Validação'!$I271="✔ Concluído"),"Concluído",IF(COUNTIF('E5 — Validação'!$E271:$I271,"✔ Concluído")+COUNTIF('E5 — Validação'!$E271:$I271,"🔄 Em andamento")&gt;0,"Em andamento","Não iniciado"))))))))</f>
        <v/>
      </c>
      <c r="J289" s="229" t="str">
        <f>IF($B289="","",IF($I289&lt;&gt;"Concluído","Não iniciado",IF('E6 — Ajustes'!$N271="Não","N/A",IF(COUNTIF(Lançamentos!$B$3:$B$1001,$B289)=0,"Bloqueado",IF('E6 — Ajustes'!$D271="","Bloqueado",IF(COUNTIF('E6 — Ajustes'!$E271:$J271,"⛔ Bloqueado")&gt;0,"Bloqueado",IF(AND('E6 — Ajustes'!$E271="✔ Concluído",'E6 — Ajustes'!$F271="✔ Concluído",'E6 — Ajustes'!$G271="✔ Concluído",'E6 — Ajustes'!$H271="✔ Concluído",OR('E6 — Ajustes'!$I271="✔ Concluído",'E6 — Ajustes'!$I271="N/A"),'E6 — Ajustes'!$J271="✔ Concluído"),"Concluído",IF(COUNTIF('E6 — Ajustes'!$E271:$J271,"✔ Concluído")+COUNTIF('E6 — Ajustes'!$E271:$J271,"🔄 Em andamento")&gt;0,"Em andamento","Não iniciado"))))))))</f>
        <v/>
      </c>
      <c r="K289" s="229" t="str">
        <f>IF($B289="","",IF($I289&lt;&gt;"Concluído","Não iniciado",IF(AND($J289&lt;&gt;"Concluído",$J289&lt;&gt;"N/A"),"Não iniciado",IF(COUNTIF(Lançamentos!$B$3:$B$1001,$B289)=0,"Bloqueado",IF('E7 — Entrega'!$D271="","Bloqueado",IF(COUNTIF('E7 — Entrega'!$E271:$H271,"⛔ Bloqueado")&gt;0,"Bloqueado",IF(COUNTIF('E7 — Entrega'!$E271:$H271,"✔ Concluído")=4,"Concluído",IF(COUNTIF('E7 — Entrega'!$E271:$H271,"✔ Concluído")+COUNTIF('E7 — Entrega'!$E271:$H271,"🔄 Em andamento")&gt;0,"Em andamento","Não iniciado"))))))))</f>
        <v/>
      </c>
      <c r="L289" s="229" t="str">
        <f>IF($B289="","",IF($K289&lt;&gt;"Concluído","Não iniciado",IF(OR(COUNTIF('E08 — Estabilização Hypercare'!$E271:$J271,"⛔ Bloqueado")&gt;0,'E08 — Estabilização Hypercare'!$N271="⛔ Incidente Crítico — Encerramento Bloqueado",AND('E08 — Estabilização Hypercare'!$N271="🆕 Evolução Identificada — Nova Demanda Aberta",'E08 — Estabilização Hypercare'!$U271="")),"Bloqueado",IF(AND('E08 — Estabilização Hypercare'!$E271="✔ Concluído",'E08 — Estabilização Hypercare'!$F271="✔ Concluído",'E08 — Estabilização Hypercare'!$G271="✔ Concluído",OR('E08 — Estabilização Hypercare'!$H271="✔ Concluído",'E08 — Estabilização Hypercare'!$H271="N/A"),'E08 — Estabilização Hypercare'!$I271="✔ Concluído",'E08 — Estabilização Hypercare'!$J271="✔ Concluído",OR('E08 — Estabilização Hypercare'!$N271="✅ Estável — Demanda Encerrada",AND('E08 — Estabilização Hypercare'!$N271="🆕 Evolução Identificada — Nova Demanda Aberta",'E08 — Estabilização Hypercare'!$U271&lt;&gt;""))),"Concluído",IF(OR(COUNTIF('E08 — Estabilização Hypercare'!$E271:$J271,"✔ Concluído")&gt;0,COUNTIF('E08 — Estabilização Hypercare'!$E271:$J271,"🔄 Em andamento")&gt;0,'E08 — Estabilização Hypercare'!$N271&lt;&gt;""),"Em andamento","Não iniciado")))))</f>
        <v/>
      </c>
      <c r="M289" s="232" t="str" cm="1">
        <f t="array" ref="M289">IF(B289="","",_xlfn.IFS(E289&lt;&gt;"Concluído","E1 — Solicitação",F289&lt;&gt;"Concluído","E2 — Triagem",G289&lt;&gt;"Concluído","E3 — Levantamento ⚠",H289&lt;&gt;"Concluído","E4 — Execução",I289&lt;&gt;"Concluído","E5 — Validação ⚠",AND(J289&lt;&gt;"Concluído",J289&lt;&gt;"N/A"),"E6 — Ajustes",K289&lt;&gt;"Concluído","E7 — Entrega",L289&lt;&gt;"Concluído","E08 — Estabilização / Hypercare",TRUE,"✔ Fluxo concluído"))</f>
        <v/>
      </c>
      <c r="N289" s="233" t="str">
        <f t="shared" si="4"/>
        <v/>
      </c>
      <c r="O289" s="230"/>
    </row>
    <row r="290" spans="2:15" x14ac:dyDescent="0.35">
      <c r="B290" s="229" t="str">
        <f>IF(Lançamentos!$B267="","",Lançamentos!$B267)</f>
        <v/>
      </c>
      <c r="C290" s="231" t="str">
        <f>IF($B290="","",Lançamentos!$J267)</f>
        <v/>
      </c>
      <c r="D290" s="231" t="str">
        <f>IF($B290="","",Lançamentos!$H267)</f>
        <v/>
      </c>
      <c r="E290" s="229" t="str">
        <f>IF($B290="","",IF(COUNTIF(Lançamentos!$B$3:$B$1001,$B290)=0,"Bloqueado",IF(COUNTIF('E1 — Solicitação'!$E272:$L272,"⛔ Bloqueado")&gt;0,"Bloqueado",IF(COUNTIF('E1 — Solicitação'!$E272:$L272,"N/A")=8,"Bloqueado",IF(COUNTIF('E1 — Solicitação'!$E272:$L272,"✔ Concluído")+COUNTIF('E1 — Solicitação'!$E272:$L272,"N/A")=8,"Concluído",IF(COUNTIF('E1 — Solicitação'!$E272:$L272,"✔ Concluído")+COUNTIF('E1 — Solicitação'!$E272:$L272,"🔄 Em andamento")&gt;0,"Em andamento","Não iniciado"))))))</f>
        <v/>
      </c>
      <c r="F290" s="229" t="str">
        <f>IF($B290="","",IF($E290&lt;&gt;"Concluído","Não iniciado",IF(COUNTIF(Lançamentos!$B$3:$B$1001,$B290)=0,"Bloqueado",IF('E2 — Triagem'!$D272="","Bloqueado",IF(COUNTIF('E2 — Triagem'!$E272:$L272,"N/A")=8,"Bloqueado",IF(COUNTIF('E2 — Triagem'!$E272:$L272,"⛔ Bloqueado")&gt;0,"Bloqueado",IF(COUNTIF('E2 — Triagem'!$E272:$L272,"✔ Concluído")+COUNTIF('E2 — Triagem'!$E272:$L272,"N/A")=8,"Concluído",IF(COUNTIF('E2 — Triagem'!$E272:$L272,"✔ Concluído")+COUNTIF('E2 — Triagem'!$E272:$L272,"🔄 Em andamento")&gt;0,"Em andamento","Não iniciado"))))))))</f>
        <v/>
      </c>
      <c r="G290" s="229" t="str">
        <f>IF($B290="","",IF($F290&lt;&gt;"Concluído","Não iniciado",IF(COUNTIF(Lançamentos!$B$3:$B$1001,$B290)=0,"Bloqueado",IF('E3 — Levantamento'!$D272="","Bloqueado",IF(COUNTIF('E3 — Levantamento'!$E272:$I272,"⛔ Bloqueado")&gt;0,"Bloqueado",IF('E3 — Levantamento'!$I272="N/A","Bloqueado",IF(COUNTIF('E3 — Levantamento'!$E272:$I272,"✔ Concluído")=5,"Concluído",IF(COUNTIF('E3 — Levantamento'!$E272:$I272,"✔ Concluído")+COUNTIF('E3 — Levantamento'!$E272:$I272,"🔄 Em andamento")&gt;0,"Em andamento","Não iniciado"))))))))</f>
        <v/>
      </c>
      <c r="H290" s="229" t="str">
        <f>IF($B290="","",IF($G290&lt;&gt;"Concluído","Não iniciado",IF(COUNTIF(Lançamentos!$B$3:$B$1001,$B290)=0,"Bloqueado",IF('E4 — Execução'!$D272="","Bloqueado",IF(COUNTIF('E4 — Execução'!$E272:$K272,"⛔ Bloqueado")&gt;0,"Bloqueado",IF(COUNTIF('E4 — Execução'!$E272:$K272,"✔ Concluído")=7,"Concluído",IF(COUNTIF('E4 — Execução'!$E272:$K272,"✔ Concluído")+COUNTIF('E4 — Execução'!$E272:$K272,"🔄 Em andamento")&gt;0,"Em andamento","Não iniciado")))))))</f>
        <v/>
      </c>
      <c r="I290" s="229" t="str">
        <f>IF($B290="","",IF($H290&lt;&gt;"Concluído","Não iniciado",IF(COUNTIF(Lançamentos!$B$3:$B$1001,$B290)=0,"Bloqueado",IF('E5 — Validação'!$D272="","Bloqueado",IF(COUNTIF('E5 — Validação'!$E272:$I272,"⛔ Bloqueado")&gt;0,"Bloqueado",IF('E5 — Validação'!$I272="N/A","Bloqueado",IF(AND('E5 — Validação'!$E272="✔ Concluído",'E5 — Validação'!$F272="✔ Concluído",OR('E5 — Validação'!$G272="✔ Concluído",'E5 — Validação'!$G272="N/A"),'E5 — Validação'!$H272="✔ Concluído",'E5 — Validação'!$I272="✔ Concluído"),"Concluído",IF(COUNTIF('E5 — Validação'!$E272:$I272,"✔ Concluído")+COUNTIF('E5 — Validação'!$E272:$I272,"🔄 Em andamento")&gt;0,"Em andamento","Não iniciado"))))))))</f>
        <v/>
      </c>
      <c r="J290" s="229" t="str">
        <f>IF($B290="","",IF($I290&lt;&gt;"Concluído","Não iniciado",IF('E6 — Ajustes'!$N272="Não","N/A",IF(COUNTIF(Lançamentos!$B$3:$B$1001,$B290)=0,"Bloqueado",IF('E6 — Ajustes'!$D272="","Bloqueado",IF(COUNTIF('E6 — Ajustes'!$E272:$J272,"⛔ Bloqueado")&gt;0,"Bloqueado",IF(AND('E6 — Ajustes'!$E272="✔ Concluído",'E6 — Ajustes'!$F272="✔ Concluído",'E6 — Ajustes'!$G272="✔ Concluído",'E6 — Ajustes'!$H272="✔ Concluído",OR('E6 — Ajustes'!$I272="✔ Concluído",'E6 — Ajustes'!$I272="N/A"),'E6 — Ajustes'!$J272="✔ Concluído"),"Concluído",IF(COUNTIF('E6 — Ajustes'!$E272:$J272,"✔ Concluído")+COUNTIF('E6 — Ajustes'!$E272:$J272,"🔄 Em andamento")&gt;0,"Em andamento","Não iniciado"))))))))</f>
        <v/>
      </c>
      <c r="K290" s="229" t="str">
        <f>IF($B290="","",IF($I290&lt;&gt;"Concluído","Não iniciado",IF(AND($J290&lt;&gt;"Concluído",$J290&lt;&gt;"N/A"),"Não iniciado",IF(COUNTIF(Lançamentos!$B$3:$B$1001,$B290)=0,"Bloqueado",IF('E7 — Entrega'!$D272="","Bloqueado",IF(COUNTIF('E7 — Entrega'!$E272:$H272,"⛔ Bloqueado")&gt;0,"Bloqueado",IF(COUNTIF('E7 — Entrega'!$E272:$H272,"✔ Concluído")=4,"Concluído",IF(COUNTIF('E7 — Entrega'!$E272:$H272,"✔ Concluído")+COUNTIF('E7 — Entrega'!$E272:$H272,"🔄 Em andamento")&gt;0,"Em andamento","Não iniciado"))))))))</f>
        <v/>
      </c>
      <c r="L290" s="229" t="str">
        <f>IF($B290="","",IF($K290&lt;&gt;"Concluído","Não iniciado",IF(OR(COUNTIF('E08 — Estabilização Hypercare'!$E272:$J272,"⛔ Bloqueado")&gt;0,'E08 — Estabilização Hypercare'!$N272="⛔ Incidente Crítico — Encerramento Bloqueado",AND('E08 — Estabilização Hypercare'!$N272="🆕 Evolução Identificada — Nova Demanda Aberta",'E08 — Estabilização Hypercare'!$U272="")),"Bloqueado",IF(AND('E08 — Estabilização Hypercare'!$E272="✔ Concluído",'E08 — Estabilização Hypercare'!$F272="✔ Concluído",'E08 — Estabilização Hypercare'!$G272="✔ Concluído",OR('E08 — Estabilização Hypercare'!$H272="✔ Concluído",'E08 — Estabilização Hypercare'!$H272="N/A"),'E08 — Estabilização Hypercare'!$I272="✔ Concluído",'E08 — Estabilização Hypercare'!$J272="✔ Concluído",OR('E08 — Estabilização Hypercare'!$N272="✅ Estável — Demanda Encerrada",AND('E08 — Estabilização Hypercare'!$N272="🆕 Evolução Identificada — Nova Demanda Aberta",'E08 — Estabilização Hypercare'!$U272&lt;&gt;""))),"Concluído",IF(OR(COUNTIF('E08 — Estabilização Hypercare'!$E272:$J272,"✔ Concluído")&gt;0,COUNTIF('E08 — Estabilização Hypercare'!$E272:$J272,"🔄 Em andamento")&gt;0,'E08 — Estabilização Hypercare'!$N272&lt;&gt;""),"Em andamento","Não iniciado")))))</f>
        <v/>
      </c>
      <c r="M290" s="232" t="str" cm="1">
        <f t="array" ref="M290">IF(B290="","",_xlfn.IFS(E290&lt;&gt;"Concluído","E1 — Solicitação",F290&lt;&gt;"Concluído","E2 — Triagem",G290&lt;&gt;"Concluído","E3 — Levantamento ⚠",H290&lt;&gt;"Concluído","E4 — Execução",I290&lt;&gt;"Concluído","E5 — Validação ⚠",AND(J290&lt;&gt;"Concluído",J290&lt;&gt;"N/A"),"E6 — Ajustes",K290&lt;&gt;"Concluído","E7 — Entrega",L290&lt;&gt;"Concluído","E08 — Estabilização / Hypercare",TRUE,"✔ Fluxo concluído"))</f>
        <v/>
      </c>
      <c r="N290" s="233" t="str">
        <f t="shared" ref="N290:N353" si="5">IF(B290="","",(COUNTIF(E290:L290,"Concluído")+COUNTIF(E290:L290,"N/A"))/8)</f>
        <v/>
      </c>
      <c r="O290" s="230"/>
    </row>
    <row r="291" spans="2:15" x14ac:dyDescent="0.35">
      <c r="B291" s="229" t="str">
        <f>IF(Lançamentos!$B268="","",Lançamentos!$B268)</f>
        <v/>
      </c>
      <c r="C291" s="231" t="str">
        <f>IF($B291="","",Lançamentos!$J268)</f>
        <v/>
      </c>
      <c r="D291" s="231" t="str">
        <f>IF($B291="","",Lançamentos!$H268)</f>
        <v/>
      </c>
      <c r="E291" s="229" t="str">
        <f>IF($B291="","",IF(COUNTIF(Lançamentos!$B$3:$B$1001,$B291)=0,"Bloqueado",IF(COUNTIF('E1 — Solicitação'!$E273:$L273,"⛔ Bloqueado")&gt;0,"Bloqueado",IF(COUNTIF('E1 — Solicitação'!$E273:$L273,"N/A")=8,"Bloqueado",IF(COUNTIF('E1 — Solicitação'!$E273:$L273,"✔ Concluído")+COUNTIF('E1 — Solicitação'!$E273:$L273,"N/A")=8,"Concluído",IF(COUNTIF('E1 — Solicitação'!$E273:$L273,"✔ Concluído")+COUNTIF('E1 — Solicitação'!$E273:$L273,"🔄 Em andamento")&gt;0,"Em andamento","Não iniciado"))))))</f>
        <v/>
      </c>
      <c r="F291" s="229" t="str">
        <f>IF($B291="","",IF($E291&lt;&gt;"Concluído","Não iniciado",IF(COUNTIF(Lançamentos!$B$3:$B$1001,$B291)=0,"Bloqueado",IF('E2 — Triagem'!$D273="","Bloqueado",IF(COUNTIF('E2 — Triagem'!$E273:$L273,"N/A")=8,"Bloqueado",IF(COUNTIF('E2 — Triagem'!$E273:$L273,"⛔ Bloqueado")&gt;0,"Bloqueado",IF(COUNTIF('E2 — Triagem'!$E273:$L273,"✔ Concluído")+COUNTIF('E2 — Triagem'!$E273:$L273,"N/A")=8,"Concluído",IF(COUNTIF('E2 — Triagem'!$E273:$L273,"✔ Concluído")+COUNTIF('E2 — Triagem'!$E273:$L273,"🔄 Em andamento")&gt;0,"Em andamento","Não iniciado"))))))))</f>
        <v/>
      </c>
      <c r="G291" s="229" t="str">
        <f>IF($B291="","",IF($F291&lt;&gt;"Concluído","Não iniciado",IF(COUNTIF(Lançamentos!$B$3:$B$1001,$B291)=0,"Bloqueado",IF('E3 — Levantamento'!$D273="","Bloqueado",IF(COUNTIF('E3 — Levantamento'!$E273:$I273,"⛔ Bloqueado")&gt;0,"Bloqueado",IF('E3 — Levantamento'!$I273="N/A","Bloqueado",IF(COUNTIF('E3 — Levantamento'!$E273:$I273,"✔ Concluído")=5,"Concluído",IF(COUNTIF('E3 — Levantamento'!$E273:$I273,"✔ Concluído")+COUNTIF('E3 — Levantamento'!$E273:$I273,"🔄 Em andamento")&gt;0,"Em andamento","Não iniciado"))))))))</f>
        <v/>
      </c>
      <c r="H291" s="229" t="str">
        <f>IF($B291="","",IF($G291&lt;&gt;"Concluído","Não iniciado",IF(COUNTIF(Lançamentos!$B$3:$B$1001,$B291)=0,"Bloqueado",IF('E4 — Execução'!$D273="","Bloqueado",IF(COUNTIF('E4 — Execução'!$E273:$K273,"⛔ Bloqueado")&gt;0,"Bloqueado",IF(COUNTIF('E4 — Execução'!$E273:$K273,"✔ Concluído")=7,"Concluído",IF(COUNTIF('E4 — Execução'!$E273:$K273,"✔ Concluído")+COUNTIF('E4 — Execução'!$E273:$K273,"🔄 Em andamento")&gt;0,"Em andamento","Não iniciado")))))))</f>
        <v/>
      </c>
      <c r="I291" s="229" t="str">
        <f>IF($B291="","",IF($H291&lt;&gt;"Concluído","Não iniciado",IF(COUNTIF(Lançamentos!$B$3:$B$1001,$B291)=0,"Bloqueado",IF('E5 — Validação'!$D273="","Bloqueado",IF(COUNTIF('E5 — Validação'!$E273:$I273,"⛔ Bloqueado")&gt;0,"Bloqueado",IF('E5 — Validação'!$I273="N/A","Bloqueado",IF(AND('E5 — Validação'!$E273="✔ Concluído",'E5 — Validação'!$F273="✔ Concluído",OR('E5 — Validação'!$G273="✔ Concluído",'E5 — Validação'!$G273="N/A"),'E5 — Validação'!$H273="✔ Concluído",'E5 — Validação'!$I273="✔ Concluído"),"Concluído",IF(COUNTIF('E5 — Validação'!$E273:$I273,"✔ Concluído")+COUNTIF('E5 — Validação'!$E273:$I273,"🔄 Em andamento")&gt;0,"Em andamento","Não iniciado"))))))))</f>
        <v/>
      </c>
      <c r="J291" s="229" t="str">
        <f>IF($B291="","",IF($I291&lt;&gt;"Concluído","Não iniciado",IF('E6 — Ajustes'!$N273="Não","N/A",IF(COUNTIF(Lançamentos!$B$3:$B$1001,$B291)=0,"Bloqueado",IF('E6 — Ajustes'!$D273="","Bloqueado",IF(COUNTIF('E6 — Ajustes'!$E273:$J273,"⛔ Bloqueado")&gt;0,"Bloqueado",IF(AND('E6 — Ajustes'!$E273="✔ Concluído",'E6 — Ajustes'!$F273="✔ Concluído",'E6 — Ajustes'!$G273="✔ Concluído",'E6 — Ajustes'!$H273="✔ Concluído",OR('E6 — Ajustes'!$I273="✔ Concluído",'E6 — Ajustes'!$I273="N/A"),'E6 — Ajustes'!$J273="✔ Concluído"),"Concluído",IF(COUNTIF('E6 — Ajustes'!$E273:$J273,"✔ Concluído")+COUNTIF('E6 — Ajustes'!$E273:$J273,"🔄 Em andamento")&gt;0,"Em andamento","Não iniciado"))))))))</f>
        <v/>
      </c>
      <c r="K291" s="229" t="str">
        <f>IF($B291="","",IF($I291&lt;&gt;"Concluído","Não iniciado",IF(AND($J291&lt;&gt;"Concluído",$J291&lt;&gt;"N/A"),"Não iniciado",IF(COUNTIF(Lançamentos!$B$3:$B$1001,$B291)=0,"Bloqueado",IF('E7 — Entrega'!$D273="","Bloqueado",IF(COUNTIF('E7 — Entrega'!$E273:$H273,"⛔ Bloqueado")&gt;0,"Bloqueado",IF(COUNTIF('E7 — Entrega'!$E273:$H273,"✔ Concluído")=4,"Concluído",IF(COUNTIF('E7 — Entrega'!$E273:$H273,"✔ Concluído")+COUNTIF('E7 — Entrega'!$E273:$H273,"🔄 Em andamento")&gt;0,"Em andamento","Não iniciado"))))))))</f>
        <v/>
      </c>
      <c r="L291" s="229" t="str">
        <f>IF($B291="","",IF($K291&lt;&gt;"Concluído","Não iniciado",IF(OR(COUNTIF('E08 — Estabilização Hypercare'!$E273:$J273,"⛔ Bloqueado")&gt;0,'E08 — Estabilização Hypercare'!$N273="⛔ Incidente Crítico — Encerramento Bloqueado",AND('E08 — Estabilização Hypercare'!$N273="🆕 Evolução Identificada — Nova Demanda Aberta",'E08 — Estabilização Hypercare'!$U273="")),"Bloqueado",IF(AND('E08 — Estabilização Hypercare'!$E273="✔ Concluído",'E08 — Estabilização Hypercare'!$F273="✔ Concluído",'E08 — Estabilização Hypercare'!$G273="✔ Concluído",OR('E08 — Estabilização Hypercare'!$H273="✔ Concluído",'E08 — Estabilização Hypercare'!$H273="N/A"),'E08 — Estabilização Hypercare'!$I273="✔ Concluído",'E08 — Estabilização Hypercare'!$J273="✔ Concluído",OR('E08 — Estabilização Hypercare'!$N273="✅ Estável — Demanda Encerrada",AND('E08 — Estabilização Hypercare'!$N273="🆕 Evolução Identificada — Nova Demanda Aberta",'E08 — Estabilização Hypercare'!$U273&lt;&gt;""))),"Concluído",IF(OR(COUNTIF('E08 — Estabilização Hypercare'!$E273:$J273,"✔ Concluído")&gt;0,COUNTIF('E08 — Estabilização Hypercare'!$E273:$J273,"🔄 Em andamento")&gt;0,'E08 — Estabilização Hypercare'!$N273&lt;&gt;""),"Em andamento","Não iniciado")))))</f>
        <v/>
      </c>
      <c r="M291" s="232" t="str" cm="1">
        <f t="array" ref="M291">IF(B291="","",_xlfn.IFS(E291&lt;&gt;"Concluído","E1 — Solicitação",F291&lt;&gt;"Concluído","E2 — Triagem",G291&lt;&gt;"Concluído","E3 — Levantamento ⚠",H291&lt;&gt;"Concluído","E4 — Execução",I291&lt;&gt;"Concluído","E5 — Validação ⚠",AND(J291&lt;&gt;"Concluído",J291&lt;&gt;"N/A"),"E6 — Ajustes",K291&lt;&gt;"Concluído","E7 — Entrega",L291&lt;&gt;"Concluído","E08 — Estabilização / Hypercare",TRUE,"✔ Fluxo concluído"))</f>
        <v/>
      </c>
      <c r="N291" s="233" t="str">
        <f t="shared" si="5"/>
        <v/>
      </c>
      <c r="O291" s="230"/>
    </row>
    <row r="292" spans="2:15" x14ac:dyDescent="0.35">
      <c r="B292" s="229" t="str">
        <f>IF(Lançamentos!$B269="","",Lançamentos!$B269)</f>
        <v/>
      </c>
      <c r="C292" s="231" t="str">
        <f>IF($B292="","",Lançamentos!$J269)</f>
        <v/>
      </c>
      <c r="D292" s="231" t="str">
        <f>IF($B292="","",Lançamentos!$H269)</f>
        <v/>
      </c>
      <c r="E292" s="229" t="str">
        <f>IF($B292="","",IF(COUNTIF(Lançamentos!$B$3:$B$1001,$B292)=0,"Bloqueado",IF(COUNTIF('E1 — Solicitação'!$E274:$L274,"⛔ Bloqueado")&gt;0,"Bloqueado",IF(COUNTIF('E1 — Solicitação'!$E274:$L274,"N/A")=8,"Bloqueado",IF(COUNTIF('E1 — Solicitação'!$E274:$L274,"✔ Concluído")+COUNTIF('E1 — Solicitação'!$E274:$L274,"N/A")=8,"Concluído",IF(COUNTIF('E1 — Solicitação'!$E274:$L274,"✔ Concluído")+COUNTIF('E1 — Solicitação'!$E274:$L274,"🔄 Em andamento")&gt;0,"Em andamento","Não iniciado"))))))</f>
        <v/>
      </c>
      <c r="F292" s="229" t="str">
        <f>IF($B292="","",IF($E292&lt;&gt;"Concluído","Não iniciado",IF(COUNTIF(Lançamentos!$B$3:$B$1001,$B292)=0,"Bloqueado",IF('E2 — Triagem'!$D274="","Bloqueado",IF(COUNTIF('E2 — Triagem'!$E274:$L274,"N/A")=8,"Bloqueado",IF(COUNTIF('E2 — Triagem'!$E274:$L274,"⛔ Bloqueado")&gt;0,"Bloqueado",IF(COUNTIF('E2 — Triagem'!$E274:$L274,"✔ Concluído")+COUNTIF('E2 — Triagem'!$E274:$L274,"N/A")=8,"Concluído",IF(COUNTIF('E2 — Triagem'!$E274:$L274,"✔ Concluído")+COUNTIF('E2 — Triagem'!$E274:$L274,"🔄 Em andamento")&gt;0,"Em andamento","Não iniciado"))))))))</f>
        <v/>
      </c>
      <c r="G292" s="229" t="str">
        <f>IF($B292="","",IF($F292&lt;&gt;"Concluído","Não iniciado",IF(COUNTIF(Lançamentos!$B$3:$B$1001,$B292)=0,"Bloqueado",IF('E3 — Levantamento'!$D274="","Bloqueado",IF(COUNTIF('E3 — Levantamento'!$E274:$I274,"⛔ Bloqueado")&gt;0,"Bloqueado",IF('E3 — Levantamento'!$I274="N/A","Bloqueado",IF(COUNTIF('E3 — Levantamento'!$E274:$I274,"✔ Concluído")=5,"Concluído",IF(COUNTIF('E3 — Levantamento'!$E274:$I274,"✔ Concluído")+COUNTIF('E3 — Levantamento'!$E274:$I274,"🔄 Em andamento")&gt;0,"Em andamento","Não iniciado"))))))))</f>
        <v/>
      </c>
      <c r="H292" s="229" t="str">
        <f>IF($B292="","",IF($G292&lt;&gt;"Concluído","Não iniciado",IF(COUNTIF(Lançamentos!$B$3:$B$1001,$B292)=0,"Bloqueado",IF('E4 — Execução'!$D274="","Bloqueado",IF(COUNTIF('E4 — Execução'!$E274:$K274,"⛔ Bloqueado")&gt;0,"Bloqueado",IF(COUNTIF('E4 — Execução'!$E274:$K274,"✔ Concluído")=7,"Concluído",IF(COUNTIF('E4 — Execução'!$E274:$K274,"✔ Concluído")+COUNTIF('E4 — Execução'!$E274:$K274,"🔄 Em andamento")&gt;0,"Em andamento","Não iniciado")))))))</f>
        <v/>
      </c>
      <c r="I292" s="229" t="str">
        <f>IF($B292="","",IF($H292&lt;&gt;"Concluído","Não iniciado",IF(COUNTIF(Lançamentos!$B$3:$B$1001,$B292)=0,"Bloqueado",IF('E5 — Validação'!$D274="","Bloqueado",IF(COUNTIF('E5 — Validação'!$E274:$I274,"⛔ Bloqueado")&gt;0,"Bloqueado",IF('E5 — Validação'!$I274="N/A","Bloqueado",IF(AND('E5 — Validação'!$E274="✔ Concluído",'E5 — Validação'!$F274="✔ Concluído",OR('E5 — Validação'!$G274="✔ Concluído",'E5 — Validação'!$G274="N/A"),'E5 — Validação'!$H274="✔ Concluído",'E5 — Validação'!$I274="✔ Concluído"),"Concluído",IF(COUNTIF('E5 — Validação'!$E274:$I274,"✔ Concluído")+COUNTIF('E5 — Validação'!$E274:$I274,"🔄 Em andamento")&gt;0,"Em andamento","Não iniciado"))))))))</f>
        <v/>
      </c>
      <c r="J292" s="229" t="str">
        <f>IF($B292="","",IF($I292&lt;&gt;"Concluído","Não iniciado",IF('E6 — Ajustes'!$N274="Não","N/A",IF(COUNTIF(Lançamentos!$B$3:$B$1001,$B292)=0,"Bloqueado",IF('E6 — Ajustes'!$D274="","Bloqueado",IF(COUNTIF('E6 — Ajustes'!$E274:$J274,"⛔ Bloqueado")&gt;0,"Bloqueado",IF(AND('E6 — Ajustes'!$E274="✔ Concluído",'E6 — Ajustes'!$F274="✔ Concluído",'E6 — Ajustes'!$G274="✔ Concluído",'E6 — Ajustes'!$H274="✔ Concluído",OR('E6 — Ajustes'!$I274="✔ Concluído",'E6 — Ajustes'!$I274="N/A"),'E6 — Ajustes'!$J274="✔ Concluído"),"Concluído",IF(COUNTIF('E6 — Ajustes'!$E274:$J274,"✔ Concluído")+COUNTIF('E6 — Ajustes'!$E274:$J274,"🔄 Em andamento")&gt;0,"Em andamento","Não iniciado"))))))))</f>
        <v/>
      </c>
      <c r="K292" s="229" t="str">
        <f>IF($B292="","",IF($I292&lt;&gt;"Concluído","Não iniciado",IF(AND($J292&lt;&gt;"Concluído",$J292&lt;&gt;"N/A"),"Não iniciado",IF(COUNTIF(Lançamentos!$B$3:$B$1001,$B292)=0,"Bloqueado",IF('E7 — Entrega'!$D274="","Bloqueado",IF(COUNTIF('E7 — Entrega'!$E274:$H274,"⛔ Bloqueado")&gt;0,"Bloqueado",IF(COUNTIF('E7 — Entrega'!$E274:$H274,"✔ Concluído")=4,"Concluído",IF(COUNTIF('E7 — Entrega'!$E274:$H274,"✔ Concluído")+COUNTIF('E7 — Entrega'!$E274:$H274,"🔄 Em andamento")&gt;0,"Em andamento","Não iniciado"))))))))</f>
        <v/>
      </c>
      <c r="L292" s="229" t="str">
        <f>IF($B292="","",IF($K292&lt;&gt;"Concluído","Não iniciado",IF(OR(COUNTIF('E08 — Estabilização Hypercare'!$E274:$J274,"⛔ Bloqueado")&gt;0,'E08 — Estabilização Hypercare'!$N274="⛔ Incidente Crítico — Encerramento Bloqueado",AND('E08 — Estabilização Hypercare'!$N274="🆕 Evolução Identificada — Nova Demanda Aberta",'E08 — Estabilização Hypercare'!$U274="")),"Bloqueado",IF(AND('E08 — Estabilização Hypercare'!$E274="✔ Concluído",'E08 — Estabilização Hypercare'!$F274="✔ Concluído",'E08 — Estabilização Hypercare'!$G274="✔ Concluído",OR('E08 — Estabilização Hypercare'!$H274="✔ Concluído",'E08 — Estabilização Hypercare'!$H274="N/A"),'E08 — Estabilização Hypercare'!$I274="✔ Concluído",'E08 — Estabilização Hypercare'!$J274="✔ Concluído",OR('E08 — Estabilização Hypercare'!$N274="✅ Estável — Demanda Encerrada",AND('E08 — Estabilização Hypercare'!$N274="🆕 Evolução Identificada — Nova Demanda Aberta",'E08 — Estabilização Hypercare'!$U274&lt;&gt;""))),"Concluído",IF(OR(COUNTIF('E08 — Estabilização Hypercare'!$E274:$J274,"✔ Concluído")&gt;0,COUNTIF('E08 — Estabilização Hypercare'!$E274:$J274,"🔄 Em andamento")&gt;0,'E08 — Estabilização Hypercare'!$N274&lt;&gt;""),"Em andamento","Não iniciado")))))</f>
        <v/>
      </c>
      <c r="M292" s="232" t="str" cm="1">
        <f t="array" ref="M292">IF(B292="","",_xlfn.IFS(E292&lt;&gt;"Concluído","E1 — Solicitação",F292&lt;&gt;"Concluído","E2 — Triagem",G292&lt;&gt;"Concluído","E3 — Levantamento ⚠",H292&lt;&gt;"Concluído","E4 — Execução",I292&lt;&gt;"Concluído","E5 — Validação ⚠",AND(J292&lt;&gt;"Concluído",J292&lt;&gt;"N/A"),"E6 — Ajustes",K292&lt;&gt;"Concluído","E7 — Entrega",L292&lt;&gt;"Concluído","E08 — Estabilização / Hypercare",TRUE,"✔ Fluxo concluído"))</f>
        <v/>
      </c>
      <c r="N292" s="233" t="str">
        <f t="shared" si="5"/>
        <v/>
      </c>
      <c r="O292" s="230"/>
    </row>
    <row r="293" spans="2:15" x14ac:dyDescent="0.35">
      <c r="B293" s="229" t="str">
        <f>IF(Lançamentos!$B270="","",Lançamentos!$B270)</f>
        <v/>
      </c>
      <c r="C293" s="231" t="str">
        <f>IF($B293="","",Lançamentos!$J270)</f>
        <v/>
      </c>
      <c r="D293" s="231" t="str">
        <f>IF($B293="","",Lançamentos!$H270)</f>
        <v/>
      </c>
      <c r="E293" s="229" t="str">
        <f>IF($B293="","",IF(COUNTIF(Lançamentos!$B$3:$B$1001,$B293)=0,"Bloqueado",IF(COUNTIF('E1 — Solicitação'!$E275:$L275,"⛔ Bloqueado")&gt;0,"Bloqueado",IF(COUNTIF('E1 — Solicitação'!$E275:$L275,"N/A")=8,"Bloqueado",IF(COUNTIF('E1 — Solicitação'!$E275:$L275,"✔ Concluído")+COUNTIF('E1 — Solicitação'!$E275:$L275,"N/A")=8,"Concluído",IF(COUNTIF('E1 — Solicitação'!$E275:$L275,"✔ Concluído")+COUNTIF('E1 — Solicitação'!$E275:$L275,"🔄 Em andamento")&gt;0,"Em andamento","Não iniciado"))))))</f>
        <v/>
      </c>
      <c r="F293" s="229" t="str">
        <f>IF($B293="","",IF($E293&lt;&gt;"Concluído","Não iniciado",IF(COUNTIF(Lançamentos!$B$3:$B$1001,$B293)=0,"Bloqueado",IF('E2 — Triagem'!$D275="","Bloqueado",IF(COUNTIF('E2 — Triagem'!$E275:$L275,"N/A")=8,"Bloqueado",IF(COUNTIF('E2 — Triagem'!$E275:$L275,"⛔ Bloqueado")&gt;0,"Bloqueado",IF(COUNTIF('E2 — Triagem'!$E275:$L275,"✔ Concluído")+COUNTIF('E2 — Triagem'!$E275:$L275,"N/A")=8,"Concluído",IF(COUNTIF('E2 — Triagem'!$E275:$L275,"✔ Concluído")+COUNTIF('E2 — Triagem'!$E275:$L275,"🔄 Em andamento")&gt;0,"Em andamento","Não iniciado"))))))))</f>
        <v/>
      </c>
      <c r="G293" s="229" t="str">
        <f>IF($B293="","",IF($F293&lt;&gt;"Concluído","Não iniciado",IF(COUNTIF(Lançamentos!$B$3:$B$1001,$B293)=0,"Bloqueado",IF('E3 — Levantamento'!$D275="","Bloqueado",IF(COUNTIF('E3 — Levantamento'!$E275:$I275,"⛔ Bloqueado")&gt;0,"Bloqueado",IF('E3 — Levantamento'!$I275="N/A","Bloqueado",IF(COUNTIF('E3 — Levantamento'!$E275:$I275,"✔ Concluído")=5,"Concluído",IF(COUNTIF('E3 — Levantamento'!$E275:$I275,"✔ Concluído")+COUNTIF('E3 — Levantamento'!$E275:$I275,"🔄 Em andamento")&gt;0,"Em andamento","Não iniciado"))))))))</f>
        <v/>
      </c>
      <c r="H293" s="229" t="str">
        <f>IF($B293="","",IF($G293&lt;&gt;"Concluído","Não iniciado",IF(COUNTIF(Lançamentos!$B$3:$B$1001,$B293)=0,"Bloqueado",IF('E4 — Execução'!$D275="","Bloqueado",IF(COUNTIF('E4 — Execução'!$E275:$K275,"⛔ Bloqueado")&gt;0,"Bloqueado",IF(COUNTIF('E4 — Execução'!$E275:$K275,"✔ Concluído")=7,"Concluído",IF(COUNTIF('E4 — Execução'!$E275:$K275,"✔ Concluído")+COUNTIF('E4 — Execução'!$E275:$K275,"🔄 Em andamento")&gt;0,"Em andamento","Não iniciado")))))))</f>
        <v/>
      </c>
      <c r="I293" s="229" t="str">
        <f>IF($B293="","",IF($H293&lt;&gt;"Concluído","Não iniciado",IF(COUNTIF(Lançamentos!$B$3:$B$1001,$B293)=0,"Bloqueado",IF('E5 — Validação'!$D275="","Bloqueado",IF(COUNTIF('E5 — Validação'!$E275:$I275,"⛔ Bloqueado")&gt;0,"Bloqueado",IF('E5 — Validação'!$I275="N/A","Bloqueado",IF(AND('E5 — Validação'!$E275="✔ Concluído",'E5 — Validação'!$F275="✔ Concluído",OR('E5 — Validação'!$G275="✔ Concluído",'E5 — Validação'!$G275="N/A"),'E5 — Validação'!$H275="✔ Concluído",'E5 — Validação'!$I275="✔ Concluído"),"Concluído",IF(COUNTIF('E5 — Validação'!$E275:$I275,"✔ Concluído")+COUNTIF('E5 — Validação'!$E275:$I275,"🔄 Em andamento")&gt;0,"Em andamento","Não iniciado"))))))))</f>
        <v/>
      </c>
      <c r="J293" s="229" t="str">
        <f>IF($B293="","",IF($I293&lt;&gt;"Concluído","Não iniciado",IF('E6 — Ajustes'!$N275="Não","N/A",IF(COUNTIF(Lançamentos!$B$3:$B$1001,$B293)=0,"Bloqueado",IF('E6 — Ajustes'!$D275="","Bloqueado",IF(COUNTIF('E6 — Ajustes'!$E275:$J275,"⛔ Bloqueado")&gt;0,"Bloqueado",IF(AND('E6 — Ajustes'!$E275="✔ Concluído",'E6 — Ajustes'!$F275="✔ Concluído",'E6 — Ajustes'!$G275="✔ Concluído",'E6 — Ajustes'!$H275="✔ Concluído",OR('E6 — Ajustes'!$I275="✔ Concluído",'E6 — Ajustes'!$I275="N/A"),'E6 — Ajustes'!$J275="✔ Concluído"),"Concluído",IF(COUNTIF('E6 — Ajustes'!$E275:$J275,"✔ Concluído")+COUNTIF('E6 — Ajustes'!$E275:$J275,"🔄 Em andamento")&gt;0,"Em andamento","Não iniciado"))))))))</f>
        <v/>
      </c>
      <c r="K293" s="229" t="str">
        <f>IF($B293="","",IF($I293&lt;&gt;"Concluído","Não iniciado",IF(AND($J293&lt;&gt;"Concluído",$J293&lt;&gt;"N/A"),"Não iniciado",IF(COUNTIF(Lançamentos!$B$3:$B$1001,$B293)=0,"Bloqueado",IF('E7 — Entrega'!$D275="","Bloqueado",IF(COUNTIF('E7 — Entrega'!$E275:$H275,"⛔ Bloqueado")&gt;0,"Bloqueado",IF(COUNTIF('E7 — Entrega'!$E275:$H275,"✔ Concluído")=4,"Concluído",IF(COUNTIF('E7 — Entrega'!$E275:$H275,"✔ Concluído")+COUNTIF('E7 — Entrega'!$E275:$H275,"🔄 Em andamento")&gt;0,"Em andamento","Não iniciado"))))))))</f>
        <v/>
      </c>
      <c r="L293" s="229" t="str">
        <f>IF($B293="","",IF($K293&lt;&gt;"Concluído","Não iniciado",IF(OR(COUNTIF('E08 — Estabilização Hypercare'!$E275:$J275,"⛔ Bloqueado")&gt;0,'E08 — Estabilização Hypercare'!$N275="⛔ Incidente Crítico — Encerramento Bloqueado",AND('E08 — Estabilização Hypercare'!$N275="🆕 Evolução Identificada — Nova Demanda Aberta",'E08 — Estabilização Hypercare'!$U275="")),"Bloqueado",IF(AND('E08 — Estabilização Hypercare'!$E275="✔ Concluído",'E08 — Estabilização Hypercare'!$F275="✔ Concluído",'E08 — Estabilização Hypercare'!$G275="✔ Concluído",OR('E08 — Estabilização Hypercare'!$H275="✔ Concluído",'E08 — Estabilização Hypercare'!$H275="N/A"),'E08 — Estabilização Hypercare'!$I275="✔ Concluído",'E08 — Estabilização Hypercare'!$J275="✔ Concluído",OR('E08 — Estabilização Hypercare'!$N275="✅ Estável — Demanda Encerrada",AND('E08 — Estabilização Hypercare'!$N275="🆕 Evolução Identificada — Nova Demanda Aberta",'E08 — Estabilização Hypercare'!$U275&lt;&gt;""))),"Concluído",IF(OR(COUNTIF('E08 — Estabilização Hypercare'!$E275:$J275,"✔ Concluído")&gt;0,COUNTIF('E08 — Estabilização Hypercare'!$E275:$J275,"🔄 Em andamento")&gt;0,'E08 — Estabilização Hypercare'!$N275&lt;&gt;""),"Em andamento","Não iniciado")))))</f>
        <v/>
      </c>
      <c r="M293" s="232" t="str" cm="1">
        <f t="array" ref="M293">IF(B293="","",_xlfn.IFS(E293&lt;&gt;"Concluído","E1 — Solicitação",F293&lt;&gt;"Concluído","E2 — Triagem",G293&lt;&gt;"Concluído","E3 — Levantamento ⚠",H293&lt;&gt;"Concluído","E4 — Execução",I293&lt;&gt;"Concluído","E5 — Validação ⚠",AND(J293&lt;&gt;"Concluído",J293&lt;&gt;"N/A"),"E6 — Ajustes",K293&lt;&gt;"Concluído","E7 — Entrega",L293&lt;&gt;"Concluído","E08 — Estabilização / Hypercare",TRUE,"✔ Fluxo concluído"))</f>
        <v/>
      </c>
      <c r="N293" s="233" t="str">
        <f t="shared" si="5"/>
        <v/>
      </c>
      <c r="O293" s="230"/>
    </row>
    <row r="294" spans="2:15" x14ac:dyDescent="0.35">
      <c r="B294" s="229" t="str">
        <f>IF(Lançamentos!$B271="","",Lançamentos!$B271)</f>
        <v/>
      </c>
      <c r="C294" s="231" t="str">
        <f>IF($B294="","",Lançamentos!$J271)</f>
        <v/>
      </c>
      <c r="D294" s="231" t="str">
        <f>IF($B294="","",Lançamentos!$H271)</f>
        <v/>
      </c>
      <c r="E294" s="229" t="str">
        <f>IF($B294="","",IF(COUNTIF(Lançamentos!$B$3:$B$1001,$B294)=0,"Bloqueado",IF(COUNTIF('E1 — Solicitação'!$E276:$L276,"⛔ Bloqueado")&gt;0,"Bloqueado",IF(COUNTIF('E1 — Solicitação'!$E276:$L276,"N/A")=8,"Bloqueado",IF(COUNTIF('E1 — Solicitação'!$E276:$L276,"✔ Concluído")+COUNTIF('E1 — Solicitação'!$E276:$L276,"N/A")=8,"Concluído",IF(COUNTIF('E1 — Solicitação'!$E276:$L276,"✔ Concluído")+COUNTIF('E1 — Solicitação'!$E276:$L276,"🔄 Em andamento")&gt;0,"Em andamento","Não iniciado"))))))</f>
        <v/>
      </c>
      <c r="F294" s="229" t="str">
        <f>IF($B294="","",IF($E294&lt;&gt;"Concluído","Não iniciado",IF(COUNTIF(Lançamentos!$B$3:$B$1001,$B294)=0,"Bloqueado",IF('E2 — Triagem'!$D276="","Bloqueado",IF(COUNTIF('E2 — Triagem'!$E276:$L276,"N/A")=8,"Bloqueado",IF(COUNTIF('E2 — Triagem'!$E276:$L276,"⛔ Bloqueado")&gt;0,"Bloqueado",IF(COUNTIF('E2 — Triagem'!$E276:$L276,"✔ Concluído")+COUNTIF('E2 — Triagem'!$E276:$L276,"N/A")=8,"Concluído",IF(COUNTIF('E2 — Triagem'!$E276:$L276,"✔ Concluído")+COUNTIF('E2 — Triagem'!$E276:$L276,"🔄 Em andamento")&gt;0,"Em andamento","Não iniciado"))))))))</f>
        <v/>
      </c>
      <c r="G294" s="229" t="str">
        <f>IF($B294="","",IF($F294&lt;&gt;"Concluído","Não iniciado",IF(COUNTIF(Lançamentos!$B$3:$B$1001,$B294)=0,"Bloqueado",IF('E3 — Levantamento'!$D276="","Bloqueado",IF(COUNTIF('E3 — Levantamento'!$E276:$I276,"⛔ Bloqueado")&gt;0,"Bloqueado",IF('E3 — Levantamento'!$I276="N/A","Bloqueado",IF(COUNTIF('E3 — Levantamento'!$E276:$I276,"✔ Concluído")=5,"Concluído",IF(COUNTIF('E3 — Levantamento'!$E276:$I276,"✔ Concluído")+COUNTIF('E3 — Levantamento'!$E276:$I276,"🔄 Em andamento")&gt;0,"Em andamento","Não iniciado"))))))))</f>
        <v/>
      </c>
      <c r="H294" s="229" t="str">
        <f>IF($B294="","",IF($G294&lt;&gt;"Concluído","Não iniciado",IF(COUNTIF(Lançamentos!$B$3:$B$1001,$B294)=0,"Bloqueado",IF('E4 — Execução'!$D276="","Bloqueado",IF(COUNTIF('E4 — Execução'!$E276:$K276,"⛔ Bloqueado")&gt;0,"Bloqueado",IF(COUNTIF('E4 — Execução'!$E276:$K276,"✔ Concluído")=7,"Concluído",IF(COUNTIF('E4 — Execução'!$E276:$K276,"✔ Concluído")+COUNTIF('E4 — Execução'!$E276:$K276,"🔄 Em andamento")&gt;0,"Em andamento","Não iniciado")))))))</f>
        <v/>
      </c>
      <c r="I294" s="229" t="str">
        <f>IF($B294="","",IF($H294&lt;&gt;"Concluído","Não iniciado",IF(COUNTIF(Lançamentos!$B$3:$B$1001,$B294)=0,"Bloqueado",IF('E5 — Validação'!$D276="","Bloqueado",IF(COUNTIF('E5 — Validação'!$E276:$I276,"⛔ Bloqueado")&gt;0,"Bloqueado",IF('E5 — Validação'!$I276="N/A","Bloqueado",IF(AND('E5 — Validação'!$E276="✔ Concluído",'E5 — Validação'!$F276="✔ Concluído",OR('E5 — Validação'!$G276="✔ Concluído",'E5 — Validação'!$G276="N/A"),'E5 — Validação'!$H276="✔ Concluído",'E5 — Validação'!$I276="✔ Concluído"),"Concluído",IF(COUNTIF('E5 — Validação'!$E276:$I276,"✔ Concluído")+COUNTIF('E5 — Validação'!$E276:$I276,"🔄 Em andamento")&gt;0,"Em andamento","Não iniciado"))))))))</f>
        <v/>
      </c>
      <c r="J294" s="229" t="str">
        <f>IF($B294="","",IF($I294&lt;&gt;"Concluído","Não iniciado",IF('E6 — Ajustes'!$N276="Não","N/A",IF(COUNTIF(Lançamentos!$B$3:$B$1001,$B294)=0,"Bloqueado",IF('E6 — Ajustes'!$D276="","Bloqueado",IF(COUNTIF('E6 — Ajustes'!$E276:$J276,"⛔ Bloqueado")&gt;0,"Bloqueado",IF(AND('E6 — Ajustes'!$E276="✔ Concluído",'E6 — Ajustes'!$F276="✔ Concluído",'E6 — Ajustes'!$G276="✔ Concluído",'E6 — Ajustes'!$H276="✔ Concluído",OR('E6 — Ajustes'!$I276="✔ Concluído",'E6 — Ajustes'!$I276="N/A"),'E6 — Ajustes'!$J276="✔ Concluído"),"Concluído",IF(COUNTIF('E6 — Ajustes'!$E276:$J276,"✔ Concluído")+COUNTIF('E6 — Ajustes'!$E276:$J276,"🔄 Em andamento")&gt;0,"Em andamento","Não iniciado"))))))))</f>
        <v/>
      </c>
      <c r="K294" s="229" t="str">
        <f>IF($B294="","",IF($I294&lt;&gt;"Concluído","Não iniciado",IF(AND($J294&lt;&gt;"Concluído",$J294&lt;&gt;"N/A"),"Não iniciado",IF(COUNTIF(Lançamentos!$B$3:$B$1001,$B294)=0,"Bloqueado",IF('E7 — Entrega'!$D276="","Bloqueado",IF(COUNTIF('E7 — Entrega'!$E276:$H276,"⛔ Bloqueado")&gt;0,"Bloqueado",IF(COUNTIF('E7 — Entrega'!$E276:$H276,"✔ Concluído")=4,"Concluído",IF(COUNTIF('E7 — Entrega'!$E276:$H276,"✔ Concluído")+COUNTIF('E7 — Entrega'!$E276:$H276,"🔄 Em andamento")&gt;0,"Em andamento","Não iniciado"))))))))</f>
        <v/>
      </c>
      <c r="L294" s="229" t="str">
        <f>IF($B294="","",IF($K294&lt;&gt;"Concluído","Não iniciado",IF(OR(COUNTIF('E08 — Estabilização Hypercare'!$E276:$J276,"⛔ Bloqueado")&gt;0,'E08 — Estabilização Hypercare'!$N276="⛔ Incidente Crítico — Encerramento Bloqueado",AND('E08 — Estabilização Hypercare'!$N276="🆕 Evolução Identificada — Nova Demanda Aberta",'E08 — Estabilização Hypercare'!$U276="")),"Bloqueado",IF(AND('E08 — Estabilização Hypercare'!$E276="✔ Concluído",'E08 — Estabilização Hypercare'!$F276="✔ Concluído",'E08 — Estabilização Hypercare'!$G276="✔ Concluído",OR('E08 — Estabilização Hypercare'!$H276="✔ Concluído",'E08 — Estabilização Hypercare'!$H276="N/A"),'E08 — Estabilização Hypercare'!$I276="✔ Concluído",'E08 — Estabilização Hypercare'!$J276="✔ Concluído",OR('E08 — Estabilização Hypercare'!$N276="✅ Estável — Demanda Encerrada",AND('E08 — Estabilização Hypercare'!$N276="🆕 Evolução Identificada — Nova Demanda Aberta",'E08 — Estabilização Hypercare'!$U276&lt;&gt;""))),"Concluído",IF(OR(COUNTIF('E08 — Estabilização Hypercare'!$E276:$J276,"✔ Concluído")&gt;0,COUNTIF('E08 — Estabilização Hypercare'!$E276:$J276,"🔄 Em andamento")&gt;0,'E08 — Estabilização Hypercare'!$N276&lt;&gt;""),"Em andamento","Não iniciado")))))</f>
        <v/>
      </c>
      <c r="M294" s="232" t="str" cm="1">
        <f t="array" ref="M294">IF(B294="","",_xlfn.IFS(E294&lt;&gt;"Concluído","E1 — Solicitação",F294&lt;&gt;"Concluído","E2 — Triagem",G294&lt;&gt;"Concluído","E3 — Levantamento ⚠",H294&lt;&gt;"Concluído","E4 — Execução",I294&lt;&gt;"Concluído","E5 — Validação ⚠",AND(J294&lt;&gt;"Concluído",J294&lt;&gt;"N/A"),"E6 — Ajustes",K294&lt;&gt;"Concluído","E7 — Entrega",L294&lt;&gt;"Concluído","E08 — Estabilização / Hypercare",TRUE,"✔ Fluxo concluído"))</f>
        <v/>
      </c>
      <c r="N294" s="233" t="str">
        <f t="shared" si="5"/>
        <v/>
      </c>
      <c r="O294" s="230"/>
    </row>
    <row r="295" spans="2:15" x14ac:dyDescent="0.35">
      <c r="B295" s="229" t="str">
        <f>IF(Lançamentos!$B272="","",Lançamentos!$B272)</f>
        <v/>
      </c>
      <c r="C295" s="231" t="str">
        <f>IF($B295="","",Lançamentos!$J272)</f>
        <v/>
      </c>
      <c r="D295" s="231" t="str">
        <f>IF($B295="","",Lançamentos!$H272)</f>
        <v/>
      </c>
      <c r="E295" s="229" t="str">
        <f>IF($B295="","",IF(COUNTIF(Lançamentos!$B$3:$B$1001,$B295)=0,"Bloqueado",IF(COUNTIF('E1 — Solicitação'!$E277:$L277,"⛔ Bloqueado")&gt;0,"Bloqueado",IF(COUNTIF('E1 — Solicitação'!$E277:$L277,"N/A")=8,"Bloqueado",IF(COUNTIF('E1 — Solicitação'!$E277:$L277,"✔ Concluído")+COUNTIF('E1 — Solicitação'!$E277:$L277,"N/A")=8,"Concluído",IF(COUNTIF('E1 — Solicitação'!$E277:$L277,"✔ Concluído")+COUNTIF('E1 — Solicitação'!$E277:$L277,"🔄 Em andamento")&gt;0,"Em andamento","Não iniciado"))))))</f>
        <v/>
      </c>
      <c r="F295" s="229" t="str">
        <f>IF($B295="","",IF($E295&lt;&gt;"Concluído","Não iniciado",IF(COUNTIF(Lançamentos!$B$3:$B$1001,$B295)=0,"Bloqueado",IF('E2 — Triagem'!$D277="","Bloqueado",IF(COUNTIF('E2 — Triagem'!$E277:$L277,"N/A")=8,"Bloqueado",IF(COUNTIF('E2 — Triagem'!$E277:$L277,"⛔ Bloqueado")&gt;0,"Bloqueado",IF(COUNTIF('E2 — Triagem'!$E277:$L277,"✔ Concluído")+COUNTIF('E2 — Triagem'!$E277:$L277,"N/A")=8,"Concluído",IF(COUNTIF('E2 — Triagem'!$E277:$L277,"✔ Concluído")+COUNTIF('E2 — Triagem'!$E277:$L277,"🔄 Em andamento")&gt;0,"Em andamento","Não iniciado"))))))))</f>
        <v/>
      </c>
      <c r="G295" s="229" t="str">
        <f>IF($B295="","",IF($F295&lt;&gt;"Concluído","Não iniciado",IF(COUNTIF(Lançamentos!$B$3:$B$1001,$B295)=0,"Bloqueado",IF('E3 — Levantamento'!$D277="","Bloqueado",IF(COUNTIF('E3 — Levantamento'!$E277:$I277,"⛔ Bloqueado")&gt;0,"Bloqueado",IF('E3 — Levantamento'!$I277="N/A","Bloqueado",IF(COUNTIF('E3 — Levantamento'!$E277:$I277,"✔ Concluído")=5,"Concluído",IF(COUNTIF('E3 — Levantamento'!$E277:$I277,"✔ Concluído")+COUNTIF('E3 — Levantamento'!$E277:$I277,"🔄 Em andamento")&gt;0,"Em andamento","Não iniciado"))))))))</f>
        <v/>
      </c>
      <c r="H295" s="229" t="str">
        <f>IF($B295="","",IF($G295&lt;&gt;"Concluído","Não iniciado",IF(COUNTIF(Lançamentos!$B$3:$B$1001,$B295)=0,"Bloqueado",IF('E4 — Execução'!$D277="","Bloqueado",IF(COUNTIF('E4 — Execução'!$E277:$K277,"⛔ Bloqueado")&gt;0,"Bloqueado",IF(COUNTIF('E4 — Execução'!$E277:$K277,"✔ Concluído")=7,"Concluído",IF(COUNTIF('E4 — Execução'!$E277:$K277,"✔ Concluído")+COUNTIF('E4 — Execução'!$E277:$K277,"🔄 Em andamento")&gt;0,"Em andamento","Não iniciado")))))))</f>
        <v/>
      </c>
      <c r="I295" s="229" t="str">
        <f>IF($B295="","",IF($H295&lt;&gt;"Concluído","Não iniciado",IF(COUNTIF(Lançamentos!$B$3:$B$1001,$B295)=0,"Bloqueado",IF('E5 — Validação'!$D277="","Bloqueado",IF(COUNTIF('E5 — Validação'!$E277:$I277,"⛔ Bloqueado")&gt;0,"Bloqueado",IF('E5 — Validação'!$I277="N/A","Bloqueado",IF(AND('E5 — Validação'!$E277="✔ Concluído",'E5 — Validação'!$F277="✔ Concluído",OR('E5 — Validação'!$G277="✔ Concluído",'E5 — Validação'!$G277="N/A"),'E5 — Validação'!$H277="✔ Concluído",'E5 — Validação'!$I277="✔ Concluído"),"Concluído",IF(COUNTIF('E5 — Validação'!$E277:$I277,"✔ Concluído")+COUNTIF('E5 — Validação'!$E277:$I277,"🔄 Em andamento")&gt;0,"Em andamento","Não iniciado"))))))))</f>
        <v/>
      </c>
      <c r="J295" s="229" t="str">
        <f>IF($B295="","",IF($I295&lt;&gt;"Concluído","Não iniciado",IF('E6 — Ajustes'!$N277="Não","N/A",IF(COUNTIF(Lançamentos!$B$3:$B$1001,$B295)=0,"Bloqueado",IF('E6 — Ajustes'!$D277="","Bloqueado",IF(COUNTIF('E6 — Ajustes'!$E277:$J277,"⛔ Bloqueado")&gt;0,"Bloqueado",IF(AND('E6 — Ajustes'!$E277="✔ Concluído",'E6 — Ajustes'!$F277="✔ Concluído",'E6 — Ajustes'!$G277="✔ Concluído",'E6 — Ajustes'!$H277="✔ Concluído",OR('E6 — Ajustes'!$I277="✔ Concluído",'E6 — Ajustes'!$I277="N/A"),'E6 — Ajustes'!$J277="✔ Concluído"),"Concluído",IF(COUNTIF('E6 — Ajustes'!$E277:$J277,"✔ Concluído")+COUNTIF('E6 — Ajustes'!$E277:$J277,"🔄 Em andamento")&gt;0,"Em andamento","Não iniciado"))))))))</f>
        <v/>
      </c>
      <c r="K295" s="229" t="str">
        <f>IF($B295="","",IF($I295&lt;&gt;"Concluído","Não iniciado",IF(AND($J295&lt;&gt;"Concluído",$J295&lt;&gt;"N/A"),"Não iniciado",IF(COUNTIF(Lançamentos!$B$3:$B$1001,$B295)=0,"Bloqueado",IF('E7 — Entrega'!$D277="","Bloqueado",IF(COUNTIF('E7 — Entrega'!$E277:$H277,"⛔ Bloqueado")&gt;0,"Bloqueado",IF(COUNTIF('E7 — Entrega'!$E277:$H277,"✔ Concluído")=4,"Concluído",IF(COUNTIF('E7 — Entrega'!$E277:$H277,"✔ Concluído")+COUNTIF('E7 — Entrega'!$E277:$H277,"🔄 Em andamento")&gt;0,"Em andamento","Não iniciado"))))))))</f>
        <v/>
      </c>
      <c r="L295" s="229" t="str">
        <f>IF($B295="","",IF($K295&lt;&gt;"Concluído","Não iniciado",IF(OR(COUNTIF('E08 — Estabilização Hypercare'!$E277:$J277,"⛔ Bloqueado")&gt;0,'E08 — Estabilização Hypercare'!$N277="⛔ Incidente Crítico — Encerramento Bloqueado",AND('E08 — Estabilização Hypercare'!$N277="🆕 Evolução Identificada — Nova Demanda Aberta",'E08 — Estabilização Hypercare'!$U277="")),"Bloqueado",IF(AND('E08 — Estabilização Hypercare'!$E277="✔ Concluído",'E08 — Estabilização Hypercare'!$F277="✔ Concluído",'E08 — Estabilização Hypercare'!$G277="✔ Concluído",OR('E08 — Estabilização Hypercare'!$H277="✔ Concluído",'E08 — Estabilização Hypercare'!$H277="N/A"),'E08 — Estabilização Hypercare'!$I277="✔ Concluído",'E08 — Estabilização Hypercare'!$J277="✔ Concluído",OR('E08 — Estabilização Hypercare'!$N277="✅ Estável — Demanda Encerrada",AND('E08 — Estabilização Hypercare'!$N277="🆕 Evolução Identificada — Nova Demanda Aberta",'E08 — Estabilização Hypercare'!$U277&lt;&gt;""))),"Concluído",IF(OR(COUNTIF('E08 — Estabilização Hypercare'!$E277:$J277,"✔ Concluído")&gt;0,COUNTIF('E08 — Estabilização Hypercare'!$E277:$J277,"🔄 Em andamento")&gt;0,'E08 — Estabilização Hypercare'!$N277&lt;&gt;""),"Em andamento","Não iniciado")))))</f>
        <v/>
      </c>
      <c r="M295" s="232" t="str" cm="1">
        <f t="array" ref="M295">IF(B295="","",_xlfn.IFS(E295&lt;&gt;"Concluído","E1 — Solicitação",F295&lt;&gt;"Concluído","E2 — Triagem",G295&lt;&gt;"Concluído","E3 — Levantamento ⚠",H295&lt;&gt;"Concluído","E4 — Execução",I295&lt;&gt;"Concluído","E5 — Validação ⚠",AND(J295&lt;&gt;"Concluído",J295&lt;&gt;"N/A"),"E6 — Ajustes",K295&lt;&gt;"Concluído","E7 — Entrega",L295&lt;&gt;"Concluído","E08 — Estabilização / Hypercare",TRUE,"✔ Fluxo concluído"))</f>
        <v/>
      </c>
      <c r="N295" s="233" t="str">
        <f t="shared" si="5"/>
        <v/>
      </c>
      <c r="O295" s="230"/>
    </row>
    <row r="296" spans="2:15" x14ac:dyDescent="0.35">
      <c r="B296" s="229" t="str">
        <f>IF(Lançamentos!$B273="","",Lançamentos!$B273)</f>
        <v/>
      </c>
      <c r="C296" s="231" t="str">
        <f>IF($B296="","",Lançamentos!$J273)</f>
        <v/>
      </c>
      <c r="D296" s="231" t="str">
        <f>IF($B296="","",Lançamentos!$H273)</f>
        <v/>
      </c>
      <c r="E296" s="229" t="str">
        <f>IF($B296="","",IF(COUNTIF(Lançamentos!$B$3:$B$1001,$B296)=0,"Bloqueado",IF(COUNTIF('E1 — Solicitação'!$E278:$L278,"⛔ Bloqueado")&gt;0,"Bloqueado",IF(COUNTIF('E1 — Solicitação'!$E278:$L278,"N/A")=8,"Bloqueado",IF(COUNTIF('E1 — Solicitação'!$E278:$L278,"✔ Concluído")+COUNTIF('E1 — Solicitação'!$E278:$L278,"N/A")=8,"Concluído",IF(COUNTIF('E1 — Solicitação'!$E278:$L278,"✔ Concluído")+COUNTIF('E1 — Solicitação'!$E278:$L278,"🔄 Em andamento")&gt;0,"Em andamento","Não iniciado"))))))</f>
        <v/>
      </c>
      <c r="F296" s="229" t="str">
        <f>IF($B296="","",IF($E296&lt;&gt;"Concluído","Não iniciado",IF(COUNTIF(Lançamentos!$B$3:$B$1001,$B296)=0,"Bloqueado",IF('E2 — Triagem'!$D278="","Bloqueado",IF(COUNTIF('E2 — Triagem'!$E278:$L278,"N/A")=8,"Bloqueado",IF(COUNTIF('E2 — Triagem'!$E278:$L278,"⛔ Bloqueado")&gt;0,"Bloqueado",IF(COUNTIF('E2 — Triagem'!$E278:$L278,"✔ Concluído")+COUNTIF('E2 — Triagem'!$E278:$L278,"N/A")=8,"Concluído",IF(COUNTIF('E2 — Triagem'!$E278:$L278,"✔ Concluído")+COUNTIF('E2 — Triagem'!$E278:$L278,"🔄 Em andamento")&gt;0,"Em andamento","Não iniciado"))))))))</f>
        <v/>
      </c>
      <c r="G296" s="229" t="str">
        <f>IF($B296="","",IF($F296&lt;&gt;"Concluído","Não iniciado",IF(COUNTIF(Lançamentos!$B$3:$B$1001,$B296)=0,"Bloqueado",IF('E3 — Levantamento'!$D278="","Bloqueado",IF(COUNTIF('E3 — Levantamento'!$E278:$I278,"⛔ Bloqueado")&gt;0,"Bloqueado",IF('E3 — Levantamento'!$I278="N/A","Bloqueado",IF(COUNTIF('E3 — Levantamento'!$E278:$I278,"✔ Concluído")=5,"Concluído",IF(COUNTIF('E3 — Levantamento'!$E278:$I278,"✔ Concluído")+COUNTIF('E3 — Levantamento'!$E278:$I278,"🔄 Em andamento")&gt;0,"Em andamento","Não iniciado"))))))))</f>
        <v/>
      </c>
      <c r="H296" s="229" t="str">
        <f>IF($B296="","",IF($G296&lt;&gt;"Concluído","Não iniciado",IF(COUNTIF(Lançamentos!$B$3:$B$1001,$B296)=0,"Bloqueado",IF('E4 — Execução'!$D278="","Bloqueado",IF(COUNTIF('E4 — Execução'!$E278:$K278,"⛔ Bloqueado")&gt;0,"Bloqueado",IF(COUNTIF('E4 — Execução'!$E278:$K278,"✔ Concluído")=7,"Concluído",IF(COUNTIF('E4 — Execução'!$E278:$K278,"✔ Concluído")+COUNTIF('E4 — Execução'!$E278:$K278,"🔄 Em andamento")&gt;0,"Em andamento","Não iniciado")))))))</f>
        <v/>
      </c>
      <c r="I296" s="229" t="str">
        <f>IF($B296="","",IF($H296&lt;&gt;"Concluído","Não iniciado",IF(COUNTIF(Lançamentos!$B$3:$B$1001,$B296)=0,"Bloqueado",IF('E5 — Validação'!$D278="","Bloqueado",IF(COUNTIF('E5 — Validação'!$E278:$I278,"⛔ Bloqueado")&gt;0,"Bloqueado",IF('E5 — Validação'!$I278="N/A","Bloqueado",IF(AND('E5 — Validação'!$E278="✔ Concluído",'E5 — Validação'!$F278="✔ Concluído",OR('E5 — Validação'!$G278="✔ Concluído",'E5 — Validação'!$G278="N/A"),'E5 — Validação'!$H278="✔ Concluído",'E5 — Validação'!$I278="✔ Concluído"),"Concluído",IF(COUNTIF('E5 — Validação'!$E278:$I278,"✔ Concluído")+COUNTIF('E5 — Validação'!$E278:$I278,"🔄 Em andamento")&gt;0,"Em andamento","Não iniciado"))))))))</f>
        <v/>
      </c>
      <c r="J296" s="229" t="str">
        <f>IF($B296="","",IF($I296&lt;&gt;"Concluído","Não iniciado",IF('E6 — Ajustes'!$N278="Não","N/A",IF(COUNTIF(Lançamentos!$B$3:$B$1001,$B296)=0,"Bloqueado",IF('E6 — Ajustes'!$D278="","Bloqueado",IF(COUNTIF('E6 — Ajustes'!$E278:$J278,"⛔ Bloqueado")&gt;0,"Bloqueado",IF(AND('E6 — Ajustes'!$E278="✔ Concluído",'E6 — Ajustes'!$F278="✔ Concluído",'E6 — Ajustes'!$G278="✔ Concluído",'E6 — Ajustes'!$H278="✔ Concluído",OR('E6 — Ajustes'!$I278="✔ Concluído",'E6 — Ajustes'!$I278="N/A"),'E6 — Ajustes'!$J278="✔ Concluído"),"Concluído",IF(COUNTIF('E6 — Ajustes'!$E278:$J278,"✔ Concluído")+COUNTIF('E6 — Ajustes'!$E278:$J278,"🔄 Em andamento")&gt;0,"Em andamento","Não iniciado"))))))))</f>
        <v/>
      </c>
      <c r="K296" s="229" t="str">
        <f>IF($B296="","",IF($I296&lt;&gt;"Concluído","Não iniciado",IF(AND($J296&lt;&gt;"Concluído",$J296&lt;&gt;"N/A"),"Não iniciado",IF(COUNTIF(Lançamentos!$B$3:$B$1001,$B296)=0,"Bloqueado",IF('E7 — Entrega'!$D278="","Bloqueado",IF(COUNTIF('E7 — Entrega'!$E278:$H278,"⛔ Bloqueado")&gt;0,"Bloqueado",IF(COUNTIF('E7 — Entrega'!$E278:$H278,"✔ Concluído")=4,"Concluído",IF(COUNTIF('E7 — Entrega'!$E278:$H278,"✔ Concluído")+COUNTIF('E7 — Entrega'!$E278:$H278,"🔄 Em andamento")&gt;0,"Em andamento","Não iniciado"))))))))</f>
        <v/>
      </c>
      <c r="L296" s="229" t="str">
        <f>IF($B296="","",IF($K296&lt;&gt;"Concluído","Não iniciado",IF(OR(COUNTIF('E08 — Estabilização Hypercare'!$E278:$J278,"⛔ Bloqueado")&gt;0,'E08 — Estabilização Hypercare'!$N278="⛔ Incidente Crítico — Encerramento Bloqueado",AND('E08 — Estabilização Hypercare'!$N278="🆕 Evolução Identificada — Nova Demanda Aberta",'E08 — Estabilização Hypercare'!$U278="")),"Bloqueado",IF(AND('E08 — Estabilização Hypercare'!$E278="✔ Concluído",'E08 — Estabilização Hypercare'!$F278="✔ Concluído",'E08 — Estabilização Hypercare'!$G278="✔ Concluído",OR('E08 — Estabilização Hypercare'!$H278="✔ Concluído",'E08 — Estabilização Hypercare'!$H278="N/A"),'E08 — Estabilização Hypercare'!$I278="✔ Concluído",'E08 — Estabilização Hypercare'!$J278="✔ Concluído",OR('E08 — Estabilização Hypercare'!$N278="✅ Estável — Demanda Encerrada",AND('E08 — Estabilização Hypercare'!$N278="🆕 Evolução Identificada — Nova Demanda Aberta",'E08 — Estabilização Hypercare'!$U278&lt;&gt;""))),"Concluído",IF(OR(COUNTIF('E08 — Estabilização Hypercare'!$E278:$J278,"✔ Concluído")&gt;0,COUNTIF('E08 — Estabilização Hypercare'!$E278:$J278,"🔄 Em andamento")&gt;0,'E08 — Estabilização Hypercare'!$N278&lt;&gt;""),"Em andamento","Não iniciado")))))</f>
        <v/>
      </c>
      <c r="M296" s="232" t="str" cm="1">
        <f t="array" ref="M296">IF(B296="","",_xlfn.IFS(E296&lt;&gt;"Concluído","E1 — Solicitação",F296&lt;&gt;"Concluído","E2 — Triagem",G296&lt;&gt;"Concluído","E3 — Levantamento ⚠",H296&lt;&gt;"Concluído","E4 — Execução",I296&lt;&gt;"Concluído","E5 — Validação ⚠",AND(J296&lt;&gt;"Concluído",J296&lt;&gt;"N/A"),"E6 — Ajustes",K296&lt;&gt;"Concluído","E7 — Entrega",L296&lt;&gt;"Concluído","E08 — Estabilização / Hypercare",TRUE,"✔ Fluxo concluído"))</f>
        <v/>
      </c>
      <c r="N296" s="233" t="str">
        <f t="shared" si="5"/>
        <v/>
      </c>
      <c r="O296" s="230"/>
    </row>
    <row r="297" spans="2:15" x14ac:dyDescent="0.35">
      <c r="B297" s="229" t="str">
        <f>IF(Lançamentos!$B274="","",Lançamentos!$B274)</f>
        <v/>
      </c>
      <c r="C297" s="231" t="str">
        <f>IF($B297="","",Lançamentos!$J274)</f>
        <v/>
      </c>
      <c r="D297" s="231" t="str">
        <f>IF($B297="","",Lançamentos!$H274)</f>
        <v/>
      </c>
      <c r="E297" s="229" t="str">
        <f>IF($B297="","",IF(COUNTIF(Lançamentos!$B$3:$B$1001,$B297)=0,"Bloqueado",IF(COUNTIF('E1 — Solicitação'!$E279:$L279,"⛔ Bloqueado")&gt;0,"Bloqueado",IF(COUNTIF('E1 — Solicitação'!$E279:$L279,"N/A")=8,"Bloqueado",IF(COUNTIF('E1 — Solicitação'!$E279:$L279,"✔ Concluído")+COUNTIF('E1 — Solicitação'!$E279:$L279,"N/A")=8,"Concluído",IF(COUNTIF('E1 — Solicitação'!$E279:$L279,"✔ Concluído")+COUNTIF('E1 — Solicitação'!$E279:$L279,"🔄 Em andamento")&gt;0,"Em andamento","Não iniciado"))))))</f>
        <v/>
      </c>
      <c r="F297" s="229" t="str">
        <f>IF($B297="","",IF($E297&lt;&gt;"Concluído","Não iniciado",IF(COUNTIF(Lançamentos!$B$3:$B$1001,$B297)=0,"Bloqueado",IF('E2 — Triagem'!$D279="","Bloqueado",IF(COUNTIF('E2 — Triagem'!$E279:$L279,"N/A")=8,"Bloqueado",IF(COUNTIF('E2 — Triagem'!$E279:$L279,"⛔ Bloqueado")&gt;0,"Bloqueado",IF(COUNTIF('E2 — Triagem'!$E279:$L279,"✔ Concluído")+COUNTIF('E2 — Triagem'!$E279:$L279,"N/A")=8,"Concluído",IF(COUNTIF('E2 — Triagem'!$E279:$L279,"✔ Concluído")+COUNTIF('E2 — Triagem'!$E279:$L279,"🔄 Em andamento")&gt;0,"Em andamento","Não iniciado"))))))))</f>
        <v/>
      </c>
      <c r="G297" s="229" t="str">
        <f>IF($B297="","",IF($F297&lt;&gt;"Concluído","Não iniciado",IF(COUNTIF(Lançamentos!$B$3:$B$1001,$B297)=0,"Bloqueado",IF('E3 — Levantamento'!$D279="","Bloqueado",IF(COUNTIF('E3 — Levantamento'!$E279:$I279,"⛔ Bloqueado")&gt;0,"Bloqueado",IF('E3 — Levantamento'!$I279="N/A","Bloqueado",IF(COUNTIF('E3 — Levantamento'!$E279:$I279,"✔ Concluído")=5,"Concluído",IF(COUNTIF('E3 — Levantamento'!$E279:$I279,"✔ Concluído")+COUNTIF('E3 — Levantamento'!$E279:$I279,"🔄 Em andamento")&gt;0,"Em andamento","Não iniciado"))))))))</f>
        <v/>
      </c>
      <c r="H297" s="229" t="str">
        <f>IF($B297="","",IF($G297&lt;&gt;"Concluído","Não iniciado",IF(COUNTIF(Lançamentos!$B$3:$B$1001,$B297)=0,"Bloqueado",IF('E4 — Execução'!$D279="","Bloqueado",IF(COUNTIF('E4 — Execução'!$E279:$K279,"⛔ Bloqueado")&gt;0,"Bloqueado",IF(COUNTIF('E4 — Execução'!$E279:$K279,"✔ Concluído")=7,"Concluído",IF(COUNTIF('E4 — Execução'!$E279:$K279,"✔ Concluído")+COUNTIF('E4 — Execução'!$E279:$K279,"🔄 Em andamento")&gt;0,"Em andamento","Não iniciado")))))))</f>
        <v/>
      </c>
      <c r="I297" s="229" t="str">
        <f>IF($B297="","",IF($H297&lt;&gt;"Concluído","Não iniciado",IF(COUNTIF(Lançamentos!$B$3:$B$1001,$B297)=0,"Bloqueado",IF('E5 — Validação'!$D279="","Bloqueado",IF(COUNTIF('E5 — Validação'!$E279:$I279,"⛔ Bloqueado")&gt;0,"Bloqueado",IF('E5 — Validação'!$I279="N/A","Bloqueado",IF(AND('E5 — Validação'!$E279="✔ Concluído",'E5 — Validação'!$F279="✔ Concluído",OR('E5 — Validação'!$G279="✔ Concluído",'E5 — Validação'!$G279="N/A"),'E5 — Validação'!$H279="✔ Concluído",'E5 — Validação'!$I279="✔ Concluído"),"Concluído",IF(COUNTIF('E5 — Validação'!$E279:$I279,"✔ Concluído")+COUNTIF('E5 — Validação'!$E279:$I279,"🔄 Em andamento")&gt;0,"Em andamento","Não iniciado"))))))))</f>
        <v/>
      </c>
      <c r="J297" s="229" t="str">
        <f>IF($B297="","",IF($I297&lt;&gt;"Concluído","Não iniciado",IF('E6 — Ajustes'!$N279="Não","N/A",IF(COUNTIF(Lançamentos!$B$3:$B$1001,$B297)=0,"Bloqueado",IF('E6 — Ajustes'!$D279="","Bloqueado",IF(COUNTIF('E6 — Ajustes'!$E279:$J279,"⛔ Bloqueado")&gt;0,"Bloqueado",IF(AND('E6 — Ajustes'!$E279="✔ Concluído",'E6 — Ajustes'!$F279="✔ Concluído",'E6 — Ajustes'!$G279="✔ Concluído",'E6 — Ajustes'!$H279="✔ Concluído",OR('E6 — Ajustes'!$I279="✔ Concluído",'E6 — Ajustes'!$I279="N/A"),'E6 — Ajustes'!$J279="✔ Concluído"),"Concluído",IF(COUNTIF('E6 — Ajustes'!$E279:$J279,"✔ Concluído")+COUNTIF('E6 — Ajustes'!$E279:$J279,"🔄 Em andamento")&gt;0,"Em andamento","Não iniciado"))))))))</f>
        <v/>
      </c>
      <c r="K297" s="229" t="str">
        <f>IF($B297="","",IF($I297&lt;&gt;"Concluído","Não iniciado",IF(AND($J297&lt;&gt;"Concluído",$J297&lt;&gt;"N/A"),"Não iniciado",IF(COUNTIF(Lançamentos!$B$3:$B$1001,$B297)=0,"Bloqueado",IF('E7 — Entrega'!$D279="","Bloqueado",IF(COUNTIF('E7 — Entrega'!$E279:$H279,"⛔ Bloqueado")&gt;0,"Bloqueado",IF(COUNTIF('E7 — Entrega'!$E279:$H279,"✔ Concluído")=4,"Concluído",IF(COUNTIF('E7 — Entrega'!$E279:$H279,"✔ Concluído")+COUNTIF('E7 — Entrega'!$E279:$H279,"🔄 Em andamento")&gt;0,"Em andamento","Não iniciado"))))))))</f>
        <v/>
      </c>
      <c r="L297" s="229" t="str">
        <f>IF($B297="","",IF($K297&lt;&gt;"Concluído","Não iniciado",IF(OR(COUNTIF('E08 — Estabilização Hypercare'!$E279:$J279,"⛔ Bloqueado")&gt;0,'E08 — Estabilização Hypercare'!$N279="⛔ Incidente Crítico — Encerramento Bloqueado",AND('E08 — Estabilização Hypercare'!$N279="🆕 Evolução Identificada — Nova Demanda Aberta",'E08 — Estabilização Hypercare'!$U279="")),"Bloqueado",IF(AND('E08 — Estabilização Hypercare'!$E279="✔ Concluído",'E08 — Estabilização Hypercare'!$F279="✔ Concluído",'E08 — Estabilização Hypercare'!$G279="✔ Concluído",OR('E08 — Estabilização Hypercare'!$H279="✔ Concluído",'E08 — Estabilização Hypercare'!$H279="N/A"),'E08 — Estabilização Hypercare'!$I279="✔ Concluído",'E08 — Estabilização Hypercare'!$J279="✔ Concluído",OR('E08 — Estabilização Hypercare'!$N279="✅ Estável — Demanda Encerrada",AND('E08 — Estabilização Hypercare'!$N279="🆕 Evolução Identificada — Nova Demanda Aberta",'E08 — Estabilização Hypercare'!$U279&lt;&gt;""))),"Concluído",IF(OR(COUNTIF('E08 — Estabilização Hypercare'!$E279:$J279,"✔ Concluído")&gt;0,COUNTIF('E08 — Estabilização Hypercare'!$E279:$J279,"🔄 Em andamento")&gt;0,'E08 — Estabilização Hypercare'!$N279&lt;&gt;""),"Em andamento","Não iniciado")))))</f>
        <v/>
      </c>
      <c r="M297" s="232" t="str" cm="1">
        <f t="array" ref="M297">IF(B297="","",_xlfn.IFS(E297&lt;&gt;"Concluído","E1 — Solicitação",F297&lt;&gt;"Concluído","E2 — Triagem",G297&lt;&gt;"Concluído","E3 — Levantamento ⚠",H297&lt;&gt;"Concluído","E4 — Execução",I297&lt;&gt;"Concluído","E5 — Validação ⚠",AND(J297&lt;&gt;"Concluído",J297&lt;&gt;"N/A"),"E6 — Ajustes",K297&lt;&gt;"Concluído","E7 — Entrega",L297&lt;&gt;"Concluído","E08 — Estabilização / Hypercare",TRUE,"✔ Fluxo concluído"))</f>
        <v/>
      </c>
      <c r="N297" s="233" t="str">
        <f t="shared" si="5"/>
        <v/>
      </c>
      <c r="O297" s="230"/>
    </row>
    <row r="298" spans="2:15" x14ac:dyDescent="0.35">
      <c r="B298" s="229" t="str">
        <f>IF(Lançamentos!$B275="","",Lançamentos!$B275)</f>
        <v/>
      </c>
      <c r="C298" s="231" t="str">
        <f>IF($B298="","",Lançamentos!$J275)</f>
        <v/>
      </c>
      <c r="D298" s="231" t="str">
        <f>IF($B298="","",Lançamentos!$H275)</f>
        <v/>
      </c>
      <c r="E298" s="229" t="str">
        <f>IF($B298="","",IF(COUNTIF(Lançamentos!$B$3:$B$1001,$B298)=0,"Bloqueado",IF(COUNTIF('E1 — Solicitação'!$E280:$L280,"⛔ Bloqueado")&gt;0,"Bloqueado",IF(COUNTIF('E1 — Solicitação'!$E280:$L280,"N/A")=8,"Bloqueado",IF(COUNTIF('E1 — Solicitação'!$E280:$L280,"✔ Concluído")+COUNTIF('E1 — Solicitação'!$E280:$L280,"N/A")=8,"Concluído",IF(COUNTIF('E1 — Solicitação'!$E280:$L280,"✔ Concluído")+COUNTIF('E1 — Solicitação'!$E280:$L280,"🔄 Em andamento")&gt;0,"Em andamento","Não iniciado"))))))</f>
        <v/>
      </c>
      <c r="F298" s="229" t="str">
        <f>IF($B298="","",IF($E298&lt;&gt;"Concluído","Não iniciado",IF(COUNTIF(Lançamentos!$B$3:$B$1001,$B298)=0,"Bloqueado",IF('E2 — Triagem'!$D280="","Bloqueado",IF(COUNTIF('E2 — Triagem'!$E280:$L280,"N/A")=8,"Bloqueado",IF(COUNTIF('E2 — Triagem'!$E280:$L280,"⛔ Bloqueado")&gt;0,"Bloqueado",IF(COUNTIF('E2 — Triagem'!$E280:$L280,"✔ Concluído")+COUNTIF('E2 — Triagem'!$E280:$L280,"N/A")=8,"Concluído",IF(COUNTIF('E2 — Triagem'!$E280:$L280,"✔ Concluído")+COUNTIF('E2 — Triagem'!$E280:$L280,"🔄 Em andamento")&gt;0,"Em andamento","Não iniciado"))))))))</f>
        <v/>
      </c>
      <c r="G298" s="229" t="str">
        <f>IF($B298="","",IF($F298&lt;&gt;"Concluído","Não iniciado",IF(COUNTIF(Lançamentos!$B$3:$B$1001,$B298)=0,"Bloqueado",IF('E3 — Levantamento'!$D280="","Bloqueado",IF(COUNTIF('E3 — Levantamento'!$E280:$I280,"⛔ Bloqueado")&gt;0,"Bloqueado",IF('E3 — Levantamento'!$I280="N/A","Bloqueado",IF(COUNTIF('E3 — Levantamento'!$E280:$I280,"✔ Concluído")=5,"Concluído",IF(COUNTIF('E3 — Levantamento'!$E280:$I280,"✔ Concluído")+COUNTIF('E3 — Levantamento'!$E280:$I280,"🔄 Em andamento")&gt;0,"Em andamento","Não iniciado"))))))))</f>
        <v/>
      </c>
      <c r="H298" s="229" t="str">
        <f>IF($B298="","",IF($G298&lt;&gt;"Concluído","Não iniciado",IF(COUNTIF(Lançamentos!$B$3:$B$1001,$B298)=0,"Bloqueado",IF('E4 — Execução'!$D280="","Bloqueado",IF(COUNTIF('E4 — Execução'!$E280:$K280,"⛔ Bloqueado")&gt;0,"Bloqueado",IF(COUNTIF('E4 — Execução'!$E280:$K280,"✔ Concluído")=7,"Concluído",IF(COUNTIF('E4 — Execução'!$E280:$K280,"✔ Concluído")+COUNTIF('E4 — Execução'!$E280:$K280,"🔄 Em andamento")&gt;0,"Em andamento","Não iniciado")))))))</f>
        <v/>
      </c>
      <c r="I298" s="229" t="str">
        <f>IF($B298="","",IF($H298&lt;&gt;"Concluído","Não iniciado",IF(COUNTIF(Lançamentos!$B$3:$B$1001,$B298)=0,"Bloqueado",IF('E5 — Validação'!$D280="","Bloqueado",IF(COUNTIF('E5 — Validação'!$E280:$I280,"⛔ Bloqueado")&gt;0,"Bloqueado",IF('E5 — Validação'!$I280="N/A","Bloqueado",IF(AND('E5 — Validação'!$E280="✔ Concluído",'E5 — Validação'!$F280="✔ Concluído",OR('E5 — Validação'!$G280="✔ Concluído",'E5 — Validação'!$G280="N/A"),'E5 — Validação'!$H280="✔ Concluído",'E5 — Validação'!$I280="✔ Concluído"),"Concluído",IF(COUNTIF('E5 — Validação'!$E280:$I280,"✔ Concluído")+COUNTIF('E5 — Validação'!$E280:$I280,"🔄 Em andamento")&gt;0,"Em andamento","Não iniciado"))))))))</f>
        <v/>
      </c>
      <c r="J298" s="229" t="str">
        <f>IF($B298="","",IF($I298&lt;&gt;"Concluído","Não iniciado",IF('E6 — Ajustes'!$N280="Não","N/A",IF(COUNTIF(Lançamentos!$B$3:$B$1001,$B298)=0,"Bloqueado",IF('E6 — Ajustes'!$D280="","Bloqueado",IF(COUNTIF('E6 — Ajustes'!$E280:$J280,"⛔ Bloqueado")&gt;0,"Bloqueado",IF(AND('E6 — Ajustes'!$E280="✔ Concluído",'E6 — Ajustes'!$F280="✔ Concluído",'E6 — Ajustes'!$G280="✔ Concluído",'E6 — Ajustes'!$H280="✔ Concluído",OR('E6 — Ajustes'!$I280="✔ Concluído",'E6 — Ajustes'!$I280="N/A"),'E6 — Ajustes'!$J280="✔ Concluído"),"Concluído",IF(COUNTIF('E6 — Ajustes'!$E280:$J280,"✔ Concluído")+COUNTIF('E6 — Ajustes'!$E280:$J280,"🔄 Em andamento")&gt;0,"Em andamento","Não iniciado"))))))))</f>
        <v/>
      </c>
      <c r="K298" s="229" t="str">
        <f>IF($B298="","",IF($I298&lt;&gt;"Concluído","Não iniciado",IF(AND($J298&lt;&gt;"Concluído",$J298&lt;&gt;"N/A"),"Não iniciado",IF(COUNTIF(Lançamentos!$B$3:$B$1001,$B298)=0,"Bloqueado",IF('E7 — Entrega'!$D280="","Bloqueado",IF(COUNTIF('E7 — Entrega'!$E280:$H280,"⛔ Bloqueado")&gt;0,"Bloqueado",IF(COUNTIF('E7 — Entrega'!$E280:$H280,"✔ Concluído")=4,"Concluído",IF(COUNTIF('E7 — Entrega'!$E280:$H280,"✔ Concluído")+COUNTIF('E7 — Entrega'!$E280:$H280,"🔄 Em andamento")&gt;0,"Em andamento","Não iniciado"))))))))</f>
        <v/>
      </c>
      <c r="L298" s="229" t="str">
        <f>IF($B298="","",IF($K298&lt;&gt;"Concluído","Não iniciado",IF(OR(COUNTIF('E08 — Estabilização Hypercare'!$E280:$J280,"⛔ Bloqueado")&gt;0,'E08 — Estabilização Hypercare'!$N280="⛔ Incidente Crítico — Encerramento Bloqueado",AND('E08 — Estabilização Hypercare'!$N280="🆕 Evolução Identificada — Nova Demanda Aberta",'E08 — Estabilização Hypercare'!$U280="")),"Bloqueado",IF(AND('E08 — Estabilização Hypercare'!$E280="✔ Concluído",'E08 — Estabilização Hypercare'!$F280="✔ Concluído",'E08 — Estabilização Hypercare'!$G280="✔ Concluído",OR('E08 — Estabilização Hypercare'!$H280="✔ Concluído",'E08 — Estabilização Hypercare'!$H280="N/A"),'E08 — Estabilização Hypercare'!$I280="✔ Concluído",'E08 — Estabilização Hypercare'!$J280="✔ Concluído",OR('E08 — Estabilização Hypercare'!$N280="✅ Estável — Demanda Encerrada",AND('E08 — Estabilização Hypercare'!$N280="🆕 Evolução Identificada — Nova Demanda Aberta",'E08 — Estabilização Hypercare'!$U280&lt;&gt;""))),"Concluído",IF(OR(COUNTIF('E08 — Estabilização Hypercare'!$E280:$J280,"✔ Concluído")&gt;0,COUNTIF('E08 — Estabilização Hypercare'!$E280:$J280,"🔄 Em andamento")&gt;0,'E08 — Estabilização Hypercare'!$N280&lt;&gt;""),"Em andamento","Não iniciado")))))</f>
        <v/>
      </c>
      <c r="M298" s="232" t="str" cm="1">
        <f t="array" ref="M298">IF(B298="","",_xlfn.IFS(E298&lt;&gt;"Concluído","E1 — Solicitação",F298&lt;&gt;"Concluído","E2 — Triagem",G298&lt;&gt;"Concluído","E3 — Levantamento ⚠",H298&lt;&gt;"Concluído","E4 — Execução",I298&lt;&gt;"Concluído","E5 — Validação ⚠",AND(J298&lt;&gt;"Concluído",J298&lt;&gt;"N/A"),"E6 — Ajustes",K298&lt;&gt;"Concluído","E7 — Entrega",L298&lt;&gt;"Concluído","E08 — Estabilização / Hypercare",TRUE,"✔ Fluxo concluído"))</f>
        <v/>
      </c>
      <c r="N298" s="233" t="str">
        <f t="shared" si="5"/>
        <v/>
      </c>
      <c r="O298" s="230"/>
    </row>
    <row r="299" spans="2:15" x14ac:dyDescent="0.35">
      <c r="B299" s="229" t="str">
        <f>IF(Lançamentos!$B276="","",Lançamentos!$B276)</f>
        <v/>
      </c>
      <c r="C299" s="231" t="str">
        <f>IF($B299="","",Lançamentos!$J276)</f>
        <v/>
      </c>
      <c r="D299" s="231" t="str">
        <f>IF($B299="","",Lançamentos!$H276)</f>
        <v/>
      </c>
      <c r="E299" s="229" t="str">
        <f>IF($B299="","",IF(COUNTIF(Lançamentos!$B$3:$B$1001,$B299)=0,"Bloqueado",IF(COUNTIF('E1 — Solicitação'!$E281:$L281,"⛔ Bloqueado")&gt;0,"Bloqueado",IF(COUNTIF('E1 — Solicitação'!$E281:$L281,"N/A")=8,"Bloqueado",IF(COUNTIF('E1 — Solicitação'!$E281:$L281,"✔ Concluído")+COUNTIF('E1 — Solicitação'!$E281:$L281,"N/A")=8,"Concluído",IF(COUNTIF('E1 — Solicitação'!$E281:$L281,"✔ Concluído")+COUNTIF('E1 — Solicitação'!$E281:$L281,"🔄 Em andamento")&gt;0,"Em andamento","Não iniciado"))))))</f>
        <v/>
      </c>
      <c r="F299" s="229" t="str">
        <f>IF($B299="","",IF($E299&lt;&gt;"Concluído","Não iniciado",IF(COUNTIF(Lançamentos!$B$3:$B$1001,$B299)=0,"Bloqueado",IF('E2 — Triagem'!$D281="","Bloqueado",IF(COUNTIF('E2 — Triagem'!$E281:$L281,"N/A")=8,"Bloqueado",IF(COUNTIF('E2 — Triagem'!$E281:$L281,"⛔ Bloqueado")&gt;0,"Bloqueado",IF(COUNTIF('E2 — Triagem'!$E281:$L281,"✔ Concluído")+COUNTIF('E2 — Triagem'!$E281:$L281,"N/A")=8,"Concluído",IF(COUNTIF('E2 — Triagem'!$E281:$L281,"✔ Concluído")+COUNTIF('E2 — Triagem'!$E281:$L281,"🔄 Em andamento")&gt;0,"Em andamento","Não iniciado"))))))))</f>
        <v/>
      </c>
      <c r="G299" s="229" t="str">
        <f>IF($B299="","",IF($F299&lt;&gt;"Concluído","Não iniciado",IF(COUNTIF(Lançamentos!$B$3:$B$1001,$B299)=0,"Bloqueado",IF('E3 — Levantamento'!$D281="","Bloqueado",IF(COUNTIF('E3 — Levantamento'!$E281:$I281,"⛔ Bloqueado")&gt;0,"Bloqueado",IF('E3 — Levantamento'!$I281="N/A","Bloqueado",IF(COUNTIF('E3 — Levantamento'!$E281:$I281,"✔ Concluído")=5,"Concluído",IF(COUNTIF('E3 — Levantamento'!$E281:$I281,"✔ Concluído")+COUNTIF('E3 — Levantamento'!$E281:$I281,"🔄 Em andamento")&gt;0,"Em andamento","Não iniciado"))))))))</f>
        <v/>
      </c>
      <c r="H299" s="229" t="str">
        <f>IF($B299="","",IF($G299&lt;&gt;"Concluído","Não iniciado",IF(COUNTIF(Lançamentos!$B$3:$B$1001,$B299)=0,"Bloqueado",IF('E4 — Execução'!$D281="","Bloqueado",IF(COUNTIF('E4 — Execução'!$E281:$K281,"⛔ Bloqueado")&gt;0,"Bloqueado",IF(COUNTIF('E4 — Execução'!$E281:$K281,"✔ Concluído")=7,"Concluído",IF(COUNTIF('E4 — Execução'!$E281:$K281,"✔ Concluído")+COUNTIF('E4 — Execução'!$E281:$K281,"🔄 Em andamento")&gt;0,"Em andamento","Não iniciado")))))))</f>
        <v/>
      </c>
      <c r="I299" s="229" t="str">
        <f>IF($B299="","",IF($H299&lt;&gt;"Concluído","Não iniciado",IF(COUNTIF(Lançamentos!$B$3:$B$1001,$B299)=0,"Bloqueado",IF('E5 — Validação'!$D281="","Bloqueado",IF(COUNTIF('E5 — Validação'!$E281:$I281,"⛔ Bloqueado")&gt;0,"Bloqueado",IF('E5 — Validação'!$I281="N/A","Bloqueado",IF(AND('E5 — Validação'!$E281="✔ Concluído",'E5 — Validação'!$F281="✔ Concluído",OR('E5 — Validação'!$G281="✔ Concluído",'E5 — Validação'!$G281="N/A"),'E5 — Validação'!$H281="✔ Concluído",'E5 — Validação'!$I281="✔ Concluído"),"Concluído",IF(COUNTIF('E5 — Validação'!$E281:$I281,"✔ Concluído")+COUNTIF('E5 — Validação'!$E281:$I281,"🔄 Em andamento")&gt;0,"Em andamento","Não iniciado"))))))))</f>
        <v/>
      </c>
      <c r="J299" s="229" t="str">
        <f>IF($B299="","",IF($I299&lt;&gt;"Concluído","Não iniciado",IF('E6 — Ajustes'!$N281="Não","N/A",IF(COUNTIF(Lançamentos!$B$3:$B$1001,$B299)=0,"Bloqueado",IF('E6 — Ajustes'!$D281="","Bloqueado",IF(COUNTIF('E6 — Ajustes'!$E281:$J281,"⛔ Bloqueado")&gt;0,"Bloqueado",IF(AND('E6 — Ajustes'!$E281="✔ Concluído",'E6 — Ajustes'!$F281="✔ Concluído",'E6 — Ajustes'!$G281="✔ Concluído",'E6 — Ajustes'!$H281="✔ Concluído",OR('E6 — Ajustes'!$I281="✔ Concluído",'E6 — Ajustes'!$I281="N/A"),'E6 — Ajustes'!$J281="✔ Concluído"),"Concluído",IF(COUNTIF('E6 — Ajustes'!$E281:$J281,"✔ Concluído")+COUNTIF('E6 — Ajustes'!$E281:$J281,"🔄 Em andamento")&gt;0,"Em andamento","Não iniciado"))))))))</f>
        <v/>
      </c>
      <c r="K299" s="229" t="str">
        <f>IF($B299="","",IF($I299&lt;&gt;"Concluído","Não iniciado",IF(AND($J299&lt;&gt;"Concluído",$J299&lt;&gt;"N/A"),"Não iniciado",IF(COUNTIF(Lançamentos!$B$3:$B$1001,$B299)=0,"Bloqueado",IF('E7 — Entrega'!$D281="","Bloqueado",IF(COUNTIF('E7 — Entrega'!$E281:$H281,"⛔ Bloqueado")&gt;0,"Bloqueado",IF(COUNTIF('E7 — Entrega'!$E281:$H281,"✔ Concluído")=4,"Concluído",IF(COUNTIF('E7 — Entrega'!$E281:$H281,"✔ Concluído")+COUNTIF('E7 — Entrega'!$E281:$H281,"🔄 Em andamento")&gt;0,"Em andamento","Não iniciado"))))))))</f>
        <v/>
      </c>
      <c r="L299" s="229" t="str">
        <f>IF($B299="","",IF($K299&lt;&gt;"Concluído","Não iniciado",IF(OR(COUNTIF('E08 — Estabilização Hypercare'!$E281:$J281,"⛔ Bloqueado")&gt;0,'E08 — Estabilização Hypercare'!$N281="⛔ Incidente Crítico — Encerramento Bloqueado",AND('E08 — Estabilização Hypercare'!$N281="🆕 Evolução Identificada — Nova Demanda Aberta",'E08 — Estabilização Hypercare'!$U281="")),"Bloqueado",IF(AND('E08 — Estabilização Hypercare'!$E281="✔ Concluído",'E08 — Estabilização Hypercare'!$F281="✔ Concluído",'E08 — Estabilização Hypercare'!$G281="✔ Concluído",OR('E08 — Estabilização Hypercare'!$H281="✔ Concluído",'E08 — Estabilização Hypercare'!$H281="N/A"),'E08 — Estabilização Hypercare'!$I281="✔ Concluído",'E08 — Estabilização Hypercare'!$J281="✔ Concluído",OR('E08 — Estabilização Hypercare'!$N281="✅ Estável — Demanda Encerrada",AND('E08 — Estabilização Hypercare'!$N281="🆕 Evolução Identificada — Nova Demanda Aberta",'E08 — Estabilização Hypercare'!$U281&lt;&gt;""))),"Concluído",IF(OR(COUNTIF('E08 — Estabilização Hypercare'!$E281:$J281,"✔ Concluído")&gt;0,COUNTIF('E08 — Estabilização Hypercare'!$E281:$J281,"🔄 Em andamento")&gt;0,'E08 — Estabilização Hypercare'!$N281&lt;&gt;""),"Em andamento","Não iniciado")))))</f>
        <v/>
      </c>
      <c r="M299" s="232" t="str" cm="1">
        <f t="array" ref="M299">IF(B299="","",_xlfn.IFS(E299&lt;&gt;"Concluído","E1 — Solicitação",F299&lt;&gt;"Concluído","E2 — Triagem",G299&lt;&gt;"Concluído","E3 — Levantamento ⚠",H299&lt;&gt;"Concluído","E4 — Execução",I299&lt;&gt;"Concluído","E5 — Validação ⚠",AND(J299&lt;&gt;"Concluído",J299&lt;&gt;"N/A"),"E6 — Ajustes",K299&lt;&gt;"Concluído","E7 — Entrega",L299&lt;&gt;"Concluído","E08 — Estabilização / Hypercare",TRUE,"✔ Fluxo concluído"))</f>
        <v/>
      </c>
      <c r="N299" s="233" t="str">
        <f t="shared" si="5"/>
        <v/>
      </c>
      <c r="O299" s="230"/>
    </row>
    <row r="300" spans="2:15" x14ac:dyDescent="0.35">
      <c r="B300" s="229" t="str">
        <f>IF(Lançamentos!$B277="","",Lançamentos!$B277)</f>
        <v/>
      </c>
      <c r="C300" s="231" t="str">
        <f>IF($B300="","",Lançamentos!$J277)</f>
        <v/>
      </c>
      <c r="D300" s="231" t="str">
        <f>IF($B300="","",Lançamentos!$H277)</f>
        <v/>
      </c>
      <c r="E300" s="229" t="str">
        <f>IF($B300="","",IF(COUNTIF(Lançamentos!$B$3:$B$1001,$B300)=0,"Bloqueado",IF(COUNTIF('E1 — Solicitação'!$E282:$L282,"⛔ Bloqueado")&gt;0,"Bloqueado",IF(COUNTIF('E1 — Solicitação'!$E282:$L282,"N/A")=8,"Bloqueado",IF(COUNTIF('E1 — Solicitação'!$E282:$L282,"✔ Concluído")+COUNTIF('E1 — Solicitação'!$E282:$L282,"N/A")=8,"Concluído",IF(COUNTIF('E1 — Solicitação'!$E282:$L282,"✔ Concluído")+COUNTIF('E1 — Solicitação'!$E282:$L282,"🔄 Em andamento")&gt;0,"Em andamento","Não iniciado"))))))</f>
        <v/>
      </c>
      <c r="F300" s="229" t="str">
        <f>IF($B300="","",IF($E300&lt;&gt;"Concluído","Não iniciado",IF(COUNTIF(Lançamentos!$B$3:$B$1001,$B300)=0,"Bloqueado",IF('E2 — Triagem'!$D282="","Bloqueado",IF(COUNTIF('E2 — Triagem'!$E282:$L282,"N/A")=8,"Bloqueado",IF(COUNTIF('E2 — Triagem'!$E282:$L282,"⛔ Bloqueado")&gt;0,"Bloqueado",IF(COUNTIF('E2 — Triagem'!$E282:$L282,"✔ Concluído")+COUNTIF('E2 — Triagem'!$E282:$L282,"N/A")=8,"Concluído",IF(COUNTIF('E2 — Triagem'!$E282:$L282,"✔ Concluído")+COUNTIF('E2 — Triagem'!$E282:$L282,"🔄 Em andamento")&gt;0,"Em andamento","Não iniciado"))))))))</f>
        <v/>
      </c>
      <c r="G300" s="229" t="str">
        <f>IF($B300="","",IF($F300&lt;&gt;"Concluído","Não iniciado",IF(COUNTIF(Lançamentos!$B$3:$B$1001,$B300)=0,"Bloqueado",IF('E3 — Levantamento'!$D282="","Bloqueado",IF(COUNTIF('E3 — Levantamento'!$E282:$I282,"⛔ Bloqueado")&gt;0,"Bloqueado",IF('E3 — Levantamento'!$I282="N/A","Bloqueado",IF(COUNTIF('E3 — Levantamento'!$E282:$I282,"✔ Concluído")=5,"Concluído",IF(COUNTIF('E3 — Levantamento'!$E282:$I282,"✔ Concluído")+COUNTIF('E3 — Levantamento'!$E282:$I282,"🔄 Em andamento")&gt;0,"Em andamento","Não iniciado"))))))))</f>
        <v/>
      </c>
      <c r="H300" s="229" t="str">
        <f>IF($B300="","",IF($G300&lt;&gt;"Concluído","Não iniciado",IF(COUNTIF(Lançamentos!$B$3:$B$1001,$B300)=0,"Bloqueado",IF('E4 — Execução'!$D282="","Bloqueado",IF(COUNTIF('E4 — Execução'!$E282:$K282,"⛔ Bloqueado")&gt;0,"Bloqueado",IF(COUNTIF('E4 — Execução'!$E282:$K282,"✔ Concluído")=7,"Concluído",IF(COUNTIF('E4 — Execução'!$E282:$K282,"✔ Concluído")+COUNTIF('E4 — Execução'!$E282:$K282,"🔄 Em andamento")&gt;0,"Em andamento","Não iniciado")))))))</f>
        <v/>
      </c>
      <c r="I300" s="229" t="str">
        <f>IF($B300="","",IF($H300&lt;&gt;"Concluído","Não iniciado",IF(COUNTIF(Lançamentos!$B$3:$B$1001,$B300)=0,"Bloqueado",IF('E5 — Validação'!$D282="","Bloqueado",IF(COUNTIF('E5 — Validação'!$E282:$I282,"⛔ Bloqueado")&gt;0,"Bloqueado",IF('E5 — Validação'!$I282="N/A","Bloqueado",IF(AND('E5 — Validação'!$E282="✔ Concluído",'E5 — Validação'!$F282="✔ Concluído",OR('E5 — Validação'!$G282="✔ Concluído",'E5 — Validação'!$G282="N/A"),'E5 — Validação'!$H282="✔ Concluído",'E5 — Validação'!$I282="✔ Concluído"),"Concluído",IF(COUNTIF('E5 — Validação'!$E282:$I282,"✔ Concluído")+COUNTIF('E5 — Validação'!$E282:$I282,"🔄 Em andamento")&gt;0,"Em andamento","Não iniciado"))))))))</f>
        <v/>
      </c>
      <c r="J300" s="229" t="str">
        <f>IF($B300="","",IF($I300&lt;&gt;"Concluído","Não iniciado",IF('E6 — Ajustes'!$N282="Não","N/A",IF(COUNTIF(Lançamentos!$B$3:$B$1001,$B300)=0,"Bloqueado",IF('E6 — Ajustes'!$D282="","Bloqueado",IF(COUNTIF('E6 — Ajustes'!$E282:$J282,"⛔ Bloqueado")&gt;0,"Bloqueado",IF(AND('E6 — Ajustes'!$E282="✔ Concluído",'E6 — Ajustes'!$F282="✔ Concluído",'E6 — Ajustes'!$G282="✔ Concluído",'E6 — Ajustes'!$H282="✔ Concluído",OR('E6 — Ajustes'!$I282="✔ Concluído",'E6 — Ajustes'!$I282="N/A"),'E6 — Ajustes'!$J282="✔ Concluído"),"Concluído",IF(COUNTIF('E6 — Ajustes'!$E282:$J282,"✔ Concluído")+COUNTIF('E6 — Ajustes'!$E282:$J282,"🔄 Em andamento")&gt;0,"Em andamento","Não iniciado"))))))))</f>
        <v/>
      </c>
      <c r="K300" s="229" t="str">
        <f>IF($B300="","",IF($I300&lt;&gt;"Concluído","Não iniciado",IF(AND($J300&lt;&gt;"Concluído",$J300&lt;&gt;"N/A"),"Não iniciado",IF(COUNTIF(Lançamentos!$B$3:$B$1001,$B300)=0,"Bloqueado",IF('E7 — Entrega'!$D282="","Bloqueado",IF(COUNTIF('E7 — Entrega'!$E282:$H282,"⛔ Bloqueado")&gt;0,"Bloqueado",IF(COUNTIF('E7 — Entrega'!$E282:$H282,"✔ Concluído")=4,"Concluído",IF(COUNTIF('E7 — Entrega'!$E282:$H282,"✔ Concluído")+COUNTIF('E7 — Entrega'!$E282:$H282,"🔄 Em andamento")&gt;0,"Em andamento","Não iniciado"))))))))</f>
        <v/>
      </c>
      <c r="L300" s="229" t="str">
        <f>IF($B300="","",IF($K300&lt;&gt;"Concluído","Não iniciado",IF(OR(COUNTIF('E08 — Estabilização Hypercare'!$E282:$J282,"⛔ Bloqueado")&gt;0,'E08 — Estabilização Hypercare'!$N282="⛔ Incidente Crítico — Encerramento Bloqueado",AND('E08 — Estabilização Hypercare'!$N282="🆕 Evolução Identificada — Nova Demanda Aberta",'E08 — Estabilização Hypercare'!$U282="")),"Bloqueado",IF(AND('E08 — Estabilização Hypercare'!$E282="✔ Concluído",'E08 — Estabilização Hypercare'!$F282="✔ Concluído",'E08 — Estabilização Hypercare'!$G282="✔ Concluído",OR('E08 — Estabilização Hypercare'!$H282="✔ Concluído",'E08 — Estabilização Hypercare'!$H282="N/A"),'E08 — Estabilização Hypercare'!$I282="✔ Concluído",'E08 — Estabilização Hypercare'!$J282="✔ Concluído",OR('E08 — Estabilização Hypercare'!$N282="✅ Estável — Demanda Encerrada",AND('E08 — Estabilização Hypercare'!$N282="🆕 Evolução Identificada — Nova Demanda Aberta",'E08 — Estabilização Hypercare'!$U282&lt;&gt;""))),"Concluído",IF(OR(COUNTIF('E08 — Estabilização Hypercare'!$E282:$J282,"✔ Concluído")&gt;0,COUNTIF('E08 — Estabilização Hypercare'!$E282:$J282,"🔄 Em andamento")&gt;0,'E08 — Estabilização Hypercare'!$N282&lt;&gt;""),"Em andamento","Não iniciado")))))</f>
        <v/>
      </c>
      <c r="M300" s="232" t="str" cm="1">
        <f t="array" ref="M300">IF(B300="","",_xlfn.IFS(E300&lt;&gt;"Concluído","E1 — Solicitação",F300&lt;&gt;"Concluído","E2 — Triagem",G300&lt;&gt;"Concluído","E3 — Levantamento ⚠",H300&lt;&gt;"Concluído","E4 — Execução",I300&lt;&gt;"Concluído","E5 — Validação ⚠",AND(J300&lt;&gt;"Concluído",J300&lt;&gt;"N/A"),"E6 — Ajustes",K300&lt;&gt;"Concluído","E7 — Entrega",L300&lt;&gt;"Concluído","E08 — Estabilização / Hypercare",TRUE,"✔ Fluxo concluído"))</f>
        <v/>
      </c>
      <c r="N300" s="233" t="str">
        <f t="shared" si="5"/>
        <v/>
      </c>
      <c r="O300" s="230"/>
    </row>
    <row r="301" spans="2:15" x14ac:dyDescent="0.35">
      <c r="B301" s="229" t="str">
        <f>IF(Lançamentos!$B278="","",Lançamentos!$B278)</f>
        <v/>
      </c>
      <c r="C301" s="231" t="str">
        <f>IF($B301="","",Lançamentos!$J278)</f>
        <v/>
      </c>
      <c r="D301" s="231" t="str">
        <f>IF($B301="","",Lançamentos!$H278)</f>
        <v/>
      </c>
      <c r="E301" s="229" t="str">
        <f>IF($B301="","",IF(COUNTIF(Lançamentos!$B$3:$B$1001,$B301)=0,"Bloqueado",IF(COUNTIF('E1 — Solicitação'!$E283:$L283,"⛔ Bloqueado")&gt;0,"Bloqueado",IF(COUNTIF('E1 — Solicitação'!$E283:$L283,"N/A")=8,"Bloqueado",IF(COUNTIF('E1 — Solicitação'!$E283:$L283,"✔ Concluído")+COUNTIF('E1 — Solicitação'!$E283:$L283,"N/A")=8,"Concluído",IF(COUNTIF('E1 — Solicitação'!$E283:$L283,"✔ Concluído")+COUNTIF('E1 — Solicitação'!$E283:$L283,"🔄 Em andamento")&gt;0,"Em andamento","Não iniciado"))))))</f>
        <v/>
      </c>
      <c r="F301" s="229" t="str">
        <f>IF($B301="","",IF($E301&lt;&gt;"Concluído","Não iniciado",IF(COUNTIF(Lançamentos!$B$3:$B$1001,$B301)=0,"Bloqueado",IF('E2 — Triagem'!$D283="","Bloqueado",IF(COUNTIF('E2 — Triagem'!$E283:$L283,"N/A")=8,"Bloqueado",IF(COUNTIF('E2 — Triagem'!$E283:$L283,"⛔ Bloqueado")&gt;0,"Bloqueado",IF(COUNTIF('E2 — Triagem'!$E283:$L283,"✔ Concluído")+COUNTIF('E2 — Triagem'!$E283:$L283,"N/A")=8,"Concluído",IF(COUNTIF('E2 — Triagem'!$E283:$L283,"✔ Concluído")+COUNTIF('E2 — Triagem'!$E283:$L283,"🔄 Em andamento")&gt;0,"Em andamento","Não iniciado"))))))))</f>
        <v/>
      </c>
      <c r="G301" s="229" t="str">
        <f>IF($B301="","",IF($F301&lt;&gt;"Concluído","Não iniciado",IF(COUNTIF(Lançamentos!$B$3:$B$1001,$B301)=0,"Bloqueado",IF('E3 — Levantamento'!$D283="","Bloqueado",IF(COUNTIF('E3 — Levantamento'!$E283:$I283,"⛔ Bloqueado")&gt;0,"Bloqueado",IF('E3 — Levantamento'!$I283="N/A","Bloqueado",IF(COUNTIF('E3 — Levantamento'!$E283:$I283,"✔ Concluído")=5,"Concluído",IF(COUNTIF('E3 — Levantamento'!$E283:$I283,"✔ Concluído")+COUNTIF('E3 — Levantamento'!$E283:$I283,"🔄 Em andamento")&gt;0,"Em andamento","Não iniciado"))))))))</f>
        <v/>
      </c>
      <c r="H301" s="229" t="str">
        <f>IF($B301="","",IF($G301&lt;&gt;"Concluído","Não iniciado",IF(COUNTIF(Lançamentos!$B$3:$B$1001,$B301)=0,"Bloqueado",IF('E4 — Execução'!$D283="","Bloqueado",IF(COUNTIF('E4 — Execução'!$E283:$K283,"⛔ Bloqueado")&gt;0,"Bloqueado",IF(COUNTIF('E4 — Execução'!$E283:$K283,"✔ Concluído")=7,"Concluído",IF(COUNTIF('E4 — Execução'!$E283:$K283,"✔ Concluído")+COUNTIF('E4 — Execução'!$E283:$K283,"🔄 Em andamento")&gt;0,"Em andamento","Não iniciado")))))))</f>
        <v/>
      </c>
      <c r="I301" s="229" t="str">
        <f>IF($B301="","",IF($H301&lt;&gt;"Concluído","Não iniciado",IF(COUNTIF(Lançamentos!$B$3:$B$1001,$B301)=0,"Bloqueado",IF('E5 — Validação'!$D283="","Bloqueado",IF(COUNTIF('E5 — Validação'!$E283:$I283,"⛔ Bloqueado")&gt;0,"Bloqueado",IF('E5 — Validação'!$I283="N/A","Bloqueado",IF(AND('E5 — Validação'!$E283="✔ Concluído",'E5 — Validação'!$F283="✔ Concluído",OR('E5 — Validação'!$G283="✔ Concluído",'E5 — Validação'!$G283="N/A"),'E5 — Validação'!$H283="✔ Concluído",'E5 — Validação'!$I283="✔ Concluído"),"Concluído",IF(COUNTIF('E5 — Validação'!$E283:$I283,"✔ Concluído")+COUNTIF('E5 — Validação'!$E283:$I283,"🔄 Em andamento")&gt;0,"Em andamento","Não iniciado"))))))))</f>
        <v/>
      </c>
      <c r="J301" s="229" t="str">
        <f>IF($B301="","",IF($I301&lt;&gt;"Concluído","Não iniciado",IF('E6 — Ajustes'!$N283="Não","N/A",IF(COUNTIF(Lançamentos!$B$3:$B$1001,$B301)=0,"Bloqueado",IF('E6 — Ajustes'!$D283="","Bloqueado",IF(COUNTIF('E6 — Ajustes'!$E283:$J283,"⛔ Bloqueado")&gt;0,"Bloqueado",IF(AND('E6 — Ajustes'!$E283="✔ Concluído",'E6 — Ajustes'!$F283="✔ Concluído",'E6 — Ajustes'!$G283="✔ Concluído",'E6 — Ajustes'!$H283="✔ Concluído",OR('E6 — Ajustes'!$I283="✔ Concluído",'E6 — Ajustes'!$I283="N/A"),'E6 — Ajustes'!$J283="✔ Concluído"),"Concluído",IF(COUNTIF('E6 — Ajustes'!$E283:$J283,"✔ Concluído")+COUNTIF('E6 — Ajustes'!$E283:$J283,"🔄 Em andamento")&gt;0,"Em andamento","Não iniciado"))))))))</f>
        <v/>
      </c>
      <c r="K301" s="229" t="str">
        <f>IF($B301="","",IF($I301&lt;&gt;"Concluído","Não iniciado",IF(AND($J301&lt;&gt;"Concluído",$J301&lt;&gt;"N/A"),"Não iniciado",IF(COUNTIF(Lançamentos!$B$3:$B$1001,$B301)=0,"Bloqueado",IF('E7 — Entrega'!$D283="","Bloqueado",IF(COUNTIF('E7 — Entrega'!$E283:$H283,"⛔ Bloqueado")&gt;0,"Bloqueado",IF(COUNTIF('E7 — Entrega'!$E283:$H283,"✔ Concluído")=4,"Concluído",IF(COUNTIF('E7 — Entrega'!$E283:$H283,"✔ Concluído")+COUNTIF('E7 — Entrega'!$E283:$H283,"🔄 Em andamento")&gt;0,"Em andamento","Não iniciado"))))))))</f>
        <v/>
      </c>
      <c r="L301" s="229" t="str">
        <f>IF($B301="","",IF($K301&lt;&gt;"Concluído","Não iniciado",IF(OR(COUNTIF('E08 — Estabilização Hypercare'!$E283:$J283,"⛔ Bloqueado")&gt;0,'E08 — Estabilização Hypercare'!$N283="⛔ Incidente Crítico — Encerramento Bloqueado",AND('E08 — Estabilização Hypercare'!$N283="🆕 Evolução Identificada — Nova Demanda Aberta",'E08 — Estabilização Hypercare'!$U283="")),"Bloqueado",IF(AND('E08 — Estabilização Hypercare'!$E283="✔ Concluído",'E08 — Estabilização Hypercare'!$F283="✔ Concluído",'E08 — Estabilização Hypercare'!$G283="✔ Concluído",OR('E08 — Estabilização Hypercare'!$H283="✔ Concluído",'E08 — Estabilização Hypercare'!$H283="N/A"),'E08 — Estabilização Hypercare'!$I283="✔ Concluído",'E08 — Estabilização Hypercare'!$J283="✔ Concluído",OR('E08 — Estabilização Hypercare'!$N283="✅ Estável — Demanda Encerrada",AND('E08 — Estabilização Hypercare'!$N283="🆕 Evolução Identificada — Nova Demanda Aberta",'E08 — Estabilização Hypercare'!$U283&lt;&gt;""))),"Concluído",IF(OR(COUNTIF('E08 — Estabilização Hypercare'!$E283:$J283,"✔ Concluído")&gt;0,COUNTIF('E08 — Estabilização Hypercare'!$E283:$J283,"🔄 Em andamento")&gt;0,'E08 — Estabilização Hypercare'!$N283&lt;&gt;""),"Em andamento","Não iniciado")))))</f>
        <v/>
      </c>
      <c r="M301" s="232" t="str" cm="1">
        <f t="array" ref="M301">IF(B301="","",_xlfn.IFS(E301&lt;&gt;"Concluído","E1 — Solicitação",F301&lt;&gt;"Concluído","E2 — Triagem",G301&lt;&gt;"Concluído","E3 — Levantamento ⚠",H301&lt;&gt;"Concluído","E4 — Execução",I301&lt;&gt;"Concluído","E5 — Validação ⚠",AND(J301&lt;&gt;"Concluído",J301&lt;&gt;"N/A"),"E6 — Ajustes",K301&lt;&gt;"Concluído","E7 — Entrega",L301&lt;&gt;"Concluído","E08 — Estabilização / Hypercare",TRUE,"✔ Fluxo concluído"))</f>
        <v/>
      </c>
      <c r="N301" s="233" t="str">
        <f t="shared" si="5"/>
        <v/>
      </c>
      <c r="O301" s="230"/>
    </row>
    <row r="302" spans="2:15" x14ac:dyDescent="0.35">
      <c r="B302" s="229" t="str">
        <f>IF(Lançamentos!$B279="","",Lançamentos!$B279)</f>
        <v/>
      </c>
      <c r="C302" s="231" t="str">
        <f>IF($B302="","",Lançamentos!$J279)</f>
        <v/>
      </c>
      <c r="D302" s="231" t="str">
        <f>IF($B302="","",Lançamentos!$H279)</f>
        <v/>
      </c>
      <c r="E302" s="229" t="str">
        <f>IF($B302="","",IF(COUNTIF(Lançamentos!$B$3:$B$1001,$B302)=0,"Bloqueado",IF(COUNTIF('E1 — Solicitação'!$E284:$L284,"⛔ Bloqueado")&gt;0,"Bloqueado",IF(COUNTIF('E1 — Solicitação'!$E284:$L284,"N/A")=8,"Bloqueado",IF(COUNTIF('E1 — Solicitação'!$E284:$L284,"✔ Concluído")+COUNTIF('E1 — Solicitação'!$E284:$L284,"N/A")=8,"Concluído",IF(COUNTIF('E1 — Solicitação'!$E284:$L284,"✔ Concluído")+COUNTIF('E1 — Solicitação'!$E284:$L284,"🔄 Em andamento")&gt;0,"Em andamento","Não iniciado"))))))</f>
        <v/>
      </c>
      <c r="F302" s="229" t="str">
        <f>IF($B302="","",IF($E302&lt;&gt;"Concluído","Não iniciado",IF(COUNTIF(Lançamentos!$B$3:$B$1001,$B302)=0,"Bloqueado",IF('E2 — Triagem'!$D284="","Bloqueado",IF(COUNTIF('E2 — Triagem'!$E284:$L284,"N/A")=8,"Bloqueado",IF(COUNTIF('E2 — Triagem'!$E284:$L284,"⛔ Bloqueado")&gt;0,"Bloqueado",IF(COUNTIF('E2 — Triagem'!$E284:$L284,"✔ Concluído")+COUNTIF('E2 — Triagem'!$E284:$L284,"N/A")=8,"Concluído",IF(COUNTIF('E2 — Triagem'!$E284:$L284,"✔ Concluído")+COUNTIF('E2 — Triagem'!$E284:$L284,"🔄 Em andamento")&gt;0,"Em andamento","Não iniciado"))))))))</f>
        <v/>
      </c>
      <c r="G302" s="229" t="str">
        <f>IF($B302="","",IF($F302&lt;&gt;"Concluído","Não iniciado",IF(COUNTIF(Lançamentos!$B$3:$B$1001,$B302)=0,"Bloqueado",IF('E3 — Levantamento'!$D284="","Bloqueado",IF(COUNTIF('E3 — Levantamento'!$E284:$I284,"⛔ Bloqueado")&gt;0,"Bloqueado",IF('E3 — Levantamento'!$I284="N/A","Bloqueado",IF(COUNTIF('E3 — Levantamento'!$E284:$I284,"✔ Concluído")=5,"Concluído",IF(COUNTIF('E3 — Levantamento'!$E284:$I284,"✔ Concluído")+COUNTIF('E3 — Levantamento'!$E284:$I284,"🔄 Em andamento")&gt;0,"Em andamento","Não iniciado"))))))))</f>
        <v/>
      </c>
      <c r="H302" s="229" t="str">
        <f>IF($B302="","",IF($G302&lt;&gt;"Concluído","Não iniciado",IF(COUNTIF(Lançamentos!$B$3:$B$1001,$B302)=0,"Bloqueado",IF('E4 — Execução'!$D284="","Bloqueado",IF(COUNTIF('E4 — Execução'!$E284:$K284,"⛔ Bloqueado")&gt;0,"Bloqueado",IF(COUNTIF('E4 — Execução'!$E284:$K284,"✔ Concluído")=7,"Concluído",IF(COUNTIF('E4 — Execução'!$E284:$K284,"✔ Concluído")+COUNTIF('E4 — Execução'!$E284:$K284,"🔄 Em andamento")&gt;0,"Em andamento","Não iniciado")))))))</f>
        <v/>
      </c>
      <c r="I302" s="229" t="str">
        <f>IF($B302="","",IF($H302&lt;&gt;"Concluído","Não iniciado",IF(COUNTIF(Lançamentos!$B$3:$B$1001,$B302)=0,"Bloqueado",IF('E5 — Validação'!$D284="","Bloqueado",IF(COUNTIF('E5 — Validação'!$E284:$I284,"⛔ Bloqueado")&gt;0,"Bloqueado",IF('E5 — Validação'!$I284="N/A","Bloqueado",IF(AND('E5 — Validação'!$E284="✔ Concluído",'E5 — Validação'!$F284="✔ Concluído",OR('E5 — Validação'!$G284="✔ Concluído",'E5 — Validação'!$G284="N/A"),'E5 — Validação'!$H284="✔ Concluído",'E5 — Validação'!$I284="✔ Concluído"),"Concluído",IF(COUNTIF('E5 — Validação'!$E284:$I284,"✔ Concluído")+COUNTIF('E5 — Validação'!$E284:$I284,"🔄 Em andamento")&gt;0,"Em andamento","Não iniciado"))))))))</f>
        <v/>
      </c>
      <c r="J302" s="229" t="str">
        <f>IF($B302="","",IF($I302&lt;&gt;"Concluído","Não iniciado",IF('E6 — Ajustes'!$N284="Não","N/A",IF(COUNTIF(Lançamentos!$B$3:$B$1001,$B302)=0,"Bloqueado",IF('E6 — Ajustes'!$D284="","Bloqueado",IF(COUNTIF('E6 — Ajustes'!$E284:$J284,"⛔ Bloqueado")&gt;0,"Bloqueado",IF(AND('E6 — Ajustes'!$E284="✔ Concluído",'E6 — Ajustes'!$F284="✔ Concluído",'E6 — Ajustes'!$G284="✔ Concluído",'E6 — Ajustes'!$H284="✔ Concluído",OR('E6 — Ajustes'!$I284="✔ Concluído",'E6 — Ajustes'!$I284="N/A"),'E6 — Ajustes'!$J284="✔ Concluído"),"Concluído",IF(COUNTIF('E6 — Ajustes'!$E284:$J284,"✔ Concluído")+COUNTIF('E6 — Ajustes'!$E284:$J284,"🔄 Em andamento")&gt;0,"Em andamento","Não iniciado"))))))))</f>
        <v/>
      </c>
      <c r="K302" s="229" t="str">
        <f>IF($B302="","",IF($I302&lt;&gt;"Concluído","Não iniciado",IF(AND($J302&lt;&gt;"Concluído",$J302&lt;&gt;"N/A"),"Não iniciado",IF(COUNTIF(Lançamentos!$B$3:$B$1001,$B302)=0,"Bloqueado",IF('E7 — Entrega'!$D284="","Bloqueado",IF(COUNTIF('E7 — Entrega'!$E284:$H284,"⛔ Bloqueado")&gt;0,"Bloqueado",IF(COUNTIF('E7 — Entrega'!$E284:$H284,"✔ Concluído")=4,"Concluído",IF(COUNTIF('E7 — Entrega'!$E284:$H284,"✔ Concluído")+COUNTIF('E7 — Entrega'!$E284:$H284,"🔄 Em andamento")&gt;0,"Em andamento","Não iniciado"))))))))</f>
        <v/>
      </c>
      <c r="L302" s="229" t="str">
        <f>IF($B302="","",IF($K302&lt;&gt;"Concluído","Não iniciado",IF(OR(COUNTIF('E08 — Estabilização Hypercare'!$E284:$J284,"⛔ Bloqueado")&gt;0,'E08 — Estabilização Hypercare'!$N284="⛔ Incidente Crítico — Encerramento Bloqueado",AND('E08 — Estabilização Hypercare'!$N284="🆕 Evolução Identificada — Nova Demanda Aberta",'E08 — Estabilização Hypercare'!$U284="")),"Bloqueado",IF(AND('E08 — Estabilização Hypercare'!$E284="✔ Concluído",'E08 — Estabilização Hypercare'!$F284="✔ Concluído",'E08 — Estabilização Hypercare'!$G284="✔ Concluído",OR('E08 — Estabilização Hypercare'!$H284="✔ Concluído",'E08 — Estabilização Hypercare'!$H284="N/A"),'E08 — Estabilização Hypercare'!$I284="✔ Concluído",'E08 — Estabilização Hypercare'!$J284="✔ Concluído",OR('E08 — Estabilização Hypercare'!$N284="✅ Estável — Demanda Encerrada",AND('E08 — Estabilização Hypercare'!$N284="🆕 Evolução Identificada — Nova Demanda Aberta",'E08 — Estabilização Hypercare'!$U284&lt;&gt;""))),"Concluído",IF(OR(COUNTIF('E08 — Estabilização Hypercare'!$E284:$J284,"✔ Concluído")&gt;0,COUNTIF('E08 — Estabilização Hypercare'!$E284:$J284,"🔄 Em andamento")&gt;0,'E08 — Estabilização Hypercare'!$N284&lt;&gt;""),"Em andamento","Não iniciado")))))</f>
        <v/>
      </c>
      <c r="M302" s="232" t="str" cm="1">
        <f t="array" ref="M302">IF(B302="","",_xlfn.IFS(E302&lt;&gt;"Concluído","E1 — Solicitação",F302&lt;&gt;"Concluído","E2 — Triagem",G302&lt;&gt;"Concluído","E3 — Levantamento ⚠",H302&lt;&gt;"Concluído","E4 — Execução",I302&lt;&gt;"Concluído","E5 — Validação ⚠",AND(J302&lt;&gt;"Concluído",J302&lt;&gt;"N/A"),"E6 — Ajustes",K302&lt;&gt;"Concluído","E7 — Entrega",L302&lt;&gt;"Concluído","E08 — Estabilização / Hypercare",TRUE,"✔ Fluxo concluído"))</f>
        <v/>
      </c>
      <c r="N302" s="233" t="str">
        <f t="shared" si="5"/>
        <v/>
      </c>
      <c r="O302" s="230"/>
    </row>
    <row r="303" spans="2:15" x14ac:dyDescent="0.35">
      <c r="B303" s="229" t="str">
        <f>IF(Lançamentos!$B280="","",Lançamentos!$B280)</f>
        <v/>
      </c>
      <c r="C303" s="231" t="str">
        <f>IF($B303="","",Lançamentos!$J280)</f>
        <v/>
      </c>
      <c r="D303" s="231" t="str">
        <f>IF($B303="","",Lançamentos!$H280)</f>
        <v/>
      </c>
      <c r="E303" s="229" t="str">
        <f>IF($B303="","",IF(COUNTIF(Lançamentos!$B$3:$B$1001,$B303)=0,"Bloqueado",IF(COUNTIF('E1 — Solicitação'!$E285:$L285,"⛔ Bloqueado")&gt;0,"Bloqueado",IF(COUNTIF('E1 — Solicitação'!$E285:$L285,"N/A")=8,"Bloqueado",IF(COUNTIF('E1 — Solicitação'!$E285:$L285,"✔ Concluído")+COUNTIF('E1 — Solicitação'!$E285:$L285,"N/A")=8,"Concluído",IF(COUNTIF('E1 — Solicitação'!$E285:$L285,"✔ Concluído")+COUNTIF('E1 — Solicitação'!$E285:$L285,"🔄 Em andamento")&gt;0,"Em andamento","Não iniciado"))))))</f>
        <v/>
      </c>
      <c r="F303" s="229" t="str">
        <f>IF($B303="","",IF($E303&lt;&gt;"Concluído","Não iniciado",IF(COUNTIF(Lançamentos!$B$3:$B$1001,$B303)=0,"Bloqueado",IF('E2 — Triagem'!$D285="","Bloqueado",IF(COUNTIF('E2 — Triagem'!$E285:$L285,"N/A")=8,"Bloqueado",IF(COUNTIF('E2 — Triagem'!$E285:$L285,"⛔ Bloqueado")&gt;0,"Bloqueado",IF(COUNTIF('E2 — Triagem'!$E285:$L285,"✔ Concluído")+COUNTIF('E2 — Triagem'!$E285:$L285,"N/A")=8,"Concluído",IF(COUNTIF('E2 — Triagem'!$E285:$L285,"✔ Concluído")+COUNTIF('E2 — Triagem'!$E285:$L285,"🔄 Em andamento")&gt;0,"Em andamento","Não iniciado"))))))))</f>
        <v/>
      </c>
      <c r="G303" s="229" t="str">
        <f>IF($B303="","",IF($F303&lt;&gt;"Concluído","Não iniciado",IF(COUNTIF(Lançamentos!$B$3:$B$1001,$B303)=0,"Bloqueado",IF('E3 — Levantamento'!$D285="","Bloqueado",IF(COUNTIF('E3 — Levantamento'!$E285:$I285,"⛔ Bloqueado")&gt;0,"Bloqueado",IF('E3 — Levantamento'!$I285="N/A","Bloqueado",IF(COUNTIF('E3 — Levantamento'!$E285:$I285,"✔ Concluído")=5,"Concluído",IF(COUNTIF('E3 — Levantamento'!$E285:$I285,"✔ Concluído")+COUNTIF('E3 — Levantamento'!$E285:$I285,"🔄 Em andamento")&gt;0,"Em andamento","Não iniciado"))))))))</f>
        <v/>
      </c>
      <c r="H303" s="229" t="str">
        <f>IF($B303="","",IF($G303&lt;&gt;"Concluído","Não iniciado",IF(COUNTIF(Lançamentos!$B$3:$B$1001,$B303)=0,"Bloqueado",IF('E4 — Execução'!$D285="","Bloqueado",IF(COUNTIF('E4 — Execução'!$E285:$K285,"⛔ Bloqueado")&gt;0,"Bloqueado",IF(COUNTIF('E4 — Execução'!$E285:$K285,"✔ Concluído")=7,"Concluído",IF(COUNTIF('E4 — Execução'!$E285:$K285,"✔ Concluído")+COUNTIF('E4 — Execução'!$E285:$K285,"🔄 Em andamento")&gt;0,"Em andamento","Não iniciado")))))))</f>
        <v/>
      </c>
      <c r="I303" s="229" t="str">
        <f>IF($B303="","",IF($H303&lt;&gt;"Concluído","Não iniciado",IF(COUNTIF(Lançamentos!$B$3:$B$1001,$B303)=0,"Bloqueado",IF('E5 — Validação'!$D285="","Bloqueado",IF(COUNTIF('E5 — Validação'!$E285:$I285,"⛔ Bloqueado")&gt;0,"Bloqueado",IF('E5 — Validação'!$I285="N/A","Bloqueado",IF(AND('E5 — Validação'!$E285="✔ Concluído",'E5 — Validação'!$F285="✔ Concluído",OR('E5 — Validação'!$G285="✔ Concluído",'E5 — Validação'!$G285="N/A"),'E5 — Validação'!$H285="✔ Concluído",'E5 — Validação'!$I285="✔ Concluído"),"Concluído",IF(COUNTIF('E5 — Validação'!$E285:$I285,"✔ Concluído")+COUNTIF('E5 — Validação'!$E285:$I285,"🔄 Em andamento")&gt;0,"Em andamento","Não iniciado"))))))))</f>
        <v/>
      </c>
      <c r="J303" s="229" t="str">
        <f>IF($B303="","",IF($I303&lt;&gt;"Concluído","Não iniciado",IF('E6 — Ajustes'!$N285="Não","N/A",IF(COUNTIF(Lançamentos!$B$3:$B$1001,$B303)=0,"Bloqueado",IF('E6 — Ajustes'!$D285="","Bloqueado",IF(COUNTIF('E6 — Ajustes'!$E285:$J285,"⛔ Bloqueado")&gt;0,"Bloqueado",IF(AND('E6 — Ajustes'!$E285="✔ Concluído",'E6 — Ajustes'!$F285="✔ Concluído",'E6 — Ajustes'!$G285="✔ Concluído",'E6 — Ajustes'!$H285="✔ Concluído",OR('E6 — Ajustes'!$I285="✔ Concluído",'E6 — Ajustes'!$I285="N/A"),'E6 — Ajustes'!$J285="✔ Concluído"),"Concluído",IF(COUNTIF('E6 — Ajustes'!$E285:$J285,"✔ Concluído")+COUNTIF('E6 — Ajustes'!$E285:$J285,"🔄 Em andamento")&gt;0,"Em andamento","Não iniciado"))))))))</f>
        <v/>
      </c>
      <c r="K303" s="229" t="str">
        <f>IF($B303="","",IF($I303&lt;&gt;"Concluído","Não iniciado",IF(AND($J303&lt;&gt;"Concluído",$J303&lt;&gt;"N/A"),"Não iniciado",IF(COUNTIF(Lançamentos!$B$3:$B$1001,$B303)=0,"Bloqueado",IF('E7 — Entrega'!$D285="","Bloqueado",IF(COUNTIF('E7 — Entrega'!$E285:$H285,"⛔ Bloqueado")&gt;0,"Bloqueado",IF(COUNTIF('E7 — Entrega'!$E285:$H285,"✔ Concluído")=4,"Concluído",IF(COUNTIF('E7 — Entrega'!$E285:$H285,"✔ Concluído")+COUNTIF('E7 — Entrega'!$E285:$H285,"🔄 Em andamento")&gt;0,"Em andamento","Não iniciado"))))))))</f>
        <v/>
      </c>
      <c r="L303" s="229" t="str">
        <f>IF($B303="","",IF($K303&lt;&gt;"Concluído","Não iniciado",IF(OR(COUNTIF('E08 — Estabilização Hypercare'!$E285:$J285,"⛔ Bloqueado")&gt;0,'E08 — Estabilização Hypercare'!$N285="⛔ Incidente Crítico — Encerramento Bloqueado",AND('E08 — Estabilização Hypercare'!$N285="🆕 Evolução Identificada — Nova Demanda Aberta",'E08 — Estabilização Hypercare'!$U285="")),"Bloqueado",IF(AND('E08 — Estabilização Hypercare'!$E285="✔ Concluído",'E08 — Estabilização Hypercare'!$F285="✔ Concluído",'E08 — Estabilização Hypercare'!$G285="✔ Concluído",OR('E08 — Estabilização Hypercare'!$H285="✔ Concluído",'E08 — Estabilização Hypercare'!$H285="N/A"),'E08 — Estabilização Hypercare'!$I285="✔ Concluído",'E08 — Estabilização Hypercare'!$J285="✔ Concluído",OR('E08 — Estabilização Hypercare'!$N285="✅ Estável — Demanda Encerrada",AND('E08 — Estabilização Hypercare'!$N285="🆕 Evolução Identificada — Nova Demanda Aberta",'E08 — Estabilização Hypercare'!$U285&lt;&gt;""))),"Concluído",IF(OR(COUNTIF('E08 — Estabilização Hypercare'!$E285:$J285,"✔ Concluído")&gt;0,COUNTIF('E08 — Estabilização Hypercare'!$E285:$J285,"🔄 Em andamento")&gt;0,'E08 — Estabilização Hypercare'!$N285&lt;&gt;""),"Em andamento","Não iniciado")))))</f>
        <v/>
      </c>
      <c r="M303" s="232" t="str" cm="1">
        <f t="array" ref="M303">IF(B303="","",_xlfn.IFS(E303&lt;&gt;"Concluído","E1 — Solicitação",F303&lt;&gt;"Concluído","E2 — Triagem",G303&lt;&gt;"Concluído","E3 — Levantamento ⚠",H303&lt;&gt;"Concluído","E4 — Execução",I303&lt;&gt;"Concluído","E5 — Validação ⚠",AND(J303&lt;&gt;"Concluído",J303&lt;&gt;"N/A"),"E6 — Ajustes",K303&lt;&gt;"Concluído","E7 — Entrega",L303&lt;&gt;"Concluído","E08 — Estabilização / Hypercare",TRUE,"✔ Fluxo concluído"))</f>
        <v/>
      </c>
      <c r="N303" s="233" t="str">
        <f t="shared" si="5"/>
        <v/>
      </c>
      <c r="O303" s="230"/>
    </row>
    <row r="304" spans="2:15" x14ac:dyDescent="0.35">
      <c r="B304" s="229" t="str">
        <f>IF(Lançamentos!$B281="","",Lançamentos!$B281)</f>
        <v/>
      </c>
      <c r="C304" s="231" t="str">
        <f>IF($B304="","",Lançamentos!$J281)</f>
        <v/>
      </c>
      <c r="D304" s="231" t="str">
        <f>IF($B304="","",Lançamentos!$H281)</f>
        <v/>
      </c>
      <c r="E304" s="229" t="str">
        <f>IF($B304="","",IF(COUNTIF(Lançamentos!$B$3:$B$1001,$B304)=0,"Bloqueado",IF(COUNTIF('E1 — Solicitação'!$E286:$L286,"⛔ Bloqueado")&gt;0,"Bloqueado",IF(COUNTIF('E1 — Solicitação'!$E286:$L286,"N/A")=8,"Bloqueado",IF(COUNTIF('E1 — Solicitação'!$E286:$L286,"✔ Concluído")+COUNTIF('E1 — Solicitação'!$E286:$L286,"N/A")=8,"Concluído",IF(COUNTIF('E1 — Solicitação'!$E286:$L286,"✔ Concluído")+COUNTIF('E1 — Solicitação'!$E286:$L286,"🔄 Em andamento")&gt;0,"Em andamento","Não iniciado"))))))</f>
        <v/>
      </c>
      <c r="F304" s="229" t="str">
        <f>IF($B304="","",IF($E304&lt;&gt;"Concluído","Não iniciado",IF(COUNTIF(Lançamentos!$B$3:$B$1001,$B304)=0,"Bloqueado",IF('E2 — Triagem'!$D286="","Bloqueado",IF(COUNTIF('E2 — Triagem'!$E286:$L286,"N/A")=8,"Bloqueado",IF(COUNTIF('E2 — Triagem'!$E286:$L286,"⛔ Bloqueado")&gt;0,"Bloqueado",IF(COUNTIF('E2 — Triagem'!$E286:$L286,"✔ Concluído")+COUNTIF('E2 — Triagem'!$E286:$L286,"N/A")=8,"Concluído",IF(COUNTIF('E2 — Triagem'!$E286:$L286,"✔ Concluído")+COUNTIF('E2 — Triagem'!$E286:$L286,"🔄 Em andamento")&gt;0,"Em andamento","Não iniciado"))))))))</f>
        <v/>
      </c>
      <c r="G304" s="229" t="str">
        <f>IF($B304="","",IF($F304&lt;&gt;"Concluído","Não iniciado",IF(COUNTIF(Lançamentos!$B$3:$B$1001,$B304)=0,"Bloqueado",IF('E3 — Levantamento'!$D286="","Bloqueado",IF(COUNTIF('E3 — Levantamento'!$E286:$I286,"⛔ Bloqueado")&gt;0,"Bloqueado",IF('E3 — Levantamento'!$I286="N/A","Bloqueado",IF(COUNTIF('E3 — Levantamento'!$E286:$I286,"✔ Concluído")=5,"Concluído",IF(COUNTIF('E3 — Levantamento'!$E286:$I286,"✔ Concluído")+COUNTIF('E3 — Levantamento'!$E286:$I286,"🔄 Em andamento")&gt;0,"Em andamento","Não iniciado"))))))))</f>
        <v/>
      </c>
      <c r="H304" s="229" t="str">
        <f>IF($B304="","",IF($G304&lt;&gt;"Concluído","Não iniciado",IF(COUNTIF(Lançamentos!$B$3:$B$1001,$B304)=0,"Bloqueado",IF('E4 — Execução'!$D286="","Bloqueado",IF(COUNTIF('E4 — Execução'!$E286:$K286,"⛔ Bloqueado")&gt;0,"Bloqueado",IF(COUNTIF('E4 — Execução'!$E286:$K286,"✔ Concluído")=7,"Concluído",IF(COUNTIF('E4 — Execução'!$E286:$K286,"✔ Concluído")+COUNTIF('E4 — Execução'!$E286:$K286,"🔄 Em andamento")&gt;0,"Em andamento","Não iniciado")))))))</f>
        <v/>
      </c>
      <c r="I304" s="229" t="str">
        <f>IF($B304="","",IF($H304&lt;&gt;"Concluído","Não iniciado",IF(COUNTIF(Lançamentos!$B$3:$B$1001,$B304)=0,"Bloqueado",IF('E5 — Validação'!$D286="","Bloqueado",IF(COUNTIF('E5 — Validação'!$E286:$I286,"⛔ Bloqueado")&gt;0,"Bloqueado",IF('E5 — Validação'!$I286="N/A","Bloqueado",IF(AND('E5 — Validação'!$E286="✔ Concluído",'E5 — Validação'!$F286="✔ Concluído",OR('E5 — Validação'!$G286="✔ Concluído",'E5 — Validação'!$G286="N/A"),'E5 — Validação'!$H286="✔ Concluído",'E5 — Validação'!$I286="✔ Concluído"),"Concluído",IF(COUNTIF('E5 — Validação'!$E286:$I286,"✔ Concluído")+COUNTIF('E5 — Validação'!$E286:$I286,"🔄 Em andamento")&gt;0,"Em andamento","Não iniciado"))))))))</f>
        <v/>
      </c>
      <c r="J304" s="229" t="str">
        <f>IF($B304="","",IF($I304&lt;&gt;"Concluído","Não iniciado",IF('E6 — Ajustes'!$N286="Não","N/A",IF(COUNTIF(Lançamentos!$B$3:$B$1001,$B304)=0,"Bloqueado",IF('E6 — Ajustes'!$D286="","Bloqueado",IF(COUNTIF('E6 — Ajustes'!$E286:$J286,"⛔ Bloqueado")&gt;0,"Bloqueado",IF(AND('E6 — Ajustes'!$E286="✔ Concluído",'E6 — Ajustes'!$F286="✔ Concluído",'E6 — Ajustes'!$G286="✔ Concluído",'E6 — Ajustes'!$H286="✔ Concluído",OR('E6 — Ajustes'!$I286="✔ Concluído",'E6 — Ajustes'!$I286="N/A"),'E6 — Ajustes'!$J286="✔ Concluído"),"Concluído",IF(COUNTIF('E6 — Ajustes'!$E286:$J286,"✔ Concluído")+COUNTIF('E6 — Ajustes'!$E286:$J286,"🔄 Em andamento")&gt;0,"Em andamento","Não iniciado"))))))))</f>
        <v/>
      </c>
      <c r="K304" s="229" t="str">
        <f>IF($B304="","",IF($I304&lt;&gt;"Concluído","Não iniciado",IF(AND($J304&lt;&gt;"Concluído",$J304&lt;&gt;"N/A"),"Não iniciado",IF(COUNTIF(Lançamentos!$B$3:$B$1001,$B304)=0,"Bloqueado",IF('E7 — Entrega'!$D286="","Bloqueado",IF(COUNTIF('E7 — Entrega'!$E286:$H286,"⛔ Bloqueado")&gt;0,"Bloqueado",IF(COUNTIF('E7 — Entrega'!$E286:$H286,"✔ Concluído")=4,"Concluído",IF(COUNTIF('E7 — Entrega'!$E286:$H286,"✔ Concluído")+COUNTIF('E7 — Entrega'!$E286:$H286,"🔄 Em andamento")&gt;0,"Em andamento","Não iniciado"))))))))</f>
        <v/>
      </c>
      <c r="L304" s="229" t="str">
        <f>IF($B304="","",IF($K304&lt;&gt;"Concluído","Não iniciado",IF(OR(COUNTIF('E08 — Estabilização Hypercare'!$E286:$J286,"⛔ Bloqueado")&gt;0,'E08 — Estabilização Hypercare'!$N286="⛔ Incidente Crítico — Encerramento Bloqueado",AND('E08 — Estabilização Hypercare'!$N286="🆕 Evolução Identificada — Nova Demanda Aberta",'E08 — Estabilização Hypercare'!$U286="")),"Bloqueado",IF(AND('E08 — Estabilização Hypercare'!$E286="✔ Concluído",'E08 — Estabilização Hypercare'!$F286="✔ Concluído",'E08 — Estabilização Hypercare'!$G286="✔ Concluído",OR('E08 — Estabilização Hypercare'!$H286="✔ Concluído",'E08 — Estabilização Hypercare'!$H286="N/A"),'E08 — Estabilização Hypercare'!$I286="✔ Concluído",'E08 — Estabilização Hypercare'!$J286="✔ Concluído",OR('E08 — Estabilização Hypercare'!$N286="✅ Estável — Demanda Encerrada",AND('E08 — Estabilização Hypercare'!$N286="🆕 Evolução Identificada — Nova Demanda Aberta",'E08 — Estabilização Hypercare'!$U286&lt;&gt;""))),"Concluído",IF(OR(COUNTIF('E08 — Estabilização Hypercare'!$E286:$J286,"✔ Concluído")&gt;0,COUNTIF('E08 — Estabilização Hypercare'!$E286:$J286,"🔄 Em andamento")&gt;0,'E08 — Estabilização Hypercare'!$N286&lt;&gt;""),"Em andamento","Não iniciado")))))</f>
        <v/>
      </c>
      <c r="M304" s="232" t="str" cm="1">
        <f t="array" ref="M304">IF(B304="","",_xlfn.IFS(E304&lt;&gt;"Concluído","E1 — Solicitação",F304&lt;&gt;"Concluído","E2 — Triagem",G304&lt;&gt;"Concluído","E3 — Levantamento ⚠",H304&lt;&gt;"Concluído","E4 — Execução",I304&lt;&gt;"Concluído","E5 — Validação ⚠",AND(J304&lt;&gt;"Concluído",J304&lt;&gt;"N/A"),"E6 — Ajustes",K304&lt;&gt;"Concluído","E7 — Entrega",L304&lt;&gt;"Concluído","E08 — Estabilização / Hypercare",TRUE,"✔ Fluxo concluído"))</f>
        <v/>
      </c>
      <c r="N304" s="233" t="str">
        <f t="shared" si="5"/>
        <v/>
      </c>
      <c r="O304" s="230"/>
    </row>
    <row r="305" spans="2:15" x14ac:dyDescent="0.35">
      <c r="B305" s="229" t="str">
        <f>IF(Lançamentos!$B282="","",Lançamentos!$B282)</f>
        <v/>
      </c>
      <c r="C305" s="231" t="str">
        <f>IF($B305="","",Lançamentos!$J282)</f>
        <v/>
      </c>
      <c r="D305" s="231" t="str">
        <f>IF($B305="","",Lançamentos!$H282)</f>
        <v/>
      </c>
      <c r="E305" s="229" t="str">
        <f>IF($B305="","",IF(COUNTIF(Lançamentos!$B$3:$B$1001,$B305)=0,"Bloqueado",IF(COUNTIF('E1 — Solicitação'!$E287:$L287,"⛔ Bloqueado")&gt;0,"Bloqueado",IF(COUNTIF('E1 — Solicitação'!$E287:$L287,"N/A")=8,"Bloqueado",IF(COUNTIF('E1 — Solicitação'!$E287:$L287,"✔ Concluído")+COUNTIF('E1 — Solicitação'!$E287:$L287,"N/A")=8,"Concluído",IF(COUNTIF('E1 — Solicitação'!$E287:$L287,"✔ Concluído")+COUNTIF('E1 — Solicitação'!$E287:$L287,"🔄 Em andamento")&gt;0,"Em andamento","Não iniciado"))))))</f>
        <v/>
      </c>
      <c r="F305" s="229" t="str">
        <f>IF($B305="","",IF($E305&lt;&gt;"Concluído","Não iniciado",IF(COUNTIF(Lançamentos!$B$3:$B$1001,$B305)=0,"Bloqueado",IF('E2 — Triagem'!$D287="","Bloqueado",IF(COUNTIF('E2 — Triagem'!$E287:$L287,"N/A")=8,"Bloqueado",IF(COUNTIF('E2 — Triagem'!$E287:$L287,"⛔ Bloqueado")&gt;0,"Bloqueado",IF(COUNTIF('E2 — Triagem'!$E287:$L287,"✔ Concluído")+COUNTIF('E2 — Triagem'!$E287:$L287,"N/A")=8,"Concluído",IF(COUNTIF('E2 — Triagem'!$E287:$L287,"✔ Concluído")+COUNTIF('E2 — Triagem'!$E287:$L287,"🔄 Em andamento")&gt;0,"Em andamento","Não iniciado"))))))))</f>
        <v/>
      </c>
      <c r="G305" s="229" t="str">
        <f>IF($B305="","",IF($F305&lt;&gt;"Concluído","Não iniciado",IF(COUNTIF(Lançamentos!$B$3:$B$1001,$B305)=0,"Bloqueado",IF('E3 — Levantamento'!$D287="","Bloqueado",IF(COUNTIF('E3 — Levantamento'!$E287:$I287,"⛔ Bloqueado")&gt;0,"Bloqueado",IF('E3 — Levantamento'!$I287="N/A","Bloqueado",IF(COUNTIF('E3 — Levantamento'!$E287:$I287,"✔ Concluído")=5,"Concluído",IF(COUNTIF('E3 — Levantamento'!$E287:$I287,"✔ Concluído")+COUNTIF('E3 — Levantamento'!$E287:$I287,"🔄 Em andamento")&gt;0,"Em andamento","Não iniciado"))))))))</f>
        <v/>
      </c>
      <c r="H305" s="229" t="str">
        <f>IF($B305="","",IF($G305&lt;&gt;"Concluído","Não iniciado",IF(COUNTIF(Lançamentos!$B$3:$B$1001,$B305)=0,"Bloqueado",IF('E4 — Execução'!$D287="","Bloqueado",IF(COUNTIF('E4 — Execução'!$E287:$K287,"⛔ Bloqueado")&gt;0,"Bloqueado",IF(COUNTIF('E4 — Execução'!$E287:$K287,"✔ Concluído")=7,"Concluído",IF(COUNTIF('E4 — Execução'!$E287:$K287,"✔ Concluído")+COUNTIF('E4 — Execução'!$E287:$K287,"🔄 Em andamento")&gt;0,"Em andamento","Não iniciado")))))))</f>
        <v/>
      </c>
      <c r="I305" s="229" t="str">
        <f>IF($B305="","",IF($H305&lt;&gt;"Concluído","Não iniciado",IF(COUNTIF(Lançamentos!$B$3:$B$1001,$B305)=0,"Bloqueado",IF('E5 — Validação'!$D287="","Bloqueado",IF(COUNTIF('E5 — Validação'!$E287:$I287,"⛔ Bloqueado")&gt;0,"Bloqueado",IF('E5 — Validação'!$I287="N/A","Bloqueado",IF(AND('E5 — Validação'!$E287="✔ Concluído",'E5 — Validação'!$F287="✔ Concluído",OR('E5 — Validação'!$G287="✔ Concluído",'E5 — Validação'!$G287="N/A"),'E5 — Validação'!$H287="✔ Concluído",'E5 — Validação'!$I287="✔ Concluído"),"Concluído",IF(COUNTIF('E5 — Validação'!$E287:$I287,"✔ Concluído")+COUNTIF('E5 — Validação'!$E287:$I287,"🔄 Em andamento")&gt;0,"Em andamento","Não iniciado"))))))))</f>
        <v/>
      </c>
      <c r="J305" s="229" t="str">
        <f>IF($B305="","",IF($I305&lt;&gt;"Concluído","Não iniciado",IF('E6 — Ajustes'!$N287="Não","N/A",IF(COUNTIF(Lançamentos!$B$3:$B$1001,$B305)=0,"Bloqueado",IF('E6 — Ajustes'!$D287="","Bloqueado",IF(COUNTIF('E6 — Ajustes'!$E287:$J287,"⛔ Bloqueado")&gt;0,"Bloqueado",IF(AND('E6 — Ajustes'!$E287="✔ Concluído",'E6 — Ajustes'!$F287="✔ Concluído",'E6 — Ajustes'!$G287="✔ Concluído",'E6 — Ajustes'!$H287="✔ Concluído",OR('E6 — Ajustes'!$I287="✔ Concluído",'E6 — Ajustes'!$I287="N/A"),'E6 — Ajustes'!$J287="✔ Concluído"),"Concluído",IF(COUNTIF('E6 — Ajustes'!$E287:$J287,"✔ Concluído")+COUNTIF('E6 — Ajustes'!$E287:$J287,"🔄 Em andamento")&gt;0,"Em andamento","Não iniciado"))))))))</f>
        <v/>
      </c>
      <c r="K305" s="229" t="str">
        <f>IF($B305="","",IF($I305&lt;&gt;"Concluído","Não iniciado",IF(AND($J305&lt;&gt;"Concluído",$J305&lt;&gt;"N/A"),"Não iniciado",IF(COUNTIF(Lançamentos!$B$3:$B$1001,$B305)=0,"Bloqueado",IF('E7 — Entrega'!$D287="","Bloqueado",IF(COUNTIF('E7 — Entrega'!$E287:$H287,"⛔ Bloqueado")&gt;0,"Bloqueado",IF(COUNTIF('E7 — Entrega'!$E287:$H287,"✔ Concluído")=4,"Concluído",IF(COUNTIF('E7 — Entrega'!$E287:$H287,"✔ Concluído")+COUNTIF('E7 — Entrega'!$E287:$H287,"🔄 Em andamento")&gt;0,"Em andamento","Não iniciado"))))))))</f>
        <v/>
      </c>
      <c r="L305" s="229" t="str">
        <f>IF($B305="","",IF($K305&lt;&gt;"Concluído","Não iniciado",IF(OR(COUNTIF('E08 — Estabilização Hypercare'!$E287:$J287,"⛔ Bloqueado")&gt;0,'E08 — Estabilização Hypercare'!$N287="⛔ Incidente Crítico — Encerramento Bloqueado",AND('E08 — Estabilização Hypercare'!$N287="🆕 Evolução Identificada — Nova Demanda Aberta",'E08 — Estabilização Hypercare'!$U287="")),"Bloqueado",IF(AND('E08 — Estabilização Hypercare'!$E287="✔ Concluído",'E08 — Estabilização Hypercare'!$F287="✔ Concluído",'E08 — Estabilização Hypercare'!$G287="✔ Concluído",OR('E08 — Estabilização Hypercare'!$H287="✔ Concluído",'E08 — Estabilização Hypercare'!$H287="N/A"),'E08 — Estabilização Hypercare'!$I287="✔ Concluído",'E08 — Estabilização Hypercare'!$J287="✔ Concluído",OR('E08 — Estabilização Hypercare'!$N287="✅ Estável — Demanda Encerrada",AND('E08 — Estabilização Hypercare'!$N287="🆕 Evolução Identificada — Nova Demanda Aberta",'E08 — Estabilização Hypercare'!$U287&lt;&gt;""))),"Concluído",IF(OR(COUNTIF('E08 — Estabilização Hypercare'!$E287:$J287,"✔ Concluído")&gt;0,COUNTIF('E08 — Estabilização Hypercare'!$E287:$J287,"🔄 Em andamento")&gt;0,'E08 — Estabilização Hypercare'!$N287&lt;&gt;""),"Em andamento","Não iniciado")))))</f>
        <v/>
      </c>
      <c r="M305" s="232" t="str" cm="1">
        <f t="array" ref="M305">IF(B305="","",_xlfn.IFS(E305&lt;&gt;"Concluído","E1 — Solicitação",F305&lt;&gt;"Concluído","E2 — Triagem",G305&lt;&gt;"Concluído","E3 — Levantamento ⚠",H305&lt;&gt;"Concluído","E4 — Execução",I305&lt;&gt;"Concluído","E5 — Validação ⚠",AND(J305&lt;&gt;"Concluído",J305&lt;&gt;"N/A"),"E6 — Ajustes",K305&lt;&gt;"Concluído","E7 — Entrega",L305&lt;&gt;"Concluído","E08 — Estabilização / Hypercare",TRUE,"✔ Fluxo concluído"))</f>
        <v/>
      </c>
      <c r="N305" s="233" t="str">
        <f t="shared" si="5"/>
        <v/>
      </c>
      <c r="O305" s="230"/>
    </row>
    <row r="306" spans="2:15" x14ac:dyDescent="0.35">
      <c r="B306" s="229" t="str">
        <f>IF(Lançamentos!$B283="","",Lançamentos!$B283)</f>
        <v/>
      </c>
      <c r="C306" s="231" t="str">
        <f>IF($B306="","",Lançamentos!$J283)</f>
        <v/>
      </c>
      <c r="D306" s="231" t="str">
        <f>IF($B306="","",Lançamentos!$H283)</f>
        <v/>
      </c>
      <c r="E306" s="229" t="str">
        <f>IF($B306="","",IF(COUNTIF(Lançamentos!$B$3:$B$1001,$B306)=0,"Bloqueado",IF(COUNTIF('E1 — Solicitação'!$E288:$L288,"⛔ Bloqueado")&gt;0,"Bloqueado",IF(COUNTIF('E1 — Solicitação'!$E288:$L288,"N/A")=8,"Bloqueado",IF(COUNTIF('E1 — Solicitação'!$E288:$L288,"✔ Concluído")+COUNTIF('E1 — Solicitação'!$E288:$L288,"N/A")=8,"Concluído",IF(COUNTIF('E1 — Solicitação'!$E288:$L288,"✔ Concluído")+COUNTIF('E1 — Solicitação'!$E288:$L288,"🔄 Em andamento")&gt;0,"Em andamento","Não iniciado"))))))</f>
        <v/>
      </c>
      <c r="F306" s="229" t="str">
        <f>IF($B306="","",IF($E306&lt;&gt;"Concluído","Não iniciado",IF(COUNTIF(Lançamentos!$B$3:$B$1001,$B306)=0,"Bloqueado",IF('E2 — Triagem'!$D288="","Bloqueado",IF(COUNTIF('E2 — Triagem'!$E288:$L288,"N/A")=8,"Bloqueado",IF(COUNTIF('E2 — Triagem'!$E288:$L288,"⛔ Bloqueado")&gt;0,"Bloqueado",IF(COUNTIF('E2 — Triagem'!$E288:$L288,"✔ Concluído")+COUNTIF('E2 — Triagem'!$E288:$L288,"N/A")=8,"Concluído",IF(COUNTIF('E2 — Triagem'!$E288:$L288,"✔ Concluído")+COUNTIF('E2 — Triagem'!$E288:$L288,"🔄 Em andamento")&gt;0,"Em andamento","Não iniciado"))))))))</f>
        <v/>
      </c>
      <c r="G306" s="229" t="str">
        <f>IF($B306="","",IF($F306&lt;&gt;"Concluído","Não iniciado",IF(COUNTIF(Lançamentos!$B$3:$B$1001,$B306)=0,"Bloqueado",IF('E3 — Levantamento'!$D288="","Bloqueado",IF(COUNTIF('E3 — Levantamento'!$E288:$I288,"⛔ Bloqueado")&gt;0,"Bloqueado",IF('E3 — Levantamento'!$I288="N/A","Bloqueado",IF(COUNTIF('E3 — Levantamento'!$E288:$I288,"✔ Concluído")=5,"Concluído",IF(COUNTIF('E3 — Levantamento'!$E288:$I288,"✔ Concluído")+COUNTIF('E3 — Levantamento'!$E288:$I288,"🔄 Em andamento")&gt;0,"Em andamento","Não iniciado"))))))))</f>
        <v/>
      </c>
      <c r="H306" s="229" t="str">
        <f>IF($B306="","",IF($G306&lt;&gt;"Concluído","Não iniciado",IF(COUNTIF(Lançamentos!$B$3:$B$1001,$B306)=0,"Bloqueado",IF('E4 — Execução'!$D288="","Bloqueado",IF(COUNTIF('E4 — Execução'!$E288:$K288,"⛔ Bloqueado")&gt;0,"Bloqueado",IF(COUNTIF('E4 — Execução'!$E288:$K288,"✔ Concluído")=7,"Concluído",IF(COUNTIF('E4 — Execução'!$E288:$K288,"✔ Concluído")+COUNTIF('E4 — Execução'!$E288:$K288,"🔄 Em andamento")&gt;0,"Em andamento","Não iniciado")))))))</f>
        <v/>
      </c>
      <c r="I306" s="229" t="str">
        <f>IF($B306="","",IF($H306&lt;&gt;"Concluído","Não iniciado",IF(COUNTIF(Lançamentos!$B$3:$B$1001,$B306)=0,"Bloqueado",IF('E5 — Validação'!$D288="","Bloqueado",IF(COUNTIF('E5 — Validação'!$E288:$I288,"⛔ Bloqueado")&gt;0,"Bloqueado",IF('E5 — Validação'!$I288="N/A","Bloqueado",IF(AND('E5 — Validação'!$E288="✔ Concluído",'E5 — Validação'!$F288="✔ Concluído",OR('E5 — Validação'!$G288="✔ Concluído",'E5 — Validação'!$G288="N/A"),'E5 — Validação'!$H288="✔ Concluído",'E5 — Validação'!$I288="✔ Concluído"),"Concluído",IF(COUNTIF('E5 — Validação'!$E288:$I288,"✔ Concluído")+COUNTIF('E5 — Validação'!$E288:$I288,"🔄 Em andamento")&gt;0,"Em andamento","Não iniciado"))))))))</f>
        <v/>
      </c>
      <c r="J306" s="229" t="str">
        <f>IF($B306="","",IF($I306&lt;&gt;"Concluído","Não iniciado",IF('E6 — Ajustes'!$N288="Não","N/A",IF(COUNTIF(Lançamentos!$B$3:$B$1001,$B306)=0,"Bloqueado",IF('E6 — Ajustes'!$D288="","Bloqueado",IF(COUNTIF('E6 — Ajustes'!$E288:$J288,"⛔ Bloqueado")&gt;0,"Bloqueado",IF(AND('E6 — Ajustes'!$E288="✔ Concluído",'E6 — Ajustes'!$F288="✔ Concluído",'E6 — Ajustes'!$G288="✔ Concluído",'E6 — Ajustes'!$H288="✔ Concluído",OR('E6 — Ajustes'!$I288="✔ Concluído",'E6 — Ajustes'!$I288="N/A"),'E6 — Ajustes'!$J288="✔ Concluído"),"Concluído",IF(COUNTIF('E6 — Ajustes'!$E288:$J288,"✔ Concluído")+COUNTIF('E6 — Ajustes'!$E288:$J288,"🔄 Em andamento")&gt;0,"Em andamento","Não iniciado"))))))))</f>
        <v/>
      </c>
      <c r="K306" s="229" t="str">
        <f>IF($B306="","",IF($I306&lt;&gt;"Concluído","Não iniciado",IF(AND($J306&lt;&gt;"Concluído",$J306&lt;&gt;"N/A"),"Não iniciado",IF(COUNTIF(Lançamentos!$B$3:$B$1001,$B306)=0,"Bloqueado",IF('E7 — Entrega'!$D288="","Bloqueado",IF(COUNTIF('E7 — Entrega'!$E288:$H288,"⛔ Bloqueado")&gt;0,"Bloqueado",IF(COUNTIF('E7 — Entrega'!$E288:$H288,"✔ Concluído")=4,"Concluído",IF(COUNTIF('E7 — Entrega'!$E288:$H288,"✔ Concluído")+COUNTIF('E7 — Entrega'!$E288:$H288,"🔄 Em andamento")&gt;0,"Em andamento","Não iniciado"))))))))</f>
        <v/>
      </c>
      <c r="L306" s="229" t="str">
        <f>IF($B306="","",IF($K306&lt;&gt;"Concluído","Não iniciado",IF(OR(COUNTIF('E08 — Estabilização Hypercare'!$E288:$J288,"⛔ Bloqueado")&gt;0,'E08 — Estabilização Hypercare'!$N288="⛔ Incidente Crítico — Encerramento Bloqueado",AND('E08 — Estabilização Hypercare'!$N288="🆕 Evolução Identificada — Nova Demanda Aberta",'E08 — Estabilização Hypercare'!$U288="")),"Bloqueado",IF(AND('E08 — Estabilização Hypercare'!$E288="✔ Concluído",'E08 — Estabilização Hypercare'!$F288="✔ Concluído",'E08 — Estabilização Hypercare'!$G288="✔ Concluído",OR('E08 — Estabilização Hypercare'!$H288="✔ Concluído",'E08 — Estabilização Hypercare'!$H288="N/A"),'E08 — Estabilização Hypercare'!$I288="✔ Concluído",'E08 — Estabilização Hypercare'!$J288="✔ Concluído",OR('E08 — Estabilização Hypercare'!$N288="✅ Estável — Demanda Encerrada",AND('E08 — Estabilização Hypercare'!$N288="🆕 Evolução Identificada — Nova Demanda Aberta",'E08 — Estabilização Hypercare'!$U288&lt;&gt;""))),"Concluído",IF(OR(COUNTIF('E08 — Estabilização Hypercare'!$E288:$J288,"✔ Concluído")&gt;0,COUNTIF('E08 — Estabilização Hypercare'!$E288:$J288,"🔄 Em andamento")&gt;0,'E08 — Estabilização Hypercare'!$N288&lt;&gt;""),"Em andamento","Não iniciado")))))</f>
        <v/>
      </c>
      <c r="M306" s="232" t="str" cm="1">
        <f t="array" ref="M306">IF(B306="","",_xlfn.IFS(E306&lt;&gt;"Concluído","E1 — Solicitação",F306&lt;&gt;"Concluído","E2 — Triagem",G306&lt;&gt;"Concluído","E3 — Levantamento ⚠",H306&lt;&gt;"Concluído","E4 — Execução",I306&lt;&gt;"Concluído","E5 — Validação ⚠",AND(J306&lt;&gt;"Concluído",J306&lt;&gt;"N/A"),"E6 — Ajustes",K306&lt;&gt;"Concluído","E7 — Entrega",L306&lt;&gt;"Concluído","E08 — Estabilização / Hypercare",TRUE,"✔ Fluxo concluído"))</f>
        <v/>
      </c>
      <c r="N306" s="233" t="str">
        <f t="shared" si="5"/>
        <v/>
      </c>
      <c r="O306" s="230"/>
    </row>
    <row r="307" spans="2:15" x14ac:dyDescent="0.35">
      <c r="B307" s="229" t="str">
        <f>IF(Lançamentos!$B284="","",Lançamentos!$B284)</f>
        <v/>
      </c>
      <c r="C307" s="231" t="str">
        <f>IF($B307="","",Lançamentos!$J284)</f>
        <v/>
      </c>
      <c r="D307" s="231" t="str">
        <f>IF($B307="","",Lançamentos!$H284)</f>
        <v/>
      </c>
      <c r="E307" s="229" t="str">
        <f>IF($B307="","",IF(COUNTIF(Lançamentos!$B$3:$B$1001,$B307)=0,"Bloqueado",IF(COUNTIF('E1 — Solicitação'!$E289:$L289,"⛔ Bloqueado")&gt;0,"Bloqueado",IF(COUNTIF('E1 — Solicitação'!$E289:$L289,"N/A")=8,"Bloqueado",IF(COUNTIF('E1 — Solicitação'!$E289:$L289,"✔ Concluído")+COUNTIF('E1 — Solicitação'!$E289:$L289,"N/A")=8,"Concluído",IF(COUNTIF('E1 — Solicitação'!$E289:$L289,"✔ Concluído")+COUNTIF('E1 — Solicitação'!$E289:$L289,"🔄 Em andamento")&gt;0,"Em andamento","Não iniciado"))))))</f>
        <v/>
      </c>
      <c r="F307" s="229" t="str">
        <f>IF($B307="","",IF($E307&lt;&gt;"Concluído","Não iniciado",IF(COUNTIF(Lançamentos!$B$3:$B$1001,$B307)=0,"Bloqueado",IF('E2 — Triagem'!$D289="","Bloqueado",IF(COUNTIF('E2 — Triagem'!$E289:$L289,"N/A")=8,"Bloqueado",IF(COUNTIF('E2 — Triagem'!$E289:$L289,"⛔ Bloqueado")&gt;0,"Bloqueado",IF(COUNTIF('E2 — Triagem'!$E289:$L289,"✔ Concluído")+COUNTIF('E2 — Triagem'!$E289:$L289,"N/A")=8,"Concluído",IF(COUNTIF('E2 — Triagem'!$E289:$L289,"✔ Concluído")+COUNTIF('E2 — Triagem'!$E289:$L289,"🔄 Em andamento")&gt;0,"Em andamento","Não iniciado"))))))))</f>
        <v/>
      </c>
      <c r="G307" s="229" t="str">
        <f>IF($B307="","",IF($F307&lt;&gt;"Concluído","Não iniciado",IF(COUNTIF(Lançamentos!$B$3:$B$1001,$B307)=0,"Bloqueado",IF('E3 — Levantamento'!$D289="","Bloqueado",IF(COUNTIF('E3 — Levantamento'!$E289:$I289,"⛔ Bloqueado")&gt;0,"Bloqueado",IF('E3 — Levantamento'!$I289="N/A","Bloqueado",IF(COUNTIF('E3 — Levantamento'!$E289:$I289,"✔ Concluído")=5,"Concluído",IF(COUNTIF('E3 — Levantamento'!$E289:$I289,"✔ Concluído")+COUNTIF('E3 — Levantamento'!$E289:$I289,"🔄 Em andamento")&gt;0,"Em andamento","Não iniciado"))))))))</f>
        <v/>
      </c>
      <c r="H307" s="229" t="str">
        <f>IF($B307="","",IF($G307&lt;&gt;"Concluído","Não iniciado",IF(COUNTIF(Lançamentos!$B$3:$B$1001,$B307)=0,"Bloqueado",IF('E4 — Execução'!$D289="","Bloqueado",IF(COUNTIF('E4 — Execução'!$E289:$K289,"⛔ Bloqueado")&gt;0,"Bloqueado",IF(COUNTIF('E4 — Execução'!$E289:$K289,"✔ Concluído")=7,"Concluído",IF(COUNTIF('E4 — Execução'!$E289:$K289,"✔ Concluído")+COUNTIF('E4 — Execução'!$E289:$K289,"🔄 Em andamento")&gt;0,"Em andamento","Não iniciado")))))))</f>
        <v/>
      </c>
      <c r="I307" s="229" t="str">
        <f>IF($B307="","",IF($H307&lt;&gt;"Concluído","Não iniciado",IF(COUNTIF(Lançamentos!$B$3:$B$1001,$B307)=0,"Bloqueado",IF('E5 — Validação'!$D289="","Bloqueado",IF(COUNTIF('E5 — Validação'!$E289:$I289,"⛔ Bloqueado")&gt;0,"Bloqueado",IF('E5 — Validação'!$I289="N/A","Bloqueado",IF(AND('E5 — Validação'!$E289="✔ Concluído",'E5 — Validação'!$F289="✔ Concluído",OR('E5 — Validação'!$G289="✔ Concluído",'E5 — Validação'!$G289="N/A"),'E5 — Validação'!$H289="✔ Concluído",'E5 — Validação'!$I289="✔ Concluído"),"Concluído",IF(COUNTIF('E5 — Validação'!$E289:$I289,"✔ Concluído")+COUNTIF('E5 — Validação'!$E289:$I289,"🔄 Em andamento")&gt;0,"Em andamento","Não iniciado"))))))))</f>
        <v/>
      </c>
      <c r="J307" s="229" t="str">
        <f>IF($B307="","",IF($I307&lt;&gt;"Concluído","Não iniciado",IF('E6 — Ajustes'!$N289="Não","N/A",IF(COUNTIF(Lançamentos!$B$3:$B$1001,$B307)=0,"Bloqueado",IF('E6 — Ajustes'!$D289="","Bloqueado",IF(COUNTIF('E6 — Ajustes'!$E289:$J289,"⛔ Bloqueado")&gt;0,"Bloqueado",IF(AND('E6 — Ajustes'!$E289="✔ Concluído",'E6 — Ajustes'!$F289="✔ Concluído",'E6 — Ajustes'!$G289="✔ Concluído",'E6 — Ajustes'!$H289="✔ Concluído",OR('E6 — Ajustes'!$I289="✔ Concluído",'E6 — Ajustes'!$I289="N/A"),'E6 — Ajustes'!$J289="✔ Concluído"),"Concluído",IF(COUNTIF('E6 — Ajustes'!$E289:$J289,"✔ Concluído")+COUNTIF('E6 — Ajustes'!$E289:$J289,"🔄 Em andamento")&gt;0,"Em andamento","Não iniciado"))))))))</f>
        <v/>
      </c>
      <c r="K307" s="229" t="str">
        <f>IF($B307="","",IF($I307&lt;&gt;"Concluído","Não iniciado",IF(AND($J307&lt;&gt;"Concluído",$J307&lt;&gt;"N/A"),"Não iniciado",IF(COUNTIF(Lançamentos!$B$3:$B$1001,$B307)=0,"Bloqueado",IF('E7 — Entrega'!$D289="","Bloqueado",IF(COUNTIF('E7 — Entrega'!$E289:$H289,"⛔ Bloqueado")&gt;0,"Bloqueado",IF(COUNTIF('E7 — Entrega'!$E289:$H289,"✔ Concluído")=4,"Concluído",IF(COUNTIF('E7 — Entrega'!$E289:$H289,"✔ Concluído")+COUNTIF('E7 — Entrega'!$E289:$H289,"🔄 Em andamento")&gt;0,"Em andamento","Não iniciado"))))))))</f>
        <v/>
      </c>
      <c r="L307" s="229" t="str">
        <f>IF($B307="","",IF($K307&lt;&gt;"Concluído","Não iniciado",IF(OR(COUNTIF('E08 — Estabilização Hypercare'!$E289:$J289,"⛔ Bloqueado")&gt;0,'E08 — Estabilização Hypercare'!$N289="⛔ Incidente Crítico — Encerramento Bloqueado",AND('E08 — Estabilização Hypercare'!$N289="🆕 Evolução Identificada — Nova Demanda Aberta",'E08 — Estabilização Hypercare'!$U289="")),"Bloqueado",IF(AND('E08 — Estabilização Hypercare'!$E289="✔ Concluído",'E08 — Estabilização Hypercare'!$F289="✔ Concluído",'E08 — Estabilização Hypercare'!$G289="✔ Concluído",OR('E08 — Estabilização Hypercare'!$H289="✔ Concluído",'E08 — Estabilização Hypercare'!$H289="N/A"),'E08 — Estabilização Hypercare'!$I289="✔ Concluído",'E08 — Estabilização Hypercare'!$J289="✔ Concluído",OR('E08 — Estabilização Hypercare'!$N289="✅ Estável — Demanda Encerrada",AND('E08 — Estabilização Hypercare'!$N289="🆕 Evolução Identificada — Nova Demanda Aberta",'E08 — Estabilização Hypercare'!$U289&lt;&gt;""))),"Concluído",IF(OR(COUNTIF('E08 — Estabilização Hypercare'!$E289:$J289,"✔ Concluído")&gt;0,COUNTIF('E08 — Estabilização Hypercare'!$E289:$J289,"🔄 Em andamento")&gt;0,'E08 — Estabilização Hypercare'!$N289&lt;&gt;""),"Em andamento","Não iniciado")))))</f>
        <v/>
      </c>
      <c r="M307" s="232" t="str" cm="1">
        <f t="array" ref="M307">IF(B307="","",_xlfn.IFS(E307&lt;&gt;"Concluído","E1 — Solicitação",F307&lt;&gt;"Concluído","E2 — Triagem",G307&lt;&gt;"Concluído","E3 — Levantamento ⚠",H307&lt;&gt;"Concluído","E4 — Execução",I307&lt;&gt;"Concluído","E5 — Validação ⚠",AND(J307&lt;&gt;"Concluído",J307&lt;&gt;"N/A"),"E6 — Ajustes",K307&lt;&gt;"Concluído","E7 — Entrega",L307&lt;&gt;"Concluído","E08 — Estabilização / Hypercare",TRUE,"✔ Fluxo concluído"))</f>
        <v/>
      </c>
      <c r="N307" s="233" t="str">
        <f t="shared" si="5"/>
        <v/>
      </c>
      <c r="O307" s="230"/>
    </row>
    <row r="308" spans="2:15" x14ac:dyDescent="0.35">
      <c r="B308" s="229" t="str">
        <f>IF(Lançamentos!$B285="","",Lançamentos!$B285)</f>
        <v/>
      </c>
      <c r="C308" s="231" t="str">
        <f>IF($B308="","",Lançamentos!$J285)</f>
        <v/>
      </c>
      <c r="D308" s="231" t="str">
        <f>IF($B308="","",Lançamentos!$H285)</f>
        <v/>
      </c>
      <c r="E308" s="229" t="str">
        <f>IF($B308="","",IF(COUNTIF(Lançamentos!$B$3:$B$1001,$B308)=0,"Bloqueado",IF(COUNTIF('E1 — Solicitação'!$E290:$L290,"⛔ Bloqueado")&gt;0,"Bloqueado",IF(COUNTIF('E1 — Solicitação'!$E290:$L290,"N/A")=8,"Bloqueado",IF(COUNTIF('E1 — Solicitação'!$E290:$L290,"✔ Concluído")+COUNTIF('E1 — Solicitação'!$E290:$L290,"N/A")=8,"Concluído",IF(COUNTIF('E1 — Solicitação'!$E290:$L290,"✔ Concluído")+COUNTIF('E1 — Solicitação'!$E290:$L290,"🔄 Em andamento")&gt;0,"Em andamento","Não iniciado"))))))</f>
        <v/>
      </c>
      <c r="F308" s="229" t="str">
        <f>IF($B308="","",IF($E308&lt;&gt;"Concluído","Não iniciado",IF(COUNTIF(Lançamentos!$B$3:$B$1001,$B308)=0,"Bloqueado",IF('E2 — Triagem'!$D290="","Bloqueado",IF(COUNTIF('E2 — Triagem'!$E290:$L290,"N/A")=8,"Bloqueado",IF(COUNTIF('E2 — Triagem'!$E290:$L290,"⛔ Bloqueado")&gt;0,"Bloqueado",IF(COUNTIF('E2 — Triagem'!$E290:$L290,"✔ Concluído")+COUNTIF('E2 — Triagem'!$E290:$L290,"N/A")=8,"Concluído",IF(COUNTIF('E2 — Triagem'!$E290:$L290,"✔ Concluído")+COUNTIF('E2 — Triagem'!$E290:$L290,"🔄 Em andamento")&gt;0,"Em andamento","Não iniciado"))))))))</f>
        <v/>
      </c>
      <c r="G308" s="229" t="str">
        <f>IF($B308="","",IF($F308&lt;&gt;"Concluído","Não iniciado",IF(COUNTIF(Lançamentos!$B$3:$B$1001,$B308)=0,"Bloqueado",IF('E3 — Levantamento'!$D290="","Bloqueado",IF(COUNTIF('E3 — Levantamento'!$E290:$I290,"⛔ Bloqueado")&gt;0,"Bloqueado",IF('E3 — Levantamento'!$I290="N/A","Bloqueado",IF(COUNTIF('E3 — Levantamento'!$E290:$I290,"✔ Concluído")=5,"Concluído",IF(COUNTIF('E3 — Levantamento'!$E290:$I290,"✔ Concluído")+COUNTIF('E3 — Levantamento'!$E290:$I290,"🔄 Em andamento")&gt;0,"Em andamento","Não iniciado"))))))))</f>
        <v/>
      </c>
      <c r="H308" s="229" t="str">
        <f>IF($B308="","",IF($G308&lt;&gt;"Concluído","Não iniciado",IF(COUNTIF(Lançamentos!$B$3:$B$1001,$B308)=0,"Bloqueado",IF('E4 — Execução'!$D290="","Bloqueado",IF(COUNTIF('E4 — Execução'!$E290:$K290,"⛔ Bloqueado")&gt;0,"Bloqueado",IF(COUNTIF('E4 — Execução'!$E290:$K290,"✔ Concluído")=7,"Concluído",IF(COUNTIF('E4 — Execução'!$E290:$K290,"✔ Concluído")+COUNTIF('E4 — Execução'!$E290:$K290,"🔄 Em andamento")&gt;0,"Em andamento","Não iniciado")))))))</f>
        <v/>
      </c>
      <c r="I308" s="229" t="str">
        <f>IF($B308="","",IF($H308&lt;&gt;"Concluído","Não iniciado",IF(COUNTIF(Lançamentos!$B$3:$B$1001,$B308)=0,"Bloqueado",IF('E5 — Validação'!$D290="","Bloqueado",IF(COUNTIF('E5 — Validação'!$E290:$I290,"⛔ Bloqueado")&gt;0,"Bloqueado",IF('E5 — Validação'!$I290="N/A","Bloqueado",IF(AND('E5 — Validação'!$E290="✔ Concluído",'E5 — Validação'!$F290="✔ Concluído",OR('E5 — Validação'!$G290="✔ Concluído",'E5 — Validação'!$G290="N/A"),'E5 — Validação'!$H290="✔ Concluído",'E5 — Validação'!$I290="✔ Concluído"),"Concluído",IF(COUNTIF('E5 — Validação'!$E290:$I290,"✔ Concluído")+COUNTIF('E5 — Validação'!$E290:$I290,"🔄 Em andamento")&gt;0,"Em andamento","Não iniciado"))))))))</f>
        <v/>
      </c>
      <c r="J308" s="229" t="str">
        <f>IF($B308="","",IF($I308&lt;&gt;"Concluído","Não iniciado",IF('E6 — Ajustes'!$N290="Não","N/A",IF(COUNTIF(Lançamentos!$B$3:$B$1001,$B308)=0,"Bloqueado",IF('E6 — Ajustes'!$D290="","Bloqueado",IF(COUNTIF('E6 — Ajustes'!$E290:$J290,"⛔ Bloqueado")&gt;0,"Bloqueado",IF(AND('E6 — Ajustes'!$E290="✔ Concluído",'E6 — Ajustes'!$F290="✔ Concluído",'E6 — Ajustes'!$G290="✔ Concluído",'E6 — Ajustes'!$H290="✔ Concluído",OR('E6 — Ajustes'!$I290="✔ Concluído",'E6 — Ajustes'!$I290="N/A"),'E6 — Ajustes'!$J290="✔ Concluído"),"Concluído",IF(COUNTIF('E6 — Ajustes'!$E290:$J290,"✔ Concluído")+COUNTIF('E6 — Ajustes'!$E290:$J290,"🔄 Em andamento")&gt;0,"Em andamento","Não iniciado"))))))))</f>
        <v/>
      </c>
      <c r="K308" s="229" t="str">
        <f>IF($B308="","",IF($I308&lt;&gt;"Concluído","Não iniciado",IF(AND($J308&lt;&gt;"Concluído",$J308&lt;&gt;"N/A"),"Não iniciado",IF(COUNTIF(Lançamentos!$B$3:$B$1001,$B308)=0,"Bloqueado",IF('E7 — Entrega'!$D290="","Bloqueado",IF(COUNTIF('E7 — Entrega'!$E290:$H290,"⛔ Bloqueado")&gt;0,"Bloqueado",IF(COUNTIF('E7 — Entrega'!$E290:$H290,"✔ Concluído")=4,"Concluído",IF(COUNTIF('E7 — Entrega'!$E290:$H290,"✔ Concluído")+COUNTIF('E7 — Entrega'!$E290:$H290,"🔄 Em andamento")&gt;0,"Em andamento","Não iniciado"))))))))</f>
        <v/>
      </c>
      <c r="L308" s="229" t="str">
        <f>IF($B308="","",IF($K308&lt;&gt;"Concluído","Não iniciado",IF(OR(COUNTIF('E08 — Estabilização Hypercare'!$E290:$J290,"⛔ Bloqueado")&gt;0,'E08 — Estabilização Hypercare'!$N290="⛔ Incidente Crítico — Encerramento Bloqueado",AND('E08 — Estabilização Hypercare'!$N290="🆕 Evolução Identificada — Nova Demanda Aberta",'E08 — Estabilização Hypercare'!$U290="")),"Bloqueado",IF(AND('E08 — Estabilização Hypercare'!$E290="✔ Concluído",'E08 — Estabilização Hypercare'!$F290="✔ Concluído",'E08 — Estabilização Hypercare'!$G290="✔ Concluído",OR('E08 — Estabilização Hypercare'!$H290="✔ Concluído",'E08 — Estabilização Hypercare'!$H290="N/A"),'E08 — Estabilização Hypercare'!$I290="✔ Concluído",'E08 — Estabilização Hypercare'!$J290="✔ Concluído",OR('E08 — Estabilização Hypercare'!$N290="✅ Estável — Demanda Encerrada",AND('E08 — Estabilização Hypercare'!$N290="🆕 Evolução Identificada — Nova Demanda Aberta",'E08 — Estabilização Hypercare'!$U290&lt;&gt;""))),"Concluído",IF(OR(COUNTIF('E08 — Estabilização Hypercare'!$E290:$J290,"✔ Concluído")&gt;0,COUNTIF('E08 — Estabilização Hypercare'!$E290:$J290,"🔄 Em andamento")&gt;0,'E08 — Estabilização Hypercare'!$N290&lt;&gt;""),"Em andamento","Não iniciado")))))</f>
        <v/>
      </c>
      <c r="M308" s="232" t="str" cm="1">
        <f t="array" ref="M308">IF(B308="","",_xlfn.IFS(E308&lt;&gt;"Concluído","E1 — Solicitação",F308&lt;&gt;"Concluído","E2 — Triagem",G308&lt;&gt;"Concluído","E3 — Levantamento ⚠",H308&lt;&gt;"Concluído","E4 — Execução",I308&lt;&gt;"Concluído","E5 — Validação ⚠",AND(J308&lt;&gt;"Concluído",J308&lt;&gt;"N/A"),"E6 — Ajustes",K308&lt;&gt;"Concluído","E7 — Entrega",L308&lt;&gt;"Concluído","E08 — Estabilização / Hypercare",TRUE,"✔ Fluxo concluído"))</f>
        <v/>
      </c>
      <c r="N308" s="233" t="str">
        <f t="shared" si="5"/>
        <v/>
      </c>
      <c r="O308" s="230"/>
    </row>
    <row r="309" spans="2:15" x14ac:dyDescent="0.35">
      <c r="B309" s="229" t="str">
        <f>IF(Lançamentos!$B286="","",Lançamentos!$B286)</f>
        <v/>
      </c>
      <c r="C309" s="231" t="str">
        <f>IF($B309="","",Lançamentos!$J286)</f>
        <v/>
      </c>
      <c r="D309" s="231" t="str">
        <f>IF($B309="","",Lançamentos!$H286)</f>
        <v/>
      </c>
      <c r="E309" s="229" t="str">
        <f>IF($B309="","",IF(COUNTIF(Lançamentos!$B$3:$B$1001,$B309)=0,"Bloqueado",IF(COUNTIF('E1 — Solicitação'!$E291:$L291,"⛔ Bloqueado")&gt;0,"Bloqueado",IF(COUNTIF('E1 — Solicitação'!$E291:$L291,"N/A")=8,"Bloqueado",IF(COUNTIF('E1 — Solicitação'!$E291:$L291,"✔ Concluído")+COUNTIF('E1 — Solicitação'!$E291:$L291,"N/A")=8,"Concluído",IF(COUNTIF('E1 — Solicitação'!$E291:$L291,"✔ Concluído")+COUNTIF('E1 — Solicitação'!$E291:$L291,"🔄 Em andamento")&gt;0,"Em andamento","Não iniciado"))))))</f>
        <v/>
      </c>
      <c r="F309" s="229" t="str">
        <f>IF($B309="","",IF($E309&lt;&gt;"Concluído","Não iniciado",IF(COUNTIF(Lançamentos!$B$3:$B$1001,$B309)=0,"Bloqueado",IF('E2 — Triagem'!$D291="","Bloqueado",IF(COUNTIF('E2 — Triagem'!$E291:$L291,"N/A")=8,"Bloqueado",IF(COUNTIF('E2 — Triagem'!$E291:$L291,"⛔ Bloqueado")&gt;0,"Bloqueado",IF(COUNTIF('E2 — Triagem'!$E291:$L291,"✔ Concluído")+COUNTIF('E2 — Triagem'!$E291:$L291,"N/A")=8,"Concluído",IF(COUNTIF('E2 — Triagem'!$E291:$L291,"✔ Concluído")+COUNTIF('E2 — Triagem'!$E291:$L291,"🔄 Em andamento")&gt;0,"Em andamento","Não iniciado"))))))))</f>
        <v/>
      </c>
      <c r="G309" s="229" t="str">
        <f>IF($B309="","",IF($F309&lt;&gt;"Concluído","Não iniciado",IF(COUNTIF(Lançamentos!$B$3:$B$1001,$B309)=0,"Bloqueado",IF('E3 — Levantamento'!$D291="","Bloqueado",IF(COUNTIF('E3 — Levantamento'!$E291:$I291,"⛔ Bloqueado")&gt;0,"Bloqueado",IF('E3 — Levantamento'!$I291="N/A","Bloqueado",IF(COUNTIF('E3 — Levantamento'!$E291:$I291,"✔ Concluído")=5,"Concluído",IF(COUNTIF('E3 — Levantamento'!$E291:$I291,"✔ Concluído")+COUNTIF('E3 — Levantamento'!$E291:$I291,"🔄 Em andamento")&gt;0,"Em andamento","Não iniciado"))))))))</f>
        <v/>
      </c>
      <c r="H309" s="229" t="str">
        <f>IF($B309="","",IF($G309&lt;&gt;"Concluído","Não iniciado",IF(COUNTIF(Lançamentos!$B$3:$B$1001,$B309)=0,"Bloqueado",IF('E4 — Execução'!$D291="","Bloqueado",IF(COUNTIF('E4 — Execução'!$E291:$K291,"⛔ Bloqueado")&gt;0,"Bloqueado",IF(COUNTIF('E4 — Execução'!$E291:$K291,"✔ Concluído")=7,"Concluído",IF(COUNTIF('E4 — Execução'!$E291:$K291,"✔ Concluído")+COUNTIF('E4 — Execução'!$E291:$K291,"🔄 Em andamento")&gt;0,"Em andamento","Não iniciado")))))))</f>
        <v/>
      </c>
      <c r="I309" s="229" t="str">
        <f>IF($B309="","",IF($H309&lt;&gt;"Concluído","Não iniciado",IF(COUNTIF(Lançamentos!$B$3:$B$1001,$B309)=0,"Bloqueado",IF('E5 — Validação'!$D291="","Bloqueado",IF(COUNTIF('E5 — Validação'!$E291:$I291,"⛔ Bloqueado")&gt;0,"Bloqueado",IF('E5 — Validação'!$I291="N/A","Bloqueado",IF(AND('E5 — Validação'!$E291="✔ Concluído",'E5 — Validação'!$F291="✔ Concluído",OR('E5 — Validação'!$G291="✔ Concluído",'E5 — Validação'!$G291="N/A"),'E5 — Validação'!$H291="✔ Concluído",'E5 — Validação'!$I291="✔ Concluído"),"Concluído",IF(COUNTIF('E5 — Validação'!$E291:$I291,"✔ Concluído")+COUNTIF('E5 — Validação'!$E291:$I291,"🔄 Em andamento")&gt;0,"Em andamento","Não iniciado"))))))))</f>
        <v/>
      </c>
      <c r="J309" s="229" t="str">
        <f>IF($B309="","",IF($I309&lt;&gt;"Concluído","Não iniciado",IF('E6 — Ajustes'!$N291="Não","N/A",IF(COUNTIF(Lançamentos!$B$3:$B$1001,$B309)=0,"Bloqueado",IF('E6 — Ajustes'!$D291="","Bloqueado",IF(COUNTIF('E6 — Ajustes'!$E291:$J291,"⛔ Bloqueado")&gt;0,"Bloqueado",IF(AND('E6 — Ajustes'!$E291="✔ Concluído",'E6 — Ajustes'!$F291="✔ Concluído",'E6 — Ajustes'!$G291="✔ Concluído",'E6 — Ajustes'!$H291="✔ Concluído",OR('E6 — Ajustes'!$I291="✔ Concluído",'E6 — Ajustes'!$I291="N/A"),'E6 — Ajustes'!$J291="✔ Concluído"),"Concluído",IF(COUNTIF('E6 — Ajustes'!$E291:$J291,"✔ Concluído")+COUNTIF('E6 — Ajustes'!$E291:$J291,"🔄 Em andamento")&gt;0,"Em andamento","Não iniciado"))))))))</f>
        <v/>
      </c>
      <c r="K309" s="229" t="str">
        <f>IF($B309="","",IF($I309&lt;&gt;"Concluído","Não iniciado",IF(AND($J309&lt;&gt;"Concluído",$J309&lt;&gt;"N/A"),"Não iniciado",IF(COUNTIF(Lançamentos!$B$3:$B$1001,$B309)=0,"Bloqueado",IF('E7 — Entrega'!$D291="","Bloqueado",IF(COUNTIF('E7 — Entrega'!$E291:$H291,"⛔ Bloqueado")&gt;0,"Bloqueado",IF(COUNTIF('E7 — Entrega'!$E291:$H291,"✔ Concluído")=4,"Concluído",IF(COUNTIF('E7 — Entrega'!$E291:$H291,"✔ Concluído")+COUNTIF('E7 — Entrega'!$E291:$H291,"🔄 Em andamento")&gt;0,"Em andamento","Não iniciado"))))))))</f>
        <v/>
      </c>
      <c r="L309" s="229" t="str">
        <f>IF($B309="","",IF($K309&lt;&gt;"Concluído","Não iniciado",IF(OR(COUNTIF('E08 — Estabilização Hypercare'!$E291:$J291,"⛔ Bloqueado")&gt;0,'E08 — Estabilização Hypercare'!$N291="⛔ Incidente Crítico — Encerramento Bloqueado",AND('E08 — Estabilização Hypercare'!$N291="🆕 Evolução Identificada — Nova Demanda Aberta",'E08 — Estabilização Hypercare'!$U291="")),"Bloqueado",IF(AND('E08 — Estabilização Hypercare'!$E291="✔ Concluído",'E08 — Estabilização Hypercare'!$F291="✔ Concluído",'E08 — Estabilização Hypercare'!$G291="✔ Concluído",OR('E08 — Estabilização Hypercare'!$H291="✔ Concluído",'E08 — Estabilização Hypercare'!$H291="N/A"),'E08 — Estabilização Hypercare'!$I291="✔ Concluído",'E08 — Estabilização Hypercare'!$J291="✔ Concluído",OR('E08 — Estabilização Hypercare'!$N291="✅ Estável — Demanda Encerrada",AND('E08 — Estabilização Hypercare'!$N291="🆕 Evolução Identificada — Nova Demanda Aberta",'E08 — Estabilização Hypercare'!$U291&lt;&gt;""))),"Concluído",IF(OR(COUNTIF('E08 — Estabilização Hypercare'!$E291:$J291,"✔ Concluído")&gt;0,COUNTIF('E08 — Estabilização Hypercare'!$E291:$J291,"🔄 Em andamento")&gt;0,'E08 — Estabilização Hypercare'!$N291&lt;&gt;""),"Em andamento","Não iniciado")))))</f>
        <v/>
      </c>
      <c r="M309" s="232" t="str" cm="1">
        <f t="array" ref="M309">IF(B309="","",_xlfn.IFS(E309&lt;&gt;"Concluído","E1 — Solicitação",F309&lt;&gt;"Concluído","E2 — Triagem",G309&lt;&gt;"Concluído","E3 — Levantamento ⚠",H309&lt;&gt;"Concluído","E4 — Execução",I309&lt;&gt;"Concluído","E5 — Validação ⚠",AND(J309&lt;&gt;"Concluído",J309&lt;&gt;"N/A"),"E6 — Ajustes",K309&lt;&gt;"Concluído","E7 — Entrega",L309&lt;&gt;"Concluído","E08 — Estabilização / Hypercare",TRUE,"✔ Fluxo concluído"))</f>
        <v/>
      </c>
      <c r="N309" s="233" t="str">
        <f t="shared" si="5"/>
        <v/>
      </c>
      <c r="O309" s="230"/>
    </row>
    <row r="310" spans="2:15" x14ac:dyDescent="0.35">
      <c r="B310" s="229" t="str">
        <f>IF(Lançamentos!$B287="","",Lançamentos!$B287)</f>
        <v/>
      </c>
      <c r="C310" s="231" t="str">
        <f>IF($B310="","",Lançamentos!$J287)</f>
        <v/>
      </c>
      <c r="D310" s="231" t="str">
        <f>IF($B310="","",Lançamentos!$H287)</f>
        <v/>
      </c>
      <c r="E310" s="229" t="str">
        <f>IF($B310="","",IF(COUNTIF(Lançamentos!$B$3:$B$1001,$B310)=0,"Bloqueado",IF(COUNTIF('E1 — Solicitação'!$E292:$L292,"⛔ Bloqueado")&gt;0,"Bloqueado",IF(COUNTIF('E1 — Solicitação'!$E292:$L292,"N/A")=8,"Bloqueado",IF(COUNTIF('E1 — Solicitação'!$E292:$L292,"✔ Concluído")+COUNTIF('E1 — Solicitação'!$E292:$L292,"N/A")=8,"Concluído",IF(COUNTIF('E1 — Solicitação'!$E292:$L292,"✔ Concluído")+COUNTIF('E1 — Solicitação'!$E292:$L292,"🔄 Em andamento")&gt;0,"Em andamento","Não iniciado"))))))</f>
        <v/>
      </c>
      <c r="F310" s="229" t="str">
        <f>IF($B310="","",IF($E310&lt;&gt;"Concluído","Não iniciado",IF(COUNTIF(Lançamentos!$B$3:$B$1001,$B310)=0,"Bloqueado",IF('E2 — Triagem'!$D292="","Bloqueado",IF(COUNTIF('E2 — Triagem'!$E292:$L292,"N/A")=8,"Bloqueado",IF(COUNTIF('E2 — Triagem'!$E292:$L292,"⛔ Bloqueado")&gt;0,"Bloqueado",IF(COUNTIF('E2 — Triagem'!$E292:$L292,"✔ Concluído")+COUNTIF('E2 — Triagem'!$E292:$L292,"N/A")=8,"Concluído",IF(COUNTIF('E2 — Triagem'!$E292:$L292,"✔ Concluído")+COUNTIF('E2 — Triagem'!$E292:$L292,"🔄 Em andamento")&gt;0,"Em andamento","Não iniciado"))))))))</f>
        <v/>
      </c>
      <c r="G310" s="229" t="str">
        <f>IF($B310="","",IF($F310&lt;&gt;"Concluído","Não iniciado",IF(COUNTIF(Lançamentos!$B$3:$B$1001,$B310)=0,"Bloqueado",IF('E3 — Levantamento'!$D292="","Bloqueado",IF(COUNTIF('E3 — Levantamento'!$E292:$I292,"⛔ Bloqueado")&gt;0,"Bloqueado",IF('E3 — Levantamento'!$I292="N/A","Bloqueado",IF(COUNTIF('E3 — Levantamento'!$E292:$I292,"✔ Concluído")=5,"Concluído",IF(COUNTIF('E3 — Levantamento'!$E292:$I292,"✔ Concluído")+COUNTIF('E3 — Levantamento'!$E292:$I292,"🔄 Em andamento")&gt;0,"Em andamento","Não iniciado"))))))))</f>
        <v/>
      </c>
      <c r="H310" s="229" t="str">
        <f>IF($B310="","",IF($G310&lt;&gt;"Concluído","Não iniciado",IF(COUNTIF(Lançamentos!$B$3:$B$1001,$B310)=0,"Bloqueado",IF('E4 — Execução'!$D292="","Bloqueado",IF(COUNTIF('E4 — Execução'!$E292:$K292,"⛔ Bloqueado")&gt;0,"Bloqueado",IF(COUNTIF('E4 — Execução'!$E292:$K292,"✔ Concluído")=7,"Concluído",IF(COUNTIF('E4 — Execução'!$E292:$K292,"✔ Concluído")+COUNTIF('E4 — Execução'!$E292:$K292,"🔄 Em andamento")&gt;0,"Em andamento","Não iniciado")))))))</f>
        <v/>
      </c>
      <c r="I310" s="229" t="str">
        <f>IF($B310="","",IF($H310&lt;&gt;"Concluído","Não iniciado",IF(COUNTIF(Lançamentos!$B$3:$B$1001,$B310)=0,"Bloqueado",IF('E5 — Validação'!$D292="","Bloqueado",IF(COUNTIF('E5 — Validação'!$E292:$I292,"⛔ Bloqueado")&gt;0,"Bloqueado",IF('E5 — Validação'!$I292="N/A","Bloqueado",IF(AND('E5 — Validação'!$E292="✔ Concluído",'E5 — Validação'!$F292="✔ Concluído",OR('E5 — Validação'!$G292="✔ Concluído",'E5 — Validação'!$G292="N/A"),'E5 — Validação'!$H292="✔ Concluído",'E5 — Validação'!$I292="✔ Concluído"),"Concluído",IF(COUNTIF('E5 — Validação'!$E292:$I292,"✔ Concluído")+COUNTIF('E5 — Validação'!$E292:$I292,"🔄 Em andamento")&gt;0,"Em andamento","Não iniciado"))))))))</f>
        <v/>
      </c>
      <c r="J310" s="229" t="str">
        <f>IF($B310="","",IF($I310&lt;&gt;"Concluído","Não iniciado",IF('E6 — Ajustes'!$N292="Não","N/A",IF(COUNTIF(Lançamentos!$B$3:$B$1001,$B310)=0,"Bloqueado",IF('E6 — Ajustes'!$D292="","Bloqueado",IF(COUNTIF('E6 — Ajustes'!$E292:$J292,"⛔ Bloqueado")&gt;0,"Bloqueado",IF(AND('E6 — Ajustes'!$E292="✔ Concluído",'E6 — Ajustes'!$F292="✔ Concluído",'E6 — Ajustes'!$G292="✔ Concluído",'E6 — Ajustes'!$H292="✔ Concluído",OR('E6 — Ajustes'!$I292="✔ Concluído",'E6 — Ajustes'!$I292="N/A"),'E6 — Ajustes'!$J292="✔ Concluído"),"Concluído",IF(COUNTIF('E6 — Ajustes'!$E292:$J292,"✔ Concluído")+COUNTIF('E6 — Ajustes'!$E292:$J292,"🔄 Em andamento")&gt;0,"Em andamento","Não iniciado"))))))))</f>
        <v/>
      </c>
      <c r="K310" s="229" t="str">
        <f>IF($B310="","",IF($I310&lt;&gt;"Concluído","Não iniciado",IF(AND($J310&lt;&gt;"Concluído",$J310&lt;&gt;"N/A"),"Não iniciado",IF(COUNTIF(Lançamentos!$B$3:$B$1001,$B310)=0,"Bloqueado",IF('E7 — Entrega'!$D292="","Bloqueado",IF(COUNTIF('E7 — Entrega'!$E292:$H292,"⛔ Bloqueado")&gt;0,"Bloqueado",IF(COUNTIF('E7 — Entrega'!$E292:$H292,"✔ Concluído")=4,"Concluído",IF(COUNTIF('E7 — Entrega'!$E292:$H292,"✔ Concluído")+COUNTIF('E7 — Entrega'!$E292:$H292,"🔄 Em andamento")&gt;0,"Em andamento","Não iniciado"))))))))</f>
        <v/>
      </c>
      <c r="L310" s="229" t="str">
        <f>IF($B310="","",IF($K310&lt;&gt;"Concluído","Não iniciado",IF(OR(COUNTIF('E08 — Estabilização Hypercare'!$E292:$J292,"⛔ Bloqueado")&gt;0,'E08 — Estabilização Hypercare'!$N292="⛔ Incidente Crítico — Encerramento Bloqueado",AND('E08 — Estabilização Hypercare'!$N292="🆕 Evolução Identificada — Nova Demanda Aberta",'E08 — Estabilização Hypercare'!$U292="")),"Bloqueado",IF(AND('E08 — Estabilização Hypercare'!$E292="✔ Concluído",'E08 — Estabilização Hypercare'!$F292="✔ Concluído",'E08 — Estabilização Hypercare'!$G292="✔ Concluído",OR('E08 — Estabilização Hypercare'!$H292="✔ Concluído",'E08 — Estabilização Hypercare'!$H292="N/A"),'E08 — Estabilização Hypercare'!$I292="✔ Concluído",'E08 — Estabilização Hypercare'!$J292="✔ Concluído",OR('E08 — Estabilização Hypercare'!$N292="✅ Estável — Demanda Encerrada",AND('E08 — Estabilização Hypercare'!$N292="🆕 Evolução Identificada — Nova Demanda Aberta",'E08 — Estabilização Hypercare'!$U292&lt;&gt;""))),"Concluído",IF(OR(COUNTIF('E08 — Estabilização Hypercare'!$E292:$J292,"✔ Concluído")&gt;0,COUNTIF('E08 — Estabilização Hypercare'!$E292:$J292,"🔄 Em andamento")&gt;0,'E08 — Estabilização Hypercare'!$N292&lt;&gt;""),"Em andamento","Não iniciado")))))</f>
        <v/>
      </c>
      <c r="M310" s="232" t="str" cm="1">
        <f t="array" ref="M310">IF(B310="","",_xlfn.IFS(E310&lt;&gt;"Concluído","E1 — Solicitação",F310&lt;&gt;"Concluído","E2 — Triagem",G310&lt;&gt;"Concluído","E3 — Levantamento ⚠",H310&lt;&gt;"Concluído","E4 — Execução",I310&lt;&gt;"Concluído","E5 — Validação ⚠",AND(J310&lt;&gt;"Concluído",J310&lt;&gt;"N/A"),"E6 — Ajustes",K310&lt;&gt;"Concluído","E7 — Entrega",L310&lt;&gt;"Concluído","E08 — Estabilização / Hypercare",TRUE,"✔ Fluxo concluído"))</f>
        <v/>
      </c>
      <c r="N310" s="233" t="str">
        <f t="shared" si="5"/>
        <v/>
      </c>
      <c r="O310" s="230"/>
    </row>
    <row r="311" spans="2:15" x14ac:dyDescent="0.35">
      <c r="B311" s="229" t="str">
        <f>IF(Lançamentos!$B288="","",Lançamentos!$B288)</f>
        <v/>
      </c>
      <c r="C311" s="231" t="str">
        <f>IF($B311="","",Lançamentos!$J288)</f>
        <v/>
      </c>
      <c r="D311" s="231" t="str">
        <f>IF($B311="","",Lançamentos!$H288)</f>
        <v/>
      </c>
      <c r="E311" s="229" t="str">
        <f>IF($B311="","",IF(COUNTIF(Lançamentos!$B$3:$B$1001,$B311)=0,"Bloqueado",IF(COUNTIF('E1 — Solicitação'!$E293:$L293,"⛔ Bloqueado")&gt;0,"Bloqueado",IF(COUNTIF('E1 — Solicitação'!$E293:$L293,"N/A")=8,"Bloqueado",IF(COUNTIF('E1 — Solicitação'!$E293:$L293,"✔ Concluído")+COUNTIF('E1 — Solicitação'!$E293:$L293,"N/A")=8,"Concluído",IF(COUNTIF('E1 — Solicitação'!$E293:$L293,"✔ Concluído")+COUNTIF('E1 — Solicitação'!$E293:$L293,"🔄 Em andamento")&gt;0,"Em andamento","Não iniciado"))))))</f>
        <v/>
      </c>
      <c r="F311" s="229" t="str">
        <f>IF($B311="","",IF($E311&lt;&gt;"Concluído","Não iniciado",IF(COUNTIF(Lançamentos!$B$3:$B$1001,$B311)=0,"Bloqueado",IF('E2 — Triagem'!$D293="","Bloqueado",IF(COUNTIF('E2 — Triagem'!$E293:$L293,"N/A")=8,"Bloqueado",IF(COUNTIF('E2 — Triagem'!$E293:$L293,"⛔ Bloqueado")&gt;0,"Bloqueado",IF(COUNTIF('E2 — Triagem'!$E293:$L293,"✔ Concluído")+COUNTIF('E2 — Triagem'!$E293:$L293,"N/A")=8,"Concluído",IF(COUNTIF('E2 — Triagem'!$E293:$L293,"✔ Concluído")+COUNTIF('E2 — Triagem'!$E293:$L293,"🔄 Em andamento")&gt;0,"Em andamento","Não iniciado"))))))))</f>
        <v/>
      </c>
      <c r="G311" s="229" t="str">
        <f>IF($B311="","",IF($F311&lt;&gt;"Concluído","Não iniciado",IF(COUNTIF(Lançamentos!$B$3:$B$1001,$B311)=0,"Bloqueado",IF('E3 — Levantamento'!$D293="","Bloqueado",IF(COUNTIF('E3 — Levantamento'!$E293:$I293,"⛔ Bloqueado")&gt;0,"Bloqueado",IF('E3 — Levantamento'!$I293="N/A","Bloqueado",IF(COUNTIF('E3 — Levantamento'!$E293:$I293,"✔ Concluído")=5,"Concluído",IF(COUNTIF('E3 — Levantamento'!$E293:$I293,"✔ Concluído")+COUNTIF('E3 — Levantamento'!$E293:$I293,"🔄 Em andamento")&gt;0,"Em andamento","Não iniciado"))))))))</f>
        <v/>
      </c>
      <c r="H311" s="229" t="str">
        <f>IF($B311="","",IF($G311&lt;&gt;"Concluído","Não iniciado",IF(COUNTIF(Lançamentos!$B$3:$B$1001,$B311)=0,"Bloqueado",IF('E4 — Execução'!$D293="","Bloqueado",IF(COUNTIF('E4 — Execução'!$E293:$K293,"⛔ Bloqueado")&gt;0,"Bloqueado",IF(COUNTIF('E4 — Execução'!$E293:$K293,"✔ Concluído")=7,"Concluído",IF(COUNTIF('E4 — Execução'!$E293:$K293,"✔ Concluído")+COUNTIF('E4 — Execução'!$E293:$K293,"🔄 Em andamento")&gt;0,"Em andamento","Não iniciado")))))))</f>
        <v/>
      </c>
      <c r="I311" s="229" t="str">
        <f>IF($B311="","",IF($H311&lt;&gt;"Concluído","Não iniciado",IF(COUNTIF(Lançamentos!$B$3:$B$1001,$B311)=0,"Bloqueado",IF('E5 — Validação'!$D293="","Bloqueado",IF(COUNTIF('E5 — Validação'!$E293:$I293,"⛔ Bloqueado")&gt;0,"Bloqueado",IF('E5 — Validação'!$I293="N/A","Bloqueado",IF(AND('E5 — Validação'!$E293="✔ Concluído",'E5 — Validação'!$F293="✔ Concluído",OR('E5 — Validação'!$G293="✔ Concluído",'E5 — Validação'!$G293="N/A"),'E5 — Validação'!$H293="✔ Concluído",'E5 — Validação'!$I293="✔ Concluído"),"Concluído",IF(COUNTIF('E5 — Validação'!$E293:$I293,"✔ Concluído")+COUNTIF('E5 — Validação'!$E293:$I293,"🔄 Em andamento")&gt;0,"Em andamento","Não iniciado"))))))))</f>
        <v/>
      </c>
      <c r="J311" s="229" t="str">
        <f>IF($B311="","",IF($I311&lt;&gt;"Concluído","Não iniciado",IF('E6 — Ajustes'!$N293="Não","N/A",IF(COUNTIF(Lançamentos!$B$3:$B$1001,$B311)=0,"Bloqueado",IF('E6 — Ajustes'!$D293="","Bloqueado",IF(COUNTIF('E6 — Ajustes'!$E293:$J293,"⛔ Bloqueado")&gt;0,"Bloqueado",IF(AND('E6 — Ajustes'!$E293="✔ Concluído",'E6 — Ajustes'!$F293="✔ Concluído",'E6 — Ajustes'!$G293="✔ Concluído",'E6 — Ajustes'!$H293="✔ Concluído",OR('E6 — Ajustes'!$I293="✔ Concluído",'E6 — Ajustes'!$I293="N/A"),'E6 — Ajustes'!$J293="✔ Concluído"),"Concluído",IF(COUNTIF('E6 — Ajustes'!$E293:$J293,"✔ Concluído")+COUNTIF('E6 — Ajustes'!$E293:$J293,"🔄 Em andamento")&gt;0,"Em andamento","Não iniciado"))))))))</f>
        <v/>
      </c>
      <c r="K311" s="229" t="str">
        <f>IF($B311="","",IF($I311&lt;&gt;"Concluído","Não iniciado",IF(AND($J311&lt;&gt;"Concluído",$J311&lt;&gt;"N/A"),"Não iniciado",IF(COUNTIF(Lançamentos!$B$3:$B$1001,$B311)=0,"Bloqueado",IF('E7 — Entrega'!$D293="","Bloqueado",IF(COUNTIF('E7 — Entrega'!$E293:$H293,"⛔ Bloqueado")&gt;0,"Bloqueado",IF(COUNTIF('E7 — Entrega'!$E293:$H293,"✔ Concluído")=4,"Concluído",IF(COUNTIF('E7 — Entrega'!$E293:$H293,"✔ Concluído")+COUNTIF('E7 — Entrega'!$E293:$H293,"🔄 Em andamento")&gt;0,"Em andamento","Não iniciado"))))))))</f>
        <v/>
      </c>
      <c r="L311" s="229" t="str">
        <f>IF($B311="","",IF($K311&lt;&gt;"Concluído","Não iniciado",IF(OR(COUNTIF('E08 — Estabilização Hypercare'!$E293:$J293,"⛔ Bloqueado")&gt;0,'E08 — Estabilização Hypercare'!$N293="⛔ Incidente Crítico — Encerramento Bloqueado",AND('E08 — Estabilização Hypercare'!$N293="🆕 Evolução Identificada — Nova Demanda Aberta",'E08 — Estabilização Hypercare'!$U293="")),"Bloqueado",IF(AND('E08 — Estabilização Hypercare'!$E293="✔ Concluído",'E08 — Estabilização Hypercare'!$F293="✔ Concluído",'E08 — Estabilização Hypercare'!$G293="✔ Concluído",OR('E08 — Estabilização Hypercare'!$H293="✔ Concluído",'E08 — Estabilização Hypercare'!$H293="N/A"),'E08 — Estabilização Hypercare'!$I293="✔ Concluído",'E08 — Estabilização Hypercare'!$J293="✔ Concluído",OR('E08 — Estabilização Hypercare'!$N293="✅ Estável — Demanda Encerrada",AND('E08 — Estabilização Hypercare'!$N293="🆕 Evolução Identificada — Nova Demanda Aberta",'E08 — Estabilização Hypercare'!$U293&lt;&gt;""))),"Concluído",IF(OR(COUNTIF('E08 — Estabilização Hypercare'!$E293:$J293,"✔ Concluído")&gt;0,COUNTIF('E08 — Estabilização Hypercare'!$E293:$J293,"🔄 Em andamento")&gt;0,'E08 — Estabilização Hypercare'!$N293&lt;&gt;""),"Em andamento","Não iniciado")))))</f>
        <v/>
      </c>
      <c r="M311" s="232" t="str" cm="1">
        <f t="array" ref="M311">IF(B311="","",_xlfn.IFS(E311&lt;&gt;"Concluído","E1 — Solicitação",F311&lt;&gt;"Concluído","E2 — Triagem",G311&lt;&gt;"Concluído","E3 — Levantamento ⚠",H311&lt;&gt;"Concluído","E4 — Execução",I311&lt;&gt;"Concluído","E5 — Validação ⚠",AND(J311&lt;&gt;"Concluído",J311&lt;&gt;"N/A"),"E6 — Ajustes",K311&lt;&gt;"Concluído","E7 — Entrega",L311&lt;&gt;"Concluído","E08 — Estabilização / Hypercare",TRUE,"✔ Fluxo concluído"))</f>
        <v/>
      </c>
      <c r="N311" s="233" t="str">
        <f t="shared" si="5"/>
        <v/>
      </c>
      <c r="O311" s="230"/>
    </row>
    <row r="312" spans="2:15" x14ac:dyDescent="0.35">
      <c r="B312" s="229" t="str">
        <f>IF(Lançamentos!$B289="","",Lançamentos!$B289)</f>
        <v/>
      </c>
      <c r="C312" s="231" t="str">
        <f>IF($B312="","",Lançamentos!$J289)</f>
        <v/>
      </c>
      <c r="D312" s="231" t="str">
        <f>IF($B312="","",Lançamentos!$H289)</f>
        <v/>
      </c>
      <c r="E312" s="229" t="str">
        <f>IF($B312="","",IF(COUNTIF(Lançamentos!$B$3:$B$1001,$B312)=0,"Bloqueado",IF(COUNTIF('E1 — Solicitação'!$E294:$L294,"⛔ Bloqueado")&gt;0,"Bloqueado",IF(COUNTIF('E1 — Solicitação'!$E294:$L294,"N/A")=8,"Bloqueado",IF(COUNTIF('E1 — Solicitação'!$E294:$L294,"✔ Concluído")+COUNTIF('E1 — Solicitação'!$E294:$L294,"N/A")=8,"Concluído",IF(COUNTIF('E1 — Solicitação'!$E294:$L294,"✔ Concluído")+COUNTIF('E1 — Solicitação'!$E294:$L294,"🔄 Em andamento")&gt;0,"Em andamento","Não iniciado"))))))</f>
        <v/>
      </c>
      <c r="F312" s="229" t="str">
        <f>IF($B312="","",IF($E312&lt;&gt;"Concluído","Não iniciado",IF(COUNTIF(Lançamentos!$B$3:$B$1001,$B312)=0,"Bloqueado",IF('E2 — Triagem'!$D294="","Bloqueado",IF(COUNTIF('E2 — Triagem'!$E294:$L294,"N/A")=8,"Bloqueado",IF(COUNTIF('E2 — Triagem'!$E294:$L294,"⛔ Bloqueado")&gt;0,"Bloqueado",IF(COUNTIF('E2 — Triagem'!$E294:$L294,"✔ Concluído")+COUNTIF('E2 — Triagem'!$E294:$L294,"N/A")=8,"Concluído",IF(COUNTIF('E2 — Triagem'!$E294:$L294,"✔ Concluído")+COUNTIF('E2 — Triagem'!$E294:$L294,"🔄 Em andamento")&gt;0,"Em andamento","Não iniciado"))))))))</f>
        <v/>
      </c>
      <c r="G312" s="229" t="str">
        <f>IF($B312="","",IF($F312&lt;&gt;"Concluído","Não iniciado",IF(COUNTIF(Lançamentos!$B$3:$B$1001,$B312)=0,"Bloqueado",IF('E3 — Levantamento'!$D294="","Bloqueado",IF(COUNTIF('E3 — Levantamento'!$E294:$I294,"⛔ Bloqueado")&gt;0,"Bloqueado",IF('E3 — Levantamento'!$I294="N/A","Bloqueado",IF(COUNTIF('E3 — Levantamento'!$E294:$I294,"✔ Concluído")=5,"Concluído",IF(COUNTIF('E3 — Levantamento'!$E294:$I294,"✔ Concluído")+COUNTIF('E3 — Levantamento'!$E294:$I294,"🔄 Em andamento")&gt;0,"Em andamento","Não iniciado"))))))))</f>
        <v/>
      </c>
      <c r="H312" s="229" t="str">
        <f>IF($B312="","",IF($G312&lt;&gt;"Concluído","Não iniciado",IF(COUNTIF(Lançamentos!$B$3:$B$1001,$B312)=0,"Bloqueado",IF('E4 — Execução'!$D294="","Bloqueado",IF(COUNTIF('E4 — Execução'!$E294:$K294,"⛔ Bloqueado")&gt;0,"Bloqueado",IF(COUNTIF('E4 — Execução'!$E294:$K294,"✔ Concluído")=7,"Concluído",IF(COUNTIF('E4 — Execução'!$E294:$K294,"✔ Concluído")+COUNTIF('E4 — Execução'!$E294:$K294,"🔄 Em andamento")&gt;0,"Em andamento","Não iniciado")))))))</f>
        <v/>
      </c>
      <c r="I312" s="229" t="str">
        <f>IF($B312="","",IF($H312&lt;&gt;"Concluído","Não iniciado",IF(COUNTIF(Lançamentos!$B$3:$B$1001,$B312)=0,"Bloqueado",IF('E5 — Validação'!$D294="","Bloqueado",IF(COUNTIF('E5 — Validação'!$E294:$I294,"⛔ Bloqueado")&gt;0,"Bloqueado",IF('E5 — Validação'!$I294="N/A","Bloqueado",IF(AND('E5 — Validação'!$E294="✔ Concluído",'E5 — Validação'!$F294="✔ Concluído",OR('E5 — Validação'!$G294="✔ Concluído",'E5 — Validação'!$G294="N/A"),'E5 — Validação'!$H294="✔ Concluído",'E5 — Validação'!$I294="✔ Concluído"),"Concluído",IF(COUNTIF('E5 — Validação'!$E294:$I294,"✔ Concluído")+COUNTIF('E5 — Validação'!$E294:$I294,"🔄 Em andamento")&gt;0,"Em andamento","Não iniciado"))))))))</f>
        <v/>
      </c>
      <c r="J312" s="229" t="str">
        <f>IF($B312="","",IF($I312&lt;&gt;"Concluído","Não iniciado",IF('E6 — Ajustes'!$N294="Não","N/A",IF(COUNTIF(Lançamentos!$B$3:$B$1001,$B312)=0,"Bloqueado",IF('E6 — Ajustes'!$D294="","Bloqueado",IF(COUNTIF('E6 — Ajustes'!$E294:$J294,"⛔ Bloqueado")&gt;0,"Bloqueado",IF(AND('E6 — Ajustes'!$E294="✔ Concluído",'E6 — Ajustes'!$F294="✔ Concluído",'E6 — Ajustes'!$G294="✔ Concluído",'E6 — Ajustes'!$H294="✔ Concluído",OR('E6 — Ajustes'!$I294="✔ Concluído",'E6 — Ajustes'!$I294="N/A"),'E6 — Ajustes'!$J294="✔ Concluído"),"Concluído",IF(COUNTIF('E6 — Ajustes'!$E294:$J294,"✔ Concluído")+COUNTIF('E6 — Ajustes'!$E294:$J294,"🔄 Em andamento")&gt;0,"Em andamento","Não iniciado"))))))))</f>
        <v/>
      </c>
      <c r="K312" s="229" t="str">
        <f>IF($B312="","",IF($I312&lt;&gt;"Concluído","Não iniciado",IF(AND($J312&lt;&gt;"Concluído",$J312&lt;&gt;"N/A"),"Não iniciado",IF(COUNTIF(Lançamentos!$B$3:$B$1001,$B312)=0,"Bloqueado",IF('E7 — Entrega'!$D294="","Bloqueado",IF(COUNTIF('E7 — Entrega'!$E294:$H294,"⛔ Bloqueado")&gt;0,"Bloqueado",IF(COUNTIF('E7 — Entrega'!$E294:$H294,"✔ Concluído")=4,"Concluído",IF(COUNTIF('E7 — Entrega'!$E294:$H294,"✔ Concluído")+COUNTIF('E7 — Entrega'!$E294:$H294,"🔄 Em andamento")&gt;0,"Em andamento","Não iniciado"))))))))</f>
        <v/>
      </c>
      <c r="L312" s="229" t="str">
        <f>IF($B312="","",IF($K312&lt;&gt;"Concluído","Não iniciado",IF(OR(COUNTIF('E08 — Estabilização Hypercare'!$E294:$J294,"⛔ Bloqueado")&gt;0,'E08 — Estabilização Hypercare'!$N294="⛔ Incidente Crítico — Encerramento Bloqueado",AND('E08 — Estabilização Hypercare'!$N294="🆕 Evolução Identificada — Nova Demanda Aberta",'E08 — Estabilização Hypercare'!$U294="")),"Bloqueado",IF(AND('E08 — Estabilização Hypercare'!$E294="✔ Concluído",'E08 — Estabilização Hypercare'!$F294="✔ Concluído",'E08 — Estabilização Hypercare'!$G294="✔ Concluído",OR('E08 — Estabilização Hypercare'!$H294="✔ Concluído",'E08 — Estabilização Hypercare'!$H294="N/A"),'E08 — Estabilização Hypercare'!$I294="✔ Concluído",'E08 — Estabilização Hypercare'!$J294="✔ Concluído",OR('E08 — Estabilização Hypercare'!$N294="✅ Estável — Demanda Encerrada",AND('E08 — Estabilização Hypercare'!$N294="🆕 Evolução Identificada — Nova Demanda Aberta",'E08 — Estabilização Hypercare'!$U294&lt;&gt;""))),"Concluído",IF(OR(COUNTIF('E08 — Estabilização Hypercare'!$E294:$J294,"✔ Concluído")&gt;0,COUNTIF('E08 — Estabilização Hypercare'!$E294:$J294,"🔄 Em andamento")&gt;0,'E08 — Estabilização Hypercare'!$N294&lt;&gt;""),"Em andamento","Não iniciado")))))</f>
        <v/>
      </c>
      <c r="M312" s="232" t="str" cm="1">
        <f t="array" ref="M312">IF(B312="","",_xlfn.IFS(E312&lt;&gt;"Concluído","E1 — Solicitação",F312&lt;&gt;"Concluído","E2 — Triagem",G312&lt;&gt;"Concluído","E3 — Levantamento ⚠",H312&lt;&gt;"Concluído","E4 — Execução",I312&lt;&gt;"Concluído","E5 — Validação ⚠",AND(J312&lt;&gt;"Concluído",J312&lt;&gt;"N/A"),"E6 — Ajustes",K312&lt;&gt;"Concluído","E7 — Entrega",L312&lt;&gt;"Concluído","E08 — Estabilização / Hypercare",TRUE,"✔ Fluxo concluído"))</f>
        <v/>
      </c>
      <c r="N312" s="233" t="str">
        <f t="shared" si="5"/>
        <v/>
      </c>
      <c r="O312" s="230"/>
    </row>
    <row r="313" spans="2:15" x14ac:dyDescent="0.35">
      <c r="B313" s="229" t="str">
        <f>IF(Lançamentos!$B290="","",Lançamentos!$B290)</f>
        <v/>
      </c>
      <c r="C313" s="231" t="str">
        <f>IF($B313="","",Lançamentos!$J290)</f>
        <v/>
      </c>
      <c r="D313" s="231" t="str">
        <f>IF($B313="","",Lançamentos!$H290)</f>
        <v/>
      </c>
      <c r="E313" s="229" t="str">
        <f>IF($B313="","",IF(COUNTIF(Lançamentos!$B$3:$B$1001,$B313)=0,"Bloqueado",IF(COUNTIF('E1 — Solicitação'!$E295:$L295,"⛔ Bloqueado")&gt;0,"Bloqueado",IF(COUNTIF('E1 — Solicitação'!$E295:$L295,"N/A")=8,"Bloqueado",IF(COUNTIF('E1 — Solicitação'!$E295:$L295,"✔ Concluído")+COUNTIF('E1 — Solicitação'!$E295:$L295,"N/A")=8,"Concluído",IF(COUNTIF('E1 — Solicitação'!$E295:$L295,"✔ Concluído")+COUNTIF('E1 — Solicitação'!$E295:$L295,"🔄 Em andamento")&gt;0,"Em andamento","Não iniciado"))))))</f>
        <v/>
      </c>
      <c r="F313" s="229" t="str">
        <f>IF($B313="","",IF($E313&lt;&gt;"Concluído","Não iniciado",IF(COUNTIF(Lançamentos!$B$3:$B$1001,$B313)=0,"Bloqueado",IF('E2 — Triagem'!$D295="","Bloqueado",IF(COUNTIF('E2 — Triagem'!$E295:$L295,"N/A")=8,"Bloqueado",IF(COUNTIF('E2 — Triagem'!$E295:$L295,"⛔ Bloqueado")&gt;0,"Bloqueado",IF(COUNTIF('E2 — Triagem'!$E295:$L295,"✔ Concluído")+COUNTIF('E2 — Triagem'!$E295:$L295,"N/A")=8,"Concluído",IF(COUNTIF('E2 — Triagem'!$E295:$L295,"✔ Concluído")+COUNTIF('E2 — Triagem'!$E295:$L295,"🔄 Em andamento")&gt;0,"Em andamento","Não iniciado"))))))))</f>
        <v/>
      </c>
      <c r="G313" s="229" t="str">
        <f>IF($B313="","",IF($F313&lt;&gt;"Concluído","Não iniciado",IF(COUNTIF(Lançamentos!$B$3:$B$1001,$B313)=0,"Bloqueado",IF('E3 — Levantamento'!$D295="","Bloqueado",IF(COUNTIF('E3 — Levantamento'!$E295:$I295,"⛔ Bloqueado")&gt;0,"Bloqueado",IF('E3 — Levantamento'!$I295="N/A","Bloqueado",IF(COUNTIF('E3 — Levantamento'!$E295:$I295,"✔ Concluído")=5,"Concluído",IF(COUNTIF('E3 — Levantamento'!$E295:$I295,"✔ Concluído")+COUNTIF('E3 — Levantamento'!$E295:$I295,"🔄 Em andamento")&gt;0,"Em andamento","Não iniciado"))))))))</f>
        <v/>
      </c>
      <c r="H313" s="229" t="str">
        <f>IF($B313="","",IF($G313&lt;&gt;"Concluído","Não iniciado",IF(COUNTIF(Lançamentos!$B$3:$B$1001,$B313)=0,"Bloqueado",IF('E4 — Execução'!$D295="","Bloqueado",IF(COUNTIF('E4 — Execução'!$E295:$K295,"⛔ Bloqueado")&gt;0,"Bloqueado",IF(COUNTIF('E4 — Execução'!$E295:$K295,"✔ Concluído")=7,"Concluído",IF(COUNTIF('E4 — Execução'!$E295:$K295,"✔ Concluído")+COUNTIF('E4 — Execução'!$E295:$K295,"🔄 Em andamento")&gt;0,"Em andamento","Não iniciado")))))))</f>
        <v/>
      </c>
      <c r="I313" s="229" t="str">
        <f>IF($B313="","",IF($H313&lt;&gt;"Concluído","Não iniciado",IF(COUNTIF(Lançamentos!$B$3:$B$1001,$B313)=0,"Bloqueado",IF('E5 — Validação'!$D295="","Bloqueado",IF(COUNTIF('E5 — Validação'!$E295:$I295,"⛔ Bloqueado")&gt;0,"Bloqueado",IF('E5 — Validação'!$I295="N/A","Bloqueado",IF(AND('E5 — Validação'!$E295="✔ Concluído",'E5 — Validação'!$F295="✔ Concluído",OR('E5 — Validação'!$G295="✔ Concluído",'E5 — Validação'!$G295="N/A"),'E5 — Validação'!$H295="✔ Concluído",'E5 — Validação'!$I295="✔ Concluído"),"Concluído",IF(COUNTIF('E5 — Validação'!$E295:$I295,"✔ Concluído")+COUNTIF('E5 — Validação'!$E295:$I295,"🔄 Em andamento")&gt;0,"Em andamento","Não iniciado"))))))))</f>
        <v/>
      </c>
      <c r="J313" s="229" t="str">
        <f>IF($B313="","",IF($I313&lt;&gt;"Concluído","Não iniciado",IF('E6 — Ajustes'!$N295="Não","N/A",IF(COUNTIF(Lançamentos!$B$3:$B$1001,$B313)=0,"Bloqueado",IF('E6 — Ajustes'!$D295="","Bloqueado",IF(COUNTIF('E6 — Ajustes'!$E295:$J295,"⛔ Bloqueado")&gt;0,"Bloqueado",IF(AND('E6 — Ajustes'!$E295="✔ Concluído",'E6 — Ajustes'!$F295="✔ Concluído",'E6 — Ajustes'!$G295="✔ Concluído",'E6 — Ajustes'!$H295="✔ Concluído",OR('E6 — Ajustes'!$I295="✔ Concluído",'E6 — Ajustes'!$I295="N/A"),'E6 — Ajustes'!$J295="✔ Concluído"),"Concluído",IF(COUNTIF('E6 — Ajustes'!$E295:$J295,"✔ Concluído")+COUNTIF('E6 — Ajustes'!$E295:$J295,"🔄 Em andamento")&gt;0,"Em andamento","Não iniciado"))))))))</f>
        <v/>
      </c>
      <c r="K313" s="229" t="str">
        <f>IF($B313="","",IF($I313&lt;&gt;"Concluído","Não iniciado",IF(AND($J313&lt;&gt;"Concluído",$J313&lt;&gt;"N/A"),"Não iniciado",IF(COUNTIF(Lançamentos!$B$3:$B$1001,$B313)=0,"Bloqueado",IF('E7 — Entrega'!$D295="","Bloqueado",IF(COUNTIF('E7 — Entrega'!$E295:$H295,"⛔ Bloqueado")&gt;0,"Bloqueado",IF(COUNTIF('E7 — Entrega'!$E295:$H295,"✔ Concluído")=4,"Concluído",IF(COUNTIF('E7 — Entrega'!$E295:$H295,"✔ Concluído")+COUNTIF('E7 — Entrega'!$E295:$H295,"🔄 Em andamento")&gt;0,"Em andamento","Não iniciado"))))))))</f>
        <v/>
      </c>
      <c r="L313" s="229" t="str">
        <f>IF($B313="","",IF($K313&lt;&gt;"Concluído","Não iniciado",IF(OR(COUNTIF('E08 — Estabilização Hypercare'!$E295:$J295,"⛔ Bloqueado")&gt;0,'E08 — Estabilização Hypercare'!$N295="⛔ Incidente Crítico — Encerramento Bloqueado",AND('E08 — Estabilização Hypercare'!$N295="🆕 Evolução Identificada — Nova Demanda Aberta",'E08 — Estabilização Hypercare'!$U295="")),"Bloqueado",IF(AND('E08 — Estabilização Hypercare'!$E295="✔ Concluído",'E08 — Estabilização Hypercare'!$F295="✔ Concluído",'E08 — Estabilização Hypercare'!$G295="✔ Concluído",OR('E08 — Estabilização Hypercare'!$H295="✔ Concluído",'E08 — Estabilização Hypercare'!$H295="N/A"),'E08 — Estabilização Hypercare'!$I295="✔ Concluído",'E08 — Estabilização Hypercare'!$J295="✔ Concluído",OR('E08 — Estabilização Hypercare'!$N295="✅ Estável — Demanda Encerrada",AND('E08 — Estabilização Hypercare'!$N295="🆕 Evolução Identificada — Nova Demanda Aberta",'E08 — Estabilização Hypercare'!$U295&lt;&gt;""))),"Concluído",IF(OR(COUNTIF('E08 — Estabilização Hypercare'!$E295:$J295,"✔ Concluído")&gt;0,COUNTIF('E08 — Estabilização Hypercare'!$E295:$J295,"🔄 Em andamento")&gt;0,'E08 — Estabilização Hypercare'!$N295&lt;&gt;""),"Em andamento","Não iniciado")))))</f>
        <v/>
      </c>
      <c r="M313" s="232" t="str" cm="1">
        <f t="array" ref="M313">IF(B313="","",_xlfn.IFS(E313&lt;&gt;"Concluído","E1 — Solicitação",F313&lt;&gt;"Concluído","E2 — Triagem",G313&lt;&gt;"Concluído","E3 — Levantamento ⚠",H313&lt;&gt;"Concluído","E4 — Execução",I313&lt;&gt;"Concluído","E5 — Validação ⚠",AND(J313&lt;&gt;"Concluído",J313&lt;&gt;"N/A"),"E6 — Ajustes",K313&lt;&gt;"Concluído","E7 — Entrega",L313&lt;&gt;"Concluído","E08 — Estabilização / Hypercare",TRUE,"✔ Fluxo concluído"))</f>
        <v/>
      </c>
      <c r="N313" s="233" t="str">
        <f t="shared" si="5"/>
        <v/>
      </c>
      <c r="O313" s="230"/>
    </row>
    <row r="314" spans="2:15" x14ac:dyDescent="0.35">
      <c r="B314" s="229" t="str">
        <f>IF(Lançamentos!$B291="","",Lançamentos!$B291)</f>
        <v/>
      </c>
      <c r="C314" s="231" t="str">
        <f>IF($B314="","",Lançamentos!$J291)</f>
        <v/>
      </c>
      <c r="D314" s="231" t="str">
        <f>IF($B314="","",Lançamentos!$H291)</f>
        <v/>
      </c>
      <c r="E314" s="229" t="str">
        <f>IF($B314="","",IF(COUNTIF(Lançamentos!$B$3:$B$1001,$B314)=0,"Bloqueado",IF(COUNTIF('E1 — Solicitação'!$E296:$L296,"⛔ Bloqueado")&gt;0,"Bloqueado",IF(COUNTIF('E1 — Solicitação'!$E296:$L296,"N/A")=8,"Bloqueado",IF(COUNTIF('E1 — Solicitação'!$E296:$L296,"✔ Concluído")+COUNTIF('E1 — Solicitação'!$E296:$L296,"N/A")=8,"Concluído",IF(COUNTIF('E1 — Solicitação'!$E296:$L296,"✔ Concluído")+COUNTIF('E1 — Solicitação'!$E296:$L296,"🔄 Em andamento")&gt;0,"Em andamento","Não iniciado"))))))</f>
        <v/>
      </c>
      <c r="F314" s="229" t="str">
        <f>IF($B314="","",IF($E314&lt;&gt;"Concluído","Não iniciado",IF(COUNTIF(Lançamentos!$B$3:$B$1001,$B314)=0,"Bloqueado",IF('E2 — Triagem'!$D296="","Bloqueado",IF(COUNTIF('E2 — Triagem'!$E296:$L296,"N/A")=8,"Bloqueado",IF(COUNTIF('E2 — Triagem'!$E296:$L296,"⛔ Bloqueado")&gt;0,"Bloqueado",IF(COUNTIF('E2 — Triagem'!$E296:$L296,"✔ Concluído")+COUNTIF('E2 — Triagem'!$E296:$L296,"N/A")=8,"Concluído",IF(COUNTIF('E2 — Triagem'!$E296:$L296,"✔ Concluído")+COUNTIF('E2 — Triagem'!$E296:$L296,"🔄 Em andamento")&gt;0,"Em andamento","Não iniciado"))))))))</f>
        <v/>
      </c>
      <c r="G314" s="229" t="str">
        <f>IF($B314="","",IF($F314&lt;&gt;"Concluído","Não iniciado",IF(COUNTIF(Lançamentos!$B$3:$B$1001,$B314)=0,"Bloqueado",IF('E3 — Levantamento'!$D296="","Bloqueado",IF(COUNTIF('E3 — Levantamento'!$E296:$I296,"⛔ Bloqueado")&gt;0,"Bloqueado",IF('E3 — Levantamento'!$I296="N/A","Bloqueado",IF(COUNTIF('E3 — Levantamento'!$E296:$I296,"✔ Concluído")=5,"Concluído",IF(COUNTIF('E3 — Levantamento'!$E296:$I296,"✔ Concluído")+COUNTIF('E3 — Levantamento'!$E296:$I296,"🔄 Em andamento")&gt;0,"Em andamento","Não iniciado"))))))))</f>
        <v/>
      </c>
      <c r="H314" s="229" t="str">
        <f>IF($B314="","",IF($G314&lt;&gt;"Concluído","Não iniciado",IF(COUNTIF(Lançamentos!$B$3:$B$1001,$B314)=0,"Bloqueado",IF('E4 — Execução'!$D296="","Bloqueado",IF(COUNTIF('E4 — Execução'!$E296:$K296,"⛔ Bloqueado")&gt;0,"Bloqueado",IF(COUNTIF('E4 — Execução'!$E296:$K296,"✔ Concluído")=7,"Concluído",IF(COUNTIF('E4 — Execução'!$E296:$K296,"✔ Concluído")+COUNTIF('E4 — Execução'!$E296:$K296,"🔄 Em andamento")&gt;0,"Em andamento","Não iniciado")))))))</f>
        <v/>
      </c>
      <c r="I314" s="229" t="str">
        <f>IF($B314="","",IF($H314&lt;&gt;"Concluído","Não iniciado",IF(COUNTIF(Lançamentos!$B$3:$B$1001,$B314)=0,"Bloqueado",IF('E5 — Validação'!$D296="","Bloqueado",IF(COUNTIF('E5 — Validação'!$E296:$I296,"⛔ Bloqueado")&gt;0,"Bloqueado",IF('E5 — Validação'!$I296="N/A","Bloqueado",IF(AND('E5 — Validação'!$E296="✔ Concluído",'E5 — Validação'!$F296="✔ Concluído",OR('E5 — Validação'!$G296="✔ Concluído",'E5 — Validação'!$G296="N/A"),'E5 — Validação'!$H296="✔ Concluído",'E5 — Validação'!$I296="✔ Concluído"),"Concluído",IF(COUNTIF('E5 — Validação'!$E296:$I296,"✔ Concluído")+COUNTIF('E5 — Validação'!$E296:$I296,"🔄 Em andamento")&gt;0,"Em andamento","Não iniciado"))))))))</f>
        <v/>
      </c>
      <c r="J314" s="229" t="str">
        <f>IF($B314="","",IF($I314&lt;&gt;"Concluído","Não iniciado",IF('E6 — Ajustes'!$N296="Não","N/A",IF(COUNTIF(Lançamentos!$B$3:$B$1001,$B314)=0,"Bloqueado",IF('E6 — Ajustes'!$D296="","Bloqueado",IF(COUNTIF('E6 — Ajustes'!$E296:$J296,"⛔ Bloqueado")&gt;0,"Bloqueado",IF(AND('E6 — Ajustes'!$E296="✔ Concluído",'E6 — Ajustes'!$F296="✔ Concluído",'E6 — Ajustes'!$G296="✔ Concluído",'E6 — Ajustes'!$H296="✔ Concluído",OR('E6 — Ajustes'!$I296="✔ Concluído",'E6 — Ajustes'!$I296="N/A"),'E6 — Ajustes'!$J296="✔ Concluído"),"Concluído",IF(COUNTIF('E6 — Ajustes'!$E296:$J296,"✔ Concluído")+COUNTIF('E6 — Ajustes'!$E296:$J296,"🔄 Em andamento")&gt;0,"Em andamento","Não iniciado"))))))))</f>
        <v/>
      </c>
      <c r="K314" s="229" t="str">
        <f>IF($B314="","",IF($I314&lt;&gt;"Concluído","Não iniciado",IF(AND($J314&lt;&gt;"Concluído",$J314&lt;&gt;"N/A"),"Não iniciado",IF(COUNTIF(Lançamentos!$B$3:$B$1001,$B314)=0,"Bloqueado",IF('E7 — Entrega'!$D296="","Bloqueado",IF(COUNTIF('E7 — Entrega'!$E296:$H296,"⛔ Bloqueado")&gt;0,"Bloqueado",IF(COUNTIF('E7 — Entrega'!$E296:$H296,"✔ Concluído")=4,"Concluído",IF(COUNTIF('E7 — Entrega'!$E296:$H296,"✔ Concluído")+COUNTIF('E7 — Entrega'!$E296:$H296,"🔄 Em andamento")&gt;0,"Em andamento","Não iniciado"))))))))</f>
        <v/>
      </c>
      <c r="L314" s="229" t="str">
        <f>IF($B314="","",IF($K314&lt;&gt;"Concluído","Não iniciado",IF(OR(COUNTIF('E08 — Estabilização Hypercare'!$E296:$J296,"⛔ Bloqueado")&gt;0,'E08 — Estabilização Hypercare'!$N296="⛔ Incidente Crítico — Encerramento Bloqueado",AND('E08 — Estabilização Hypercare'!$N296="🆕 Evolução Identificada — Nova Demanda Aberta",'E08 — Estabilização Hypercare'!$U296="")),"Bloqueado",IF(AND('E08 — Estabilização Hypercare'!$E296="✔ Concluído",'E08 — Estabilização Hypercare'!$F296="✔ Concluído",'E08 — Estabilização Hypercare'!$G296="✔ Concluído",OR('E08 — Estabilização Hypercare'!$H296="✔ Concluído",'E08 — Estabilização Hypercare'!$H296="N/A"),'E08 — Estabilização Hypercare'!$I296="✔ Concluído",'E08 — Estabilização Hypercare'!$J296="✔ Concluído",OR('E08 — Estabilização Hypercare'!$N296="✅ Estável — Demanda Encerrada",AND('E08 — Estabilização Hypercare'!$N296="🆕 Evolução Identificada — Nova Demanda Aberta",'E08 — Estabilização Hypercare'!$U296&lt;&gt;""))),"Concluído",IF(OR(COUNTIF('E08 — Estabilização Hypercare'!$E296:$J296,"✔ Concluído")&gt;0,COUNTIF('E08 — Estabilização Hypercare'!$E296:$J296,"🔄 Em andamento")&gt;0,'E08 — Estabilização Hypercare'!$N296&lt;&gt;""),"Em andamento","Não iniciado")))))</f>
        <v/>
      </c>
      <c r="M314" s="232" t="str" cm="1">
        <f t="array" ref="M314">IF(B314="","",_xlfn.IFS(E314&lt;&gt;"Concluído","E1 — Solicitação",F314&lt;&gt;"Concluído","E2 — Triagem",G314&lt;&gt;"Concluído","E3 — Levantamento ⚠",H314&lt;&gt;"Concluído","E4 — Execução",I314&lt;&gt;"Concluído","E5 — Validação ⚠",AND(J314&lt;&gt;"Concluído",J314&lt;&gt;"N/A"),"E6 — Ajustes",K314&lt;&gt;"Concluído","E7 — Entrega",L314&lt;&gt;"Concluído","E08 — Estabilização / Hypercare",TRUE,"✔ Fluxo concluído"))</f>
        <v/>
      </c>
      <c r="N314" s="233" t="str">
        <f t="shared" si="5"/>
        <v/>
      </c>
      <c r="O314" s="230"/>
    </row>
    <row r="315" spans="2:15" x14ac:dyDescent="0.35">
      <c r="B315" s="229" t="str">
        <f>IF(Lançamentos!$B292="","",Lançamentos!$B292)</f>
        <v/>
      </c>
      <c r="C315" s="231" t="str">
        <f>IF($B315="","",Lançamentos!$J292)</f>
        <v/>
      </c>
      <c r="D315" s="231" t="str">
        <f>IF($B315="","",Lançamentos!$H292)</f>
        <v/>
      </c>
      <c r="E315" s="229" t="str">
        <f>IF($B315="","",IF(COUNTIF(Lançamentos!$B$3:$B$1001,$B315)=0,"Bloqueado",IF(COUNTIF('E1 — Solicitação'!$E297:$L297,"⛔ Bloqueado")&gt;0,"Bloqueado",IF(COUNTIF('E1 — Solicitação'!$E297:$L297,"N/A")=8,"Bloqueado",IF(COUNTIF('E1 — Solicitação'!$E297:$L297,"✔ Concluído")+COUNTIF('E1 — Solicitação'!$E297:$L297,"N/A")=8,"Concluído",IF(COUNTIF('E1 — Solicitação'!$E297:$L297,"✔ Concluído")+COUNTIF('E1 — Solicitação'!$E297:$L297,"🔄 Em andamento")&gt;0,"Em andamento","Não iniciado"))))))</f>
        <v/>
      </c>
      <c r="F315" s="229" t="str">
        <f>IF($B315="","",IF($E315&lt;&gt;"Concluído","Não iniciado",IF(COUNTIF(Lançamentos!$B$3:$B$1001,$B315)=0,"Bloqueado",IF('E2 — Triagem'!$D297="","Bloqueado",IF(COUNTIF('E2 — Triagem'!$E297:$L297,"N/A")=8,"Bloqueado",IF(COUNTIF('E2 — Triagem'!$E297:$L297,"⛔ Bloqueado")&gt;0,"Bloqueado",IF(COUNTIF('E2 — Triagem'!$E297:$L297,"✔ Concluído")+COUNTIF('E2 — Triagem'!$E297:$L297,"N/A")=8,"Concluído",IF(COUNTIF('E2 — Triagem'!$E297:$L297,"✔ Concluído")+COUNTIF('E2 — Triagem'!$E297:$L297,"🔄 Em andamento")&gt;0,"Em andamento","Não iniciado"))))))))</f>
        <v/>
      </c>
      <c r="G315" s="229" t="str">
        <f>IF($B315="","",IF($F315&lt;&gt;"Concluído","Não iniciado",IF(COUNTIF(Lançamentos!$B$3:$B$1001,$B315)=0,"Bloqueado",IF('E3 — Levantamento'!$D297="","Bloqueado",IF(COUNTIF('E3 — Levantamento'!$E297:$I297,"⛔ Bloqueado")&gt;0,"Bloqueado",IF('E3 — Levantamento'!$I297="N/A","Bloqueado",IF(COUNTIF('E3 — Levantamento'!$E297:$I297,"✔ Concluído")=5,"Concluído",IF(COUNTIF('E3 — Levantamento'!$E297:$I297,"✔ Concluído")+COUNTIF('E3 — Levantamento'!$E297:$I297,"🔄 Em andamento")&gt;0,"Em andamento","Não iniciado"))))))))</f>
        <v/>
      </c>
      <c r="H315" s="229" t="str">
        <f>IF($B315="","",IF($G315&lt;&gt;"Concluído","Não iniciado",IF(COUNTIF(Lançamentos!$B$3:$B$1001,$B315)=0,"Bloqueado",IF('E4 — Execução'!$D297="","Bloqueado",IF(COUNTIF('E4 — Execução'!$E297:$K297,"⛔ Bloqueado")&gt;0,"Bloqueado",IF(COUNTIF('E4 — Execução'!$E297:$K297,"✔ Concluído")=7,"Concluído",IF(COUNTIF('E4 — Execução'!$E297:$K297,"✔ Concluído")+COUNTIF('E4 — Execução'!$E297:$K297,"🔄 Em andamento")&gt;0,"Em andamento","Não iniciado")))))))</f>
        <v/>
      </c>
      <c r="I315" s="229" t="str">
        <f>IF($B315="","",IF($H315&lt;&gt;"Concluído","Não iniciado",IF(COUNTIF(Lançamentos!$B$3:$B$1001,$B315)=0,"Bloqueado",IF('E5 — Validação'!$D297="","Bloqueado",IF(COUNTIF('E5 — Validação'!$E297:$I297,"⛔ Bloqueado")&gt;0,"Bloqueado",IF('E5 — Validação'!$I297="N/A","Bloqueado",IF(AND('E5 — Validação'!$E297="✔ Concluído",'E5 — Validação'!$F297="✔ Concluído",OR('E5 — Validação'!$G297="✔ Concluído",'E5 — Validação'!$G297="N/A"),'E5 — Validação'!$H297="✔ Concluído",'E5 — Validação'!$I297="✔ Concluído"),"Concluído",IF(COUNTIF('E5 — Validação'!$E297:$I297,"✔ Concluído")+COUNTIF('E5 — Validação'!$E297:$I297,"🔄 Em andamento")&gt;0,"Em andamento","Não iniciado"))))))))</f>
        <v/>
      </c>
      <c r="J315" s="229" t="str">
        <f>IF($B315="","",IF($I315&lt;&gt;"Concluído","Não iniciado",IF('E6 — Ajustes'!$N297="Não","N/A",IF(COUNTIF(Lançamentos!$B$3:$B$1001,$B315)=0,"Bloqueado",IF('E6 — Ajustes'!$D297="","Bloqueado",IF(COUNTIF('E6 — Ajustes'!$E297:$J297,"⛔ Bloqueado")&gt;0,"Bloqueado",IF(AND('E6 — Ajustes'!$E297="✔ Concluído",'E6 — Ajustes'!$F297="✔ Concluído",'E6 — Ajustes'!$G297="✔ Concluído",'E6 — Ajustes'!$H297="✔ Concluído",OR('E6 — Ajustes'!$I297="✔ Concluído",'E6 — Ajustes'!$I297="N/A"),'E6 — Ajustes'!$J297="✔ Concluído"),"Concluído",IF(COUNTIF('E6 — Ajustes'!$E297:$J297,"✔ Concluído")+COUNTIF('E6 — Ajustes'!$E297:$J297,"🔄 Em andamento")&gt;0,"Em andamento","Não iniciado"))))))))</f>
        <v/>
      </c>
      <c r="K315" s="229" t="str">
        <f>IF($B315="","",IF($I315&lt;&gt;"Concluído","Não iniciado",IF(AND($J315&lt;&gt;"Concluído",$J315&lt;&gt;"N/A"),"Não iniciado",IF(COUNTIF(Lançamentos!$B$3:$B$1001,$B315)=0,"Bloqueado",IF('E7 — Entrega'!$D297="","Bloqueado",IF(COUNTIF('E7 — Entrega'!$E297:$H297,"⛔ Bloqueado")&gt;0,"Bloqueado",IF(COUNTIF('E7 — Entrega'!$E297:$H297,"✔ Concluído")=4,"Concluído",IF(COUNTIF('E7 — Entrega'!$E297:$H297,"✔ Concluído")+COUNTIF('E7 — Entrega'!$E297:$H297,"🔄 Em andamento")&gt;0,"Em andamento","Não iniciado"))))))))</f>
        <v/>
      </c>
      <c r="L315" s="229" t="str">
        <f>IF($B315="","",IF($K315&lt;&gt;"Concluído","Não iniciado",IF(OR(COUNTIF('E08 — Estabilização Hypercare'!$E297:$J297,"⛔ Bloqueado")&gt;0,'E08 — Estabilização Hypercare'!$N297="⛔ Incidente Crítico — Encerramento Bloqueado",AND('E08 — Estabilização Hypercare'!$N297="🆕 Evolução Identificada — Nova Demanda Aberta",'E08 — Estabilização Hypercare'!$U297="")),"Bloqueado",IF(AND('E08 — Estabilização Hypercare'!$E297="✔ Concluído",'E08 — Estabilização Hypercare'!$F297="✔ Concluído",'E08 — Estabilização Hypercare'!$G297="✔ Concluído",OR('E08 — Estabilização Hypercare'!$H297="✔ Concluído",'E08 — Estabilização Hypercare'!$H297="N/A"),'E08 — Estabilização Hypercare'!$I297="✔ Concluído",'E08 — Estabilização Hypercare'!$J297="✔ Concluído",OR('E08 — Estabilização Hypercare'!$N297="✅ Estável — Demanda Encerrada",AND('E08 — Estabilização Hypercare'!$N297="🆕 Evolução Identificada — Nova Demanda Aberta",'E08 — Estabilização Hypercare'!$U297&lt;&gt;""))),"Concluído",IF(OR(COUNTIF('E08 — Estabilização Hypercare'!$E297:$J297,"✔ Concluído")&gt;0,COUNTIF('E08 — Estabilização Hypercare'!$E297:$J297,"🔄 Em andamento")&gt;0,'E08 — Estabilização Hypercare'!$N297&lt;&gt;""),"Em andamento","Não iniciado")))))</f>
        <v/>
      </c>
      <c r="M315" s="232" t="str" cm="1">
        <f t="array" ref="M315">IF(B315="","",_xlfn.IFS(E315&lt;&gt;"Concluído","E1 — Solicitação",F315&lt;&gt;"Concluído","E2 — Triagem",G315&lt;&gt;"Concluído","E3 — Levantamento ⚠",H315&lt;&gt;"Concluído","E4 — Execução",I315&lt;&gt;"Concluído","E5 — Validação ⚠",AND(J315&lt;&gt;"Concluído",J315&lt;&gt;"N/A"),"E6 — Ajustes",K315&lt;&gt;"Concluído","E7 — Entrega",L315&lt;&gt;"Concluído","E08 — Estabilização / Hypercare",TRUE,"✔ Fluxo concluído"))</f>
        <v/>
      </c>
      <c r="N315" s="233" t="str">
        <f t="shared" si="5"/>
        <v/>
      </c>
      <c r="O315" s="230"/>
    </row>
    <row r="316" spans="2:15" x14ac:dyDescent="0.35">
      <c r="B316" s="229" t="str">
        <f>IF(Lançamentos!$B293="","",Lançamentos!$B293)</f>
        <v/>
      </c>
      <c r="C316" s="231" t="str">
        <f>IF($B316="","",Lançamentos!$J293)</f>
        <v/>
      </c>
      <c r="D316" s="231" t="str">
        <f>IF($B316="","",Lançamentos!$H293)</f>
        <v/>
      </c>
      <c r="E316" s="229" t="str">
        <f>IF($B316="","",IF(COUNTIF(Lançamentos!$B$3:$B$1001,$B316)=0,"Bloqueado",IF(COUNTIF('E1 — Solicitação'!$E298:$L298,"⛔ Bloqueado")&gt;0,"Bloqueado",IF(COUNTIF('E1 — Solicitação'!$E298:$L298,"N/A")=8,"Bloqueado",IF(COUNTIF('E1 — Solicitação'!$E298:$L298,"✔ Concluído")+COUNTIF('E1 — Solicitação'!$E298:$L298,"N/A")=8,"Concluído",IF(COUNTIF('E1 — Solicitação'!$E298:$L298,"✔ Concluído")+COUNTIF('E1 — Solicitação'!$E298:$L298,"🔄 Em andamento")&gt;0,"Em andamento","Não iniciado"))))))</f>
        <v/>
      </c>
      <c r="F316" s="229" t="str">
        <f>IF($B316="","",IF($E316&lt;&gt;"Concluído","Não iniciado",IF(COUNTIF(Lançamentos!$B$3:$B$1001,$B316)=0,"Bloqueado",IF('E2 — Triagem'!$D298="","Bloqueado",IF(COUNTIF('E2 — Triagem'!$E298:$L298,"N/A")=8,"Bloqueado",IF(COUNTIF('E2 — Triagem'!$E298:$L298,"⛔ Bloqueado")&gt;0,"Bloqueado",IF(COUNTIF('E2 — Triagem'!$E298:$L298,"✔ Concluído")+COUNTIF('E2 — Triagem'!$E298:$L298,"N/A")=8,"Concluído",IF(COUNTIF('E2 — Triagem'!$E298:$L298,"✔ Concluído")+COUNTIF('E2 — Triagem'!$E298:$L298,"🔄 Em andamento")&gt;0,"Em andamento","Não iniciado"))))))))</f>
        <v/>
      </c>
      <c r="G316" s="229" t="str">
        <f>IF($B316="","",IF($F316&lt;&gt;"Concluído","Não iniciado",IF(COUNTIF(Lançamentos!$B$3:$B$1001,$B316)=0,"Bloqueado",IF('E3 — Levantamento'!$D298="","Bloqueado",IF(COUNTIF('E3 — Levantamento'!$E298:$I298,"⛔ Bloqueado")&gt;0,"Bloqueado",IF('E3 — Levantamento'!$I298="N/A","Bloqueado",IF(COUNTIF('E3 — Levantamento'!$E298:$I298,"✔ Concluído")=5,"Concluído",IF(COUNTIF('E3 — Levantamento'!$E298:$I298,"✔ Concluído")+COUNTIF('E3 — Levantamento'!$E298:$I298,"🔄 Em andamento")&gt;0,"Em andamento","Não iniciado"))))))))</f>
        <v/>
      </c>
      <c r="H316" s="229" t="str">
        <f>IF($B316="","",IF($G316&lt;&gt;"Concluído","Não iniciado",IF(COUNTIF(Lançamentos!$B$3:$B$1001,$B316)=0,"Bloqueado",IF('E4 — Execução'!$D298="","Bloqueado",IF(COUNTIF('E4 — Execução'!$E298:$K298,"⛔ Bloqueado")&gt;0,"Bloqueado",IF(COUNTIF('E4 — Execução'!$E298:$K298,"✔ Concluído")=7,"Concluído",IF(COUNTIF('E4 — Execução'!$E298:$K298,"✔ Concluído")+COUNTIF('E4 — Execução'!$E298:$K298,"🔄 Em andamento")&gt;0,"Em andamento","Não iniciado")))))))</f>
        <v/>
      </c>
      <c r="I316" s="229" t="str">
        <f>IF($B316="","",IF($H316&lt;&gt;"Concluído","Não iniciado",IF(COUNTIF(Lançamentos!$B$3:$B$1001,$B316)=0,"Bloqueado",IF('E5 — Validação'!$D298="","Bloqueado",IF(COUNTIF('E5 — Validação'!$E298:$I298,"⛔ Bloqueado")&gt;0,"Bloqueado",IF('E5 — Validação'!$I298="N/A","Bloqueado",IF(AND('E5 — Validação'!$E298="✔ Concluído",'E5 — Validação'!$F298="✔ Concluído",OR('E5 — Validação'!$G298="✔ Concluído",'E5 — Validação'!$G298="N/A"),'E5 — Validação'!$H298="✔ Concluído",'E5 — Validação'!$I298="✔ Concluído"),"Concluído",IF(COUNTIF('E5 — Validação'!$E298:$I298,"✔ Concluído")+COUNTIF('E5 — Validação'!$E298:$I298,"🔄 Em andamento")&gt;0,"Em andamento","Não iniciado"))))))))</f>
        <v/>
      </c>
      <c r="J316" s="229" t="str">
        <f>IF($B316="","",IF($I316&lt;&gt;"Concluído","Não iniciado",IF('E6 — Ajustes'!$N298="Não","N/A",IF(COUNTIF(Lançamentos!$B$3:$B$1001,$B316)=0,"Bloqueado",IF('E6 — Ajustes'!$D298="","Bloqueado",IF(COUNTIF('E6 — Ajustes'!$E298:$J298,"⛔ Bloqueado")&gt;0,"Bloqueado",IF(AND('E6 — Ajustes'!$E298="✔ Concluído",'E6 — Ajustes'!$F298="✔ Concluído",'E6 — Ajustes'!$G298="✔ Concluído",'E6 — Ajustes'!$H298="✔ Concluído",OR('E6 — Ajustes'!$I298="✔ Concluído",'E6 — Ajustes'!$I298="N/A"),'E6 — Ajustes'!$J298="✔ Concluído"),"Concluído",IF(COUNTIF('E6 — Ajustes'!$E298:$J298,"✔ Concluído")+COUNTIF('E6 — Ajustes'!$E298:$J298,"🔄 Em andamento")&gt;0,"Em andamento","Não iniciado"))))))))</f>
        <v/>
      </c>
      <c r="K316" s="229" t="str">
        <f>IF($B316="","",IF($I316&lt;&gt;"Concluído","Não iniciado",IF(AND($J316&lt;&gt;"Concluído",$J316&lt;&gt;"N/A"),"Não iniciado",IF(COUNTIF(Lançamentos!$B$3:$B$1001,$B316)=0,"Bloqueado",IF('E7 — Entrega'!$D298="","Bloqueado",IF(COUNTIF('E7 — Entrega'!$E298:$H298,"⛔ Bloqueado")&gt;0,"Bloqueado",IF(COUNTIF('E7 — Entrega'!$E298:$H298,"✔ Concluído")=4,"Concluído",IF(COUNTIF('E7 — Entrega'!$E298:$H298,"✔ Concluído")+COUNTIF('E7 — Entrega'!$E298:$H298,"🔄 Em andamento")&gt;0,"Em andamento","Não iniciado"))))))))</f>
        <v/>
      </c>
      <c r="L316" s="229" t="str">
        <f>IF($B316="","",IF($K316&lt;&gt;"Concluído","Não iniciado",IF(OR(COUNTIF('E08 — Estabilização Hypercare'!$E298:$J298,"⛔ Bloqueado")&gt;0,'E08 — Estabilização Hypercare'!$N298="⛔ Incidente Crítico — Encerramento Bloqueado",AND('E08 — Estabilização Hypercare'!$N298="🆕 Evolução Identificada — Nova Demanda Aberta",'E08 — Estabilização Hypercare'!$U298="")),"Bloqueado",IF(AND('E08 — Estabilização Hypercare'!$E298="✔ Concluído",'E08 — Estabilização Hypercare'!$F298="✔ Concluído",'E08 — Estabilização Hypercare'!$G298="✔ Concluído",OR('E08 — Estabilização Hypercare'!$H298="✔ Concluído",'E08 — Estabilização Hypercare'!$H298="N/A"),'E08 — Estabilização Hypercare'!$I298="✔ Concluído",'E08 — Estabilização Hypercare'!$J298="✔ Concluído",OR('E08 — Estabilização Hypercare'!$N298="✅ Estável — Demanda Encerrada",AND('E08 — Estabilização Hypercare'!$N298="🆕 Evolução Identificada — Nova Demanda Aberta",'E08 — Estabilização Hypercare'!$U298&lt;&gt;""))),"Concluído",IF(OR(COUNTIF('E08 — Estabilização Hypercare'!$E298:$J298,"✔ Concluído")&gt;0,COUNTIF('E08 — Estabilização Hypercare'!$E298:$J298,"🔄 Em andamento")&gt;0,'E08 — Estabilização Hypercare'!$N298&lt;&gt;""),"Em andamento","Não iniciado")))))</f>
        <v/>
      </c>
      <c r="M316" s="232" t="str" cm="1">
        <f t="array" ref="M316">IF(B316="","",_xlfn.IFS(E316&lt;&gt;"Concluído","E1 — Solicitação",F316&lt;&gt;"Concluído","E2 — Triagem",G316&lt;&gt;"Concluído","E3 — Levantamento ⚠",H316&lt;&gt;"Concluído","E4 — Execução",I316&lt;&gt;"Concluído","E5 — Validação ⚠",AND(J316&lt;&gt;"Concluído",J316&lt;&gt;"N/A"),"E6 — Ajustes",K316&lt;&gt;"Concluído","E7 — Entrega",L316&lt;&gt;"Concluído","E08 — Estabilização / Hypercare",TRUE,"✔ Fluxo concluído"))</f>
        <v/>
      </c>
      <c r="N316" s="233" t="str">
        <f t="shared" si="5"/>
        <v/>
      </c>
      <c r="O316" s="230"/>
    </row>
    <row r="317" spans="2:15" x14ac:dyDescent="0.35">
      <c r="B317" s="229" t="str">
        <f>IF(Lançamentos!$B294="","",Lançamentos!$B294)</f>
        <v/>
      </c>
      <c r="C317" s="231" t="str">
        <f>IF($B317="","",Lançamentos!$J294)</f>
        <v/>
      </c>
      <c r="D317" s="231" t="str">
        <f>IF($B317="","",Lançamentos!$H294)</f>
        <v/>
      </c>
      <c r="E317" s="229" t="str">
        <f>IF($B317="","",IF(COUNTIF(Lançamentos!$B$3:$B$1001,$B317)=0,"Bloqueado",IF(COUNTIF('E1 — Solicitação'!$E299:$L299,"⛔ Bloqueado")&gt;0,"Bloqueado",IF(COUNTIF('E1 — Solicitação'!$E299:$L299,"N/A")=8,"Bloqueado",IF(COUNTIF('E1 — Solicitação'!$E299:$L299,"✔ Concluído")+COUNTIF('E1 — Solicitação'!$E299:$L299,"N/A")=8,"Concluído",IF(COUNTIF('E1 — Solicitação'!$E299:$L299,"✔ Concluído")+COUNTIF('E1 — Solicitação'!$E299:$L299,"🔄 Em andamento")&gt;0,"Em andamento","Não iniciado"))))))</f>
        <v/>
      </c>
      <c r="F317" s="229" t="str">
        <f>IF($B317="","",IF($E317&lt;&gt;"Concluído","Não iniciado",IF(COUNTIF(Lançamentos!$B$3:$B$1001,$B317)=0,"Bloqueado",IF('E2 — Triagem'!$D299="","Bloqueado",IF(COUNTIF('E2 — Triagem'!$E299:$L299,"N/A")=8,"Bloqueado",IF(COUNTIF('E2 — Triagem'!$E299:$L299,"⛔ Bloqueado")&gt;0,"Bloqueado",IF(COUNTIF('E2 — Triagem'!$E299:$L299,"✔ Concluído")+COUNTIF('E2 — Triagem'!$E299:$L299,"N/A")=8,"Concluído",IF(COUNTIF('E2 — Triagem'!$E299:$L299,"✔ Concluído")+COUNTIF('E2 — Triagem'!$E299:$L299,"🔄 Em andamento")&gt;0,"Em andamento","Não iniciado"))))))))</f>
        <v/>
      </c>
      <c r="G317" s="229" t="str">
        <f>IF($B317="","",IF($F317&lt;&gt;"Concluído","Não iniciado",IF(COUNTIF(Lançamentos!$B$3:$B$1001,$B317)=0,"Bloqueado",IF('E3 — Levantamento'!$D299="","Bloqueado",IF(COUNTIF('E3 — Levantamento'!$E299:$I299,"⛔ Bloqueado")&gt;0,"Bloqueado",IF('E3 — Levantamento'!$I299="N/A","Bloqueado",IF(COUNTIF('E3 — Levantamento'!$E299:$I299,"✔ Concluído")=5,"Concluído",IF(COUNTIF('E3 — Levantamento'!$E299:$I299,"✔ Concluído")+COUNTIF('E3 — Levantamento'!$E299:$I299,"🔄 Em andamento")&gt;0,"Em andamento","Não iniciado"))))))))</f>
        <v/>
      </c>
      <c r="H317" s="229" t="str">
        <f>IF($B317="","",IF($G317&lt;&gt;"Concluído","Não iniciado",IF(COUNTIF(Lançamentos!$B$3:$B$1001,$B317)=0,"Bloqueado",IF('E4 — Execução'!$D299="","Bloqueado",IF(COUNTIF('E4 — Execução'!$E299:$K299,"⛔ Bloqueado")&gt;0,"Bloqueado",IF(COUNTIF('E4 — Execução'!$E299:$K299,"✔ Concluído")=7,"Concluído",IF(COUNTIF('E4 — Execução'!$E299:$K299,"✔ Concluído")+COUNTIF('E4 — Execução'!$E299:$K299,"🔄 Em andamento")&gt;0,"Em andamento","Não iniciado")))))))</f>
        <v/>
      </c>
      <c r="I317" s="229" t="str">
        <f>IF($B317="","",IF($H317&lt;&gt;"Concluído","Não iniciado",IF(COUNTIF(Lançamentos!$B$3:$B$1001,$B317)=0,"Bloqueado",IF('E5 — Validação'!$D299="","Bloqueado",IF(COUNTIF('E5 — Validação'!$E299:$I299,"⛔ Bloqueado")&gt;0,"Bloqueado",IF('E5 — Validação'!$I299="N/A","Bloqueado",IF(AND('E5 — Validação'!$E299="✔ Concluído",'E5 — Validação'!$F299="✔ Concluído",OR('E5 — Validação'!$G299="✔ Concluído",'E5 — Validação'!$G299="N/A"),'E5 — Validação'!$H299="✔ Concluído",'E5 — Validação'!$I299="✔ Concluído"),"Concluído",IF(COUNTIF('E5 — Validação'!$E299:$I299,"✔ Concluído")+COUNTIF('E5 — Validação'!$E299:$I299,"🔄 Em andamento")&gt;0,"Em andamento","Não iniciado"))))))))</f>
        <v/>
      </c>
      <c r="J317" s="229" t="str">
        <f>IF($B317="","",IF($I317&lt;&gt;"Concluído","Não iniciado",IF('E6 — Ajustes'!$N299="Não","N/A",IF(COUNTIF(Lançamentos!$B$3:$B$1001,$B317)=0,"Bloqueado",IF('E6 — Ajustes'!$D299="","Bloqueado",IF(COUNTIF('E6 — Ajustes'!$E299:$J299,"⛔ Bloqueado")&gt;0,"Bloqueado",IF(AND('E6 — Ajustes'!$E299="✔ Concluído",'E6 — Ajustes'!$F299="✔ Concluído",'E6 — Ajustes'!$G299="✔ Concluído",'E6 — Ajustes'!$H299="✔ Concluído",OR('E6 — Ajustes'!$I299="✔ Concluído",'E6 — Ajustes'!$I299="N/A"),'E6 — Ajustes'!$J299="✔ Concluído"),"Concluído",IF(COUNTIF('E6 — Ajustes'!$E299:$J299,"✔ Concluído")+COUNTIF('E6 — Ajustes'!$E299:$J299,"🔄 Em andamento")&gt;0,"Em andamento","Não iniciado"))))))))</f>
        <v/>
      </c>
      <c r="K317" s="229" t="str">
        <f>IF($B317="","",IF($I317&lt;&gt;"Concluído","Não iniciado",IF(AND($J317&lt;&gt;"Concluído",$J317&lt;&gt;"N/A"),"Não iniciado",IF(COUNTIF(Lançamentos!$B$3:$B$1001,$B317)=0,"Bloqueado",IF('E7 — Entrega'!$D299="","Bloqueado",IF(COUNTIF('E7 — Entrega'!$E299:$H299,"⛔ Bloqueado")&gt;0,"Bloqueado",IF(COUNTIF('E7 — Entrega'!$E299:$H299,"✔ Concluído")=4,"Concluído",IF(COUNTIF('E7 — Entrega'!$E299:$H299,"✔ Concluído")+COUNTIF('E7 — Entrega'!$E299:$H299,"🔄 Em andamento")&gt;0,"Em andamento","Não iniciado"))))))))</f>
        <v/>
      </c>
      <c r="L317" s="229" t="str">
        <f>IF($B317="","",IF($K317&lt;&gt;"Concluído","Não iniciado",IF(OR(COUNTIF('E08 — Estabilização Hypercare'!$E299:$J299,"⛔ Bloqueado")&gt;0,'E08 — Estabilização Hypercare'!$N299="⛔ Incidente Crítico — Encerramento Bloqueado",AND('E08 — Estabilização Hypercare'!$N299="🆕 Evolução Identificada — Nova Demanda Aberta",'E08 — Estabilização Hypercare'!$U299="")),"Bloqueado",IF(AND('E08 — Estabilização Hypercare'!$E299="✔ Concluído",'E08 — Estabilização Hypercare'!$F299="✔ Concluído",'E08 — Estabilização Hypercare'!$G299="✔ Concluído",OR('E08 — Estabilização Hypercare'!$H299="✔ Concluído",'E08 — Estabilização Hypercare'!$H299="N/A"),'E08 — Estabilização Hypercare'!$I299="✔ Concluído",'E08 — Estabilização Hypercare'!$J299="✔ Concluído",OR('E08 — Estabilização Hypercare'!$N299="✅ Estável — Demanda Encerrada",AND('E08 — Estabilização Hypercare'!$N299="🆕 Evolução Identificada — Nova Demanda Aberta",'E08 — Estabilização Hypercare'!$U299&lt;&gt;""))),"Concluído",IF(OR(COUNTIF('E08 — Estabilização Hypercare'!$E299:$J299,"✔ Concluído")&gt;0,COUNTIF('E08 — Estabilização Hypercare'!$E299:$J299,"🔄 Em andamento")&gt;0,'E08 — Estabilização Hypercare'!$N299&lt;&gt;""),"Em andamento","Não iniciado")))))</f>
        <v/>
      </c>
      <c r="M317" s="232" t="str" cm="1">
        <f t="array" ref="M317">IF(B317="","",_xlfn.IFS(E317&lt;&gt;"Concluído","E1 — Solicitação",F317&lt;&gt;"Concluído","E2 — Triagem",G317&lt;&gt;"Concluído","E3 — Levantamento ⚠",H317&lt;&gt;"Concluído","E4 — Execução",I317&lt;&gt;"Concluído","E5 — Validação ⚠",AND(J317&lt;&gt;"Concluído",J317&lt;&gt;"N/A"),"E6 — Ajustes",K317&lt;&gt;"Concluído","E7 — Entrega",L317&lt;&gt;"Concluído","E08 — Estabilização / Hypercare",TRUE,"✔ Fluxo concluído"))</f>
        <v/>
      </c>
      <c r="N317" s="233" t="str">
        <f t="shared" si="5"/>
        <v/>
      </c>
      <c r="O317" s="230"/>
    </row>
    <row r="318" spans="2:15" x14ac:dyDescent="0.35">
      <c r="B318" s="229" t="str">
        <f>IF(Lançamentos!$B295="","",Lançamentos!$B295)</f>
        <v/>
      </c>
      <c r="C318" s="231" t="str">
        <f>IF($B318="","",Lançamentos!$J295)</f>
        <v/>
      </c>
      <c r="D318" s="231" t="str">
        <f>IF($B318="","",Lançamentos!$H295)</f>
        <v/>
      </c>
      <c r="E318" s="229" t="str">
        <f>IF($B318="","",IF(COUNTIF(Lançamentos!$B$3:$B$1001,$B318)=0,"Bloqueado",IF(COUNTIF('E1 — Solicitação'!$E300:$L300,"⛔ Bloqueado")&gt;0,"Bloqueado",IF(COUNTIF('E1 — Solicitação'!$E300:$L300,"N/A")=8,"Bloqueado",IF(COUNTIF('E1 — Solicitação'!$E300:$L300,"✔ Concluído")+COUNTIF('E1 — Solicitação'!$E300:$L300,"N/A")=8,"Concluído",IF(COUNTIF('E1 — Solicitação'!$E300:$L300,"✔ Concluído")+COUNTIF('E1 — Solicitação'!$E300:$L300,"🔄 Em andamento")&gt;0,"Em andamento","Não iniciado"))))))</f>
        <v/>
      </c>
      <c r="F318" s="229" t="str">
        <f>IF($B318="","",IF($E318&lt;&gt;"Concluído","Não iniciado",IF(COUNTIF(Lançamentos!$B$3:$B$1001,$B318)=0,"Bloqueado",IF('E2 — Triagem'!$D300="","Bloqueado",IF(COUNTIF('E2 — Triagem'!$E300:$L300,"N/A")=8,"Bloqueado",IF(COUNTIF('E2 — Triagem'!$E300:$L300,"⛔ Bloqueado")&gt;0,"Bloqueado",IF(COUNTIF('E2 — Triagem'!$E300:$L300,"✔ Concluído")+COUNTIF('E2 — Triagem'!$E300:$L300,"N/A")=8,"Concluído",IF(COUNTIF('E2 — Triagem'!$E300:$L300,"✔ Concluído")+COUNTIF('E2 — Triagem'!$E300:$L300,"🔄 Em andamento")&gt;0,"Em andamento","Não iniciado"))))))))</f>
        <v/>
      </c>
      <c r="G318" s="229" t="str">
        <f>IF($B318="","",IF($F318&lt;&gt;"Concluído","Não iniciado",IF(COUNTIF(Lançamentos!$B$3:$B$1001,$B318)=0,"Bloqueado",IF('E3 — Levantamento'!$D300="","Bloqueado",IF(COUNTIF('E3 — Levantamento'!$E300:$I300,"⛔ Bloqueado")&gt;0,"Bloqueado",IF('E3 — Levantamento'!$I300="N/A","Bloqueado",IF(COUNTIF('E3 — Levantamento'!$E300:$I300,"✔ Concluído")=5,"Concluído",IF(COUNTIF('E3 — Levantamento'!$E300:$I300,"✔ Concluído")+COUNTIF('E3 — Levantamento'!$E300:$I300,"🔄 Em andamento")&gt;0,"Em andamento","Não iniciado"))))))))</f>
        <v/>
      </c>
      <c r="H318" s="229" t="str">
        <f>IF($B318="","",IF($G318&lt;&gt;"Concluído","Não iniciado",IF(COUNTIF(Lançamentos!$B$3:$B$1001,$B318)=0,"Bloqueado",IF('E4 — Execução'!$D300="","Bloqueado",IF(COUNTIF('E4 — Execução'!$E300:$K300,"⛔ Bloqueado")&gt;0,"Bloqueado",IF(COUNTIF('E4 — Execução'!$E300:$K300,"✔ Concluído")=7,"Concluído",IF(COUNTIF('E4 — Execução'!$E300:$K300,"✔ Concluído")+COUNTIF('E4 — Execução'!$E300:$K300,"🔄 Em andamento")&gt;0,"Em andamento","Não iniciado")))))))</f>
        <v/>
      </c>
      <c r="I318" s="229" t="str">
        <f>IF($B318="","",IF($H318&lt;&gt;"Concluído","Não iniciado",IF(COUNTIF(Lançamentos!$B$3:$B$1001,$B318)=0,"Bloqueado",IF('E5 — Validação'!$D300="","Bloqueado",IF(COUNTIF('E5 — Validação'!$E300:$I300,"⛔ Bloqueado")&gt;0,"Bloqueado",IF('E5 — Validação'!$I300="N/A","Bloqueado",IF(AND('E5 — Validação'!$E300="✔ Concluído",'E5 — Validação'!$F300="✔ Concluído",OR('E5 — Validação'!$G300="✔ Concluído",'E5 — Validação'!$G300="N/A"),'E5 — Validação'!$H300="✔ Concluído",'E5 — Validação'!$I300="✔ Concluído"),"Concluído",IF(COUNTIF('E5 — Validação'!$E300:$I300,"✔ Concluído")+COUNTIF('E5 — Validação'!$E300:$I300,"🔄 Em andamento")&gt;0,"Em andamento","Não iniciado"))))))))</f>
        <v/>
      </c>
      <c r="J318" s="229" t="str">
        <f>IF($B318="","",IF($I318&lt;&gt;"Concluído","Não iniciado",IF('E6 — Ajustes'!$N300="Não","N/A",IF(COUNTIF(Lançamentos!$B$3:$B$1001,$B318)=0,"Bloqueado",IF('E6 — Ajustes'!$D300="","Bloqueado",IF(COUNTIF('E6 — Ajustes'!$E300:$J300,"⛔ Bloqueado")&gt;0,"Bloqueado",IF(AND('E6 — Ajustes'!$E300="✔ Concluído",'E6 — Ajustes'!$F300="✔ Concluído",'E6 — Ajustes'!$G300="✔ Concluído",'E6 — Ajustes'!$H300="✔ Concluído",OR('E6 — Ajustes'!$I300="✔ Concluído",'E6 — Ajustes'!$I300="N/A"),'E6 — Ajustes'!$J300="✔ Concluído"),"Concluído",IF(COUNTIF('E6 — Ajustes'!$E300:$J300,"✔ Concluído")+COUNTIF('E6 — Ajustes'!$E300:$J300,"🔄 Em andamento")&gt;0,"Em andamento","Não iniciado"))))))))</f>
        <v/>
      </c>
      <c r="K318" s="229" t="str">
        <f>IF($B318="","",IF($I318&lt;&gt;"Concluído","Não iniciado",IF(AND($J318&lt;&gt;"Concluído",$J318&lt;&gt;"N/A"),"Não iniciado",IF(COUNTIF(Lançamentos!$B$3:$B$1001,$B318)=0,"Bloqueado",IF('E7 — Entrega'!$D300="","Bloqueado",IF(COUNTIF('E7 — Entrega'!$E300:$H300,"⛔ Bloqueado")&gt;0,"Bloqueado",IF(COUNTIF('E7 — Entrega'!$E300:$H300,"✔ Concluído")=4,"Concluído",IF(COUNTIF('E7 — Entrega'!$E300:$H300,"✔ Concluído")+COUNTIF('E7 — Entrega'!$E300:$H300,"🔄 Em andamento")&gt;0,"Em andamento","Não iniciado"))))))))</f>
        <v/>
      </c>
      <c r="L318" s="229" t="str">
        <f>IF($B318="","",IF($K318&lt;&gt;"Concluído","Não iniciado",IF(OR(COUNTIF('E08 — Estabilização Hypercare'!$E300:$J300,"⛔ Bloqueado")&gt;0,'E08 — Estabilização Hypercare'!$N300="⛔ Incidente Crítico — Encerramento Bloqueado",AND('E08 — Estabilização Hypercare'!$N300="🆕 Evolução Identificada — Nova Demanda Aberta",'E08 — Estabilização Hypercare'!$U300="")),"Bloqueado",IF(AND('E08 — Estabilização Hypercare'!$E300="✔ Concluído",'E08 — Estabilização Hypercare'!$F300="✔ Concluído",'E08 — Estabilização Hypercare'!$G300="✔ Concluído",OR('E08 — Estabilização Hypercare'!$H300="✔ Concluído",'E08 — Estabilização Hypercare'!$H300="N/A"),'E08 — Estabilização Hypercare'!$I300="✔ Concluído",'E08 — Estabilização Hypercare'!$J300="✔ Concluído",OR('E08 — Estabilização Hypercare'!$N300="✅ Estável — Demanda Encerrada",AND('E08 — Estabilização Hypercare'!$N300="🆕 Evolução Identificada — Nova Demanda Aberta",'E08 — Estabilização Hypercare'!$U300&lt;&gt;""))),"Concluído",IF(OR(COUNTIF('E08 — Estabilização Hypercare'!$E300:$J300,"✔ Concluído")&gt;0,COUNTIF('E08 — Estabilização Hypercare'!$E300:$J300,"🔄 Em andamento")&gt;0,'E08 — Estabilização Hypercare'!$N300&lt;&gt;""),"Em andamento","Não iniciado")))))</f>
        <v/>
      </c>
      <c r="M318" s="232" t="str" cm="1">
        <f t="array" ref="M318">IF(B318="","",_xlfn.IFS(E318&lt;&gt;"Concluído","E1 — Solicitação",F318&lt;&gt;"Concluído","E2 — Triagem",G318&lt;&gt;"Concluído","E3 — Levantamento ⚠",H318&lt;&gt;"Concluído","E4 — Execução",I318&lt;&gt;"Concluído","E5 — Validação ⚠",AND(J318&lt;&gt;"Concluído",J318&lt;&gt;"N/A"),"E6 — Ajustes",K318&lt;&gt;"Concluído","E7 — Entrega",L318&lt;&gt;"Concluído","E08 — Estabilização / Hypercare",TRUE,"✔ Fluxo concluído"))</f>
        <v/>
      </c>
      <c r="N318" s="233" t="str">
        <f t="shared" si="5"/>
        <v/>
      </c>
      <c r="O318" s="230"/>
    </row>
    <row r="319" spans="2:15" x14ac:dyDescent="0.35">
      <c r="B319" s="229" t="str">
        <f>IF(Lançamentos!$B296="","",Lançamentos!$B296)</f>
        <v/>
      </c>
      <c r="C319" s="231" t="str">
        <f>IF($B319="","",Lançamentos!$J296)</f>
        <v/>
      </c>
      <c r="D319" s="231" t="str">
        <f>IF($B319="","",Lançamentos!$H296)</f>
        <v/>
      </c>
      <c r="E319" s="229" t="str">
        <f>IF($B319="","",IF(COUNTIF(Lançamentos!$B$3:$B$1001,$B319)=0,"Bloqueado",IF(COUNTIF('E1 — Solicitação'!$E301:$L301,"⛔ Bloqueado")&gt;0,"Bloqueado",IF(COUNTIF('E1 — Solicitação'!$E301:$L301,"N/A")=8,"Bloqueado",IF(COUNTIF('E1 — Solicitação'!$E301:$L301,"✔ Concluído")+COUNTIF('E1 — Solicitação'!$E301:$L301,"N/A")=8,"Concluído",IF(COUNTIF('E1 — Solicitação'!$E301:$L301,"✔ Concluído")+COUNTIF('E1 — Solicitação'!$E301:$L301,"🔄 Em andamento")&gt;0,"Em andamento","Não iniciado"))))))</f>
        <v/>
      </c>
      <c r="F319" s="229" t="str">
        <f>IF($B319="","",IF($E319&lt;&gt;"Concluído","Não iniciado",IF(COUNTIF(Lançamentos!$B$3:$B$1001,$B319)=0,"Bloqueado",IF('E2 — Triagem'!$D301="","Bloqueado",IF(COUNTIF('E2 — Triagem'!$E301:$L301,"N/A")=8,"Bloqueado",IF(COUNTIF('E2 — Triagem'!$E301:$L301,"⛔ Bloqueado")&gt;0,"Bloqueado",IF(COUNTIF('E2 — Triagem'!$E301:$L301,"✔ Concluído")+COUNTIF('E2 — Triagem'!$E301:$L301,"N/A")=8,"Concluído",IF(COUNTIF('E2 — Triagem'!$E301:$L301,"✔ Concluído")+COUNTIF('E2 — Triagem'!$E301:$L301,"🔄 Em andamento")&gt;0,"Em andamento","Não iniciado"))))))))</f>
        <v/>
      </c>
      <c r="G319" s="229" t="str">
        <f>IF($B319="","",IF($F319&lt;&gt;"Concluído","Não iniciado",IF(COUNTIF(Lançamentos!$B$3:$B$1001,$B319)=0,"Bloqueado",IF('E3 — Levantamento'!$D301="","Bloqueado",IF(COUNTIF('E3 — Levantamento'!$E301:$I301,"⛔ Bloqueado")&gt;0,"Bloqueado",IF('E3 — Levantamento'!$I301="N/A","Bloqueado",IF(COUNTIF('E3 — Levantamento'!$E301:$I301,"✔ Concluído")=5,"Concluído",IF(COUNTIF('E3 — Levantamento'!$E301:$I301,"✔ Concluído")+COUNTIF('E3 — Levantamento'!$E301:$I301,"🔄 Em andamento")&gt;0,"Em andamento","Não iniciado"))))))))</f>
        <v/>
      </c>
      <c r="H319" s="229" t="str">
        <f>IF($B319="","",IF($G319&lt;&gt;"Concluído","Não iniciado",IF(COUNTIF(Lançamentos!$B$3:$B$1001,$B319)=0,"Bloqueado",IF('E4 — Execução'!$D301="","Bloqueado",IF(COUNTIF('E4 — Execução'!$E301:$K301,"⛔ Bloqueado")&gt;0,"Bloqueado",IF(COUNTIF('E4 — Execução'!$E301:$K301,"✔ Concluído")=7,"Concluído",IF(COUNTIF('E4 — Execução'!$E301:$K301,"✔ Concluído")+COUNTIF('E4 — Execução'!$E301:$K301,"🔄 Em andamento")&gt;0,"Em andamento","Não iniciado")))))))</f>
        <v/>
      </c>
      <c r="I319" s="229" t="str">
        <f>IF($B319="","",IF($H319&lt;&gt;"Concluído","Não iniciado",IF(COUNTIF(Lançamentos!$B$3:$B$1001,$B319)=0,"Bloqueado",IF('E5 — Validação'!$D301="","Bloqueado",IF(COUNTIF('E5 — Validação'!$E301:$I301,"⛔ Bloqueado")&gt;0,"Bloqueado",IF('E5 — Validação'!$I301="N/A","Bloqueado",IF(AND('E5 — Validação'!$E301="✔ Concluído",'E5 — Validação'!$F301="✔ Concluído",OR('E5 — Validação'!$G301="✔ Concluído",'E5 — Validação'!$G301="N/A"),'E5 — Validação'!$H301="✔ Concluído",'E5 — Validação'!$I301="✔ Concluído"),"Concluído",IF(COUNTIF('E5 — Validação'!$E301:$I301,"✔ Concluído")+COUNTIF('E5 — Validação'!$E301:$I301,"🔄 Em andamento")&gt;0,"Em andamento","Não iniciado"))))))))</f>
        <v/>
      </c>
      <c r="J319" s="229" t="str">
        <f>IF($B319="","",IF($I319&lt;&gt;"Concluído","Não iniciado",IF('E6 — Ajustes'!$N301="Não","N/A",IF(COUNTIF(Lançamentos!$B$3:$B$1001,$B319)=0,"Bloqueado",IF('E6 — Ajustes'!$D301="","Bloqueado",IF(COUNTIF('E6 — Ajustes'!$E301:$J301,"⛔ Bloqueado")&gt;0,"Bloqueado",IF(AND('E6 — Ajustes'!$E301="✔ Concluído",'E6 — Ajustes'!$F301="✔ Concluído",'E6 — Ajustes'!$G301="✔ Concluído",'E6 — Ajustes'!$H301="✔ Concluído",OR('E6 — Ajustes'!$I301="✔ Concluído",'E6 — Ajustes'!$I301="N/A"),'E6 — Ajustes'!$J301="✔ Concluído"),"Concluído",IF(COUNTIF('E6 — Ajustes'!$E301:$J301,"✔ Concluído")+COUNTIF('E6 — Ajustes'!$E301:$J301,"🔄 Em andamento")&gt;0,"Em andamento","Não iniciado"))))))))</f>
        <v/>
      </c>
      <c r="K319" s="229" t="str">
        <f>IF($B319="","",IF($I319&lt;&gt;"Concluído","Não iniciado",IF(AND($J319&lt;&gt;"Concluído",$J319&lt;&gt;"N/A"),"Não iniciado",IF(COUNTIF(Lançamentos!$B$3:$B$1001,$B319)=0,"Bloqueado",IF('E7 — Entrega'!$D301="","Bloqueado",IF(COUNTIF('E7 — Entrega'!$E301:$H301,"⛔ Bloqueado")&gt;0,"Bloqueado",IF(COUNTIF('E7 — Entrega'!$E301:$H301,"✔ Concluído")=4,"Concluído",IF(COUNTIF('E7 — Entrega'!$E301:$H301,"✔ Concluído")+COUNTIF('E7 — Entrega'!$E301:$H301,"🔄 Em andamento")&gt;0,"Em andamento","Não iniciado"))))))))</f>
        <v/>
      </c>
      <c r="L319" s="229" t="str">
        <f>IF($B319="","",IF($K319&lt;&gt;"Concluído","Não iniciado",IF(OR(COUNTIF('E08 — Estabilização Hypercare'!$E301:$J301,"⛔ Bloqueado")&gt;0,'E08 — Estabilização Hypercare'!$N301="⛔ Incidente Crítico — Encerramento Bloqueado",AND('E08 — Estabilização Hypercare'!$N301="🆕 Evolução Identificada — Nova Demanda Aberta",'E08 — Estabilização Hypercare'!$U301="")),"Bloqueado",IF(AND('E08 — Estabilização Hypercare'!$E301="✔ Concluído",'E08 — Estabilização Hypercare'!$F301="✔ Concluído",'E08 — Estabilização Hypercare'!$G301="✔ Concluído",OR('E08 — Estabilização Hypercare'!$H301="✔ Concluído",'E08 — Estabilização Hypercare'!$H301="N/A"),'E08 — Estabilização Hypercare'!$I301="✔ Concluído",'E08 — Estabilização Hypercare'!$J301="✔ Concluído",OR('E08 — Estabilização Hypercare'!$N301="✅ Estável — Demanda Encerrada",AND('E08 — Estabilização Hypercare'!$N301="🆕 Evolução Identificada — Nova Demanda Aberta",'E08 — Estabilização Hypercare'!$U301&lt;&gt;""))),"Concluído",IF(OR(COUNTIF('E08 — Estabilização Hypercare'!$E301:$J301,"✔ Concluído")&gt;0,COUNTIF('E08 — Estabilização Hypercare'!$E301:$J301,"🔄 Em andamento")&gt;0,'E08 — Estabilização Hypercare'!$N301&lt;&gt;""),"Em andamento","Não iniciado")))))</f>
        <v/>
      </c>
      <c r="M319" s="232" t="str" cm="1">
        <f t="array" ref="M319">IF(B319="","",_xlfn.IFS(E319&lt;&gt;"Concluído","E1 — Solicitação",F319&lt;&gt;"Concluído","E2 — Triagem",G319&lt;&gt;"Concluído","E3 — Levantamento ⚠",H319&lt;&gt;"Concluído","E4 — Execução",I319&lt;&gt;"Concluído","E5 — Validação ⚠",AND(J319&lt;&gt;"Concluído",J319&lt;&gt;"N/A"),"E6 — Ajustes",K319&lt;&gt;"Concluído","E7 — Entrega",L319&lt;&gt;"Concluído","E08 — Estabilização / Hypercare",TRUE,"✔ Fluxo concluído"))</f>
        <v/>
      </c>
      <c r="N319" s="233" t="str">
        <f t="shared" si="5"/>
        <v/>
      </c>
      <c r="O319" s="230"/>
    </row>
    <row r="320" spans="2:15" x14ac:dyDescent="0.35">
      <c r="B320" s="229" t="str">
        <f>IF(Lançamentos!$B297="","",Lançamentos!$B297)</f>
        <v/>
      </c>
      <c r="C320" s="231" t="str">
        <f>IF($B320="","",Lançamentos!$J297)</f>
        <v/>
      </c>
      <c r="D320" s="231" t="str">
        <f>IF($B320="","",Lançamentos!$H297)</f>
        <v/>
      </c>
      <c r="E320" s="229" t="str">
        <f>IF($B320="","",IF(COUNTIF(Lançamentos!$B$3:$B$1001,$B320)=0,"Bloqueado",IF(COUNTIF('E1 — Solicitação'!$E302:$L302,"⛔ Bloqueado")&gt;0,"Bloqueado",IF(COUNTIF('E1 — Solicitação'!$E302:$L302,"N/A")=8,"Bloqueado",IF(COUNTIF('E1 — Solicitação'!$E302:$L302,"✔ Concluído")+COUNTIF('E1 — Solicitação'!$E302:$L302,"N/A")=8,"Concluído",IF(COUNTIF('E1 — Solicitação'!$E302:$L302,"✔ Concluído")+COUNTIF('E1 — Solicitação'!$E302:$L302,"🔄 Em andamento")&gt;0,"Em andamento","Não iniciado"))))))</f>
        <v/>
      </c>
      <c r="F320" s="229" t="str">
        <f>IF($B320="","",IF($E320&lt;&gt;"Concluído","Não iniciado",IF(COUNTIF(Lançamentos!$B$3:$B$1001,$B320)=0,"Bloqueado",IF('E2 — Triagem'!$D302="","Bloqueado",IF(COUNTIF('E2 — Triagem'!$E302:$L302,"N/A")=8,"Bloqueado",IF(COUNTIF('E2 — Triagem'!$E302:$L302,"⛔ Bloqueado")&gt;0,"Bloqueado",IF(COUNTIF('E2 — Triagem'!$E302:$L302,"✔ Concluído")+COUNTIF('E2 — Triagem'!$E302:$L302,"N/A")=8,"Concluído",IF(COUNTIF('E2 — Triagem'!$E302:$L302,"✔ Concluído")+COUNTIF('E2 — Triagem'!$E302:$L302,"🔄 Em andamento")&gt;0,"Em andamento","Não iniciado"))))))))</f>
        <v/>
      </c>
      <c r="G320" s="229" t="str">
        <f>IF($B320="","",IF($F320&lt;&gt;"Concluído","Não iniciado",IF(COUNTIF(Lançamentos!$B$3:$B$1001,$B320)=0,"Bloqueado",IF('E3 — Levantamento'!$D302="","Bloqueado",IF(COUNTIF('E3 — Levantamento'!$E302:$I302,"⛔ Bloqueado")&gt;0,"Bloqueado",IF('E3 — Levantamento'!$I302="N/A","Bloqueado",IF(COUNTIF('E3 — Levantamento'!$E302:$I302,"✔ Concluído")=5,"Concluído",IF(COUNTIF('E3 — Levantamento'!$E302:$I302,"✔ Concluído")+COUNTIF('E3 — Levantamento'!$E302:$I302,"🔄 Em andamento")&gt;0,"Em andamento","Não iniciado"))))))))</f>
        <v/>
      </c>
      <c r="H320" s="229" t="str">
        <f>IF($B320="","",IF($G320&lt;&gt;"Concluído","Não iniciado",IF(COUNTIF(Lançamentos!$B$3:$B$1001,$B320)=0,"Bloqueado",IF('E4 — Execução'!$D302="","Bloqueado",IF(COUNTIF('E4 — Execução'!$E302:$K302,"⛔ Bloqueado")&gt;0,"Bloqueado",IF(COUNTIF('E4 — Execução'!$E302:$K302,"✔ Concluído")=7,"Concluído",IF(COUNTIF('E4 — Execução'!$E302:$K302,"✔ Concluído")+COUNTIF('E4 — Execução'!$E302:$K302,"🔄 Em andamento")&gt;0,"Em andamento","Não iniciado")))))))</f>
        <v/>
      </c>
      <c r="I320" s="229" t="str">
        <f>IF($B320="","",IF($H320&lt;&gt;"Concluído","Não iniciado",IF(COUNTIF(Lançamentos!$B$3:$B$1001,$B320)=0,"Bloqueado",IF('E5 — Validação'!$D302="","Bloqueado",IF(COUNTIF('E5 — Validação'!$E302:$I302,"⛔ Bloqueado")&gt;0,"Bloqueado",IF('E5 — Validação'!$I302="N/A","Bloqueado",IF(AND('E5 — Validação'!$E302="✔ Concluído",'E5 — Validação'!$F302="✔ Concluído",OR('E5 — Validação'!$G302="✔ Concluído",'E5 — Validação'!$G302="N/A"),'E5 — Validação'!$H302="✔ Concluído",'E5 — Validação'!$I302="✔ Concluído"),"Concluído",IF(COUNTIF('E5 — Validação'!$E302:$I302,"✔ Concluído")+COUNTIF('E5 — Validação'!$E302:$I302,"🔄 Em andamento")&gt;0,"Em andamento","Não iniciado"))))))))</f>
        <v/>
      </c>
      <c r="J320" s="229" t="str">
        <f>IF($B320="","",IF($I320&lt;&gt;"Concluído","Não iniciado",IF('E6 — Ajustes'!$N302="Não","N/A",IF(COUNTIF(Lançamentos!$B$3:$B$1001,$B320)=0,"Bloqueado",IF('E6 — Ajustes'!$D302="","Bloqueado",IF(COUNTIF('E6 — Ajustes'!$E302:$J302,"⛔ Bloqueado")&gt;0,"Bloqueado",IF(AND('E6 — Ajustes'!$E302="✔ Concluído",'E6 — Ajustes'!$F302="✔ Concluído",'E6 — Ajustes'!$G302="✔ Concluído",'E6 — Ajustes'!$H302="✔ Concluído",OR('E6 — Ajustes'!$I302="✔ Concluído",'E6 — Ajustes'!$I302="N/A"),'E6 — Ajustes'!$J302="✔ Concluído"),"Concluído",IF(COUNTIF('E6 — Ajustes'!$E302:$J302,"✔ Concluído")+COUNTIF('E6 — Ajustes'!$E302:$J302,"🔄 Em andamento")&gt;0,"Em andamento","Não iniciado"))))))))</f>
        <v/>
      </c>
      <c r="K320" s="229" t="str">
        <f>IF($B320="","",IF($I320&lt;&gt;"Concluído","Não iniciado",IF(AND($J320&lt;&gt;"Concluído",$J320&lt;&gt;"N/A"),"Não iniciado",IF(COUNTIF(Lançamentos!$B$3:$B$1001,$B320)=0,"Bloqueado",IF('E7 — Entrega'!$D302="","Bloqueado",IF(COUNTIF('E7 — Entrega'!$E302:$H302,"⛔ Bloqueado")&gt;0,"Bloqueado",IF(COUNTIF('E7 — Entrega'!$E302:$H302,"✔ Concluído")=4,"Concluído",IF(COUNTIF('E7 — Entrega'!$E302:$H302,"✔ Concluído")+COUNTIF('E7 — Entrega'!$E302:$H302,"🔄 Em andamento")&gt;0,"Em andamento","Não iniciado"))))))))</f>
        <v/>
      </c>
      <c r="L320" s="229" t="str">
        <f>IF($B320="","",IF($K320&lt;&gt;"Concluído","Não iniciado",IF(OR(COUNTIF('E08 — Estabilização Hypercare'!$E302:$J302,"⛔ Bloqueado")&gt;0,'E08 — Estabilização Hypercare'!$N302="⛔ Incidente Crítico — Encerramento Bloqueado",AND('E08 — Estabilização Hypercare'!$N302="🆕 Evolução Identificada — Nova Demanda Aberta",'E08 — Estabilização Hypercare'!$U302="")),"Bloqueado",IF(AND('E08 — Estabilização Hypercare'!$E302="✔ Concluído",'E08 — Estabilização Hypercare'!$F302="✔ Concluído",'E08 — Estabilização Hypercare'!$G302="✔ Concluído",OR('E08 — Estabilização Hypercare'!$H302="✔ Concluído",'E08 — Estabilização Hypercare'!$H302="N/A"),'E08 — Estabilização Hypercare'!$I302="✔ Concluído",'E08 — Estabilização Hypercare'!$J302="✔ Concluído",OR('E08 — Estabilização Hypercare'!$N302="✅ Estável — Demanda Encerrada",AND('E08 — Estabilização Hypercare'!$N302="🆕 Evolução Identificada — Nova Demanda Aberta",'E08 — Estabilização Hypercare'!$U302&lt;&gt;""))),"Concluído",IF(OR(COUNTIF('E08 — Estabilização Hypercare'!$E302:$J302,"✔ Concluído")&gt;0,COUNTIF('E08 — Estabilização Hypercare'!$E302:$J302,"🔄 Em andamento")&gt;0,'E08 — Estabilização Hypercare'!$N302&lt;&gt;""),"Em andamento","Não iniciado")))))</f>
        <v/>
      </c>
      <c r="M320" s="232" t="str" cm="1">
        <f t="array" ref="M320">IF(B320="","",_xlfn.IFS(E320&lt;&gt;"Concluído","E1 — Solicitação",F320&lt;&gt;"Concluído","E2 — Triagem",G320&lt;&gt;"Concluído","E3 — Levantamento ⚠",H320&lt;&gt;"Concluído","E4 — Execução",I320&lt;&gt;"Concluído","E5 — Validação ⚠",AND(J320&lt;&gt;"Concluído",J320&lt;&gt;"N/A"),"E6 — Ajustes",K320&lt;&gt;"Concluído","E7 — Entrega",L320&lt;&gt;"Concluído","E08 — Estabilização / Hypercare",TRUE,"✔ Fluxo concluído"))</f>
        <v/>
      </c>
      <c r="N320" s="233" t="str">
        <f t="shared" si="5"/>
        <v/>
      </c>
      <c r="O320" s="230"/>
    </row>
    <row r="321" spans="2:15" x14ac:dyDescent="0.35">
      <c r="B321" s="229" t="str">
        <f>IF(Lançamentos!$B298="","",Lançamentos!$B298)</f>
        <v/>
      </c>
      <c r="C321" s="231" t="str">
        <f>IF($B321="","",Lançamentos!$J298)</f>
        <v/>
      </c>
      <c r="D321" s="231" t="str">
        <f>IF($B321="","",Lançamentos!$H298)</f>
        <v/>
      </c>
      <c r="E321" s="229" t="str">
        <f>IF($B321="","",IF(COUNTIF(Lançamentos!$B$3:$B$1001,$B321)=0,"Bloqueado",IF(COUNTIF('E1 — Solicitação'!$E303:$L303,"⛔ Bloqueado")&gt;0,"Bloqueado",IF(COUNTIF('E1 — Solicitação'!$E303:$L303,"N/A")=8,"Bloqueado",IF(COUNTIF('E1 — Solicitação'!$E303:$L303,"✔ Concluído")+COUNTIF('E1 — Solicitação'!$E303:$L303,"N/A")=8,"Concluído",IF(COUNTIF('E1 — Solicitação'!$E303:$L303,"✔ Concluído")+COUNTIF('E1 — Solicitação'!$E303:$L303,"🔄 Em andamento")&gt;0,"Em andamento","Não iniciado"))))))</f>
        <v/>
      </c>
      <c r="F321" s="229" t="str">
        <f>IF($B321="","",IF($E321&lt;&gt;"Concluído","Não iniciado",IF(COUNTIF(Lançamentos!$B$3:$B$1001,$B321)=0,"Bloqueado",IF('E2 — Triagem'!$D303="","Bloqueado",IF(COUNTIF('E2 — Triagem'!$E303:$L303,"N/A")=8,"Bloqueado",IF(COUNTIF('E2 — Triagem'!$E303:$L303,"⛔ Bloqueado")&gt;0,"Bloqueado",IF(COUNTIF('E2 — Triagem'!$E303:$L303,"✔ Concluído")+COUNTIF('E2 — Triagem'!$E303:$L303,"N/A")=8,"Concluído",IF(COUNTIF('E2 — Triagem'!$E303:$L303,"✔ Concluído")+COUNTIF('E2 — Triagem'!$E303:$L303,"🔄 Em andamento")&gt;0,"Em andamento","Não iniciado"))))))))</f>
        <v/>
      </c>
      <c r="G321" s="229" t="str">
        <f>IF($B321="","",IF($F321&lt;&gt;"Concluído","Não iniciado",IF(COUNTIF(Lançamentos!$B$3:$B$1001,$B321)=0,"Bloqueado",IF('E3 — Levantamento'!$D303="","Bloqueado",IF(COUNTIF('E3 — Levantamento'!$E303:$I303,"⛔ Bloqueado")&gt;0,"Bloqueado",IF('E3 — Levantamento'!$I303="N/A","Bloqueado",IF(COUNTIF('E3 — Levantamento'!$E303:$I303,"✔ Concluído")=5,"Concluído",IF(COUNTIF('E3 — Levantamento'!$E303:$I303,"✔ Concluído")+COUNTIF('E3 — Levantamento'!$E303:$I303,"🔄 Em andamento")&gt;0,"Em andamento","Não iniciado"))))))))</f>
        <v/>
      </c>
      <c r="H321" s="229" t="str">
        <f>IF($B321="","",IF($G321&lt;&gt;"Concluído","Não iniciado",IF(COUNTIF(Lançamentos!$B$3:$B$1001,$B321)=0,"Bloqueado",IF('E4 — Execução'!$D303="","Bloqueado",IF(COUNTIF('E4 — Execução'!$E303:$K303,"⛔ Bloqueado")&gt;0,"Bloqueado",IF(COUNTIF('E4 — Execução'!$E303:$K303,"✔ Concluído")=7,"Concluído",IF(COUNTIF('E4 — Execução'!$E303:$K303,"✔ Concluído")+COUNTIF('E4 — Execução'!$E303:$K303,"🔄 Em andamento")&gt;0,"Em andamento","Não iniciado")))))))</f>
        <v/>
      </c>
      <c r="I321" s="229" t="str">
        <f>IF($B321="","",IF($H321&lt;&gt;"Concluído","Não iniciado",IF(COUNTIF(Lançamentos!$B$3:$B$1001,$B321)=0,"Bloqueado",IF('E5 — Validação'!$D303="","Bloqueado",IF(COUNTIF('E5 — Validação'!$E303:$I303,"⛔ Bloqueado")&gt;0,"Bloqueado",IF('E5 — Validação'!$I303="N/A","Bloqueado",IF(AND('E5 — Validação'!$E303="✔ Concluído",'E5 — Validação'!$F303="✔ Concluído",OR('E5 — Validação'!$G303="✔ Concluído",'E5 — Validação'!$G303="N/A"),'E5 — Validação'!$H303="✔ Concluído",'E5 — Validação'!$I303="✔ Concluído"),"Concluído",IF(COUNTIF('E5 — Validação'!$E303:$I303,"✔ Concluído")+COUNTIF('E5 — Validação'!$E303:$I303,"🔄 Em andamento")&gt;0,"Em andamento","Não iniciado"))))))))</f>
        <v/>
      </c>
      <c r="J321" s="229" t="str">
        <f>IF($B321="","",IF($I321&lt;&gt;"Concluído","Não iniciado",IF('E6 — Ajustes'!$N303="Não","N/A",IF(COUNTIF(Lançamentos!$B$3:$B$1001,$B321)=0,"Bloqueado",IF('E6 — Ajustes'!$D303="","Bloqueado",IF(COUNTIF('E6 — Ajustes'!$E303:$J303,"⛔ Bloqueado")&gt;0,"Bloqueado",IF(AND('E6 — Ajustes'!$E303="✔ Concluído",'E6 — Ajustes'!$F303="✔ Concluído",'E6 — Ajustes'!$G303="✔ Concluído",'E6 — Ajustes'!$H303="✔ Concluído",OR('E6 — Ajustes'!$I303="✔ Concluído",'E6 — Ajustes'!$I303="N/A"),'E6 — Ajustes'!$J303="✔ Concluído"),"Concluído",IF(COUNTIF('E6 — Ajustes'!$E303:$J303,"✔ Concluído")+COUNTIF('E6 — Ajustes'!$E303:$J303,"🔄 Em andamento")&gt;0,"Em andamento","Não iniciado"))))))))</f>
        <v/>
      </c>
      <c r="K321" s="229" t="str">
        <f>IF($B321="","",IF($I321&lt;&gt;"Concluído","Não iniciado",IF(AND($J321&lt;&gt;"Concluído",$J321&lt;&gt;"N/A"),"Não iniciado",IF(COUNTIF(Lançamentos!$B$3:$B$1001,$B321)=0,"Bloqueado",IF('E7 — Entrega'!$D303="","Bloqueado",IF(COUNTIF('E7 — Entrega'!$E303:$H303,"⛔ Bloqueado")&gt;0,"Bloqueado",IF(COUNTIF('E7 — Entrega'!$E303:$H303,"✔ Concluído")=4,"Concluído",IF(COUNTIF('E7 — Entrega'!$E303:$H303,"✔ Concluído")+COUNTIF('E7 — Entrega'!$E303:$H303,"🔄 Em andamento")&gt;0,"Em andamento","Não iniciado"))))))))</f>
        <v/>
      </c>
      <c r="L321" s="229" t="str">
        <f>IF($B321="","",IF($K321&lt;&gt;"Concluído","Não iniciado",IF(OR(COUNTIF('E08 — Estabilização Hypercare'!$E303:$J303,"⛔ Bloqueado")&gt;0,'E08 — Estabilização Hypercare'!$N303="⛔ Incidente Crítico — Encerramento Bloqueado",AND('E08 — Estabilização Hypercare'!$N303="🆕 Evolução Identificada — Nova Demanda Aberta",'E08 — Estabilização Hypercare'!$U303="")),"Bloqueado",IF(AND('E08 — Estabilização Hypercare'!$E303="✔ Concluído",'E08 — Estabilização Hypercare'!$F303="✔ Concluído",'E08 — Estabilização Hypercare'!$G303="✔ Concluído",OR('E08 — Estabilização Hypercare'!$H303="✔ Concluído",'E08 — Estabilização Hypercare'!$H303="N/A"),'E08 — Estabilização Hypercare'!$I303="✔ Concluído",'E08 — Estabilização Hypercare'!$J303="✔ Concluído",OR('E08 — Estabilização Hypercare'!$N303="✅ Estável — Demanda Encerrada",AND('E08 — Estabilização Hypercare'!$N303="🆕 Evolução Identificada — Nova Demanda Aberta",'E08 — Estabilização Hypercare'!$U303&lt;&gt;""))),"Concluído",IF(OR(COUNTIF('E08 — Estabilização Hypercare'!$E303:$J303,"✔ Concluído")&gt;0,COUNTIF('E08 — Estabilização Hypercare'!$E303:$J303,"🔄 Em andamento")&gt;0,'E08 — Estabilização Hypercare'!$N303&lt;&gt;""),"Em andamento","Não iniciado")))))</f>
        <v/>
      </c>
      <c r="M321" s="232" t="str" cm="1">
        <f t="array" ref="M321">IF(B321="","",_xlfn.IFS(E321&lt;&gt;"Concluído","E1 — Solicitação",F321&lt;&gt;"Concluído","E2 — Triagem",G321&lt;&gt;"Concluído","E3 — Levantamento ⚠",H321&lt;&gt;"Concluído","E4 — Execução",I321&lt;&gt;"Concluído","E5 — Validação ⚠",AND(J321&lt;&gt;"Concluído",J321&lt;&gt;"N/A"),"E6 — Ajustes",K321&lt;&gt;"Concluído","E7 — Entrega",L321&lt;&gt;"Concluído","E08 — Estabilização / Hypercare",TRUE,"✔ Fluxo concluído"))</f>
        <v/>
      </c>
      <c r="N321" s="233" t="str">
        <f t="shared" si="5"/>
        <v/>
      </c>
      <c r="O321" s="230"/>
    </row>
    <row r="322" spans="2:15" x14ac:dyDescent="0.35">
      <c r="B322" s="229" t="str">
        <f>IF(Lançamentos!$B299="","",Lançamentos!$B299)</f>
        <v/>
      </c>
      <c r="C322" s="231" t="str">
        <f>IF($B322="","",Lançamentos!$J299)</f>
        <v/>
      </c>
      <c r="D322" s="231" t="str">
        <f>IF($B322="","",Lançamentos!$H299)</f>
        <v/>
      </c>
      <c r="E322" s="229" t="str">
        <f>IF($B322="","",IF(COUNTIF(Lançamentos!$B$3:$B$1001,$B322)=0,"Bloqueado",IF(COUNTIF('E1 — Solicitação'!$E304:$L304,"⛔ Bloqueado")&gt;0,"Bloqueado",IF(COUNTIF('E1 — Solicitação'!$E304:$L304,"N/A")=8,"Bloqueado",IF(COUNTIF('E1 — Solicitação'!$E304:$L304,"✔ Concluído")+COUNTIF('E1 — Solicitação'!$E304:$L304,"N/A")=8,"Concluído",IF(COUNTIF('E1 — Solicitação'!$E304:$L304,"✔ Concluído")+COUNTIF('E1 — Solicitação'!$E304:$L304,"🔄 Em andamento")&gt;0,"Em andamento","Não iniciado"))))))</f>
        <v/>
      </c>
      <c r="F322" s="229" t="str">
        <f>IF($B322="","",IF($E322&lt;&gt;"Concluído","Não iniciado",IF(COUNTIF(Lançamentos!$B$3:$B$1001,$B322)=0,"Bloqueado",IF('E2 — Triagem'!$D304="","Bloqueado",IF(COUNTIF('E2 — Triagem'!$E304:$L304,"N/A")=8,"Bloqueado",IF(COUNTIF('E2 — Triagem'!$E304:$L304,"⛔ Bloqueado")&gt;0,"Bloqueado",IF(COUNTIF('E2 — Triagem'!$E304:$L304,"✔ Concluído")+COUNTIF('E2 — Triagem'!$E304:$L304,"N/A")=8,"Concluído",IF(COUNTIF('E2 — Triagem'!$E304:$L304,"✔ Concluído")+COUNTIF('E2 — Triagem'!$E304:$L304,"🔄 Em andamento")&gt;0,"Em andamento","Não iniciado"))))))))</f>
        <v/>
      </c>
      <c r="G322" s="229" t="str">
        <f>IF($B322="","",IF($F322&lt;&gt;"Concluído","Não iniciado",IF(COUNTIF(Lançamentos!$B$3:$B$1001,$B322)=0,"Bloqueado",IF('E3 — Levantamento'!$D304="","Bloqueado",IF(COUNTIF('E3 — Levantamento'!$E304:$I304,"⛔ Bloqueado")&gt;0,"Bloqueado",IF('E3 — Levantamento'!$I304="N/A","Bloqueado",IF(COUNTIF('E3 — Levantamento'!$E304:$I304,"✔ Concluído")=5,"Concluído",IF(COUNTIF('E3 — Levantamento'!$E304:$I304,"✔ Concluído")+COUNTIF('E3 — Levantamento'!$E304:$I304,"🔄 Em andamento")&gt;0,"Em andamento","Não iniciado"))))))))</f>
        <v/>
      </c>
      <c r="H322" s="229" t="str">
        <f>IF($B322="","",IF($G322&lt;&gt;"Concluído","Não iniciado",IF(COUNTIF(Lançamentos!$B$3:$B$1001,$B322)=0,"Bloqueado",IF('E4 — Execução'!$D304="","Bloqueado",IF(COUNTIF('E4 — Execução'!$E304:$K304,"⛔ Bloqueado")&gt;0,"Bloqueado",IF(COUNTIF('E4 — Execução'!$E304:$K304,"✔ Concluído")=7,"Concluído",IF(COUNTIF('E4 — Execução'!$E304:$K304,"✔ Concluído")+COUNTIF('E4 — Execução'!$E304:$K304,"🔄 Em andamento")&gt;0,"Em andamento","Não iniciado")))))))</f>
        <v/>
      </c>
      <c r="I322" s="229" t="str">
        <f>IF($B322="","",IF($H322&lt;&gt;"Concluído","Não iniciado",IF(COUNTIF(Lançamentos!$B$3:$B$1001,$B322)=0,"Bloqueado",IF('E5 — Validação'!$D304="","Bloqueado",IF(COUNTIF('E5 — Validação'!$E304:$I304,"⛔ Bloqueado")&gt;0,"Bloqueado",IF('E5 — Validação'!$I304="N/A","Bloqueado",IF(AND('E5 — Validação'!$E304="✔ Concluído",'E5 — Validação'!$F304="✔ Concluído",OR('E5 — Validação'!$G304="✔ Concluído",'E5 — Validação'!$G304="N/A"),'E5 — Validação'!$H304="✔ Concluído",'E5 — Validação'!$I304="✔ Concluído"),"Concluído",IF(COUNTIF('E5 — Validação'!$E304:$I304,"✔ Concluído")+COUNTIF('E5 — Validação'!$E304:$I304,"🔄 Em andamento")&gt;0,"Em andamento","Não iniciado"))))))))</f>
        <v/>
      </c>
      <c r="J322" s="229" t="str">
        <f>IF($B322="","",IF($I322&lt;&gt;"Concluído","Não iniciado",IF('E6 — Ajustes'!$N304="Não","N/A",IF(COUNTIF(Lançamentos!$B$3:$B$1001,$B322)=0,"Bloqueado",IF('E6 — Ajustes'!$D304="","Bloqueado",IF(COUNTIF('E6 — Ajustes'!$E304:$J304,"⛔ Bloqueado")&gt;0,"Bloqueado",IF(AND('E6 — Ajustes'!$E304="✔ Concluído",'E6 — Ajustes'!$F304="✔ Concluído",'E6 — Ajustes'!$G304="✔ Concluído",'E6 — Ajustes'!$H304="✔ Concluído",OR('E6 — Ajustes'!$I304="✔ Concluído",'E6 — Ajustes'!$I304="N/A"),'E6 — Ajustes'!$J304="✔ Concluído"),"Concluído",IF(COUNTIF('E6 — Ajustes'!$E304:$J304,"✔ Concluído")+COUNTIF('E6 — Ajustes'!$E304:$J304,"🔄 Em andamento")&gt;0,"Em andamento","Não iniciado"))))))))</f>
        <v/>
      </c>
      <c r="K322" s="229" t="str">
        <f>IF($B322="","",IF($I322&lt;&gt;"Concluído","Não iniciado",IF(AND($J322&lt;&gt;"Concluído",$J322&lt;&gt;"N/A"),"Não iniciado",IF(COUNTIF(Lançamentos!$B$3:$B$1001,$B322)=0,"Bloqueado",IF('E7 — Entrega'!$D304="","Bloqueado",IF(COUNTIF('E7 — Entrega'!$E304:$H304,"⛔ Bloqueado")&gt;0,"Bloqueado",IF(COUNTIF('E7 — Entrega'!$E304:$H304,"✔ Concluído")=4,"Concluído",IF(COUNTIF('E7 — Entrega'!$E304:$H304,"✔ Concluído")+COUNTIF('E7 — Entrega'!$E304:$H304,"🔄 Em andamento")&gt;0,"Em andamento","Não iniciado"))))))))</f>
        <v/>
      </c>
      <c r="L322" s="229" t="str">
        <f>IF($B322="","",IF($K322&lt;&gt;"Concluído","Não iniciado",IF(OR(COUNTIF('E08 — Estabilização Hypercare'!$E304:$J304,"⛔ Bloqueado")&gt;0,'E08 — Estabilização Hypercare'!$N304="⛔ Incidente Crítico — Encerramento Bloqueado",AND('E08 — Estabilização Hypercare'!$N304="🆕 Evolução Identificada — Nova Demanda Aberta",'E08 — Estabilização Hypercare'!$U304="")),"Bloqueado",IF(AND('E08 — Estabilização Hypercare'!$E304="✔ Concluído",'E08 — Estabilização Hypercare'!$F304="✔ Concluído",'E08 — Estabilização Hypercare'!$G304="✔ Concluído",OR('E08 — Estabilização Hypercare'!$H304="✔ Concluído",'E08 — Estabilização Hypercare'!$H304="N/A"),'E08 — Estabilização Hypercare'!$I304="✔ Concluído",'E08 — Estabilização Hypercare'!$J304="✔ Concluído",OR('E08 — Estabilização Hypercare'!$N304="✅ Estável — Demanda Encerrada",AND('E08 — Estabilização Hypercare'!$N304="🆕 Evolução Identificada — Nova Demanda Aberta",'E08 — Estabilização Hypercare'!$U304&lt;&gt;""))),"Concluído",IF(OR(COUNTIF('E08 — Estabilização Hypercare'!$E304:$J304,"✔ Concluído")&gt;0,COUNTIF('E08 — Estabilização Hypercare'!$E304:$J304,"🔄 Em andamento")&gt;0,'E08 — Estabilização Hypercare'!$N304&lt;&gt;""),"Em andamento","Não iniciado")))))</f>
        <v/>
      </c>
      <c r="M322" s="232" t="str" cm="1">
        <f t="array" ref="M322">IF(B322="","",_xlfn.IFS(E322&lt;&gt;"Concluído","E1 — Solicitação",F322&lt;&gt;"Concluído","E2 — Triagem",G322&lt;&gt;"Concluído","E3 — Levantamento ⚠",H322&lt;&gt;"Concluído","E4 — Execução",I322&lt;&gt;"Concluído","E5 — Validação ⚠",AND(J322&lt;&gt;"Concluído",J322&lt;&gt;"N/A"),"E6 — Ajustes",K322&lt;&gt;"Concluído","E7 — Entrega",L322&lt;&gt;"Concluído","E08 — Estabilização / Hypercare",TRUE,"✔ Fluxo concluído"))</f>
        <v/>
      </c>
      <c r="N322" s="233" t="str">
        <f t="shared" si="5"/>
        <v/>
      </c>
      <c r="O322" s="230"/>
    </row>
    <row r="323" spans="2:15" x14ac:dyDescent="0.35">
      <c r="B323" s="229" t="str">
        <f>IF(Lançamentos!$B300="","",Lançamentos!$B300)</f>
        <v/>
      </c>
      <c r="C323" s="231" t="str">
        <f>IF($B323="","",Lançamentos!$J300)</f>
        <v/>
      </c>
      <c r="D323" s="231" t="str">
        <f>IF($B323="","",Lançamentos!$H300)</f>
        <v/>
      </c>
      <c r="E323" s="229" t="str">
        <f>IF($B323="","",IF(COUNTIF(Lançamentos!$B$3:$B$1001,$B323)=0,"Bloqueado",IF(COUNTIF('E1 — Solicitação'!$E305:$L305,"⛔ Bloqueado")&gt;0,"Bloqueado",IF(COUNTIF('E1 — Solicitação'!$E305:$L305,"N/A")=8,"Bloqueado",IF(COUNTIF('E1 — Solicitação'!$E305:$L305,"✔ Concluído")+COUNTIF('E1 — Solicitação'!$E305:$L305,"N/A")=8,"Concluído",IF(COUNTIF('E1 — Solicitação'!$E305:$L305,"✔ Concluído")+COUNTIF('E1 — Solicitação'!$E305:$L305,"🔄 Em andamento")&gt;0,"Em andamento","Não iniciado"))))))</f>
        <v/>
      </c>
      <c r="F323" s="229" t="str">
        <f>IF($B323="","",IF($E323&lt;&gt;"Concluído","Não iniciado",IF(COUNTIF(Lançamentos!$B$3:$B$1001,$B323)=0,"Bloqueado",IF('E2 — Triagem'!$D305="","Bloqueado",IF(COUNTIF('E2 — Triagem'!$E305:$L305,"N/A")=8,"Bloqueado",IF(COUNTIF('E2 — Triagem'!$E305:$L305,"⛔ Bloqueado")&gt;0,"Bloqueado",IF(COUNTIF('E2 — Triagem'!$E305:$L305,"✔ Concluído")+COUNTIF('E2 — Triagem'!$E305:$L305,"N/A")=8,"Concluído",IF(COUNTIF('E2 — Triagem'!$E305:$L305,"✔ Concluído")+COUNTIF('E2 — Triagem'!$E305:$L305,"🔄 Em andamento")&gt;0,"Em andamento","Não iniciado"))))))))</f>
        <v/>
      </c>
      <c r="G323" s="229" t="str">
        <f>IF($B323="","",IF($F323&lt;&gt;"Concluído","Não iniciado",IF(COUNTIF(Lançamentos!$B$3:$B$1001,$B323)=0,"Bloqueado",IF('E3 — Levantamento'!$D305="","Bloqueado",IF(COUNTIF('E3 — Levantamento'!$E305:$I305,"⛔ Bloqueado")&gt;0,"Bloqueado",IF('E3 — Levantamento'!$I305="N/A","Bloqueado",IF(COUNTIF('E3 — Levantamento'!$E305:$I305,"✔ Concluído")=5,"Concluído",IF(COUNTIF('E3 — Levantamento'!$E305:$I305,"✔ Concluído")+COUNTIF('E3 — Levantamento'!$E305:$I305,"🔄 Em andamento")&gt;0,"Em andamento","Não iniciado"))))))))</f>
        <v/>
      </c>
      <c r="H323" s="229" t="str">
        <f>IF($B323="","",IF($G323&lt;&gt;"Concluído","Não iniciado",IF(COUNTIF(Lançamentos!$B$3:$B$1001,$B323)=0,"Bloqueado",IF('E4 — Execução'!$D305="","Bloqueado",IF(COUNTIF('E4 — Execução'!$E305:$K305,"⛔ Bloqueado")&gt;0,"Bloqueado",IF(COUNTIF('E4 — Execução'!$E305:$K305,"✔ Concluído")=7,"Concluído",IF(COUNTIF('E4 — Execução'!$E305:$K305,"✔ Concluído")+COUNTIF('E4 — Execução'!$E305:$K305,"🔄 Em andamento")&gt;0,"Em andamento","Não iniciado")))))))</f>
        <v/>
      </c>
      <c r="I323" s="229" t="str">
        <f>IF($B323="","",IF($H323&lt;&gt;"Concluído","Não iniciado",IF(COUNTIF(Lançamentos!$B$3:$B$1001,$B323)=0,"Bloqueado",IF('E5 — Validação'!$D305="","Bloqueado",IF(COUNTIF('E5 — Validação'!$E305:$I305,"⛔ Bloqueado")&gt;0,"Bloqueado",IF('E5 — Validação'!$I305="N/A","Bloqueado",IF(AND('E5 — Validação'!$E305="✔ Concluído",'E5 — Validação'!$F305="✔ Concluído",OR('E5 — Validação'!$G305="✔ Concluído",'E5 — Validação'!$G305="N/A"),'E5 — Validação'!$H305="✔ Concluído",'E5 — Validação'!$I305="✔ Concluído"),"Concluído",IF(COUNTIF('E5 — Validação'!$E305:$I305,"✔ Concluído")+COUNTIF('E5 — Validação'!$E305:$I305,"🔄 Em andamento")&gt;0,"Em andamento","Não iniciado"))))))))</f>
        <v/>
      </c>
      <c r="J323" s="229" t="str">
        <f>IF($B323="","",IF($I323&lt;&gt;"Concluído","Não iniciado",IF('E6 — Ajustes'!$N305="Não","N/A",IF(COUNTIF(Lançamentos!$B$3:$B$1001,$B323)=0,"Bloqueado",IF('E6 — Ajustes'!$D305="","Bloqueado",IF(COUNTIF('E6 — Ajustes'!$E305:$J305,"⛔ Bloqueado")&gt;0,"Bloqueado",IF(AND('E6 — Ajustes'!$E305="✔ Concluído",'E6 — Ajustes'!$F305="✔ Concluído",'E6 — Ajustes'!$G305="✔ Concluído",'E6 — Ajustes'!$H305="✔ Concluído",OR('E6 — Ajustes'!$I305="✔ Concluído",'E6 — Ajustes'!$I305="N/A"),'E6 — Ajustes'!$J305="✔ Concluído"),"Concluído",IF(COUNTIF('E6 — Ajustes'!$E305:$J305,"✔ Concluído")+COUNTIF('E6 — Ajustes'!$E305:$J305,"🔄 Em andamento")&gt;0,"Em andamento","Não iniciado"))))))))</f>
        <v/>
      </c>
      <c r="K323" s="229" t="str">
        <f>IF($B323="","",IF($I323&lt;&gt;"Concluído","Não iniciado",IF(AND($J323&lt;&gt;"Concluído",$J323&lt;&gt;"N/A"),"Não iniciado",IF(COUNTIF(Lançamentos!$B$3:$B$1001,$B323)=0,"Bloqueado",IF('E7 — Entrega'!$D305="","Bloqueado",IF(COUNTIF('E7 — Entrega'!$E305:$H305,"⛔ Bloqueado")&gt;0,"Bloqueado",IF(COUNTIF('E7 — Entrega'!$E305:$H305,"✔ Concluído")=4,"Concluído",IF(COUNTIF('E7 — Entrega'!$E305:$H305,"✔ Concluído")+COUNTIF('E7 — Entrega'!$E305:$H305,"🔄 Em andamento")&gt;0,"Em andamento","Não iniciado"))))))))</f>
        <v/>
      </c>
      <c r="L323" s="229" t="str">
        <f>IF($B323="","",IF($K323&lt;&gt;"Concluído","Não iniciado",IF(OR(COUNTIF('E08 — Estabilização Hypercare'!$E305:$J305,"⛔ Bloqueado")&gt;0,'E08 — Estabilização Hypercare'!$N305="⛔ Incidente Crítico — Encerramento Bloqueado",AND('E08 — Estabilização Hypercare'!$N305="🆕 Evolução Identificada — Nova Demanda Aberta",'E08 — Estabilização Hypercare'!$U305="")),"Bloqueado",IF(AND('E08 — Estabilização Hypercare'!$E305="✔ Concluído",'E08 — Estabilização Hypercare'!$F305="✔ Concluído",'E08 — Estabilização Hypercare'!$G305="✔ Concluído",OR('E08 — Estabilização Hypercare'!$H305="✔ Concluído",'E08 — Estabilização Hypercare'!$H305="N/A"),'E08 — Estabilização Hypercare'!$I305="✔ Concluído",'E08 — Estabilização Hypercare'!$J305="✔ Concluído",OR('E08 — Estabilização Hypercare'!$N305="✅ Estável — Demanda Encerrada",AND('E08 — Estabilização Hypercare'!$N305="🆕 Evolução Identificada — Nova Demanda Aberta",'E08 — Estabilização Hypercare'!$U305&lt;&gt;""))),"Concluído",IF(OR(COUNTIF('E08 — Estabilização Hypercare'!$E305:$J305,"✔ Concluído")&gt;0,COUNTIF('E08 — Estabilização Hypercare'!$E305:$J305,"🔄 Em andamento")&gt;0,'E08 — Estabilização Hypercare'!$N305&lt;&gt;""),"Em andamento","Não iniciado")))))</f>
        <v/>
      </c>
      <c r="M323" s="232" t="str" cm="1">
        <f t="array" ref="M323">IF(B323="","",_xlfn.IFS(E323&lt;&gt;"Concluído","E1 — Solicitação",F323&lt;&gt;"Concluído","E2 — Triagem",G323&lt;&gt;"Concluído","E3 — Levantamento ⚠",H323&lt;&gt;"Concluído","E4 — Execução",I323&lt;&gt;"Concluído","E5 — Validação ⚠",AND(J323&lt;&gt;"Concluído",J323&lt;&gt;"N/A"),"E6 — Ajustes",K323&lt;&gt;"Concluído","E7 — Entrega",L323&lt;&gt;"Concluído","E08 — Estabilização / Hypercare",TRUE,"✔ Fluxo concluído"))</f>
        <v/>
      </c>
      <c r="N323" s="233" t="str">
        <f t="shared" si="5"/>
        <v/>
      </c>
      <c r="O323" s="230"/>
    </row>
    <row r="324" spans="2:15" x14ac:dyDescent="0.35">
      <c r="B324" s="229" t="str">
        <f>IF(Lançamentos!$B301="","",Lançamentos!$B301)</f>
        <v/>
      </c>
      <c r="C324" s="231" t="str">
        <f>IF($B324="","",Lançamentos!$J301)</f>
        <v/>
      </c>
      <c r="D324" s="231" t="str">
        <f>IF($B324="","",Lançamentos!$H301)</f>
        <v/>
      </c>
      <c r="E324" s="229" t="str">
        <f>IF($B324="","",IF(COUNTIF(Lançamentos!$B$3:$B$1001,$B324)=0,"Bloqueado",IF(COUNTIF('E1 — Solicitação'!$E306:$L306,"⛔ Bloqueado")&gt;0,"Bloqueado",IF(COUNTIF('E1 — Solicitação'!$E306:$L306,"N/A")=8,"Bloqueado",IF(COUNTIF('E1 — Solicitação'!$E306:$L306,"✔ Concluído")+COUNTIF('E1 — Solicitação'!$E306:$L306,"N/A")=8,"Concluído",IF(COUNTIF('E1 — Solicitação'!$E306:$L306,"✔ Concluído")+COUNTIF('E1 — Solicitação'!$E306:$L306,"🔄 Em andamento")&gt;0,"Em andamento","Não iniciado"))))))</f>
        <v/>
      </c>
      <c r="F324" s="229" t="str">
        <f>IF($B324="","",IF($E324&lt;&gt;"Concluído","Não iniciado",IF(COUNTIF(Lançamentos!$B$3:$B$1001,$B324)=0,"Bloqueado",IF('E2 — Triagem'!$D306="","Bloqueado",IF(COUNTIF('E2 — Triagem'!$E306:$L306,"N/A")=8,"Bloqueado",IF(COUNTIF('E2 — Triagem'!$E306:$L306,"⛔ Bloqueado")&gt;0,"Bloqueado",IF(COUNTIF('E2 — Triagem'!$E306:$L306,"✔ Concluído")+COUNTIF('E2 — Triagem'!$E306:$L306,"N/A")=8,"Concluído",IF(COUNTIF('E2 — Triagem'!$E306:$L306,"✔ Concluído")+COUNTIF('E2 — Triagem'!$E306:$L306,"🔄 Em andamento")&gt;0,"Em andamento","Não iniciado"))))))))</f>
        <v/>
      </c>
      <c r="G324" s="229" t="str">
        <f>IF($B324="","",IF($F324&lt;&gt;"Concluído","Não iniciado",IF(COUNTIF(Lançamentos!$B$3:$B$1001,$B324)=0,"Bloqueado",IF('E3 — Levantamento'!$D306="","Bloqueado",IF(COUNTIF('E3 — Levantamento'!$E306:$I306,"⛔ Bloqueado")&gt;0,"Bloqueado",IF('E3 — Levantamento'!$I306="N/A","Bloqueado",IF(COUNTIF('E3 — Levantamento'!$E306:$I306,"✔ Concluído")=5,"Concluído",IF(COUNTIF('E3 — Levantamento'!$E306:$I306,"✔ Concluído")+COUNTIF('E3 — Levantamento'!$E306:$I306,"🔄 Em andamento")&gt;0,"Em andamento","Não iniciado"))))))))</f>
        <v/>
      </c>
      <c r="H324" s="229" t="str">
        <f>IF($B324="","",IF($G324&lt;&gt;"Concluído","Não iniciado",IF(COUNTIF(Lançamentos!$B$3:$B$1001,$B324)=0,"Bloqueado",IF('E4 — Execução'!$D306="","Bloqueado",IF(COUNTIF('E4 — Execução'!$E306:$K306,"⛔ Bloqueado")&gt;0,"Bloqueado",IF(COUNTIF('E4 — Execução'!$E306:$K306,"✔ Concluído")=7,"Concluído",IF(COUNTIF('E4 — Execução'!$E306:$K306,"✔ Concluído")+COUNTIF('E4 — Execução'!$E306:$K306,"🔄 Em andamento")&gt;0,"Em andamento","Não iniciado")))))))</f>
        <v/>
      </c>
      <c r="I324" s="229" t="str">
        <f>IF($B324="","",IF($H324&lt;&gt;"Concluído","Não iniciado",IF(COUNTIF(Lançamentos!$B$3:$B$1001,$B324)=0,"Bloqueado",IF('E5 — Validação'!$D306="","Bloqueado",IF(COUNTIF('E5 — Validação'!$E306:$I306,"⛔ Bloqueado")&gt;0,"Bloqueado",IF('E5 — Validação'!$I306="N/A","Bloqueado",IF(AND('E5 — Validação'!$E306="✔ Concluído",'E5 — Validação'!$F306="✔ Concluído",OR('E5 — Validação'!$G306="✔ Concluído",'E5 — Validação'!$G306="N/A"),'E5 — Validação'!$H306="✔ Concluído",'E5 — Validação'!$I306="✔ Concluído"),"Concluído",IF(COUNTIF('E5 — Validação'!$E306:$I306,"✔ Concluído")+COUNTIF('E5 — Validação'!$E306:$I306,"🔄 Em andamento")&gt;0,"Em andamento","Não iniciado"))))))))</f>
        <v/>
      </c>
      <c r="J324" s="229" t="str">
        <f>IF($B324="","",IF($I324&lt;&gt;"Concluído","Não iniciado",IF('E6 — Ajustes'!$N306="Não","N/A",IF(COUNTIF(Lançamentos!$B$3:$B$1001,$B324)=0,"Bloqueado",IF('E6 — Ajustes'!$D306="","Bloqueado",IF(COUNTIF('E6 — Ajustes'!$E306:$J306,"⛔ Bloqueado")&gt;0,"Bloqueado",IF(AND('E6 — Ajustes'!$E306="✔ Concluído",'E6 — Ajustes'!$F306="✔ Concluído",'E6 — Ajustes'!$G306="✔ Concluído",'E6 — Ajustes'!$H306="✔ Concluído",OR('E6 — Ajustes'!$I306="✔ Concluído",'E6 — Ajustes'!$I306="N/A"),'E6 — Ajustes'!$J306="✔ Concluído"),"Concluído",IF(COUNTIF('E6 — Ajustes'!$E306:$J306,"✔ Concluído")+COUNTIF('E6 — Ajustes'!$E306:$J306,"🔄 Em andamento")&gt;0,"Em andamento","Não iniciado"))))))))</f>
        <v/>
      </c>
      <c r="K324" s="229" t="str">
        <f>IF($B324="","",IF($I324&lt;&gt;"Concluído","Não iniciado",IF(AND($J324&lt;&gt;"Concluído",$J324&lt;&gt;"N/A"),"Não iniciado",IF(COUNTIF(Lançamentos!$B$3:$B$1001,$B324)=0,"Bloqueado",IF('E7 — Entrega'!$D306="","Bloqueado",IF(COUNTIF('E7 — Entrega'!$E306:$H306,"⛔ Bloqueado")&gt;0,"Bloqueado",IF(COUNTIF('E7 — Entrega'!$E306:$H306,"✔ Concluído")=4,"Concluído",IF(COUNTIF('E7 — Entrega'!$E306:$H306,"✔ Concluído")+COUNTIF('E7 — Entrega'!$E306:$H306,"🔄 Em andamento")&gt;0,"Em andamento","Não iniciado"))))))))</f>
        <v/>
      </c>
      <c r="L324" s="229" t="str">
        <f>IF($B324="","",IF($K324&lt;&gt;"Concluído","Não iniciado",IF(OR(COUNTIF('E08 — Estabilização Hypercare'!$E306:$J306,"⛔ Bloqueado")&gt;0,'E08 — Estabilização Hypercare'!$N306="⛔ Incidente Crítico — Encerramento Bloqueado",AND('E08 — Estabilização Hypercare'!$N306="🆕 Evolução Identificada — Nova Demanda Aberta",'E08 — Estabilização Hypercare'!$U306="")),"Bloqueado",IF(AND('E08 — Estabilização Hypercare'!$E306="✔ Concluído",'E08 — Estabilização Hypercare'!$F306="✔ Concluído",'E08 — Estabilização Hypercare'!$G306="✔ Concluído",OR('E08 — Estabilização Hypercare'!$H306="✔ Concluído",'E08 — Estabilização Hypercare'!$H306="N/A"),'E08 — Estabilização Hypercare'!$I306="✔ Concluído",'E08 — Estabilização Hypercare'!$J306="✔ Concluído",OR('E08 — Estabilização Hypercare'!$N306="✅ Estável — Demanda Encerrada",AND('E08 — Estabilização Hypercare'!$N306="🆕 Evolução Identificada — Nova Demanda Aberta",'E08 — Estabilização Hypercare'!$U306&lt;&gt;""))),"Concluído",IF(OR(COUNTIF('E08 — Estabilização Hypercare'!$E306:$J306,"✔ Concluído")&gt;0,COUNTIF('E08 — Estabilização Hypercare'!$E306:$J306,"🔄 Em andamento")&gt;0,'E08 — Estabilização Hypercare'!$N306&lt;&gt;""),"Em andamento","Não iniciado")))))</f>
        <v/>
      </c>
      <c r="M324" s="232" t="str" cm="1">
        <f t="array" ref="M324">IF(B324="","",_xlfn.IFS(E324&lt;&gt;"Concluído","E1 — Solicitação",F324&lt;&gt;"Concluído","E2 — Triagem",G324&lt;&gt;"Concluído","E3 — Levantamento ⚠",H324&lt;&gt;"Concluído","E4 — Execução",I324&lt;&gt;"Concluído","E5 — Validação ⚠",AND(J324&lt;&gt;"Concluído",J324&lt;&gt;"N/A"),"E6 — Ajustes",K324&lt;&gt;"Concluído","E7 — Entrega",L324&lt;&gt;"Concluído","E08 — Estabilização / Hypercare",TRUE,"✔ Fluxo concluído"))</f>
        <v/>
      </c>
      <c r="N324" s="233" t="str">
        <f t="shared" si="5"/>
        <v/>
      </c>
      <c r="O324" s="230"/>
    </row>
    <row r="325" spans="2:15" x14ac:dyDescent="0.35">
      <c r="B325" s="229" t="str">
        <f>IF(Lançamentos!$B302="","",Lançamentos!$B302)</f>
        <v/>
      </c>
      <c r="C325" s="231" t="str">
        <f>IF($B325="","",Lançamentos!$J302)</f>
        <v/>
      </c>
      <c r="D325" s="231" t="str">
        <f>IF($B325="","",Lançamentos!$H302)</f>
        <v/>
      </c>
      <c r="E325" s="229" t="str">
        <f>IF($B325="","",IF(COUNTIF(Lançamentos!$B$3:$B$1001,$B325)=0,"Bloqueado",IF(COUNTIF('E1 — Solicitação'!$E307:$L307,"⛔ Bloqueado")&gt;0,"Bloqueado",IF(COUNTIF('E1 — Solicitação'!$E307:$L307,"N/A")=8,"Bloqueado",IF(COUNTIF('E1 — Solicitação'!$E307:$L307,"✔ Concluído")+COUNTIF('E1 — Solicitação'!$E307:$L307,"N/A")=8,"Concluído",IF(COUNTIF('E1 — Solicitação'!$E307:$L307,"✔ Concluído")+COUNTIF('E1 — Solicitação'!$E307:$L307,"🔄 Em andamento")&gt;0,"Em andamento","Não iniciado"))))))</f>
        <v/>
      </c>
      <c r="F325" s="229" t="str">
        <f>IF($B325="","",IF($E325&lt;&gt;"Concluído","Não iniciado",IF(COUNTIF(Lançamentos!$B$3:$B$1001,$B325)=0,"Bloqueado",IF('E2 — Triagem'!$D307="","Bloqueado",IF(COUNTIF('E2 — Triagem'!$E307:$L307,"N/A")=8,"Bloqueado",IF(COUNTIF('E2 — Triagem'!$E307:$L307,"⛔ Bloqueado")&gt;0,"Bloqueado",IF(COUNTIF('E2 — Triagem'!$E307:$L307,"✔ Concluído")+COUNTIF('E2 — Triagem'!$E307:$L307,"N/A")=8,"Concluído",IF(COUNTIF('E2 — Triagem'!$E307:$L307,"✔ Concluído")+COUNTIF('E2 — Triagem'!$E307:$L307,"🔄 Em andamento")&gt;0,"Em andamento","Não iniciado"))))))))</f>
        <v/>
      </c>
      <c r="G325" s="229" t="str">
        <f>IF($B325="","",IF($F325&lt;&gt;"Concluído","Não iniciado",IF(COUNTIF(Lançamentos!$B$3:$B$1001,$B325)=0,"Bloqueado",IF('E3 — Levantamento'!$D307="","Bloqueado",IF(COUNTIF('E3 — Levantamento'!$E307:$I307,"⛔ Bloqueado")&gt;0,"Bloqueado",IF('E3 — Levantamento'!$I307="N/A","Bloqueado",IF(COUNTIF('E3 — Levantamento'!$E307:$I307,"✔ Concluído")=5,"Concluído",IF(COUNTIF('E3 — Levantamento'!$E307:$I307,"✔ Concluído")+COUNTIF('E3 — Levantamento'!$E307:$I307,"🔄 Em andamento")&gt;0,"Em andamento","Não iniciado"))))))))</f>
        <v/>
      </c>
      <c r="H325" s="229" t="str">
        <f>IF($B325="","",IF($G325&lt;&gt;"Concluído","Não iniciado",IF(COUNTIF(Lançamentos!$B$3:$B$1001,$B325)=0,"Bloqueado",IF('E4 — Execução'!$D307="","Bloqueado",IF(COUNTIF('E4 — Execução'!$E307:$K307,"⛔ Bloqueado")&gt;0,"Bloqueado",IF(COUNTIF('E4 — Execução'!$E307:$K307,"✔ Concluído")=7,"Concluído",IF(COUNTIF('E4 — Execução'!$E307:$K307,"✔ Concluído")+COUNTIF('E4 — Execução'!$E307:$K307,"🔄 Em andamento")&gt;0,"Em andamento","Não iniciado")))))))</f>
        <v/>
      </c>
      <c r="I325" s="229" t="str">
        <f>IF($B325="","",IF($H325&lt;&gt;"Concluído","Não iniciado",IF(COUNTIF(Lançamentos!$B$3:$B$1001,$B325)=0,"Bloqueado",IF('E5 — Validação'!$D307="","Bloqueado",IF(COUNTIF('E5 — Validação'!$E307:$I307,"⛔ Bloqueado")&gt;0,"Bloqueado",IF('E5 — Validação'!$I307="N/A","Bloqueado",IF(AND('E5 — Validação'!$E307="✔ Concluído",'E5 — Validação'!$F307="✔ Concluído",OR('E5 — Validação'!$G307="✔ Concluído",'E5 — Validação'!$G307="N/A"),'E5 — Validação'!$H307="✔ Concluído",'E5 — Validação'!$I307="✔ Concluído"),"Concluído",IF(COUNTIF('E5 — Validação'!$E307:$I307,"✔ Concluído")+COUNTIF('E5 — Validação'!$E307:$I307,"🔄 Em andamento")&gt;0,"Em andamento","Não iniciado"))))))))</f>
        <v/>
      </c>
      <c r="J325" s="229" t="str">
        <f>IF($B325="","",IF($I325&lt;&gt;"Concluído","Não iniciado",IF('E6 — Ajustes'!$N307="Não","N/A",IF(COUNTIF(Lançamentos!$B$3:$B$1001,$B325)=0,"Bloqueado",IF('E6 — Ajustes'!$D307="","Bloqueado",IF(COUNTIF('E6 — Ajustes'!$E307:$J307,"⛔ Bloqueado")&gt;0,"Bloqueado",IF(AND('E6 — Ajustes'!$E307="✔ Concluído",'E6 — Ajustes'!$F307="✔ Concluído",'E6 — Ajustes'!$G307="✔ Concluído",'E6 — Ajustes'!$H307="✔ Concluído",OR('E6 — Ajustes'!$I307="✔ Concluído",'E6 — Ajustes'!$I307="N/A"),'E6 — Ajustes'!$J307="✔ Concluído"),"Concluído",IF(COUNTIF('E6 — Ajustes'!$E307:$J307,"✔ Concluído")+COUNTIF('E6 — Ajustes'!$E307:$J307,"🔄 Em andamento")&gt;0,"Em andamento","Não iniciado"))))))))</f>
        <v/>
      </c>
      <c r="K325" s="229" t="str">
        <f>IF($B325="","",IF($I325&lt;&gt;"Concluído","Não iniciado",IF(AND($J325&lt;&gt;"Concluído",$J325&lt;&gt;"N/A"),"Não iniciado",IF(COUNTIF(Lançamentos!$B$3:$B$1001,$B325)=0,"Bloqueado",IF('E7 — Entrega'!$D307="","Bloqueado",IF(COUNTIF('E7 — Entrega'!$E307:$H307,"⛔ Bloqueado")&gt;0,"Bloqueado",IF(COUNTIF('E7 — Entrega'!$E307:$H307,"✔ Concluído")=4,"Concluído",IF(COUNTIF('E7 — Entrega'!$E307:$H307,"✔ Concluído")+COUNTIF('E7 — Entrega'!$E307:$H307,"🔄 Em andamento")&gt;0,"Em andamento","Não iniciado"))))))))</f>
        <v/>
      </c>
      <c r="L325" s="229" t="str">
        <f>IF($B325="","",IF($K325&lt;&gt;"Concluído","Não iniciado",IF(OR(COUNTIF('E08 — Estabilização Hypercare'!$E307:$J307,"⛔ Bloqueado")&gt;0,'E08 — Estabilização Hypercare'!$N307="⛔ Incidente Crítico — Encerramento Bloqueado",AND('E08 — Estabilização Hypercare'!$N307="🆕 Evolução Identificada — Nova Demanda Aberta",'E08 — Estabilização Hypercare'!$U307="")),"Bloqueado",IF(AND('E08 — Estabilização Hypercare'!$E307="✔ Concluído",'E08 — Estabilização Hypercare'!$F307="✔ Concluído",'E08 — Estabilização Hypercare'!$G307="✔ Concluído",OR('E08 — Estabilização Hypercare'!$H307="✔ Concluído",'E08 — Estabilização Hypercare'!$H307="N/A"),'E08 — Estabilização Hypercare'!$I307="✔ Concluído",'E08 — Estabilização Hypercare'!$J307="✔ Concluído",OR('E08 — Estabilização Hypercare'!$N307="✅ Estável — Demanda Encerrada",AND('E08 — Estabilização Hypercare'!$N307="🆕 Evolução Identificada — Nova Demanda Aberta",'E08 — Estabilização Hypercare'!$U307&lt;&gt;""))),"Concluído",IF(OR(COUNTIF('E08 — Estabilização Hypercare'!$E307:$J307,"✔ Concluído")&gt;0,COUNTIF('E08 — Estabilização Hypercare'!$E307:$J307,"🔄 Em andamento")&gt;0,'E08 — Estabilização Hypercare'!$N307&lt;&gt;""),"Em andamento","Não iniciado")))))</f>
        <v/>
      </c>
      <c r="M325" s="232" t="str" cm="1">
        <f t="array" ref="M325">IF(B325="","",_xlfn.IFS(E325&lt;&gt;"Concluído","E1 — Solicitação",F325&lt;&gt;"Concluído","E2 — Triagem",G325&lt;&gt;"Concluído","E3 — Levantamento ⚠",H325&lt;&gt;"Concluído","E4 — Execução",I325&lt;&gt;"Concluído","E5 — Validação ⚠",AND(J325&lt;&gt;"Concluído",J325&lt;&gt;"N/A"),"E6 — Ajustes",K325&lt;&gt;"Concluído","E7 — Entrega",L325&lt;&gt;"Concluído","E08 — Estabilização / Hypercare",TRUE,"✔ Fluxo concluído"))</f>
        <v/>
      </c>
      <c r="N325" s="233" t="str">
        <f t="shared" si="5"/>
        <v/>
      </c>
      <c r="O325" s="230"/>
    </row>
    <row r="326" spans="2:15" x14ac:dyDescent="0.35">
      <c r="B326" s="229" t="str">
        <f>IF(Lançamentos!$B303="","",Lançamentos!$B303)</f>
        <v/>
      </c>
      <c r="C326" s="231" t="str">
        <f>IF($B326="","",Lançamentos!$J303)</f>
        <v/>
      </c>
      <c r="D326" s="231" t="str">
        <f>IF($B326="","",Lançamentos!$H303)</f>
        <v/>
      </c>
      <c r="E326" s="229" t="str">
        <f>IF($B326="","",IF(COUNTIF(Lançamentos!$B$3:$B$1001,$B326)=0,"Bloqueado",IF(COUNTIF('E1 — Solicitação'!$E308:$L308,"⛔ Bloqueado")&gt;0,"Bloqueado",IF(COUNTIF('E1 — Solicitação'!$E308:$L308,"N/A")=8,"Bloqueado",IF(COUNTIF('E1 — Solicitação'!$E308:$L308,"✔ Concluído")+COUNTIF('E1 — Solicitação'!$E308:$L308,"N/A")=8,"Concluído",IF(COUNTIF('E1 — Solicitação'!$E308:$L308,"✔ Concluído")+COUNTIF('E1 — Solicitação'!$E308:$L308,"🔄 Em andamento")&gt;0,"Em andamento","Não iniciado"))))))</f>
        <v/>
      </c>
      <c r="F326" s="229" t="str">
        <f>IF($B326="","",IF($E326&lt;&gt;"Concluído","Não iniciado",IF(COUNTIF(Lançamentos!$B$3:$B$1001,$B326)=0,"Bloqueado",IF('E2 — Triagem'!$D308="","Bloqueado",IF(COUNTIF('E2 — Triagem'!$E308:$L308,"N/A")=8,"Bloqueado",IF(COUNTIF('E2 — Triagem'!$E308:$L308,"⛔ Bloqueado")&gt;0,"Bloqueado",IF(COUNTIF('E2 — Triagem'!$E308:$L308,"✔ Concluído")+COUNTIF('E2 — Triagem'!$E308:$L308,"N/A")=8,"Concluído",IF(COUNTIF('E2 — Triagem'!$E308:$L308,"✔ Concluído")+COUNTIF('E2 — Triagem'!$E308:$L308,"🔄 Em andamento")&gt;0,"Em andamento","Não iniciado"))))))))</f>
        <v/>
      </c>
      <c r="G326" s="229" t="str">
        <f>IF($B326="","",IF($F326&lt;&gt;"Concluído","Não iniciado",IF(COUNTIF(Lançamentos!$B$3:$B$1001,$B326)=0,"Bloqueado",IF('E3 — Levantamento'!$D308="","Bloqueado",IF(COUNTIF('E3 — Levantamento'!$E308:$I308,"⛔ Bloqueado")&gt;0,"Bloqueado",IF('E3 — Levantamento'!$I308="N/A","Bloqueado",IF(COUNTIF('E3 — Levantamento'!$E308:$I308,"✔ Concluído")=5,"Concluído",IF(COUNTIF('E3 — Levantamento'!$E308:$I308,"✔ Concluído")+COUNTIF('E3 — Levantamento'!$E308:$I308,"🔄 Em andamento")&gt;0,"Em andamento","Não iniciado"))))))))</f>
        <v/>
      </c>
      <c r="H326" s="229" t="str">
        <f>IF($B326="","",IF($G326&lt;&gt;"Concluído","Não iniciado",IF(COUNTIF(Lançamentos!$B$3:$B$1001,$B326)=0,"Bloqueado",IF('E4 — Execução'!$D308="","Bloqueado",IF(COUNTIF('E4 — Execução'!$E308:$K308,"⛔ Bloqueado")&gt;0,"Bloqueado",IF(COUNTIF('E4 — Execução'!$E308:$K308,"✔ Concluído")=7,"Concluído",IF(COUNTIF('E4 — Execução'!$E308:$K308,"✔ Concluído")+COUNTIF('E4 — Execução'!$E308:$K308,"🔄 Em andamento")&gt;0,"Em andamento","Não iniciado")))))))</f>
        <v/>
      </c>
      <c r="I326" s="229" t="str">
        <f>IF($B326="","",IF($H326&lt;&gt;"Concluído","Não iniciado",IF(COUNTIF(Lançamentos!$B$3:$B$1001,$B326)=0,"Bloqueado",IF('E5 — Validação'!$D308="","Bloqueado",IF(COUNTIF('E5 — Validação'!$E308:$I308,"⛔ Bloqueado")&gt;0,"Bloqueado",IF('E5 — Validação'!$I308="N/A","Bloqueado",IF(AND('E5 — Validação'!$E308="✔ Concluído",'E5 — Validação'!$F308="✔ Concluído",OR('E5 — Validação'!$G308="✔ Concluído",'E5 — Validação'!$G308="N/A"),'E5 — Validação'!$H308="✔ Concluído",'E5 — Validação'!$I308="✔ Concluído"),"Concluído",IF(COUNTIF('E5 — Validação'!$E308:$I308,"✔ Concluído")+COUNTIF('E5 — Validação'!$E308:$I308,"🔄 Em andamento")&gt;0,"Em andamento","Não iniciado"))))))))</f>
        <v/>
      </c>
      <c r="J326" s="229" t="str">
        <f>IF($B326="","",IF($I326&lt;&gt;"Concluído","Não iniciado",IF('E6 — Ajustes'!$N308="Não","N/A",IF(COUNTIF(Lançamentos!$B$3:$B$1001,$B326)=0,"Bloqueado",IF('E6 — Ajustes'!$D308="","Bloqueado",IF(COUNTIF('E6 — Ajustes'!$E308:$J308,"⛔ Bloqueado")&gt;0,"Bloqueado",IF(AND('E6 — Ajustes'!$E308="✔ Concluído",'E6 — Ajustes'!$F308="✔ Concluído",'E6 — Ajustes'!$G308="✔ Concluído",'E6 — Ajustes'!$H308="✔ Concluído",OR('E6 — Ajustes'!$I308="✔ Concluído",'E6 — Ajustes'!$I308="N/A"),'E6 — Ajustes'!$J308="✔ Concluído"),"Concluído",IF(COUNTIF('E6 — Ajustes'!$E308:$J308,"✔ Concluído")+COUNTIF('E6 — Ajustes'!$E308:$J308,"🔄 Em andamento")&gt;0,"Em andamento","Não iniciado"))))))))</f>
        <v/>
      </c>
      <c r="K326" s="229" t="str">
        <f>IF($B326="","",IF($I326&lt;&gt;"Concluído","Não iniciado",IF(AND($J326&lt;&gt;"Concluído",$J326&lt;&gt;"N/A"),"Não iniciado",IF(COUNTIF(Lançamentos!$B$3:$B$1001,$B326)=0,"Bloqueado",IF('E7 — Entrega'!$D308="","Bloqueado",IF(COUNTIF('E7 — Entrega'!$E308:$H308,"⛔ Bloqueado")&gt;0,"Bloqueado",IF(COUNTIF('E7 — Entrega'!$E308:$H308,"✔ Concluído")=4,"Concluído",IF(COUNTIF('E7 — Entrega'!$E308:$H308,"✔ Concluído")+COUNTIF('E7 — Entrega'!$E308:$H308,"🔄 Em andamento")&gt;0,"Em andamento","Não iniciado"))))))))</f>
        <v/>
      </c>
      <c r="L326" s="229" t="str">
        <f>IF($B326="","",IF($K326&lt;&gt;"Concluído","Não iniciado",IF(OR(COUNTIF('E08 — Estabilização Hypercare'!$E308:$J308,"⛔ Bloqueado")&gt;0,'E08 — Estabilização Hypercare'!$N308="⛔ Incidente Crítico — Encerramento Bloqueado",AND('E08 — Estabilização Hypercare'!$N308="🆕 Evolução Identificada — Nova Demanda Aberta",'E08 — Estabilização Hypercare'!$U308="")),"Bloqueado",IF(AND('E08 — Estabilização Hypercare'!$E308="✔ Concluído",'E08 — Estabilização Hypercare'!$F308="✔ Concluído",'E08 — Estabilização Hypercare'!$G308="✔ Concluído",OR('E08 — Estabilização Hypercare'!$H308="✔ Concluído",'E08 — Estabilização Hypercare'!$H308="N/A"),'E08 — Estabilização Hypercare'!$I308="✔ Concluído",'E08 — Estabilização Hypercare'!$J308="✔ Concluído",OR('E08 — Estabilização Hypercare'!$N308="✅ Estável — Demanda Encerrada",AND('E08 — Estabilização Hypercare'!$N308="🆕 Evolução Identificada — Nova Demanda Aberta",'E08 — Estabilização Hypercare'!$U308&lt;&gt;""))),"Concluído",IF(OR(COUNTIF('E08 — Estabilização Hypercare'!$E308:$J308,"✔ Concluído")&gt;0,COUNTIF('E08 — Estabilização Hypercare'!$E308:$J308,"🔄 Em andamento")&gt;0,'E08 — Estabilização Hypercare'!$N308&lt;&gt;""),"Em andamento","Não iniciado")))))</f>
        <v/>
      </c>
      <c r="M326" s="232" t="str" cm="1">
        <f t="array" ref="M326">IF(B326="","",_xlfn.IFS(E326&lt;&gt;"Concluído","E1 — Solicitação",F326&lt;&gt;"Concluído","E2 — Triagem",G326&lt;&gt;"Concluído","E3 — Levantamento ⚠",H326&lt;&gt;"Concluído","E4 — Execução",I326&lt;&gt;"Concluído","E5 — Validação ⚠",AND(J326&lt;&gt;"Concluído",J326&lt;&gt;"N/A"),"E6 — Ajustes",K326&lt;&gt;"Concluído","E7 — Entrega",L326&lt;&gt;"Concluído","E08 — Estabilização / Hypercare",TRUE,"✔ Fluxo concluído"))</f>
        <v/>
      </c>
      <c r="N326" s="233" t="str">
        <f t="shared" si="5"/>
        <v/>
      </c>
      <c r="O326" s="230"/>
    </row>
    <row r="327" spans="2:15" x14ac:dyDescent="0.35">
      <c r="B327" s="229" t="str">
        <f>IF(Lançamentos!$B304="","",Lançamentos!$B304)</f>
        <v/>
      </c>
      <c r="C327" s="231" t="str">
        <f>IF($B327="","",Lançamentos!$J304)</f>
        <v/>
      </c>
      <c r="D327" s="231" t="str">
        <f>IF($B327="","",Lançamentos!$H304)</f>
        <v/>
      </c>
      <c r="E327" s="229" t="str">
        <f>IF($B327="","",IF(COUNTIF(Lançamentos!$B$3:$B$1001,$B327)=0,"Bloqueado",IF(COUNTIF('E1 — Solicitação'!$E309:$L309,"⛔ Bloqueado")&gt;0,"Bloqueado",IF(COUNTIF('E1 — Solicitação'!$E309:$L309,"N/A")=8,"Bloqueado",IF(COUNTIF('E1 — Solicitação'!$E309:$L309,"✔ Concluído")+COUNTIF('E1 — Solicitação'!$E309:$L309,"N/A")=8,"Concluído",IF(COUNTIF('E1 — Solicitação'!$E309:$L309,"✔ Concluído")+COUNTIF('E1 — Solicitação'!$E309:$L309,"🔄 Em andamento")&gt;0,"Em andamento","Não iniciado"))))))</f>
        <v/>
      </c>
      <c r="F327" s="229" t="str">
        <f>IF($B327="","",IF($E327&lt;&gt;"Concluído","Não iniciado",IF(COUNTIF(Lançamentos!$B$3:$B$1001,$B327)=0,"Bloqueado",IF('E2 — Triagem'!$D309="","Bloqueado",IF(COUNTIF('E2 — Triagem'!$E309:$L309,"N/A")=8,"Bloqueado",IF(COUNTIF('E2 — Triagem'!$E309:$L309,"⛔ Bloqueado")&gt;0,"Bloqueado",IF(COUNTIF('E2 — Triagem'!$E309:$L309,"✔ Concluído")+COUNTIF('E2 — Triagem'!$E309:$L309,"N/A")=8,"Concluído",IF(COUNTIF('E2 — Triagem'!$E309:$L309,"✔ Concluído")+COUNTIF('E2 — Triagem'!$E309:$L309,"🔄 Em andamento")&gt;0,"Em andamento","Não iniciado"))))))))</f>
        <v/>
      </c>
      <c r="G327" s="229" t="str">
        <f>IF($B327="","",IF($F327&lt;&gt;"Concluído","Não iniciado",IF(COUNTIF(Lançamentos!$B$3:$B$1001,$B327)=0,"Bloqueado",IF('E3 — Levantamento'!$D309="","Bloqueado",IF(COUNTIF('E3 — Levantamento'!$E309:$I309,"⛔ Bloqueado")&gt;0,"Bloqueado",IF('E3 — Levantamento'!$I309="N/A","Bloqueado",IF(COUNTIF('E3 — Levantamento'!$E309:$I309,"✔ Concluído")=5,"Concluído",IF(COUNTIF('E3 — Levantamento'!$E309:$I309,"✔ Concluído")+COUNTIF('E3 — Levantamento'!$E309:$I309,"🔄 Em andamento")&gt;0,"Em andamento","Não iniciado"))))))))</f>
        <v/>
      </c>
      <c r="H327" s="229" t="str">
        <f>IF($B327="","",IF($G327&lt;&gt;"Concluído","Não iniciado",IF(COUNTIF(Lançamentos!$B$3:$B$1001,$B327)=0,"Bloqueado",IF('E4 — Execução'!$D309="","Bloqueado",IF(COUNTIF('E4 — Execução'!$E309:$K309,"⛔ Bloqueado")&gt;0,"Bloqueado",IF(COUNTIF('E4 — Execução'!$E309:$K309,"✔ Concluído")=7,"Concluído",IF(COUNTIF('E4 — Execução'!$E309:$K309,"✔ Concluído")+COUNTIF('E4 — Execução'!$E309:$K309,"🔄 Em andamento")&gt;0,"Em andamento","Não iniciado")))))))</f>
        <v/>
      </c>
      <c r="I327" s="229" t="str">
        <f>IF($B327="","",IF($H327&lt;&gt;"Concluído","Não iniciado",IF(COUNTIF(Lançamentos!$B$3:$B$1001,$B327)=0,"Bloqueado",IF('E5 — Validação'!$D309="","Bloqueado",IF(COUNTIF('E5 — Validação'!$E309:$I309,"⛔ Bloqueado")&gt;0,"Bloqueado",IF('E5 — Validação'!$I309="N/A","Bloqueado",IF(AND('E5 — Validação'!$E309="✔ Concluído",'E5 — Validação'!$F309="✔ Concluído",OR('E5 — Validação'!$G309="✔ Concluído",'E5 — Validação'!$G309="N/A"),'E5 — Validação'!$H309="✔ Concluído",'E5 — Validação'!$I309="✔ Concluído"),"Concluído",IF(COUNTIF('E5 — Validação'!$E309:$I309,"✔ Concluído")+COUNTIF('E5 — Validação'!$E309:$I309,"🔄 Em andamento")&gt;0,"Em andamento","Não iniciado"))))))))</f>
        <v/>
      </c>
      <c r="J327" s="229" t="str">
        <f>IF($B327="","",IF($I327&lt;&gt;"Concluído","Não iniciado",IF('E6 — Ajustes'!$N309="Não","N/A",IF(COUNTIF(Lançamentos!$B$3:$B$1001,$B327)=0,"Bloqueado",IF('E6 — Ajustes'!$D309="","Bloqueado",IF(COUNTIF('E6 — Ajustes'!$E309:$J309,"⛔ Bloqueado")&gt;0,"Bloqueado",IF(AND('E6 — Ajustes'!$E309="✔ Concluído",'E6 — Ajustes'!$F309="✔ Concluído",'E6 — Ajustes'!$G309="✔ Concluído",'E6 — Ajustes'!$H309="✔ Concluído",OR('E6 — Ajustes'!$I309="✔ Concluído",'E6 — Ajustes'!$I309="N/A"),'E6 — Ajustes'!$J309="✔ Concluído"),"Concluído",IF(COUNTIF('E6 — Ajustes'!$E309:$J309,"✔ Concluído")+COUNTIF('E6 — Ajustes'!$E309:$J309,"🔄 Em andamento")&gt;0,"Em andamento","Não iniciado"))))))))</f>
        <v/>
      </c>
      <c r="K327" s="229" t="str">
        <f>IF($B327="","",IF($I327&lt;&gt;"Concluído","Não iniciado",IF(AND($J327&lt;&gt;"Concluído",$J327&lt;&gt;"N/A"),"Não iniciado",IF(COUNTIF(Lançamentos!$B$3:$B$1001,$B327)=0,"Bloqueado",IF('E7 — Entrega'!$D309="","Bloqueado",IF(COUNTIF('E7 — Entrega'!$E309:$H309,"⛔ Bloqueado")&gt;0,"Bloqueado",IF(COUNTIF('E7 — Entrega'!$E309:$H309,"✔ Concluído")=4,"Concluído",IF(COUNTIF('E7 — Entrega'!$E309:$H309,"✔ Concluído")+COUNTIF('E7 — Entrega'!$E309:$H309,"🔄 Em andamento")&gt;0,"Em andamento","Não iniciado"))))))))</f>
        <v/>
      </c>
      <c r="L327" s="229" t="str">
        <f>IF($B327="","",IF($K327&lt;&gt;"Concluído","Não iniciado",IF(OR(COUNTIF('E08 — Estabilização Hypercare'!$E309:$J309,"⛔ Bloqueado")&gt;0,'E08 — Estabilização Hypercare'!$N309="⛔ Incidente Crítico — Encerramento Bloqueado",AND('E08 — Estabilização Hypercare'!$N309="🆕 Evolução Identificada — Nova Demanda Aberta",'E08 — Estabilização Hypercare'!$U309="")),"Bloqueado",IF(AND('E08 — Estabilização Hypercare'!$E309="✔ Concluído",'E08 — Estabilização Hypercare'!$F309="✔ Concluído",'E08 — Estabilização Hypercare'!$G309="✔ Concluído",OR('E08 — Estabilização Hypercare'!$H309="✔ Concluído",'E08 — Estabilização Hypercare'!$H309="N/A"),'E08 — Estabilização Hypercare'!$I309="✔ Concluído",'E08 — Estabilização Hypercare'!$J309="✔ Concluído",OR('E08 — Estabilização Hypercare'!$N309="✅ Estável — Demanda Encerrada",AND('E08 — Estabilização Hypercare'!$N309="🆕 Evolução Identificada — Nova Demanda Aberta",'E08 — Estabilização Hypercare'!$U309&lt;&gt;""))),"Concluído",IF(OR(COUNTIF('E08 — Estabilização Hypercare'!$E309:$J309,"✔ Concluído")&gt;0,COUNTIF('E08 — Estabilização Hypercare'!$E309:$J309,"🔄 Em andamento")&gt;0,'E08 — Estabilização Hypercare'!$N309&lt;&gt;""),"Em andamento","Não iniciado")))))</f>
        <v/>
      </c>
      <c r="M327" s="232" t="str" cm="1">
        <f t="array" ref="M327">IF(B327="","",_xlfn.IFS(E327&lt;&gt;"Concluído","E1 — Solicitação",F327&lt;&gt;"Concluído","E2 — Triagem",G327&lt;&gt;"Concluído","E3 — Levantamento ⚠",H327&lt;&gt;"Concluído","E4 — Execução",I327&lt;&gt;"Concluído","E5 — Validação ⚠",AND(J327&lt;&gt;"Concluído",J327&lt;&gt;"N/A"),"E6 — Ajustes",K327&lt;&gt;"Concluído","E7 — Entrega",L327&lt;&gt;"Concluído","E08 — Estabilização / Hypercare",TRUE,"✔ Fluxo concluído"))</f>
        <v/>
      </c>
      <c r="N327" s="233" t="str">
        <f t="shared" si="5"/>
        <v/>
      </c>
      <c r="O327" s="230"/>
    </row>
    <row r="328" spans="2:15" x14ac:dyDescent="0.35">
      <c r="B328" s="229" t="str">
        <f>IF(Lançamentos!$B305="","",Lançamentos!$B305)</f>
        <v/>
      </c>
      <c r="C328" s="231" t="str">
        <f>IF($B328="","",Lançamentos!$J305)</f>
        <v/>
      </c>
      <c r="D328" s="231" t="str">
        <f>IF($B328="","",Lançamentos!$H305)</f>
        <v/>
      </c>
      <c r="E328" s="229" t="str">
        <f>IF($B328="","",IF(COUNTIF(Lançamentos!$B$3:$B$1001,$B328)=0,"Bloqueado",IF(COUNTIF('E1 — Solicitação'!$E310:$L310,"⛔ Bloqueado")&gt;0,"Bloqueado",IF(COUNTIF('E1 — Solicitação'!$E310:$L310,"N/A")=8,"Bloqueado",IF(COUNTIF('E1 — Solicitação'!$E310:$L310,"✔ Concluído")+COUNTIF('E1 — Solicitação'!$E310:$L310,"N/A")=8,"Concluído",IF(COUNTIF('E1 — Solicitação'!$E310:$L310,"✔ Concluído")+COUNTIF('E1 — Solicitação'!$E310:$L310,"🔄 Em andamento")&gt;0,"Em andamento","Não iniciado"))))))</f>
        <v/>
      </c>
      <c r="F328" s="229" t="str">
        <f>IF($B328="","",IF($E328&lt;&gt;"Concluído","Não iniciado",IF(COUNTIF(Lançamentos!$B$3:$B$1001,$B328)=0,"Bloqueado",IF('E2 — Triagem'!$D310="","Bloqueado",IF(COUNTIF('E2 — Triagem'!$E310:$L310,"N/A")=8,"Bloqueado",IF(COUNTIF('E2 — Triagem'!$E310:$L310,"⛔ Bloqueado")&gt;0,"Bloqueado",IF(COUNTIF('E2 — Triagem'!$E310:$L310,"✔ Concluído")+COUNTIF('E2 — Triagem'!$E310:$L310,"N/A")=8,"Concluído",IF(COUNTIF('E2 — Triagem'!$E310:$L310,"✔ Concluído")+COUNTIF('E2 — Triagem'!$E310:$L310,"🔄 Em andamento")&gt;0,"Em andamento","Não iniciado"))))))))</f>
        <v/>
      </c>
      <c r="G328" s="229" t="str">
        <f>IF($B328="","",IF($F328&lt;&gt;"Concluído","Não iniciado",IF(COUNTIF(Lançamentos!$B$3:$B$1001,$B328)=0,"Bloqueado",IF('E3 — Levantamento'!$D310="","Bloqueado",IF(COUNTIF('E3 — Levantamento'!$E310:$I310,"⛔ Bloqueado")&gt;0,"Bloqueado",IF('E3 — Levantamento'!$I310="N/A","Bloqueado",IF(COUNTIF('E3 — Levantamento'!$E310:$I310,"✔ Concluído")=5,"Concluído",IF(COUNTIF('E3 — Levantamento'!$E310:$I310,"✔ Concluído")+COUNTIF('E3 — Levantamento'!$E310:$I310,"🔄 Em andamento")&gt;0,"Em andamento","Não iniciado"))))))))</f>
        <v/>
      </c>
      <c r="H328" s="229" t="str">
        <f>IF($B328="","",IF($G328&lt;&gt;"Concluído","Não iniciado",IF(COUNTIF(Lançamentos!$B$3:$B$1001,$B328)=0,"Bloqueado",IF('E4 — Execução'!$D310="","Bloqueado",IF(COUNTIF('E4 — Execução'!$E310:$K310,"⛔ Bloqueado")&gt;0,"Bloqueado",IF(COUNTIF('E4 — Execução'!$E310:$K310,"✔ Concluído")=7,"Concluído",IF(COUNTIF('E4 — Execução'!$E310:$K310,"✔ Concluído")+COUNTIF('E4 — Execução'!$E310:$K310,"🔄 Em andamento")&gt;0,"Em andamento","Não iniciado")))))))</f>
        <v/>
      </c>
      <c r="I328" s="229" t="str">
        <f>IF($B328="","",IF($H328&lt;&gt;"Concluído","Não iniciado",IF(COUNTIF(Lançamentos!$B$3:$B$1001,$B328)=0,"Bloqueado",IF('E5 — Validação'!$D310="","Bloqueado",IF(COUNTIF('E5 — Validação'!$E310:$I310,"⛔ Bloqueado")&gt;0,"Bloqueado",IF('E5 — Validação'!$I310="N/A","Bloqueado",IF(AND('E5 — Validação'!$E310="✔ Concluído",'E5 — Validação'!$F310="✔ Concluído",OR('E5 — Validação'!$G310="✔ Concluído",'E5 — Validação'!$G310="N/A"),'E5 — Validação'!$H310="✔ Concluído",'E5 — Validação'!$I310="✔ Concluído"),"Concluído",IF(COUNTIF('E5 — Validação'!$E310:$I310,"✔ Concluído")+COUNTIF('E5 — Validação'!$E310:$I310,"🔄 Em andamento")&gt;0,"Em andamento","Não iniciado"))))))))</f>
        <v/>
      </c>
      <c r="J328" s="229" t="str">
        <f>IF($B328="","",IF($I328&lt;&gt;"Concluído","Não iniciado",IF('E6 — Ajustes'!$N310="Não","N/A",IF(COUNTIF(Lançamentos!$B$3:$B$1001,$B328)=0,"Bloqueado",IF('E6 — Ajustes'!$D310="","Bloqueado",IF(COUNTIF('E6 — Ajustes'!$E310:$J310,"⛔ Bloqueado")&gt;0,"Bloqueado",IF(AND('E6 — Ajustes'!$E310="✔ Concluído",'E6 — Ajustes'!$F310="✔ Concluído",'E6 — Ajustes'!$G310="✔ Concluído",'E6 — Ajustes'!$H310="✔ Concluído",OR('E6 — Ajustes'!$I310="✔ Concluído",'E6 — Ajustes'!$I310="N/A"),'E6 — Ajustes'!$J310="✔ Concluído"),"Concluído",IF(COUNTIF('E6 — Ajustes'!$E310:$J310,"✔ Concluído")+COUNTIF('E6 — Ajustes'!$E310:$J310,"🔄 Em andamento")&gt;0,"Em andamento","Não iniciado"))))))))</f>
        <v/>
      </c>
      <c r="K328" s="229" t="str">
        <f>IF($B328="","",IF($I328&lt;&gt;"Concluído","Não iniciado",IF(AND($J328&lt;&gt;"Concluído",$J328&lt;&gt;"N/A"),"Não iniciado",IF(COUNTIF(Lançamentos!$B$3:$B$1001,$B328)=0,"Bloqueado",IF('E7 — Entrega'!$D310="","Bloqueado",IF(COUNTIF('E7 — Entrega'!$E310:$H310,"⛔ Bloqueado")&gt;0,"Bloqueado",IF(COUNTIF('E7 — Entrega'!$E310:$H310,"✔ Concluído")=4,"Concluído",IF(COUNTIF('E7 — Entrega'!$E310:$H310,"✔ Concluído")+COUNTIF('E7 — Entrega'!$E310:$H310,"🔄 Em andamento")&gt;0,"Em andamento","Não iniciado"))))))))</f>
        <v/>
      </c>
      <c r="L328" s="229" t="str">
        <f>IF($B328="","",IF($K328&lt;&gt;"Concluído","Não iniciado",IF(OR(COUNTIF('E08 — Estabilização Hypercare'!$E310:$J310,"⛔ Bloqueado")&gt;0,'E08 — Estabilização Hypercare'!$N310="⛔ Incidente Crítico — Encerramento Bloqueado",AND('E08 — Estabilização Hypercare'!$N310="🆕 Evolução Identificada — Nova Demanda Aberta",'E08 — Estabilização Hypercare'!$U310="")),"Bloqueado",IF(AND('E08 — Estabilização Hypercare'!$E310="✔ Concluído",'E08 — Estabilização Hypercare'!$F310="✔ Concluído",'E08 — Estabilização Hypercare'!$G310="✔ Concluído",OR('E08 — Estabilização Hypercare'!$H310="✔ Concluído",'E08 — Estabilização Hypercare'!$H310="N/A"),'E08 — Estabilização Hypercare'!$I310="✔ Concluído",'E08 — Estabilização Hypercare'!$J310="✔ Concluído",OR('E08 — Estabilização Hypercare'!$N310="✅ Estável — Demanda Encerrada",AND('E08 — Estabilização Hypercare'!$N310="🆕 Evolução Identificada — Nova Demanda Aberta",'E08 — Estabilização Hypercare'!$U310&lt;&gt;""))),"Concluído",IF(OR(COUNTIF('E08 — Estabilização Hypercare'!$E310:$J310,"✔ Concluído")&gt;0,COUNTIF('E08 — Estabilização Hypercare'!$E310:$J310,"🔄 Em andamento")&gt;0,'E08 — Estabilização Hypercare'!$N310&lt;&gt;""),"Em andamento","Não iniciado")))))</f>
        <v/>
      </c>
      <c r="M328" s="232" t="str" cm="1">
        <f t="array" ref="M328">IF(B328="","",_xlfn.IFS(E328&lt;&gt;"Concluído","E1 — Solicitação",F328&lt;&gt;"Concluído","E2 — Triagem",G328&lt;&gt;"Concluído","E3 — Levantamento ⚠",H328&lt;&gt;"Concluído","E4 — Execução",I328&lt;&gt;"Concluído","E5 — Validação ⚠",AND(J328&lt;&gt;"Concluído",J328&lt;&gt;"N/A"),"E6 — Ajustes",K328&lt;&gt;"Concluído","E7 — Entrega",L328&lt;&gt;"Concluído","E08 — Estabilização / Hypercare",TRUE,"✔ Fluxo concluído"))</f>
        <v/>
      </c>
      <c r="N328" s="233" t="str">
        <f t="shared" si="5"/>
        <v/>
      </c>
      <c r="O328" s="230"/>
    </row>
    <row r="329" spans="2:15" x14ac:dyDescent="0.35">
      <c r="B329" s="229" t="str">
        <f>IF(Lançamentos!$B306="","",Lançamentos!$B306)</f>
        <v/>
      </c>
      <c r="C329" s="231" t="str">
        <f>IF($B329="","",Lançamentos!$J306)</f>
        <v/>
      </c>
      <c r="D329" s="231" t="str">
        <f>IF($B329="","",Lançamentos!$H306)</f>
        <v/>
      </c>
      <c r="E329" s="229" t="str">
        <f>IF($B329="","",IF(COUNTIF(Lançamentos!$B$3:$B$1001,$B329)=0,"Bloqueado",IF(COUNTIF('E1 — Solicitação'!$E311:$L311,"⛔ Bloqueado")&gt;0,"Bloqueado",IF(COUNTIF('E1 — Solicitação'!$E311:$L311,"N/A")=8,"Bloqueado",IF(COUNTIF('E1 — Solicitação'!$E311:$L311,"✔ Concluído")+COUNTIF('E1 — Solicitação'!$E311:$L311,"N/A")=8,"Concluído",IF(COUNTIF('E1 — Solicitação'!$E311:$L311,"✔ Concluído")+COUNTIF('E1 — Solicitação'!$E311:$L311,"🔄 Em andamento")&gt;0,"Em andamento","Não iniciado"))))))</f>
        <v/>
      </c>
      <c r="F329" s="229" t="str">
        <f>IF($B329="","",IF($E329&lt;&gt;"Concluído","Não iniciado",IF(COUNTIF(Lançamentos!$B$3:$B$1001,$B329)=0,"Bloqueado",IF('E2 — Triagem'!$D311="","Bloqueado",IF(COUNTIF('E2 — Triagem'!$E311:$L311,"N/A")=8,"Bloqueado",IF(COUNTIF('E2 — Triagem'!$E311:$L311,"⛔ Bloqueado")&gt;0,"Bloqueado",IF(COUNTIF('E2 — Triagem'!$E311:$L311,"✔ Concluído")+COUNTIF('E2 — Triagem'!$E311:$L311,"N/A")=8,"Concluído",IF(COUNTIF('E2 — Triagem'!$E311:$L311,"✔ Concluído")+COUNTIF('E2 — Triagem'!$E311:$L311,"🔄 Em andamento")&gt;0,"Em andamento","Não iniciado"))))))))</f>
        <v/>
      </c>
      <c r="G329" s="229" t="str">
        <f>IF($B329="","",IF($F329&lt;&gt;"Concluído","Não iniciado",IF(COUNTIF(Lançamentos!$B$3:$B$1001,$B329)=0,"Bloqueado",IF('E3 — Levantamento'!$D311="","Bloqueado",IF(COUNTIF('E3 — Levantamento'!$E311:$I311,"⛔ Bloqueado")&gt;0,"Bloqueado",IF('E3 — Levantamento'!$I311="N/A","Bloqueado",IF(COUNTIF('E3 — Levantamento'!$E311:$I311,"✔ Concluído")=5,"Concluído",IF(COUNTIF('E3 — Levantamento'!$E311:$I311,"✔ Concluído")+COUNTIF('E3 — Levantamento'!$E311:$I311,"🔄 Em andamento")&gt;0,"Em andamento","Não iniciado"))))))))</f>
        <v/>
      </c>
      <c r="H329" s="229" t="str">
        <f>IF($B329="","",IF($G329&lt;&gt;"Concluído","Não iniciado",IF(COUNTIF(Lançamentos!$B$3:$B$1001,$B329)=0,"Bloqueado",IF('E4 — Execução'!$D311="","Bloqueado",IF(COUNTIF('E4 — Execução'!$E311:$K311,"⛔ Bloqueado")&gt;0,"Bloqueado",IF(COUNTIF('E4 — Execução'!$E311:$K311,"✔ Concluído")=7,"Concluído",IF(COUNTIF('E4 — Execução'!$E311:$K311,"✔ Concluído")+COUNTIF('E4 — Execução'!$E311:$K311,"🔄 Em andamento")&gt;0,"Em andamento","Não iniciado")))))))</f>
        <v/>
      </c>
      <c r="I329" s="229" t="str">
        <f>IF($B329="","",IF($H329&lt;&gt;"Concluído","Não iniciado",IF(COUNTIF(Lançamentos!$B$3:$B$1001,$B329)=0,"Bloqueado",IF('E5 — Validação'!$D311="","Bloqueado",IF(COUNTIF('E5 — Validação'!$E311:$I311,"⛔ Bloqueado")&gt;0,"Bloqueado",IF('E5 — Validação'!$I311="N/A","Bloqueado",IF(AND('E5 — Validação'!$E311="✔ Concluído",'E5 — Validação'!$F311="✔ Concluído",OR('E5 — Validação'!$G311="✔ Concluído",'E5 — Validação'!$G311="N/A"),'E5 — Validação'!$H311="✔ Concluído",'E5 — Validação'!$I311="✔ Concluído"),"Concluído",IF(COUNTIF('E5 — Validação'!$E311:$I311,"✔ Concluído")+COUNTIF('E5 — Validação'!$E311:$I311,"🔄 Em andamento")&gt;0,"Em andamento","Não iniciado"))))))))</f>
        <v/>
      </c>
      <c r="J329" s="229" t="str">
        <f>IF($B329="","",IF($I329&lt;&gt;"Concluído","Não iniciado",IF('E6 — Ajustes'!$N311="Não","N/A",IF(COUNTIF(Lançamentos!$B$3:$B$1001,$B329)=0,"Bloqueado",IF('E6 — Ajustes'!$D311="","Bloqueado",IF(COUNTIF('E6 — Ajustes'!$E311:$J311,"⛔ Bloqueado")&gt;0,"Bloqueado",IF(AND('E6 — Ajustes'!$E311="✔ Concluído",'E6 — Ajustes'!$F311="✔ Concluído",'E6 — Ajustes'!$G311="✔ Concluído",'E6 — Ajustes'!$H311="✔ Concluído",OR('E6 — Ajustes'!$I311="✔ Concluído",'E6 — Ajustes'!$I311="N/A"),'E6 — Ajustes'!$J311="✔ Concluído"),"Concluído",IF(COUNTIF('E6 — Ajustes'!$E311:$J311,"✔ Concluído")+COUNTIF('E6 — Ajustes'!$E311:$J311,"🔄 Em andamento")&gt;0,"Em andamento","Não iniciado"))))))))</f>
        <v/>
      </c>
      <c r="K329" s="229" t="str">
        <f>IF($B329="","",IF($I329&lt;&gt;"Concluído","Não iniciado",IF(AND($J329&lt;&gt;"Concluído",$J329&lt;&gt;"N/A"),"Não iniciado",IF(COUNTIF(Lançamentos!$B$3:$B$1001,$B329)=0,"Bloqueado",IF('E7 — Entrega'!$D311="","Bloqueado",IF(COUNTIF('E7 — Entrega'!$E311:$H311,"⛔ Bloqueado")&gt;0,"Bloqueado",IF(COUNTIF('E7 — Entrega'!$E311:$H311,"✔ Concluído")=4,"Concluído",IF(COUNTIF('E7 — Entrega'!$E311:$H311,"✔ Concluído")+COUNTIF('E7 — Entrega'!$E311:$H311,"🔄 Em andamento")&gt;0,"Em andamento","Não iniciado"))))))))</f>
        <v/>
      </c>
      <c r="L329" s="229" t="str">
        <f>IF($B329="","",IF($K329&lt;&gt;"Concluído","Não iniciado",IF(OR(COUNTIF('E08 — Estabilização Hypercare'!$E311:$J311,"⛔ Bloqueado")&gt;0,'E08 — Estabilização Hypercare'!$N311="⛔ Incidente Crítico — Encerramento Bloqueado",AND('E08 — Estabilização Hypercare'!$N311="🆕 Evolução Identificada — Nova Demanda Aberta",'E08 — Estabilização Hypercare'!$U311="")),"Bloqueado",IF(AND('E08 — Estabilização Hypercare'!$E311="✔ Concluído",'E08 — Estabilização Hypercare'!$F311="✔ Concluído",'E08 — Estabilização Hypercare'!$G311="✔ Concluído",OR('E08 — Estabilização Hypercare'!$H311="✔ Concluído",'E08 — Estabilização Hypercare'!$H311="N/A"),'E08 — Estabilização Hypercare'!$I311="✔ Concluído",'E08 — Estabilização Hypercare'!$J311="✔ Concluído",OR('E08 — Estabilização Hypercare'!$N311="✅ Estável — Demanda Encerrada",AND('E08 — Estabilização Hypercare'!$N311="🆕 Evolução Identificada — Nova Demanda Aberta",'E08 — Estabilização Hypercare'!$U311&lt;&gt;""))),"Concluído",IF(OR(COUNTIF('E08 — Estabilização Hypercare'!$E311:$J311,"✔ Concluído")&gt;0,COUNTIF('E08 — Estabilização Hypercare'!$E311:$J311,"🔄 Em andamento")&gt;0,'E08 — Estabilização Hypercare'!$N311&lt;&gt;""),"Em andamento","Não iniciado")))))</f>
        <v/>
      </c>
      <c r="M329" s="232" t="str" cm="1">
        <f t="array" ref="M329">IF(B329="","",_xlfn.IFS(E329&lt;&gt;"Concluído","E1 — Solicitação",F329&lt;&gt;"Concluído","E2 — Triagem",G329&lt;&gt;"Concluído","E3 — Levantamento ⚠",H329&lt;&gt;"Concluído","E4 — Execução",I329&lt;&gt;"Concluído","E5 — Validação ⚠",AND(J329&lt;&gt;"Concluído",J329&lt;&gt;"N/A"),"E6 — Ajustes",K329&lt;&gt;"Concluído","E7 — Entrega",L329&lt;&gt;"Concluído","E08 — Estabilização / Hypercare",TRUE,"✔ Fluxo concluído"))</f>
        <v/>
      </c>
      <c r="N329" s="233" t="str">
        <f t="shared" si="5"/>
        <v/>
      </c>
      <c r="O329" s="230"/>
    </row>
    <row r="330" spans="2:15" x14ac:dyDescent="0.35">
      <c r="B330" s="229" t="str">
        <f>IF(Lançamentos!$B307="","",Lançamentos!$B307)</f>
        <v/>
      </c>
      <c r="C330" s="231" t="str">
        <f>IF($B330="","",Lançamentos!$J307)</f>
        <v/>
      </c>
      <c r="D330" s="231" t="str">
        <f>IF($B330="","",Lançamentos!$H307)</f>
        <v/>
      </c>
      <c r="E330" s="229" t="str">
        <f>IF($B330="","",IF(COUNTIF(Lançamentos!$B$3:$B$1001,$B330)=0,"Bloqueado",IF(COUNTIF('E1 — Solicitação'!$E312:$L312,"⛔ Bloqueado")&gt;0,"Bloqueado",IF(COUNTIF('E1 — Solicitação'!$E312:$L312,"N/A")=8,"Bloqueado",IF(COUNTIF('E1 — Solicitação'!$E312:$L312,"✔ Concluído")+COUNTIF('E1 — Solicitação'!$E312:$L312,"N/A")=8,"Concluído",IF(COUNTIF('E1 — Solicitação'!$E312:$L312,"✔ Concluído")+COUNTIF('E1 — Solicitação'!$E312:$L312,"🔄 Em andamento")&gt;0,"Em andamento","Não iniciado"))))))</f>
        <v/>
      </c>
      <c r="F330" s="229" t="str">
        <f>IF($B330="","",IF($E330&lt;&gt;"Concluído","Não iniciado",IF(COUNTIF(Lançamentos!$B$3:$B$1001,$B330)=0,"Bloqueado",IF('E2 — Triagem'!$D312="","Bloqueado",IF(COUNTIF('E2 — Triagem'!$E312:$L312,"N/A")=8,"Bloqueado",IF(COUNTIF('E2 — Triagem'!$E312:$L312,"⛔ Bloqueado")&gt;0,"Bloqueado",IF(COUNTIF('E2 — Triagem'!$E312:$L312,"✔ Concluído")+COUNTIF('E2 — Triagem'!$E312:$L312,"N/A")=8,"Concluído",IF(COUNTIF('E2 — Triagem'!$E312:$L312,"✔ Concluído")+COUNTIF('E2 — Triagem'!$E312:$L312,"🔄 Em andamento")&gt;0,"Em andamento","Não iniciado"))))))))</f>
        <v/>
      </c>
      <c r="G330" s="229" t="str">
        <f>IF($B330="","",IF($F330&lt;&gt;"Concluído","Não iniciado",IF(COUNTIF(Lançamentos!$B$3:$B$1001,$B330)=0,"Bloqueado",IF('E3 — Levantamento'!$D312="","Bloqueado",IF(COUNTIF('E3 — Levantamento'!$E312:$I312,"⛔ Bloqueado")&gt;0,"Bloqueado",IF('E3 — Levantamento'!$I312="N/A","Bloqueado",IF(COUNTIF('E3 — Levantamento'!$E312:$I312,"✔ Concluído")=5,"Concluído",IF(COUNTIF('E3 — Levantamento'!$E312:$I312,"✔ Concluído")+COUNTIF('E3 — Levantamento'!$E312:$I312,"🔄 Em andamento")&gt;0,"Em andamento","Não iniciado"))))))))</f>
        <v/>
      </c>
      <c r="H330" s="229" t="str">
        <f>IF($B330="","",IF($G330&lt;&gt;"Concluído","Não iniciado",IF(COUNTIF(Lançamentos!$B$3:$B$1001,$B330)=0,"Bloqueado",IF('E4 — Execução'!$D312="","Bloqueado",IF(COUNTIF('E4 — Execução'!$E312:$K312,"⛔ Bloqueado")&gt;0,"Bloqueado",IF(COUNTIF('E4 — Execução'!$E312:$K312,"✔ Concluído")=7,"Concluído",IF(COUNTIF('E4 — Execução'!$E312:$K312,"✔ Concluído")+COUNTIF('E4 — Execução'!$E312:$K312,"🔄 Em andamento")&gt;0,"Em andamento","Não iniciado")))))))</f>
        <v/>
      </c>
      <c r="I330" s="229" t="str">
        <f>IF($B330="","",IF($H330&lt;&gt;"Concluído","Não iniciado",IF(COUNTIF(Lançamentos!$B$3:$B$1001,$B330)=0,"Bloqueado",IF('E5 — Validação'!$D312="","Bloqueado",IF(COUNTIF('E5 — Validação'!$E312:$I312,"⛔ Bloqueado")&gt;0,"Bloqueado",IF('E5 — Validação'!$I312="N/A","Bloqueado",IF(AND('E5 — Validação'!$E312="✔ Concluído",'E5 — Validação'!$F312="✔ Concluído",OR('E5 — Validação'!$G312="✔ Concluído",'E5 — Validação'!$G312="N/A"),'E5 — Validação'!$H312="✔ Concluído",'E5 — Validação'!$I312="✔ Concluído"),"Concluído",IF(COUNTIF('E5 — Validação'!$E312:$I312,"✔ Concluído")+COUNTIF('E5 — Validação'!$E312:$I312,"🔄 Em andamento")&gt;0,"Em andamento","Não iniciado"))))))))</f>
        <v/>
      </c>
      <c r="J330" s="229" t="str">
        <f>IF($B330="","",IF($I330&lt;&gt;"Concluído","Não iniciado",IF('E6 — Ajustes'!$N312="Não","N/A",IF(COUNTIF(Lançamentos!$B$3:$B$1001,$B330)=0,"Bloqueado",IF('E6 — Ajustes'!$D312="","Bloqueado",IF(COUNTIF('E6 — Ajustes'!$E312:$J312,"⛔ Bloqueado")&gt;0,"Bloqueado",IF(AND('E6 — Ajustes'!$E312="✔ Concluído",'E6 — Ajustes'!$F312="✔ Concluído",'E6 — Ajustes'!$G312="✔ Concluído",'E6 — Ajustes'!$H312="✔ Concluído",OR('E6 — Ajustes'!$I312="✔ Concluído",'E6 — Ajustes'!$I312="N/A"),'E6 — Ajustes'!$J312="✔ Concluído"),"Concluído",IF(COUNTIF('E6 — Ajustes'!$E312:$J312,"✔ Concluído")+COUNTIF('E6 — Ajustes'!$E312:$J312,"🔄 Em andamento")&gt;0,"Em andamento","Não iniciado"))))))))</f>
        <v/>
      </c>
      <c r="K330" s="229" t="str">
        <f>IF($B330="","",IF($I330&lt;&gt;"Concluído","Não iniciado",IF(AND($J330&lt;&gt;"Concluído",$J330&lt;&gt;"N/A"),"Não iniciado",IF(COUNTIF(Lançamentos!$B$3:$B$1001,$B330)=0,"Bloqueado",IF('E7 — Entrega'!$D312="","Bloqueado",IF(COUNTIF('E7 — Entrega'!$E312:$H312,"⛔ Bloqueado")&gt;0,"Bloqueado",IF(COUNTIF('E7 — Entrega'!$E312:$H312,"✔ Concluído")=4,"Concluído",IF(COUNTIF('E7 — Entrega'!$E312:$H312,"✔ Concluído")+COUNTIF('E7 — Entrega'!$E312:$H312,"🔄 Em andamento")&gt;0,"Em andamento","Não iniciado"))))))))</f>
        <v/>
      </c>
      <c r="L330" s="229" t="str">
        <f>IF($B330="","",IF($K330&lt;&gt;"Concluído","Não iniciado",IF(OR(COUNTIF('E08 — Estabilização Hypercare'!$E312:$J312,"⛔ Bloqueado")&gt;0,'E08 — Estabilização Hypercare'!$N312="⛔ Incidente Crítico — Encerramento Bloqueado",AND('E08 — Estabilização Hypercare'!$N312="🆕 Evolução Identificada — Nova Demanda Aberta",'E08 — Estabilização Hypercare'!$U312="")),"Bloqueado",IF(AND('E08 — Estabilização Hypercare'!$E312="✔ Concluído",'E08 — Estabilização Hypercare'!$F312="✔ Concluído",'E08 — Estabilização Hypercare'!$G312="✔ Concluído",OR('E08 — Estabilização Hypercare'!$H312="✔ Concluído",'E08 — Estabilização Hypercare'!$H312="N/A"),'E08 — Estabilização Hypercare'!$I312="✔ Concluído",'E08 — Estabilização Hypercare'!$J312="✔ Concluído",OR('E08 — Estabilização Hypercare'!$N312="✅ Estável — Demanda Encerrada",AND('E08 — Estabilização Hypercare'!$N312="🆕 Evolução Identificada — Nova Demanda Aberta",'E08 — Estabilização Hypercare'!$U312&lt;&gt;""))),"Concluído",IF(OR(COUNTIF('E08 — Estabilização Hypercare'!$E312:$J312,"✔ Concluído")&gt;0,COUNTIF('E08 — Estabilização Hypercare'!$E312:$J312,"🔄 Em andamento")&gt;0,'E08 — Estabilização Hypercare'!$N312&lt;&gt;""),"Em andamento","Não iniciado")))))</f>
        <v/>
      </c>
      <c r="M330" s="232" t="str" cm="1">
        <f t="array" ref="M330">IF(B330="","",_xlfn.IFS(E330&lt;&gt;"Concluído","E1 — Solicitação",F330&lt;&gt;"Concluído","E2 — Triagem",G330&lt;&gt;"Concluído","E3 — Levantamento ⚠",H330&lt;&gt;"Concluído","E4 — Execução",I330&lt;&gt;"Concluído","E5 — Validação ⚠",AND(J330&lt;&gt;"Concluído",J330&lt;&gt;"N/A"),"E6 — Ajustes",K330&lt;&gt;"Concluído","E7 — Entrega",L330&lt;&gt;"Concluído","E08 — Estabilização / Hypercare",TRUE,"✔ Fluxo concluído"))</f>
        <v/>
      </c>
      <c r="N330" s="233" t="str">
        <f t="shared" si="5"/>
        <v/>
      </c>
      <c r="O330" s="230"/>
    </row>
    <row r="331" spans="2:15" x14ac:dyDescent="0.35">
      <c r="B331" s="229" t="str">
        <f>IF(Lançamentos!$B308="","",Lançamentos!$B308)</f>
        <v/>
      </c>
      <c r="C331" s="231" t="str">
        <f>IF($B331="","",Lançamentos!$J308)</f>
        <v/>
      </c>
      <c r="D331" s="231" t="str">
        <f>IF($B331="","",Lançamentos!$H308)</f>
        <v/>
      </c>
      <c r="E331" s="229" t="str">
        <f>IF($B331="","",IF(COUNTIF(Lançamentos!$B$3:$B$1001,$B331)=0,"Bloqueado",IF(COUNTIF('E1 — Solicitação'!$E313:$L313,"⛔ Bloqueado")&gt;0,"Bloqueado",IF(COUNTIF('E1 — Solicitação'!$E313:$L313,"N/A")=8,"Bloqueado",IF(COUNTIF('E1 — Solicitação'!$E313:$L313,"✔ Concluído")+COUNTIF('E1 — Solicitação'!$E313:$L313,"N/A")=8,"Concluído",IF(COUNTIF('E1 — Solicitação'!$E313:$L313,"✔ Concluído")+COUNTIF('E1 — Solicitação'!$E313:$L313,"🔄 Em andamento")&gt;0,"Em andamento","Não iniciado"))))))</f>
        <v/>
      </c>
      <c r="F331" s="229" t="str">
        <f>IF($B331="","",IF($E331&lt;&gt;"Concluído","Não iniciado",IF(COUNTIF(Lançamentos!$B$3:$B$1001,$B331)=0,"Bloqueado",IF('E2 — Triagem'!$D313="","Bloqueado",IF(COUNTIF('E2 — Triagem'!$E313:$L313,"N/A")=8,"Bloqueado",IF(COUNTIF('E2 — Triagem'!$E313:$L313,"⛔ Bloqueado")&gt;0,"Bloqueado",IF(COUNTIF('E2 — Triagem'!$E313:$L313,"✔ Concluído")+COUNTIF('E2 — Triagem'!$E313:$L313,"N/A")=8,"Concluído",IF(COUNTIF('E2 — Triagem'!$E313:$L313,"✔ Concluído")+COUNTIF('E2 — Triagem'!$E313:$L313,"🔄 Em andamento")&gt;0,"Em andamento","Não iniciado"))))))))</f>
        <v/>
      </c>
      <c r="G331" s="229" t="str">
        <f>IF($B331="","",IF($F331&lt;&gt;"Concluído","Não iniciado",IF(COUNTIF(Lançamentos!$B$3:$B$1001,$B331)=0,"Bloqueado",IF('E3 — Levantamento'!$D313="","Bloqueado",IF(COUNTIF('E3 — Levantamento'!$E313:$I313,"⛔ Bloqueado")&gt;0,"Bloqueado",IF('E3 — Levantamento'!$I313="N/A","Bloqueado",IF(COUNTIF('E3 — Levantamento'!$E313:$I313,"✔ Concluído")=5,"Concluído",IF(COUNTIF('E3 — Levantamento'!$E313:$I313,"✔ Concluído")+COUNTIF('E3 — Levantamento'!$E313:$I313,"🔄 Em andamento")&gt;0,"Em andamento","Não iniciado"))))))))</f>
        <v/>
      </c>
      <c r="H331" s="229" t="str">
        <f>IF($B331="","",IF($G331&lt;&gt;"Concluído","Não iniciado",IF(COUNTIF(Lançamentos!$B$3:$B$1001,$B331)=0,"Bloqueado",IF('E4 — Execução'!$D313="","Bloqueado",IF(COUNTIF('E4 — Execução'!$E313:$K313,"⛔ Bloqueado")&gt;0,"Bloqueado",IF(COUNTIF('E4 — Execução'!$E313:$K313,"✔ Concluído")=7,"Concluído",IF(COUNTIF('E4 — Execução'!$E313:$K313,"✔ Concluído")+COUNTIF('E4 — Execução'!$E313:$K313,"🔄 Em andamento")&gt;0,"Em andamento","Não iniciado")))))))</f>
        <v/>
      </c>
      <c r="I331" s="229" t="str">
        <f>IF($B331="","",IF($H331&lt;&gt;"Concluído","Não iniciado",IF(COUNTIF(Lançamentos!$B$3:$B$1001,$B331)=0,"Bloqueado",IF('E5 — Validação'!$D313="","Bloqueado",IF(COUNTIF('E5 — Validação'!$E313:$I313,"⛔ Bloqueado")&gt;0,"Bloqueado",IF('E5 — Validação'!$I313="N/A","Bloqueado",IF(AND('E5 — Validação'!$E313="✔ Concluído",'E5 — Validação'!$F313="✔ Concluído",OR('E5 — Validação'!$G313="✔ Concluído",'E5 — Validação'!$G313="N/A"),'E5 — Validação'!$H313="✔ Concluído",'E5 — Validação'!$I313="✔ Concluído"),"Concluído",IF(COUNTIF('E5 — Validação'!$E313:$I313,"✔ Concluído")+COUNTIF('E5 — Validação'!$E313:$I313,"🔄 Em andamento")&gt;0,"Em andamento","Não iniciado"))))))))</f>
        <v/>
      </c>
      <c r="J331" s="229" t="str">
        <f>IF($B331="","",IF($I331&lt;&gt;"Concluído","Não iniciado",IF('E6 — Ajustes'!$N313="Não","N/A",IF(COUNTIF(Lançamentos!$B$3:$B$1001,$B331)=0,"Bloqueado",IF('E6 — Ajustes'!$D313="","Bloqueado",IF(COUNTIF('E6 — Ajustes'!$E313:$J313,"⛔ Bloqueado")&gt;0,"Bloqueado",IF(AND('E6 — Ajustes'!$E313="✔ Concluído",'E6 — Ajustes'!$F313="✔ Concluído",'E6 — Ajustes'!$G313="✔ Concluído",'E6 — Ajustes'!$H313="✔ Concluído",OR('E6 — Ajustes'!$I313="✔ Concluído",'E6 — Ajustes'!$I313="N/A"),'E6 — Ajustes'!$J313="✔ Concluído"),"Concluído",IF(COUNTIF('E6 — Ajustes'!$E313:$J313,"✔ Concluído")+COUNTIF('E6 — Ajustes'!$E313:$J313,"🔄 Em andamento")&gt;0,"Em andamento","Não iniciado"))))))))</f>
        <v/>
      </c>
      <c r="K331" s="229" t="str">
        <f>IF($B331="","",IF($I331&lt;&gt;"Concluído","Não iniciado",IF(AND($J331&lt;&gt;"Concluído",$J331&lt;&gt;"N/A"),"Não iniciado",IF(COUNTIF(Lançamentos!$B$3:$B$1001,$B331)=0,"Bloqueado",IF('E7 — Entrega'!$D313="","Bloqueado",IF(COUNTIF('E7 — Entrega'!$E313:$H313,"⛔ Bloqueado")&gt;0,"Bloqueado",IF(COUNTIF('E7 — Entrega'!$E313:$H313,"✔ Concluído")=4,"Concluído",IF(COUNTIF('E7 — Entrega'!$E313:$H313,"✔ Concluído")+COUNTIF('E7 — Entrega'!$E313:$H313,"🔄 Em andamento")&gt;0,"Em andamento","Não iniciado"))))))))</f>
        <v/>
      </c>
      <c r="L331" s="229" t="str">
        <f>IF($B331="","",IF($K331&lt;&gt;"Concluído","Não iniciado",IF(OR(COUNTIF('E08 — Estabilização Hypercare'!$E313:$J313,"⛔ Bloqueado")&gt;0,'E08 — Estabilização Hypercare'!$N313="⛔ Incidente Crítico — Encerramento Bloqueado",AND('E08 — Estabilização Hypercare'!$N313="🆕 Evolução Identificada — Nova Demanda Aberta",'E08 — Estabilização Hypercare'!$U313="")),"Bloqueado",IF(AND('E08 — Estabilização Hypercare'!$E313="✔ Concluído",'E08 — Estabilização Hypercare'!$F313="✔ Concluído",'E08 — Estabilização Hypercare'!$G313="✔ Concluído",OR('E08 — Estabilização Hypercare'!$H313="✔ Concluído",'E08 — Estabilização Hypercare'!$H313="N/A"),'E08 — Estabilização Hypercare'!$I313="✔ Concluído",'E08 — Estabilização Hypercare'!$J313="✔ Concluído",OR('E08 — Estabilização Hypercare'!$N313="✅ Estável — Demanda Encerrada",AND('E08 — Estabilização Hypercare'!$N313="🆕 Evolução Identificada — Nova Demanda Aberta",'E08 — Estabilização Hypercare'!$U313&lt;&gt;""))),"Concluído",IF(OR(COUNTIF('E08 — Estabilização Hypercare'!$E313:$J313,"✔ Concluído")&gt;0,COUNTIF('E08 — Estabilização Hypercare'!$E313:$J313,"🔄 Em andamento")&gt;0,'E08 — Estabilização Hypercare'!$N313&lt;&gt;""),"Em andamento","Não iniciado")))))</f>
        <v/>
      </c>
      <c r="M331" s="232" t="str" cm="1">
        <f t="array" ref="M331">IF(B331="","",_xlfn.IFS(E331&lt;&gt;"Concluído","E1 — Solicitação",F331&lt;&gt;"Concluído","E2 — Triagem",G331&lt;&gt;"Concluído","E3 — Levantamento ⚠",H331&lt;&gt;"Concluído","E4 — Execução",I331&lt;&gt;"Concluído","E5 — Validação ⚠",AND(J331&lt;&gt;"Concluído",J331&lt;&gt;"N/A"),"E6 — Ajustes",K331&lt;&gt;"Concluído","E7 — Entrega",L331&lt;&gt;"Concluído","E08 — Estabilização / Hypercare",TRUE,"✔ Fluxo concluído"))</f>
        <v/>
      </c>
      <c r="N331" s="233" t="str">
        <f t="shared" si="5"/>
        <v/>
      </c>
      <c r="O331" s="230"/>
    </row>
    <row r="332" spans="2:15" x14ac:dyDescent="0.35">
      <c r="B332" s="229" t="str">
        <f>IF(Lançamentos!$B309="","",Lançamentos!$B309)</f>
        <v/>
      </c>
      <c r="C332" s="231" t="str">
        <f>IF($B332="","",Lançamentos!$J309)</f>
        <v/>
      </c>
      <c r="D332" s="231" t="str">
        <f>IF($B332="","",Lançamentos!$H309)</f>
        <v/>
      </c>
      <c r="E332" s="229" t="str">
        <f>IF($B332="","",IF(COUNTIF(Lançamentos!$B$3:$B$1001,$B332)=0,"Bloqueado",IF(COUNTIF('E1 — Solicitação'!$E314:$L314,"⛔ Bloqueado")&gt;0,"Bloqueado",IF(COUNTIF('E1 — Solicitação'!$E314:$L314,"N/A")=8,"Bloqueado",IF(COUNTIF('E1 — Solicitação'!$E314:$L314,"✔ Concluído")+COUNTIF('E1 — Solicitação'!$E314:$L314,"N/A")=8,"Concluído",IF(COUNTIF('E1 — Solicitação'!$E314:$L314,"✔ Concluído")+COUNTIF('E1 — Solicitação'!$E314:$L314,"🔄 Em andamento")&gt;0,"Em andamento","Não iniciado"))))))</f>
        <v/>
      </c>
      <c r="F332" s="229" t="str">
        <f>IF($B332="","",IF($E332&lt;&gt;"Concluído","Não iniciado",IF(COUNTIF(Lançamentos!$B$3:$B$1001,$B332)=0,"Bloqueado",IF('E2 — Triagem'!$D314="","Bloqueado",IF(COUNTIF('E2 — Triagem'!$E314:$L314,"N/A")=8,"Bloqueado",IF(COUNTIF('E2 — Triagem'!$E314:$L314,"⛔ Bloqueado")&gt;0,"Bloqueado",IF(COUNTIF('E2 — Triagem'!$E314:$L314,"✔ Concluído")+COUNTIF('E2 — Triagem'!$E314:$L314,"N/A")=8,"Concluído",IF(COUNTIF('E2 — Triagem'!$E314:$L314,"✔ Concluído")+COUNTIF('E2 — Triagem'!$E314:$L314,"🔄 Em andamento")&gt;0,"Em andamento","Não iniciado"))))))))</f>
        <v/>
      </c>
      <c r="G332" s="229" t="str">
        <f>IF($B332="","",IF($F332&lt;&gt;"Concluído","Não iniciado",IF(COUNTIF(Lançamentos!$B$3:$B$1001,$B332)=0,"Bloqueado",IF('E3 — Levantamento'!$D314="","Bloqueado",IF(COUNTIF('E3 — Levantamento'!$E314:$I314,"⛔ Bloqueado")&gt;0,"Bloqueado",IF('E3 — Levantamento'!$I314="N/A","Bloqueado",IF(COUNTIF('E3 — Levantamento'!$E314:$I314,"✔ Concluído")=5,"Concluído",IF(COUNTIF('E3 — Levantamento'!$E314:$I314,"✔ Concluído")+COUNTIF('E3 — Levantamento'!$E314:$I314,"🔄 Em andamento")&gt;0,"Em andamento","Não iniciado"))))))))</f>
        <v/>
      </c>
      <c r="H332" s="229" t="str">
        <f>IF($B332="","",IF($G332&lt;&gt;"Concluído","Não iniciado",IF(COUNTIF(Lançamentos!$B$3:$B$1001,$B332)=0,"Bloqueado",IF('E4 — Execução'!$D314="","Bloqueado",IF(COUNTIF('E4 — Execução'!$E314:$K314,"⛔ Bloqueado")&gt;0,"Bloqueado",IF(COUNTIF('E4 — Execução'!$E314:$K314,"✔ Concluído")=7,"Concluído",IF(COUNTIF('E4 — Execução'!$E314:$K314,"✔ Concluído")+COUNTIF('E4 — Execução'!$E314:$K314,"🔄 Em andamento")&gt;0,"Em andamento","Não iniciado")))))))</f>
        <v/>
      </c>
      <c r="I332" s="229" t="str">
        <f>IF($B332="","",IF($H332&lt;&gt;"Concluído","Não iniciado",IF(COUNTIF(Lançamentos!$B$3:$B$1001,$B332)=0,"Bloqueado",IF('E5 — Validação'!$D314="","Bloqueado",IF(COUNTIF('E5 — Validação'!$E314:$I314,"⛔ Bloqueado")&gt;0,"Bloqueado",IF('E5 — Validação'!$I314="N/A","Bloqueado",IF(AND('E5 — Validação'!$E314="✔ Concluído",'E5 — Validação'!$F314="✔ Concluído",OR('E5 — Validação'!$G314="✔ Concluído",'E5 — Validação'!$G314="N/A"),'E5 — Validação'!$H314="✔ Concluído",'E5 — Validação'!$I314="✔ Concluído"),"Concluído",IF(COUNTIF('E5 — Validação'!$E314:$I314,"✔ Concluído")+COUNTIF('E5 — Validação'!$E314:$I314,"🔄 Em andamento")&gt;0,"Em andamento","Não iniciado"))))))))</f>
        <v/>
      </c>
      <c r="J332" s="229" t="str">
        <f>IF($B332="","",IF($I332&lt;&gt;"Concluído","Não iniciado",IF('E6 — Ajustes'!$N314="Não","N/A",IF(COUNTIF(Lançamentos!$B$3:$B$1001,$B332)=0,"Bloqueado",IF('E6 — Ajustes'!$D314="","Bloqueado",IF(COUNTIF('E6 — Ajustes'!$E314:$J314,"⛔ Bloqueado")&gt;0,"Bloqueado",IF(AND('E6 — Ajustes'!$E314="✔ Concluído",'E6 — Ajustes'!$F314="✔ Concluído",'E6 — Ajustes'!$G314="✔ Concluído",'E6 — Ajustes'!$H314="✔ Concluído",OR('E6 — Ajustes'!$I314="✔ Concluído",'E6 — Ajustes'!$I314="N/A"),'E6 — Ajustes'!$J314="✔ Concluído"),"Concluído",IF(COUNTIF('E6 — Ajustes'!$E314:$J314,"✔ Concluído")+COUNTIF('E6 — Ajustes'!$E314:$J314,"🔄 Em andamento")&gt;0,"Em andamento","Não iniciado"))))))))</f>
        <v/>
      </c>
      <c r="K332" s="229" t="str">
        <f>IF($B332="","",IF($I332&lt;&gt;"Concluído","Não iniciado",IF(AND($J332&lt;&gt;"Concluído",$J332&lt;&gt;"N/A"),"Não iniciado",IF(COUNTIF(Lançamentos!$B$3:$B$1001,$B332)=0,"Bloqueado",IF('E7 — Entrega'!$D314="","Bloqueado",IF(COUNTIF('E7 — Entrega'!$E314:$H314,"⛔ Bloqueado")&gt;0,"Bloqueado",IF(COUNTIF('E7 — Entrega'!$E314:$H314,"✔ Concluído")=4,"Concluído",IF(COUNTIF('E7 — Entrega'!$E314:$H314,"✔ Concluído")+COUNTIF('E7 — Entrega'!$E314:$H314,"🔄 Em andamento")&gt;0,"Em andamento","Não iniciado"))))))))</f>
        <v/>
      </c>
      <c r="L332" s="229" t="str">
        <f>IF($B332="","",IF($K332&lt;&gt;"Concluído","Não iniciado",IF(OR(COUNTIF('E08 — Estabilização Hypercare'!$E314:$J314,"⛔ Bloqueado")&gt;0,'E08 — Estabilização Hypercare'!$N314="⛔ Incidente Crítico — Encerramento Bloqueado",AND('E08 — Estabilização Hypercare'!$N314="🆕 Evolução Identificada — Nova Demanda Aberta",'E08 — Estabilização Hypercare'!$U314="")),"Bloqueado",IF(AND('E08 — Estabilização Hypercare'!$E314="✔ Concluído",'E08 — Estabilização Hypercare'!$F314="✔ Concluído",'E08 — Estabilização Hypercare'!$G314="✔ Concluído",OR('E08 — Estabilização Hypercare'!$H314="✔ Concluído",'E08 — Estabilização Hypercare'!$H314="N/A"),'E08 — Estabilização Hypercare'!$I314="✔ Concluído",'E08 — Estabilização Hypercare'!$J314="✔ Concluído",OR('E08 — Estabilização Hypercare'!$N314="✅ Estável — Demanda Encerrada",AND('E08 — Estabilização Hypercare'!$N314="🆕 Evolução Identificada — Nova Demanda Aberta",'E08 — Estabilização Hypercare'!$U314&lt;&gt;""))),"Concluído",IF(OR(COUNTIF('E08 — Estabilização Hypercare'!$E314:$J314,"✔ Concluído")&gt;0,COUNTIF('E08 — Estabilização Hypercare'!$E314:$J314,"🔄 Em andamento")&gt;0,'E08 — Estabilização Hypercare'!$N314&lt;&gt;""),"Em andamento","Não iniciado")))))</f>
        <v/>
      </c>
      <c r="M332" s="232" t="str" cm="1">
        <f t="array" ref="M332">IF(B332="","",_xlfn.IFS(E332&lt;&gt;"Concluído","E1 — Solicitação",F332&lt;&gt;"Concluído","E2 — Triagem",G332&lt;&gt;"Concluído","E3 — Levantamento ⚠",H332&lt;&gt;"Concluído","E4 — Execução",I332&lt;&gt;"Concluído","E5 — Validação ⚠",AND(J332&lt;&gt;"Concluído",J332&lt;&gt;"N/A"),"E6 — Ajustes",K332&lt;&gt;"Concluído","E7 — Entrega",L332&lt;&gt;"Concluído","E08 — Estabilização / Hypercare",TRUE,"✔ Fluxo concluído"))</f>
        <v/>
      </c>
      <c r="N332" s="233" t="str">
        <f t="shared" si="5"/>
        <v/>
      </c>
      <c r="O332" s="230"/>
    </row>
    <row r="333" spans="2:15" x14ac:dyDescent="0.35">
      <c r="B333" s="229" t="str">
        <f>IF(Lançamentos!$B310="","",Lançamentos!$B310)</f>
        <v/>
      </c>
      <c r="C333" s="231" t="str">
        <f>IF($B333="","",Lançamentos!$J310)</f>
        <v/>
      </c>
      <c r="D333" s="231" t="str">
        <f>IF($B333="","",Lançamentos!$H310)</f>
        <v/>
      </c>
      <c r="E333" s="229" t="str">
        <f>IF($B333="","",IF(COUNTIF(Lançamentos!$B$3:$B$1001,$B333)=0,"Bloqueado",IF(COUNTIF('E1 — Solicitação'!$E315:$L315,"⛔ Bloqueado")&gt;0,"Bloqueado",IF(COUNTIF('E1 — Solicitação'!$E315:$L315,"N/A")=8,"Bloqueado",IF(COUNTIF('E1 — Solicitação'!$E315:$L315,"✔ Concluído")+COUNTIF('E1 — Solicitação'!$E315:$L315,"N/A")=8,"Concluído",IF(COUNTIF('E1 — Solicitação'!$E315:$L315,"✔ Concluído")+COUNTIF('E1 — Solicitação'!$E315:$L315,"🔄 Em andamento")&gt;0,"Em andamento","Não iniciado"))))))</f>
        <v/>
      </c>
      <c r="F333" s="229" t="str">
        <f>IF($B333="","",IF($E333&lt;&gt;"Concluído","Não iniciado",IF(COUNTIF(Lançamentos!$B$3:$B$1001,$B333)=0,"Bloqueado",IF('E2 — Triagem'!$D315="","Bloqueado",IF(COUNTIF('E2 — Triagem'!$E315:$L315,"N/A")=8,"Bloqueado",IF(COUNTIF('E2 — Triagem'!$E315:$L315,"⛔ Bloqueado")&gt;0,"Bloqueado",IF(COUNTIF('E2 — Triagem'!$E315:$L315,"✔ Concluído")+COUNTIF('E2 — Triagem'!$E315:$L315,"N/A")=8,"Concluído",IF(COUNTIF('E2 — Triagem'!$E315:$L315,"✔ Concluído")+COUNTIF('E2 — Triagem'!$E315:$L315,"🔄 Em andamento")&gt;0,"Em andamento","Não iniciado"))))))))</f>
        <v/>
      </c>
      <c r="G333" s="229" t="str">
        <f>IF($B333="","",IF($F333&lt;&gt;"Concluído","Não iniciado",IF(COUNTIF(Lançamentos!$B$3:$B$1001,$B333)=0,"Bloqueado",IF('E3 — Levantamento'!$D315="","Bloqueado",IF(COUNTIF('E3 — Levantamento'!$E315:$I315,"⛔ Bloqueado")&gt;0,"Bloqueado",IF('E3 — Levantamento'!$I315="N/A","Bloqueado",IF(COUNTIF('E3 — Levantamento'!$E315:$I315,"✔ Concluído")=5,"Concluído",IF(COUNTIF('E3 — Levantamento'!$E315:$I315,"✔ Concluído")+COUNTIF('E3 — Levantamento'!$E315:$I315,"🔄 Em andamento")&gt;0,"Em andamento","Não iniciado"))))))))</f>
        <v/>
      </c>
      <c r="H333" s="229" t="str">
        <f>IF($B333="","",IF($G333&lt;&gt;"Concluído","Não iniciado",IF(COUNTIF(Lançamentos!$B$3:$B$1001,$B333)=0,"Bloqueado",IF('E4 — Execução'!$D315="","Bloqueado",IF(COUNTIF('E4 — Execução'!$E315:$K315,"⛔ Bloqueado")&gt;0,"Bloqueado",IF(COUNTIF('E4 — Execução'!$E315:$K315,"✔ Concluído")=7,"Concluído",IF(COUNTIF('E4 — Execução'!$E315:$K315,"✔ Concluído")+COUNTIF('E4 — Execução'!$E315:$K315,"🔄 Em andamento")&gt;0,"Em andamento","Não iniciado")))))))</f>
        <v/>
      </c>
      <c r="I333" s="229" t="str">
        <f>IF($B333="","",IF($H333&lt;&gt;"Concluído","Não iniciado",IF(COUNTIF(Lançamentos!$B$3:$B$1001,$B333)=0,"Bloqueado",IF('E5 — Validação'!$D315="","Bloqueado",IF(COUNTIF('E5 — Validação'!$E315:$I315,"⛔ Bloqueado")&gt;0,"Bloqueado",IF('E5 — Validação'!$I315="N/A","Bloqueado",IF(AND('E5 — Validação'!$E315="✔ Concluído",'E5 — Validação'!$F315="✔ Concluído",OR('E5 — Validação'!$G315="✔ Concluído",'E5 — Validação'!$G315="N/A"),'E5 — Validação'!$H315="✔ Concluído",'E5 — Validação'!$I315="✔ Concluído"),"Concluído",IF(COUNTIF('E5 — Validação'!$E315:$I315,"✔ Concluído")+COUNTIF('E5 — Validação'!$E315:$I315,"🔄 Em andamento")&gt;0,"Em andamento","Não iniciado"))))))))</f>
        <v/>
      </c>
      <c r="J333" s="229" t="str">
        <f>IF($B333="","",IF($I333&lt;&gt;"Concluído","Não iniciado",IF('E6 — Ajustes'!$N315="Não","N/A",IF(COUNTIF(Lançamentos!$B$3:$B$1001,$B333)=0,"Bloqueado",IF('E6 — Ajustes'!$D315="","Bloqueado",IF(COUNTIF('E6 — Ajustes'!$E315:$J315,"⛔ Bloqueado")&gt;0,"Bloqueado",IF(AND('E6 — Ajustes'!$E315="✔ Concluído",'E6 — Ajustes'!$F315="✔ Concluído",'E6 — Ajustes'!$G315="✔ Concluído",'E6 — Ajustes'!$H315="✔ Concluído",OR('E6 — Ajustes'!$I315="✔ Concluído",'E6 — Ajustes'!$I315="N/A"),'E6 — Ajustes'!$J315="✔ Concluído"),"Concluído",IF(COUNTIF('E6 — Ajustes'!$E315:$J315,"✔ Concluído")+COUNTIF('E6 — Ajustes'!$E315:$J315,"🔄 Em andamento")&gt;0,"Em andamento","Não iniciado"))))))))</f>
        <v/>
      </c>
      <c r="K333" s="229" t="str">
        <f>IF($B333="","",IF($I333&lt;&gt;"Concluído","Não iniciado",IF(AND($J333&lt;&gt;"Concluído",$J333&lt;&gt;"N/A"),"Não iniciado",IF(COUNTIF(Lançamentos!$B$3:$B$1001,$B333)=0,"Bloqueado",IF('E7 — Entrega'!$D315="","Bloqueado",IF(COUNTIF('E7 — Entrega'!$E315:$H315,"⛔ Bloqueado")&gt;0,"Bloqueado",IF(COUNTIF('E7 — Entrega'!$E315:$H315,"✔ Concluído")=4,"Concluído",IF(COUNTIF('E7 — Entrega'!$E315:$H315,"✔ Concluído")+COUNTIF('E7 — Entrega'!$E315:$H315,"🔄 Em andamento")&gt;0,"Em andamento","Não iniciado"))))))))</f>
        <v/>
      </c>
      <c r="L333" s="229" t="str">
        <f>IF($B333="","",IF($K333&lt;&gt;"Concluído","Não iniciado",IF(OR(COUNTIF('E08 — Estabilização Hypercare'!$E315:$J315,"⛔ Bloqueado")&gt;0,'E08 — Estabilização Hypercare'!$N315="⛔ Incidente Crítico — Encerramento Bloqueado",AND('E08 — Estabilização Hypercare'!$N315="🆕 Evolução Identificada — Nova Demanda Aberta",'E08 — Estabilização Hypercare'!$U315="")),"Bloqueado",IF(AND('E08 — Estabilização Hypercare'!$E315="✔ Concluído",'E08 — Estabilização Hypercare'!$F315="✔ Concluído",'E08 — Estabilização Hypercare'!$G315="✔ Concluído",OR('E08 — Estabilização Hypercare'!$H315="✔ Concluído",'E08 — Estabilização Hypercare'!$H315="N/A"),'E08 — Estabilização Hypercare'!$I315="✔ Concluído",'E08 — Estabilização Hypercare'!$J315="✔ Concluído",OR('E08 — Estabilização Hypercare'!$N315="✅ Estável — Demanda Encerrada",AND('E08 — Estabilização Hypercare'!$N315="🆕 Evolução Identificada — Nova Demanda Aberta",'E08 — Estabilização Hypercare'!$U315&lt;&gt;""))),"Concluído",IF(OR(COUNTIF('E08 — Estabilização Hypercare'!$E315:$J315,"✔ Concluído")&gt;0,COUNTIF('E08 — Estabilização Hypercare'!$E315:$J315,"🔄 Em andamento")&gt;0,'E08 — Estabilização Hypercare'!$N315&lt;&gt;""),"Em andamento","Não iniciado")))))</f>
        <v/>
      </c>
      <c r="M333" s="232" t="str" cm="1">
        <f t="array" ref="M333">IF(B333="","",_xlfn.IFS(E333&lt;&gt;"Concluído","E1 — Solicitação",F333&lt;&gt;"Concluído","E2 — Triagem",G333&lt;&gt;"Concluído","E3 — Levantamento ⚠",H333&lt;&gt;"Concluído","E4 — Execução",I333&lt;&gt;"Concluído","E5 — Validação ⚠",AND(J333&lt;&gt;"Concluído",J333&lt;&gt;"N/A"),"E6 — Ajustes",K333&lt;&gt;"Concluído","E7 — Entrega",L333&lt;&gt;"Concluído","E08 — Estabilização / Hypercare",TRUE,"✔ Fluxo concluído"))</f>
        <v/>
      </c>
      <c r="N333" s="233" t="str">
        <f t="shared" si="5"/>
        <v/>
      </c>
      <c r="O333" s="230"/>
    </row>
    <row r="334" spans="2:15" x14ac:dyDescent="0.35">
      <c r="B334" s="229" t="str">
        <f>IF(Lançamentos!$B311="","",Lançamentos!$B311)</f>
        <v/>
      </c>
      <c r="C334" s="231" t="str">
        <f>IF($B334="","",Lançamentos!$J311)</f>
        <v/>
      </c>
      <c r="D334" s="231" t="str">
        <f>IF($B334="","",Lançamentos!$H311)</f>
        <v/>
      </c>
      <c r="E334" s="229" t="str">
        <f>IF($B334="","",IF(COUNTIF(Lançamentos!$B$3:$B$1001,$B334)=0,"Bloqueado",IF(COUNTIF('E1 — Solicitação'!$E316:$L316,"⛔ Bloqueado")&gt;0,"Bloqueado",IF(COUNTIF('E1 — Solicitação'!$E316:$L316,"N/A")=8,"Bloqueado",IF(COUNTIF('E1 — Solicitação'!$E316:$L316,"✔ Concluído")+COUNTIF('E1 — Solicitação'!$E316:$L316,"N/A")=8,"Concluído",IF(COUNTIF('E1 — Solicitação'!$E316:$L316,"✔ Concluído")+COUNTIF('E1 — Solicitação'!$E316:$L316,"🔄 Em andamento")&gt;0,"Em andamento","Não iniciado"))))))</f>
        <v/>
      </c>
      <c r="F334" s="229" t="str">
        <f>IF($B334="","",IF($E334&lt;&gt;"Concluído","Não iniciado",IF(COUNTIF(Lançamentos!$B$3:$B$1001,$B334)=0,"Bloqueado",IF('E2 — Triagem'!$D316="","Bloqueado",IF(COUNTIF('E2 — Triagem'!$E316:$L316,"N/A")=8,"Bloqueado",IF(COUNTIF('E2 — Triagem'!$E316:$L316,"⛔ Bloqueado")&gt;0,"Bloqueado",IF(COUNTIF('E2 — Triagem'!$E316:$L316,"✔ Concluído")+COUNTIF('E2 — Triagem'!$E316:$L316,"N/A")=8,"Concluído",IF(COUNTIF('E2 — Triagem'!$E316:$L316,"✔ Concluído")+COUNTIF('E2 — Triagem'!$E316:$L316,"🔄 Em andamento")&gt;0,"Em andamento","Não iniciado"))))))))</f>
        <v/>
      </c>
      <c r="G334" s="229" t="str">
        <f>IF($B334="","",IF($F334&lt;&gt;"Concluído","Não iniciado",IF(COUNTIF(Lançamentos!$B$3:$B$1001,$B334)=0,"Bloqueado",IF('E3 — Levantamento'!$D316="","Bloqueado",IF(COUNTIF('E3 — Levantamento'!$E316:$I316,"⛔ Bloqueado")&gt;0,"Bloqueado",IF('E3 — Levantamento'!$I316="N/A","Bloqueado",IF(COUNTIF('E3 — Levantamento'!$E316:$I316,"✔ Concluído")=5,"Concluído",IF(COUNTIF('E3 — Levantamento'!$E316:$I316,"✔ Concluído")+COUNTIF('E3 — Levantamento'!$E316:$I316,"🔄 Em andamento")&gt;0,"Em andamento","Não iniciado"))))))))</f>
        <v/>
      </c>
      <c r="H334" s="229" t="str">
        <f>IF($B334="","",IF($G334&lt;&gt;"Concluído","Não iniciado",IF(COUNTIF(Lançamentos!$B$3:$B$1001,$B334)=0,"Bloqueado",IF('E4 — Execução'!$D316="","Bloqueado",IF(COUNTIF('E4 — Execução'!$E316:$K316,"⛔ Bloqueado")&gt;0,"Bloqueado",IF(COUNTIF('E4 — Execução'!$E316:$K316,"✔ Concluído")=7,"Concluído",IF(COUNTIF('E4 — Execução'!$E316:$K316,"✔ Concluído")+COUNTIF('E4 — Execução'!$E316:$K316,"🔄 Em andamento")&gt;0,"Em andamento","Não iniciado")))))))</f>
        <v/>
      </c>
      <c r="I334" s="229" t="str">
        <f>IF($B334="","",IF($H334&lt;&gt;"Concluído","Não iniciado",IF(COUNTIF(Lançamentos!$B$3:$B$1001,$B334)=0,"Bloqueado",IF('E5 — Validação'!$D316="","Bloqueado",IF(COUNTIF('E5 — Validação'!$E316:$I316,"⛔ Bloqueado")&gt;0,"Bloqueado",IF('E5 — Validação'!$I316="N/A","Bloqueado",IF(AND('E5 — Validação'!$E316="✔ Concluído",'E5 — Validação'!$F316="✔ Concluído",OR('E5 — Validação'!$G316="✔ Concluído",'E5 — Validação'!$G316="N/A"),'E5 — Validação'!$H316="✔ Concluído",'E5 — Validação'!$I316="✔ Concluído"),"Concluído",IF(COUNTIF('E5 — Validação'!$E316:$I316,"✔ Concluído")+COUNTIF('E5 — Validação'!$E316:$I316,"🔄 Em andamento")&gt;0,"Em andamento","Não iniciado"))))))))</f>
        <v/>
      </c>
      <c r="J334" s="229" t="str">
        <f>IF($B334="","",IF($I334&lt;&gt;"Concluído","Não iniciado",IF('E6 — Ajustes'!$N316="Não","N/A",IF(COUNTIF(Lançamentos!$B$3:$B$1001,$B334)=0,"Bloqueado",IF('E6 — Ajustes'!$D316="","Bloqueado",IF(COUNTIF('E6 — Ajustes'!$E316:$J316,"⛔ Bloqueado")&gt;0,"Bloqueado",IF(AND('E6 — Ajustes'!$E316="✔ Concluído",'E6 — Ajustes'!$F316="✔ Concluído",'E6 — Ajustes'!$G316="✔ Concluído",'E6 — Ajustes'!$H316="✔ Concluído",OR('E6 — Ajustes'!$I316="✔ Concluído",'E6 — Ajustes'!$I316="N/A"),'E6 — Ajustes'!$J316="✔ Concluído"),"Concluído",IF(COUNTIF('E6 — Ajustes'!$E316:$J316,"✔ Concluído")+COUNTIF('E6 — Ajustes'!$E316:$J316,"🔄 Em andamento")&gt;0,"Em andamento","Não iniciado"))))))))</f>
        <v/>
      </c>
      <c r="K334" s="229" t="str">
        <f>IF($B334="","",IF($I334&lt;&gt;"Concluído","Não iniciado",IF(AND($J334&lt;&gt;"Concluído",$J334&lt;&gt;"N/A"),"Não iniciado",IF(COUNTIF(Lançamentos!$B$3:$B$1001,$B334)=0,"Bloqueado",IF('E7 — Entrega'!$D316="","Bloqueado",IF(COUNTIF('E7 — Entrega'!$E316:$H316,"⛔ Bloqueado")&gt;0,"Bloqueado",IF(COUNTIF('E7 — Entrega'!$E316:$H316,"✔ Concluído")=4,"Concluído",IF(COUNTIF('E7 — Entrega'!$E316:$H316,"✔ Concluído")+COUNTIF('E7 — Entrega'!$E316:$H316,"🔄 Em andamento")&gt;0,"Em andamento","Não iniciado"))))))))</f>
        <v/>
      </c>
      <c r="L334" s="229" t="str">
        <f>IF($B334="","",IF($K334&lt;&gt;"Concluído","Não iniciado",IF(OR(COUNTIF('E08 — Estabilização Hypercare'!$E316:$J316,"⛔ Bloqueado")&gt;0,'E08 — Estabilização Hypercare'!$N316="⛔ Incidente Crítico — Encerramento Bloqueado",AND('E08 — Estabilização Hypercare'!$N316="🆕 Evolução Identificada — Nova Demanda Aberta",'E08 — Estabilização Hypercare'!$U316="")),"Bloqueado",IF(AND('E08 — Estabilização Hypercare'!$E316="✔ Concluído",'E08 — Estabilização Hypercare'!$F316="✔ Concluído",'E08 — Estabilização Hypercare'!$G316="✔ Concluído",OR('E08 — Estabilização Hypercare'!$H316="✔ Concluído",'E08 — Estabilização Hypercare'!$H316="N/A"),'E08 — Estabilização Hypercare'!$I316="✔ Concluído",'E08 — Estabilização Hypercare'!$J316="✔ Concluído",OR('E08 — Estabilização Hypercare'!$N316="✅ Estável — Demanda Encerrada",AND('E08 — Estabilização Hypercare'!$N316="🆕 Evolução Identificada — Nova Demanda Aberta",'E08 — Estabilização Hypercare'!$U316&lt;&gt;""))),"Concluído",IF(OR(COUNTIF('E08 — Estabilização Hypercare'!$E316:$J316,"✔ Concluído")&gt;0,COUNTIF('E08 — Estabilização Hypercare'!$E316:$J316,"🔄 Em andamento")&gt;0,'E08 — Estabilização Hypercare'!$N316&lt;&gt;""),"Em andamento","Não iniciado")))))</f>
        <v/>
      </c>
      <c r="M334" s="232" t="str" cm="1">
        <f t="array" ref="M334">IF(B334="","",_xlfn.IFS(E334&lt;&gt;"Concluído","E1 — Solicitação",F334&lt;&gt;"Concluído","E2 — Triagem",G334&lt;&gt;"Concluído","E3 — Levantamento ⚠",H334&lt;&gt;"Concluído","E4 — Execução",I334&lt;&gt;"Concluído","E5 — Validação ⚠",AND(J334&lt;&gt;"Concluído",J334&lt;&gt;"N/A"),"E6 — Ajustes",K334&lt;&gt;"Concluído","E7 — Entrega",L334&lt;&gt;"Concluído","E08 — Estabilização / Hypercare",TRUE,"✔ Fluxo concluído"))</f>
        <v/>
      </c>
      <c r="N334" s="233" t="str">
        <f t="shared" si="5"/>
        <v/>
      </c>
      <c r="O334" s="230"/>
    </row>
    <row r="335" spans="2:15" x14ac:dyDescent="0.35">
      <c r="B335" s="229" t="str">
        <f>IF(Lançamentos!$B312="","",Lançamentos!$B312)</f>
        <v/>
      </c>
      <c r="C335" s="231" t="str">
        <f>IF($B335="","",Lançamentos!$J312)</f>
        <v/>
      </c>
      <c r="D335" s="231" t="str">
        <f>IF($B335="","",Lançamentos!$H312)</f>
        <v/>
      </c>
      <c r="E335" s="229" t="str">
        <f>IF($B335="","",IF(COUNTIF(Lançamentos!$B$3:$B$1001,$B335)=0,"Bloqueado",IF(COUNTIF('E1 — Solicitação'!$E317:$L317,"⛔ Bloqueado")&gt;0,"Bloqueado",IF(COUNTIF('E1 — Solicitação'!$E317:$L317,"N/A")=8,"Bloqueado",IF(COUNTIF('E1 — Solicitação'!$E317:$L317,"✔ Concluído")+COUNTIF('E1 — Solicitação'!$E317:$L317,"N/A")=8,"Concluído",IF(COUNTIF('E1 — Solicitação'!$E317:$L317,"✔ Concluído")+COUNTIF('E1 — Solicitação'!$E317:$L317,"🔄 Em andamento")&gt;0,"Em andamento","Não iniciado"))))))</f>
        <v/>
      </c>
      <c r="F335" s="229" t="str">
        <f>IF($B335="","",IF($E335&lt;&gt;"Concluído","Não iniciado",IF(COUNTIF(Lançamentos!$B$3:$B$1001,$B335)=0,"Bloqueado",IF('E2 — Triagem'!$D317="","Bloqueado",IF(COUNTIF('E2 — Triagem'!$E317:$L317,"N/A")=8,"Bloqueado",IF(COUNTIF('E2 — Triagem'!$E317:$L317,"⛔ Bloqueado")&gt;0,"Bloqueado",IF(COUNTIF('E2 — Triagem'!$E317:$L317,"✔ Concluído")+COUNTIF('E2 — Triagem'!$E317:$L317,"N/A")=8,"Concluído",IF(COUNTIF('E2 — Triagem'!$E317:$L317,"✔ Concluído")+COUNTIF('E2 — Triagem'!$E317:$L317,"🔄 Em andamento")&gt;0,"Em andamento","Não iniciado"))))))))</f>
        <v/>
      </c>
      <c r="G335" s="229" t="str">
        <f>IF($B335="","",IF($F335&lt;&gt;"Concluído","Não iniciado",IF(COUNTIF(Lançamentos!$B$3:$B$1001,$B335)=0,"Bloqueado",IF('E3 — Levantamento'!$D317="","Bloqueado",IF(COUNTIF('E3 — Levantamento'!$E317:$I317,"⛔ Bloqueado")&gt;0,"Bloqueado",IF('E3 — Levantamento'!$I317="N/A","Bloqueado",IF(COUNTIF('E3 — Levantamento'!$E317:$I317,"✔ Concluído")=5,"Concluído",IF(COUNTIF('E3 — Levantamento'!$E317:$I317,"✔ Concluído")+COUNTIF('E3 — Levantamento'!$E317:$I317,"🔄 Em andamento")&gt;0,"Em andamento","Não iniciado"))))))))</f>
        <v/>
      </c>
      <c r="H335" s="229" t="str">
        <f>IF($B335="","",IF($G335&lt;&gt;"Concluído","Não iniciado",IF(COUNTIF(Lançamentos!$B$3:$B$1001,$B335)=0,"Bloqueado",IF('E4 — Execução'!$D317="","Bloqueado",IF(COUNTIF('E4 — Execução'!$E317:$K317,"⛔ Bloqueado")&gt;0,"Bloqueado",IF(COUNTIF('E4 — Execução'!$E317:$K317,"✔ Concluído")=7,"Concluído",IF(COUNTIF('E4 — Execução'!$E317:$K317,"✔ Concluído")+COUNTIF('E4 — Execução'!$E317:$K317,"🔄 Em andamento")&gt;0,"Em andamento","Não iniciado")))))))</f>
        <v/>
      </c>
      <c r="I335" s="229" t="str">
        <f>IF($B335="","",IF($H335&lt;&gt;"Concluído","Não iniciado",IF(COUNTIF(Lançamentos!$B$3:$B$1001,$B335)=0,"Bloqueado",IF('E5 — Validação'!$D317="","Bloqueado",IF(COUNTIF('E5 — Validação'!$E317:$I317,"⛔ Bloqueado")&gt;0,"Bloqueado",IF('E5 — Validação'!$I317="N/A","Bloqueado",IF(AND('E5 — Validação'!$E317="✔ Concluído",'E5 — Validação'!$F317="✔ Concluído",OR('E5 — Validação'!$G317="✔ Concluído",'E5 — Validação'!$G317="N/A"),'E5 — Validação'!$H317="✔ Concluído",'E5 — Validação'!$I317="✔ Concluído"),"Concluído",IF(COUNTIF('E5 — Validação'!$E317:$I317,"✔ Concluído")+COUNTIF('E5 — Validação'!$E317:$I317,"🔄 Em andamento")&gt;0,"Em andamento","Não iniciado"))))))))</f>
        <v/>
      </c>
      <c r="J335" s="229" t="str">
        <f>IF($B335="","",IF($I335&lt;&gt;"Concluído","Não iniciado",IF('E6 — Ajustes'!$N317="Não","N/A",IF(COUNTIF(Lançamentos!$B$3:$B$1001,$B335)=0,"Bloqueado",IF('E6 — Ajustes'!$D317="","Bloqueado",IF(COUNTIF('E6 — Ajustes'!$E317:$J317,"⛔ Bloqueado")&gt;0,"Bloqueado",IF(AND('E6 — Ajustes'!$E317="✔ Concluído",'E6 — Ajustes'!$F317="✔ Concluído",'E6 — Ajustes'!$G317="✔ Concluído",'E6 — Ajustes'!$H317="✔ Concluído",OR('E6 — Ajustes'!$I317="✔ Concluído",'E6 — Ajustes'!$I317="N/A"),'E6 — Ajustes'!$J317="✔ Concluído"),"Concluído",IF(COUNTIF('E6 — Ajustes'!$E317:$J317,"✔ Concluído")+COUNTIF('E6 — Ajustes'!$E317:$J317,"🔄 Em andamento")&gt;0,"Em andamento","Não iniciado"))))))))</f>
        <v/>
      </c>
      <c r="K335" s="229" t="str">
        <f>IF($B335="","",IF($I335&lt;&gt;"Concluído","Não iniciado",IF(AND($J335&lt;&gt;"Concluído",$J335&lt;&gt;"N/A"),"Não iniciado",IF(COUNTIF(Lançamentos!$B$3:$B$1001,$B335)=0,"Bloqueado",IF('E7 — Entrega'!$D317="","Bloqueado",IF(COUNTIF('E7 — Entrega'!$E317:$H317,"⛔ Bloqueado")&gt;0,"Bloqueado",IF(COUNTIF('E7 — Entrega'!$E317:$H317,"✔ Concluído")=4,"Concluído",IF(COUNTIF('E7 — Entrega'!$E317:$H317,"✔ Concluído")+COUNTIF('E7 — Entrega'!$E317:$H317,"🔄 Em andamento")&gt;0,"Em andamento","Não iniciado"))))))))</f>
        <v/>
      </c>
      <c r="L335" s="229" t="str">
        <f>IF($B335="","",IF($K335&lt;&gt;"Concluído","Não iniciado",IF(OR(COUNTIF('E08 — Estabilização Hypercare'!$E317:$J317,"⛔ Bloqueado")&gt;0,'E08 — Estabilização Hypercare'!$N317="⛔ Incidente Crítico — Encerramento Bloqueado",AND('E08 — Estabilização Hypercare'!$N317="🆕 Evolução Identificada — Nova Demanda Aberta",'E08 — Estabilização Hypercare'!$U317="")),"Bloqueado",IF(AND('E08 — Estabilização Hypercare'!$E317="✔ Concluído",'E08 — Estabilização Hypercare'!$F317="✔ Concluído",'E08 — Estabilização Hypercare'!$G317="✔ Concluído",OR('E08 — Estabilização Hypercare'!$H317="✔ Concluído",'E08 — Estabilização Hypercare'!$H317="N/A"),'E08 — Estabilização Hypercare'!$I317="✔ Concluído",'E08 — Estabilização Hypercare'!$J317="✔ Concluído",OR('E08 — Estabilização Hypercare'!$N317="✅ Estável — Demanda Encerrada",AND('E08 — Estabilização Hypercare'!$N317="🆕 Evolução Identificada — Nova Demanda Aberta",'E08 — Estabilização Hypercare'!$U317&lt;&gt;""))),"Concluído",IF(OR(COUNTIF('E08 — Estabilização Hypercare'!$E317:$J317,"✔ Concluído")&gt;0,COUNTIF('E08 — Estabilização Hypercare'!$E317:$J317,"🔄 Em andamento")&gt;0,'E08 — Estabilização Hypercare'!$N317&lt;&gt;""),"Em andamento","Não iniciado")))))</f>
        <v/>
      </c>
      <c r="M335" s="232" t="str" cm="1">
        <f t="array" ref="M335">IF(B335="","",_xlfn.IFS(E335&lt;&gt;"Concluído","E1 — Solicitação",F335&lt;&gt;"Concluído","E2 — Triagem",G335&lt;&gt;"Concluído","E3 — Levantamento ⚠",H335&lt;&gt;"Concluído","E4 — Execução",I335&lt;&gt;"Concluído","E5 — Validação ⚠",AND(J335&lt;&gt;"Concluído",J335&lt;&gt;"N/A"),"E6 — Ajustes",K335&lt;&gt;"Concluído","E7 — Entrega",L335&lt;&gt;"Concluído","E08 — Estabilização / Hypercare",TRUE,"✔ Fluxo concluído"))</f>
        <v/>
      </c>
      <c r="N335" s="233" t="str">
        <f t="shared" si="5"/>
        <v/>
      </c>
      <c r="O335" s="230"/>
    </row>
    <row r="336" spans="2:15" x14ac:dyDescent="0.35">
      <c r="B336" s="229" t="str">
        <f>IF(Lançamentos!$B313="","",Lançamentos!$B313)</f>
        <v/>
      </c>
      <c r="C336" s="231" t="str">
        <f>IF($B336="","",Lançamentos!$J313)</f>
        <v/>
      </c>
      <c r="D336" s="231" t="str">
        <f>IF($B336="","",Lançamentos!$H313)</f>
        <v/>
      </c>
      <c r="E336" s="229" t="str">
        <f>IF($B336="","",IF(COUNTIF(Lançamentos!$B$3:$B$1001,$B336)=0,"Bloqueado",IF(COUNTIF('E1 — Solicitação'!$E318:$L318,"⛔ Bloqueado")&gt;0,"Bloqueado",IF(COUNTIF('E1 — Solicitação'!$E318:$L318,"N/A")=8,"Bloqueado",IF(COUNTIF('E1 — Solicitação'!$E318:$L318,"✔ Concluído")+COUNTIF('E1 — Solicitação'!$E318:$L318,"N/A")=8,"Concluído",IF(COUNTIF('E1 — Solicitação'!$E318:$L318,"✔ Concluído")+COUNTIF('E1 — Solicitação'!$E318:$L318,"🔄 Em andamento")&gt;0,"Em andamento","Não iniciado"))))))</f>
        <v/>
      </c>
      <c r="F336" s="229" t="str">
        <f>IF($B336="","",IF($E336&lt;&gt;"Concluído","Não iniciado",IF(COUNTIF(Lançamentos!$B$3:$B$1001,$B336)=0,"Bloqueado",IF('E2 — Triagem'!$D318="","Bloqueado",IF(COUNTIF('E2 — Triagem'!$E318:$L318,"N/A")=8,"Bloqueado",IF(COUNTIF('E2 — Triagem'!$E318:$L318,"⛔ Bloqueado")&gt;0,"Bloqueado",IF(COUNTIF('E2 — Triagem'!$E318:$L318,"✔ Concluído")+COUNTIF('E2 — Triagem'!$E318:$L318,"N/A")=8,"Concluído",IF(COUNTIF('E2 — Triagem'!$E318:$L318,"✔ Concluído")+COUNTIF('E2 — Triagem'!$E318:$L318,"🔄 Em andamento")&gt;0,"Em andamento","Não iniciado"))))))))</f>
        <v/>
      </c>
      <c r="G336" s="229" t="str">
        <f>IF($B336="","",IF($F336&lt;&gt;"Concluído","Não iniciado",IF(COUNTIF(Lançamentos!$B$3:$B$1001,$B336)=0,"Bloqueado",IF('E3 — Levantamento'!$D318="","Bloqueado",IF(COUNTIF('E3 — Levantamento'!$E318:$I318,"⛔ Bloqueado")&gt;0,"Bloqueado",IF('E3 — Levantamento'!$I318="N/A","Bloqueado",IF(COUNTIF('E3 — Levantamento'!$E318:$I318,"✔ Concluído")=5,"Concluído",IF(COUNTIF('E3 — Levantamento'!$E318:$I318,"✔ Concluído")+COUNTIF('E3 — Levantamento'!$E318:$I318,"🔄 Em andamento")&gt;0,"Em andamento","Não iniciado"))))))))</f>
        <v/>
      </c>
      <c r="H336" s="229" t="str">
        <f>IF($B336="","",IF($G336&lt;&gt;"Concluído","Não iniciado",IF(COUNTIF(Lançamentos!$B$3:$B$1001,$B336)=0,"Bloqueado",IF('E4 — Execução'!$D318="","Bloqueado",IF(COUNTIF('E4 — Execução'!$E318:$K318,"⛔ Bloqueado")&gt;0,"Bloqueado",IF(COUNTIF('E4 — Execução'!$E318:$K318,"✔ Concluído")=7,"Concluído",IF(COUNTIF('E4 — Execução'!$E318:$K318,"✔ Concluído")+COUNTIF('E4 — Execução'!$E318:$K318,"🔄 Em andamento")&gt;0,"Em andamento","Não iniciado")))))))</f>
        <v/>
      </c>
      <c r="I336" s="229" t="str">
        <f>IF($B336="","",IF($H336&lt;&gt;"Concluído","Não iniciado",IF(COUNTIF(Lançamentos!$B$3:$B$1001,$B336)=0,"Bloqueado",IF('E5 — Validação'!$D318="","Bloqueado",IF(COUNTIF('E5 — Validação'!$E318:$I318,"⛔ Bloqueado")&gt;0,"Bloqueado",IF('E5 — Validação'!$I318="N/A","Bloqueado",IF(AND('E5 — Validação'!$E318="✔ Concluído",'E5 — Validação'!$F318="✔ Concluído",OR('E5 — Validação'!$G318="✔ Concluído",'E5 — Validação'!$G318="N/A"),'E5 — Validação'!$H318="✔ Concluído",'E5 — Validação'!$I318="✔ Concluído"),"Concluído",IF(COUNTIF('E5 — Validação'!$E318:$I318,"✔ Concluído")+COUNTIF('E5 — Validação'!$E318:$I318,"🔄 Em andamento")&gt;0,"Em andamento","Não iniciado"))))))))</f>
        <v/>
      </c>
      <c r="J336" s="229" t="str">
        <f>IF($B336="","",IF($I336&lt;&gt;"Concluído","Não iniciado",IF('E6 — Ajustes'!$N318="Não","N/A",IF(COUNTIF(Lançamentos!$B$3:$B$1001,$B336)=0,"Bloqueado",IF('E6 — Ajustes'!$D318="","Bloqueado",IF(COUNTIF('E6 — Ajustes'!$E318:$J318,"⛔ Bloqueado")&gt;0,"Bloqueado",IF(AND('E6 — Ajustes'!$E318="✔ Concluído",'E6 — Ajustes'!$F318="✔ Concluído",'E6 — Ajustes'!$G318="✔ Concluído",'E6 — Ajustes'!$H318="✔ Concluído",OR('E6 — Ajustes'!$I318="✔ Concluído",'E6 — Ajustes'!$I318="N/A"),'E6 — Ajustes'!$J318="✔ Concluído"),"Concluído",IF(COUNTIF('E6 — Ajustes'!$E318:$J318,"✔ Concluído")+COUNTIF('E6 — Ajustes'!$E318:$J318,"🔄 Em andamento")&gt;0,"Em andamento","Não iniciado"))))))))</f>
        <v/>
      </c>
      <c r="K336" s="229" t="str">
        <f>IF($B336="","",IF($I336&lt;&gt;"Concluído","Não iniciado",IF(AND($J336&lt;&gt;"Concluído",$J336&lt;&gt;"N/A"),"Não iniciado",IF(COUNTIF(Lançamentos!$B$3:$B$1001,$B336)=0,"Bloqueado",IF('E7 — Entrega'!$D318="","Bloqueado",IF(COUNTIF('E7 — Entrega'!$E318:$H318,"⛔ Bloqueado")&gt;0,"Bloqueado",IF(COUNTIF('E7 — Entrega'!$E318:$H318,"✔ Concluído")=4,"Concluído",IF(COUNTIF('E7 — Entrega'!$E318:$H318,"✔ Concluído")+COUNTIF('E7 — Entrega'!$E318:$H318,"🔄 Em andamento")&gt;0,"Em andamento","Não iniciado"))))))))</f>
        <v/>
      </c>
      <c r="L336" s="229" t="str">
        <f>IF($B336="","",IF($K336&lt;&gt;"Concluído","Não iniciado",IF(OR(COUNTIF('E08 — Estabilização Hypercare'!$E318:$J318,"⛔ Bloqueado")&gt;0,'E08 — Estabilização Hypercare'!$N318="⛔ Incidente Crítico — Encerramento Bloqueado",AND('E08 — Estabilização Hypercare'!$N318="🆕 Evolução Identificada — Nova Demanda Aberta",'E08 — Estabilização Hypercare'!$U318="")),"Bloqueado",IF(AND('E08 — Estabilização Hypercare'!$E318="✔ Concluído",'E08 — Estabilização Hypercare'!$F318="✔ Concluído",'E08 — Estabilização Hypercare'!$G318="✔ Concluído",OR('E08 — Estabilização Hypercare'!$H318="✔ Concluído",'E08 — Estabilização Hypercare'!$H318="N/A"),'E08 — Estabilização Hypercare'!$I318="✔ Concluído",'E08 — Estabilização Hypercare'!$J318="✔ Concluído",OR('E08 — Estabilização Hypercare'!$N318="✅ Estável — Demanda Encerrada",AND('E08 — Estabilização Hypercare'!$N318="🆕 Evolução Identificada — Nova Demanda Aberta",'E08 — Estabilização Hypercare'!$U318&lt;&gt;""))),"Concluído",IF(OR(COUNTIF('E08 — Estabilização Hypercare'!$E318:$J318,"✔ Concluído")&gt;0,COUNTIF('E08 — Estabilização Hypercare'!$E318:$J318,"🔄 Em andamento")&gt;0,'E08 — Estabilização Hypercare'!$N318&lt;&gt;""),"Em andamento","Não iniciado")))))</f>
        <v/>
      </c>
      <c r="M336" s="232" t="str" cm="1">
        <f t="array" ref="M336">IF(B336="","",_xlfn.IFS(E336&lt;&gt;"Concluído","E1 — Solicitação",F336&lt;&gt;"Concluído","E2 — Triagem",G336&lt;&gt;"Concluído","E3 — Levantamento ⚠",H336&lt;&gt;"Concluído","E4 — Execução",I336&lt;&gt;"Concluído","E5 — Validação ⚠",AND(J336&lt;&gt;"Concluído",J336&lt;&gt;"N/A"),"E6 — Ajustes",K336&lt;&gt;"Concluído","E7 — Entrega",L336&lt;&gt;"Concluído","E08 — Estabilização / Hypercare",TRUE,"✔ Fluxo concluído"))</f>
        <v/>
      </c>
      <c r="N336" s="233" t="str">
        <f t="shared" si="5"/>
        <v/>
      </c>
      <c r="O336" s="230"/>
    </row>
    <row r="337" spans="2:15" x14ac:dyDescent="0.35">
      <c r="B337" s="229" t="str">
        <f>IF(Lançamentos!$B314="","",Lançamentos!$B314)</f>
        <v/>
      </c>
      <c r="C337" s="231" t="str">
        <f>IF($B337="","",Lançamentos!$J314)</f>
        <v/>
      </c>
      <c r="D337" s="231" t="str">
        <f>IF($B337="","",Lançamentos!$H314)</f>
        <v/>
      </c>
      <c r="E337" s="229" t="str">
        <f>IF($B337="","",IF(COUNTIF(Lançamentos!$B$3:$B$1001,$B337)=0,"Bloqueado",IF(COUNTIF('E1 — Solicitação'!$E319:$L319,"⛔ Bloqueado")&gt;0,"Bloqueado",IF(COUNTIF('E1 — Solicitação'!$E319:$L319,"N/A")=8,"Bloqueado",IF(COUNTIF('E1 — Solicitação'!$E319:$L319,"✔ Concluído")+COUNTIF('E1 — Solicitação'!$E319:$L319,"N/A")=8,"Concluído",IF(COUNTIF('E1 — Solicitação'!$E319:$L319,"✔ Concluído")+COUNTIF('E1 — Solicitação'!$E319:$L319,"🔄 Em andamento")&gt;0,"Em andamento","Não iniciado"))))))</f>
        <v/>
      </c>
      <c r="F337" s="229" t="str">
        <f>IF($B337="","",IF($E337&lt;&gt;"Concluído","Não iniciado",IF(COUNTIF(Lançamentos!$B$3:$B$1001,$B337)=0,"Bloqueado",IF('E2 — Triagem'!$D319="","Bloqueado",IF(COUNTIF('E2 — Triagem'!$E319:$L319,"N/A")=8,"Bloqueado",IF(COUNTIF('E2 — Triagem'!$E319:$L319,"⛔ Bloqueado")&gt;0,"Bloqueado",IF(COUNTIF('E2 — Triagem'!$E319:$L319,"✔ Concluído")+COUNTIF('E2 — Triagem'!$E319:$L319,"N/A")=8,"Concluído",IF(COUNTIF('E2 — Triagem'!$E319:$L319,"✔ Concluído")+COUNTIF('E2 — Triagem'!$E319:$L319,"🔄 Em andamento")&gt;0,"Em andamento","Não iniciado"))))))))</f>
        <v/>
      </c>
      <c r="G337" s="229" t="str">
        <f>IF($B337="","",IF($F337&lt;&gt;"Concluído","Não iniciado",IF(COUNTIF(Lançamentos!$B$3:$B$1001,$B337)=0,"Bloqueado",IF('E3 — Levantamento'!$D319="","Bloqueado",IF(COUNTIF('E3 — Levantamento'!$E319:$I319,"⛔ Bloqueado")&gt;0,"Bloqueado",IF('E3 — Levantamento'!$I319="N/A","Bloqueado",IF(COUNTIF('E3 — Levantamento'!$E319:$I319,"✔ Concluído")=5,"Concluído",IF(COUNTIF('E3 — Levantamento'!$E319:$I319,"✔ Concluído")+COUNTIF('E3 — Levantamento'!$E319:$I319,"🔄 Em andamento")&gt;0,"Em andamento","Não iniciado"))))))))</f>
        <v/>
      </c>
      <c r="H337" s="229" t="str">
        <f>IF($B337="","",IF($G337&lt;&gt;"Concluído","Não iniciado",IF(COUNTIF(Lançamentos!$B$3:$B$1001,$B337)=0,"Bloqueado",IF('E4 — Execução'!$D319="","Bloqueado",IF(COUNTIF('E4 — Execução'!$E319:$K319,"⛔ Bloqueado")&gt;0,"Bloqueado",IF(COUNTIF('E4 — Execução'!$E319:$K319,"✔ Concluído")=7,"Concluído",IF(COUNTIF('E4 — Execução'!$E319:$K319,"✔ Concluído")+COUNTIF('E4 — Execução'!$E319:$K319,"🔄 Em andamento")&gt;0,"Em andamento","Não iniciado")))))))</f>
        <v/>
      </c>
      <c r="I337" s="229" t="str">
        <f>IF($B337="","",IF($H337&lt;&gt;"Concluído","Não iniciado",IF(COUNTIF(Lançamentos!$B$3:$B$1001,$B337)=0,"Bloqueado",IF('E5 — Validação'!$D319="","Bloqueado",IF(COUNTIF('E5 — Validação'!$E319:$I319,"⛔ Bloqueado")&gt;0,"Bloqueado",IF('E5 — Validação'!$I319="N/A","Bloqueado",IF(AND('E5 — Validação'!$E319="✔ Concluído",'E5 — Validação'!$F319="✔ Concluído",OR('E5 — Validação'!$G319="✔ Concluído",'E5 — Validação'!$G319="N/A"),'E5 — Validação'!$H319="✔ Concluído",'E5 — Validação'!$I319="✔ Concluído"),"Concluído",IF(COUNTIF('E5 — Validação'!$E319:$I319,"✔ Concluído")+COUNTIF('E5 — Validação'!$E319:$I319,"🔄 Em andamento")&gt;0,"Em andamento","Não iniciado"))))))))</f>
        <v/>
      </c>
      <c r="J337" s="229" t="str">
        <f>IF($B337="","",IF($I337&lt;&gt;"Concluído","Não iniciado",IF('E6 — Ajustes'!$N319="Não","N/A",IF(COUNTIF(Lançamentos!$B$3:$B$1001,$B337)=0,"Bloqueado",IF('E6 — Ajustes'!$D319="","Bloqueado",IF(COUNTIF('E6 — Ajustes'!$E319:$J319,"⛔ Bloqueado")&gt;0,"Bloqueado",IF(AND('E6 — Ajustes'!$E319="✔ Concluído",'E6 — Ajustes'!$F319="✔ Concluído",'E6 — Ajustes'!$G319="✔ Concluído",'E6 — Ajustes'!$H319="✔ Concluído",OR('E6 — Ajustes'!$I319="✔ Concluído",'E6 — Ajustes'!$I319="N/A"),'E6 — Ajustes'!$J319="✔ Concluído"),"Concluído",IF(COUNTIF('E6 — Ajustes'!$E319:$J319,"✔ Concluído")+COUNTIF('E6 — Ajustes'!$E319:$J319,"🔄 Em andamento")&gt;0,"Em andamento","Não iniciado"))))))))</f>
        <v/>
      </c>
      <c r="K337" s="229" t="str">
        <f>IF($B337="","",IF($I337&lt;&gt;"Concluído","Não iniciado",IF(AND($J337&lt;&gt;"Concluído",$J337&lt;&gt;"N/A"),"Não iniciado",IF(COUNTIF(Lançamentos!$B$3:$B$1001,$B337)=0,"Bloqueado",IF('E7 — Entrega'!$D319="","Bloqueado",IF(COUNTIF('E7 — Entrega'!$E319:$H319,"⛔ Bloqueado")&gt;0,"Bloqueado",IF(COUNTIF('E7 — Entrega'!$E319:$H319,"✔ Concluído")=4,"Concluído",IF(COUNTIF('E7 — Entrega'!$E319:$H319,"✔ Concluído")+COUNTIF('E7 — Entrega'!$E319:$H319,"🔄 Em andamento")&gt;0,"Em andamento","Não iniciado"))))))))</f>
        <v/>
      </c>
      <c r="L337" s="229" t="str">
        <f>IF($B337="","",IF($K337&lt;&gt;"Concluído","Não iniciado",IF(OR(COUNTIF('E08 — Estabilização Hypercare'!$E319:$J319,"⛔ Bloqueado")&gt;0,'E08 — Estabilização Hypercare'!$N319="⛔ Incidente Crítico — Encerramento Bloqueado",AND('E08 — Estabilização Hypercare'!$N319="🆕 Evolução Identificada — Nova Demanda Aberta",'E08 — Estabilização Hypercare'!$U319="")),"Bloqueado",IF(AND('E08 — Estabilização Hypercare'!$E319="✔ Concluído",'E08 — Estabilização Hypercare'!$F319="✔ Concluído",'E08 — Estabilização Hypercare'!$G319="✔ Concluído",OR('E08 — Estabilização Hypercare'!$H319="✔ Concluído",'E08 — Estabilização Hypercare'!$H319="N/A"),'E08 — Estabilização Hypercare'!$I319="✔ Concluído",'E08 — Estabilização Hypercare'!$J319="✔ Concluído",OR('E08 — Estabilização Hypercare'!$N319="✅ Estável — Demanda Encerrada",AND('E08 — Estabilização Hypercare'!$N319="🆕 Evolução Identificada — Nova Demanda Aberta",'E08 — Estabilização Hypercare'!$U319&lt;&gt;""))),"Concluído",IF(OR(COUNTIF('E08 — Estabilização Hypercare'!$E319:$J319,"✔ Concluído")&gt;0,COUNTIF('E08 — Estabilização Hypercare'!$E319:$J319,"🔄 Em andamento")&gt;0,'E08 — Estabilização Hypercare'!$N319&lt;&gt;""),"Em andamento","Não iniciado")))))</f>
        <v/>
      </c>
      <c r="M337" s="232" t="str" cm="1">
        <f t="array" ref="M337">IF(B337="","",_xlfn.IFS(E337&lt;&gt;"Concluído","E1 — Solicitação",F337&lt;&gt;"Concluído","E2 — Triagem",G337&lt;&gt;"Concluído","E3 — Levantamento ⚠",H337&lt;&gt;"Concluído","E4 — Execução",I337&lt;&gt;"Concluído","E5 — Validação ⚠",AND(J337&lt;&gt;"Concluído",J337&lt;&gt;"N/A"),"E6 — Ajustes",K337&lt;&gt;"Concluído","E7 — Entrega",L337&lt;&gt;"Concluído","E08 — Estabilização / Hypercare",TRUE,"✔ Fluxo concluído"))</f>
        <v/>
      </c>
      <c r="N337" s="233" t="str">
        <f t="shared" si="5"/>
        <v/>
      </c>
      <c r="O337" s="230"/>
    </row>
    <row r="338" spans="2:15" x14ac:dyDescent="0.35">
      <c r="B338" s="229" t="str">
        <f>IF(Lançamentos!$B315="","",Lançamentos!$B315)</f>
        <v/>
      </c>
      <c r="C338" s="231" t="str">
        <f>IF($B338="","",Lançamentos!$J315)</f>
        <v/>
      </c>
      <c r="D338" s="231" t="str">
        <f>IF($B338="","",Lançamentos!$H315)</f>
        <v/>
      </c>
      <c r="E338" s="229" t="str">
        <f>IF($B338="","",IF(COUNTIF(Lançamentos!$B$3:$B$1001,$B338)=0,"Bloqueado",IF(COUNTIF('E1 — Solicitação'!$E320:$L320,"⛔ Bloqueado")&gt;0,"Bloqueado",IF(COUNTIF('E1 — Solicitação'!$E320:$L320,"N/A")=8,"Bloqueado",IF(COUNTIF('E1 — Solicitação'!$E320:$L320,"✔ Concluído")+COUNTIF('E1 — Solicitação'!$E320:$L320,"N/A")=8,"Concluído",IF(COUNTIF('E1 — Solicitação'!$E320:$L320,"✔ Concluído")+COUNTIF('E1 — Solicitação'!$E320:$L320,"🔄 Em andamento")&gt;0,"Em andamento","Não iniciado"))))))</f>
        <v/>
      </c>
      <c r="F338" s="229" t="str">
        <f>IF($B338="","",IF($E338&lt;&gt;"Concluído","Não iniciado",IF(COUNTIF(Lançamentos!$B$3:$B$1001,$B338)=0,"Bloqueado",IF('E2 — Triagem'!$D320="","Bloqueado",IF(COUNTIF('E2 — Triagem'!$E320:$L320,"N/A")=8,"Bloqueado",IF(COUNTIF('E2 — Triagem'!$E320:$L320,"⛔ Bloqueado")&gt;0,"Bloqueado",IF(COUNTIF('E2 — Triagem'!$E320:$L320,"✔ Concluído")+COUNTIF('E2 — Triagem'!$E320:$L320,"N/A")=8,"Concluído",IF(COUNTIF('E2 — Triagem'!$E320:$L320,"✔ Concluído")+COUNTIF('E2 — Triagem'!$E320:$L320,"🔄 Em andamento")&gt;0,"Em andamento","Não iniciado"))))))))</f>
        <v/>
      </c>
      <c r="G338" s="229" t="str">
        <f>IF($B338="","",IF($F338&lt;&gt;"Concluído","Não iniciado",IF(COUNTIF(Lançamentos!$B$3:$B$1001,$B338)=0,"Bloqueado",IF('E3 — Levantamento'!$D320="","Bloqueado",IF(COUNTIF('E3 — Levantamento'!$E320:$I320,"⛔ Bloqueado")&gt;0,"Bloqueado",IF('E3 — Levantamento'!$I320="N/A","Bloqueado",IF(COUNTIF('E3 — Levantamento'!$E320:$I320,"✔ Concluído")=5,"Concluído",IF(COUNTIF('E3 — Levantamento'!$E320:$I320,"✔ Concluído")+COUNTIF('E3 — Levantamento'!$E320:$I320,"🔄 Em andamento")&gt;0,"Em andamento","Não iniciado"))))))))</f>
        <v/>
      </c>
      <c r="H338" s="229" t="str">
        <f>IF($B338="","",IF($G338&lt;&gt;"Concluído","Não iniciado",IF(COUNTIF(Lançamentos!$B$3:$B$1001,$B338)=0,"Bloqueado",IF('E4 — Execução'!$D320="","Bloqueado",IF(COUNTIF('E4 — Execução'!$E320:$K320,"⛔ Bloqueado")&gt;0,"Bloqueado",IF(COUNTIF('E4 — Execução'!$E320:$K320,"✔ Concluído")=7,"Concluído",IF(COUNTIF('E4 — Execução'!$E320:$K320,"✔ Concluído")+COUNTIF('E4 — Execução'!$E320:$K320,"🔄 Em andamento")&gt;0,"Em andamento","Não iniciado")))))))</f>
        <v/>
      </c>
      <c r="I338" s="229" t="str">
        <f>IF($B338="","",IF($H338&lt;&gt;"Concluído","Não iniciado",IF(COUNTIF(Lançamentos!$B$3:$B$1001,$B338)=0,"Bloqueado",IF('E5 — Validação'!$D320="","Bloqueado",IF(COUNTIF('E5 — Validação'!$E320:$I320,"⛔ Bloqueado")&gt;0,"Bloqueado",IF('E5 — Validação'!$I320="N/A","Bloqueado",IF(AND('E5 — Validação'!$E320="✔ Concluído",'E5 — Validação'!$F320="✔ Concluído",OR('E5 — Validação'!$G320="✔ Concluído",'E5 — Validação'!$G320="N/A"),'E5 — Validação'!$H320="✔ Concluído",'E5 — Validação'!$I320="✔ Concluído"),"Concluído",IF(COUNTIF('E5 — Validação'!$E320:$I320,"✔ Concluído")+COUNTIF('E5 — Validação'!$E320:$I320,"🔄 Em andamento")&gt;0,"Em andamento","Não iniciado"))))))))</f>
        <v/>
      </c>
      <c r="J338" s="229" t="str">
        <f>IF($B338="","",IF($I338&lt;&gt;"Concluído","Não iniciado",IF('E6 — Ajustes'!$N320="Não","N/A",IF(COUNTIF(Lançamentos!$B$3:$B$1001,$B338)=0,"Bloqueado",IF('E6 — Ajustes'!$D320="","Bloqueado",IF(COUNTIF('E6 — Ajustes'!$E320:$J320,"⛔ Bloqueado")&gt;0,"Bloqueado",IF(AND('E6 — Ajustes'!$E320="✔ Concluído",'E6 — Ajustes'!$F320="✔ Concluído",'E6 — Ajustes'!$G320="✔ Concluído",'E6 — Ajustes'!$H320="✔ Concluído",OR('E6 — Ajustes'!$I320="✔ Concluído",'E6 — Ajustes'!$I320="N/A"),'E6 — Ajustes'!$J320="✔ Concluído"),"Concluído",IF(COUNTIF('E6 — Ajustes'!$E320:$J320,"✔ Concluído")+COUNTIF('E6 — Ajustes'!$E320:$J320,"🔄 Em andamento")&gt;0,"Em andamento","Não iniciado"))))))))</f>
        <v/>
      </c>
      <c r="K338" s="229" t="str">
        <f>IF($B338="","",IF($I338&lt;&gt;"Concluído","Não iniciado",IF(AND($J338&lt;&gt;"Concluído",$J338&lt;&gt;"N/A"),"Não iniciado",IF(COUNTIF(Lançamentos!$B$3:$B$1001,$B338)=0,"Bloqueado",IF('E7 — Entrega'!$D320="","Bloqueado",IF(COUNTIF('E7 — Entrega'!$E320:$H320,"⛔ Bloqueado")&gt;0,"Bloqueado",IF(COUNTIF('E7 — Entrega'!$E320:$H320,"✔ Concluído")=4,"Concluído",IF(COUNTIF('E7 — Entrega'!$E320:$H320,"✔ Concluído")+COUNTIF('E7 — Entrega'!$E320:$H320,"🔄 Em andamento")&gt;0,"Em andamento","Não iniciado"))))))))</f>
        <v/>
      </c>
      <c r="L338" s="229" t="str">
        <f>IF($B338="","",IF($K338&lt;&gt;"Concluído","Não iniciado",IF(OR(COUNTIF('E08 — Estabilização Hypercare'!$E320:$J320,"⛔ Bloqueado")&gt;0,'E08 — Estabilização Hypercare'!$N320="⛔ Incidente Crítico — Encerramento Bloqueado",AND('E08 — Estabilização Hypercare'!$N320="🆕 Evolução Identificada — Nova Demanda Aberta",'E08 — Estabilização Hypercare'!$U320="")),"Bloqueado",IF(AND('E08 — Estabilização Hypercare'!$E320="✔ Concluído",'E08 — Estabilização Hypercare'!$F320="✔ Concluído",'E08 — Estabilização Hypercare'!$G320="✔ Concluído",OR('E08 — Estabilização Hypercare'!$H320="✔ Concluído",'E08 — Estabilização Hypercare'!$H320="N/A"),'E08 — Estabilização Hypercare'!$I320="✔ Concluído",'E08 — Estabilização Hypercare'!$J320="✔ Concluído",OR('E08 — Estabilização Hypercare'!$N320="✅ Estável — Demanda Encerrada",AND('E08 — Estabilização Hypercare'!$N320="🆕 Evolução Identificada — Nova Demanda Aberta",'E08 — Estabilização Hypercare'!$U320&lt;&gt;""))),"Concluído",IF(OR(COUNTIF('E08 — Estabilização Hypercare'!$E320:$J320,"✔ Concluído")&gt;0,COUNTIF('E08 — Estabilização Hypercare'!$E320:$J320,"🔄 Em andamento")&gt;0,'E08 — Estabilização Hypercare'!$N320&lt;&gt;""),"Em andamento","Não iniciado")))))</f>
        <v/>
      </c>
      <c r="M338" s="232" t="str" cm="1">
        <f t="array" ref="M338">IF(B338="","",_xlfn.IFS(E338&lt;&gt;"Concluído","E1 — Solicitação",F338&lt;&gt;"Concluído","E2 — Triagem",G338&lt;&gt;"Concluído","E3 — Levantamento ⚠",H338&lt;&gt;"Concluído","E4 — Execução",I338&lt;&gt;"Concluído","E5 — Validação ⚠",AND(J338&lt;&gt;"Concluído",J338&lt;&gt;"N/A"),"E6 — Ajustes",K338&lt;&gt;"Concluído","E7 — Entrega",L338&lt;&gt;"Concluído","E08 — Estabilização / Hypercare",TRUE,"✔ Fluxo concluído"))</f>
        <v/>
      </c>
      <c r="N338" s="233" t="str">
        <f t="shared" si="5"/>
        <v/>
      </c>
      <c r="O338" s="230"/>
    </row>
    <row r="339" spans="2:15" x14ac:dyDescent="0.35">
      <c r="B339" s="229" t="str">
        <f>IF(Lançamentos!$B316="","",Lançamentos!$B316)</f>
        <v/>
      </c>
      <c r="C339" s="231" t="str">
        <f>IF($B339="","",Lançamentos!$J316)</f>
        <v/>
      </c>
      <c r="D339" s="231" t="str">
        <f>IF($B339="","",Lançamentos!$H316)</f>
        <v/>
      </c>
      <c r="E339" s="229" t="str">
        <f>IF($B339="","",IF(COUNTIF(Lançamentos!$B$3:$B$1001,$B339)=0,"Bloqueado",IF(COUNTIF('E1 — Solicitação'!$E321:$L321,"⛔ Bloqueado")&gt;0,"Bloqueado",IF(COUNTIF('E1 — Solicitação'!$E321:$L321,"N/A")=8,"Bloqueado",IF(COUNTIF('E1 — Solicitação'!$E321:$L321,"✔ Concluído")+COUNTIF('E1 — Solicitação'!$E321:$L321,"N/A")=8,"Concluído",IF(COUNTIF('E1 — Solicitação'!$E321:$L321,"✔ Concluído")+COUNTIF('E1 — Solicitação'!$E321:$L321,"🔄 Em andamento")&gt;0,"Em andamento","Não iniciado"))))))</f>
        <v/>
      </c>
      <c r="F339" s="229" t="str">
        <f>IF($B339="","",IF($E339&lt;&gt;"Concluído","Não iniciado",IF(COUNTIF(Lançamentos!$B$3:$B$1001,$B339)=0,"Bloqueado",IF('E2 — Triagem'!$D321="","Bloqueado",IF(COUNTIF('E2 — Triagem'!$E321:$L321,"N/A")=8,"Bloqueado",IF(COUNTIF('E2 — Triagem'!$E321:$L321,"⛔ Bloqueado")&gt;0,"Bloqueado",IF(COUNTIF('E2 — Triagem'!$E321:$L321,"✔ Concluído")+COUNTIF('E2 — Triagem'!$E321:$L321,"N/A")=8,"Concluído",IF(COUNTIF('E2 — Triagem'!$E321:$L321,"✔ Concluído")+COUNTIF('E2 — Triagem'!$E321:$L321,"🔄 Em andamento")&gt;0,"Em andamento","Não iniciado"))))))))</f>
        <v/>
      </c>
      <c r="G339" s="229" t="str">
        <f>IF($B339="","",IF($F339&lt;&gt;"Concluído","Não iniciado",IF(COUNTIF(Lançamentos!$B$3:$B$1001,$B339)=0,"Bloqueado",IF('E3 — Levantamento'!$D321="","Bloqueado",IF(COUNTIF('E3 — Levantamento'!$E321:$I321,"⛔ Bloqueado")&gt;0,"Bloqueado",IF('E3 — Levantamento'!$I321="N/A","Bloqueado",IF(COUNTIF('E3 — Levantamento'!$E321:$I321,"✔ Concluído")=5,"Concluído",IF(COUNTIF('E3 — Levantamento'!$E321:$I321,"✔ Concluído")+COUNTIF('E3 — Levantamento'!$E321:$I321,"🔄 Em andamento")&gt;0,"Em andamento","Não iniciado"))))))))</f>
        <v/>
      </c>
      <c r="H339" s="229" t="str">
        <f>IF($B339="","",IF($G339&lt;&gt;"Concluído","Não iniciado",IF(COUNTIF(Lançamentos!$B$3:$B$1001,$B339)=0,"Bloqueado",IF('E4 — Execução'!$D321="","Bloqueado",IF(COUNTIF('E4 — Execução'!$E321:$K321,"⛔ Bloqueado")&gt;0,"Bloqueado",IF(COUNTIF('E4 — Execução'!$E321:$K321,"✔ Concluído")=7,"Concluído",IF(COUNTIF('E4 — Execução'!$E321:$K321,"✔ Concluído")+COUNTIF('E4 — Execução'!$E321:$K321,"🔄 Em andamento")&gt;0,"Em andamento","Não iniciado")))))))</f>
        <v/>
      </c>
      <c r="I339" s="229" t="str">
        <f>IF($B339="","",IF($H339&lt;&gt;"Concluído","Não iniciado",IF(COUNTIF(Lançamentos!$B$3:$B$1001,$B339)=0,"Bloqueado",IF('E5 — Validação'!$D321="","Bloqueado",IF(COUNTIF('E5 — Validação'!$E321:$I321,"⛔ Bloqueado")&gt;0,"Bloqueado",IF('E5 — Validação'!$I321="N/A","Bloqueado",IF(AND('E5 — Validação'!$E321="✔ Concluído",'E5 — Validação'!$F321="✔ Concluído",OR('E5 — Validação'!$G321="✔ Concluído",'E5 — Validação'!$G321="N/A"),'E5 — Validação'!$H321="✔ Concluído",'E5 — Validação'!$I321="✔ Concluído"),"Concluído",IF(COUNTIF('E5 — Validação'!$E321:$I321,"✔ Concluído")+COUNTIF('E5 — Validação'!$E321:$I321,"🔄 Em andamento")&gt;0,"Em andamento","Não iniciado"))))))))</f>
        <v/>
      </c>
      <c r="J339" s="229" t="str">
        <f>IF($B339="","",IF($I339&lt;&gt;"Concluído","Não iniciado",IF('E6 — Ajustes'!$N321="Não","N/A",IF(COUNTIF(Lançamentos!$B$3:$B$1001,$B339)=0,"Bloqueado",IF('E6 — Ajustes'!$D321="","Bloqueado",IF(COUNTIF('E6 — Ajustes'!$E321:$J321,"⛔ Bloqueado")&gt;0,"Bloqueado",IF(AND('E6 — Ajustes'!$E321="✔ Concluído",'E6 — Ajustes'!$F321="✔ Concluído",'E6 — Ajustes'!$G321="✔ Concluído",'E6 — Ajustes'!$H321="✔ Concluído",OR('E6 — Ajustes'!$I321="✔ Concluído",'E6 — Ajustes'!$I321="N/A"),'E6 — Ajustes'!$J321="✔ Concluído"),"Concluído",IF(COUNTIF('E6 — Ajustes'!$E321:$J321,"✔ Concluído")+COUNTIF('E6 — Ajustes'!$E321:$J321,"🔄 Em andamento")&gt;0,"Em andamento","Não iniciado"))))))))</f>
        <v/>
      </c>
      <c r="K339" s="229" t="str">
        <f>IF($B339="","",IF($I339&lt;&gt;"Concluído","Não iniciado",IF(AND($J339&lt;&gt;"Concluído",$J339&lt;&gt;"N/A"),"Não iniciado",IF(COUNTIF(Lançamentos!$B$3:$B$1001,$B339)=0,"Bloqueado",IF('E7 — Entrega'!$D321="","Bloqueado",IF(COUNTIF('E7 — Entrega'!$E321:$H321,"⛔ Bloqueado")&gt;0,"Bloqueado",IF(COUNTIF('E7 — Entrega'!$E321:$H321,"✔ Concluído")=4,"Concluído",IF(COUNTIF('E7 — Entrega'!$E321:$H321,"✔ Concluído")+COUNTIF('E7 — Entrega'!$E321:$H321,"🔄 Em andamento")&gt;0,"Em andamento","Não iniciado"))))))))</f>
        <v/>
      </c>
      <c r="L339" s="229" t="str">
        <f>IF($B339="","",IF($K339&lt;&gt;"Concluído","Não iniciado",IF(OR(COUNTIF('E08 — Estabilização Hypercare'!$E321:$J321,"⛔ Bloqueado")&gt;0,'E08 — Estabilização Hypercare'!$N321="⛔ Incidente Crítico — Encerramento Bloqueado",AND('E08 — Estabilização Hypercare'!$N321="🆕 Evolução Identificada — Nova Demanda Aberta",'E08 — Estabilização Hypercare'!$U321="")),"Bloqueado",IF(AND('E08 — Estabilização Hypercare'!$E321="✔ Concluído",'E08 — Estabilização Hypercare'!$F321="✔ Concluído",'E08 — Estabilização Hypercare'!$G321="✔ Concluído",OR('E08 — Estabilização Hypercare'!$H321="✔ Concluído",'E08 — Estabilização Hypercare'!$H321="N/A"),'E08 — Estabilização Hypercare'!$I321="✔ Concluído",'E08 — Estabilização Hypercare'!$J321="✔ Concluído",OR('E08 — Estabilização Hypercare'!$N321="✅ Estável — Demanda Encerrada",AND('E08 — Estabilização Hypercare'!$N321="🆕 Evolução Identificada — Nova Demanda Aberta",'E08 — Estabilização Hypercare'!$U321&lt;&gt;""))),"Concluído",IF(OR(COUNTIF('E08 — Estabilização Hypercare'!$E321:$J321,"✔ Concluído")&gt;0,COUNTIF('E08 — Estabilização Hypercare'!$E321:$J321,"🔄 Em andamento")&gt;0,'E08 — Estabilização Hypercare'!$N321&lt;&gt;""),"Em andamento","Não iniciado")))))</f>
        <v/>
      </c>
      <c r="M339" s="232" t="str" cm="1">
        <f t="array" ref="M339">IF(B339="","",_xlfn.IFS(E339&lt;&gt;"Concluído","E1 — Solicitação",F339&lt;&gt;"Concluído","E2 — Triagem",G339&lt;&gt;"Concluído","E3 — Levantamento ⚠",H339&lt;&gt;"Concluído","E4 — Execução",I339&lt;&gt;"Concluído","E5 — Validação ⚠",AND(J339&lt;&gt;"Concluído",J339&lt;&gt;"N/A"),"E6 — Ajustes",K339&lt;&gt;"Concluído","E7 — Entrega",L339&lt;&gt;"Concluído","E08 — Estabilização / Hypercare",TRUE,"✔ Fluxo concluído"))</f>
        <v/>
      </c>
      <c r="N339" s="233" t="str">
        <f t="shared" si="5"/>
        <v/>
      </c>
      <c r="O339" s="230"/>
    </row>
    <row r="340" spans="2:15" x14ac:dyDescent="0.35">
      <c r="B340" s="229" t="str">
        <f>IF(Lançamentos!$B317="","",Lançamentos!$B317)</f>
        <v/>
      </c>
      <c r="C340" s="231" t="str">
        <f>IF($B340="","",Lançamentos!$J317)</f>
        <v/>
      </c>
      <c r="D340" s="231" t="str">
        <f>IF($B340="","",Lançamentos!$H317)</f>
        <v/>
      </c>
      <c r="E340" s="229" t="str">
        <f>IF($B340="","",IF(COUNTIF(Lançamentos!$B$3:$B$1001,$B340)=0,"Bloqueado",IF(COUNTIF('E1 — Solicitação'!$E322:$L322,"⛔ Bloqueado")&gt;0,"Bloqueado",IF(COUNTIF('E1 — Solicitação'!$E322:$L322,"N/A")=8,"Bloqueado",IF(COUNTIF('E1 — Solicitação'!$E322:$L322,"✔ Concluído")+COUNTIF('E1 — Solicitação'!$E322:$L322,"N/A")=8,"Concluído",IF(COUNTIF('E1 — Solicitação'!$E322:$L322,"✔ Concluído")+COUNTIF('E1 — Solicitação'!$E322:$L322,"🔄 Em andamento")&gt;0,"Em andamento","Não iniciado"))))))</f>
        <v/>
      </c>
      <c r="F340" s="229" t="str">
        <f>IF($B340="","",IF($E340&lt;&gt;"Concluído","Não iniciado",IF(COUNTIF(Lançamentos!$B$3:$B$1001,$B340)=0,"Bloqueado",IF('E2 — Triagem'!$D322="","Bloqueado",IF(COUNTIF('E2 — Triagem'!$E322:$L322,"N/A")=8,"Bloqueado",IF(COUNTIF('E2 — Triagem'!$E322:$L322,"⛔ Bloqueado")&gt;0,"Bloqueado",IF(COUNTIF('E2 — Triagem'!$E322:$L322,"✔ Concluído")+COUNTIF('E2 — Triagem'!$E322:$L322,"N/A")=8,"Concluído",IF(COUNTIF('E2 — Triagem'!$E322:$L322,"✔ Concluído")+COUNTIF('E2 — Triagem'!$E322:$L322,"🔄 Em andamento")&gt;0,"Em andamento","Não iniciado"))))))))</f>
        <v/>
      </c>
      <c r="G340" s="229" t="str">
        <f>IF($B340="","",IF($F340&lt;&gt;"Concluído","Não iniciado",IF(COUNTIF(Lançamentos!$B$3:$B$1001,$B340)=0,"Bloqueado",IF('E3 — Levantamento'!$D322="","Bloqueado",IF(COUNTIF('E3 — Levantamento'!$E322:$I322,"⛔ Bloqueado")&gt;0,"Bloqueado",IF('E3 — Levantamento'!$I322="N/A","Bloqueado",IF(COUNTIF('E3 — Levantamento'!$E322:$I322,"✔ Concluído")=5,"Concluído",IF(COUNTIF('E3 — Levantamento'!$E322:$I322,"✔ Concluído")+COUNTIF('E3 — Levantamento'!$E322:$I322,"🔄 Em andamento")&gt;0,"Em andamento","Não iniciado"))))))))</f>
        <v/>
      </c>
      <c r="H340" s="229" t="str">
        <f>IF($B340="","",IF($G340&lt;&gt;"Concluído","Não iniciado",IF(COUNTIF(Lançamentos!$B$3:$B$1001,$B340)=0,"Bloqueado",IF('E4 — Execução'!$D322="","Bloqueado",IF(COUNTIF('E4 — Execução'!$E322:$K322,"⛔ Bloqueado")&gt;0,"Bloqueado",IF(COUNTIF('E4 — Execução'!$E322:$K322,"✔ Concluído")=7,"Concluído",IF(COUNTIF('E4 — Execução'!$E322:$K322,"✔ Concluído")+COUNTIF('E4 — Execução'!$E322:$K322,"🔄 Em andamento")&gt;0,"Em andamento","Não iniciado")))))))</f>
        <v/>
      </c>
      <c r="I340" s="229" t="str">
        <f>IF($B340="","",IF($H340&lt;&gt;"Concluído","Não iniciado",IF(COUNTIF(Lançamentos!$B$3:$B$1001,$B340)=0,"Bloqueado",IF('E5 — Validação'!$D322="","Bloqueado",IF(COUNTIF('E5 — Validação'!$E322:$I322,"⛔ Bloqueado")&gt;0,"Bloqueado",IF('E5 — Validação'!$I322="N/A","Bloqueado",IF(AND('E5 — Validação'!$E322="✔ Concluído",'E5 — Validação'!$F322="✔ Concluído",OR('E5 — Validação'!$G322="✔ Concluído",'E5 — Validação'!$G322="N/A"),'E5 — Validação'!$H322="✔ Concluído",'E5 — Validação'!$I322="✔ Concluído"),"Concluído",IF(COUNTIF('E5 — Validação'!$E322:$I322,"✔ Concluído")+COUNTIF('E5 — Validação'!$E322:$I322,"🔄 Em andamento")&gt;0,"Em andamento","Não iniciado"))))))))</f>
        <v/>
      </c>
      <c r="J340" s="229" t="str">
        <f>IF($B340="","",IF($I340&lt;&gt;"Concluído","Não iniciado",IF('E6 — Ajustes'!$N322="Não","N/A",IF(COUNTIF(Lançamentos!$B$3:$B$1001,$B340)=0,"Bloqueado",IF('E6 — Ajustes'!$D322="","Bloqueado",IF(COUNTIF('E6 — Ajustes'!$E322:$J322,"⛔ Bloqueado")&gt;0,"Bloqueado",IF(AND('E6 — Ajustes'!$E322="✔ Concluído",'E6 — Ajustes'!$F322="✔ Concluído",'E6 — Ajustes'!$G322="✔ Concluído",'E6 — Ajustes'!$H322="✔ Concluído",OR('E6 — Ajustes'!$I322="✔ Concluído",'E6 — Ajustes'!$I322="N/A"),'E6 — Ajustes'!$J322="✔ Concluído"),"Concluído",IF(COUNTIF('E6 — Ajustes'!$E322:$J322,"✔ Concluído")+COUNTIF('E6 — Ajustes'!$E322:$J322,"🔄 Em andamento")&gt;0,"Em andamento","Não iniciado"))))))))</f>
        <v/>
      </c>
      <c r="K340" s="229" t="str">
        <f>IF($B340="","",IF($I340&lt;&gt;"Concluído","Não iniciado",IF(AND($J340&lt;&gt;"Concluído",$J340&lt;&gt;"N/A"),"Não iniciado",IF(COUNTIF(Lançamentos!$B$3:$B$1001,$B340)=0,"Bloqueado",IF('E7 — Entrega'!$D322="","Bloqueado",IF(COUNTIF('E7 — Entrega'!$E322:$H322,"⛔ Bloqueado")&gt;0,"Bloqueado",IF(COUNTIF('E7 — Entrega'!$E322:$H322,"✔ Concluído")=4,"Concluído",IF(COUNTIF('E7 — Entrega'!$E322:$H322,"✔ Concluído")+COUNTIF('E7 — Entrega'!$E322:$H322,"🔄 Em andamento")&gt;0,"Em andamento","Não iniciado"))))))))</f>
        <v/>
      </c>
      <c r="L340" s="229" t="str">
        <f>IF($B340="","",IF($K340&lt;&gt;"Concluído","Não iniciado",IF(OR(COUNTIF('E08 — Estabilização Hypercare'!$E322:$J322,"⛔ Bloqueado")&gt;0,'E08 — Estabilização Hypercare'!$N322="⛔ Incidente Crítico — Encerramento Bloqueado",AND('E08 — Estabilização Hypercare'!$N322="🆕 Evolução Identificada — Nova Demanda Aberta",'E08 — Estabilização Hypercare'!$U322="")),"Bloqueado",IF(AND('E08 — Estabilização Hypercare'!$E322="✔ Concluído",'E08 — Estabilização Hypercare'!$F322="✔ Concluído",'E08 — Estabilização Hypercare'!$G322="✔ Concluído",OR('E08 — Estabilização Hypercare'!$H322="✔ Concluído",'E08 — Estabilização Hypercare'!$H322="N/A"),'E08 — Estabilização Hypercare'!$I322="✔ Concluído",'E08 — Estabilização Hypercare'!$J322="✔ Concluído",OR('E08 — Estabilização Hypercare'!$N322="✅ Estável — Demanda Encerrada",AND('E08 — Estabilização Hypercare'!$N322="🆕 Evolução Identificada — Nova Demanda Aberta",'E08 — Estabilização Hypercare'!$U322&lt;&gt;""))),"Concluído",IF(OR(COUNTIF('E08 — Estabilização Hypercare'!$E322:$J322,"✔ Concluído")&gt;0,COUNTIF('E08 — Estabilização Hypercare'!$E322:$J322,"🔄 Em andamento")&gt;0,'E08 — Estabilização Hypercare'!$N322&lt;&gt;""),"Em andamento","Não iniciado")))))</f>
        <v/>
      </c>
      <c r="M340" s="232" t="str" cm="1">
        <f t="array" ref="M340">IF(B340="","",_xlfn.IFS(E340&lt;&gt;"Concluído","E1 — Solicitação",F340&lt;&gt;"Concluído","E2 — Triagem",G340&lt;&gt;"Concluído","E3 — Levantamento ⚠",H340&lt;&gt;"Concluído","E4 — Execução",I340&lt;&gt;"Concluído","E5 — Validação ⚠",AND(J340&lt;&gt;"Concluído",J340&lt;&gt;"N/A"),"E6 — Ajustes",K340&lt;&gt;"Concluído","E7 — Entrega",L340&lt;&gt;"Concluído","E08 — Estabilização / Hypercare",TRUE,"✔ Fluxo concluído"))</f>
        <v/>
      </c>
      <c r="N340" s="233" t="str">
        <f t="shared" si="5"/>
        <v/>
      </c>
      <c r="O340" s="230"/>
    </row>
    <row r="341" spans="2:15" x14ac:dyDescent="0.35">
      <c r="B341" s="229" t="str">
        <f>IF(Lançamentos!$B318="","",Lançamentos!$B318)</f>
        <v/>
      </c>
      <c r="C341" s="231" t="str">
        <f>IF($B341="","",Lançamentos!$J318)</f>
        <v/>
      </c>
      <c r="D341" s="231" t="str">
        <f>IF($B341="","",Lançamentos!$H318)</f>
        <v/>
      </c>
      <c r="E341" s="229" t="str">
        <f>IF($B341="","",IF(COUNTIF(Lançamentos!$B$3:$B$1001,$B341)=0,"Bloqueado",IF(COUNTIF('E1 — Solicitação'!$E323:$L323,"⛔ Bloqueado")&gt;0,"Bloqueado",IF(COUNTIF('E1 — Solicitação'!$E323:$L323,"N/A")=8,"Bloqueado",IF(COUNTIF('E1 — Solicitação'!$E323:$L323,"✔ Concluído")+COUNTIF('E1 — Solicitação'!$E323:$L323,"N/A")=8,"Concluído",IF(COUNTIF('E1 — Solicitação'!$E323:$L323,"✔ Concluído")+COUNTIF('E1 — Solicitação'!$E323:$L323,"🔄 Em andamento")&gt;0,"Em andamento","Não iniciado"))))))</f>
        <v/>
      </c>
      <c r="F341" s="229" t="str">
        <f>IF($B341="","",IF($E341&lt;&gt;"Concluído","Não iniciado",IF(COUNTIF(Lançamentos!$B$3:$B$1001,$B341)=0,"Bloqueado",IF('E2 — Triagem'!$D323="","Bloqueado",IF(COUNTIF('E2 — Triagem'!$E323:$L323,"N/A")=8,"Bloqueado",IF(COUNTIF('E2 — Triagem'!$E323:$L323,"⛔ Bloqueado")&gt;0,"Bloqueado",IF(COUNTIF('E2 — Triagem'!$E323:$L323,"✔ Concluído")+COUNTIF('E2 — Triagem'!$E323:$L323,"N/A")=8,"Concluído",IF(COUNTIF('E2 — Triagem'!$E323:$L323,"✔ Concluído")+COUNTIF('E2 — Triagem'!$E323:$L323,"🔄 Em andamento")&gt;0,"Em andamento","Não iniciado"))))))))</f>
        <v/>
      </c>
      <c r="G341" s="229" t="str">
        <f>IF($B341="","",IF($F341&lt;&gt;"Concluído","Não iniciado",IF(COUNTIF(Lançamentos!$B$3:$B$1001,$B341)=0,"Bloqueado",IF('E3 — Levantamento'!$D323="","Bloqueado",IF(COUNTIF('E3 — Levantamento'!$E323:$I323,"⛔ Bloqueado")&gt;0,"Bloqueado",IF('E3 — Levantamento'!$I323="N/A","Bloqueado",IF(COUNTIF('E3 — Levantamento'!$E323:$I323,"✔ Concluído")=5,"Concluído",IF(COUNTIF('E3 — Levantamento'!$E323:$I323,"✔ Concluído")+COUNTIF('E3 — Levantamento'!$E323:$I323,"🔄 Em andamento")&gt;0,"Em andamento","Não iniciado"))))))))</f>
        <v/>
      </c>
      <c r="H341" s="229" t="str">
        <f>IF($B341="","",IF($G341&lt;&gt;"Concluído","Não iniciado",IF(COUNTIF(Lançamentos!$B$3:$B$1001,$B341)=0,"Bloqueado",IF('E4 — Execução'!$D323="","Bloqueado",IF(COUNTIF('E4 — Execução'!$E323:$K323,"⛔ Bloqueado")&gt;0,"Bloqueado",IF(COUNTIF('E4 — Execução'!$E323:$K323,"✔ Concluído")=7,"Concluído",IF(COUNTIF('E4 — Execução'!$E323:$K323,"✔ Concluído")+COUNTIF('E4 — Execução'!$E323:$K323,"🔄 Em andamento")&gt;0,"Em andamento","Não iniciado")))))))</f>
        <v/>
      </c>
      <c r="I341" s="229" t="str">
        <f>IF($B341="","",IF($H341&lt;&gt;"Concluído","Não iniciado",IF(COUNTIF(Lançamentos!$B$3:$B$1001,$B341)=0,"Bloqueado",IF('E5 — Validação'!$D323="","Bloqueado",IF(COUNTIF('E5 — Validação'!$E323:$I323,"⛔ Bloqueado")&gt;0,"Bloqueado",IF('E5 — Validação'!$I323="N/A","Bloqueado",IF(AND('E5 — Validação'!$E323="✔ Concluído",'E5 — Validação'!$F323="✔ Concluído",OR('E5 — Validação'!$G323="✔ Concluído",'E5 — Validação'!$G323="N/A"),'E5 — Validação'!$H323="✔ Concluído",'E5 — Validação'!$I323="✔ Concluído"),"Concluído",IF(COUNTIF('E5 — Validação'!$E323:$I323,"✔ Concluído")+COUNTIF('E5 — Validação'!$E323:$I323,"🔄 Em andamento")&gt;0,"Em andamento","Não iniciado"))))))))</f>
        <v/>
      </c>
      <c r="J341" s="229" t="str">
        <f>IF($B341="","",IF($I341&lt;&gt;"Concluído","Não iniciado",IF('E6 — Ajustes'!$N323="Não","N/A",IF(COUNTIF(Lançamentos!$B$3:$B$1001,$B341)=0,"Bloqueado",IF('E6 — Ajustes'!$D323="","Bloqueado",IF(COUNTIF('E6 — Ajustes'!$E323:$J323,"⛔ Bloqueado")&gt;0,"Bloqueado",IF(AND('E6 — Ajustes'!$E323="✔ Concluído",'E6 — Ajustes'!$F323="✔ Concluído",'E6 — Ajustes'!$G323="✔ Concluído",'E6 — Ajustes'!$H323="✔ Concluído",OR('E6 — Ajustes'!$I323="✔ Concluído",'E6 — Ajustes'!$I323="N/A"),'E6 — Ajustes'!$J323="✔ Concluído"),"Concluído",IF(COUNTIF('E6 — Ajustes'!$E323:$J323,"✔ Concluído")+COUNTIF('E6 — Ajustes'!$E323:$J323,"🔄 Em andamento")&gt;0,"Em andamento","Não iniciado"))))))))</f>
        <v/>
      </c>
      <c r="K341" s="229" t="str">
        <f>IF($B341="","",IF($I341&lt;&gt;"Concluído","Não iniciado",IF(AND($J341&lt;&gt;"Concluído",$J341&lt;&gt;"N/A"),"Não iniciado",IF(COUNTIF(Lançamentos!$B$3:$B$1001,$B341)=0,"Bloqueado",IF('E7 — Entrega'!$D323="","Bloqueado",IF(COUNTIF('E7 — Entrega'!$E323:$H323,"⛔ Bloqueado")&gt;0,"Bloqueado",IF(COUNTIF('E7 — Entrega'!$E323:$H323,"✔ Concluído")=4,"Concluído",IF(COUNTIF('E7 — Entrega'!$E323:$H323,"✔ Concluído")+COUNTIF('E7 — Entrega'!$E323:$H323,"🔄 Em andamento")&gt;0,"Em andamento","Não iniciado"))))))))</f>
        <v/>
      </c>
      <c r="L341" s="229" t="str">
        <f>IF($B341="","",IF($K341&lt;&gt;"Concluído","Não iniciado",IF(OR(COUNTIF('E08 — Estabilização Hypercare'!$E323:$J323,"⛔ Bloqueado")&gt;0,'E08 — Estabilização Hypercare'!$N323="⛔ Incidente Crítico — Encerramento Bloqueado",AND('E08 — Estabilização Hypercare'!$N323="🆕 Evolução Identificada — Nova Demanda Aberta",'E08 — Estabilização Hypercare'!$U323="")),"Bloqueado",IF(AND('E08 — Estabilização Hypercare'!$E323="✔ Concluído",'E08 — Estabilização Hypercare'!$F323="✔ Concluído",'E08 — Estabilização Hypercare'!$G323="✔ Concluído",OR('E08 — Estabilização Hypercare'!$H323="✔ Concluído",'E08 — Estabilização Hypercare'!$H323="N/A"),'E08 — Estabilização Hypercare'!$I323="✔ Concluído",'E08 — Estabilização Hypercare'!$J323="✔ Concluído",OR('E08 — Estabilização Hypercare'!$N323="✅ Estável — Demanda Encerrada",AND('E08 — Estabilização Hypercare'!$N323="🆕 Evolução Identificada — Nova Demanda Aberta",'E08 — Estabilização Hypercare'!$U323&lt;&gt;""))),"Concluído",IF(OR(COUNTIF('E08 — Estabilização Hypercare'!$E323:$J323,"✔ Concluído")&gt;0,COUNTIF('E08 — Estabilização Hypercare'!$E323:$J323,"🔄 Em andamento")&gt;0,'E08 — Estabilização Hypercare'!$N323&lt;&gt;""),"Em andamento","Não iniciado")))))</f>
        <v/>
      </c>
      <c r="M341" s="232" t="str" cm="1">
        <f t="array" ref="M341">IF(B341="","",_xlfn.IFS(E341&lt;&gt;"Concluído","E1 — Solicitação",F341&lt;&gt;"Concluído","E2 — Triagem",G341&lt;&gt;"Concluído","E3 — Levantamento ⚠",H341&lt;&gt;"Concluído","E4 — Execução",I341&lt;&gt;"Concluído","E5 — Validação ⚠",AND(J341&lt;&gt;"Concluído",J341&lt;&gt;"N/A"),"E6 — Ajustes",K341&lt;&gt;"Concluído","E7 — Entrega",L341&lt;&gt;"Concluído","E08 — Estabilização / Hypercare",TRUE,"✔ Fluxo concluído"))</f>
        <v/>
      </c>
      <c r="N341" s="233" t="str">
        <f t="shared" si="5"/>
        <v/>
      </c>
      <c r="O341" s="230"/>
    </row>
    <row r="342" spans="2:15" x14ac:dyDescent="0.35">
      <c r="B342" s="229" t="str">
        <f>IF(Lançamentos!$B319="","",Lançamentos!$B319)</f>
        <v/>
      </c>
      <c r="C342" s="231" t="str">
        <f>IF($B342="","",Lançamentos!$J319)</f>
        <v/>
      </c>
      <c r="D342" s="231" t="str">
        <f>IF($B342="","",Lançamentos!$H319)</f>
        <v/>
      </c>
      <c r="E342" s="229" t="str">
        <f>IF($B342="","",IF(COUNTIF(Lançamentos!$B$3:$B$1001,$B342)=0,"Bloqueado",IF(COUNTIF('E1 — Solicitação'!$E324:$L324,"⛔ Bloqueado")&gt;0,"Bloqueado",IF(COUNTIF('E1 — Solicitação'!$E324:$L324,"N/A")=8,"Bloqueado",IF(COUNTIF('E1 — Solicitação'!$E324:$L324,"✔ Concluído")+COUNTIF('E1 — Solicitação'!$E324:$L324,"N/A")=8,"Concluído",IF(COUNTIF('E1 — Solicitação'!$E324:$L324,"✔ Concluído")+COUNTIF('E1 — Solicitação'!$E324:$L324,"🔄 Em andamento")&gt;0,"Em andamento","Não iniciado"))))))</f>
        <v/>
      </c>
      <c r="F342" s="229" t="str">
        <f>IF($B342="","",IF($E342&lt;&gt;"Concluído","Não iniciado",IF(COUNTIF(Lançamentos!$B$3:$B$1001,$B342)=0,"Bloqueado",IF('E2 — Triagem'!$D324="","Bloqueado",IF(COUNTIF('E2 — Triagem'!$E324:$L324,"N/A")=8,"Bloqueado",IF(COUNTIF('E2 — Triagem'!$E324:$L324,"⛔ Bloqueado")&gt;0,"Bloqueado",IF(COUNTIF('E2 — Triagem'!$E324:$L324,"✔ Concluído")+COUNTIF('E2 — Triagem'!$E324:$L324,"N/A")=8,"Concluído",IF(COUNTIF('E2 — Triagem'!$E324:$L324,"✔ Concluído")+COUNTIF('E2 — Triagem'!$E324:$L324,"🔄 Em andamento")&gt;0,"Em andamento","Não iniciado"))))))))</f>
        <v/>
      </c>
      <c r="G342" s="229" t="str">
        <f>IF($B342="","",IF($F342&lt;&gt;"Concluído","Não iniciado",IF(COUNTIF(Lançamentos!$B$3:$B$1001,$B342)=0,"Bloqueado",IF('E3 — Levantamento'!$D324="","Bloqueado",IF(COUNTIF('E3 — Levantamento'!$E324:$I324,"⛔ Bloqueado")&gt;0,"Bloqueado",IF('E3 — Levantamento'!$I324="N/A","Bloqueado",IF(COUNTIF('E3 — Levantamento'!$E324:$I324,"✔ Concluído")=5,"Concluído",IF(COUNTIF('E3 — Levantamento'!$E324:$I324,"✔ Concluído")+COUNTIF('E3 — Levantamento'!$E324:$I324,"🔄 Em andamento")&gt;0,"Em andamento","Não iniciado"))))))))</f>
        <v/>
      </c>
      <c r="H342" s="229" t="str">
        <f>IF($B342="","",IF($G342&lt;&gt;"Concluído","Não iniciado",IF(COUNTIF(Lançamentos!$B$3:$B$1001,$B342)=0,"Bloqueado",IF('E4 — Execução'!$D324="","Bloqueado",IF(COUNTIF('E4 — Execução'!$E324:$K324,"⛔ Bloqueado")&gt;0,"Bloqueado",IF(COUNTIF('E4 — Execução'!$E324:$K324,"✔ Concluído")=7,"Concluído",IF(COUNTIF('E4 — Execução'!$E324:$K324,"✔ Concluído")+COUNTIF('E4 — Execução'!$E324:$K324,"🔄 Em andamento")&gt;0,"Em andamento","Não iniciado")))))))</f>
        <v/>
      </c>
      <c r="I342" s="229" t="str">
        <f>IF($B342="","",IF($H342&lt;&gt;"Concluído","Não iniciado",IF(COUNTIF(Lançamentos!$B$3:$B$1001,$B342)=0,"Bloqueado",IF('E5 — Validação'!$D324="","Bloqueado",IF(COUNTIF('E5 — Validação'!$E324:$I324,"⛔ Bloqueado")&gt;0,"Bloqueado",IF('E5 — Validação'!$I324="N/A","Bloqueado",IF(AND('E5 — Validação'!$E324="✔ Concluído",'E5 — Validação'!$F324="✔ Concluído",OR('E5 — Validação'!$G324="✔ Concluído",'E5 — Validação'!$G324="N/A"),'E5 — Validação'!$H324="✔ Concluído",'E5 — Validação'!$I324="✔ Concluído"),"Concluído",IF(COUNTIF('E5 — Validação'!$E324:$I324,"✔ Concluído")+COUNTIF('E5 — Validação'!$E324:$I324,"🔄 Em andamento")&gt;0,"Em andamento","Não iniciado"))))))))</f>
        <v/>
      </c>
      <c r="J342" s="229" t="str">
        <f>IF($B342="","",IF($I342&lt;&gt;"Concluído","Não iniciado",IF('E6 — Ajustes'!$N324="Não","N/A",IF(COUNTIF(Lançamentos!$B$3:$B$1001,$B342)=0,"Bloqueado",IF('E6 — Ajustes'!$D324="","Bloqueado",IF(COUNTIF('E6 — Ajustes'!$E324:$J324,"⛔ Bloqueado")&gt;0,"Bloqueado",IF(AND('E6 — Ajustes'!$E324="✔ Concluído",'E6 — Ajustes'!$F324="✔ Concluído",'E6 — Ajustes'!$G324="✔ Concluído",'E6 — Ajustes'!$H324="✔ Concluído",OR('E6 — Ajustes'!$I324="✔ Concluído",'E6 — Ajustes'!$I324="N/A"),'E6 — Ajustes'!$J324="✔ Concluído"),"Concluído",IF(COUNTIF('E6 — Ajustes'!$E324:$J324,"✔ Concluído")+COUNTIF('E6 — Ajustes'!$E324:$J324,"🔄 Em andamento")&gt;0,"Em andamento","Não iniciado"))))))))</f>
        <v/>
      </c>
      <c r="K342" s="229" t="str">
        <f>IF($B342="","",IF($I342&lt;&gt;"Concluído","Não iniciado",IF(AND($J342&lt;&gt;"Concluído",$J342&lt;&gt;"N/A"),"Não iniciado",IF(COUNTIF(Lançamentos!$B$3:$B$1001,$B342)=0,"Bloqueado",IF('E7 — Entrega'!$D324="","Bloqueado",IF(COUNTIF('E7 — Entrega'!$E324:$H324,"⛔ Bloqueado")&gt;0,"Bloqueado",IF(COUNTIF('E7 — Entrega'!$E324:$H324,"✔ Concluído")=4,"Concluído",IF(COUNTIF('E7 — Entrega'!$E324:$H324,"✔ Concluído")+COUNTIF('E7 — Entrega'!$E324:$H324,"🔄 Em andamento")&gt;0,"Em andamento","Não iniciado"))))))))</f>
        <v/>
      </c>
      <c r="L342" s="229" t="str">
        <f>IF($B342="","",IF($K342&lt;&gt;"Concluído","Não iniciado",IF(OR(COUNTIF('E08 — Estabilização Hypercare'!$E324:$J324,"⛔ Bloqueado")&gt;0,'E08 — Estabilização Hypercare'!$N324="⛔ Incidente Crítico — Encerramento Bloqueado",AND('E08 — Estabilização Hypercare'!$N324="🆕 Evolução Identificada — Nova Demanda Aberta",'E08 — Estabilização Hypercare'!$U324="")),"Bloqueado",IF(AND('E08 — Estabilização Hypercare'!$E324="✔ Concluído",'E08 — Estabilização Hypercare'!$F324="✔ Concluído",'E08 — Estabilização Hypercare'!$G324="✔ Concluído",OR('E08 — Estabilização Hypercare'!$H324="✔ Concluído",'E08 — Estabilização Hypercare'!$H324="N/A"),'E08 — Estabilização Hypercare'!$I324="✔ Concluído",'E08 — Estabilização Hypercare'!$J324="✔ Concluído",OR('E08 — Estabilização Hypercare'!$N324="✅ Estável — Demanda Encerrada",AND('E08 — Estabilização Hypercare'!$N324="🆕 Evolução Identificada — Nova Demanda Aberta",'E08 — Estabilização Hypercare'!$U324&lt;&gt;""))),"Concluído",IF(OR(COUNTIF('E08 — Estabilização Hypercare'!$E324:$J324,"✔ Concluído")&gt;0,COUNTIF('E08 — Estabilização Hypercare'!$E324:$J324,"🔄 Em andamento")&gt;0,'E08 — Estabilização Hypercare'!$N324&lt;&gt;""),"Em andamento","Não iniciado")))))</f>
        <v/>
      </c>
      <c r="M342" s="232" t="str" cm="1">
        <f t="array" ref="M342">IF(B342="","",_xlfn.IFS(E342&lt;&gt;"Concluído","E1 — Solicitação",F342&lt;&gt;"Concluído","E2 — Triagem",G342&lt;&gt;"Concluído","E3 — Levantamento ⚠",H342&lt;&gt;"Concluído","E4 — Execução",I342&lt;&gt;"Concluído","E5 — Validação ⚠",AND(J342&lt;&gt;"Concluído",J342&lt;&gt;"N/A"),"E6 — Ajustes",K342&lt;&gt;"Concluído","E7 — Entrega",L342&lt;&gt;"Concluído","E08 — Estabilização / Hypercare",TRUE,"✔ Fluxo concluído"))</f>
        <v/>
      </c>
      <c r="N342" s="233" t="str">
        <f t="shared" si="5"/>
        <v/>
      </c>
      <c r="O342" s="230"/>
    </row>
    <row r="343" spans="2:15" x14ac:dyDescent="0.35">
      <c r="B343" s="229" t="str">
        <f>IF(Lançamentos!$B320="","",Lançamentos!$B320)</f>
        <v/>
      </c>
      <c r="C343" s="231" t="str">
        <f>IF($B343="","",Lançamentos!$J320)</f>
        <v/>
      </c>
      <c r="D343" s="231" t="str">
        <f>IF($B343="","",Lançamentos!$H320)</f>
        <v/>
      </c>
      <c r="E343" s="229" t="str">
        <f>IF($B343="","",IF(COUNTIF(Lançamentos!$B$3:$B$1001,$B343)=0,"Bloqueado",IF(COUNTIF('E1 — Solicitação'!$E325:$L325,"⛔ Bloqueado")&gt;0,"Bloqueado",IF(COUNTIF('E1 — Solicitação'!$E325:$L325,"N/A")=8,"Bloqueado",IF(COUNTIF('E1 — Solicitação'!$E325:$L325,"✔ Concluído")+COUNTIF('E1 — Solicitação'!$E325:$L325,"N/A")=8,"Concluído",IF(COUNTIF('E1 — Solicitação'!$E325:$L325,"✔ Concluído")+COUNTIF('E1 — Solicitação'!$E325:$L325,"🔄 Em andamento")&gt;0,"Em andamento","Não iniciado"))))))</f>
        <v/>
      </c>
      <c r="F343" s="229" t="str">
        <f>IF($B343="","",IF($E343&lt;&gt;"Concluído","Não iniciado",IF(COUNTIF(Lançamentos!$B$3:$B$1001,$B343)=0,"Bloqueado",IF('E2 — Triagem'!$D325="","Bloqueado",IF(COUNTIF('E2 — Triagem'!$E325:$L325,"N/A")=8,"Bloqueado",IF(COUNTIF('E2 — Triagem'!$E325:$L325,"⛔ Bloqueado")&gt;0,"Bloqueado",IF(COUNTIF('E2 — Triagem'!$E325:$L325,"✔ Concluído")+COUNTIF('E2 — Triagem'!$E325:$L325,"N/A")=8,"Concluído",IF(COUNTIF('E2 — Triagem'!$E325:$L325,"✔ Concluído")+COUNTIF('E2 — Triagem'!$E325:$L325,"🔄 Em andamento")&gt;0,"Em andamento","Não iniciado"))))))))</f>
        <v/>
      </c>
      <c r="G343" s="229" t="str">
        <f>IF($B343="","",IF($F343&lt;&gt;"Concluído","Não iniciado",IF(COUNTIF(Lançamentos!$B$3:$B$1001,$B343)=0,"Bloqueado",IF('E3 — Levantamento'!$D325="","Bloqueado",IF(COUNTIF('E3 — Levantamento'!$E325:$I325,"⛔ Bloqueado")&gt;0,"Bloqueado",IF('E3 — Levantamento'!$I325="N/A","Bloqueado",IF(COUNTIF('E3 — Levantamento'!$E325:$I325,"✔ Concluído")=5,"Concluído",IF(COUNTIF('E3 — Levantamento'!$E325:$I325,"✔ Concluído")+COUNTIF('E3 — Levantamento'!$E325:$I325,"🔄 Em andamento")&gt;0,"Em andamento","Não iniciado"))))))))</f>
        <v/>
      </c>
      <c r="H343" s="229" t="str">
        <f>IF($B343="","",IF($G343&lt;&gt;"Concluído","Não iniciado",IF(COUNTIF(Lançamentos!$B$3:$B$1001,$B343)=0,"Bloqueado",IF('E4 — Execução'!$D325="","Bloqueado",IF(COUNTIF('E4 — Execução'!$E325:$K325,"⛔ Bloqueado")&gt;0,"Bloqueado",IF(COUNTIF('E4 — Execução'!$E325:$K325,"✔ Concluído")=7,"Concluído",IF(COUNTIF('E4 — Execução'!$E325:$K325,"✔ Concluído")+COUNTIF('E4 — Execução'!$E325:$K325,"🔄 Em andamento")&gt;0,"Em andamento","Não iniciado")))))))</f>
        <v/>
      </c>
      <c r="I343" s="229" t="str">
        <f>IF($B343="","",IF($H343&lt;&gt;"Concluído","Não iniciado",IF(COUNTIF(Lançamentos!$B$3:$B$1001,$B343)=0,"Bloqueado",IF('E5 — Validação'!$D325="","Bloqueado",IF(COUNTIF('E5 — Validação'!$E325:$I325,"⛔ Bloqueado")&gt;0,"Bloqueado",IF('E5 — Validação'!$I325="N/A","Bloqueado",IF(AND('E5 — Validação'!$E325="✔ Concluído",'E5 — Validação'!$F325="✔ Concluído",OR('E5 — Validação'!$G325="✔ Concluído",'E5 — Validação'!$G325="N/A"),'E5 — Validação'!$H325="✔ Concluído",'E5 — Validação'!$I325="✔ Concluído"),"Concluído",IF(COUNTIF('E5 — Validação'!$E325:$I325,"✔ Concluído")+COUNTIF('E5 — Validação'!$E325:$I325,"🔄 Em andamento")&gt;0,"Em andamento","Não iniciado"))))))))</f>
        <v/>
      </c>
      <c r="J343" s="229" t="str">
        <f>IF($B343="","",IF($I343&lt;&gt;"Concluído","Não iniciado",IF('E6 — Ajustes'!$N325="Não","N/A",IF(COUNTIF(Lançamentos!$B$3:$B$1001,$B343)=0,"Bloqueado",IF('E6 — Ajustes'!$D325="","Bloqueado",IF(COUNTIF('E6 — Ajustes'!$E325:$J325,"⛔ Bloqueado")&gt;0,"Bloqueado",IF(AND('E6 — Ajustes'!$E325="✔ Concluído",'E6 — Ajustes'!$F325="✔ Concluído",'E6 — Ajustes'!$G325="✔ Concluído",'E6 — Ajustes'!$H325="✔ Concluído",OR('E6 — Ajustes'!$I325="✔ Concluído",'E6 — Ajustes'!$I325="N/A"),'E6 — Ajustes'!$J325="✔ Concluído"),"Concluído",IF(COUNTIF('E6 — Ajustes'!$E325:$J325,"✔ Concluído")+COUNTIF('E6 — Ajustes'!$E325:$J325,"🔄 Em andamento")&gt;0,"Em andamento","Não iniciado"))))))))</f>
        <v/>
      </c>
      <c r="K343" s="229" t="str">
        <f>IF($B343="","",IF($I343&lt;&gt;"Concluído","Não iniciado",IF(AND($J343&lt;&gt;"Concluído",$J343&lt;&gt;"N/A"),"Não iniciado",IF(COUNTIF(Lançamentos!$B$3:$B$1001,$B343)=0,"Bloqueado",IF('E7 — Entrega'!$D325="","Bloqueado",IF(COUNTIF('E7 — Entrega'!$E325:$H325,"⛔ Bloqueado")&gt;0,"Bloqueado",IF(COUNTIF('E7 — Entrega'!$E325:$H325,"✔ Concluído")=4,"Concluído",IF(COUNTIF('E7 — Entrega'!$E325:$H325,"✔ Concluído")+COUNTIF('E7 — Entrega'!$E325:$H325,"🔄 Em andamento")&gt;0,"Em andamento","Não iniciado"))))))))</f>
        <v/>
      </c>
      <c r="L343" s="229" t="str">
        <f>IF($B343="","",IF($K343&lt;&gt;"Concluído","Não iniciado",IF(OR(COUNTIF('E08 — Estabilização Hypercare'!$E325:$J325,"⛔ Bloqueado")&gt;0,'E08 — Estabilização Hypercare'!$N325="⛔ Incidente Crítico — Encerramento Bloqueado",AND('E08 — Estabilização Hypercare'!$N325="🆕 Evolução Identificada — Nova Demanda Aberta",'E08 — Estabilização Hypercare'!$U325="")),"Bloqueado",IF(AND('E08 — Estabilização Hypercare'!$E325="✔ Concluído",'E08 — Estabilização Hypercare'!$F325="✔ Concluído",'E08 — Estabilização Hypercare'!$G325="✔ Concluído",OR('E08 — Estabilização Hypercare'!$H325="✔ Concluído",'E08 — Estabilização Hypercare'!$H325="N/A"),'E08 — Estabilização Hypercare'!$I325="✔ Concluído",'E08 — Estabilização Hypercare'!$J325="✔ Concluído",OR('E08 — Estabilização Hypercare'!$N325="✅ Estável — Demanda Encerrada",AND('E08 — Estabilização Hypercare'!$N325="🆕 Evolução Identificada — Nova Demanda Aberta",'E08 — Estabilização Hypercare'!$U325&lt;&gt;""))),"Concluído",IF(OR(COUNTIF('E08 — Estabilização Hypercare'!$E325:$J325,"✔ Concluído")&gt;0,COUNTIF('E08 — Estabilização Hypercare'!$E325:$J325,"🔄 Em andamento")&gt;0,'E08 — Estabilização Hypercare'!$N325&lt;&gt;""),"Em andamento","Não iniciado")))))</f>
        <v/>
      </c>
      <c r="M343" s="232" t="str" cm="1">
        <f t="array" ref="M343">IF(B343="","",_xlfn.IFS(E343&lt;&gt;"Concluído","E1 — Solicitação",F343&lt;&gt;"Concluído","E2 — Triagem",G343&lt;&gt;"Concluído","E3 — Levantamento ⚠",H343&lt;&gt;"Concluído","E4 — Execução",I343&lt;&gt;"Concluído","E5 — Validação ⚠",AND(J343&lt;&gt;"Concluído",J343&lt;&gt;"N/A"),"E6 — Ajustes",K343&lt;&gt;"Concluído","E7 — Entrega",L343&lt;&gt;"Concluído","E08 — Estabilização / Hypercare",TRUE,"✔ Fluxo concluído"))</f>
        <v/>
      </c>
      <c r="N343" s="233" t="str">
        <f t="shared" si="5"/>
        <v/>
      </c>
      <c r="O343" s="230"/>
    </row>
    <row r="344" spans="2:15" x14ac:dyDescent="0.35">
      <c r="B344" s="229" t="str">
        <f>IF(Lançamentos!$B321="","",Lançamentos!$B321)</f>
        <v/>
      </c>
      <c r="C344" s="231" t="str">
        <f>IF($B344="","",Lançamentos!$J321)</f>
        <v/>
      </c>
      <c r="D344" s="231" t="str">
        <f>IF($B344="","",Lançamentos!$H321)</f>
        <v/>
      </c>
      <c r="E344" s="229" t="str">
        <f>IF($B344="","",IF(COUNTIF(Lançamentos!$B$3:$B$1001,$B344)=0,"Bloqueado",IF(COUNTIF('E1 — Solicitação'!$E326:$L326,"⛔ Bloqueado")&gt;0,"Bloqueado",IF(COUNTIF('E1 — Solicitação'!$E326:$L326,"N/A")=8,"Bloqueado",IF(COUNTIF('E1 — Solicitação'!$E326:$L326,"✔ Concluído")+COUNTIF('E1 — Solicitação'!$E326:$L326,"N/A")=8,"Concluído",IF(COUNTIF('E1 — Solicitação'!$E326:$L326,"✔ Concluído")+COUNTIF('E1 — Solicitação'!$E326:$L326,"🔄 Em andamento")&gt;0,"Em andamento","Não iniciado"))))))</f>
        <v/>
      </c>
      <c r="F344" s="229" t="str">
        <f>IF($B344="","",IF($E344&lt;&gt;"Concluído","Não iniciado",IF(COUNTIF(Lançamentos!$B$3:$B$1001,$B344)=0,"Bloqueado",IF('E2 — Triagem'!$D326="","Bloqueado",IF(COUNTIF('E2 — Triagem'!$E326:$L326,"N/A")=8,"Bloqueado",IF(COUNTIF('E2 — Triagem'!$E326:$L326,"⛔ Bloqueado")&gt;0,"Bloqueado",IF(COUNTIF('E2 — Triagem'!$E326:$L326,"✔ Concluído")+COUNTIF('E2 — Triagem'!$E326:$L326,"N/A")=8,"Concluído",IF(COUNTIF('E2 — Triagem'!$E326:$L326,"✔ Concluído")+COUNTIF('E2 — Triagem'!$E326:$L326,"🔄 Em andamento")&gt;0,"Em andamento","Não iniciado"))))))))</f>
        <v/>
      </c>
      <c r="G344" s="229" t="str">
        <f>IF($B344="","",IF($F344&lt;&gt;"Concluído","Não iniciado",IF(COUNTIF(Lançamentos!$B$3:$B$1001,$B344)=0,"Bloqueado",IF('E3 — Levantamento'!$D326="","Bloqueado",IF(COUNTIF('E3 — Levantamento'!$E326:$I326,"⛔ Bloqueado")&gt;0,"Bloqueado",IF('E3 — Levantamento'!$I326="N/A","Bloqueado",IF(COUNTIF('E3 — Levantamento'!$E326:$I326,"✔ Concluído")=5,"Concluído",IF(COUNTIF('E3 — Levantamento'!$E326:$I326,"✔ Concluído")+COUNTIF('E3 — Levantamento'!$E326:$I326,"🔄 Em andamento")&gt;0,"Em andamento","Não iniciado"))))))))</f>
        <v/>
      </c>
      <c r="H344" s="229" t="str">
        <f>IF($B344="","",IF($G344&lt;&gt;"Concluído","Não iniciado",IF(COUNTIF(Lançamentos!$B$3:$B$1001,$B344)=0,"Bloqueado",IF('E4 — Execução'!$D326="","Bloqueado",IF(COUNTIF('E4 — Execução'!$E326:$K326,"⛔ Bloqueado")&gt;0,"Bloqueado",IF(COUNTIF('E4 — Execução'!$E326:$K326,"✔ Concluído")=7,"Concluído",IF(COUNTIF('E4 — Execução'!$E326:$K326,"✔ Concluído")+COUNTIF('E4 — Execução'!$E326:$K326,"🔄 Em andamento")&gt;0,"Em andamento","Não iniciado")))))))</f>
        <v/>
      </c>
      <c r="I344" s="229" t="str">
        <f>IF($B344="","",IF($H344&lt;&gt;"Concluído","Não iniciado",IF(COUNTIF(Lançamentos!$B$3:$B$1001,$B344)=0,"Bloqueado",IF('E5 — Validação'!$D326="","Bloqueado",IF(COUNTIF('E5 — Validação'!$E326:$I326,"⛔ Bloqueado")&gt;0,"Bloqueado",IF('E5 — Validação'!$I326="N/A","Bloqueado",IF(AND('E5 — Validação'!$E326="✔ Concluído",'E5 — Validação'!$F326="✔ Concluído",OR('E5 — Validação'!$G326="✔ Concluído",'E5 — Validação'!$G326="N/A"),'E5 — Validação'!$H326="✔ Concluído",'E5 — Validação'!$I326="✔ Concluído"),"Concluído",IF(COUNTIF('E5 — Validação'!$E326:$I326,"✔ Concluído")+COUNTIF('E5 — Validação'!$E326:$I326,"🔄 Em andamento")&gt;0,"Em andamento","Não iniciado"))))))))</f>
        <v/>
      </c>
      <c r="J344" s="229" t="str">
        <f>IF($B344="","",IF($I344&lt;&gt;"Concluído","Não iniciado",IF('E6 — Ajustes'!$N326="Não","N/A",IF(COUNTIF(Lançamentos!$B$3:$B$1001,$B344)=0,"Bloqueado",IF('E6 — Ajustes'!$D326="","Bloqueado",IF(COUNTIF('E6 — Ajustes'!$E326:$J326,"⛔ Bloqueado")&gt;0,"Bloqueado",IF(AND('E6 — Ajustes'!$E326="✔ Concluído",'E6 — Ajustes'!$F326="✔ Concluído",'E6 — Ajustes'!$G326="✔ Concluído",'E6 — Ajustes'!$H326="✔ Concluído",OR('E6 — Ajustes'!$I326="✔ Concluído",'E6 — Ajustes'!$I326="N/A"),'E6 — Ajustes'!$J326="✔ Concluído"),"Concluído",IF(COUNTIF('E6 — Ajustes'!$E326:$J326,"✔ Concluído")+COUNTIF('E6 — Ajustes'!$E326:$J326,"🔄 Em andamento")&gt;0,"Em andamento","Não iniciado"))))))))</f>
        <v/>
      </c>
      <c r="K344" s="229" t="str">
        <f>IF($B344="","",IF($I344&lt;&gt;"Concluído","Não iniciado",IF(AND($J344&lt;&gt;"Concluído",$J344&lt;&gt;"N/A"),"Não iniciado",IF(COUNTIF(Lançamentos!$B$3:$B$1001,$B344)=0,"Bloqueado",IF('E7 — Entrega'!$D326="","Bloqueado",IF(COUNTIF('E7 — Entrega'!$E326:$H326,"⛔ Bloqueado")&gt;0,"Bloqueado",IF(COUNTIF('E7 — Entrega'!$E326:$H326,"✔ Concluído")=4,"Concluído",IF(COUNTIF('E7 — Entrega'!$E326:$H326,"✔ Concluído")+COUNTIF('E7 — Entrega'!$E326:$H326,"🔄 Em andamento")&gt;0,"Em andamento","Não iniciado"))))))))</f>
        <v/>
      </c>
      <c r="L344" s="229" t="str">
        <f>IF($B344="","",IF($K344&lt;&gt;"Concluído","Não iniciado",IF(OR(COUNTIF('E08 — Estabilização Hypercare'!$E326:$J326,"⛔ Bloqueado")&gt;0,'E08 — Estabilização Hypercare'!$N326="⛔ Incidente Crítico — Encerramento Bloqueado",AND('E08 — Estabilização Hypercare'!$N326="🆕 Evolução Identificada — Nova Demanda Aberta",'E08 — Estabilização Hypercare'!$U326="")),"Bloqueado",IF(AND('E08 — Estabilização Hypercare'!$E326="✔ Concluído",'E08 — Estabilização Hypercare'!$F326="✔ Concluído",'E08 — Estabilização Hypercare'!$G326="✔ Concluído",OR('E08 — Estabilização Hypercare'!$H326="✔ Concluído",'E08 — Estabilização Hypercare'!$H326="N/A"),'E08 — Estabilização Hypercare'!$I326="✔ Concluído",'E08 — Estabilização Hypercare'!$J326="✔ Concluído",OR('E08 — Estabilização Hypercare'!$N326="✅ Estável — Demanda Encerrada",AND('E08 — Estabilização Hypercare'!$N326="🆕 Evolução Identificada — Nova Demanda Aberta",'E08 — Estabilização Hypercare'!$U326&lt;&gt;""))),"Concluído",IF(OR(COUNTIF('E08 — Estabilização Hypercare'!$E326:$J326,"✔ Concluído")&gt;0,COUNTIF('E08 — Estabilização Hypercare'!$E326:$J326,"🔄 Em andamento")&gt;0,'E08 — Estabilização Hypercare'!$N326&lt;&gt;""),"Em andamento","Não iniciado")))))</f>
        <v/>
      </c>
      <c r="M344" s="232" t="str" cm="1">
        <f t="array" ref="M344">IF(B344="","",_xlfn.IFS(E344&lt;&gt;"Concluído","E1 — Solicitação",F344&lt;&gt;"Concluído","E2 — Triagem",G344&lt;&gt;"Concluído","E3 — Levantamento ⚠",H344&lt;&gt;"Concluído","E4 — Execução",I344&lt;&gt;"Concluído","E5 — Validação ⚠",AND(J344&lt;&gt;"Concluído",J344&lt;&gt;"N/A"),"E6 — Ajustes",K344&lt;&gt;"Concluído","E7 — Entrega",L344&lt;&gt;"Concluído","E08 — Estabilização / Hypercare",TRUE,"✔ Fluxo concluído"))</f>
        <v/>
      </c>
      <c r="N344" s="233" t="str">
        <f t="shared" si="5"/>
        <v/>
      </c>
      <c r="O344" s="230"/>
    </row>
    <row r="345" spans="2:15" x14ac:dyDescent="0.35">
      <c r="B345" s="229" t="str">
        <f>IF(Lançamentos!$B322="","",Lançamentos!$B322)</f>
        <v/>
      </c>
      <c r="C345" s="231" t="str">
        <f>IF($B345="","",Lançamentos!$J322)</f>
        <v/>
      </c>
      <c r="D345" s="231" t="str">
        <f>IF($B345="","",Lançamentos!$H322)</f>
        <v/>
      </c>
      <c r="E345" s="229" t="str">
        <f>IF($B345="","",IF(COUNTIF(Lançamentos!$B$3:$B$1001,$B345)=0,"Bloqueado",IF(COUNTIF('E1 — Solicitação'!$E327:$L327,"⛔ Bloqueado")&gt;0,"Bloqueado",IF(COUNTIF('E1 — Solicitação'!$E327:$L327,"N/A")=8,"Bloqueado",IF(COUNTIF('E1 — Solicitação'!$E327:$L327,"✔ Concluído")+COUNTIF('E1 — Solicitação'!$E327:$L327,"N/A")=8,"Concluído",IF(COUNTIF('E1 — Solicitação'!$E327:$L327,"✔ Concluído")+COUNTIF('E1 — Solicitação'!$E327:$L327,"🔄 Em andamento")&gt;0,"Em andamento","Não iniciado"))))))</f>
        <v/>
      </c>
      <c r="F345" s="229" t="str">
        <f>IF($B345="","",IF($E345&lt;&gt;"Concluído","Não iniciado",IF(COUNTIF(Lançamentos!$B$3:$B$1001,$B345)=0,"Bloqueado",IF('E2 — Triagem'!$D327="","Bloqueado",IF(COUNTIF('E2 — Triagem'!$E327:$L327,"N/A")=8,"Bloqueado",IF(COUNTIF('E2 — Triagem'!$E327:$L327,"⛔ Bloqueado")&gt;0,"Bloqueado",IF(COUNTIF('E2 — Triagem'!$E327:$L327,"✔ Concluído")+COUNTIF('E2 — Triagem'!$E327:$L327,"N/A")=8,"Concluído",IF(COUNTIF('E2 — Triagem'!$E327:$L327,"✔ Concluído")+COUNTIF('E2 — Triagem'!$E327:$L327,"🔄 Em andamento")&gt;0,"Em andamento","Não iniciado"))))))))</f>
        <v/>
      </c>
      <c r="G345" s="229" t="str">
        <f>IF($B345="","",IF($F345&lt;&gt;"Concluído","Não iniciado",IF(COUNTIF(Lançamentos!$B$3:$B$1001,$B345)=0,"Bloqueado",IF('E3 — Levantamento'!$D327="","Bloqueado",IF(COUNTIF('E3 — Levantamento'!$E327:$I327,"⛔ Bloqueado")&gt;0,"Bloqueado",IF('E3 — Levantamento'!$I327="N/A","Bloqueado",IF(COUNTIF('E3 — Levantamento'!$E327:$I327,"✔ Concluído")=5,"Concluído",IF(COUNTIF('E3 — Levantamento'!$E327:$I327,"✔ Concluído")+COUNTIF('E3 — Levantamento'!$E327:$I327,"🔄 Em andamento")&gt;0,"Em andamento","Não iniciado"))))))))</f>
        <v/>
      </c>
      <c r="H345" s="229" t="str">
        <f>IF($B345="","",IF($G345&lt;&gt;"Concluído","Não iniciado",IF(COUNTIF(Lançamentos!$B$3:$B$1001,$B345)=0,"Bloqueado",IF('E4 — Execução'!$D327="","Bloqueado",IF(COUNTIF('E4 — Execução'!$E327:$K327,"⛔ Bloqueado")&gt;0,"Bloqueado",IF(COUNTIF('E4 — Execução'!$E327:$K327,"✔ Concluído")=7,"Concluído",IF(COUNTIF('E4 — Execução'!$E327:$K327,"✔ Concluído")+COUNTIF('E4 — Execução'!$E327:$K327,"🔄 Em andamento")&gt;0,"Em andamento","Não iniciado")))))))</f>
        <v/>
      </c>
      <c r="I345" s="229" t="str">
        <f>IF($B345="","",IF($H345&lt;&gt;"Concluído","Não iniciado",IF(COUNTIF(Lançamentos!$B$3:$B$1001,$B345)=0,"Bloqueado",IF('E5 — Validação'!$D327="","Bloqueado",IF(COUNTIF('E5 — Validação'!$E327:$I327,"⛔ Bloqueado")&gt;0,"Bloqueado",IF('E5 — Validação'!$I327="N/A","Bloqueado",IF(AND('E5 — Validação'!$E327="✔ Concluído",'E5 — Validação'!$F327="✔ Concluído",OR('E5 — Validação'!$G327="✔ Concluído",'E5 — Validação'!$G327="N/A"),'E5 — Validação'!$H327="✔ Concluído",'E5 — Validação'!$I327="✔ Concluído"),"Concluído",IF(COUNTIF('E5 — Validação'!$E327:$I327,"✔ Concluído")+COUNTIF('E5 — Validação'!$E327:$I327,"🔄 Em andamento")&gt;0,"Em andamento","Não iniciado"))))))))</f>
        <v/>
      </c>
      <c r="J345" s="229" t="str">
        <f>IF($B345="","",IF($I345&lt;&gt;"Concluído","Não iniciado",IF('E6 — Ajustes'!$N327="Não","N/A",IF(COUNTIF(Lançamentos!$B$3:$B$1001,$B345)=0,"Bloqueado",IF('E6 — Ajustes'!$D327="","Bloqueado",IF(COUNTIF('E6 — Ajustes'!$E327:$J327,"⛔ Bloqueado")&gt;0,"Bloqueado",IF(AND('E6 — Ajustes'!$E327="✔ Concluído",'E6 — Ajustes'!$F327="✔ Concluído",'E6 — Ajustes'!$G327="✔ Concluído",'E6 — Ajustes'!$H327="✔ Concluído",OR('E6 — Ajustes'!$I327="✔ Concluído",'E6 — Ajustes'!$I327="N/A"),'E6 — Ajustes'!$J327="✔ Concluído"),"Concluído",IF(COUNTIF('E6 — Ajustes'!$E327:$J327,"✔ Concluído")+COUNTIF('E6 — Ajustes'!$E327:$J327,"🔄 Em andamento")&gt;0,"Em andamento","Não iniciado"))))))))</f>
        <v/>
      </c>
      <c r="K345" s="229" t="str">
        <f>IF($B345="","",IF($I345&lt;&gt;"Concluído","Não iniciado",IF(AND($J345&lt;&gt;"Concluído",$J345&lt;&gt;"N/A"),"Não iniciado",IF(COUNTIF(Lançamentos!$B$3:$B$1001,$B345)=0,"Bloqueado",IF('E7 — Entrega'!$D327="","Bloqueado",IF(COUNTIF('E7 — Entrega'!$E327:$H327,"⛔ Bloqueado")&gt;0,"Bloqueado",IF(COUNTIF('E7 — Entrega'!$E327:$H327,"✔ Concluído")=4,"Concluído",IF(COUNTIF('E7 — Entrega'!$E327:$H327,"✔ Concluído")+COUNTIF('E7 — Entrega'!$E327:$H327,"🔄 Em andamento")&gt;0,"Em andamento","Não iniciado"))))))))</f>
        <v/>
      </c>
      <c r="L345" s="229" t="str">
        <f>IF($B345="","",IF($K345&lt;&gt;"Concluído","Não iniciado",IF(OR(COUNTIF('E08 — Estabilização Hypercare'!$E327:$J327,"⛔ Bloqueado")&gt;0,'E08 — Estabilização Hypercare'!$N327="⛔ Incidente Crítico — Encerramento Bloqueado",AND('E08 — Estabilização Hypercare'!$N327="🆕 Evolução Identificada — Nova Demanda Aberta",'E08 — Estabilização Hypercare'!$U327="")),"Bloqueado",IF(AND('E08 — Estabilização Hypercare'!$E327="✔ Concluído",'E08 — Estabilização Hypercare'!$F327="✔ Concluído",'E08 — Estabilização Hypercare'!$G327="✔ Concluído",OR('E08 — Estabilização Hypercare'!$H327="✔ Concluído",'E08 — Estabilização Hypercare'!$H327="N/A"),'E08 — Estabilização Hypercare'!$I327="✔ Concluído",'E08 — Estabilização Hypercare'!$J327="✔ Concluído",OR('E08 — Estabilização Hypercare'!$N327="✅ Estável — Demanda Encerrada",AND('E08 — Estabilização Hypercare'!$N327="🆕 Evolução Identificada — Nova Demanda Aberta",'E08 — Estabilização Hypercare'!$U327&lt;&gt;""))),"Concluído",IF(OR(COUNTIF('E08 — Estabilização Hypercare'!$E327:$J327,"✔ Concluído")&gt;0,COUNTIF('E08 — Estabilização Hypercare'!$E327:$J327,"🔄 Em andamento")&gt;0,'E08 — Estabilização Hypercare'!$N327&lt;&gt;""),"Em andamento","Não iniciado")))))</f>
        <v/>
      </c>
      <c r="M345" s="232" t="str" cm="1">
        <f t="array" ref="M345">IF(B345="","",_xlfn.IFS(E345&lt;&gt;"Concluído","E1 — Solicitação",F345&lt;&gt;"Concluído","E2 — Triagem",G345&lt;&gt;"Concluído","E3 — Levantamento ⚠",H345&lt;&gt;"Concluído","E4 — Execução",I345&lt;&gt;"Concluído","E5 — Validação ⚠",AND(J345&lt;&gt;"Concluído",J345&lt;&gt;"N/A"),"E6 — Ajustes",K345&lt;&gt;"Concluído","E7 — Entrega",L345&lt;&gt;"Concluído","E08 — Estabilização / Hypercare",TRUE,"✔ Fluxo concluído"))</f>
        <v/>
      </c>
      <c r="N345" s="233" t="str">
        <f t="shared" si="5"/>
        <v/>
      </c>
      <c r="O345" s="230"/>
    </row>
    <row r="346" spans="2:15" x14ac:dyDescent="0.35">
      <c r="B346" s="229" t="str">
        <f>IF(Lançamentos!$B323="","",Lançamentos!$B323)</f>
        <v/>
      </c>
      <c r="C346" s="231" t="str">
        <f>IF($B346="","",Lançamentos!$J323)</f>
        <v/>
      </c>
      <c r="D346" s="231" t="str">
        <f>IF($B346="","",Lançamentos!$H323)</f>
        <v/>
      </c>
      <c r="E346" s="229" t="str">
        <f>IF($B346="","",IF(COUNTIF(Lançamentos!$B$3:$B$1001,$B346)=0,"Bloqueado",IF(COUNTIF('E1 — Solicitação'!$E328:$L328,"⛔ Bloqueado")&gt;0,"Bloqueado",IF(COUNTIF('E1 — Solicitação'!$E328:$L328,"N/A")=8,"Bloqueado",IF(COUNTIF('E1 — Solicitação'!$E328:$L328,"✔ Concluído")+COUNTIF('E1 — Solicitação'!$E328:$L328,"N/A")=8,"Concluído",IF(COUNTIF('E1 — Solicitação'!$E328:$L328,"✔ Concluído")+COUNTIF('E1 — Solicitação'!$E328:$L328,"🔄 Em andamento")&gt;0,"Em andamento","Não iniciado"))))))</f>
        <v/>
      </c>
      <c r="F346" s="229" t="str">
        <f>IF($B346="","",IF($E346&lt;&gt;"Concluído","Não iniciado",IF(COUNTIF(Lançamentos!$B$3:$B$1001,$B346)=0,"Bloqueado",IF('E2 — Triagem'!$D328="","Bloqueado",IF(COUNTIF('E2 — Triagem'!$E328:$L328,"N/A")=8,"Bloqueado",IF(COUNTIF('E2 — Triagem'!$E328:$L328,"⛔ Bloqueado")&gt;0,"Bloqueado",IF(COUNTIF('E2 — Triagem'!$E328:$L328,"✔ Concluído")+COUNTIF('E2 — Triagem'!$E328:$L328,"N/A")=8,"Concluído",IF(COUNTIF('E2 — Triagem'!$E328:$L328,"✔ Concluído")+COUNTIF('E2 — Triagem'!$E328:$L328,"🔄 Em andamento")&gt;0,"Em andamento","Não iniciado"))))))))</f>
        <v/>
      </c>
      <c r="G346" s="229" t="str">
        <f>IF($B346="","",IF($F346&lt;&gt;"Concluído","Não iniciado",IF(COUNTIF(Lançamentos!$B$3:$B$1001,$B346)=0,"Bloqueado",IF('E3 — Levantamento'!$D328="","Bloqueado",IF(COUNTIF('E3 — Levantamento'!$E328:$I328,"⛔ Bloqueado")&gt;0,"Bloqueado",IF('E3 — Levantamento'!$I328="N/A","Bloqueado",IF(COUNTIF('E3 — Levantamento'!$E328:$I328,"✔ Concluído")=5,"Concluído",IF(COUNTIF('E3 — Levantamento'!$E328:$I328,"✔ Concluído")+COUNTIF('E3 — Levantamento'!$E328:$I328,"🔄 Em andamento")&gt;0,"Em andamento","Não iniciado"))))))))</f>
        <v/>
      </c>
      <c r="H346" s="229" t="str">
        <f>IF($B346="","",IF($G346&lt;&gt;"Concluído","Não iniciado",IF(COUNTIF(Lançamentos!$B$3:$B$1001,$B346)=0,"Bloqueado",IF('E4 — Execução'!$D328="","Bloqueado",IF(COUNTIF('E4 — Execução'!$E328:$K328,"⛔ Bloqueado")&gt;0,"Bloqueado",IF(COUNTIF('E4 — Execução'!$E328:$K328,"✔ Concluído")=7,"Concluído",IF(COUNTIF('E4 — Execução'!$E328:$K328,"✔ Concluído")+COUNTIF('E4 — Execução'!$E328:$K328,"🔄 Em andamento")&gt;0,"Em andamento","Não iniciado")))))))</f>
        <v/>
      </c>
      <c r="I346" s="229" t="str">
        <f>IF($B346="","",IF($H346&lt;&gt;"Concluído","Não iniciado",IF(COUNTIF(Lançamentos!$B$3:$B$1001,$B346)=0,"Bloqueado",IF('E5 — Validação'!$D328="","Bloqueado",IF(COUNTIF('E5 — Validação'!$E328:$I328,"⛔ Bloqueado")&gt;0,"Bloqueado",IF('E5 — Validação'!$I328="N/A","Bloqueado",IF(AND('E5 — Validação'!$E328="✔ Concluído",'E5 — Validação'!$F328="✔ Concluído",OR('E5 — Validação'!$G328="✔ Concluído",'E5 — Validação'!$G328="N/A"),'E5 — Validação'!$H328="✔ Concluído",'E5 — Validação'!$I328="✔ Concluído"),"Concluído",IF(COUNTIF('E5 — Validação'!$E328:$I328,"✔ Concluído")+COUNTIF('E5 — Validação'!$E328:$I328,"🔄 Em andamento")&gt;0,"Em andamento","Não iniciado"))))))))</f>
        <v/>
      </c>
      <c r="J346" s="229" t="str">
        <f>IF($B346="","",IF($I346&lt;&gt;"Concluído","Não iniciado",IF('E6 — Ajustes'!$N328="Não","N/A",IF(COUNTIF(Lançamentos!$B$3:$B$1001,$B346)=0,"Bloqueado",IF('E6 — Ajustes'!$D328="","Bloqueado",IF(COUNTIF('E6 — Ajustes'!$E328:$J328,"⛔ Bloqueado")&gt;0,"Bloqueado",IF(AND('E6 — Ajustes'!$E328="✔ Concluído",'E6 — Ajustes'!$F328="✔ Concluído",'E6 — Ajustes'!$G328="✔ Concluído",'E6 — Ajustes'!$H328="✔ Concluído",OR('E6 — Ajustes'!$I328="✔ Concluído",'E6 — Ajustes'!$I328="N/A"),'E6 — Ajustes'!$J328="✔ Concluído"),"Concluído",IF(COUNTIF('E6 — Ajustes'!$E328:$J328,"✔ Concluído")+COUNTIF('E6 — Ajustes'!$E328:$J328,"🔄 Em andamento")&gt;0,"Em andamento","Não iniciado"))))))))</f>
        <v/>
      </c>
      <c r="K346" s="229" t="str">
        <f>IF($B346="","",IF($I346&lt;&gt;"Concluído","Não iniciado",IF(AND($J346&lt;&gt;"Concluído",$J346&lt;&gt;"N/A"),"Não iniciado",IF(COUNTIF(Lançamentos!$B$3:$B$1001,$B346)=0,"Bloqueado",IF('E7 — Entrega'!$D328="","Bloqueado",IF(COUNTIF('E7 — Entrega'!$E328:$H328,"⛔ Bloqueado")&gt;0,"Bloqueado",IF(COUNTIF('E7 — Entrega'!$E328:$H328,"✔ Concluído")=4,"Concluído",IF(COUNTIF('E7 — Entrega'!$E328:$H328,"✔ Concluído")+COUNTIF('E7 — Entrega'!$E328:$H328,"🔄 Em andamento")&gt;0,"Em andamento","Não iniciado"))))))))</f>
        <v/>
      </c>
      <c r="L346" s="229" t="str">
        <f>IF($B346="","",IF($K346&lt;&gt;"Concluído","Não iniciado",IF(OR(COUNTIF('E08 — Estabilização Hypercare'!$E328:$J328,"⛔ Bloqueado")&gt;0,'E08 — Estabilização Hypercare'!$N328="⛔ Incidente Crítico — Encerramento Bloqueado",AND('E08 — Estabilização Hypercare'!$N328="🆕 Evolução Identificada — Nova Demanda Aberta",'E08 — Estabilização Hypercare'!$U328="")),"Bloqueado",IF(AND('E08 — Estabilização Hypercare'!$E328="✔ Concluído",'E08 — Estabilização Hypercare'!$F328="✔ Concluído",'E08 — Estabilização Hypercare'!$G328="✔ Concluído",OR('E08 — Estabilização Hypercare'!$H328="✔ Concluído",'E08 — Estabilização Hypercare'!$H328="N/A"),'E08 — Estabilização Hypercare'!$I328="✔ Concluído",'E08 — Estabilização Hypercare'!$J328="✔ Concluído",OR('E08 — Estabilização Hypercare'!$N328="✅ Estável — Demanda Encerrada",AND('E08 — Estabilização Hypercare'!$N328="🆕 Evolução Identificada — Nova Demanda Aberta",'E08 — Estabilização Hypercare'!$U328&lt;&gt;""))),"Concluído",IF(OR(COUNTIF('E08 — Estabilização Hypercare'!$E328:$J328,"✔ Concluído")&gt;0,COUNTIF('E08 — Estabilização Hypercare'!$E328:$J328,"🔄 Em andamento")&gt;0,'E08 — Estabilização Hypercare'!$N328&lt;&gt;""),"Em andamento","Não iniciado")))))</f>
        <v/>
      </c>
      <c r="M346" s="232" t="str" cm="1">
        <f t="array" ref="M346">IF(B346="","",_xlfn.IFS(E346&lt;&gt;"Concluído","E1 — Solicitação",F346&lt;&gt;"Concluído","E2 — Triagem",G346&lt;&gt;"Concluído","E3 — Levantamento ⚠",H346&lt;&gt;"Concluído","E4 — Execução",I346&lt;&gt;"Concluído","E5 — Validação ⚠",AND(J346&lt;&gt;"Concluído",J346&lt;&gt;"N/A"),"E6 — Ajustes",K346&lt;&gt;"Concluído","E7 — Entrega",L346&lt;&gt;"Concluído","E08 — Estabilização / Hypercare",TRUE,"✔ Fluxo concluído"))</f>
        <v/>
      </c>
      <c r="N346" s="233" t="str">
        <f t="shared" si="5"/>
        <v/>
      </c>
      <c r="O346" s="230"/>
    </row>
    <row r="347" spans="2:15" x14ac:dyDescent="0.35">
      <c r="B347" s="229" t="str">
        <f>IF(Lançamentos!$B324="","",Lançamentos!$B324)</f>
        <v/>
      </c>
      <c r="C347" s="231" t="str">
        <f>IF($B347="","",Lançamentos!$J324)</f>
        <v/>
      </c>
      <c r="D347" s="231" t="str">
        <f>IF($B347="","",Lançamentos!$H324)</f>
        <v/>
      </c>
      <c r="E347" s="229" t="str">
        <f>IF($B347="","",IF(COUNTIF(Lançamentos!$B$3:$B$1001,$B347)=0,"Bloqueado",IF(COUNTIF('E1 — Solicitação'!$E329:$L329,"⛔ Bloqueado")&gt;0,"Bloqueado",IF(COUNTIF('E1 — Solicitação'!$E329:$L329,"N/A")=8,"Bloqueado",IF(COUNTIF('E1 — Solicitação'!$E329:$L329,"✔ Concluído")+COUNTIF('E1 — Solicitação'!$E329:$L329,"N/A")=8,"Concluído",IF(COUNTIF('E1 — Solicitação'!$E329:$L329,"✔ Concluído")+COUNTIF('E1 — Solicitação'!$E329:$L329,"🔄 Em andamento")&gt;0,"Em andamento","Não iniciado"))))))</f>
        <v/>
      </c>
      <c r="F347" s="229" t="str">
        <f>IF($B347="","",IF($E347&lt;&gt;"Concluído","Não iniciado",IF(COUNTIF(Lançamentos!$B$3:$B$1001,$B347)=0,"Bloqueado",IF('E2 — Triagem'!$D329="","Bloqueado",IF(COUNTIF('E2 — Triagem'!$E329:$L329,"N/A")=8,"Bloqueado",IF(COUNTIF('E2 — Triagem'!$E329:$L329,"⛔ Bloqueado")&gt;0,"Bloqueado",IF(COUNTIF('E2 — Triagem'!$E329:$L329,"✔ Concluído")+COUNTIF('E2 — Triagem'!$E329:$L329,"N/A")=8,"Concluído",IF(COUNTIF('E2 — Triagem'!$E329:$L329,"✔ Concluído")+COUNTIF('E2 — Triagem'!$E329:$L329,"🔄 Em andamento")&gt;0,"Em andamento","Não iniciado"))))))))</f>
        <v/>
      </c>
      <c r="G347" s="229" t="str">
        <f>IF($B347="","",IF($F347&lt;&gt;"Concluído","Não iniciado",IF(COUNTIF(Lançamentos!$B$3:$B$1001,$B347)=0,"Bloqueado",IF('E3 — Levantamento'!$D329="","Bloqueado",IF(COUNTIF('E3 — Levantamento'!$E329:$I329,"⛔ Bloqueado")&gt;0,"Bloqueado",IF('E3 — Levantamento'!$I329="N/A","Bloqueado",IF(COUNTIF('E3 — Levantamento'!$E329:$I329,"✔ Concluído")=5,"Concluído",IF(COUNTIF('E3 — Levantamento'!$E329:$I329,"✔ Concluído")+COUNTIF('E3 — Levantamento'!$E329:$I329,"🔄 Em andamento")&gt;0,"Em andamento","Não iniciado"))))))))</f>
        <v/>
      </c>
      <c r="H347" s="229" t="str">
        <f>IF($B347="","",IF($G347&lt;&gt;"Concluído","Não iniciado",IF(COUNTIF(Lançamentos!$B$3:$B$1001,$B347)=0,"Bloqueado",IF('E4 — Execução'!$D329="","Bloqueado",IF(COUNTIF('E4 — Execução'!$E329:$K329,"⛔ Bloqueado")&gt;0,"Bloqueado",IF(COUNTIF('E4 — Execução'!$E329:$K329,"✔ Concluído")=7,"Concluído",IF(COUNTIF('E4 — Execução'!$E329:$K329,"✔ Concluído")+COUNTIF('E4 — Execução'!$E329:$K329,"🔄 Em andamento")&gt;0,"Em andamento","Não iniciado")))))))</f>
        <v/>
      </c>
      <c r="I347" s="229" t="str">
        <f>IF($B347="","",IF($H347&lt;&gt;"Concluído","Não iniciado",IF(COUNTIF(Lançamentos!$B$3:$B$1001,$B347)=0,"Bloqueado",IF('E5 — Validação'!$D329="","Bloqueado",IF(COUNTIF('E5 — Validação'!$E329:$I329,"⛔ Bloqueado")&gt;0,"Bloqueado",IF('E5 — Validação'!$I329="N/A","Bloqueado",IF(AND('E5 — Validação'!$E329="✔ Concluído",'E5 — Validação'!$F329="✔ Concluído",OR('E5 — Validação'!$G329="✔ Concluído",'E5 — Validação'!$G329="N/A"),'E5 — Validação'!$H329="✔ Concluído",'E5 — Validação'!$I329="✔ Concluído"),"Concluído",IF(COUNTIF('E5 — Validação'!$E329:$I329,"✔ Concluído")+COUNTIF('E5 — Validação'!$E329:$I329,"🔄 Em andamento")&gt;0,"Em andamento","Não iniciado"))))))))</f>
        <v/>
      </c>
      <c r="J347" s="229" t="str">
        <f>IF($B347="","",IF($I347&lt;&gt;"Concluído","Não iniciado",IF('E6 — Ajustes'!$N329="Não","N/A",IF(COUNTIF(Lançamentos!$B$3:$B$1001,$B347)=0,"Bloqueado",IF('E6 — Ajustes'!$D329="","Bloqueado",IF(COUNTIF('E6 — Ajustes'!$E329:$J329,"⛔ Bloqueado")&gt;0,"Bloqueado",IF(AND('E6 — Ajustes'!$E329="✔ Concluído",'E6 — Ajustes'!$F329="✔ Concluído",'E6 — Ajustes'!$G329="✔ Concluído",'E6 — Ajustes'!$H329="✔ Concluído",OR('E6 — Ajustes'!$I329="✔ Concluído",'E6 — Ajustes'!$I329="N/A"),'E6 — Ajustes'!$J329="✔ Concluído"),"Concluído",IF(COUNTIF('E6 — Ajustes'!$E329:$J329,"✔ Concluído")+COUNTIF('E6 — Ajustes'!$E329:$J329,"🔄 Em andamento")&gt;0,"Em andamento","Não iniciado"))))))))</f>
        <v/>
      </c>
      <c r="K347" s="229" t="str">
        <f>IF($B347="","",IF($I347&lt;&gt;"Concluído","Não iniciado",IF(AND($J347&lt;&gt;"Concluído",$J347&lt;&gt;"N/A"),"Não iniciado",IF(COUNTIF(Lançamentos!$B$3:$B$1001,$B347)=0,"Bloqueado",IF('E7 — Entrega'!$D329="","Bloqueado",IF(COUNTIF('E7 — Entrega'!$E329:$H329,"⛔ Bloqueado")&gt;0,"Bloqueado",IF(COUNTIF('E7 — Entrega'!$E329:$H329,"✔ Concluído")=4,"Concluído",IF(COUNTIF('E7 — Entrega'!$E329:$H329,"✔ Concluído")+COUNTIF('E7 — Entrega'!$E329:$H329,"🔄 Em andamento")&gt;0,"Em andamento","Não iniciado"))))))))</f>
        <v/>
      </c>
      <c r="L347" s="229" t="str">
        <f>IF($B347="","",IF($K347&lt;&gt;"Concluído","Não iniciado",IF(OR(COUNTIF('E08 — Estabilização Hypercare'!$E329:$J329,"⛔ Bloqueado")&gt;0,'E08 — Estabilização Hypercare'!$N329="⛔ Incidente Crítico — Encerramento Bloqueado",AND('E08 — Estabilização Hypercare'!$N329="🆕 Evolução Identificada — Nova Demanda Aberta",'E08 — Estabilização Hypercare'!$U329="")),"Bloqueado",IF(AND('E08 — Estabilização Hypercare'!$E329="✔ Concluído",'E08 — Estabilização Hypercare'!$F329="✔ Concluído",'E08 — Estabilização Hypercare'!$G329="✔ Concluído",OR('E08 — Estabilização Hypercare'!$H329="✔ Concluído",'E08 — Estabilização Hypercare'!$H329="N/A"),'E08 — Estabilização Hypercare'!$I329="✔ Concluído",'E08 — Estabilização Hypercare'!$J329="✔ Concluído",OR('E08 — Estabilização Hypercare'!$N329="✅ Estável — Demanda Encerrada",AND('E08 — Estabilização Hypercare'!$N329="🆕 Evolução Identificada — Nova Demanda Aberta",'E08 — Estabilização Hypercare'!$U329&lt;&gt;""))),"Concluído",IF(OR(COUNTIF('E08 — Estabilização Hypercare'!$E329:$J329,"✔ Concluído")&gt;0,COUNTIF('E08 — Estabilização Hypercare'!$E329:$J329,"🔄 Em andamento")&gt;0,'E08 — Estabilização Hypercare'!$N329&lt;&gt;""),"Em andamento","Não iniciado")))))</f>
        <v/>
      </c>
      <c r="M347" s="232" t="str" cm="1">
        <f t="array" ref="M347">IF(B347="","",_xlfn.IFS(E347&lt;&gt;"Concluído","E1 — Solicitação",F347&lt;&gt;"Concluído","E2 — Triagem",G347&lt;&gt;"Concluído","E3 — Levantamento ⚠",H347&lt;&gt;"Concluído","E4 — Execução",I347&lt;&gt;"Concluído","E5 — Validação ⚠",AND(J347&lt;&gt;"Concluído",J347&lt;&gt;"N/A"),"E6 — Ajustes",K347&lt;&gt;"Concluído","E7 — Entrega",L347&lt;&gt;"Concluído","E08 — Estabilização / Hypercare",TRUE,"✔ Fluxo concluído"))</f>
        <v/>
      </c>
      <c r="N347" s="233" t="str">
        <f t="shared" si="5"/>
        <v/>
      </c>
      <c r="O347" s="230"/>
    </row>
    <row r="348" spans="2:15" x14ac:dyDescent="0.35">
      <c r="B348" s="229" t="str">
        <f>IF(Lançamentos!$B325="","",Lançamentos!$B325)</f>
        <v/>
      </c>
      <c r="C348" s="231" t="str">
        <f>IF($B348="","",Lançamentos!$J325)</f>
        <v/>
      </c>
      <c r="D348" s="231" t="str">
        <f>IF($B348="","",Lançamentos!$H325)</f>
        <v/>
      </c>
      <c r="E348" s="229" t="str">
        <f>IF($B348="","",IF(COUNTIF(Lançamentos!$B$3:$B$1001,$B348)=0,"Bloqueado",IF(COUNTIF('E1 — Solicitação'!$E330:$L330,"⛔ Bloqueado")&gt;0,"Bloqueado",IF(COUNTIF('E1 — Solicitação'!$E330:$L330,"N/A")=8,"Bloqueado",IF(COUNTIF('E1 — Solicitação'!$E330:$L330,"✔ Concluído")+COUNTIF('E1 — Solicitação'!$E330:$L330,"N/A")=8,"Concluído",IF(COUNTIF('E1 — Solicitação'!$E330:$L330,"✔ Concluído")+COUNTIF('E1 — Solicitação'!$E330:$L330,"🔄 Em andamento")&gt;0,"Em andamento","Não iniciado"))))))</f>
        <v/>
      </c>
      <c r="F348" s="229" t="str">
        <f>IF($B348="","",IF($E348&lt;&gt;"Concluído","Não iniciado",IF(COUNTIF(Lançamentos!$B$3:$B$1001,$B348)=0,"Bloqueado",IF('E2 — Triagem'!$D330="","Bloqueado",IF(COUNTIF('E2 — Triagem'!$E330:$L330,"N/A")=8,"Bloqueado",IF(COUNTIF('E2 — Triagem'!$E330:$L330,"⛔ Bloqueado")&gt;0,"Bloqueado",IF(COUNTIF('E2 — Triagem'!$E330:$L330,"✔ Concluído")+COUNTIF('E2 — Triagem'!$E330:$L330,"N/A")=8,"Concluído",IF(COUNTIF('E2 — Triagem'!$E330:$L330,"✔ Concluído")+COUNTIF('E2 — Triagem'!$E330:$L330,"🔄 Em andamento")&gt;0,"Em andamento","Não iniciado"))))))))</f>
        <v/>
      </c>
      <c r="G348" s="229" t="str">
        <f>IF($B348="","",IF($F348&lt;&gt;"Concluído","Não iniciado",IF(COUNTIF(Lançamentos!$B$3:$B$1001,$B348)=0,"Bloqueado",IF('E3 — Levantamento'!$D330="","Bloqueado",IF(COUNTIF('E3 — Levantamento'!$E330:$I330,"⛔ Bloqueado")&gt;0,"Bloqueado",IF('E3 — Levantamento'!$I330="N/A","Bloqueado",IF(COUNTIF('E3 — Levantamento'!$E330:$I330,"✔ Concluído")=5,"Concluído",IF(COUNTIF('E3 — Levantamento'!$E330:$I330,"✔ Concluído")+COUNTIF('E3 — Levantamento'!$E330:$I330,"🔄 Em andamento")&gt;0,"Em andamento","Não iniciado"))))))))</f>
        <v/>
      </c>
      <c r="H348" s="229" t="str">
        <f>IF($B348="","",IF($G348&lt;&gt;"Concluído","Não iniciado",IF(COUNTIF(Lançamentos!$B$3:$B$1001,$B348)=0,"Bloqueado",IF('E4 — Execução'!$D330="","Bloqueado",IF(COUNTIF('E4 — Execução'!$E330:$K330,"⛔ Bloqueado")&gt;0,"Bloqueado",IF(COUNTIF('E4 — Execução'!$E330:$K330,"✔ Concluído")=7,"Concluído",IF(COUNTIF('E4 — Execução'!$E330:$K330,"✔ Concluído")+COUNTIF('E4 — Execução'!$E330:$K330,"🔄 Em andamento")&gt;0,"Em andamento","Não iniciado")))))))</f>
        <v/>
      </c>
      <c r="I348" s="229" t="str">
        <f>IF($B348="","",IF($H348&lt;&gt;"Concluído","Não iniciado",IF(COUNTIF(Lançamentos!$B$3:$B$1001,$B348)=0,"Bloqueado",IF('E5 — Validação'!$D330="","Bloqueado",IF(COUNTIF('E5 — Validação'!$E330:$I330,"⛔ Bloqueado")&gt;0,"Bloqueado",IF('E5 — Validação'!$I330="N/A","Bloqueado",IF(AND('E5 — Validação'!$E330="✔ Concluído",'E5 — Validação'!$F330="✔ Concluído",OR('E5 — Validação'!$G330="✔ Concluído",'E5 — Validação'!$G330="N/A"),'E5 — Validação'!$H330="✔ Concluído",'E5 — Validação'!$I330="✔ Concluído"),"Concluído",IF(COUNTIF('E5 — Validação'!$E330:$I330,"✔ Concluído")+COUNTIF('E5 — Validação'!$E330:$I330,"🔄 Em andamento")&gt;0,"Em andamento","Não iniciado"))))))))</f>
        <v/>
      </c>
      <c r="J348" s="229" t="str">
        <f>IF($B348="","",IF($I348&lt;&gt;"Concluído","Não iniciado",IF('E6 — Ajustes'!$N330="Não","N/A",IF(COUNTIF(Lançamentos!$B$3:$B$1001,$B348)=0,"Bloqueado",IF('E6 — Ajustes'!$D330="","Bloqueado",IF(COUNTIF('E6 — Ajustes'!$E330:$J330,"⛔ Bloqueado")&gt;0,"Bloqueado",IF(AND('E6 — Ajustes'!$E330="✔ Concluído",'E6 — Ajustes'!$F330="✔ Concluído",'E6 — Ajustes'!$G330="✔ Concluído",'E6 — Ajustes'!$H330="✔ Concluído",OR('E6 — Ajustes'!$I330="✔ Concluído",'E6 — Ajustes'!$I330="N/A"),'E6 — Ajustes'!$J330="✔ Concluído"),"Concluído",IF(COUNTIF('E6 — Ajustes'!$E330:$J330,"✔ Concluído")+COUNTIF('E6 — Ajustes'!$E330:$J330,"🔄 Em andamento")&gt;0,"Em andamento","Não iniciado"))))))))</f>
        <v/>
      </c>
      <c r="K348" s="229" t="str">
        <f>IF($B348="","",IF($I348&lt;&gt;"Concluído","Não iniciado",IF(AND($J348&lt;&gt;"Concluído",$J348&lt;&gt;"N/A"),"Não iniciado",IF(COUNTIF(Lançamentos!$B$3:$B$1001,$B348)=0,"Bloqueado",IF('E7 — Entrega'!$D330="","Bloqueado",IF(COUNTIF('E7 — Entrega'!$E330:$H330,"⛔ Bloqueado")&gt;0,"Bloqueado",IF(COUNTIF('E7 — Entrega'!$E330:$H330,"✔ Concluído")=4,"Concluído",IF(COUNTIF('E7 — Entrega'!$E330:$H330,"✔ Concluído")+COUNTIF('E7 — Entrega'!$E330:$H330,"🔄 Em andamento")&gt;0,"Em andamento","Não iniciado"))))))))</f>
        <v/>
      </c>
      <c r="L348" s="229" t="str">
        <f>IF($B348="","",IF($K348&lt;&gt;"Concluído","Não iniciado",IF(OR(COUNTIF('E08 — Estabilização Hypercare'!$E330:$J330,"⛔ Bloqueado")&gt;0,'E08 — Estabilização Hypercare'!$N330="⛔ Incidente Crítico — Encerramento Bloqueado",AND('E08 — Estabilização Hypercare'!$N330="🆕 Evolução Identificada — Nova Demanda Aberta",'E08 — Estabilização Hypercare'!$U330="")),"Bloqueado",IF(AND('E08 — Estabilização Hypercare'!$E330="✔ Concluído",'E08 — Estabilização Hypercare'!$F330="✔ Concluído",'E08 — Estabilização Hypercare'!$G330="✔ Concluído",OR('E08 — Estabilização Hypercare'!$H330="✔ Concluído",'E08 — Estabilização Hypercare'!$H330="N/A"),'E08 — Estabilização Hypercare'!$I330="✔ Concluído",'E08 — Estabilização Hypercare'!$J330="✔ Concluído",OR('E08 — Estabilização Hypercare'!$N330="✅ Estável — Demanda Encerrada",AND('E08 — Estabilização Hypercare'!$N330="🆕 Evolução Identificada — Nova Demanda Aberta",'E08 — Estabilização Hypercare'!$U330&lt;&gt;""))),"Concluído",IF(OR(COUNTIF('E08 — Estabilização Hypercare'!$E330:$J330,"✔ Concluído")&gt;0,COUNTIF('E08 — Estabilização Hypercare'!$E330:$J330,"🔄 Em andamento")&gt;0,'E08 — Estabilização Hypercare'!$N330&lt;&gt;""),"Em andamento","Não iniciado")))))</f>
        <v/>
      </c>
      <c r="M348" s="232" t="str" cm="1">
        <f t="array" ref="M348">IF(B348="","",_xlfn.IFS(E348&lt;&gt;"Concluído","E1 — Solicitação",F348&lt;&gt;"Concluído","E2 — Triagem",G348&lt;&gt;"Concluído","E3 — Levantamento ⚠",H348&lt;&gt;"Concluído","E4 — Execução",I348&lt;&gt;"Concluído","E5 — Validação ⚠",AND(J348&lt;&gt;"Concluído",J348&lt;&gt;"N/A"),"E6 — Ajustes",K348&lt;&gt;"Concluído","E7 — Entrega",L348&lt;&gt;"Concluído","E08 — Estabilização / Hypercare",TRUE,"✔ Fluxo concluído"))</f>
        <v/>
      </c>
      <c r="N348" s="233" t="str">
        <f t="shared" si="5"/>
        <v/>
      </c>
      <c r="O348" s="230"/>
    </row>
    <row r="349" spans="2:15" x14ac:dyDescent="0.35">
      <c r="B349" s="229" t="str">
        <f>IF(Lançamentos!$B326="","",Lançamentos!$B326)</f>
        <v/>
      </c>
      <c r="C349" s="231" t="str">
        <f>IF($B349="","",Lançamentos!$J326)</f>
        <v/>
      </c>
      <c r="D349" s="231" t="str">
        <f>IF($B349="","",Lançamentos!$H326)</f>
        <v/>
      </c>
      <c r="E349" s="229" t="str">
        <f>IF($B349="","",IF(COUNTIF(Lançamentos!$B$3:$B$1001,$B349)=0,"Bloqueado",IF(COUNTIF('E1 — Solicitação'!$E331:$L331,"⛔ Bloqueado")&gt;0,"Bloqueado",IF(COUNTIF('E1 — Solicitação'!$E331:$L331,"N/A")=8,"Bloqueado",IF(COUNTIF('E1 — Solicitação'!$E331:$L331,"✔ Concluído")+COUNTIF('E1 — Solicitação'!$E331:$L331,"N/A")=8,"Concluído",IF(COUNTIF('E1 — Solicitação'!$E331:$L331,"✔ Concluído")+COUNTIF('E1 — Solicitação'!$E331:$L331,"🔄 Em andamento")&gt;0,"Em andamento","Não iniciado"))))))</f>
        <v/>
      </c>
      <c r="F349" s="229" t="str">
        <f>IF($B349="","",IF($E349&lt;&gt;"Concluído","Não iniciado",IF(COUNTIF(Lançamentos!$B$3:$B$1001,$B349)=0,"Bloqueado",IF('E2 — Triagem'!$D331="","Bloqueado",IF(COUNTIF('E2 — Triagem'!$E331:$L331,"N/A")=8,"Bloqueado",IF(COUNTIF('E2 — Triagem'!$E331:$L331,"⛔ Bloqueado")&gt;0,"Bloqueado",IF(COUNTIF('E2 — Triagem'!$E331:$L331,"✔ Concluído")+COUNTIF('E2 — Triagem'!$E331:$L331,"N/A")=8,"Concluído",IF(COUNTIF('E2 — Triagem'!$E331:$L331,"✔ Concluído")+COUNTIF('E2 — Triagem'!$E331:$L331,"🔄 Em andamento")&gt;0,"Em andamento","Não iniciado"))))))))</f>
        <v/>
      </c>
      <c r="G349" s="229" t="str">
        <f>IF($B349="","",IF($F349&lt;&gt;"Concluído","Não iniciado",IF(COUNTIF(Lançamentos!$B$3:$B$1001,$B349)=0,"Bloqueado",IF('E3 — Levantamento'!$D331="","Bloqueado",IF(COUNTIF('E3 — Levantamento'!$E331:$I331,"⛔ Bloqueado")&gt;0,"Bloqueado",IF('E3 — Levantamento'!$I331="N/A","Bloqueado",IF(COUNTIF('E3 — Levantamento'!$E331:$I331,"✔ Concluído")=5,"Concluído",IF(COUNTIF('E3 — Levantamento'!$E331:$I331,"✔ Concluído")+COUNTIF('E3 — Levantamento'!$E331:$I331,"🔄 Em andamento")&gt;0,"Em andamento","Não iniciado"))))))))</f>
        <v/>
      </c>
      <c r="H349" s="229" t="str">
        <f>IF($B349="","",IF($G349&lt;&gt;"Concluído","Não iniciado",IF(COUNTIF(Lançamentos!$B$3:$B$1001,$B349)=0,"Bloqueado",IF('E4 — Execução'!$D331="","Bloqueado",IF(COUNTIF('E4 — Execução'!$E331:$K331,"⛔ Bloqueado")&gt;0,"Bloqueado",IF(COUNTIF('E4 — Execução'!$E331:$K331,"✔ Concluído")=7,"Concluído",IF(COUNTIF('E4 — Execução'!$E331:$K331,"✔ Concluído")+COUNTIF('E4 — Execução'!$E331:$K331,"🔄 Em andamento")&gt;0,"Em andamento","Não iniciado")))))))</f>
        <v/>
      </c>
      <c r="I349" s="229" t="str">
        <f>IF($B349="","",IF($H349&lt;&gt;"Concluído","Não iniciado",IF(COUNTIF(Lançamentos!$B$3:$B$1001,$B349)=0,"Bloqueado",IF('E5 — Validação'!$D331="","Bloqueado",IF(COUNTIF('E5 — Validação'!$E331:$I331,"⛔ Bloqueado")&gt;0,"Bloqueado",IF('E5 — Validação'!$I331="N/A","Bloqueado",IF(AND('E5 — Validação'!$E331="✔ Concluído",'E5 — Validação'!$F331="✔ Concluído",OR('E5 — Validação'!$G331="✔ Concluído",'E5 — Validação'!$G331="N/A"),'E5 — Validação'!$H331="✔ Concluído",'E5 — Validação'!$I331="✔ Concluído"),"Concluído",IF(COUNTIF('E5 — Validação'!$E331:$I331,"✔ Concluído")+COUNTIF('E5 — Validação'!$E331:$I331,"🔄 Em andamento")&gt;0,"Em andamento","Não iniciado"))))))))</f>
        <v/>
      </c>
      <c r="J349" s="229" t="str">
        <f>IF($B349="","",IF($I349&lt;&gt;"Concluído","Não iniciado",IF('E6 — Ajustes'!$N331="Não","N/A",IF(COUNTIF(Lançamentos!$B$3:$B$1001,$B349)=0,"Bloqueado",IF('E6 — Ajustes'!$D331="","Bloqueado",IF(COUNTIF('E6 — Ajustes'!$E331:$J331,"⛔ Bloqueado")&gt;0,"Bloqueado",IF(AND('E6 — Ajustes'!$E331="✔ Concluído",'E6 — Ajustes'!$F331="✔ Concluído",'E6 — Ajustes'!$G331="✔ Concluído",'E6 — Ajustes'!$H331="✔ Concluído",OR('E6 — Ajustes'!$I331="✔ Concluído",'E6 — Ajustes'!$I331="N/A"),'E6 — Ajustes'!$J331="✔ Concluído"),"Concluído",IF(COUNTIF('E6 — Ajustes'!$E331:$J331,"✔ Concluído")+COUNTIF('E6 — Ajustes'!$E331:$J331,"🔄 Em andamento")&gt;0,"Em andamento","Não iniciado"))))))))</f>
        <v/>
      </c>
      <c r="K349" s="229" t="str">
        <f>IF($B349="","",IF($I349&lt;&gt;"Concluído","Não iniciado",IF(AND($J349&lt;&gt;"Concluído",$J349&lt;&gt;"N/A"),"Não iniciado",IF(COUNTIF(Lançamentos!$B$3:$B$1001,$B349)=0,"Bloqueado",IF('E7 — Entrega'!$D331="","Bloqueado",IF(COUNTIF('E7 — Entrega'!$E331:$H331,"⛔ Bloqueado")&gt;0,"Bloqueado",IF(COUNTIF('E7 — Entrega'!$E331:$H331,"✔ Concluído")=4,"Concluído",IF(COUNTIF('E7 — Entrega'!$E331:$H331,"✔ Concluído")+COUNTIF('E7 — Entrega'!$E331:$H331,"🔄 Em andamento")&gt;0,"Em andamento","Não iniciado"))))))))</f>
        <v/>
      </c>
      <c r="L349" s="229" t="str">
        <f>IF($B349="","",IF($K349&lt;&gt;"Concluído","Não iniciado",IF(OR(COUNTIF('E08 — Estabilização Hypercare'!$E331:$J331,"⛔ Bloqueado")&gt;0,'E08 — Estabilização Hypercare'!$N331="⛔ Incidente Crítico — Encerramento Bloqueado",AND('E08 — Estabilização Hypercare'!$N331="🆕 Evolução Identificada — Nova Demanda Aberta",'E08 — Estabilização Hypercare'!$U331="")),"Bloqueado",IF(AND('E08 — Estabilização Hypercare'!$E331="✔ Concluído",'E08 — Estabilização Hypercare'!$F331="✔ Concluído",'E08 — Estabilização Hypercare'!$G331="✔ Concluído",OR('E08 — Estabilização Hypercare'!$H331="✔ Concluído",'E08 — Estabilização Hypercare'!$H331="N/A"),'E08 — Estabilização Hypercare'!$I331="✔ Concluído",'E08 — Estabilização Hypercare'!$J331="✔ Concluído",OR('E08 — Estabilização Hypercare'!$N331="✅ Estável — Demanda Encerrada",AND('E08 — Estabilização Hypercare'!$N331="🆕 Evolução Identificada — Nova Demanda Aberta",'E08 — Estabilização Hypercare'!$U331&lt;&gt;""))),"Concluído",IF(OR(COUNTIF('E08 — Estabilização Hypercare'!$E331:$J331,"✔ Concluído")&gt;0,COUNTIF('E08 — Estabilização Hypercare'!$E331:$J331,"🔄 Em andamento")&gt;0,'E08 — Estabilização Hypercare'!$N331&lt;&gt;""),"Em andamento","Não iniciado")))))</f>
        <v/>
      </c>
      <c r="M349" s="232" t="str" cm="1">
        <f t="array" ref="M349">IF(B349="","",_xlfn.IFS(E349&lt;&gt;"Concluído","E1 — Solicitação",F349&lt;&gt;"Concluído","E2 — Triagem",G349&lt;&gt;"Concluído","E3 — Levantamento ⚠",H349&lt;&gt;"Concluído","E4 — Execução",I349&lt;&gt;"Concluído","E5 — Validação ⚠",AND(J349&lt;&gt;"Concluído",J349&lt;&gt;"N/A"),"E6 — Ajustes",K349&lt;&gt;"Concluído","E7 — Entrega",L349&lt;&gt;"Concluído","E08 — Estabilização / Hypercare",TRUE,"✔ Fluxo concluído"))</f>
        <v/>
      </c>
      <c r="N349" s="233" t="str">
        <f t="shared" si="5"/>
        <v/>
      </c>
      <c r="O349" s="230"/>
    </row>
    <row r="350" spans="2:15" x14ac:dyDescent="0.35">
      <c r="B350" s="229" t="str">
        <f>IF(Lançamentos!$B327="","",Lançamentos!$B327)</f>
        <v/>
      </c>
      <c r="C350" s="231" t="str">
        <f>IF($B350="","",Lançamentos!$J327)</f>
        <v/>
      </c>
      <c r="D350" s="231" t="str">
        <f>IF($B350="","",Lançamentos!$H327)</f>
        <v/>
      </c>
      <c r="E350" s="229" t="str">
        <f>IF($B350="","",IF(COUNTIF(Lançamentos!$B$3:$B$1001,$B350)=0,"Bloqueado",IF(COUNTIF('E1 — Solicitação'!$E332:$L332,"⛔ Bloqueado")&gt;0,"Bloqueado",IF(COUNTIF('E1 — Solicitação'!$E332:$L332,"N/A")=8,"Bloqueado",IF(COUNTIF('E1 — Solicitação'!$E332:$L332,"✔ Concluído")+COUNTIF('E1 — Solicitação'!$E332:$L332,"N/A")=8,"Concluído",IF(COUNTIF('E1 — Solicitação'!$E332:$L332,"✔ Concluído")+COUNTIF('E1 — Solicitação'!$E332:$L332,"🔄 Em andamento")&gt;0,"Em andamento","Não iniciado"))))))</f>
        <v/>
      </c>
      <c r="F350" s="229" t="str">
        <f>IF($B350="","",IF($E350&lt;&gt;"Concluído","Não iniciado",IF(COUNTIF(Lançamentos!$B$3:$B$1001,$B350)=0,"Bloqueado",IF('E2 — Triagem'!$D332="","Bloqueado",IF(COUNTIF('E2 — Triagem'!$E332:$L332,"N/A")=8,"Bloqueado",IF(COUNTIF('E2 — Triagem'!$E332:$L332,"⛔ Bloqueado")&gt;0,"Bloqueado",IF(COUNTIF('E2 — Triagem'!$E332:$L332,"✔ Concluído")+COUNTIF('E2 — Triagem'!$E332:$L332,"N/A")=8,"Concluído",IF(COUNTIF('E2 — Triagem'!$E332:$L332,"✔ Concluído")+COUNTIF('E2 — Triagem'!$E332:$L332,"🔄 Em andamento")&gt;0,"Em andamento","Não iniciado"))))))))</f>
        <v/>
      </c>
      <c r="G350" s="229" t="str">
        <f>IF($B350="","",IF($F350&lt;&gt;"Concluído","Não iniciado",IF(COUNTIF(Lançamentos!$B$3:$B$1001,$B350)=0,"Bloqueado",IF('E3 — Levantamento'!$D332="","Bloqueado",IF(COUNTIF('E3 — Levantamento'!$E332:$I332,"⛔ Bloqueado")&gt;0,"Bloqueado",IF('E3 — Levantamento'!$I332="N/A","Bloqueado",IF(COUNTIF('E3 — Levantamento'!$E332:$I332,"✔ Concluído")=5,"Concluído",IF(COUNTIF('E3 — Levantamento'!$E332:$I332,"✔ Concluído")+COUNTIF('E3 — Levantamento'!$E332:$I332,"🔄 Em andamento")&gt;0,"Em andamento","Não iniciado"))))))))</f>
        <v/>
      </c>
      <c r="H350" s="229" t="str">
        <f>IF($B350="","",IF($G350&lt;&gt;"Concluído","Não iniciado",IF(COUNTIF(Lançamentos!$B$3:$B$1001,$B350)=0,"Bloqueado",IF('E4 — Execução'!$D332="","Bloqueado",IF(COUNTIF('E4 — Execução'!$E332:$K332,"⛔ Bloqueado")&gt;0,"Bloqueado",IF(COUNTIF('E4 — Execução'!$E332:$K332,"✔ Concluído")=7,"Concluído",IF(COUNTIF('E4 — Execução'!$E332:$K332,"✔ Concluído")+COUNTIF('E4 — Execução'!$E332:$K332,"🔄 Em andamento")&gt;0,"Em andamento","Não iniciado")))))))</f>
        <v/>
      </c>
      <c r="I350" s="229" t="str">
        <f>IF($B350="","",IF($H350&lt;&gt;"Concluído","Não iniciado",IF(COUNTIF(Lançamentos!$B$3:$B$1001,$B350)=0,"Bloqueado",IF('E5 — Validação'!$D332="","Bloqueado",IF(COUNTIF('E5 — Validação'!$E332:$I332,"⛔ Bloqueado")&gt;0,"Bloqueado",IF('E5 — Validação'!$I332="N/A","Bloqueado",IF(AND('E5 — Validação'!$E332="✔ Concluído",'E5 — Validação'!$F332="✔ Concluído",OR('E5 — Validação'!$G332="✔ Concluído",'E5 — Validação'!$G332="N/A"),'E5 — Validação'!$H332="✔ Concluído",'E5 — Validação'!$I332="✔ Concluído"),"Concluído",IF(COUNTIF('E5 — Validação'!$E332:$I332,"✔ Concluído")+COUNTIF('E5 — Validação'!$E332:$I332,"🔄 Em andamento")&gt;0,"Em andamento","Não iniciado"))))))))</f>
        <v/>
      </c>
      <c r="J350" s="229" t="str">
        <f>IF($B350="","",IF($I350&lt;&gt;"Concluído","Não iniciado",IF('E6 — Ajustes'!$N332="Não","N/A",IF(COUNTIF(Lançamentos!$B$3:$B$1001,$B350)=0,"Bloqueado",IF('E6 — Ajustes'!$D332="","Bloqueado",IF(COUNTIF('E6 — Ajustes'!$E332:$J332,"⛔ Bloqueado")&gt;0,"Bloqueado",IF(AND('E6 — Ajustes'!$E332="✔ Concluído",'E6 — Ajustes'!$F332="✔ Concluído",'E6 — Ajustes'!$G332="✔ Concluído",'E6 — Ajustes'!$H332="✔ Concluído",OR('E6 — Ajustes'!$I332="✔ Concluído",'E6 — Ajustes'!$I332="N/A"),'E6 — Ajustes'!$J332="✔ Concluído"),"Concluído",IF(COUNTIF('E6 — Ajustes'!$E332:$J332,"✔ Concluído")+COUNTIF('E6 — Ajustes'!$E332:$J332,"🔄 Em andamento")&gt;0,"Em andamento","Não iniciado"))))))))</f>
        <v/>
      </c>
      <c r="K350" s="229" t="str">
        <f>IF($B350="","",IF($I350&lt;&gt;"Concluído","Não iniciado",IF(AND($J350&lt;&gt;"Concluído",$J350&lt;&gt;"N/A"),"Não iniciado",IF(COUNTIF(Lançamentos!$B$3:$B$1001,$B350)=0,"Bloqueado",IF('E7 — Entrega'!$D332="","Bloqueado",IF(COUNTIF('E7 — Entrega'!$E332:$H332,"⛔ Bloqueado")&gt;0,"Bloqueado",IF(COUNTIF('E7 — Entrega'!$E332:$H332,"✔ Concluído")=4,"Concluído",IF(COUNTIF('E7 — Entrega'!$E332:$H332,"✔ Concluído")+COUNTIF('E7 — Entrega'!$E332:$H332,"🔄 Em andamento")&gt;0,"Em andamento","Não iniciado"))))))))</f>
        <v/>
      </c>
      <c r="L350" s="229" t="str">
        <f>IF($B350="","",IF($K350&lt;&gt;"Concluído","Não iniciado",IF(OR(COUNTIF('E08 — Estabilização Hypercare'!$E332:$J332,"⛔ Bloqueado")&gt;0,'E08 — Estabilização Hypercare'!$N332="⛔ Incidente Crítico — Encerramento Bloqueado",AND('E08 — Estabilização Hypercare'!$N332="🆕 Evolução Identificada — Nova Demanda Aberta",'E08 — Estabilização Hypercare'!$U332="")),"Bloqueado",IF(AND('E08 — Estabilização Hypercare'!$E332="✔ Concluído",'E08 — Estabilização Hypercare'!$F332="✔ Concluído",'E08 — Estabilização Hypercare'!$G332="✔ Concluído",OR('E08 — Estabilização Hypercare'!$H332="✔ Concluído",'E08 — Estabilização Hypercare'!$H332="N/A"),'E08 — Estabilização Hypercare'!$I332="✔ Concluído",'E08 — Estabilização Hypercare'!$J332="✔ Concluído",OR('E08 — Estabilização Hypercare'!$N332="✅ Estável — Demanda Encerrada",AND('E08 — Estabilização Hypercare'!$N332="🆕 Evolução Identificada — Nova Demanda Aberta",'E08 — Estabilização Hypercare'!$U332&lt;&gt;""))),"Concluído",IF(OR(COUNTIF('E08 — Estabilização Hypercare'!$E332:$J332,"✔ Concluído")&gt;0,COUNTIF('E08 — Estabilização Hypercare'!$E332:$J332,"🔄 Em andamento")&gt;0,'E08 — Estabilização Hypercare'!$N332&lt;&gt;""),"Em andamento","Não iniciado")))))</f>
        <v/>
      </c>
      <c r="M350" s="232" t="str" cm="1">
        <f t="array" ref="M350">IF(B350="","",_xlfn.IFS(E350&lt;&gt;"Concluído","E1 — Solicitação",F350&lt;&gt;"Concluído","E2 — Triagem",G350&lt;&gt;"Concluído","E3 — Levantamento ⚠",H350&lt;&gt;"Concluído","E4 — Execução",I350&lt;&gt;"Concluído","E5 — Validação ⚠",AND(J350&lt;&gt;"Concluído",J350&lt;&gt;"N/A"),"E6 — Ajustes",K350&lt;&gt;"Concluído","E7 — Entrega",L350&lt;&gt;"Concluído","E08 — Estabilização / Hypercare",TRUE,"✔ Fluxo concluído"))</f>
        <v/>
      </c>
      <c r="N350" s="233" t="str">
        <f t="shared" si="5"/>
        <v/>
      </c>
      <c r="O350" s="230"/>
    </row>
    <row r="351" spans="2:15" x14ac:dyDescent="0.35">
      <c r="B351" s="229" t="str">
        <f>IF(Lançamentos!$B328="","",Lançamentos!$B328)</f>
        <v/>
      </c>
      <c r="C351" s="231" t="str">
        <f>IF($B351="","",Lançamentos!$J328)</f>
        <v/>
      </c>
      <c r="D351" s="231" t="str">
        <f>IF($B351="","",Lançamentos!$H328)</f>
        <v/>
      </c>
      <c r="E351" s="229" t="str">
        <f>IF($B351="","",IF(COUNTIF(Lançamentos!$B$3:$B$1001,$B351)=0,"Bloqueado",IF(COUNTIF('E1 — Solicitação'!$E333:$L333,"⛔ Bloqueado")&gt;0,"Bloqueado",IF(COUNTIF('E1 — Solicitação'!$E333:$L333,"N/A")=8,"Bloqueado",IF(COUNTIF('E1 — Solicitação'!$E333:$L333,"✔ Concluído")+COUNTIF('E1 — Solicitação'!$E333:$L333,"N/A")=8,"Concluído",IF(COUNTIF('E1 — Solicitação'!$E333:$L333,"✔ Concluído")+COUNTIF('E1 — Solicitação'!$E333:$L333,"🔄 Em andamento")&gt;0,"Em andamento","Não iniciado"))))))</f>
        <v/>
      </c>
      <c r="F351" s="229" t="str">
        <f>IF($B351="","",IF($E351&lt;&gt;"Concluído","Não iniciado",IF(COUNTIF(Lançamentos!$B$3:$B$1001,$B351)=0,"Bloqueado",IF('E2 — Triagem'!$D333="","Bloqueado",IF(COUNTIF('E2 — Triagem'!$E333:$L333,"N/A")=8,"Bloqueado",IF(COUNTIF('E2 — Triagem'!$E333:$L333,"⛔ Bloqueado")&gt;0,"Bloqueado",IF(COUNTIF('E2 — Triagem'!$E333:$L333,"✔ Concluído")+COUNTIF('E2 — Triagem'!$E333:$L333,"N/A")=8,"Concluído",IF(COUNTIF('E2 — Triagem'!$E333:$L333,"✔ Concluído")+COUNTIF('E2 — Triagem'!$E333:$L333,"🔄 Em andamento")&gt;0,"Em andamento","Não iniciado"))))))))</f>
        <v/>
      </c>
      <c r="G351" s="229" t="str">
        <f>IF($B351="","",IF($F351&lt;&gt;"Concluído","Não iniciado",IF(COUNTIF(Lançamentos!$B$3:$B$1001,$B351)=0,"Bloqueado",IF('E3 — Levantamento'!$D333="","Bloqueado",IF(COUNTIF('E3 — Levantamento'!$E333:$I333,"⛔ Bloqueado")&gt;0,"Bloqueado",IF('E3 — Levantamento'!$I333="N/A","Bloqueado",IF(COUNTIF('E3 — Levantamento'!$E333:$I333,"✔ Concluído")=5,"Concluído",IF(COUNTIF('E3 — Levantamento'!$E333:$I333,"✔ Concluído")+COUNTIF('E3 — Levantamento'!$E333:$I333,"🔄 Em andamento")&gt;0,"Em andamento","Não iniciado"))))))))</f>
        <v/>
      </c>
      <c r="H351" s="229" t="str">
        <f>IF($B351="","",IF($G351&lt;&gt;"Concluído","Não iniciado",IF(COUNTIF(Lançamentos!$B$3:$B$1001,$B351)=0,"Bloqueado",IF('E4 — Execução'!$D333="","Bloqueado",IF(COUNTIF('E4 — Execução'!$E333:$K333,"⛔ Bloqueado")&gt;0,"Bloqueado",IF(COUNTIF('E4 — Execução'!$E333:$K333,"✔ Concluído")=7,"Concluído",IF(COUNTIF('E4 — Execução'!$E333:$K333,"✔ Concluído")+COUNTIF('E4 — Execução'!$E333:$K333,"🔄 Em andamento")&gt;0,"Em andamento","Não iniciado")))))))</f>
        <v/>
      </c>
      <c r="I351" s="229" t="str">
        <f>IF($B351="","",IF($H351&lt;&gt;"Concluído","Não iniciado",IF(COUNTIF(Lançamentos!$B$3:$B$1001,$B351)=0,"Bloqueado",IF('E5 — Validação'!$D333="","Bloqueado",IF(COUNTIF('E5 — Validação'!$E333:$I333,"⛔ Bloqueado")&gt;0,"Bloqueado",IF('E5 — Validação'!$I333="N/A","Bloqueado",IF(AND('E5 — Validação'!$E333="✔ Concluído",'E5 — Validação'!$F333="✔ Concluído",OR('E5 — Validação'!$G333="✔ Concluído",'E5 — Validação'!$G333="N/A"),'E5 — Validação'!$H333="✔ Concluído",'E5 — Validação'!$I333="✔ Concluído"),"Concluído",IF(COUNTIF('E5 — Validação'!$E333:$I333,"✔ Concluído")+COUNTIF('E5 — Validação'!$E333:$I333,"🔄 Em andamento")&gt;0,"Em andamento","Não iniciado"))))))))</f>
        <v/>
      </c>
      <c r="J351" s="229" t="str">
        <f>IF($B351="","",IF($I351&lt;&gt;"Concluído","Não iniciado",IF('E6 — Ajustes'!$N333="Não","N/A",IF(COUNTIF(Lançamentos!$B$3:$B$1001,$B351)=0,"Bloqueado",IF('E6 — Ajustes'!$D333="","Bloqueado",IF(COUNTIF('E6 — Ajustes'!$E333:$J333,"⛔ Bloqueado")&gt;0,"Bloqueado",IF(AND('E6 — Ajustes'!$E333="✔ Concluído",'E6 — Ajustes'!$F333="✔ Concluído",'E6 — Ajustes'!$G333="✔ Concluído",'E6 — Ajustes'!$H333="✔ Concluído",OR('E6 — Ajustes'!$I333="✔ Concluído",'E6 — Ajustes'!$I333="N/A"),'E6 — Ajustes'!$J333="✔ Concluído"),"Concluído",IF(COUNTIF('E6 — Ajustes'!$E333:$J333,"✔ Concluído")+COUNTIF('E6 — Ajustes'!$E333:$J333,"🔄 Em andamento")&gt;0,"Em andamento","Não iniciado"))))))))</f>
        <v/>
      </c>
      <c r="K351" s="229" t="str">
        <f>IF($B351="","",IF($I351&lt;&gt;"Concluído","Não iniciado",IF(AND($J351&lt;&gt;"Concluído",$J351&lt;&gt;"N/A"),"Não iniciado",IF(COUNTIF(Lançamentos!$B$3:$B$1001,$B351)=0,"Bloqueado",IF('E7 — Entrega'!$D333="","Bloqueado",IF(COUNTIF('E7 — Entrega'!$E333:$H333,"⛔ Bloqueado")&gt;0,"Bloqueado",IF(COUNTIF('E7 — Entrega'!$E333:$H333,"✔ Concluído")=4,"Concluído",IF(COUNTIF('E7 — Entrega'!$E333:$H333,"✔ Concluído")+COUNTIF('E7 — Entrega'!$E333:$H333,"🔄 Em andamento")&gt;0,"Em andamento","Não iniciado"))))))))</f>
        <v/>
      </c>
      <c r="L351" s="229" t="str">
        <f>IF($B351="","",IF($K351&lt;&gt;"Concluído","Não iniciado",IF(OR(COUNTIF('E08 — Estabilização Hypercare'!$E333:$J333,"⛔ Bloqueado")&gt;0,'E08 — Estabilização Hypercare'!$N333="⛔ Incidente Crítico — Encerramento Bloqueado",AND('E08 — Estabilização Hypercare'!$N333="🆕 Evolução Identificada — Nova Demanda Aberta",'E08 — Estabilização Hypercare'!$U333="")),"Bloqueado",IF(AND('E08 — Estabilização Hypercare'!$E333="✔ Concluído",'E08 — Estabilização Hypercare'!$F333="✔ Concluído",'E08 — Estabilização Hypercare'!$G333="✔ Concluído",OR('E08 — Estabilização Hypercare'!$H333="✔ Concluído",'E08 — Estabilização Hypercare'!$H333="N/A"),'E08 — Estabilização Hypercare'!$I333="✔ Concluído",'E08 — Estabilização Hypercare'!$J333="✔ Concluído",OR('E08 — Estabilização Hypercare'!$N333="✅ Estável — Demanda Encerrada",AND('E08 — Estabilização Hypercare'!$N333="🆕 Evolução Identificada — Nova Demanda Aberta",'E08 — Estabilização Hypercare'!$U333&lt;&gt;""))),"Concluído",IF(OR(COUNTIF('E08 — Estabilização Hypercare'!$E333:$J333,"✔ Concluído")&gt;0,COUNTIF('E08 — Estabilização Hypercare'!$E333:$J333,"🔄 Em andamento")&gt;0,'E08 — Estabilização Hypercare'!$N333&lt;&gt;""),"Em andamento","Não iniciado")))))</f>
        <v/>
      </c>
      <c r="M351" s="232" t="str" cm="1">
        <f t="array" ref="M351">IF(B351="","",_xlfn.IFS(E351&lt;&gt;"Concluído","E1 — Solicitação",F351&lt;&gt;"Concluído","E2 — Triagem",G351&lt;&gt;"Concluído","E3 — Levantamento ⚠",H351&lt;&gt;"Concluído","E4 — Execução",I351&lt;&gt;"Concluído","E5 — Validação ⚠",AND(J351&lt;&gt;"Concluído",J351&lt;&gt;"N/A"),"E6 — Ajustes",K351&lt;&gt;"Concluído","E7 — Entrega",L351&lt;&gt;"Concluído","E08 — Estabilização / Hypercare",TRUE,"✔ Fluxo concluído"))</f>
        <v/>
      </c>
      <c r="N351" s="233" t="str">
        <f t="shared" si="5"/>
        <v/>
      </c>
      <c r="O351" s="230"/>
    </row>
    <row r="352" spans="2:15" x14ac:dyDescent="0.35">
      <c r="B352" s="229" t="str">
        <f>IF(Lançamentos!$B329="","",Lançamentos!$B329)</f>
        <v/>
      </c>
      <c r="C352" s="231" t="str">
        <f>IF($B352="","",Lançamentos!$J329)</f>
        <v/>
      </c>
      <c r="D352" s="231" t="str">
        <f>IF($B352="","",Lançamentos!$H329)</f>
        <v/>
      </c>
      <c r="E352" s="229" t="str">
        <f>IF($B352="","",IF(COUNTIF(Lançamentos!$B$3:$B$1001,$B352)=0,"Bloqueado",IF(COUNTIF('E1 — Solicitação'!$E334:$L334,"⛔ Bloqueado")&gt;0,"Bloqueado",IF(COUNTIF('E1 — Solicitação'!$E334:$L334,"N/A")=8,"Bloqueado",IF(COUNTIF('E1 — Solicitação'!$E334:$L334,"✔ Concluído")+COUNTIF('E1 — Solicitação'!$E334:$L334,"N/A")=8,"Concluído",IF(COUNTIF('E1 — Solicitação'!$E334:$L334,"✔ Concluído")+COUNTIF('E1 — Solicitação'!$E334:$L334,"🔄 Em andamento")&gt;0,"Em andamento","Não iniciado"))))))</f>
        <v/>
      </c>
      <c r="F352" s="229" t="str">
        <f>IF($B352="","",IF($E352&lt;&gt;"Concluído","Não iniciado",IF(COUNTIF(Lançamentos!$B$3:$B$1001,$B352)=0,"Bloqueado",IF('E2 — Triagem'!$D334="","Bloqueado",IF(COUNTIF('E2 — Triagem'!$E334:$L334,"N/A")=8,"Bloqueado",IF(COUNTIF('E2 — Triagem'!$E334:$L334,"⛔ Bloqueado")&gt;0,"Bloqueado",IF(COUNTIF('E2 — Triagem'!$E334:$L334,"✔ Concluído")+COUNTIF('E2 — Triagem'!$E334:$L334,"N/A")=8,"Concluído",IF(COUNTIF('E2 — Triagem'!$E334:$L334,"✔ Concluído")+COUNTIF('E2 — Triagem'!$E334:$L334,"🔄 Em andamento")&gt;0,"Em andamento","Não iniciado"))))))))</f>
        <v/>
      </c>
      <c r="G352" s="229" t="str">
        <f>IF($B352="","",IF($F352&lt;&gt;"Concluído","Não iniciado",IF(COUNTIF(Lançamentos!$B$3:$B$1001,$B352)=0,"Bloqueado",IF('E3 — Levantamento'!$D334="","Bloqueado",IF(COUNTIF('E3 — Levantamento'!$E334:$I334,"⛔ Bloqueado")&gt;0,"Bloqueado",IF('E3 — Levantamento'!$I334="N/A","Bloqueado",IF(COUNTIF('E3 — Levantamento'!$E334:$I334,"✔ Concluído")=5,"Concluído",IF(COUNTIF('E3 — Levantamento'!$E334:$I334,"✔ Concluído")+COUNTIF('E3 — Levantamento'!$E334:$I334,"🔄 Em andamento")&gt;0,"Em andamento","Não iniciado"))))))))</f>
        <v/>
      </c>
      <c r="H352" s="229" t="str">
        <f>IF($B352="","",IF($G352&lt;&gt;"Concluído","Não iniciado",IF(COUNTIF(Lançamentos!$B$3:$B$1001,$B352)=0,"Bloqueado",IF('E4 — Execução'!$D334="","Bloqueado",IF(COUNTIF('E4 — Execução'!$E334:$K334,"⛔ Bloqueado")&gt;0,"Bloqueado",IF(COUNTIF('E4 — Execução'!$E334:$K334,"✔ Concluído")=7,"Concluído",IF(COUNTIF('E4 — Execução'!$E334:$K334,"✔ Concluído")+COUNTIF('E4 — Execução'!$E334:$K334,"🔄 Em andamento")&gt;0,"Em andamento","Não iniciado")))))))</f>
        <v/>
      </c>
      <c r="I352" s="229" t="str">
        <f>IF($B352="","",IF($H352&lt;&gt;"Concluído","Não iniciado",IF(COUNTIF(Lançamentos!$B$3:$B$1001,$B352)=0,"Bloqueado",IF('E5 — Validação'!$D334="","Bloqueado",IF(COUNTIF('E5 — Validação'!$E334:$I334,"⛔ Bloqueado")&gt;0,"Bloqueado",IF('E5 — Validação'!$I334="N/A","Bloqueado",IF(AND('E5 — Validação'!$E334="✔ Concluído",'E5 — Validação'!$F334="✔ Concluído",OR('E5 — Validação'!$G334="✔ Concluído",'E5 — Validação'!$G334="N/A"),'E5 — Validação'!$H334="✔ Concluído",'E5 — Validação'!$I334="✔ Concluído"),"Concluído",IF(COUNTIF('E5 — Validação'!$E334:$I334,"✔ Concluído")+COUNTIF('E5 — Validação'!$E334:$I334,"🔄 Em andamento")&gt;0,"Em andamento","Não iniciado"))))))))</f>
        <v/>
      </c>
      <c r="J352" s="229" t="str">
        <f>IF($B352="","",IF($I352&lt;&gt;"Concluído","Não iniciado",IF('E6 — Ajustes'!$N334="Não","N/A",IF(COUNTIF(Lançamentos!$B$3:$B$1001,$B352)=0,"Bloqueado",IF('E6 — Ajustes'!$D334="","Bloqueado",IF(COUNTIF('E6 — Ajustes'!$E334:$J334,"⛔ Bloqueado")&gt;0,"Bloqueado",IF(AND('E6 — Ajustes'!$E334="✔ Concluído",'E6 — Ajustes'!$F334="✔ Concluído",'E6 — Ajustes'!$G334="✔ Concluído",'E6 — Ajustes'!$H334="✔ Concluído",OR('E6 — Ajustes'!$I334="✔ Concluído",'E6 — Ajustes'!$I334="N/A"),'E6 — Ajustes'!$J334="✔ Concluído"),"Concluído",IF(COUNTIF('E6 — Ajustes'!$E334:$J334,"✔ Concluído")+COUNTIF('E6 — Ajustes'!$E334:$J334,"🔄 Em andamento")&gt;0,"Em andamento","Não iniciado"))))))))</f>
        <v/>
      </c>
      <c r="K352" s="229" t="str">
        <f>IF($B352="","",IF($I352&lt;&gt;"Concluído","Não iniciado",IF(AND($J352&lt;&gt;"Concluído",$J352&lt;&gt;"N/A"),"Não iniciado",IF(COUNTIF(Lançamentos!$B$3:$B$1001,$B352)=0,"Bloqueado",IF('E7 — Entrega'!$D334="","Bloqueado",IF(COUNTIF('E7 — Entrega'!$E334:$H334,"⛔ Bloqueado")&gt;0,"Bloqueado",IF(COUNTIF('E7 — Entrega'!$E334:$H334,"✔ Concluído")=4,"Concluído",IF(COUNTIF('E7 — Entrega'!$E334:$H334,"✔ Concluído")+COUNTIF('E7 — Entrega'!$E334:$H334,"🔄 Em andamento")&gt;0,"Em andamento","Não iniciado"))))))))</f>
        <v/>
      </c>
      <c r="L352" s="229" t="str">
        <f>IF($B352="","",IF($K352&lt;&gt;"Concluído","Não iniciado",IF(OR(COUNTIF('E08 — Estabilização Hypercare'!$E334:$J334,"⛔ Bloqueado")&gt;0,'E08 — Estabilização Hypercare'!$N334="⛔ Incidente Crítico — Encerramento Bloqueado",AND('E08 — Estabilização Hypercare'!$N334="🆕 Evolução Identificada — Nova Demanda Aberta",'E08 — Estabilização Hypercare'!$U334="")),"Bloqueado",IF(AND('E08 — Estabilização Hypercare'!$E334="✔ Concluído",'E08 — Estabilização Hypercare'!$F334="✔ Concluído",'E08 — Estabilização Hypercare'!$G334="✔ Concluído",OR('E08 — Estabilização Hypercare'!$H334="✔ Concluído",'E08 — Estabilização Hypercare'!$H334="N/A"),'E08 — Estabilização Hypercare'!$I334="✔ Concluído",'E08 — Estabilização Hypercare'!$J334="✔ Concluído",OR('E08 — Estabilização Hypercare'!$N334="✅ Estável — Demanda Encerrada",AND('E08 — Estabilização Hypercare'!$N334="🆕 Evolução Identificada — Nova Demanda Aberta",'E08 — Estabilização Hypercare'!$U334&lt;&gt;""))),"Concluído",IF(OR(COUNTIF('E08 — Estabilização Hypercare'!$E334:$J334,"✔ Concluído")&gt;0,COUNTIF('E08 — Estabilização Hypercare'!$E334:$J334,"🔄 Em andamento")&gt;0,'E08 — Estabilização Hypercare'!$N334&lt;&gt;""),"Em andamento","Não iniciado")))))</f>
        <v/>
      </c>
      <c r="M352" s="232" t="str" cm="1">
        <f t="array" ref="M352">IF(B352="","",_xlfn.IFS(E352&lt;&gt;"Concluído","E1 — Solicitação",F352&lt;&gt;"Concluído","E2 — Triagem",G352&lt;&gt;"Concluído","E3 — Levantamento ⚠",H352&lt;&gt;"Concluído","E4 — Execução",I352&lt;&gt;"Concluído","E5 — Validação ⚠",AND(J352&lt;&gt;"Concluído",J352&lt;&gt;"N/A"),"E6 — Ajustes",K352&lt;&gt;"Concluído","E7 — Entrega",L352&lt;&gt;"Concluído","E08 — Estabilização / Hypercare",TRUE,"✔ Fluxo concluído"))</f>
        <v/>
      </c>
      <c r="N352" s="233" t="str">
        <f t="shared" si="5"/>
        <v/>
      </c>
      <c r="O352" s="230"/>
    </row>
    <row r="353" spans="2:15" x14ac:dyDescent="0.35">
      <c r="B353" s="229" t="str">
        <f>IF(Lançamentos!$B330="","",Lançamentos!$B330)</f>
        <v/>
      </c>
      <c r="C353" s="231" t="str">
        <f>IF($B353="","",Lançamentos!$J330)</f>
        <v/>
      </c>
      <c r="D353" s="231" t="str">
        <f>IF($B353="","",Lançamentos!$H330)</f>
        <v/>
      </c>
      <c r="E353" s="229" t="str">
        <f>IF($B353="","",IF(COUNTIF(Lançamentos!$B$3:$B$1001,$B353)=0,"Bloqueado",IF(COUNTIF('E1 — Solicitação'!$E335:$L335,"⛔ Bloqueado")&gt;0,"Bloqueado",IF(COUNTIF('E1 — Solicitação'!$E335:$L335,"N/A")=8,"Bloqueado",IF(COUNTIF('E1 — Solicitação'!$E335:$L335,"✔ Concluído")+COUNTIF('E1 — Solicitação'!$E335:$L335,"N/A")=8,"Concluído",IF(COUNTIF('E1 — Solicitação'!$E335:$L335,"✔ Concluído")+COUNTIF('E1 — Solicitação'!$E335:$L335,"🔄 Em andamento")&gt;0,"Em andamento","Não iniciado"))))))</f>
        <v/>
      </c>
      <c r="F353" s="229" t="str">
        <f>IF($B353="","",IF($E353&lt;&gt;"Concluído","Não iniciado",IF(COUNTIF(Lançamentos!$B$3:$B$1001,$B353)=0,"Bloqueado",IF('E2 — Triagem'!$D335="","Bloqueado",IF(COUNTIF('E2 — Triagem'!$E335:$L335,"N/A")=8,"Bloqueado",IF(COUNTIF('E2 — Triagem'!$E335:$L335,"⛔ Bloqueado")&gt;0,"Bloqueado",IF(COUNTIF('E2 — Triagem'!$E335:$L335,"✔ Concluído")+COUNTIF('E2 — Triagem'!$E335:$L335,"N/A")=8,"Concluído",IF(COUNTIF('E2 — Triagem'!$E335:$L335,"✔ Concluído")+COUNTIF('E2 — Triagem'!$E335:$L335,"🔄 Em andamento")&gt;0,"Em andamento","Não iniciado"))))))))</f>
        <v/>
      </c>
      <c r="G353" s="229" t="str">
        <f>IF($B353="","",IF($F353&lt;&gt;"Concluído","Não iniciado",IF(COUNTIF(Lançamentos!$B$3:$B$1001,$B353)=0,"Bloqueado",IF('E3 — Levantamento'!$D335="","Bloqueado",IF(COUNTIF('E3 — Levantamento'!$E335:$I335,"⛔ Bloqueado")&gt;0,"Bloqueado",IF('E3 — Levantamento'!$I335="N/A","Bloqueado",IF(COUNTIF('E3 — Levantamento'!$E335:$I335,"✔ Concluído")=5,"Concluído",IF(COUNTIF('E3 — Levantamento'!$E335:$I335,"✔ Concluído")+COUNTIF('E3 — Levantamento'!$E335:$I335,"🔄 Em andamento")&gt;0,"Em andamento","Não iniciado"))))))))</f>
        <v/>
      </c>
      <c r="H353" s="229" t="str">
        <f>IF($B353="","",IF($G353&lt;&gt;"Concluído","Não iniciado",IF(COUNTIF(Lançamentos!$B$3:$B$1001,$B353)=0,"Bloqueado",IF('E4 — Execução'!$D335="","Bloqueado",IF(COUNTIF('E4 — Execução'!$E335:$K335,"⛔ Bloqueado")&gt;0,"Bloqueado",IF(COUNTIF('E4 — Execução'!$E335:$K335,"✔ Concluído")=7,"Concluído",IF(COUNTIF('E4 — Execução'!$E335:$K335,"✔ Concluído")+COUNTIF('E4 — Execução'!$E335:$K335,"🔄 Em andamento")&gt;0,"Em andamento","Não iniciado")))))))</f>
        <v/>
      </c>
      <c r="I353" s="229" t="str">
        <f>IF($B353="","",IF($H353&lt;&gt;"Concluído","Não iniciado",IF(COUNTIF(Lançamentos!$B$3:$B$1001,$B353)=0,"Bloqueado",IF('E5 — Validação'!$D335="","Bloqueado",IF(COUNTIF('E5 — Validação'!$E335:$I335,"⛔ Bloqueado")&gt;0,"Bloqueado",IF('E5 — Validação'!$I335="N/A","Bloqueado",IF(AND('E5 — Validação'!$E335="✔ Concluído",'E5 — Validação'!$F335="✔ Concluído",OR('E5 — Validação'!$G335="✔ Concluído",'E5 — Validação'!$G335="N/A"),'E5 — Validação'!$H335="✔ Concluído",'E5 — Validação'!$I335="✔ Concluído"),"Concluído",IF(COUNTIF('E5 — Validação'!$E335:$I335,"✔ Concluído")+COUNTIF('E5 — Validação'!$E335:$I335,"🔄 Em andamento")&gt;0,"Em andamento","Não iniciado"))))))))</f>
        <v/>
      </c>
      <c r="J353" s="229" t="str">
        <f>IF($B353="","",IF($I353&lt;&gt;"Concluído","Não iniciado",IF('E6 — Ajustes'!$N335="Não","N/A",IF(COUNTIF(Lançamentos!$B$3:$B$1001,$B353)=0,"Bloqueado",IF('E6 — Ajustes'!$D335="","Bloqueado",IF(COUNTIF('E6 — Ajustes'!$E335:$J335,"⛔ Bloqueado")&gt;0,"Bloqueado",IF(AND('E6 — Ajustes'!$E335="✔ Concluído",'E6 — Ajustes'!$F335="✔ Concluído",'E6 — Ajustes'!$G335="✔ Concluído",'E6 — Ajustes'!$H335="✔ Concluído",OR('E6 — Ajustes'!$I335="✔ Concluído",'E6 — Ajustes'!$I335="N/A"),'E6 — Ajustes'!$J335="✔ Concluído"),"Concluído",IF(COUNTIF('E6 — Ajustes'!$E335:$J335,"✔ Concluído")+COUNTIF('E6 — Ajustes'!$E335:$J335,"🔄 Em andamento")&gt;0,"Em andamento","Não iniciado"))))))))</f>
        <v/>
      </c>
      <c r="K353" s="229" t="str">
        <f>IF($B353="","",IF($I353&lt;&gt;"Concluído","Não iniciado",IF(AND($J353&lt;&gt;"Concluído",$J353&lt;&gt;"N/A"),"Não iniciado",IF(COUNTIF(Lançamentos!$B$3:$B$1001,$B353)=0,"Bloqueado",IF('E7 — Entrega'!$D335="","Bloqueado",IF(COUNTIF('E7 — Entrega'!$E335:$H335,"⛔ Bloqueado")&gt;0,"Bloqueado",IF(COUNTIF('E7 — Entrega'!$E335:$H335,"✔ Concluído")=4,"Concluído",IF(COUNTIF('E7 — Entrega'!$E335:$H335,"✔ Concluído")+COUNTIF('E7 — Entrega'!$E335:$H335,"🔄 Em andamento")&gt;0,"Em andamento","Não iniciado"))))))))</f>
        <v/>
      </c>
      <c r="L353" s="229" t="str">
        <f>IF($B353="","",IF($K353&lt;&gt;"Concluído","Não iniciado",IF(OR(COUNTIF('E08 — Estabilização Hypercare'!$E335:$J335,"⛔ Bloqueado")&gt;0,'E08 — Estabilização Hypercare'!$N335="⛔ Incidente Crítico — Encerramento Bloqueado",AND('E08 — Estabilização Hypercare'!$N335="🆕 Evolução Identificada — Nova Demanda Aberta",'E08 — Estabilização Hypercare'!$U335="")),"Bloqueado",IF(AND('E08 — Estabilização Hypercare'!$E335="✔ Concluído",'E08 — Estabilização Hypercare'!$F335="✔ Concluído",'E08 — Estabilização Hypercare'!$G335="✔ Concluído",OR('E08 — Estabilização Hypercare'!$H335="✔ Concluído",'E08 — Estabilização Hypercare'!$H335="N/A"),'E08 — Estabilização Hypercare'!$I335="✔ Concluído",'E08 — Estabilização Hypercare'!$J335="✔ Concluído",OR('E08 — Estabilização Hypercare'!$N335="✅ Estável — Demanda Encerrada",AND('E08 — Estabilização Hypercare'!$N335="🆕 Evolução Identificada — Nova Demanda Aberta",'E08 — Estabilização Hypercare'!$U335&lt;&gt;""))),"Concluído",IF(OR(COUNTIF('E08 — Estabilização Hypercare'!$E335:$J335,"✔ Concluído")&gt;0,COUNTIF('E08 — Estabilização Hypercare'!$E335:$J335,"🔄 Em andamento")&gt;0,'E08 — Estabilização Hypercare'!$N335&lt;&gt;""),"Em andamento","Não iniciado")))))</f>
        <v/>
      </c>
      <c r="M353" s="232" t="str" cm="1">
        <f t="array" ref="M353">IF(B353="","",_xlfn.IFS(E353&lt;&gt;"Concluído","E1 — Solicitação",F353&lt;&gt;"Concluído","E2 — Triagem",G353&lt;&gt;"Concluído","E3 — Levantamento ⚠",H353&lt;&gt;"Concluído","E4 — Execução",I353&lt;&gt;"Concluído","E5 — Validação ⚠",AND(J353&lt;&gt;"Concluído",J353&lt;&gt;"N/A"),"E6 — Ajustes",K353&lt;&gt;"Concluído","E7 — Entrega",L353&lt;&gt;"Concluído","E08 — Estabilização / Hypercare",TRUE,"✔ Fluxo concluído"))</f>
        <v/>
      </c>
      <c r="N353" s="233" t="str">
        <f t="shared" si="5"/>
        <v/>
      </c>
      <c r="O353" s="230"/>
    </row>
    <row r="354" spans="2:15" x14ac:dyDescent="0.35">
      <c r="B354" s="229" t="str">
        <f>IF(Lançamentos!$B331="","",Lançamentos!$B331)</f>
        <v/>
      </c>
      <c r="C354" s="231" t="str">
        <f>IF($B354="","",Lançamentos!$J331)</f>
        <v/>
      </c>
      <c r="D354" s="231" t="str">
        <f>IF($B354="","",Lançamentos!$H331)</f>
        <v/>
      </c>
      <c r="E354" s="229" t="str">
        <f>IF($B354="","",IF(COUNTIF(Lançamentos!$B$3:$B$1001,$B354)=0,"Bloqueado",IF(COUNTIF('E1 — Solicitação'!$E336:$L336,"⛔ Bloqueado")&gt;0,"Bloqueado",IF(COUNTIF('E1 — Solicitação'!$E336:$L336,"N/A")=8,"Bloqueado",IF(COUNTIF('E1 — Solicitação'!$E336:$L336,"✔ Concluído")+COUNTIF('E1 — Solicitação'!$E336:$L336,"N/A")=8,"Concluído",IF(COUNTIF('E1 — Solicitação'!$E336:$L336,"✔ Concluído")+COUNTIF('E1 — Solicitação'!$E336:$L336,"🔄 Em andamento")&gt;0,"Em andamento","Não iniciado"))))))</f>
        <v/>
      </c>
      <c r="F354" s="229" t="str">
        <f>IF($B354="","",IF($E354&lt;&gt;"Concluído","Não iniciado",IF(COUNTIF(Lançamentos!$B$3:$B$1001,$B354)=0,"Bloqueado",IF('E2 — Triagem'!$D336="","Bloqueado",IF(COUNTIF('E2 — Triagem'!$E336:$L336,"N/A")=8,"Bloqueado",IF(COUNTIF('E2 — Triagem'!$E336:$L336,"⛔ Bloqueado")&gt;0,"Bloqueado",IF(COUNTIF('E2 — Triagem'!$E336:$L336,"✔ Concluído")+COUNTIF('E2 — Triagem'!$E336:$L336,"N/A")=8,"Concluído",IF(COUNTIF('E2 — Triagem'!$E336:$L336,"✔ Concluído")+COUNTIF('E2 — Triagem'!$E336:$L336,"🔄 Em andamento")&gt;0,"Em andamento","Não iniciado"))))))))</f>
        <v/>
      </c>
      <c r="G354" s="229" t="str">
        <f>IF($B354="","",IF($F354&lt;&gt;"Concluído","Não iniciado",IF(COUNTIF(Lançamentos!$B$3:$B$1001,$B354)=0,"Bloqueado",IF('E3 — Levantamento'!$D336="","Bloqueado",IF(COUNTIF('E3 — Levantamento'!$E336:$I336,"⛔ Bloqueado")&gt;0,"Bloqueado",IF('E3 — Levantamento'!$I336="N/A","Bloqueado",IF(COUNTIF('E3 — Levantamento'!$E336:$I336,"✔ Concluído")=5,"Concluído",IF(COUNTIF('E3 — Levantamento'!$E336:$I336,"✔ Concluído")+COUNTIF('E3 — Levantamento'!$E336:$I336,"🔄 Em andamento")&gt;0,"Em andamento","Não iniciado"))))))))</f>
        <v/>
      </c>
      <c r="H354" s="229" t="str">
        <f>IF($B354="","",IF($G354&lt;&gt;"Concluído","Não iniciado",IF(COUNTIF(Lançamentos!$B$3:$B$1001,$B354)=0,"Bloqueado",IF('E4 — Execução'!$D336="","Bloqueado",IF(COUNTIF('E4 — Execução'!$E336:$K336,"⛔ Bloqueado")&gt;0,"Bloqueado",IF(COUNTIF('E4 — Execução'!$E336:$K336,"✔ Concluído")=7,"Concluído",IF(COUNTIF('E4 — Execução'!$E336:$K336,"✔ Concluído")+COUNTIF('E4 — Execução'!$E336:$K336,"🔄 Em andamento")&gt;0,"Em andamento","Não iniciado")))))))</f>
        <v/>
      </c>
      <c r="I354" s="229" t="str">
        <f>IF($B354="","",IF($H354&lt;&gt;"Concluído","Não iniciado",IF(COUNTIF(Lançamentos!$B$3:$B$1001,$B354)=0,"Bloqueado",IF('E5 — Validação'!$D336="","Bloqueado",IF(COUNTIF('E5 — Validação'!$E336:$I336,"⛔ Bloqueado")&gt;0,"Bloqueado",IF('E5 — Validação'!$I336="N/A","Bloqueado",IF(AND('E5 — Validação'!$E336="✔ Concluído",'E5 — Validação'!$F336="✔ Concluído",OR('E5 — Validação'!$G336="✔ Concluído",'E5 — Validação'!$G336="N/A"),'E5 — Validação'!$H336="✔ Concluído",'E5 — Validação'!$I336="✔ Concluído"),"Concluído",IF(COUNTIF('E5 — Validação'!$E336:$I336,"✔ Concluído")+COUNTIF('E5 — Validação'!$E336:$I336,"🔄 Em andamento")&gt;0,"Em andamento","Não iniciado"))))))))</f>
        <v/>
      </c>
      <c r="J354" s="229" t="str">
        <f>IF($B354="","",IF($I354&lt;&gt;"Concluído","Não iniciado",IF('E6 — Ajustes'!$N336="Não","N/A",IF(COUNTIF(Lançamentos!$B$3:$B$1001,$B354)=0,"Bloqueado",IF('E6 — Ajustes'!$D336="","Bloqueado",IF(COUNTIF('E6 — Ajustes'!$E336:$J336,"⛔ Bloqueado")&gt;0,"Bloqueado",IF(AND('E6 — Ajustes'!$E336="✔ Concluído",'E6 — Ajustes'!$F336="✔ Concluído",'E6 — Ajustes'!$G336="✔ Concluído",'E6 — Ajustes'!$H336="✔ Concluído",OR('E6 — Ajustes'!$I336="✔ Concluído",'E6 — Ajustes'!$I336="N/A"),'E6 — Ajustes'!$J336="✔ Concluído"),"Concluído",IF(COUNTIF('E6 — Ajustes'!$E336:$J336,"✔ Concluído")+COUNTIF('E6 — Ajustes'!$E336:$J336,"🔄 Em andamento")&gt;0,"Em andamento","Não iniciado"))))))))</f>
        <v/>
      </c>
      <c r="K354" s="229" t="str">
        <f>IF($B354="","",IF($I354&lt;&gt;"Concluído","Não iniciado",IF(AND($J354&lt;&gt;"Concluído",$J354&lt;&gt;"N/A"),"Não iniciado",IF(COUNTIF(Lançamentos!$B$3:$B$1001,$B354)=0,"Bloqueado",IF('E7 — Entrega'!$D336="","Bloqueado",IF(COUNTIF('E7 — Entrega'!$E336:$H336,"⛔ Bloqueado")&gt;0,"Bloqueado",IF(COUNTIF('E7 — Entrega'!$E336:$H336,"✔ Concluído")=4,"Concluído",IF(COUNTIF('E7 — Entrega'!$E336:$H336,"✔ Concluído")+COUNTIF('E7 — Entrega'!$E336:$H336,"🔄 Em andamento")&gt;0,"Em andamento","Não iniciado"))))))))</f>
        <v/>
      </c>
      <c r="L354" s="229" t="str">
        <f>IF($B354="","",IF($K354&lt;&gt;"Concluído","Não iniciado",IF(OR(COUNTIF('E08 — Estabilização Hypercare'!$E336:$J336,"⛔ Bloqueado")&gt;0,'E08 — Estabilização Hypercare'!$N336="⛔ Incidente Crítico — Encerramento Bloqueado",AND('E08 — Estabilização Hypercare'!$N336="🆕 Evolução Identificada — Nova Demanda Aberta",'E08 — Estabilização Hypercare'!$U336="")),"Bloqueado",IF(AND('E08 — Estabilização Hypercare'!$E336="✔ Concluído",'E08 — Estabilização Hypercare'!$F336="✔ Concluído",'E08 — Estabilização Hypercare'!$G336="✔ Concluído",OR('E08 — Estabilização Hypercare'!$H336="✔ Concluído",'E08 — Estabilização Hypercare'!$H336="N/A"),'E08 — Estabilização Hypercare'!$I336="✔ Concluído",'E08 — Estabilização Hypercare'!$J336="✔ Concluído",OR('E08 — Estabilização Hypercare'!$N336="✅ Estável — Demanda Encerrada",AND('E08 — Estabilização Hypercare'!$N336="🆕 Evolução Identificada — Nova Demanda Aberta",'E08 — Estabilização Hypercare'!$U336&lt;&gt;""))),"Concluído",IF(OR(COUNTIF('E08 — Estabilização Hypercare'!$E336:$J336,"✔ Concluído")&gt;0,COUNTIF('E08 — Estabilização Hypercare'!$E336:$J336,"🔄 Em andamento")&gt;0,'E08 — Estabilização Hypercare'!$N336&lt;&gt;""),"Em andamento","Não iniciado")))))</f>
        <v/>
      </c>
      <c r="M354" s="232" t="str" cm="1">
        <f t="array" ref="M354">IF(B354="","",_xlfn.IFS(E354&lt;&gt;"Concluído","E1 — Solicitação",F354&lt;&gt;"Concluído","E2 — Triagem",G354&lt;&gt;"Concluído","E3 — Levantamento ⚠",H354&lt;&gt;"Concluído","E4 — Execução",I354&lt;&gt;"Concluído","E5 — Validação ⚠",AND(J354&lt;&gt;"Concluído",J354&lt;&gt;"N/A"),"E6 — Ajustes",K354&lt;&gt;"Concluído","E7 — Entrega",L354&lt;&gt;"Concluído","E08 — Estabilização / Hypercare",TRUE,"✔ Fluxo concluído"))</f>
        <v/>
      </c>
      <c r="N354" s="233" t="str">
        <f t="shared" ref="N354:N417" si="6">IF(B354="","",(COUNTIF(E354:L354,"Concluído")+COUNTIF(E354:L354,"N/A"))/8)</f>
        <v/>
      </c>
      <c r="O354" s="230"/>
    </row>
    <row r="355" spans="2:15" x14ac:dyDescent="0.35">
      <c r="B355" s="229" t="str">
        <f>IF(Lançamentos!$B332="","",Lançamentos!$B332)</f>
        <v/>
      </c>
      <c r="C355" s="231" t="str">
        <f>IF($B355="","",Lançamentos!$J332)</f>
        <v/>
      </c>
      <c r="D355" s="231" t="str">
        <f>IF($B355="","",Lançamentos!$H332)</f>
        <v/>
      </c>
      <c r="E355" s="229" t="str">
        <f>IF($B355="","",IF(COUNTIF(Lançamentos!$B$3:$B$1001,$B355)=0,"Bloqueado",IF(COUNTIF('E1 — Solicitação'!$E337:$L337,"⛔ Bloqueado")&gt;0,"Bloqueado",IF(COUNTIF('E1 — Solicitação'!$E337:$L337,"N/A")=8,"Bloqueado",IF(COUNTIF('E1 — Solicitação'!$E337:$L337,"✔ Concluído")+COUNTIF('E1 — Solicitação'!$E337:$L337,"N/A")=8,"Concluído",IF(COUNTIF('E1 — Solicitação'!$E337:$L337,"✔ Concluído")+COUNTIF('E1 — Solicitação'!$E337:$L337,"🔄 Em andamento")&gt;0,"Em andamento","Não iniciado"))))))</f>
        <v/>
      </c>
      <c r="F355" s="229" t="str">
        <f>IF($B355="","",IF($E355&lt;&gt;"Concluído","Não iniciado",IF(COUNTIF(Lançamentos!$B$3:$B$1001,$B355)=0,"Bloqueado",IF('E2 — Triagem'!$D337="","Bloqueado",IF(COUNTIF('E2 — Triagem'!$E337:$L337,"N/A")=8,"Bloqueado",IF(COUNTIF('E2 — Triagem'!$E337:$L337,"⛔ Bloqueado")&gt;0,"Bloqueado",IF(COUNTIF('E2 — Triagem'!$E337:$L337,"✔ Concluído")+COUNTIF('E2 — Triagem'!$E337:$L337,"N/A")=8,"Concluído",IF(COUNTIF('E2 — Triagem'!$E337:$L337,"✔ Concluído")+COUNTIF('E2 — Triagem'!$E337:$L337,"🔄 Em andamento")&gt;0,"Em andamento","Não iniciado"))))))))</f>
        <v/>
      </c>
      <c r="G355" s="229" t="str">
        <f>IF($B355="","",IF($F355&lt;&gt;"Concluído","Não iniciado",IF(COUNTIF(Lançamentos!$B$3:$B$1001,$B355)=0,"Bloqueado",IF('E3 — Levantamento'!$D337="","Bloqueado",IF(COUNTIF('E3 — Levantamento'!$E337:$I337,"⛔ Bloqueado")&gt;0,"Bloqueado",IF('E3 — Levantamento'!$I337="N/A","Bloqueado",IF(COUNTIF('E3 — Levantamento'!$E337:$I337,"✔ Concluído")=5,"Concluído",IF(COUNTIF('E3 — Levantamento'!$E337:$I337,"✔ Concluído")+COUNTIF('E3 — Levantamento'!$E337:$I337,"🔄 Em andamento")&gt;0,"Em andamento","Não iniciado"))))))))</f>
        <v/>
      </c>
      <c r="H355" s="229" t="str">
        <f>IF($B355="","",IF($G355&lt;&gt;"Concluído","Não iniciado",IF(COUNTIF(Lançamentos!$B$3:$B$1001,$B355)=0,"Bloqueado",IF('E4 — Execução'!$D337="","Bloqueado",IF(COUNTIF('E4 — Execução'!$E337:$K337,"⛔ Bloqueado")&gt;0,"Bloqueado",IF(COUNTIF('E4 — Execução'!$E337:$K337,"✔ Concluído")=7,"Concluído",IF(COUNTIF('E4 — Execução'!$E337:$K337,"✔ Concluído")+COUNTIF('E4 — Execução'!$E337:$K337,"🔄 Em andamento")&gt;0,"Em andamento","Não iniciado")))))))</f>
        <v/>
      </c>
      <c r="I355" s="229" t="str">
        <f>IF($B355="","",IF($H355&lt;&gt;"Concluído","Não iniciado",IF(COUNTIF(Lançamentos!$B$3:$B$1001,$B355)=0,"Bloqueado",IF('E5 — Validação'!$D337="","Bloqueado",IF(COUNTIF('E5 — Validação'!$E337:$I337,"⛔ Bloqueado")&gt;0,"Bloqueado",IF('E5 — Validação'!$I337="N/A","Bloqueado",IF(AND('E5 — Validação'!$E337="✔ Concluído",'E5 — Validação'!$F337="✔ Concluído",OR('E5 — Validação'!$G337="✔ Concluído",'E5 — Validação'!$G337="N/A"),'E5 — Validação'!$H337="✔ Concluído",'E5 — Validação'!$I337="✔ Concluído"),"Concluído",IF(COUNTIF('E5 — Validação'!$E337:$I337,"✔ Concluído")+COUNTIF('E5 — Validação'!$E337:$I337,"🔄 Em andamento")&gt;0,"Em andamento","Não iniciado"))))))))</f>
        <v/>
      </c>
      <c r="J355" s="229" t="str">
        <f>IF($B355="","",IF($I355&lt;&gt;"Concluído","Não iniciado",IF('E6 — Ajustes'!$N337="Não","N/A",IF(COUNTIF(Lançamentos!$B$3:$B$1001,$B355)=0,"Bloqueado",IF('E6 — Ajustes'!$D337="","Bloqueado",IF(COUNTIF('E6 — Ajustes'!$E337:$J337,"⛔ Bloqueado")&gt;0,"Bloqueado",IF(AND('E6 — Ajustes'!$E337="✔ Concluído",'E6 — Ajustes'!$F337="✔ Concluído",'E6 — Ajustes'!$G337="✔ Concluído",'E6 — Ajustes'!$H337="✔ Concluído",OR('E6 — Ajustes'!$I337="✔ Concluído",'E6 — Ajustes'!$I337="N/A"),'E6 — Ajustes'!$J337="✔ Concluído"),"Concluído",IF(COUNTIF('E6 — Ajustes'!$E337:$J337,"✔ Concluído")+COUNTIF('E6 — Ajustes'!$E337:$J337,"🔄 Em andamento")&gt;0,"Em andamento","Não iniciado"))))))))</f>
        <v/>
      </c>
      <c r="K355" s="229" t="str">
        <f>IF($B355="","",IF($I355&lt;&gt;"Concluído","Não iniciado",IF(AND($J355&lt;&gt;"Concluído",$J355&lt;&gt;"N/A"),"Não iniciado",IF(COUNTIF(Lançamentos!$B$3:$B$1001,$B355)=0,"Bloqueado",IF('E7 — Entrega'!$D337="","Bloqueado",IF(COUNTIF('E7 — Entrega'!$E337:$H337,"⛔ Bloqueado")&gt;0,"Bloqueado",IF(COUNTIF('E7 — Entrega'!$E337:$H337,"✔ Concluído")=4,"Concluído",IF(COUNTIF('E7 — Entrega'!$E337:$H337,"✔ Concluído")+COUNTIF('E7 — Entrega'!$E337:$H337,"🔄 Em andamento")&gt;0,"Em andamento","Não iniciado"))))))))</f>
        <v/>
      </c>
      <c r="L355" s="229" t="str">
        <f>IF($B355="","",IF($K355&lt;&gt;"Concluído","Não iniciado",IF(OR(COUNTIF('E08 — Estabilização Hypercare'!$E337:$J337,"⛔ Bloqueado")&gt;0,'E08 — Estabilização Hypercare'!$N337="⛔ Incidente Crítico — Encerramento Bloqueado",AND('E08 — Estabilização Hypercare'!$N337="🆕 Evolução Identificada — Nova Demanda Aberta",'E08 — Estabilização Hypercare'!$U337="")),"Bloqueado",IF(AND('E08 — Estabilização Hypercare'!$E337="✔ Concluído",'E08 — Estabilização Hypercare'!$F337="✔ Concluído",'E08 — Estabilização Hypercare'!$G337="✔ Concluído",OR('E08 — Estabilização Hypercare'!$H337="✔ Concluído",'E08 — Estabilização Hypercare'!$H337="N/A"),'E08 — Estabilização Hypercare'!$I337="✔ Concluído",'E08 — Estabilização Hypercare'!$J337="✔ Concluído",OR('E08 — Estabilização Hypercare'!$N337="✅ Estável — Demanda Encerrada",AND('E08 — Estabilização Hypercare'!$N337="🆕 Evolução Identificada — Nova Demanda Aberta",'E08 — Estabilização Hypercare'!$U337&lt;&gt;""))),"Concluído",IF(OR(COUNTIF('E08 — Estabilização Hypercare'!$E337:$J337,"✔ Concluído")&gt;0,COUNTIF('E08 — Estabilização Hypercare'!$E337:$J337,"🔄 Em andamento")&gt;0,'E08 — Estabilização Hypercare'!$N337&lt;&gt;""),"Em andamento","Não iniciado")))))</f>
        <v/>
      </c>
      <c r="M355" s="232" t="str" cm="1">
        <f t="array" ref="M355">IF(B355="","",_xlfn.IFS(E355&lt;&gt;"Concluído","E1 — Solicitação",F355&lt;&gt;"Concluído","E2 — Triagem",G355&lt;&gt;"Concluído","E3 — Levantamento ⚠",H355&lt;&gt;"Concluído","E4 — Execução",I355&lt;&gt;"Concluído","E5 — Validação ⚠",AND(J355&lt;&gt;"Concluído",J355&lt;&gt;"N/A"),"E6 — Ajustes",K355&lt;&gt;"Concluído","E7 — Entrega",L355&lt;&gt;"Concluído","E08 — Estabilização / Hypercare",TRUE,"✔ Fluxo concluído"))</f>
        <v/>
      </c>
      <c r="N355" s="233" t="str">
        <f t="shared" si="6"/>
        <v/>
      </c>
      <c r="O355" s="230"/>
    </row>
    <row r="356" spans="2:15" x14ac:dyDescent="0.35">
      <c r="B356" s="229" t="str">
        <f>IF(Lançamentos!$B333="","",Lançamentos!$B333)</f>
        <v/>
      </c>
      <c r="C356" s="231" t="str">
        <f>IF($B356="","",Lançamentos!$J333)</f>
        <v/>
      </c>
      <c r="D356" s="231" t="str">
        <f>IF($B356="","",Lançamentos!$H333)</f>
        <v/>
      </c>
      <c r="E356" s="229" t="str">
        <f>IF($B356="","",IF(COUNTIF(Lançamentos!$B$3:$B$1001,$B356)=0,"Bloqueado",IF(COUNTIF('E1 — Solicitação'!$E338:$L338,"⛔ Bloqueado")&gt;0,"Bloqueado",IF(COUNTIF('E1 — Solicitação'!$E338:$L338,"N/A")=8,"Bloqueado",IF(COUNTIF('E1 — Solicitação'!$E338:$L338,"✔ Concluído")+COUNTIF('E1 — Solicitação'!$E338:$L338,"N/A")=8,"Concluído",IF(COUNTIF('E1 — Solicitação'!$E338:$L338,"✔ Concluído")+COUNTIF('E1 — Solicitação'!$E338:$L338,"🔄 Em andamento")&gt;0,"Em andamento","Não iniciado"))))))</f>
        <v/>
      </c>
      <c r="F356" s="229" t="str">
        <f>IF($B356="","",IF($E356&lt;&gt;"Concluído","Não iniciado",IF(COUNTIF(Lançamentos!$B$3:$B$1001,$B356)=0,"Bloqueado",IF('E2 — Triagem'!$D338="","Bloqueado",IF(COUNTIF('E2 — Triagem'!$E338:$L338,"N/A")=8,"Bloqueado",IF(COUNTIF('E2 — Triagem'!$E338:$L338,"⛔ Bloqueado")&gt;0,"Bloqueado",IF(COUNTIF('E2 — Triagem'!$E338:$L338,"✔ Concluído")+COUNTIF('E2 — Triagem'!$E338:$L338,"N/A")=8,"Concluído",IF(COUNTIF('E2 — Triagem'!$E338:$L338,"✔ Concluído")+COUNTIF('E2 — Triagem'!$E338:$L338,"🔄 Em andamento")&gt;0,"Em andamento","Não iniciado"))))))))</f>
        <v/>
      </c>
      <c r="G356" s="229" t="str">
        <f>IF($B356="","",IF($F356&lt;&gt;"Concluído","Não iniciado",IF(COUNTIF(Lançamentos!$B$3:$B$1001,$B356)=0,"Bloqueado",IF('E3 — Levantamento'!$D338="","Bloqueado",IF(COUNTIF('E3 — Levantamento'!$E338:$I338,"⛔ Bloqueado")&gt;0,"Bloqueado",IF('E3 — Levantamento'!$I338="N/A","Bloqueado",IF(COUNTIF('E3 — Levantamento'!$E338:$I338,"✔ Concluído")=5,"Concluído",IF(COUNTIF('E3 — Levantamento'!$E338:$I338,"✔ Concluído")+COUNTIF('E3 — Levantamento'!$E338:$I338,"🔄 Em andamento")&gt;0,"Em andamento","Não iniciado"))))))))</f>
        <v/>
      </c>
      <c r="H356" s="229" t="str">
        <f>IF($B356="","",IF($G356&lt;&gt;"Concluído","Não iniciado",IF(COUNTIF(Lançamentos!$B$3:$B$1001,$B356)=0,"Bloqueado",IF('E4 — Execução'!$D338="","Bloqueado",IF(COUNTIF('E4 — Execução'!$E338:$K338,"⛔ Bloqueado")&gt;0,"Bloqueado",IF(COUNTIF('E4 — Execução'!$E338:$K338,"✔ Concluído")=7,"Concluído",IF(COUNTIF('E4 — Execução'!$E338:$K338,"✔ Concluído")+COUNTIF('E4 — Execução'!$E338:$K338,"🔄 Em andamento")&gt;0,"Em andamento","Não iniciado")))))))</f>
        <v/>
      </c>
      <c r="I356" s="229" t="str">
        <f>IF($B356="","",IF($H356&lt;&gt;"Concluído","Não iniciado",IF(COUNTIF(Lançamentos!$B$3:$B$1001,$B356)=0,"Bloqueado",IF('E5 — Validação'!$D338="","Bloqueado",IF(COUNTIF('E5 — Validação'!$E338:$I338,"⛔ Bloqueado")&gt;0,"Bloqueado",IF('E5 — Validação'!$I338="N/A","Bloqueado",IF(AND('E5 — Validação'!$E338="✔ Concluído",'E5 — Validação'!$F338="✔ Concluído",OR('E5 — Validação'!$G338="✔ Concluído",'E5 — Validação'!$G338="N/A"),'E5 — Validação'!$H338="✔ Concluído",'E5 — Validação'!$I338="✔ Concluído"),"Concluído",IF(COUNTIF('E5 — Validação'!$E338:$I338,"✔ Concluído")+COUNTIF('E5 — Validação'!$E338:$I338,"🔄 Em andamento")&gt;0,"Em andamento","Não iniciado"))))))))</f>
        <v/>
      </c>
      <c r="J356" s="229" t="str">
        <f>IF($B356="","",IF($I356&lt;&gt;"Concluído","Não iniciado",IF('E6 — Ajustes'!$N338="Não","N/A",IF(COUNTIF(Lançamentos!$B$3:$B$1001,$B356)=0,"Bloqueado",IF('E6 — Ajustes'!$D338="","Bloqueado",IF(COUNTIF('E6 — Ajustes'!$E338:$J338,"⛔ Bloqueado")&gt;0,"Bloqueado",IF(AND('E6 — Ajustes'!$E338="✔ Concluído",'E6 — Ajustes'!$F338="✔ Concluído",'E6 — Ajustes'!$G338="✔ Concluído",'E6 — Ajustes'!$H338="✔ Concluído",OR('E6 — Ajustes'!$I338="✔ Concluído",'E6 — Ajustes'!$I338="N/A"),'E6 — Ajustes'!$J338="✔ Concluído"),"Concluído",IF(COUNTIF('E6 — Ajustes'!$E338:$J338,"✔ Concluído")+COUNTIF('E6 — Ajustes'!$E338:$J338,"🔄 Em andamento")&gt;0,"Em andamento","Não iniciado"))))))))</f>
        <v/>
      </c>
      <c r="K356" s="229" t="str">
        <f>IF($B356="","",IF($I356&lt;&gt;"Concluído","Não iniciado",IF(AND($J356&lt;&gt;"Concluído",$J356&lt;&gt;"N/A"),"Não iniciado",IF(COUNTIF(Lançamentos!$B$3:$B$1001,$B356)=0,"Bloqueado",IF('E7 — Entrega'!$D338="","Bloqueado",IF(COUNTIF('E7 — Entrega'!$E338:$H338,"⛔ Bloqueado")&gt;0,"Bloqueado",IF(COUNTIF('E7 — Entrega'!$E338:$H338,"✔ Concluído")=4,"Concluído",IF(COUNTIF('E7 — Entrega'!$E338:$H338,"✔ Concluído")+COUNTIF('E7 — Entrega'!$E338:$H338,"🔄 Em andamento")&gt;0,"Em andamento","Não iniciado"))))))))</f>
        <v/>
      </c>
      <c r="L356" s="229" t="str">
        <f>IF($B356="","",IF($K356&lt;&gt;"Concluído","Não iniciado",IF(OR(COUNTIF('E08 — Estabilização Hypercare'!$E338:$J338,"⛔ Bloqueado")&gt;0,'E08 — Estabilização Hypercare'!$N338="⛔ Incidente Crítico — Encerramento Bloqueado",AND('E08 — Estabilização Hypercare'!$N338="🆕 Evolução Identificada — Nova Demanda Aberta",'E08 — Estabilização Hypercare'!$U338="")),"Bloqueado",IF(AND('E08 — Estabilização Hypercare'!$E338="✔ Concluído",'E08 — Estabilização Hypercare'!$F338="✔ Concluído",'E08 — Estabilização Hypercare'!$G338="✔ Concluído",OR('E08 — Estabilização Hypercare'!$H338="✔ Concluído",'E08 — Estabilização Hypercare'!$H338="N/A"),'E08 — Estabilização Hypercare'!$I338="✔ Concluído",'E08 — Estabilização Hypercare'!$J338="✔ Concluído",OR('E08 — Estabilização Hypercare'!$N338="✅ Estável — Demanda Encerrada",AND('E08 — Estabilização Hypercare'!$N338="🆕 Evolução Identificada — Nova Demanda Aberta",'E08 — Estabilização Hypercare'!$U338&lt;&gt;""))),"Concluído",IF(OR(COUNTIF('E08 — Estabilização Hypercare'!$E338:$J338,"✔ Concluído")&gt;0,COUNTIF('E08 — Estabilização Hypercare'!$E338:$J338,"🔄 Em andamento")&gt;0,'E08 — Estabilização Hypercare'!$N338&lt;&gt;""),"Em andamento","Não iniciado")))))</f>
        <v/>
      </c>
      <c r="M356" s="232" t="str" cm="1">
        <f t="array" ref="M356">IF(B356="","",_xlfn.IFS(E356&lt;&gt;"Concluído","E1 — Solicitação",F356&lt;&gt;"Concluído","E2 — Triagem",G356&lt;&gt;"Concluído","E3 — Levantamento ⚠",H356&lt;&gt;"Concluído","E4 — Execução",I356&lt;&gt;"Concluído","E5 — Validação ⚠",AND(J356&lt;&gt;"Concluído",J356&lt;&gt;"N/A"),"E6 — Ajustes",K356&lt;&gt;"Concluído","E7 — Entrega",L356&lt;&gt;"Concluído","E08 — Estabilização / Hypercare",TRUE,"✔ Fluxo concluído"))</f>
        <v/>
      </c>
      <c r="N356" s="233" t="str">
        <f t="shared" si="6"/>
        <v/>
      </c>
      <c r="O356" s="230"/>
    </row>
    <row r="357" spans="2:15" x14ac:dyDescent="0.35">
      <c r="B357" s="229" t="str">
        <f>IF(Lançamentos!$B334="","",Lançamentos!$B334)</f>
        <v/>
      </c>
      <c r="C357" s="231" t="str">
        <f>IF($B357="","",Lançamentos!$J334)</f>
        <v/>
      </c>
      <c r="D357" s="231" t="str">
        <f>IF($B357="","",Lançamentos!$H334)</f>
        <v/>
      </c>
      <c r="E357" s="229" t="str">
        <f>IF($B357="","",IF(COUNTIF(Lançamentos!$B$3:$B$1001,$B357)=0,"Bloqueado",IF(COUNTIF('E1 — Solicitação'!$E339:$L339,"⛔ Bloqueado")&gt;0,"Bloqueado",IF(COUNTIF('E1 — Solicitação'!$E339:$L339,"N/A")=8,"Bloqueado",IF(COUNTIF('E1 — Solicitação'!$E339:$L339,"✔ Concluído")+COUNTIF('E1 — Solicitação'!$E339:$L339,"N/A")=8,"Concluído",IF(COUNTIF('E1 — Solicitação'!$E339:$L339,"✔ Concluído")+COUNTIF('E1 — Solicitação'!$E339:$L339,"🔄 Em andamento")&gt;0,"Em andamento","Não iniciado"))))))</f>
        <v/>
      </c>
      <c r="F357" s="229" t="str">
        <f>IF($B357="","",IF($E357&lt;&gt;"Concluído","Não iniciado",IF(COUNTIF(Lançamentos!$B$3:$B$1001,$B357)=0,"Bloqueado",IF('E2 — Triagem'!$D339="","Bloqueado",IF(COUNTIF('E2 — Triagem'!$E339:$L339,"N/A")=8,"Bloqueado",IF(COUNTIF('E2 — Triagem'!$E339:$L339,"⛔ Bloqueado")&gt;0,"Bloqueado",IF(COUNTIF('E2 — Triagem'!$E339:$L339,"✔ Concluído")+COUNTIF('E2 — Triagem'!$E339:$L339,"N/A")=8,"Concluído",IF(COUNTIF('E2 — Triagem'!$E339:$L339,"✔ Concluído")+COUNTIF('E2 — Triagem'!$E339:$L339,"🔄 Em andamento")&gt;0,"Em andamento","Não iniciado"))))))))</f>
        <v/>
      </c>
      <c r="G357" s="229" t="str">
        <f>IF($B357="","",IF($F357&lt;&gt;"Concluído","Não iniciado",IF(COUNTIF(Lançamentos!$B$3:$B$1001,$B357)=0,"Bloqueado",IF('E3 — Levantamento'!$D339="","Bloqueado",IF(COUNTIF('E3 — Levantamento'!$E339:$I339,"⛔ Bloqueado")&gt;0,"Bloqueado",IF('E3 — Levantamento'!$I339="N/A","Bloqueado",IF(COUNTIF('E3 — Levantamento'!$E339:$I339,"✔ Concluído")=5,"Concluído",IF(COUNTIF('E3 — Levantamento'!$E339:$I339,"✔ Concluído")+COUNTIF('E3 — Levantamento'!$E339:$I339,"🔄 Em andamento")&gt;0,"Em andamento","Não iniciado"))))))))</f>
        <v/>
      </c>
      <c r="H357" s="229" t="str">
        <f>IF($B357="","",IF($G357&lt;&gt;"Concluído","Não iniciado",IF(COUNTIF(Lançamentos!$B$3:$B$1001,$B357)=0,"Bloqueado",IF('E4 — Execução'!$D339="","Bloqueado",IF(COUNTIF('E4 — Execução'!$E339:$K339,"⛔ Bloqueado")&gt;0,"Bloqueado",IF(COUNTIF('E4 — Execução'!$E339:$K339,"✔ Concluído")=7,"Concluído",IF(COUNTIF('E4 — Execução'!$E339:$K339,"✔ Concluído")+COUNTIF('E4 — Execução'!$E339:$K339,"🔄 Em andamento")&gt;0,"Em andamento","Não iniciado")))))))</f>
        <v/>
      </c>
      <c r="I357" s="229" t="str">
        <f>IF($B357="","",IF($H357&lt;&gt;"Concluído","Não iniciado",IF(COUNTIF(Lançamentos!$B$3:$B$1001,$B357)=0,"Bloqueado",IF('E5 — Validação'!$D339="","Bloqueado",IF(COUNTIF('E5 — Validação'!$E339:$I339,"⛔ Bloqueado")&gt;0,"Bloqueado",IF('E5 — Validação'!$I339="N/A","Bloqueado",IF(AND('E5 — Validação'!$E339="✔ Concluído",'E5 — Validação'!$F339="✔ Concluído",OR('E5 — Validação'!$G339="✔ Concluído",'E5 — Validação'!$G339="N/A"),'E5 — Validação'!$H339="✔ Concluído",'E5 — Validação'!$I339="✔ Concluído"),"Concluído",IF(COUNTIF('E5 — Validação'!$E339:$I339,"✔ Concluído")+COUNTIF('E5 — Validação'!$E339:$I339,"🔄 Em andamento")&gt;0,"Em andamento","Não iniciado"))))))))</f>
        <v/>
      </c>
      <c r="J357" s="229" t="str">
        <f>IF($B357="","",IF($I357&lt;&gt;"Concluído","Não iniciado",IF('E6 — Ajustes'!$N339="Não","N/A",IF(COUNTIF(Lançamentos!$B$3:$B$1001,$B357)=0,"Bloqueado",IF('E6 — Ajustes'!$D339="","Bloqueado",IF(COUNTIF('E6 — Ajustes'!$E339:$J339,"⛔ Bloqueado")&gt;0,"Bloqueado",IF(AND('E6 — Ajustes'!$E339="✔ Concluído",'E6 — Ajustes'!$F339="✔ Concluído",'E6 — Ajustes'!$G339="✔ Concluído",'E6 — Ajustes'!$H339="✔ Concluído",OR('E6 — Ajustes'!$I339="✔ Concluído",'E6 — Ajustes'!$I339="N/A"),'E6 — Ajustes'!$J339="✔ Concluído"),"Concluído",IF(COUNTIF('E6 — Ajustes'!$E339:$J339,"✔ Concluído")+COUNTIF('E6 — Ajustes'!$E339:$J339,"🔄 Em andamento")&gt;0,"Em andamento","Não iniciado"))))))))</f>
        <v/>
      </c>
      <c r="K357" s="229" t="str">
        <f>IF($B357="","",IF($I357&lt;&gt;"Concluído","Não iniciado",IF(AND($J357&lt;&gt;"Concluído",$J357&lt;&gt;"N/A"),"Não iniciado",IF(COUNTIF(Lançamentos!$B$3:$B$1001,$B357)=0,"Bloqueado",IF('E7 — Entrega'!$D339="","Bloqueado",IF(COUNTIF('E7 — Entrega'!$E339:$H339,"⛔ Bloqueado")&gt;0,"Bloqueado",IF(COUNTIF('E7 — Entrega'!$E339:$H339,"✔ Concluído")=4,"Concluído",IF(COUNTIF('E7 — Entrega'!$E339:$H339,"✔ Concluído")+COUNTIF('E7 — Entrega'!$E339:$H339,"🔄 Em andamento")&gt;0,"Em andamento","Não iniciado"))))))))</f>
        <v/>
      </c>
      <c r="L357" s="229" t="str">
        <f>IF($B357="","",IF($K357&lt;&gt;"Concluído","Não iniciado",IF(OR(COUNTIF('E08 — Estabilização Hypercare'!$E339:$J339,"⛔ Bloqueado")&gt;0,'E08 — Estabilização Hypercare'!$N339="⛔ Incidente Crítico — Encerramento Bloqueado",AND('E08 — Estabilização Hypercare'!$N339="🆕 Evolução Identificada — Nova Demanda Aberta",'E08 — Estabilização Hypercare'!$U339="")),"Bloqueado",IF(AND('E08 — Estabilização Hypercare'!$E339="✔ Concluído",'E08 — Estabilização Hypercare'!$F339="✔ Concluído",'E08 — Estabilização Hypercare'!$G339="✔ Concluído",OR('E08 — Estabilização Hypercare'!$H339="✔ Concluído",'E08 — Estabilização Hypercare'!$H339="N/A"),'E08 — Estabilização Hypercare'!$I339="✔ Concluído",'E08 — Estabilização Hypercare'!$J339="✔ Concluído",OR('E08 — Estabilização Hypercare'!$N339="✅ Estável — Demanda Encerrada",AND('E08 — Estabilização Hypercare'!$N339="🆕 Evolução Identificada — Nova Demanda Aberta",'E08 — Estabilização Hypercare'!$U339&lt;&gt;""))),"Concluído",IF(OR(COUNTIF('E08 — Estabilização Hypercare'!$E339:$J339,"✔ Concluído")&gt;0,COUNTIF('E08 — Estabilização Hypercare'!$E339:$J339,"🔄 Em andamento")&gt;0,'E08 — Estabilização Hypercare'!$N339&lt;&gt;""),"Em andamento","Não iniciado")))))</f>
        <v/>
      </c>
      <c r="M357" s="232" t="str" cm="1">
        <f t="array" ref="M357">IF(B357="","",_xlfn.IFS(E357&lt;&gt;"Concluído","E1 — Solicitação",F357&lt;&gt;"Concluído","E2 — Triagem",G357&lt;&gt;"Concluído","E3 — Levantamento ⚠",H357&lt;&gt;"Concluído","E4 — Execução",I357&lt;&gt;"Concluído","E5 — Validação ⚠",AND(J357&lt;&gt;"Concluído",J357&lt;&gt;"N/A"),"E6 — Ajustes",K357&lt;&gt;"Concluído","E7 — Entrega",L357&lt;&gt;"Concluído","E08 — Estabilização / Hypercare",TRUE,"✔ Fluxo concluído"))</f>
        <v/>
      </c>
      <c r="N357" s="233" t="str">
        <f t="shared" si="6"/>
        <v/>
      </c>
      <c r="O357" s="230"/>
    </row>
    <row r="358" spans="2:15" x14ac:dyDescent="0.35">
      <c r="B358" s="229" t="str">
        <f>IF(Lançamentos!$B335="","",Lançamentos!$B335)</f>
        <v/>
      </c>
      <c r="C358" s="231" t="str">
        <f>IF($B358="","",Lançamentos!$J335)</f>
        <v/>
      </c>
      <c r="D358" s="231" t="str">
        <f>IF($B358="","",Lançamentos!$H335)</f>
        <v/>
      </c>
      <c r="E358" s="229" t="str">
        <f>IF($B358="","",IF(COUNTIF(Lançamentos!$B$3:$B$1001,$B358)=0,"Bloqueado",IF(COUNTIF('E1 — Solicitação'!$E340:$L340,"⛔ Bloqueado")&gt;0,"Bloqueado",IF(COUNTIF('E1 — Solicitação'!$E340:$L340,"N/A")=8,"Bloqueado",IF(COUNTIF('E1 — Solicitação'!$E340:$L340,"✔ Concluído")+COUNTIF('E1 — Solicitação'!$E340:$L340,"N/A")=8,"Concluído",IF(COUNTIF('E1 — Solicitação'!$E340:$L340,"✔ Concluído")+COUNTIF('E1 — Solicitação'!$E340:$L340,"🔄 Em andamento")&gt;0,"Em andamento","Não iniciado"))))))</f>
        <v/>
      </c>
      <c r="F358" s="229" t="str">
        <f>IF($B358="","",IF($E358&lt;&gt;"Concluído","Não iniciado",IF(COUNTIF(Lançamentos!$B$3:$B$1001,$B358)=0,"Bloqueado",IF('E2 — Triagem'!$D340="","Bloqueado",IF(COUNTIF('E2 — Triagem'!$E340:$L340,"N/A")=8,"Bloqueado",IF(COUNTIF('E2 — Triagem'!$E340:$L340,"⛔ Bloqueado")&gt;0,"Bloqueado",IF(COUNTIF('E2 — Triagem'!$E340:$L340,"✔ Concluído")+COUNTIF('E2 — Triagem'!$E340:$L340,"N/A")=8,"Concluído",IF(COUNTIF('E2 — Triagem'!$E340:$L340,"✔ Concluído")+COUNTIF('E2 — Triagem'!$E340:$L340,"🔄 Em andamento")&gt;0,"Em andamento","Não iniciado"))))))))</f>
        <v/>
      </c>
      <c r="G358" s="229" t="str">
        <f>IF($B358="","",IF($F358&lt;&gt;"Concluído","Não iniciado",IF(COUNTIF(Lançamentos!$B$3:$B$1001,$B358)=0,"Bloqueado",IF('E3 — Levantamento'!$D340="","Bloqueado",IF(COUNTIF('E3 — Levantamento'!$E340:$I340,"⛔ Bloqueado")&gt;0,"Bloqueado",IF('E3 — Levantamento'!$I340="N/A","Bloqueado",IF(COUNTIF('E3 — Levantamento'!$E340:$I340,"✔ Concluído")=5,"Concluído",IF(COUNTIF('E3 — Levantamento'!$E340:$I340,"✔ Concluído")+COUNTIF('E3 — Levantamento'!$E340:$I340,"🔄 Em andamento")&gt;0,"Em andamento","Não iniciado"))))))))</f>
        <v/>
      </c>
      <c r="H358" s="229" t="str">
        <f>IF($B358="","",IF($G358&lt;&gt;"Concluído","Não iniciado",IF(COUNTIF(Lançamentos!$B$3:$B$1001,$B358)=0,"Bloqueado",IF('E4 — Execução'!$D340="","Bloqueado",IF(COUNTIF('E4 — Execução'!$E340:$K340,"⛔ Bloqueado")&gt;0,"Bloqueado",IF(COUNTIF('E4 — Execução'!$E340:$K340,"✔ Concluído")=7,"Concluído",IF(COUNTIF('E4 — Execução'!$E340:$K340,"✔ Concluído")+COUNTIF('E4 — Execução'!$E340:$K340,"🔄 Em andamento")&gt;0,"Em andamento","Não iniciado")))))))</f>
        <v/>
      </c>
      <c r="I358" s="229" t="str">
        <f>IF($B358="","",IF($H358&lt;&gt;"Concluído","Não iniciado",IF(COUNTIF(Lançamentos!$B$3:$B$1001,$B358)=0,"Bloqueado",IF('E5 — Validação'!$D340="","Bloqueado",IF(COUNTIF('E5 — Validação'!$E340:$I340,"⛔ Bloqueado")&gt;0,"Bloqueado",IF('E5 — Validação'!$I340="N/A","Bloqueado",IF(AND('E5 — Validação'!$E340="✔ Concluído",'E5 — Validação'!$F340="✔ Concluído",OR('E5 — Validação'!$G340="✔ Concluído",'E5 — Validação'!$G340="N/A"),'E5 — Validação'!$H340="✔ Concluído",'E5 — Validação'!$I340="✔ Concluído"),"Concluído",IF(COUNTIF('E5 — Validação'!$E340:$I340,"✔ Concluído")+COUNTIF('E5 — Validação'!$E340:$I340,"🔄 Em andamento")&gt;0,"Em andamento","Não iniciado"))))))))</f>
        <v/>
      </c>
      <c r="J358" s="229" t="str">
        <f>IF($B358="","",IF($I358&lt;&gt;"Concluído","Não iniciado",IF('E6 — Ajustes'!$N340="Não","N/A",IF(COUNTIF(Lançamentos!$B$3:$B$1001,$B358)=0,"Bloqueado",IF('E6 — Ajustes'!$D340="","Bloqueado",IF(COUNTIF('E6 — Ajustes'!$E340:$J340,"⛔ Bloqueado")&gt;0,"Bloqueado",IF(AND('E6 — Ajustes'!$E340="✔ Concluído",'E6 — Ajustes'!$F340="✔ Concluído",'E6 — Ajustes'!$G340="✔ Concluído",'E6 — Ajustes'!$H340="✔ Concluído",OR('E6 — Ajustes'!$I340="✔ Concluído",'E6 — Ajustes'!$I340="N/A"),'E6 — Ajustes'!$J340="✔ Concluído"),"Concluído",IF(COUNTIF('E6 — Ajustes'!$E340:$J340,"✔ Concluído")+COUNTIF('E6 — Ajustes'!$E340:$J340,"🔄 Em andamento")&gt;0,"Em andamento","Não iniciado"))))))))</f>
        <v/>
      </c>
      <c r="K358" s="229" t="str">
        <f>IF($B358="","",IF($I358&lt;&gt;"Concluído","Não iniciado",IF(AND($J358&lt;&gt;"Concluído",$J358&lt;&gt;"N/A"),"Não iniciado",IF(COUNTIF(Lançamentos!$B$3:$B$1001,$B358)=0,"Bloqueado",IF('E7 — Entrega'!$D340="","Bloqueado",IF(COUNTIF('E7 — Entrega'!$E340:$H340,"⛔ Bloqueado")&gt;0,"Bloqueado",IF(COUNTIF('E7 — Entrega'!$E340:$H340,"✔ Concluído")=4,"Concluído",IF(COUNTIF('E7 — Entrega'!$E340:$H340,"✔ Concluído")+COUNTIF('E7 — Entrega'!$E340:$H340,"🔄 Em andamento")&gt;0,"Em andamento","Não iniciado"))))))))</f>
        <v/>
      </c>
      <c r="L358" s="229" t="str">
        <f>IF($B358="","",IF($K358&lt;&gt;"Concluído","Não iniciado",IF(OR(COUNTIF('E08 — Estabilização Hypercare'!$E340:$J340,"⛔ Bloqueado")&gt;0,'E08 — Estabilização Hypercare'!$N340="⛔ Incidente Crítico — Encerramento Bloqueado",AND('E08 — Estabilização Hypercare'!$N340="🆕 Evolução Identificada — Nova Demanda Aberta",'E08 — Estabilização Hypercare'!$U340="")),"Bloqueado",IF(AND('E08 — Estabilização Hypercare'!$E340="✔ Concluído",'E08 — Estabilização Hypercare'!$F340="✔ Concluído",'E08 — Estabilização Hypercare'!$G340="✔ Concluído",OR('E08 — Estabilização Hypercare'!$H340="✔ Concluído",'E08 — Estabilização Hypercare'!$H340="N/A"),'E08 — Estabilização Hypercare'!$I340="✔ Concluído",'E08 — Estabilização Hypercare'!$J340="✔ Concluído",OR('E08 — Estabilização Hypercare'!$N340="✅ Estável — Demanda Encerrada",AND('E08 — Estabilização Hypercare'!$N340="🆕 Evolução Identificada — Nova Demanda Aberta",'E08 — Estabilização Hypercare'!$U340&lt;&gt;""))),"Concluído",IF(OR(COUNTIF('E08 — Estabilização Hypercare'!$E340:$J340,"✔ Concluído")&gt;0,COUNTIF('E08 — Estabilização Hypercare'!$E340:$J340,"🔄 Em andamento")&gt;0,'E08 — Estabilização Hypercare'!$N340&lt;&gt;""),"Em andamento","Não iniciado")))))</f>
        <v/>
      </c>
      <c r="M358" s="232" t="str" cm="1">
        <f t="array" ref="M358">IF(B358="","",_xlfn.IFS(E358&lt;&gt;"Concluído","E1 — Solicitação",F358&lt;&gt;"Concluído","E2 — Triagem",G358&lt;&gt;"Concluído","E3 — Levantamento ⚠",H358&lt;&gt;"Concluído","E4 — Execução",I358&lt;&gt;"Concluído","E5 — Validação ⚠",AND(J358&lt;&gt;"Concluído",J358&lt;&gt;"N/A"),"E6 — Ajustes",K358&lt;&gt;"Concluído","E7 — Entrega",L358&lt;&gt;"Concluído","E08 — Estabilização / Hypercare",TRUE,"✔ Fluxo concluído"))</f>
        <v/>
      </c>
      <c r="N358" s="233" t="str">
        <f t="shared" si="6"/>
        <v/>
      </c>
      <c r="O358" s="230"/>
    </row>
    <row r="359" spans="2:15" x14ac:dyDescent="0.35">
      <c r="B359" s="229" t="str">
        <f>IF(Lançamentos!$B336="","",Lançamentos!$B336)</f>
        <v/>
      </c>
      <c r="C359" s="231" t="str">
        <f>IF($B359="","",Lançamentos!$J336)</f>
        <v/>
      </c>
      <c r="D359" s="231" t="str">
        <f>IF($B359="","",Lançamentos!$H336)</f>
        <v/>
      </c>
      <c r="E359" s="229" t="str">
        <f>IF($B359="","",IF(COUNTIF(Lançamentos!$B$3:$B$1001,$B359)=0,"Bloqueado",IF(COUNTIF('E1 — Solicitação'!$E341:$L341,"⛔ Bloqueado")&gt;0,"Bloqueado",IF(COUNTIF('E1 — Solicitação'!$E341:$L341,"N/A")=8,"Bloqueado",IF(COUNTIF('E1 — Solicitação'!$E341:$L341,"✔ Concluído")+COUNTIF('E1 — Solicitação'!$E341:$L341,"N/A")=8,"Concluído",IF(COUNTIF('E1 — Solicitação'!$E341:$L341,"✔ Concluído")+COUNTIF('E1 — Solicitação'!$E341:$L341,"🔄 Em andamento")&gt;0,"Em andamento","Não iniciado"))))))</f>
        <v/>
      </c>
      <c r="F359" s="229" t="str">
        <f>IF($B359="","",IF($E359&lt;&gt;"Concluído","Não iniciado",IF(COUNTIF(Lançamentos!$B$3:$B$1001,$B359)=0,"Bloqueado",IF('E2 — Triagem'!$D341="","Bloqueado",IF(COUNTIF('E2 — Triagem'!$E341:$L341,"N/A")=8,"Bloqueado",IF(COUNTIF('E2 — Triagem'!$E341:$L341,"⛔ Bloqueado")&gt;0,"Bloqueado",IF(COUNTIF('E2 — Triagem'!$E341:$L341,"✔ Concluído")+COUNTIF('E2 — Triagem'!$E341:$L341,"N/A")=8,"Concluído",IF(COUNTIF('E2 — Triagem'!$E341:$L341,"✔ Concluído")+COUNTIF('E2 — Triagem'!$E341:$L341,"🔄 Em andamento")&gt;0,"Em andamento","Não iniciado"))))))))</f>
        <v/>
      </c>
      <c r="G359" s="229" t="str">
        <f>IF($B359="","",IF($F359&lt;&gt;"Concluído","Não iniciado",IF(COUNTIF(Lançamentos!$B$3:$B$1001,$B359)=0,"Bloqueado",IF('E3 — Levantamento'!$D341="","Bloqueado",IF(COUNTIF('E3 — Levantamento'!$E341:$I341,"⛔ Bloqueado")&gt;0,"Bloqueado",IF('E3 — Levantamento'!$I341="N/A","Bloqueado",IF(COUNTIF('E3 — Levantamento'!$E341:$I341,"✔ Concluído")=5,"Concluído",IF(COUNTIF('E3 — Levantamento'!$E341:$I341,"✔ Concluído")+COUNTIF('E3 — Levantamento'!$E341:$I341,"🔄 Em andamento")&gt;0,"Em andamento","Não iniciado"))))))))</f>
        <v/>
      </c>
      <c r="H359" s="229" t="str">
        <f>IF($B359="","",IF($G359&lt;&gt;"Concluído","Não iniciado",IF(COUNTIF(Lançamentos!$B$3:$B$1001,$B359)=0,"Bloqueado",IF('E4 — Execução'!$D341="","Bloqueado",IF(COUNTIF('E4 — Execução'!$E341:$K341,"⛔ Bloqueado")&gt;0,"Bloqueado",IF(COUNTIF('E4 — Execução'!$E341:$K341,"✔ Concluído")=7,"Concluído",IF(COUNTIF('E4 — Execução'!$E341:$K341,"✔ Concluído")+COUNTIF('E4 — Execução'!$E341:$K341,"🔄 Em andamento")&gt;0,"Em andamento","Não iniciado")))))))</f>
        <v/>
      </c>
      <c r="I359" s="229" t="str">
        <f>IF($B359="","",IF($H359&lt;&gt;"Concluído","Não iniciado",IF(COUNTIF(Lançamentos!$B$3:$B$1001,$B359)=0,"Bloqueado",IF('E5 — Validação'!$D341="","Bloqueado",IF(COUNTIF('E5 — Validação'!$E341:$I341,"⛔ Bloqueado")&gt;0,"Bloqueado",IF('E5 — Validação'!$I341="N/A","Bloqueado",IF(AND('E5 — Validação'!$E341="✔ Concluído",'E5 — Validação'!$F341="✔ Concluído",OR('E5 — Validação'!$G341="✔ Concluído",'E5 — Validação'!$G341="N/A"),'E5 — Validação'!$H341="✔ Concluído",'E5 — Validação'!$I341="✔ Concluído"),"Concluído",IF(COUNTIF('E5 — Validação'!$E341:$I341,"✔ Concluído")+COUNTIF('E5 — Validação'!$E341:$I341,"🔄 Em andamento")&gt;0,"Em andamento","Não iniciado"))))))))</f>
        <v/>
      </c>
      <c r="J359" s="229" t="str">
        <f>IF($B359="","",IF($I359&lt;&gt;"Concluído","Não iniciado",IF('E6 — Ajustes'!$N341="Não","N/A",IF(COUNTIF(Lançamentos!$B$3:$B$1001,$B359)=0,"Bloqueado",IF('E6 — Ajustes'!$D341="","Bloqueado",IF(COUNTIF('E6 — Ajustes'!$E341:$J341,"⛔ Bloqueado")&gt;0,"Bloqueado",IF(AND('E6 — Ajustes'!$E341="✔ Concluído",'E6 — Ajustes'!$F341="✔ Concluído",'E6 — Ajustes'!$G341="✔ Concluído",'E6 — Ajustes'!$H341="✔ Concluído",OR('E6 — Ajustes'!$I341="✔ Concluído",'E6 — Ajustes'!$I341="N/A"),'E6 — Ajustes'!$J341="✔ Concluído"),"Concluído",IF(COUNTIF('E6 — Ajustes'!$E341:$J341,"✔ Concluído")+COUNTIF('E6 — Ajustes'!$E341:$J341,"🔄 Em andamento")&gt;0,"Em andamento","Não iniciado"))))))))</f>
        <v/>
      </c>
      <c r="K359" s="229" t="str">
        <f>IF($B359="","",IF($I359&lt;&gt;"Concluído","Não iniciado",IF(AND($J359&lt;&gt;"Concluído",$J359&lt;&gt;"N/A"),"Não iniciado",IF(COUNTIF(Lançamentos!$B$3:$B$1001,$B359)=0,"Bloqueado",IF('E7 — Entrega'!$D341="","Bloqueado",IF(COUNTIF('E7 — Entrega'!$E341:$H341,"⛔ Bloqueado")&gt;0,"Bloqueado",IF(COUNTIF('E7 — Entrega'!$E341:$H341,"✔ Concluído")=4,"Concluído",IF(COUNTIF('E7 — Entrega'!$E341:$H341,"✔ Concluído")+COUNTIF('E7 — Entrega'!$E341:$H341,"🔄 Em andamento")&gt;0,"Em andamento","Não iniciado"))))))))</f>
        <v/>
      </c>
      <c r="L359" s="229" t="str">
        <f>IF($B359="","",IF($K359&lt;&gt;"Concluído","Não iniciado",IF(OR(COUNTIF('E08 — Estabilização Hypercare'!$E341:$J341,"⛔ Bloqueado")&gt;0,'E08 — Estabilização Hypercare'!$N341="⛔ Incidente Crítico — Encerramento Bloqueado",AND('E08 — Estabilização Hypercare'!$N341="🆕 Evolução Identificada — Nova Demanda Aberta",'E08 — Estabilização Hypercare'!$U341="")),"Bloqueado",IF(AND('E08 — Estabilização Hypercare'!$E341="✔ Concluído",'E08 — Estabilização Hypercare'!$F341="✔ Concluído",'E08 — Estabilização Hypercare'!$G341="✔ Concluído",OR('E08 — Estabilização Hypercare'!$H341="✔ Concluído",'E08 — Estabilização Hypercare'!$H341="N/A"),'E08 — Estabilização Hypercare'!$I341="✔ Concluído",'E08 — Estabilização Hypercare'!$J341="✔ Concluído",OR('E08 — Estabilização Hypercare'!$N341="✅ Estável — Demanda Encerrada",AND('E08 — Estabilização Hypercare'!$N341="🆕 Evolução Identificada — Nova Demanda Aberta",'E08 — Estabilização Hypercare'!$U341&lt;&gt;""))),"Concluído",IF(OR(COUNTIF('E08 — Estabilização Hypercare'!$E341:$J341,"✔ Concluído")&gt;0,COUNTIF('E08 — Estabilização Hypercare'!$E341:$J341,"🔄 Em andamento")&gt;0,'E08 — Estabilização Hypercare'!$N341&lt;&gt;""),"Em andamento","Não iniciado")))))</f>
        <v/>
      </c>
      <c r="M359" s="232" t="str" cm="1">
        <f t="array" ref="M359">IF(B359="","",_xlfn.IFS(E359&lt;&gt;"Concluído","E1 — Solicitação",F359&lt;&gt;"Concluído","E2 — Triagem",G359&lt;&gt;"Concluído","E3 — Levantamento ⚠",H359&lt;&gt;"Concluído","E4 — Execução",I359&lt;&gt;"Concluído","E5 — Validação ⚠",AND(J359&lt;&gt;"Concluído",J359&lt;&gt;"N/A"),"E6 — Ajustes",K359&lt;&gt;"Concluído","E7 — Entrega",L359&lt;&gt;"Concluído","E08 — Estabilização / Hypercare",TRUE,"✔ Fluxo concluído"))</f>
        <v/>
      </c>
      <c r="N359" s="233" t="str">
        <f t="shared" si="6"/>
        <v/>
      </c>
      <c r="O359" s="230"/>
    </row>
    <row r="360" spans="2:15" x14ac:dyDescent="0.35">
      <c r="B360" s="229" t="str">
        <f>IF(Lançamentos!$B337="","",Lançamentos!$B337)</f>
        <v/>
      </c>
      <c r="C360" s="231" t="str">
        <f>IF($B360="","",Lançamentos!$J337)</f>
        <v/>
      </c>
      <c r="D360" s="231" t="str">
        <f>IF($B360="","",Lançamentos!$H337)</f>
        <v/>
      </c>
      <c r="E360" s="229" t="str">
        <f>IF($B360="","",IF(COUNTIF(Lançamentos!$B$3:$B$1001,$B360)=0,"Bloqueado",IF(COUNTIF('E1 — Solicitação'!$E342:$L342,"⛔ Bloqueado")&gt;0,"Bloqueado",IF(COUNTIF('E1 — Solicitação'!$E342:$L342,"N/A")=8,"Bloqueado",IF(COUNTIF('E1 — Solicitação'!$E342:$L342,"✔ Concluído")+COUNTIF('E1 — Solicitação'!$E342:$L342,"N/A")=8,"Concluído",IF(COUNTIF('E1 — Solicitação'!$E342:$L342,"✔ Concluído")+COUNTIF('E1 — Solicitação'!$E342:$L342,"🔄 Em andamento")&gt;0,"Em andamento","Não iniciado"))))))</f>
        <v/>
      </c>
      <c r="F360" s="229" t="str">
        <f>IF($B360="","",IF($E360&lt;&gt;"Concluído","Não iniciado",IF(COUNTIF(Lançamentos!$B$3:$B$1001,$B360)=0,"Bloqueado",IF('E2 — Triagem'!$D342="","Bloqueado",IF(COUNTIF('E2 — Triagem'!$E342:$L342,"N/A")=8,"Bloqueado",IF(COUNTIF('E2 — Triagem'!$E342:$L342,"⛔ Bloqueado")&gt;0,"Bloqueado",IF(COUNTIF('E2 — Triagem'!$E342:$L342,"✔ Concluído")+COUNTIF('E2 — Triagem'!$E342:$L342,"N/A")=8,"Concluído",IF(COUNTIF('E2 — Triagem'!$E342:$L342,"✔ Concluído")+COUNTIF('E2 — Triagem'!$E342:$L342,"🔄 Em andamento")&gt;0,"Em andamento","Não iniciado"))))))))</f>
        <v/>
      </c>
      <c r="G360" s="229" t="str">
        <f>IF($B360="","",IF($F360&lt;&gt;"Concluído","Não iniciado",IF(COUNTIF(Lançamentos!$B$3:$B$1001,$B360)=0,"Bloqueado",IF('E3 — Levantamento'!$D342="","Bloqueado",IF(COUNTIF('E3 — Levantamento'!$E342:$I342,"⛔ Bloqueado")&gt;0,"Bloqueado",IF('E3 — Levantamento'!$I342="N/A","Bloqueado",IF(COUNTIF('E3 — Levantamento'!$E342:$I342,"✔ Concluído")=5,"Concluído",IF(COUNTIF('E3 — Levantamento'!$E342:$I342,"✔ Concluído")+COUNTIF('E3 — Levantamento'!$E342:$I342,"🔄 Em andamento")&gt;0,"Em andamento","Não iniciado"))))))))</f>
        <v/>
      </c>
      <c r="H360" s="229" t="str">
        <f>IF($B360="","",IF($G360&lt;&gt;"Concluído","Não iniciado",IF(COUNTIF(Lançamentos!$B$3:$B$1001,$B360)=0,"Bloqueado",IF('E4 — Execução'!$D342="","Bloqueado",IF(COUNTIF('E4 — Execução'!$E342:$K342,"⛔ Bloqueado")&gt;0,"Bloqueado",IF(COUNTIF('E4 — Execução'!$E342:$K342,"✔ Concluído")=7,"Concluído",IF(COUNTIF('E4 — Execução'!$E342:$K342,"✔ Concluído")+COUNTIF('E4 — Execução'!$E342:$K342,"🔄 Em andamento")&gt;0,"Em andamento","Não iniciado")))))))</f>
        <v/>
      </c>
      <c r="I360" s="229" t="str">
        <f>IF($B360="","",IF($H360&lt;&gt;"Concluído","Não iniciado",IF(COUNTIF(Lançamentos!$B$3:$B$1001,$B360)=0,"Bloqueado",IF('E5 — Validação'!$D342="","Bloqueado",IF(COUNTIF('E5 — Validação'!$E342:$I342,"⛔ Bloqueado")&gt;0,"Bloqueado",IF('E5 — Validação'!$I342="N/A","Bloqueado",IF(AND('E5 — Validação'!$E342="✔ Concluído",'E5 — Validação'!$F342="✔ Concluído",OR('E5 — Validação'!$G342="✔ Concluído",'E5 — Validação'!$G342="N/A"),'E5 — Validação'!$H342="✔ Concluído",'E5 — Validação'!$I342="✔ Concluído"),"Concluído",IF(COUNTIF('E5 — Validação'!$E342:$I342,"✔ Concluído")+COUNTIF('E5 — Validação'!$E342:$I342,"🔄 Em andamento")&gt;0,"Em andamento","Não iniciado"))))))))</f>
        <v/>
      </c>
      <c r="J360" s="229" t="str">
        <f>IF($B360="","",IF($I360&lt;&gt;"Concluído","Não iniciado",IF('E6 — Ajustes'!$N342="Não","N/A",IF(COUNTIF(Lançamentos!$B$3:$B$1001,$B360)=0,"Bloqueado",IF('E6 — Ajustes'!$D342="","Bloqueado",IF(COUNTIF('E6 — Ajustes'!$E342:$J342,"⛔ Bloqueado")&gt;0,"Bloqueado",IF(AND('E6 — Ajustes'!$E342="✔ Concluído",'E6 — Ajustes'!$F342="✔ Concluído",'E6 — Ajustes'!$G342="✔ Concluído",'E6 — Ajustes'!$H342="✔ Concluído",OR('E6 — Ajustes'!$I342="✔ Concluído",'E6 — Ajustes'!$I342="N/A"),'E6 — Ajustes'!$J342="✔ Concluído"),"Concluído",IF(COUNTIF('E6 — Ajustes'!$E342:$J342,"✔ Concluído")+COUNTIF('E6 — Ajustes'!$E342:$J342,"🔄 Em andamento")&gt;0,"Em andamento","Não iniciado"))))))))</f>
        <v/>
      </c>
      <c r="K360" s="229" t="str">
        <f>IF($B360="","",IF($I360&lt;&gt;"Concluído","Não iniciado",IF(AND($J360&lt;&gt;"Concluído",$J360&lt;&gt;"N/A"),"Não iniciado",IF(COUNTIF(Lançamentos!$B$3:$B$1001,$B360)=0,"Bloqueado",IF('E7 — Entrega'!$D342="","Bloqueado",IF(COUNTIF('E7 — Entrega'!$E342:$H342,"⛔ Bloqueado")&gt;0,"Bloqueado",IF(COUNTIF('E7 — Entrega'!$E342:$H342,"✔ Concluído")=4,"Concluído",IF(COUNTIF('E7 — Entrega'!$E342:$H342,"✔ Concluído")+COUNTIF('E7 — Entrega'!$E342:$H342,"🔄 Em andamento")&gt;0,"Em andamento","Não iniciado"))))))))</f>
        <v/>
      </c>
      <c r="L360" s="229" t="str">
        <f>IF($B360="","",IF($K360&lt;&gt;"Concluído","Não iniciado",IF(OR(COUNTIF('E08 — Estabilização Hypercare'!$E342:$J342,"⛔ Bloqueado")&gt;0,'E08 — Estabilização Hypercare'!$N342="⛔ Incidente Crítico — Encerramento Bloqueado",AND('E08 — Estabilização Hypercare'!$N342="🆕 Evolução Identificada — Nova Demanda Aberta",'E08 — Estabilização Hypercare'!$U342="")),"Bloqueado",IF(AND('E08 — Estabilização Hypercare'!$E342="✔ Concluído",'E08 — Estabilização Hypercare'!$F342="✔ Concluído",'E08 — Estabilização Hypercare'!$G342="✔ Concluído",OR('E08 — Estabilização Hypercare'!$H342="✔ Concluído",'E08 — Estabilização Hypercare'!$H342="N/A"),'E08 — Estabilização Hypercare'!$I342="✔ Concluído",'E08 — Estabilização Hypercare'!$J342="✔ Concluído",OR('E08 — Estabilização Hypercare'!$N342="✅ Estável — Demanda Encerrada",AND('E08 — Estabilização Hypercare'!$N342="🆕 Evolução Identificada — Nova Demanda Aberta",'E08 — Estabilização Hypercare'!$U342&lt;&gt;""))),"Concluído",IF(OR(COUNTIF('E08 — Estabilização Hypercare'!$E342:$J342,"✔ Concluído")&gt;0,COUNTIF('E08 — Estabilização Hypercare'!$E342:$J342,"🔄 Em andamento")&gt;0,'E08 — Estabilização Hypercare'!$N342&lt;&gt;""),"Em andamento","Não iniciado")))))</f>
        <v/>
      </c>
      <c r="M360" s="232" t="str" cm="1">
        <f t="array" ref="M360">IF(B360="","",_xlfn.IFS(E360&lt;&gt;"Concluído","E1 — Solicitação",F360&lt;&gt;"Concluído","E2 — Triagem",G360&lt;&gt;"Concluído","E3 — Levantamento ⚠",H360&lt;&gt;"Concluído","E4 — Execução",I360&lt;&gt;"Concluído","E5 — Validação ⚠",AND(J360&lt;&gt;"Concluído",J360&lt;&gt;"N/A"),"E6 — Ajustes",K360&lt;&gt;"Concluído","E7 — Entrega",L360&lt;&gt;"Concluído","E08 — Estabilização / Hypercare",TRUE,"✔ Fluxo concluído"))</f>
        <v/>
      </c>
      <c r="N360" s="233" t="str">
        <f t="shared" si="6"/>
        <v/>
      </c>
      <c r="O360" s="230"/>
    </row>
    <row r="361" spans="2:15" x14ac:dyDescent="0.35">
      <c r="B361" s="229" t="str">
        <f>IF(Lançamentos!$B338="","",Lançamentos!$B338)</f>
        <v/>
      </c>
      <c r="C361" s="231" t="str">
        <f>IF($B361="","",Lançamentos!$J338)</f>
        <v/>
      </c>
      <c r="D361" s="231" t="str">
        <f>IF($B361="","",Lançamentos!$H338)</f>
        <v/>
      </c>
      <c r="E361" s="229" t="str">
        <f>IF($B361="","",IF(COUNTIF(Lançamentos!$B$3:$B$1001,$B361)=0,"Bloqueado",IF(COUNTIF('E1 — Solicitação'!$E343:$L343,"⛔ Bloqueado")&gt;0,"Bloqueado",IF(COUNTIF('E1 — Solicitação'!$E343:$L343,"N/A")=8,"Bloqueado",IF(COUNTIF('E1 — Solicitação'!$E343:$L343,"✔ Concluído")+COUNTIF('E1 — Solicitação'!$E343:$L343,"N/A")=8,"Concluído",IF(COUNTIF('E1 — Solicitação'!$E343:$L343,"✔ Concluído")+COUNTIF('E1 — Solicitação'!$E343:$L343,"🔄 Em andamento")&gt;0,"Em andamento","Não iniciado"))))))</f>
        <v/>
      </c>
      <c r="F361" s="229" t="str">
        <f>IF($B361="","",IF($E361&lt;&gt;"Concluído","Não iniciado",IF(COUNTIF(Lançamentos!$B$3:$B$1001,$B361)=0,"Bloqueado",IF('E2 — Triagem'!$D343="","Bloqueado",IF(COUNTIF('E2 — Triagem'!$E343:$L343,"N/A")=8,"Bloqueado",IF(COUNTIF('E2 — Triagem'!$E343:$L343,"⛔ Bloqueado")&gt;0,"Bloqueado",IF(COUNTIF('E2 — Triagem'!$E343:$L343,"✔ Concluído")+COUNTIF('E2 — Triagem'!$E343:$L343,"N/A")=8,"Concluído",IF(COUNTIF('E2 — Triagem'!$E343:$L343,"✔ Concluído")+COUNTIF('E2 — Triagem'!$E343:$L343,"🔄 Em andamento")&gt;0,"Em andamento","Não iniciado"))))))))</f>
        <v/>
      </c>
      <c r="G361" s="229" t="str">
        <f>IF($B361="","",IF($F361&lt;&gt;"Concluído","Não iniciado",IF(COUNTIF(Lançamentos!$B$3:$B$1001,$B361)=0,"Bloqueado",IF('E3 — Levantamento'!$D343="","Bloqueado",IF(COUNTIF('E3 — Levantamento'!$E343:$I343,"⛔ Bloqueado")&gt;0,"Bloqueado",IF('E3 — Levantamento'!$I343="N/A","Bloqueado",IF(COUNTIF('E3 — Levantamento'!$E343:$I343,"✔ Concluído")=5,"Concluído",IF(COUNTIF('E3 — Levantamento'!$E343:$I343,"✔ Concluído")+COUNTIF('E3 — Levantamento'!$E343:$I343,"🔄 Em andamento")&gt;0,"Em andamento","Não iniciado"))))))))</f>
        <v/>
      </c>
      <c r="H361" s="229" t="str">
        <f>IF($B361="","",IF($G361&lt;&gt;"Concluído","Não iniciado",IF(COUNTIF(Lançamentos!$B$3:$B$1001,$B361)=0,"Bloqueado",IF('E4 — Execução'!$D343="","Bloqueado",IF(COUNTIF('E4 — Execução'!$E343:$K343,"⛔ Bloqueado")&gt;0,"Bloqueado",IF(COUNTIF('E4 — Execução'!$E343:$K343,"✔ Concluído")=7,"Concluído",IF(COUNTIF('E4 — Execução'!$E343:$K343,"✔ Concluído")+COUNTIF('E4 — Execução'!$E343:$K343,"🔄 Em andamento")&gt;0,"Em andamento","Não iniciado")))))))</f>
        <v/>
      </c>
      <c r="I361" s="229" t="str">
        <f>IF($B361="","",IF($H361&lt;&gt;"Concluído","Não iniciado",IF(COUNTIF(Lançamentos!$B$3:$B$1001,$B361)=0,"Bloqueado",IF('E5 — Validação'!$D343="","Bloqueado",IF(COUNTIF('E5 — Validação'!$E343:$I343,"⛔ Bloqueado")&gt;0,"Bloqueado",IF('E5 — Validação'!$I343="N/A","Bloqueado",IF(AND('E5 — Validação'!$E343="✔ Concluído",'E5 — Validação'!$F343="✔ Concluído",OR('E5 — Validação'!$G343="✔ Concluído",'E5 — Validação'!$G343="N/A"),'E5 — Validação'!$H343="✔ Concluído",'E5 — Validação'!$I343="✔ Concluído"),"Concluído",IF(COUNTIF('E5 — Validação'!$E343:$I343,"✔ Concluído")+COUNTIF('E5 — Validação'!$E343:$I343,"🔄 Em andamento")&gt;0,"Em andamento","Não iniciado"))))))))</f>
        <v/>
      </c>
      <c r="J361" s="229" t="str">
        <f>IF($B361="","",IF($I361&lt;&gt;"Concluído","Não iniciado",IF('E6 — Ajustes'!$N343="Não","N/A",IF(COUNTIF(Lançamentos!$B$3:$B$1001,$B361)=0,"Bloqueado",IF('E6 — Ajustes'!$D343="","Bloqueado",IF(COUNTIF('E6 — Ajustes'!$E343:$J343,"⛔ Bloqueado")&gt;0,"Bloqueado",IF(AND('E6 — Ajustes'!$E343="✔ Concluído",'E6 — Ajustes'!$F343="✔ Concluído",'E6 — Ajustes'!$G343="✔ Concluído",'E6 — Ajustes'!$H343="✔ Concluído",OR('E6 — Ajustes'!$I343="✔ Concluído",'E6 — Ajustes'!$I343="N/A"),'E6 — Ajustes'!$J343="✔ Concluído"),"Concluído",IF(COUNTIF('E6 — Ajustes'!$E343:$J343,"✔ Concluído")+COUNTIF('E6 — Ajustes'!$E343:$J343,"🔄 Em andamento")&gt;0,"Em andamento","Não iniciado"))))))))</f>
        <v/>
      </c>
      <c r="K361" s="229" t="str">
        <f>IF($B361="","",IF($I361&lt;&gt;"Concluído","Não iniciado",IF(AND($J361&lt;&gt;"Concluído",$J361&lt;&gt;"N/A"),"Não iniciado",IF(COUNTIF(Lançamentos!$B$3:$B$1001,$B361)=0,"Bloqueado",IF('E7 — Entrega'!$D343="","Bloqueado",IF(COUNTIF('E7 — Entrega'!$E343:$H343,"⛔ Bloqueado")&gt;0,"Bloqueado",IF(COUNTIF('E7 — Entrega'!$E343:$H343,"✔ Concluído")=4,"Concluído",IF(COUNTIF('E7 — Entrega'!$E343:$H343,"✔ Concluído")+COUNTIF('E7 — Entrega'!$E343:$H343,"🔄 Em andamento")&gt;0,"Em andamento","Não iniciado"))))))))</f>
        <v/>
      </c>
      <c r="L361" s="229" t="str">
        <f>IF($B361="","",IF($K361&lt;&gt;"Concluído","Não iniciado",IF(OR(COUNTIF('E08 — Estabilização Hypercare'!$E343:$J343,"⛔ Bloqueado")&gt;0,'E08 — Estabilização Hypercare'!$N343="⛔ Incidente Crítico — Encerramento Bloqueado",AND('E08 — Estabilização Hypercare'!$N343="🆕 Evolução Identificada — Nova Demanda Aberta",'E08 — Estabilização Hypercare'!$U343="")),"Bloqueado",IF(AND('E08 — Estabilização Hypercare'!$E343="✔ Concluído",'E08 — Estabilização Hypercare'!$F343="✔ Concluído",'E08 — Estabilização Hypercare'!$G343="✔ Concluído",OR('E08 — Estabilização Hypercare'!$H343="✔ Concluído",'E08 — Estabilização Hypercare'!$H343="N/A"),'E08 — Estabilização Hypercare'!$I343="✔ Concluído",'E08 — Estabilização Hypercare'!$J343="✔ Concluído",OR('E08 — Estabilização Hypercare'!$N343="✅ Estável — Demanda Encerrada",AND('E08 — Estabilização Hypercare'!$N343="🆕 Evolução Identificada — Nova Demanda Aberta",'E08 — Estabilização Hypercare'!$U343&lt;&gt;""))),"Concluído",IF(OR(COUNTIF('E08 — Estabilização Hypercare'!$E343:$J343,"✔ Concluído")&gt;0,COUNTIF('E08 — Estabilização Hypercare'!$E343:$J343,"🔄 Em andamento")&gt;0,'E08 — Estabilização Hypercare'!$N343&lt;&gt;""),"Em andamento","Não iniciado")))))</f>
        <v/>
      </c>
      <c r="M361" s="232" t="str" cm="1">
        <f t="array" ref="M361">IF(B361="","",_xlfn.IFS(E361&lt;&gt;"Concluído","E1 — Solicitação",F361&lt;&gt;"Concluído","E2 — Triagem",G361&lt;&gt;"Concluído","E3 — Levantamento ⚠",H361&lt;&gt;"Concluído","E4 — Execução",I361&lt;&gt;"Concluído","E5 — Validação ⚠",AND(J361&lt;&gt;"Concluído",J361&lt;&gt;"N/A"),"E6 — Ajustes",K361&lt;&gt;"Concluído","E7 — Entrega",L361&lt;&gt;"Concluído","E08 — Estabilização / Hypercare",TRUE,"✔ Fluxo concluído"))</f>
        <v/>
      </c>
      <c r="N361" s="233" t="str">
        <f t="shared" si="6"/>
        <v/>
      </c>
      <c r="O361" s="230"/>
    </row>
    <row r="362" spans="2:15" x14ac:dyDescent="0.35">
      <c r="B362" s="229" t="str">
        <f>IF(Lançamentos!$B339="","",Lançamentos!$B339)</f>
        <v/>
      </c>
      <c r="C362" s="231" t="str">
        <f>IF($B362="","",Lançamentos!$J339)</f>
        <v/>
      </c>
      <c r="D362" s="231" t="str">
        <f>IF($B362="","",Lançamentos!$H339)</f>
        <v/>
      </c>
      <c r="E362" s="229" t="str">
        <f>IF($B362="","",IF(COUNTIF(Lançamentos!$B$3:$B$1001,$B362)=0,"Bloqueado",IF(COUNTIF('E1 — Solicitação'!$E344:$L344,"⛔ Bloqueado")&gt;0,"Bloqueado",IF(COUNTIF('E1 — Solicitação'!$E344:$L344,"N/A")=8,"Bloqueado",IF(COUNTIF('E1 — Solicitação'!$E344:$L344,"✔ Concluído")+COUNTIF('E1 — Solicitação'!$E344:$L344,"N/A")=8,"Concluído",IF(COUNTIF('E1 — Solicitação'!$E344:$L344,"✔ Concluído")+COUNTIF('E1 — Solicitação'!$E344:$L344,"🔄 Em andamento")&gt;0,"Em andamento","Não iniciado"))))))</f>
        <v/>
      </c>
      <c r="F362" s="229" t="str">
        <f>IF($B362="","",IF($E362&lt;&gt;"Concluído","Não iniciado",IF(COUNTIF(Lançamentos!$B$3:$B$1001,$B362)=0,"Bloqueado",IF('E2 — Triagem'!$D344="","Bloqueado",IF(COUNTIF('E2 — Triagem'!$E344:$L344,"N/A")=8,"Bloqueado",IF(COUNTIF('E2 — Triagem'!$E344:$L344,"⛔ Bloqueado")&gt;0,"Bloqueado",IF(COUNTIF('E2 — Triagem'!$E344:$L344,"✔ Concluído")+COUNTIF('E2 — Triagem'!$E344:$L344,"N/A")=8,"Concluído",IF(COUNTIF('E2 — Triagem'!$E344:$L344,"✔ Concluído")+COUNTIF('E2 — Triagem'!$E344:$L344,"🔄 Em andamento")&gt;0,"Em andamento","Não iniciado"))))))))</f>
        <v/>
      </c>
      <c r="G362" s="229" t="str">
        <f>IF($B362="","",IF($F362&lt;&gt;"Concluído","Não iniciado",IF(COUNTIF(Lançamentos!$B$3:$B$1001,$B362)=0,"Bloqueado",IF('E3 — Levantamento'!$D344="","Bloqueado",IF(COUNTIF('E3 — Levantamento'!$E344:$I344,"⛔ Bloqueado")&gt;0,"Bloqueado",IF('E3 — Levantamento'!$I344="N/A","Bloqueado",IF(COUNTIF('E3 — Levantamento'!$E344:$I344,"✔ Concluído")=5,"Concluído",IF(COUNTIF('E3 — Levantamento'!$E344:$I344,"✔ Concluído")+COUNTIF('E3 — Levantamento'!$E344:$I344,"🔄 Em andamento")&gt;0,"Em andamento","Não iniciado"))))))))</f>
        <v/>
      </c>
      <c r="H362" s="229" t="str">
        <f>IF($B362="","",IF($G362&lt;&gt;"Concluído","Não iniciado",IF(COUNTIF(Lançamentos!$B$3:$B$1001,$B362)=0,"Bloqueado",IF('E4 — Execução'!$D344="","Bloqueado",IF(COUNTIF('E4 — Execução'!$E344:$K344,"⛔ Bloqueado")&gt;0,"Bloqueado",IF(COUNTIF('E4 — Execução'!$E344:$K344,"✔ Concluído")=7,"Concluído",IF(COUNTIF('E4 — Execução'!$E344:$K344,"✔ Concluído")+COUNTIF('E4 — Execução'!$E344:$K344,"🔄 Em andamento")&gt;0,"Em andamento","Não iniciado")))))))</f>
        <v/>
      </c>
      <c r="I362" s="229" t="str">
        <f>IF($B362="","",IF($H362&lt;&gt;"Concluído","Não iniciado",IF(COUNTIF(Lançamentos!$B$3:$B$1001,$B362)=0,"Bloqueado",IF('E5 — Validação'!$D344="","Bloqueado",IF(COUNTIF('E5 — Validação'!$E344:$I344,"⛔ Bloqueado")&gt;0,"Bloqueado",IF('E5 — Validação'!$I344="N/A","Bloqueado",IF(AND('E5 — Validação'!$E344="✔ Concluído",'E5 — Validação'!$F344="✔ Concluído",OR('E5 — Validação'!$G344="✔ Concluído",'E5 — Validação'!$G344="N/A"),'E5 — Validação'!$H344="✔ Concluído",'E5 — Validação'!$I344="✔ Concluído"),"Concluído",IF(COUNTIF('E5 — Validação'!$E344:$I344,"✔ Concluído")+COUNTIF('E5 — Validação'!$E344:$I344,"🔄 Em andamento")&gt;0,"Em andamento","Não iniciado"))))))))</f>
        <v/>
      </c>
      <c r="J362" s="229" t="str">
        <f>IF($B362="","",IF($I362&lt;&gt;"Concluído","Não iniciado",IF('E6 — Ajustes'!$N344="Não","N/A",IF(COUNTIF(Lançamentos!$B$3:$B$1001,$B362)=0,"Bloqueado",IF('E6 — Ajustes'!$D344="","Bloqueado",IF(COUNTIF('E6 — Ajustes'!$E344:$J344,"⛔ Bloqueado")&gt;0,"Bloqueado",IF(AND('E6 — Ajustes'!$E344="✔ Concluído",'E6 — Ajustes'!$F344="✔ Concluído",'E6 — Ajustes'!$G344="✔ Concluído",'E6 — Ajustes'!$H344="✔ Concluído",OR('E6 — Ajustes'!$I344="✔ Concluído",'E6 — Ajustes'!$I344="N/A"),'E6 — Ajustes'!$J344="✔ Concluído"),"Concluído",IF(COUNTIF('E6 — Ajustes'!$E344:$J344,"✔ Concluído")+COUNTIF('E6 — Ajustes'!$E344:$J344,"🔄 Em andamento")&gt;0,"Em andamento","Não iniciado"))))))))</f>
        <v/>
      </c>
      <c r="K362" s="229" t="str">
        <f>IF($B362="","",IF($I362&lt;&gt;"Concluído","Não iniciado",IF(AND($J362&lt;&gt;"Concluído",$J362&lt;&gt;"N/A"),"Não iniciado",IF(COUNTIF(Lançamentos!$B$3:$B$1001,$B362)=0,"Bloqueado",IF('E7 — Entrega'!$D344="","Bloqueado",IF(COUNTIF('E7 — Entrega'!$E344:$H344,"⛔ Bloqueado")&gt;0,"Bloqueado",IF(COUNTIF('E7 — Entrega'!$E344:$H344,"✔ Concluído")=4,"Concluído",IF(COUNTIF('E7 — Entrega'!$E344:$H344,"✔ Concluído")+COUNTIF('E7 — Entrega'!$E344:$H344,"🔄 Em andamento")&gt;0,"Em andamento","Não iniciado"))))))))</f>
        <v/>
      </c>
      <c r="L362" s="229" t="str">
        <f>IF($B362="","",IF($K362&lt;&gt;"Concluído","Não iniciado",IF(OR(COUNTIF('E08 — Estabilização Hypercare'!$E344:$J344,"⛔ Bloqueado")&gt;0,'E08 — Estabilização Hypercare'!$N344="⛔ Incidente Crítico — Encerramento Bloqueado",AND('E08 — Estabilização Hypercare'!$N344="🆕 Evolução Identificada — Nova Demanda Aberta",'E08 — Estabilização Hypercare'!$U344="")),"Bloqueado",IF(AND('E08 — Estabilização Hypercare'!$E344="✔ Concluído",'E08 — Estabilização Hypercare'!$F344="✔ Concluído",'E08 — Estabilização Hypercare'!$G344="✔ Concluído",OR('E08 — Estabilização Hypercare'!$H344="✔ Concluído",'E08 — Estabilização Hypercare'!$H344="N/A"),'E08 — Estabilização Hypercare'!$I344="✔ Concluído",'E08 — Estabilização Hypercare'!$J344="✔ Concluído",OR('E08 — Estabilização Hypercare'!$N344="✅ Estável — Demanda Encerrada",AND('E08 — Estabilização Hypercare'!$N344="🆕 Evolução Identificada — Nova Demanda Aberta",'E08 — Estabilização Hypercare'!$U344&lt;&gt;""))),"Concluído",IF(OR(COUNTIF('E08 — Estabilização Hypercare'!$E344:$J344,"✔ Concluído")&gt;0,COUNTIF('E08 — Estabilização Hypercare'!$E344:$J344,"🔄 Em andamento")&gt;0,'E08 — Estabilização Hypercare'!$N344&lt;&gt;""),"Em andamento","Não iniciado")))))</f>
        <v/>
      </c>
      <c r="M362" s="232" t="str" cm="1">
        <f t="array" ref="M362">IF(B362="","",_xlfn.IFS(E362&lt;&gt;"Concluído","E1 — Solicitação",F362&lt;&gt;"Concluído","E2 — Triagem",G362&lt;&gt;"Concluído","E3 — Levantamento ⚠",H362&lt;&gt;"Concluído","E4 — Execução",I362&lt;&gt;"Concluído","E5 — Validação ⚠",AND(J362&lt;&gt;"Concluído",J362&lt;&gt;"N/A"),"E6 — Ajustes",K362&lt;&gt;"Concluído","E7 — Entrega",L362&lt;&gt;"Concluído","E08 — Estabilização / Hypercare",TRUE,"✔ Fluxo concluído"))</f>
        <v/>
      </c>
      <c r="N362" s="233" t="str">
        <f t="shared" si="6"/>
        <v/>
      </c>
      <c r="O362" s="230"/>
    </row>
    <row r="363" spans="2:15" x14ac:dyDescent="0.35">
      <c r="B363" s="229" t="str">
        <f>IF(Lançamentos!$B340="","",Lançamentos!$B340)</f>
        <v/>
      </c>
      <c r="C363" s="231" t="str">
        <f>IF($B363="","",Lançamentos!$J340)</f>
        <v/>
      </c>
      <c r="D363" s="231" t="str">
        <f>IF($B363="","",Lançamentos!$H340)</f>
        <v/>
      </c>
      <c r="E363" s="229" t="str">
        <f>IF($B363="","",IF(COUNTIF(Lançamentos!$B$3:$B$1001,$B363)=0,"Bloqueado",IF(COUNTIF('E1 — Solicitação'!$E345:$L345,"⛔ Bloqueado")&gt;0,"Bloqueado",IF(COUNTIF('E1 — Solicitação'!$E345:$L345,"N/A")=8,"Bloqueado",IF(COUNTIF('E1 — Solicitação'!$E345:$L345,"✔ Concluído")+COUNTIF('E1 — Solicitação'!$E345:$L345,"N/A")=8,"Concluído",IF(COUNTIF('E1 — Solicitação'!$E345:$L345,"✔ Concluído")+COUNTIF('E1 — Solicitação'!$E345:$L345,"🔄 Em andamento")&gt;0,"Em andamento","Não iniciado"))))))</f>
        <v/>
      </c>
      <c r="F363" s="229" t="str">
        <f>IF($B363="","",IF($E363&lt;&gt;"Concluído","Não iniciado",IF(COUNTIF(Lançamentos!$B$3:$B$1001,$B363)=0,"Bloqueado",IF('E2 — Triagem'!$D345="","Bloqueado",IF(COUNTIF('E2 — Triagem'!$E345:$L345,"N/A")=8,"Bloqueado",IF(COUNTIF('E2 — Triagem'!$E345:$L345,"⛔ Bloqueado")&gt;0,"Bloqueado",IF(COUNTIF('E2 — Triagem'!$E345:$L345,"✔ Concluído")+COUNTIF('E2 — Triagem'!$E345:$L345,"N/A")=8,"Concluído",IF(COUNTIF('E2 — Triagem'!$E345:$L345,"✔ Concluído")+COUNTIF('E2 — Triagem'!$E345:$L345,"🔄 Em andamento")&gt;0,"Em andamento","Não iniciado"))))))))</f>
        <v/>
      </c>
      <c r="G363" s="229" t="str">
        <f>IF($B363="","",IF($F363&lt;&gt;"Concluído","Não iniciado",IF(COUNTIF(Lançamentos!$B$3:$B$1001,$B363)=0,"Bloqueado",IF('E3 — Levantamento'!$D345="","Bloqueado",IF(COUNTIF('E3 — Levantamento'!$E345:$I345,"⛔ Bloqueado")&gt;0,"Bloqueado",IF('E3 — Levantamento'!$I345="N/A","Bloqueado",IF(COUNTIF('E3 — Levantamento'!$E345:$I345,"✔ Concluído")=5,"Concluído",IF(COUNTIF('E3 — Levantamento'!$E345:$I345,"✔ Concluído")+COUNTIF('E3 — Levantamento'!$E345:$I345,"🔄 Em andamento")&gt;0,"Em andamento","Não iniciado"))))))))</f>
        <v/>
      </c>
      <c r="H363" s="229" t="str">
        <f>IF($B363="","",IF($G363&lt;&gt;"Concluído","Não iniciado",IF(COUNTIF(Lançamentos!$B$3:$B$1001,$B363)=0,"Bloqueado",IF('E4 — Execução'!$D345="","Bloqueado",IF(COUNTIF('E4 — Execução'!$E345:$K345,"⛔ Bloqueado")&gt;0,"Bloqueado",IF(COUNTIF('E4 — Execução'!$E345:$K345,"✔ Concluído")=7,"Concluído",IF(COUNTIF('E4 — Execução'!$E345:$K345,"✔ Concluído")+COUNTIF('E4 — Execução'!$E345:$K345,"🔄 Em andamento")&gt;0,"Em andamento","Não iniciado")))))))</f>
        <v/>
      </c>
      <c r="I363" s="229" t="str">
        <f>IF($B363="","",IF($H363&lt;&gt;"Concluído","Não iniciado",IF(COUNTIF(Lançamentos!$B$3:$B$1001,$B363)=0,"Bloqueado",IF('E5 — Validação'!$D345="","Bloqueado",IF(COUNTIF('E5 — Validação'!$E345:$I345,"⛔ Bloqueado")&gt;0,"Bloqueado",IF('E5 — Validação'!$I345="N/A","Bloqueado",IF(AND('E5 — Validação'!$E345="✔ Concluído",'E5 — Validação'!$F345="✔ Concluído",OR('E5 — Validação'!$G345="✔ Concluído",'E5 — Validação'!$G345="N/A"),'E5 — Validação'!$H345="✔ Concluído",'E5 — Validação'!$I345="✔ Concluído"),"Concluído",IF(COUNTIF('E5 — Validação'!$E345:$I345,"✔ Concluído")+COUNTIF('E5 — Validação'!$E345:$I345,"🔄 Em andamento")&gt;0,"Em andamento","Não iniciado"))))))))</f>
        <v/>
      </c>
      <c r="J363" s="229" t="str">
        <f>IF($B363="","",IF($I363&lt;&gt;"Concluído","Não iniciado",IF('E6 — Ajustes'!$N345="Não","N/A",IF(COUNTIF(Lançamentos!$B$3:$B$1001,$B363)=0,"Bloqueado",IF('E6 — Ajustes'!$D345="","Bloqueado",IF(COUNTIF('E6 — Ajustes'!$E345:$J345,"⛔ Bloqueado")&gt;0,"Bloqueado",IF(AND('E6 — Ajustes'!$E345="✔ Concluído",'E6 — Ajustes'!$F345="✔ Concluído",'E6 — Ajustes'!$G345="✔ Concluído",'E6 — Ajustes'!$H345="✔ Concluído",OR('E6 — Ajustes'!$I345="✔ Concluído",'E6 — Ajustes'!$I345="N/A"),'E6 — Ajustes'!$J345="✔ Concluído"),"Concluído",IF(COUNTIF('E6 — Ajustes'!$E345:$J345,"✔ Concluído")+COUNTIF('E6 — Ajustes'!$E345:$J345,"🔄 Em andamento")&gt;0,"Em andamento","Não iniciado"))))))))</f>
        <v/>
      </c>
      <c r="K363" s="229" t="str">
        <f>IF($B363="","",IF($I363&lt;&gt;"Concluído","Não iniciado",IF(AND($J363&lt;&gt;"Concluído",$J363&lt;&gt;"N/A"),"Não iniciado",IF(COUNTIF(Lançamentos!$B$3:$B$1001,$B363)=0,"Bloqueado",IF('E7 — Entrega'!$D345="","Bloqueado",IF(COUNTIF('E7 — Entrega'!$E345:$H345,"⛔ Bloqueado")&gt;0,"Bloqueado",IF(COUNTIF('E7 — Entrega'!$E345:$H345,"✔ Concluído")=4,"Concluído",IF(COUNTIF('E7 — Entrega'!$E345:$H345,"✔ Concluído")+COUNTIF('E7 — Entrega'!$E345:$H345,"🔄 Em andamento")&gt;0,"Em andamento","Não iniciado"))))))))</f>
        <v/>
      </c>
      <c r="L363" s="229" t="str">
        <f>IF($B363="","",IF($K363&lt;&gt;"Concluído","Não iniciado",IF(OR(COUNTIF('E08 — Estabilização Hypercare'!$E345:$J345,"⛔ Bloqueado")&gt;0,'E08 — Estabilização Hypercare'!$N345="⛔ Incidente Crítico — Encerramento Bloqueado",AND('E08 — Estabilização Hypercare'!$N345="🆕 Evolução Identificada — Nova Demanda Aberta",'E08 — Estabilização Hypercare'!$U345="")),"Bloqueado",IF(AND('E08 — Estabilização Hypercare'!$E345="✔ Concluído",'E08 — Estabilização Hypercare'!$F345="✔ Concluído",'E08 — Estabilização Hypercare'!$G345="✔ Concluído",OR('E08 — Estabilização Hypercare'!$H345="✔ Concluído",'E08 — Estabilização Hypercare'!$H345="N/A"),'E08 — Estabilização Hypercare'!$I345="✔ Concluído",'E08 — Estabilização Hypercare'!$J345="✔ Concluído",OR('E08 — Estabilização Hypercare'!$N345="✅ Estável — Demanda Encerrada",AND('E08 — Estabilização Hypercare'!$N345="🆕 Evolução Identificada — Nova Demanda Aberta",'E08 — Estabilização Hypercare'!$U345&lt;&gt;""))),"Concluído",IF(OR(COUNTIF('E08 — Estabilização Hypercare'!$E345:$J345,"✔ Concluído")&gt;0,COUNTIF('E08 — Estabilização Hypercare'!$E345:$J345,"🔄 Em andamento")&gt;0,'E08 — Estabilização Hypercare'!$N345&lt;&gt;""),"Em andamento","Não iniciado")))))</f>
        <v/>
      </c>
      <c r="M363" s="232" t="str" cm="1">
        <f t="array" ref="M363">IF(B363="","",_xlfn.IFS(E363&lt;&gt;"Concluído","E1 — Solicitação",F363&lt;&gt;"Concluído","E2 — Triagem",G363&lt;&gt;"Concluído","E3 — Levantamento ⚠",H363&lt;&gt;"Concluído","E4 — Execução",I363&lt;&gt;"Concluído","E5 — Validação ⚠",AND(J363&lt;&gt;"Concluído",J363&lt;&gt;"N/A"),"E6 — Ajustes",K363&lt;&gt;"Concluído","E7 — Entrega",L363&lt;&gt;"Concluído","E08 — Estabilização / Hypercare",TRUE,"✔ Fluxo concluído"))</f>
        <v/>
      </c>
      <c r="N363" s="233" t="str">
        <f t="shared" si="6"/>
        <v/>
      </c>
      <c r="O363" s="230"/>
    </row>
    <row r="364" spans="2:15" x14ac:dyDescent="0.35">
      <c r="B364" s="229" t="str">
        <f>IF(Lançamentos!$B341="","",Lançamentos!$B341)</f>
        <v/>
      </c>
      <c r="C364" s="231" t="str">
        <f>IF($B364="","",Lançamentos!$J341)</f>
        <v/>
      </c>
      <c r="D364" s="231" t="str">
        <f>IF($B364="","",Lançamentos!$H341)</f>
        <v/>
      </c>
      <c r="E364" s="229" t="str">
        <f>IF($B364="","",IF(COUNTIF(Lançamentos!$B$3:$B$1001,$B364)=0,"Bloqueado",IF(COUNTIF('E1 — Solicitação'!$E346:$L346,"⛔ Bloqueado")&gt;0,"Bloqueado",IF(COUNTIF('E1 — Solicitação'!$E346:$L346,"N/A")=8,"Bloqueado",IF(COUNTIF('E1 — Solicitação'!$E346:$L346,"✔ Concluído")+COUNTIF('E1 — Solicitação'!$E346:$L346,"N/A")=8,"Concluído",IF(COUNTIF('E1 — Solicitação'!$E346:$L346,"✔ Concluído")+COUNTIF('E1 — Solicitação'!$E346:$L346,"🔄 Em andamento")&gt;0,"Em andamento","Não iniciado"))))))</f>
        <v/>
      </c>
      <c r="F364" s="229" t="str">
        <f>IF($B364="","",IF($E364&lt;&gt;"Concluído","Não iniciado",IF(COUNTIF(Lançamentos!$B$3:$B$1001,$B364)=0,"Bloqueado",IF('E2 — Triagem'!$D346="","Bloqueado",IF(COUNTIF('E2 — Triagem'!$E346:$L346,"N/A")=8,"Bloqueado",IF(COUNTIF('E2 — Triagem'!$E346:$L346,"⛔ Bloqueado")&gt;0,"Bloqueado",IF(COUNTIF('E2 — Triagem'!$E346:$L346,"✔ Concluído")+COUNTIF('E2 — Triagem'!$E346:$L346,"N/A")=8,"Concluído",IF(COUNTIF('E2 — Triagem'!$E346:$L346,"✔ Concluído")+COUNTIF('E2 — Triagem'!$E346:$L346,"🔄 Em andamento")&gt;0,"Em andamento","Não iniciado"))))))))</f>
        <v/>
      </c>
      <c r="G364" s="229" t="str">
        <f>IF($B364="","",IF($F364&lt;&gt;"Concluído","Não iniciado",IF(COUNTIF(Lançamentos!$B$3:$B$1001,$B364)=0,"Bloqueado",IF('E3 — Levantamento'!$D346="","Bloqueado",IF(COUNTIF('E3 — Levantamento'!$E346:$I346,"⛔ Bloqueado")&gt;0,"Bloqueado",IF('E3 — Levantamento'!$I346="N/A","Bloqueado",IF(COUNTIF('E3 — Levantamento'!$E346:$I346,"✔ Concluído")=5,"Concluído",IF(COUNTIF('E3 — Levantamento'!$E346:$I346,"✔ Concluído")+COUNTIF('E3 — Levantamento'!$E346:$I346,"🔄 Em andamento")&gt;0,"Em andamento","Não iniciado"))))))))</f>
        <v/>
      </c>
      <c r="H364" s="229" t="str">
        <f>IF($B364="","",IF($G364&lt;&gt;"Concluído","Não iniciado",IF(COUNTIF(Lançamentos!$B$3:$B$1001,$B364)=0,"Bloqueado",IF('E4 — Execução'!$D346="","Bloqueado",IF(COUNTIF('E4 — Execução'!$E346:$K346,"⛔ Bloqueado")&gt;0,"Bloqueado",IF(COUNTIF('E4 — Execução'!$E346:$K346,"✔ Concluído")=7,"Concluído",IF(COUNTIF('E4 — Execução'!$E346:$K346,"✔ Concluído")+COUNTIF('E4 — Execução'!$E346:$K346,"🔄 Em andamento")&gt;0,"Em andamento","Não iniciado")))))))</f>
        <v/>
      </c>
      <c r="I364" s="229" t="str">
        <f>IF($B364="","",IF($H364&lt;&gt;"Concluído","Não iniciado",IF(COUNTIF(Lançamentos!$B$3:$B$1001,$B364)=0,"Bloqueado",IF('E5 — Validação'!$D346="","Bloqueado",IF(COUNTIF('E5 — Validação'!$E346:$I346,"⛔ Bloqueado")&gt;0,"Bloqueado",IF('E5 — Validação'!$I346="N/A","Bloqueado",IF(AND('E5 — Validação'!$E346="✔ Concluído",'E5 — Validação'!$F346="✔ Concluído",OR('E5 — Validação'!$G346="✔ Concluído",'E5 — Validação'!$G346="N/A"),'E5 — Validação'!$H346="✔ Concluído",'E5 — Validação'!$I346="✔ Concluído"),"Concluído",IF(COUNTIF('E5 — Validação'!$E346:$I346,"✔ Concluído")+COUNTIF('E5 — Validação'!$E346:$I346,"🔄 Em andamento")&gt;0,"Em andamento","Não iniciado"))))))))</f>
        <v/>
      </c>
      <c r="J364" s="229" t="str">
        <f>IF($B364="","",IF($I364&lt;&gt;"Concluído","Não iniciado",IF('E6 — Ajustes'!$N346="Não","N/A",IF(COUNTIF(Lançamentos!$B$3:$B$1001,$B364)=0,"Bloqueado",IF('E6 — Ajustes'!$D346="","Bloqueado",IF(COUNTIF('E6 — Ajustes'!$E346:$J346,"⛔ Bloqueado")&gt;0,"Bloqueado",IF(AND('E6 — Ajustes'!$E346="✔ Concluído",'E6 — Ajustes'!$F346="✔ Concluído",'E6 — Ajustes'!$G346="✔ Concluído",'E6 — Ajustes'!$H346="✔ Concluído",OR('E6 — Ajustes'!$I346="✔ Concluído",'E6 — Ajustes'!$I346="N/A"),'E6 — Ajustes'!$J346="✔ Concluído"),"Concluído",IF(COUNTIF('E6 — Ajustes'!$E346:$J346,"✔ Concluído")+COUNTIF('E6 — Ajustes'!$E346:$J346,"🔄 Em andamento")&gt;0,"Em andamento","Não iniciado"))))))))</f>
        <v/>
      </c>
      <c r="K364" s="229" t="str">
        <f>IF($B364="","",IF($I364&lt;&gt;"Concluído","Não iniciado",IF(AND($J364&lt;&gt;"Concluído",$J364&lt;&gt;"N/A"),"Não iniciado",IF(COUNTIF(Lançamentos!$B$3:$B$1001,$B364)=0,"Bloqueado",IF('E7 — Entrega'!$D346="","Bloqueado",IF(COUNTIF('E7 — Entrega'!$E346:$H346,"⛔ Bloqueado")&gt;0,"Bloqueado",IF(COUNTIF('E7 — Entrega'!$E346:$H346,"✔ Concluído")=4,"Concluído",IF(COUNTIF('E7 — Entrega'!$E346:$H346,"✔ Concluído")+COUNTIF('E7 — Entrega'!$E346:$H346,"🔄 Em andamento")&gt;0,"Em andamento","Não iniciado"))))))))</f>
        <v/>
      </c>
      <c r="L364" s="229" t="str">
        <f>IF($B364="","",IF($K364&lt;&gt;"Concluído","Não iniciado",IF(OR(COUNTIF('E08 — Estabilização Hypercare'!$E346:$J346,"⛔ Bloqueado")&gt;0,'E08 — Estabilização Hypercare'!$N346="⛔ Incidente Crítico — Encerramento Bloqueado",AND('E08 — Estabilização Hypercare'!$N346="🆕 Evolução Identificada — Nova Demanda Aberta",'E08 — Estabilização Hypercare'!$U346="")),"Bloqueado",IF(AND('E08 — Estabilização Hypercare'!$E346="✔ Concluído",'E08 — Estabilização Hypercare'!$F346="✔ Concluído",'E08 — Estabilização Hypercare'!$G346="✔ Concluído",OR('E08 — Estabilização Hypercare'!$H346="✔ Concluído",'E08 — Estabilização Hypercare'!$H346="N/A"),'E08 — Estabilização Hypercare'!$I346="✔ Concluído",'E08 — Estabilização Hypercare'!$J346="✔ Concluído",OR('E08 — Estabilização Hypercare'!$N346="✅ Estável — Demanda Encerrada",AND('E08 — Estabilização Hypercare'!$N346="🆕 Evolução Identificada — Nova Demanda Aberta",'E08 — Estabilização Hypercare'!$U346&lt;&gt;""))),"Concluído",IF(OR(COUNTIF('E08 — Estabilização Hypercare'!$E346:$J346,"✔ Concluído")&gt;0,COUNTIF('E08 — Estabilização Hypercare'!$E346:$J346,"🔄 Em andamento")&gt;0,'E08 — Estabilização Hypercare'!$N346&lt;&gt;""),"Em andamento","Não iniciado")))))</f>
        <v/>
      </c>
      <c r="M364" s="232" t="str" cm="1">
        <f t="array" ref="M364">IF(B364="","",_xlfn.IFS(E364&lt;&gt;"Concluído","E1 — Solicitação",F364&lt;&gt;"Concluído","E2 — Triagem",G364&lt;&gt;"Concluído","E3 — Levantamento ⚠",H364&lt;&gt;"Concluído","E4 — Execução",I364&lt;&gt;"Concluído","E5 — Validação ⚠",AND(J364&lt;&gt;"Concluído",J364&lt;&gt;"N/A"),"E6 — Ajustes",K364&lt;&gt;"Concluído","E7 — Entrega",L364&lt;&gt;"Concluído","E08 — Estabilização / Hypercare",TRUE,"✔ Fluxo concluído"))</f>
        <v/>
      </c>
      <c r="N364" s="233" t="str">
        <f t="shared" si="6"/>
        <v/>
      </c>
      <c r="O364" s="230"/>
    </row>
    <row r="365" spans="2:15" x14ac:dyDescent="0.35">
      <c r="B365" s="229" t="str">
        <f>IF(Lançamentos!$B342="","",Lançamentos!$B342)</f>
        <v/>
      </c>
      <c r="C365" s="231" t="str">
        <f>IF($B365="","",Lançamentos!$J342)</f>
        <v/>
      </c>
      <c r="D365" s="231" t="str">
        <f>IF($B365="","",Lançamentos!$H342)</f>
        <v/>
      </c>
      <c r="E365" s="229" t="str">
        <f>IF($B365="","",IF(COUNTIF(Lançamentos!$B$3:$B$1001,$B365)=0,"Bloqueado",IF(COUNTIF('E1 — Solicitação'!$E347:$L347,"⛔ Bloqueado")&gt;0,"Bloqueado",IF(COUNTIF('E1 — Solicitação'!$E347:$L347,"N/A")=8,"Bloqueado",IF(COUNTIF('E1 — Solicitação'!$E347:$L347,"✔ Concluído")+COUNTIF('E1 — Solicitação'!$E347:$L347,"N/A")=8,"Concluído",IF(COUNTIF('E1 — Solicitação'!$E347:$L347,"✔ Concluído")+COUNTIF('E1 — Solicitação'!$E347:$L347,"🔄 Em andamento")&gt;0,"Em andamento","Não iniciado"))))))</f>
        <v/>
      </c>
      <c r="F365" s="229" t="str">
        <f>IF($B365="","",IF($E365&lt;&gt;"Concluído","Não iniciado",IF(COUNTIF(Lançamentos!$B$3:$B$1001,$B365)=0,"Bloqueado",IF('E2 — Triagem'!$D347="","Bloqueado",IF(COUNTIF('E2 — Triagem'!$E347:$L347,"N/A")=8,"Bloqueado",IF(COUNTIF('E2 — Triagem'!$E347:$L347,"⛔ Bloqueado")&gt;0,"Bloqueado",IF(COUNTIF('E2 — Triagem'!$E347:$L347,"✔ Concluído")+COUNTIF('E2 — Triagem'!$E347:$L347,"N/A")=8,"Concluído",IF(COUNTIF('E2 — Triagem'!$E347:$L347,"✔ Concluído")+COUNTIF('E2 — Triagem'!$E347:$L347,"🔄 Em andamento")&gt;0,"Em andamento","Não iniciado"))))))))</f>
        <v/>
      </c>
      <c r="G365" s="229" t="str">
        <f>IF($B365="","",IF($F365&lt;&gt;"Concluído","Não iniciado",IF(COUNTIF(Lançamentos!$B$3:$B$1001,$B365)=0,"Bloqueado",IF('E3 — Levantamento'!$D347="","Bloqueado",IF(COUNTIF('E3 — Levantamento'!$E347:$I347,"⛔ Bloqueado")&gt;0,"Bloqueado",IF('E3 — Levantamento'!$I347="N/A","Bloqueado",IF(COUNTIF('E3 — Levantamento'!$E347:$I347,"✔ Concluído")=5,"Concluído",IF(COUNTIF('E3 — Levantamento'!$E347:$I347,"✔ Concluído")+COUNTIF('E3 — Levantamento'!$E347:$I347,"🔄 Em andamento")&gt;0,"Em andamento","Não iniciado"))))))))</f>
        <v/>
      </c>
      <c r="H365" s="229" t="str">
        <f>IF($B365="","",IF($G365&lt;&gt;"Concluído","Não iniciado",IF(COUNTIF(Lançamentos!$B$3:$B$1001,$B365)=0,"Bloqueado",IF('E4 — Execução'!$D347="","Bloqueado",IF(COUNTIF('E4 — Execução'!$E347:$K347,"⛔ Bloqueado")&gt;0,"Bloqueado",IF(COUNTIF('E4 — Execução'!$E347:$K347,"✔ Concluído")=7,"Concluído",IF(COUNTIF('E4 — Execução'!$E347:$K347,"✔ Concluído")+COUNTIF('E4 — Execução'!$E347:$K347,"🔄 Em andamento")&gt;0,"Em andamento","Não iniciado")))))))</f>
        <v/>
      </c>
      <c r="I365" s="229" t="str">
        <f>IF($B365="","",IF($H365&lt;&gt;"Concluído","Não iniciado",IF(COUNTIF(Lançamentos!$B$3:$B$1001,$B365)=0,"Bloqueado",IF('E5 — Validação'!$D347="","Bloqueado",IF(COUNTIF('E5 — Validação'!$E347:$I347,"⛔ Bloqueado")&gt;0,"Bloqueado",IF('E5 — Validação'!$I347="N/A","Bloqueado",IF(AND('E5 — Validação'!$E347="✔ Concluído",'E5 — Validação'!$F347="✔ Concluído",OR('E5 — Validação'!$G347="✔ Concluído",'E5 — Validação'!$G347="N/A"),'E5 — Validação'!$H347="✔ Concluído",'E5 — Validação'!$I347="✔ Concluído"),"Concluído",IF(COUNTIF('E5 — Validação'!$E347:$I347,"✔ Concluído")+COUNTIF('E5 — Validação'!$E347:$I347,"🔄 Em andamento")&gt;0,"Em andamento","Não iniciado"))))))))</f>
        <v/>
      </c>
      <c r="J365" s="229" t="str">
        <f>IF($B365="","",IF($I365&lt;&gt;"Concluído","Não iniciado",IF('E6 — Ajustes'!$N347="Não","N/A",IF(COUNTIF(Lançamentos!$B$3:$B$1001,$B365)=0,"Bloqueado",IF('E6 — Ajustes'!$D347="","Bloqueado",IF(COUNTIF('E6 — Ajustes'!$E347:$J347,"⛔ Bloqueado")&gt;0,"Bloqueado",IF(AND('E6 — Ajustes'!$E347="✔ Concluído",'E6 — Ajustes'!$F347="✔ Concluído",'E6 — Ajustes'!$G347="✔ Concluído",'E6 — Ajustes'!$H347="✔ Concluído",OR('E6 — Ajustes'!$I347="✔ Concluído",'E6 — Ajustes'!$I347="N/A"),'E6 — Ajustes'!$J347="✔ Concluído"),"Concluído",IF(COUNTIF('E6 — Ajustes'!$E347:$J347,"✔ Concluído")+COUNTIF('E6 — Ajustes'!$E347:$J347,"🔄 Em andamento")&gt;0,"Em andamento","Não iniciado"))))))))</f>
        <v/>
      </c>
      <c r="K365" s="229" t="str">
        <f>IF($B365="","",IF($I365&lt;&gt;"Concluído","Não iniciado",IF(AND($J365&lt;&gt;"Concluído",$J365&lt;&gt;"N/A"),"Não iniciado",IF(COUNTIF(Lançamentos!$B$3:$B$1001,$B365)=0,"Bloqueado",IF('E7 — Entrega'!$D347="","Bloqueado",IF(COUNTIF('E7 — Entrega'!$E347:$H347,"⛔ Bloqueado")&gt;0,"Bloqueado",IF(COUNTIF('E7 — Entrega'!$E347:$H347,"✔ Concluído")=4,"Concluído",IF(COUNTIF('E7 — Entrega'!$E347:$H347,"✔ Concluído")+COUNTIF('E7 — Entrega'!$E347:$H347,"🔄 Em andamento")&gt;0,"Em andamento","Não iniciado"))))))))</f>
        <v/>
      </c>
      <c r="L365" s="229" t="str">
        <f>IF($B365="","",IF($K365&lt;&gt;"Concluído","Não iniciado",IF(OR(COUNTIF('E08 — Estabilização Hypercare'!$E347:$J347,"⛔ Bloqueado")&gt;0,'E08 — Estabilização Hypercare'!$N347="⛔ Incidente Crítico — Encerramento Bloqueado",AND('E08 — Estabilização Hypercare'!$N347="🆕 Evolução Identificada — Nova Demanda Aberta",'E08 — Estabilização Hypercare'!$U347="")),"Bloqueado",IF(AND('E08 — Estabilização Hypercare'!$E347="✔ Concluído",'E08 — Estabilização Hypercare'!$F347="✔ Concluído",'E08 — Estabilização Hypercare'!$G347="✔ Concluído",OR('E08 — Estabilização Hypercare'!$H347="✔ Concluído",'E08 — Estabilização Hypercare'!$H347="N/A"),'E08 — Estabilização Hypercare'!$I347="✔ Concluído",'E08 — Estabilização Hypercare'!$J347="✔ Concluído",OR('E08 — Estabilização Hypercare'!$N347="✅ Estável — Demanda Encerrada",AND('E08 — Estabilização Hypercare'!$N347="🆕 Evolução Identificada — Nova Demanda Aberta",'E08 — Estabilização Hypercare'!$U347&lt;&gt;""))),"Concluído",IF(OR(COUNTIF('E08 — Estabilização Hypercare'!$E347:$J347,"✔ Concluído")&gt;0,COUNTIF('E08 — Estabilização Hypercare'!$E347:$J347,"🔄 Em andamento")&gt;0,'E08 — Estabilização Hypercare'!$N347&lt;&gt;""),"Em andamento","Não iniciado")))))</f>
        <v/>
      </c>
      <c r="M365" s="232" t="str" cm="1">
        <f t="array" ref="M365">IF(B365="","",_xlfn.IFS(E365&lt;&gt;"Concluído","E1 — Solicitação",F365&lt;&gt;"Concluído","E2 — Triagem",G365&lt;&gt;"Concluído","E3 — Levantamento ⚠",H365&lt;&gt;"Concluído","E4 — Execução",I365&lt;&gt;"Concluído","E5 — Validação ⚠",AND(J365&lt;&gt;"Concluído",J365&lt;&gt;"N/A"),"E6 — Ajustes",K365&lt;&gt;"Concluído","E7 — Entrega",L365&lt;&gt;"Concluído","E08 — Estabilização / Hypercare",TRUE,"✔ Fluxo concluído"))</f>
        <v/>
      </c>
      <c r="N365" s="233" t="str">
        <f t="shared" si="6"/>
        <v/>
      </c>
      <c r="O365" s="230"/>
    </row>
    <row r="366" spans="2:15" x14ac:dyDescent="0.35">
      <c r="B366" s="229" t="str">
        <f>IF(Lançamentos!$B343="","",Lançamentos!$B343)</f>
        <v/>
      </c>
      <c r="C366" s="231" t="str">
        <f>IF($B366="","",Lançamentos!$J343)</f>
        <v/>
      </c>
      <c r="D366" s="231" t="str">
        <f>IF($B366="","",Lançamentos!$H343)</f>
        <v/>
      </c>
      <c r="E366" s="229" t="str">
        <f>IF($B366="","",IF(COUNTIF(Lançamentos!$B$3:$B$1001,$B366)=0,"Bloqueado",IF(COUNTIF('E1 — Solicitação'!$E348:$L348,"⛔ Bloqueado")&gt;0,"Bloqueado",IF(COUNTIF('E1 — Solicitação'!$E348:$L348,"N/A")=8,"Bloqueado",IF(COUNTIF('E1 — Solicitação'!$E348:$L348,"✔ Concluído")+COUNTIF('E1 — Solicitação'!$E348:$L348,"N/A")=8,"Concluído",IF(COUNTIF('E1 — Solicitação'!$E348:$L348,"✔ Concluído")+COUNTIF('E1 — Solicitação'!$E348:$L348,"🔄 Em andamento")&gt;0,"Em andamento","Não iniciado"))))))</f>
        <v/>
      </c>
      <c r="F366" s="229" t="str">
        <f>IF($B366="","",IF($E366&lt;&gt;"Concluído","Não iniciado",IF(COUNTIF(Lançamentos!$B$3:$B$1001,$B366)=0,"Bloqueado",IF('E2 — Triagem'!$D348="","Bloqueado",IF(COUNTIF('E2 — Triagem'!$E348:$L348,"N/A")=8,"Bloqueado",IF(COUNTIF('E2 — Triagem'!$E348:$L348,"⛔ Bloqueado")&gt;0,"Bloqueado",IF(COUNTIF('E2 — Triagem'!$E348:$L348,"✔ Concluído")+COUNTIF('E2 — Triagem'!$E348:$L348,"N/A")=8,"Concluído",IF(COUNTIF('E2 — Triagem'!$E348:$L348,"✔ Concluído")+COUNTIF('E2 — Triagem'!$E348:$L348,"🔄 Em andamento")&gt;0,"Em andamento","Não iniciado"))))))))</f>
        <v/>
      </c>
      <c r="G366" s="229" t="str">
        <f>IF($B366="","",IF($F366&lt;&gt;"Concluído","Não iniciado",IF(COUNTIF(Lançamentos!$B$3:$B$1001,$B366)=0,"Bloqueado",IF('E3 — Levantamento'!$D348="","Bloqueado",IF(COUNTIF('E3 — Levantamento'!$E348:$I348,"⛔ Bloqueado")&gt;0,"Bloqueado",IF('E3 — Levantamento'!$I348="N/A","Bloqueado",IF(COUNTIF('E3 — Levantamento'!$E348:$I348,"✔ Concluído")=5,"Concluído",IF(COUNTIF('E3 — Levantamento'!$E348:$I348,"✔ Concluído")+COUNTIF('E3 — Levantamento'!$E348:$I348,"🔄 Em andamento")&gt;0,"Em andamento","Não iniciado"))))))))</f>
        <v/>
      </c>
      <c r="H366" s="229" t="str">
        <f>IF($B366="","",IF($G366&lt;&gt;"Concluído","Não iniciado",IF(COUNTIF(Lançamentos!$B$3:$B$1001,$B366)=0,"Bloqueado",IF('E4 — Execução'!$D348="","Bloqueado",IF(COUNTIF('E4 — Execução'!$E348:$K348,"⛔ Bloqueado")&gt;0,"Bloqueado",IF(COUNTIF('E4 — Execução'!$E348:$K348,"✔ Concluído")=7,"Concluído",IF(COUNTIF('E4 — Execução'!$E348:$K348,"✔ Concluído")+COUNTIF('E4 — Execução'!$E348:$K348,"🔄 Em andamento")&gt;0,"Em andamento","Não iniciado")))))))</f>
        <v/>
      </c>
      <c r="I366" s="229" t="str">
        <f>IF($B366="","",IF($H366&lt;&gt;"Concluído","Não iniciado",IF(COUNTIF(Lançamentos!$B$3:$B$1001,$B366)=0,"Bloqueado",IF('E5 — Validação'!$D348="","Bloqueado",IF(COUNTIF('E5 — Validação'!$E348:$I348,"⛔ Bloqueado")&gt;0,"Bloqueado",IF('E5 — Validação'!$I348="N/A","Bloqueado",IF(AND('E5 — Validação'!$E348="✔ Concluído",'E5 — Validação'!$F348="✔ Concluído",OR('E5 — Validação'!$G348="✔ Concluído",'E5 — Validação'!$G348="N/A"),'E5 — Validação'!$H348="✔ Concluído",'E5 — Validação'!$I348="✔ Concluído"),"Concluído",IF(COUNTIF('E5 — Validação'!$E348:$I348,"✔ Concluído")+COUNTIF('E5 — Validação'!$E348:$I348,"🔄 Em andamento")&gt;0,"Em andamento","Não iniciado"))))))))</f>
        <v/>
      </c>
      <c r="J366" s="229" t="str">
        <f>IF($B366="","",IF($I366&lt;&gt;"Concluído","Não iniciado",IF('E6 — Ajustes'!$N348="Não","N/A",IF(COUNTIF(Lançamentos!$B$3:$B$1001,$B366)=0,"Bloqueado",IF('E6 — Ajustes'!$D348="","Bloqueado",IF(COUNTIF('E6 — Ajustes'!$E348:$J348,"⛔ Bloqueado")&gt;0,"Bloqueado",IF(AND('E6 — Ajustes'!$E348="✔ Concluído",'E6 — Ajustes'!$F348="✔ Concluído",'E6 — Ajustes'!$G348="✔ Concluído",'E6 — Ajustes'!$H348="✔ Concluído",OR('E6 — Ajustes'!$I348="✔ Concluído",'E6 — Ajustes'!$I348="N/A"),'E6 — Ajustes'!$J348="✔ Concluído"),"Concluído",IF(COUNTIF('E6 — Ajustes'!$E348:$J348,"✔ Concluído")+COUNTIF('E6 — Ajustes'!$E348:$J348,"🔄 Em andamento")&gt;0,"Em andamento","Não iniciado"))))))))</f>
        <v/>
      </c>
      <c r="K366" s="229" t="str">
        <f>IF($B366="","",IF($I366&lt;&gt;"Concluído","Não iniciado",IF(AND($J366&lt;&gt;"Concluído",$J366&lt;&gt;"N/A"),"Não iniciado",IF(COUNTIF(Lançamentos!$B$3:$B$1001,$B366)=0,"Bloqueado",IF('E7 — Entrega'!$D348="","Bloqueado",IF(COUNTIF('E7 — Entrega'!$E348:$H348,"⛔ Bloqueado")&gt;0,"Bloqueado",IF(COUNTIF('E7 — Entrega'!$E348:$H348,"✔ Concluído")=4,"Concluído",IF(COUNTIF('E7 — Entrega'!$E348:$H348,"✔ Concluído")+COUNTIF('E7 — Entrega'!$E348:$H348,"🔄 Em andamento")&gt;0,"Em andamento","Não iniciado"))))))))</f>
        <v/>
      </c>
      <c r="L366" s="229" t="str">
        <f>IF($B366="","",IF($K366&lt;&gt;"Concluído","Não iniciado",IF(OR(COUNTIF('E08 — Estabilização Hypercare'!$E348:$J348,"⛔ Bloqueado")&gt;0,'E08 — Estabilização Hypercare'!$N348="⛔ Incidente Crítico — Encerramento Bloqueado",AND('E08 — Estabilização Hypercare'!$N348="🆕 Evolução Identificada — Nova Demanda Aberta",'E08 — Estabilização Hypercare'!$U348="")),"Bloqueado",IF(AND('E08 — Estabilização Hypercare'!$E348="✔ Concluído",'E08 — Estabilização Hypercare'!$F348="✔ Concluído",'E08 — Estabilização Hypercare'!$G348="✔ Concluído",OR('E08 — Estabilização Hypercare'!$H348="✔ Concluído",'E08 — Estabilização Hypercare'!$H348="N/A"),'E08 — Estabilização Hypercare'!$I348="✔ Concluído",'E08 — Estabilização Hypercare'!$J348="✔ Concluído",OR('E08 — Estabilização Hypercare'!$N348="✅ Estável — Demanda Encerrada",AND('E08 — Estabilização Hypercare'!$N348="🆕 Evolução Identificada — Nova Demanda Aberta",'E08 — Estabilização Hypercare'!$U348&lt;&gt;""))),"Concluído",IF(OR(COUNTIF('E08 — Estabilização Hypercare'!$E348:$J348,"✔ Concluído")&gt;0,COUNTIF('E08 — Estabilização Hypercare'!$E348:$J348,"🔄 Em andamento")&gt;0,'E08 — Estabilização Hypercare'!$N348&lt;&gt;""),"Em andamento","Não iniciado")))))</f>
        <v/>
      </c>
      <c r="M366" s="232" t="str" cm="1">
        <f t="array" ref="M366">IF(B366="","",_xlfn.IFS(E366&lt;&gt;"Concluído","E1 — Solicitação",F366&lt;&gt;"Concluído","E2 — Triagem",G366&lt;&gt;"Concluído","E3 — Levantamento ⚠",H366&lt;&gt;"Concluído","E4 — Execução",I366&lt;&gt;"Concluído","E5 — Validação ⚠",AND(J366&lt;&gt;"Concluído",J366&lt;&gt;"N/A"),"E6 — Ajustes",K366&lt;&gt;"Concluído","E7 — Entrega",L366&lt;&gt;"Concluído","E08 — Estabilização / Hypercare",TRUE,"✔ Fluxo concluído"))</f>
        <v/>
      </c>
      <c r="N366" s="233" t="str">
        <f t="shared" si="6"/>
        <v/>
      </c>
      <c r="O366" s="230"/>
    </row>
    <row r="367" spans="2:15" x14ac:dyDescent="0.35">
      <c r="B367" s="229" t="str">
        <f>IF(Lançamentos!$B344="","",Lançamentos!$B344)</f>
        <v/>
      </c>
      <c r="C367" s="231" t="str">
        <f>IF($B367="","",Lançamentos!$J344)</f>
        <v/>
      </c>
      <c r="D367" s="231" t="str">
        <f>IF($B367="","",Lançamentos!$H344)</f>
        <v/>
      </c>
      <c r="E367" s="229" t="str">
        <f>IF($B367="","",IF(COUNTIF(Lançamentos!$B$3:$B$1001,$B367)=0,"Bloqueado",IF(COUNTIF('E1 — Solicitação'!$E349:$L349,"⛔ Bloqueado")&gt;0,"Bloqueado",IF(COUNTIF('E1 — Solicitação'!$E349:$L349,"N/A")=8,"Bloqueado",IF(COUNTIF('E1 — Solicitação'!$E349:$L349,"✔ Concluído")+COUNTIF('E1 — Solicitação'!$E349:$L349,"N/A")=8,"Concluído",IF(COUNTIF('E1 — Solicitação'!$E349:$L349,"✔ Concluído")+COUNTIF('E1 — Solicitação'!$E349:$L349,"🔄 Em andamento")&gt;0,"Em andamento","Não iniciado"))))))</f>
        <v/>
      </c>
      <c r="F367" s="229" t="str">
        <f>IF($B367="","",IF($E367&lt;&gt;"Concluído","Não iniciado",IF(COUNTIF(Lançamentos!$B$3:$B$1001,$B367)=0,"Bloqueado",IF('E2 — Triagem'!$D349="","Bloqueado",IF(COUNTIF('E2 — Triagem'!$E349:$L349,"N/A")=8,"Bloqueado",IF(COUNTIF('E2 — Triagem'!$E349:$L349,"⛔ Bloqueado")&gt;0,"Bloqueado",IF(COUNTIF('E2 — Triagem'!$E349:$L349,"✔ Concluído")+COUNTIF('E2 — Triagem'!$E349:$L349,"N/A")=8,"Concluído",IF(COUNTIF('E2 — Triagem'!$E349:$L349,"✔ Concluído")+COUNTIF('E2 — Triagem'!$E349:$L349,"🔄 Em andamento")&gt;0,"Em andamento","Não iniciado"))))))))</f>
        <v/>
      </c>
      <c r="G367" s="229" t="str">
        <f>IF($B367="","",IF($F367&lt;&gt;"Concluído","Não iniciado",IF(COUNTIF(Lançamentos!$B$3:$B$1001,$B367)=0,"Bloqueado",IF('E3 — Levantamento'!$D349="","Bloqueado",IF(COUNTIF('E3 — Levantamento'!$E349:$I349,"⛔ Bloqueado")&gt;0,"Bloqueado",IF('E3 — Levantamento'!$I349="N/A","Bloqueado",IF(COUNTIF('E3 — Levantamento'!$E349:$I349,"✔ Concluído")=5,"Concluído",IF(COUNTIF('E3 — Levantamento'!$E349:$I349,"✔ Concluído")+COUNTIF('E3 — Levantamento'!$E349:$I349,"🔄 Em andamento")&gt;0,"Em andamento","Não iniciado"))))))))</f>
        <v/>
      </c>
      <c r="H367" s="229" t="str">
        <f>IF($B367="","",IF($G367&lt;&gt;"Concluído","Não iniciado",IF(COUNTIF(Lançamentos!$B$3:$B$1001,$B367)=0,"Bloqueado",IF('E4 — Execução'!$D349="","Bloqueado",IF(COUNTIF('E4 — Execução'!$E349:$K349,"⛔ Bloqueado")&gt;0,"Bloqueado",IF(COUNTIF('E4 — Execução'!$E349:$K349,"✔ Concluído")=7,"Concluído",IF(COUNTIF('E4 — Execução'!$E349:$K349,"✔ Concluído")+COUNTIF('E4 — Execução'!$E349:$K349,"🔄 Em andamento")&gt;0,"Em andamento","Não iniciado")))))))</f>
        <v/>
      </c>
      <c r="I367" s="229" t="str">
        <f>IF($B367="","",IF($H367&lt;&gt;"Concluído","Não iniciado",IF(COUNTIF(Lançamentos!$B$3:$B$1001,$B367)=0,"Bloqueado",IF('E5 — Validação'!$D349="","Bloqueado",IF(COUNTIF('E5 — Validação'!$E349:$I349,"⛔ Bloqueado")&gt;0,"Bloqueado",IF('E5 — Validação'!$I349="N/A","Bloqueado",IF(AND('E5 — Validação'!$E349="✔ Concluído",'E5 — Validação'!$F349="✔ Concluído",OR('E5 — Validação'!$G349="✔ Concluído",'E5 — Validação'!$G349="N/A"),'E5 — Validação'!$H349="✔ Concluído",'E5 — Validação'!$I349="✔ Concluído"),"Concluído",IF(COUNTIF('E5 — Validação'!$E349:$I349,"✔ Concluído")+COUNTIF('E5 — Validação'!$E349:$I349,"🔄 Em andamento")&gt;0,"Em andamento","Não iniciado"))))))))</f>
        <v/>
      </c>
      <c r="J367" s="229" t="str">
        <f>IF($B367="","",IF($I367&lt;&gt;"Concluído","Não iniciado",IF('E6 — Ajustes'!$N349="Não","N/A",IF(COUNTIF(Lançamentos!$B$3:$B$1001,$B367)=0,"Bloqueado",IF('E6 — Ajustes'!$D349="","Bloqueado",IF(COUNTIF('E6 — Ajustes'!$E349:$J349,"⛔ Bloqueado")&gt;0,"Bloqueado",IF(AND('E6 — Ajustes'!$E349="✔ Concluído",'E6 — Ajustes'!$F349="✔ Concluído",'E6 — Ajustes'!$G349="✔ Concluído",'E6 — Ajustes'!$H349="✔ Concluído",OR('E6 — Ajustes'!$I349="✔ Concluído",'E6 — Ajustes'!$I349="N/A"),'E6 — Ajustes'!$J349="✔ Concluído"),"Concluído",IF(COUNTIF('E6 — Ajustes'!$E349:$J349,"✔ Concluído")+COUNTIF('E6 — Ajustes'!$E349:$J349,"🔄 Em andamento")&gt;0,"Em andamento","Não iniciado"))))))))</f>
        <v/>
      </c>
      <c r="K367" s="229" t="str">
        <f>IF($B367="","",IF($I367&lt;&gt;"Concluído","Não iniciado",IF(AND($J367&lt;&gt;"Concluído",$J367&lt;&gt;"N/A"),"Não iniciado",IF(COUNTIF(Lançamentos!$B$3:$B$1001,$B367)=0,"Bloqueado",IF('E7 — Entrega'!$D349="","Bloqueado",IF(COUNTIF('E7 — Entrega'!$E349:$H349,"⛔ Bloqueado")&gt;0,"Bloqueado",IF(COUNTIF('E7 — Entrega'!$E349:$H349,"✔ Concluído")=4,"Concluído",IF(COUNTIF('E7 — Entrega'!$E349:$H349,"✔ Concluído")+COUNTIF('E7 — Entrega'!$E349:$H349,"🔄 Em andamento")&gt;0,"Em andamento","Não iniciado"))))))))</f>
        <v/>
      </c>
      <c r="L367" s="229" t="str">
        <f>IF($B367="","",IF($K367&lt;&gt;"Concluído","Não iniciado",IF(OR(COUNTIF('E08 — Estabilização Hypercare'!$E349:$J349,"⛔ Bloqueado")&gt;0,'E08 — Estabilização Hypercare'!$N349="⛔ Incidente Crítico — Encerramento Bloqueado",AND('E08 — Estabilização Hypercare'!$N349="🆕 Evolução Identificada — Nova Demanda Aberta",'E08 — Estabilização Hypercare'!$U349="")),"Bloqueado",IF(AND('E08 — Estabilização Hypercare'!$E349="✔ Concluído",'E08 — Estabilização Hypercare'!$F349="✔ Concluído",'E08 — Estabilização Hypercare'!$G349="✔ Concluído",OR('E08 — Estabilização Hypercare'!$H349="✔ Concluído",'E08 — Estabilização Hypercare'!$H349="N/A"),'E08 — Estabilização Hypercare'!$I349="✔ Concluído",'E08 — Estabilização Hypercare'!$J349="✔ Concluído",OR('E08 — Estabilização Hypercare'!$N349="✅ Estável — Demanda Encerrada",AND('E08 — Estabilização Hypercare'!$N349="🆕 Evolução Identificada — Nova Demanda Aberta",'E08 — Estabilização Hypercare'!$U349&lt;&gt;""))),"Concluído",IF(OR(COUNTIF('E08 — Estabilização Hypercare'!$E349:$J349,"✔ Concluído")&gt;0,COUNTIF('E08 — Estabilização Hypercare'!$E349:$J349,"🔄 Em andamento")&gt;0,'E08 — Estabilização Hypercare'!$N349&lt;&gt;""),"Em andamento","Não iniciado")))))</f>
        <v/>
      </c>
      <c r="M367" s="232" t="str" cm="1">
        <f t="array" ref="M367">IF(B367="","",_xlfn.IFS(E367&lt;&gt;"Concluído","E1 — Solicitação",F367&lt;&gt;"Concluído","E2 — Triagem",G367&lt;&gt;"Concluído","E3 — Levantamento ⚠",H367&lt;&gt;"Concluído","E4 — Execução",I367&lt;&gt;"Concluído","E5 — Validação ⚠",AND(J367&lt;&gt;"Concluído",J367&lt;&gt;"N/A"),"E6 — Ajustes",K367&lt;&gt;"Concluído","E7 — Entrega",L367&lt;&gt;"Concluído","E08 — Estabilização / Hypercare",TRUE,"✔ Fluxo concluído"))</f>
        <v/>
      </c>
      <c r="N367" s="233" t="str">
        <f t="shared" si="6"/>
        <v/>
      </c>
      <c r="O367" s="230"/>
    </row>
    <row r="368" spans="2:15" x14ac:dyDescent="0.35">
      <c r="B368" s="229" t="str">
        <f>IF(Lançamentos!$B345="","",Lançamentos!$B345)</f>
        <v/>
      </c>
      <c r="C368" s="231" t="str">
        <f>IF($B368="","",Lançamentos!$J345)</f>
        <v/>
      </c>
      <c r="D368" s="231" t="str">
        <f>IF($B368="","",Lançamentos!$H345)</f>
        <v/>
      </c>
      <c r="E368" s="229" t="str">
        <f>IF($B368="","",IF(COUNTIF(Lançamentos!$B$3:$B$1001,$B368)=0,"Bloqueado",IF(COUNTIF('E1 — Solicitação'!$E350:$L350,"⛔ Bloqueado")&gt;0,"Bloqueado",IF(COUNTIF('E1 — Solicitação'!$E350:$L350,"N/A")=8,"Bloqueado",IF(COUNTIF('E1 — Solicitação'!$E350:$L350,"✔ Concluído")+COUNTIF('E1 — Solicitação'!$E350:$L350,"N/A")=8,"Concluído",IF(COUNTIF('E1 — Solicitação'!$E350:$L350,"✔ Concluído")+COUNTIF('E1 — Solicitação'!$E350:$L350,"🔄 Em andamento")&gt;0,"Em andamento","Não iniciado"))))))</f>
        <v/>
      </c>
      <c r="F368" s="229" t="str">
        <f>IF($B368="","",IF($E368&lt;&gt;"Concluído","Não iniciado",IF(COUNTIF(Lançamentos!$B$3:$B$1001,$B368)=0,"Bloqueado",IF('E2 — Triagem'!$D350="","Bloqueado",IF(COUNTIF('E2 — Triagem'!$E350:$L350,"N/A")=8,"Bloqueado",IF(COUNTIF('E2 — Triagem'!$E350:$L350,"⛔ Bloqueado")&gt;0,"Bloqueado",IF(COUNTIF('E2 — Triagem'!$E350:$L350,"✔ Concluído")+COUNTIF('E2 — Triagem'!$E350:$L350,"N/A")=8,"Concluído",IF(COUNTIF('E2 — Triagem'!$E350:$L350,"✔ Concluído")+COUNTIF('E2 — Triagem'!$E350:$L350,"🔄 Em andamento")&gt;0,"Em andamento","Não iniciado"))))))))</f>
        <v/>
      </c>
      <c r="G368" s="229" t="str">
        <f>IF($B368="","",IF($F368&lt;&gt;"Concluído","Não iniciado",IF(COUNTIF(Lançamentos!$B$3:$B$1001,$B368)=0,"Bloqueado",IF('E3 — Levantamento'!$D350="","Bloqueado",IF(COUNTIF('E3 — Levantamento'!$E350:$I350,"⛔ Bloqueado")&gt;0,"Bloqueado",IF('E3 — Levantamento'!$I350="N/A","Bloqueado",IF(COUNTIF('E3 — Levantamento'!$E350:$I350,"✔ Concluído")=5,"Concluído",IF(COUNTIF('E3 — Levantamento'!$E350:$I350,"✔ Concluído")+COUNTIF('E3 — Levantamento'!$E350:$I350,"🔄 Em andamento")&gt;0,"Em andamento","Não iniciado"))))))))</f>
        <v/>
      </c>
      <c r="H368" s="229" t="str">
        <f>IF($B368="","",IF($G368&lt;&gt;"Concluído","Não iniciado",IF(COUNTIF(Lançamentos!$B$3:$B$1001,$B368)=0,"Bloqueado",IF('E4 — Execução'!$D350="","Bloqueado",IF(COUNTIF('E4 — Execução'!$E350:$K350,"⛔ Bloqueado")&gt;0,"Bloqueado",IF(COUNTIF('E4 — Execução'!$E350:$K350,"✔ Concluído")=7,"Concluído",IF(COUNTIF('E4 — Execução'!$E350:$K350,"✔ Concluído")+COUNTIF('E4 — Execução'!$E350:$K350,"🔄 Em andamento")&gt;0,"Em andamento","Não iniciado")))))))</f>
        <v/>
      </c>
      <c r="I368" s="229" t="str">
        <f>IF($B368="","",IF($H368&lt;&gt;"Concluído","Não iniciado",IF(COUNTIF(Lançamentos!$B$3:$B$1001,$B368)=0,"Bloqueado",IF('E5 — Validação'!$D350="","Bloqueado",IF(COUNTIF('E5 — Validação'!$E350:$I350,"⛔ Bloqueado")&gt;0,"Bloqueado",IF('E5 — Validação'!$I350="N/A","Bloqueado",IF(AND('E5 — Validação'!$E350="✔ Concluído",'E5 — Validação'!$F350="✔ Concluído",OR('E5 — Validação'!$G350="✔ Concluído",'E5 — Validação'!$G350="N/A"),'E5 — Validação'!$H350="✔ Concluído",'E5 — Validação'!$I350="✔ Concluído"),"Concluído",IF(COUNTIF('E5 — Validação'!$E350:$I350,"✔ Concluído")+COUNTIF('E5 — Validação'!$E350:$I350,"🔄 Em andamento")&gt;0,"Em andamento","Não iniciado"))))))))</f>
        <v/>
      </c>
      <c r="J368" s="229" t="str">
        <f>IF($B368="","",IF($I368&lt;&gt;"Concluído","Não iniciado",IF('E6 — Ajustes'!$N350="Não","N/A",IF(COUNTIF(Lançamentos!$B$3:$B$1001,$B368)=0,"Bloqueado",IF('E6 — Ajustes'!$D350="","Bloqueado",IF(COUNTIF('E6 — Ajustes'!$E350:$J350,"⛔ Bloqueado")&gt;0,"Bloqueado",IF(AND('E6 — Ajustes'!$E350="✔ Concluído",'E6 — Ajustes'!$F350="✔ Concluído",'E6 — Ajustes'!$G350="✔ Concluído",'E6 — Ajustes'!$H350="✔ Concluído",OR('E6 — Ajustes'!$I350="✔ Concluído",'E6 — Ajustes'!$I350="N/A"),'E6 — Ajustes'!$J350="✔ Concluído"),"Concluído",IF(COUNTIF('E6 — Ajustes'!$E350:$J350,"✔ Concluído")+COUNTIF('E6 — Ajustes'!$E350:$J350,"🔄 Em andamento")&gt;0,"Em andamento","Não iniciado"))))))))</f>
        <v/>
      </c>
      <c r="K368" s="229" t="str">
        <f>IF($B368="","",IF($I368&lt;&gt;"Concluído","Não iniciado",IF(AND($J368&lt;&gt;"Concluído",$J368&lt;&gt;"N/A"),"Não iniciado",IF(COUNTIF(Lançamentos!$B$3:$B$1001,$B368)=0,"Bloqueado",IF('E7 — Entrega'!$D350="","Bloqueado",IF(COUNTIF('E7 — Entrega'!$E350:$H350,"⛔ Bloqueado")&gt;0,"Bloqueado",IF(COUNTIF('E7 — Entrega'!$E350:$H350,"✔ Concluído")=4,"Concluído",IF(COUNTIF('E7 — Entrega'!$E350:$H350,"✔ Concluído")+COUNTIF('E7 — Entrega'!$E350:$H350,"🔄 Em andamento")&gt;0,"Em andamento","Não iniciado"))))))))</f>
        <v/>
      </c>
      <c r="L368" s="229" t="str">
        <f>IF($B368="","",IF($K368&lt;&gt;"Concluído","Não iniciado",IF(OR(COUNTIF('E08 — Estabilização Hypercare'!$E350:$J350,"⛔ Bloqueado")&gt;0,'E08 — Estabilização Hypercare'!$N350="⛔ Incidente Crítico — Encerramento Bloqueado",AND('E08 — Estabilização Hypercare'!$N350="🆕 Evolução Identificada — Nova Demanda Aberta",'E08 — Estabilização Hypercare'!$U350="")),"Bloqueado",IF(AND('E08 — Estabilização Hypercare'!$E350="✔ Concluído",'E08 — Estabilização Hypercare'!$F350="✔ Concluído",'E08 — Estabilização Hypercare'!$G350="✔ Concluído",OR('E08 — Estabilização Hypercare'!$H350="✔ Concluído",'E08 — Estabilização Hypercare'!$H350="N/A"),'E08 — Estabilização Hypercare'!$I350="✔ Concluído",'E08 — Estabilização Hypercare'!$J350="✔ Concluído",OR('E08 — Estabilização Hypercare'!$N350="✅ Estável — Demanda Encerrada",AND('E08 — Estabilização Hypercare'!$N350="🆕 Evolução Identificada — Nova Demanda Aberta",'E08 — Estabilização Hypercare'!$U350&lt;&gt;""))),"Concluído",IF(OR(COUNTIF('E08 — Estabilização Hypercare'!$E350:$J350,"✔ Concluído")&gt;0,COUNTIF('E08 — Estabilização Hypercare'!$E350:$J350,"🔄 Em andamento")&gt;0,'E08 — Estabilização Hypercare'!$N350&lt;&gt;""),"Em andamento","Não iniciado")))))</f>
        <v/>
      </c>
      <c r="M368" s="232" t="str" cm="1">
        <f t="array" ref="M368">IF(B368="","",_xlfn.IFS(E368&lt;&gt;"Concluído","E1 — Solicitação",F368&lt;&gt;"Concluído","E2 — Triagem",G368&lt;&gt;"Concluído","E3 — Levantamento ⚠",H368&lt;&gt;"Concluído","E4 — Execução",I368&lt;&gt;"Concluído","E5 — Validação ⚠",AND(J368&lt;&gt;"Concluído",J368&lt;&gt;"N/A"),"E6 — Ajustes",K368&lt;&gt;"Concluído","E7 — Entrega",L368&lt;&gt;"Concluído","E08 — Estabilização / Hypercare",TRUE,"✔ Fluxo concluído"))</f>
        <v/>
      </c>
      <c r="N368" s="233" t="str">
        <f t="shared" si="6"/>
        <v/>
      </c>
      <c r="O368" s="230"/>
    </row>
    <row r="369" spans="2:15" x14ac:dyDescent="0.35">
      <c r="B369" s="229" t="str">
        <f>IF(Lançamentos!$B346="","",Lançamentos!$B346)</f>
        <v/>
      </c>
      <c r="C369" s="231" t="str">
        <f>IF($B369="","",Lançamentos!$J346)</f>
        <v/>
      </c>
      <c r="D369" s="231" t="str">
        <f>IF($B369="","",Lançamentos!$H346)</f>
        <v/>
      </c>
      <c r="E369" s="229" t="str">
        <f>IF($B369="","",IF(COUNTIF(Lançamentos!$B$3:$B$1001,$B369)=0,"Bloqueado",IF(COUNTIF('E1 — Solicitação'!$E351:$L351,"⛔ Bloqueado")&gt;0,"Bloqueado",IF(COUNTIF('E1 — Solicitação'!$E351:$L351,"N/A")=8,"Bloqueado",IF(COUNTIF('E1 — Solicitação'!$E351:$L351,"✔ Concluído")+COUNTIF('E1 — Solicitação'!$E351:$L351,"N/A")=8,"Concluído",IF(COUNTIF('E1 — Solicitação'!$E351:$L351,"✔ Concluído")+COUNTIF('E1 — Solicitação'!$E351:$L351,"🔄 Em andamento")&gt;0,"Em andamento","Não iniciado"))))))</f>
        <v/>
      </c>
      <c r="F369" s="229" t="str">
        <f>IF($B369="","",IF($E369&lt;&gt;"Concluído","Não iniciado",IF(COUNTIF(Lançamentos!$B$3:$B$1001,$B369)=0,"Bloqueado",IF('E2 — Triagem'!$D351="","Bloqueado",IF(COUNTIF('E2 — Triagem'!$E351:$L351,"N/A")=8,"Bloqueado",IF(COUNTIF('E2 — Triagem'!$E351:$L351,"⛔ Bloqueado")&gt;0,"Bloqueado",IF(COUNTIF('E2 — Triagem'!$E351:$L351,"✔ Concluído")+COUNTIF('E2 — Triagem'!$E351:$L351,"N/A")=8,"Concluído",IF(COUNTIF('E2 — Triagem'!$E351:$L351,"✔ Concluído")+COUNTIF('E2 — Triagem'!$E351:$L351,"🔄 Em andamento")&gt;0,"Em andamento","Não iniciado"))))))))</f>
        <v/>
      </c>
      <c r="G369" s="229" t="str">
        <f>IF($B369="","",IF($F369&lt;&gt;"Concluído","Não iniciado",IF(COUNTIF(Lançamentos!$B$3:$B$1001,$B369)=0,"Bloqueado",IF('E3 — Levantamento'!$D351="","Bloqueado",IF(COUNTIF('E3 — Levantamento'!$E351:$I351,"⛔ Bloqueado")&gt;0,"Bloqueado",IF('E3 — Levantamento'!$I351="N/A","Bloqueado",IF(COUNTIF('E3 — Levantamento'!$E351:$I351,"✔ Concluído")=5,"Concluído",IF(COUNTIF('E3 — Levantamento'!$E351:$I351,"✔ Concluído")+COUNTIF('E3 — Levantamento'!$E351:$I351,"🔄 Em andamento")&gt;0,"Em andamento","Não iniciado"))))))))</f>
        <v/>
      </c>
      <c r="H369" s="229" t="str">
        <f>IF($B369="","",IF($G369&lt;&gt;"Concluído","Não iniciado",IF(COUNTIF(Lançamentos!$B$3:$B$1001,$B369)=0,"Bloqueado",IF('E4 — Execução'!$D351="","Bloqueado",IF(COUNTIF('E4 — Execução'!$E351:$K351,"⛔ Bloqueado")&gt;0,"Bloqueado",IF(COUNTIF('E4 — Execução'!$E351:$K351,"✔ Concluído")=7,"Concluído",IF(COUNTIF('E4 — Execução'!$E351:$K351,"✔ Concluído")+COUNTIF('E4 — Execução'!$E351:$K351,"🔄 Em andamento")&gt;0,"Em andamento","Não iniciado")))))))</f>
        <v/>
      </c>
      <c r="I369" s="229" t="str">
        <f>IF($B369="","",IF($H369&lt;&gt;"Concluído","Não iniciado",IF(COUNTIF(Lançamentos!$B$3:$B$1001,$B369)=0,"Bloqueado",IF('E5 — Validação'!$D351="","Bloqueado",IF(COUNTIF('E5 — Validação'!$E351:$I351,"⛔ Bloqueado")&gt;0,"Bloqueado",IF('E5 — Validação'!$I351="N/A","Bloqueado",IF(AND('E5 — Validação'!$E351="✔ Concluído",'E5 — Validação'!$F351="✔ Concluído",OR('E5 — Validação'!$G351="✔ Concluído",'E5 — Validação'!$G351="N/A"),'E5 — Validação'!$H351="✔ Concluído",'E5 — Validação'!$I351="✔ Concluído"),"Concluído",IF(COUNTIF('E5 — Validação'!$E351:$I351,"✔ Concluído")+COUNTIF('E5 — Validação'!$E351:$I351,"🔄 Em andamento")&gt;0,"Em andamento","Não iniciado"))))))))</f>
        <v/>
      </c>
      <c r="J369" s="229" t="str">
        <f>IF($B369="","",IF($I369&lt;&gt;"Concluído","Não iniciado",IF('E6 — Ajustes'!$N351="Não","N/A",IF(COUNTIF(Lançamentos!$B$3:$B$1001,$B369)=0,"Bloqueado",IF('E6 — Ajustes'!$D351="","Bloqueado",IF(COUNTIF('E6 — Ajustes'!$E351:$J351,"⛔ Bloqueado")&gt;0,"Bloqueado",IF(AND('E6 — Ajustes'!$E351="✔ Concluído",'E6 — Ajustes'!$F351="✔ Concluído",'E6 — Ajustes'!$G351="✔ Concluído",'E6 — Ajustes'!$H351="✔ Concluído",OR('E6 — Ajustes'!$I351="✔ Concluído",'E6 — Ajustes'!$I351="N/A"),'E6 — Ajustes'!$J351="✔ Concluído"),"Concluído",IF(COUNTIF('E6 — Ajustes'!$E351:$J351,"✔ Concluído")+COUNTIF('E6 — Ajustes'!$E351:$J351,"🔄 Em andamento")&gt;0,"Em andamento","Não iniciado"))))))))</f>
        <v/>
      </c>
      <c r="K369" s="229" t="str">
        <f>IF($B369="","",IF($I369&lt;&gt;"Concluído","Não iniciado",IF(AND($J369&lt;&gt;"Concluído",$J369&lt;&gt;"N/A"),"Não iniciado",IF(COUNTIF(Lançamentos!$B$3:$B$1001,$B369)=0,"Bloqueado",IF('E7 — Entrega'!$D351="","Bloqueado",IF(COUNTIF('E7 — Entrega'!$E351:$H351,"⛔ Bloqueado")&gt;0,"Bloqueado",IF(COUNTIF('E7 — Entrega'!$E351:$H351,"✔ Concluído")=4,"Concluído",IF(COUNTIF('E7 — Entrega'!$E351:$H351,"✔ Concluído")+COUNTIF('E7 — Entrega'!$E351:$H351,"🔄 Em andamento")&gt;0,"Em andamento","Não iniciado"))))))))</f>
        <v/>
      </c>
      <c r="L369" s="229" t="str">
        <f>IF($B369="","",IF($K369&lt;&gt;"Concluído","Não iniciado",IF(OR(COUNTIF('E08 — Estabilização Hypercare'!$E351:$J351,"⛔ Bloqueado")&gt;0,'E08 — Estabilização Hypercare'!$N351="⛔ Incidente Crítico — Encerramento Bloqueado",AND('E08 — Estabilização Hypercare'!$N351="🆕 Evolução Identificada — Nova Demanda Aberta",'E08 — Estabilização Hypercare'!$U351="")),"Bloqueado",IF(AND('E08 — Estabilização Hypercare'!$E351="✔ Concluído",'E08 — Estabilização Hypercare'!$F351="✔ Concluído",'E08 — Estabilização Hypercare'!$G351="✔ Concluído",OR('E08 — Estabilização Hypercare'!$H351="✔ Concluído",'E08 — Estabilização Hypercare'!$H351="N/A"),'E08 — Estabilização Hypercare'!$I351="✔ Concluído",'E08 — Estabilização Hypercare'!$J351="✔ Concluído",OR('E08 — Estabilização Hypercare'!$N351="✅ Estável — Demanda Encerrada",AND('E08 — Estabilização Hypercare'!$N351="🆕 Evolução Identificada — Nova Demanda Aberta",'E08 — Estabilização Hypercare'!$U351&lt;&gt;""))),"Concluído",IF(OR(COUNTIF('E08 — Estabilização Hypercare'!$E351:$J351,"✔ Concluído")&gt;0,COUNTIF('E08 — Estabilização Hypercare'!$E351:$J351,"🔄 Em andamento")&gt;0,'E08 — Estabilização Hypercare'!$N351&lt;&gt;""),"Em andamento","Não iniciado")))))</f>
        <v/>
      </c>
      <c r="M369" s="232" t="str" cm="1">
        <f t="array" ref="M369">IF(B369="","",_xlfn.IFS(E369&lt;&gt;"Concluído","E1 — Solicitação",F369&lt;&gt;"Concluído","E2 — Triagem",G369&lt;&gt;"Concluído","E3 — Levantamento ⚠",H369&lt;&gt;"Concluído","E4 — Execução",I369&lt;&gt;"Concluído","E5 — Validação ⚠",AND(J369&lt;&gt;"Concluído",J369&lt;&gt;"N/A"),"E6 — Ajustes",K369&lt;&gt;"Concluído","E7 — Entrega",L369&lt;&gt;"Concluído","E08 — Estabilização / Hypercare",TRUE,"✔ Fluxo concluído"))</f>
        <v/>
      </c>
      <c r="N369" s="233" t="str">
        <f t="shared" si="6"/>
        <v/>
      </c>
      <c r="O369" s="230"/>
    </row>
    <row r="370" spans="2:15" x14ac:dyDescent="0.35">
      <c r="B370" s="229" t="str">
        <f>IF(Lançamentos!$B347="","",Lançamentos!$B347)</f>
        <v/>
      </c>
      <c r="C370" s="231" t="str">
        <f>IF($B370="","",Lançamentos!$J347)</f>
        <v/>
      </c>
      <c r="D370" s="231" t="str">
        <f>IF($B370="","",Lançamentos!$H347)</f>
        <v/>
      </c>
      <c r="E370" s="229" t="str">
        <f>IF($B370="","",IF(COUNTIF(Lançamentos!$B$3:$B$1001,$B370)=0,"Bloqueado",IF(COUNTIF('E1 — Solicitação'!$E352:$L352,"⛔ Bloqueado")&gt;0,"Bloqueado",IF(COUNTIF('E1 — Solicitação'!$E352:$L352,"N/A")=8,"Bloqueado",IF(COUNTIF('E1 — Solicitação'!$E352:$L352,"✔ Concluído")+COUNTIF('E1 — Solicitação'!$E352:$L352,"N/A")=8,"Concluído",IF(COUNTIF('E1 — Solicitação'!$E352:$L352,"✔ Concluído")+COUNTIF('E1 — Solicitação'!$E352:$L352,"🔄 Em andamento")&gt;0,"Em andamento","Não iniciado"))))))</f>
        <v/>
      </c>
      <c r="F370" s="229" t="str">
        <f>IF($B370="","",IF($E370&lt;&gt;"Concluído","Não iniciado",IF(COUNTIF(Lançamentos!$B$3:$B$1001,$B370)=0,"Bloqueado",IF('E2 — Triagem'!$D352="","Bloqueado",IF(COUNTIF('E2 — Triagem'!$E352:$L352,"N/A")=8,"Bloqueado",IF(COUNTIF('E2 — Triagem'!$E352:$L352,"⛔ Bloqueado")&gt;0,"Bloqueado",IF(COUNTIF('E2 — Triagem'!$E352:$L352,"✔ Concluído")+COUNTIF('E2 — Triagem'!$E352:$L352,"N/A")=8,"Concluído",IF(COUNTIF('E2 — Triagem'!$E352:$L352,"✔ Concluído")+COUNTIF('E2 — Triagem'!$E352:$L352,"🔄 Em andamento")&gt;0,"Em andamento","Não iniciado"))))))))</f>
        <v/>
      </c>
      <c r="G370" s="229" t="str">
        <f>IF($B370="","",IF($F370&lt;&gt;"Concluído","Não iniciado",IF(COUNTIF(Lançamentos!$B$3:$B$1001,$B370)=0,"Bloqueado",IF('E3 — Levantamento'!$D352="","Bloqueado",IF(COUNTIF('E3 — Levantamento'!$E352:$I352,"⛔ Bloqueado")&gt;0,"Bloqueado",IF('E3 — Levantamento'!$I352="N/A","Bloqueado",IF(COUNTIF('E3 — Levantamento'!$E352:$I352,"✔ Concluído")=5,"Concluído",IF(COUNTIF('E3 — Levantamento'!$E352:$I352,"✔ Concluído")+COUNTIF('E3 — Levantamento'!$E352:$I352,"🔄 Em andamento")&gt;0,"Em andamento","Não iniciado"))))))))</f>
        <v/>
      </c>
      <c r="H370" s="229" t="str">
        <f>IF($B370="","",IF($G370&lt;&gt;"Concluído","Não iniciado",IF(COUNTIF(Lançamentos!$B$3:$B$1001,$B370)=0,"Bloqueado",IF('E4 — Execução'!$D352="","Bloqueado",IF(COUNTIF('E4 — Execução'!$E352:$K352,"⛔ Bloqueado")&gt;0,"Bloqueado",IF(COUNTIF('E4 — Execução'!$E352:$K352,"✔ Concluído")=7,"Concluído",IF(COUNTIF('E4 — Execução'!$E352:$K352,"✔ Concluído")+COUNTIF('E4 — Execução'!$E352:$K352,"🔄 Em andamento")&gt;0,"Em andamento","Não iniciado")))))))</f>
        <v/>
      </c>
      <c r="I370" s="229" t="str">
        <f>IF($B370="","",IF($H370&lt;&gt;"Concluído","Não iniciado",IF(COUNTIF(Lançamentos!$B$3:$B$1001,$B370)=0,"Bloqueado",IF('E5 — Validação'!$D352="","Bloqueado",IF(COUNTIF('E5 — Validação'!$E352:$I352,"⛔ Bloqueado")&gt;0,"Bloqueado",IF('E5 — Validação'!$I352="N/A","Bloqueado",IF(AND('E5 — Validação'!$E352="✔ Concluído",'E5 — Validação'!$F352="✔ Concluído",OR('E5 — Validação'!$G352="✔ Concluído",'E5 — Validação'!$G352="N/A"),'E5 — Validação'!$H352="✔ Concluído",'E5 — Validação'!$I352="✔ Concluído"),"Concluído",IF(COUNTIF('E5 — Validação'!$E352:$I352,"✔ Concluído")+COUNTIF('E5 — Validação'!$E352:$I352,"🔄 Em andamento")&gt;0,"Em andamento","Não iniciado"))))))))</f>
        <v/>
      </c>
      <c r="J370" s="229" t="str">
        <f>IF($B370="","",IF($I370&lt;&gt;"Concluído","Não iniciado",IF('E6 — Ajustes'!$N352="Não","N/A",IF(COUNTIF(Lançamentos!$B$3:$B$1001,$B370)=0,"Bloqueado",IF('E6 — Ajustes'!$D352="","Bloqueado",IF(COUNTIF('E6 — Ajustes'!$E352:$J352,"⛔ Bloqueado")&gt;0,"Bloqueado",IF(AND('E6 — Ajustes'!$E352="✔ Concluído",'E6 — Ajustes'!$F352="✔ Concluído",'E6 — Ajustes'!$G352="✔ Concluído",'E6 — Ajustes'!$H352="✔ Concluído",OR('E6 — Ajustes'!$I352="✔ Concluído",'E6 — Ajustes'!$I352="N/A"),'E6 — Ajustes'!$J352="✔ Concluído"),"Concluído",IF(COUNTIF('E6 — Ajustes'!$E352:$J352,"✔ Concluído")+COUNTIF('E6 — Ajustes'!$E352:$J352,"🔄 Em andamento")&gt;0,"Em andamento","Não iniciado"))))))))</f>
        <v/>
      </c>
      <c r="K370" s="229" t="str">
        <f>IF($B370="","",IF($I370&lt;&gt;"Concluído","Não iniciado",IF(AND($J370&lt;&gt;"Concluído",$J370&lt;&gt;"N/A"),"Não iniciado",IF(COUNTIF(Lançamentos!$B$3:$B$1001,$B370)=0,"Bloqueado",IF('E7 — Entrega'!$D352="","Bloqueado",IF(COUNTIF('E7 — Entrega'!$E352:$H352,"⛔ Bloqueado")&gt;0,"Bloqueado",IF(COUNTIF('E7 — Entrega'!$E352:$H352,"✔ Concluído")=4,"Concluído",IF(COUNTIF('E7 — Entrega'!$E352:$H352,"✔ Concluído")+COUNTIF('E7 — Entrega'!$E352:$H352,"🔄 Em andamento")&gt;0,"Em andamento","Não iniciado"))))))))</f>
        <v/>
      </c>
      <c r="L370" s="229" t="str">
        <f>IF($B370="","",IF($K370&lt;&gt;"Concluído","Não iniciado",IF(OR(COUNTIF('E08 — Estabilização Hypercare'!$E352:$J352,"⛔ Bloqueado")&gt;0,'E08 — Estabilização Hypercare'!$N352="⛔ Incidente Crítico — Encerramento Bloqueado",AND('E08 — Estabilização Hypercare'!$N352="🆕 Evolução Identificada — Nova Demanda Aberta",'E08 — Estabilização Hypercare'!$U352="")),"Bloqueado",IF(AND('E08 — Estabilização Hypercare'!$E352="✔ Concluído",'E08 — Estabilização Hypercare'!$F352="✔ Concluído",'E08 — Estabilização Hypercare'!$G352="✔ Concluído",OR('E08 — Estabilização Hypercare'!$H352="✔ Concluído",'E08 — Estabilização Hypercare'!$H352="N/A"),'E08 — Estabilização Hypercare'!$I352="✔ Concluído",'E08 — Estabilização Hypercare'!$J352="✔ Concluído",OR('E08 — Estabilização Hypercare'!$N352="✅ Estável — Demanda Encerrada",AND('E08 — Estabilização Hypercare'!$N352="🆕 Evolução Identificada — Nova Demanda Aberta",'E08 — Estabilização Hypercare'!$U352&lt;&gt;""))),"Concluído",IF(OR(COUNTIF('E08 — Estabilização Hypercare'!$E352:$J352,"✔ Concluído")&gt;0,COUNTIF('E08 — Estabilização Hypercare'!$E352:$J352,"🔄 Em andamento")&gt;0,'E08 — Estabilização Hypercare'!$N352&lt;&gt;""),"Em andamento","Não iniciado")))))</f>
        <v/>
      </c>
      <c r="M370" s="232" t="str" cm="1">
        <f t="array" ref="M370">IF(B370="","",_xlfn.IFS(E370&lt;&gt;"Concluído","E1 — Solicitação",F370&lt;&gt;"Concluído","E2 — Triagem",G370&lt;&gt;"Concluído","E3 — Levantamento ⚠",H370&lt;&gt;"Concluído","E4 — Execução",I370&lt;&gt;"Concluído","E5 — Validação ⚠",AND(J370&lt;&gt;"Concluído",J370&lt;&gt;"N/A"),"E6 — Ajustes",K370&lt;&gt;"Concluído","E7 — Entrega",L370&lt;&gt;"Concluído","E08 — Estabilização / Hypercare",TRUE,"✔ Fluxo concluído"))</f>
        <v/>
      </c>
      <c r="N370" s="233" t="str">
        <f t="shared" si="6"/>
        <v/>
      </c>
      <c r="O370" s="230"/>
    </row>
    <row r="371" spans="2:15" x14ac:dyDescent="0.35">
      <c r="B371" s="229" t="str">
        <f>IF(Lançamentos!$B348="","",Lançamentos!$B348)</f>
        <v/>
      </c>
      <c r="C371" s="231" t="str">
        <f>IF($B371="","",Lançamentos!$J348)</f>
        <v/>
      </c>
      <c r="D371" s="231" t="str">
        <f>IF($B371="","",Lançamentos!$H348)</f>
        <v/>
      </c>
      <c r="E371" s="229" t="str">
        <f>IF($B371="","",IF(COUNTIF(Lançamentos!$B$3:$B$1001,$B371)=0,"Bloqueado",IF(COUNTIF('E1 — Solicitação'!$E353:$L353,"⛔ Bloqueado")&gt;0,"Bloqueado",IF(COUNTIF('E1 — Solicitação'!$E353:$L353,"N/A")=8,"Bloqueado",IF(COUNTIF('E1 — Solicitação'!$E353:$L353,"✔ Concluído")+COUNTIF('E1 — Solicitação'!$E353:$L353,"N/A")=8,"Concluído",IF(COUNTIF('E1 — Solicitação'!$E353:$L353,"✔ Concluído")+COUNTIF('E1 — Solicitação'!$E353:$L353,"🔄 Em andamento")&gt;0,"Em andamento","Não iniciado"))))))</f>
        <v/>
      </c>
      <c r="F371" s="229" t="str">
        <f>IF($B371="","",IF($E371&lt;&gt;"Concluído","Não iniciado",IF(COUNTIF(Lançamentos!$B$3:$B$1001,$B371)=0,"Bloqueado",IF('E2 — Triagem'!$D353="","Bloqueado",IF(COUNTIF('E2 — Triagem'!$E353:$L353,"N/A")=8,"Bloqueado",IF(COUNTIF('E2 — Triagem'!$E353:$L353,"⛔ Bloqueado")&gt;0,"Bloqueado",IF(COUNTIF('E2 — Triagem'!$E353:$L353,"✔ Concluído")+COUNTIF('E2 — Triagem'!$E353:$L353,"N/A")=8,"Concluído",IF(COUNTIF('E2 — Triagem'!$E353:$L353,"✔ Concluído")+COUNTIF('E2 — Triagem'!$E353:$L353,"🔄 Em andamento")&gt;0,"Em andamento","Não iniciado"))))))))</f>
        <v/>
      </c>
      <c r="G371" s="229" t="str">
        <f>IF($B371="","",IF($F371&lt;&gt;"Concluído","Não iniciado",IF(COUNTIF(Lançamentos!$B$3:$B$1001,$B371)=0,"Bloqueado",IF('E3 — Levantamento'!$D353="","Bloqueado",IF(COUNTIF('E3 — Levantamento'!$E353:$I353,"⛔ Bloqueado")&gt;0,"Bloqueado",IF('E3 — Levantamento'!$I353="N/A","Bloqueado",IF(COUNTIF('E3 — Levantamento'!$E353:$I353,"✔ Concluído")=5,"Concluído",IF(COUNTIF('E3 — Levantamento'!$E353:$I353,"✔ Concluído")+COUNTIF('E3 — Levantamento'!$E353:$I353,"🔄 Em andamento")&gt;0,"Em andamento","Não iniciado"))))))))</f>
        <v/>
      </c>
      <c r="H371" s="229" t="str">
        <f>IF($B371="","",IF($G371&lt;&gt;"Concluído","Não iniciado",IF(COUNTIF(Lançamentos!$B$3:$B$1001,$B371)=0,"Bloqueado",IF('E4 — Execução'!$D353="","Bloqueado",IF(COUNTIF('E4 — Execução'!$E353:$K353,"⛔ Bloqueado")&gt;0,"Bloqueado",IF(COUNTIF('E4 — Execução'!$E353:$K353,"✔ Concluído")=7,"Concluído",IF(COUNTIF('E4 — Execução'!$E353:$K353,"✔ Concluído")+COUNTIF('E4 — Execução'!$E353:$K353,"🔄 Em andamento")&gt;0,"Em andamento","Não iniciado")))))))</f>
        <v/>
      </c>
      <c r="I371" s="229" t="str">
        <f>IF($B371="","",IF($H371&lt;&gt;"Concluído","Não iniciado",IF(COUNTIF(Lançamentos!$B$3:$B$1001,$B371)=0,"Bloqueado",IF('E5 — Validação'!$D353="","Bloqueado",IF(COUNTIF('E5 — Validação'!$E353:$I353,"⛔ Bloqueado")&gt;0,"Bloqueado",IF('E5 — Validação'!$I353="N/A","Bloqueado",IF(AND('E5 — Validação'!$E353="✔ Concluído",'E5 — Validação'!$F353="✔ Concluído",OR('E5 — Validação'!$G353="✔ Concluído",'E5 — Validação'!$G353="N/A"),'E5 — Validação'!$H353="✔ Concluído",'E5 — Validação'!$I353="✔ Concluído"),"Concluído",IF(COUNTIF('E5 — Validação'!$E353:$I353,"✔ Concluído")+COUNTIF('E5 — Validação'!$E353:$I353,"🔄 Em andamento")&gt;0,"Em andamento","Não iniciado"))))))))</f>
        <v/>
      </c>
      <c r="J371" s="229" t="str">
        <f>IF($B371="","",IF($I371&lt;&gt;"Concluído","Não iniciado",IF('E6 — Ajustes'!$N353="Não","N/A",IF(COUNTIF(Lançamentos!$B$3:$B$1001,$B371)=0,"Bloqueado",IF('E6 — Ajustes'!$D353="","Bloqueado",IF(COUNTIF('E6 — Ajustes'!$E353:$J353,"⛔ Bloqueado")&gt;0,"Bloqueado",IF(AND('E6 — Ajustes'!$E353="✔ Concluído",'E6 — Ajustes'!$F353="✔ Concluído",'E6 — Ajustes'!$G353="✔ Concluído",'E6 — Ajustes'!$H353="✔ Concluído",OR('E6 — Ajustes'!$I353="✔ Concluído",'E6 — Ajustes'!$I353="N/A"),'E6 — Ajustes'!$J353="✔ Concluído"),"Concluído",IF(COUNTIF('E6 — Ajustes'!$E353:$J353,"✔ Concluído")+COUNTIF('E6 — Ajustes'!$E353:$J353,"🔄 Em andamento")&gt;0,"Em andamento","Não iniciado"))))))))</f>
        <v/>
      </c>
      <c r="K371" s="229" t="str">
        <f>IF($B371="","",IF($I371&lt;&gt;"Concluído","Não iniciado",IF(AND($J371&lt;&gt;"Concluído",$J371&lt;&gt;"N/A"),"Não iniciado",IF(COUNTIF(Lançamentos!$B$3:$B$1001,$B371)=0,"Bloqueado",IF('E7 — Entrega'!$D353="","Bloqueado",IF(COUNTIF('E7 — Entrega'!$E353:$H353,"⛔ Bloqueado")&gt;0,"Bloqueado",IF(COUNTIF('E7 — Entrega'!$E353:$H353,"✔ Concluído")=4,"Concluído",IF(COUNTIF('E7 — Entrega'!$E353:$H353,"✔ Concluído")+COUNTIF('E7 — Entrega'!$E353:$H353,"🔄 Em andamento")&gt;0,"Em andamento","Não iniciado"))))))))</f>
        <v/>
      </c>
      <c r="L371" s="229" t="str">
        <f>IF($B371="","",IF($K371&lt;&gt;"Concluído","Não iniciado",IF(OR(COUNTIF('E08 — Estabilização Hypercare'!$E353:$J353,"⛔ Bloqueado")&gt;0,'E08 — Estabilização Hypercare'!$N353="⛔ Incidente Crítico — Encerramento Bloqueado",AND('E08 — Estabilização Hypercare'!$N353="🆕 Evolução Identificada — Nova Demanda Aberta",'E08 — Estabilização Hypercare'!$U353="")),"Bloqueado",IF(AND('E08 — Estabilização Hypercare'!$E353="✔ Concluído",'E08 — Estabilização Hypercare'!$F353="✔ Concluído",'E08 — Estabilização Hypercare'!$G353="✔ Concluído",OR('E08 — Estabilização Hypercare'!$H353="✔ Concluído",'E08 — Estabilização Hypercare'!$H353="N/A"),'E08 — Estabilização Hypercare'!$I353="✔ Concluído",'E08 — Estabilização Hypercare'!$J353="✔ Concluído",OR('E08 — Estabilização Hypercare'!$N353="✅ Estável — Demanda Encerrada",AND('E08 — Estabilização Hypercare'!$N353="🆕 Evolução Identificada — Nova Demanda Aberta",'E08 — Estabilização Hypercare'!$U353&lt;&gt;""))),"Concluído",IF(OR(COUNTIF('E08 — Estabilização Hypercare'!$E353:$J353,"✔ Concluído")&gt;0,COUNTIF('E08 — Estabilização Hypercare'!$E353:$J353,"🔄 Em andamento")&gt;0,'E08 — Estabilização Hypercare'!$N353&lt;&gt;""),"Em andamento","Não iniciado")))))</f>
        <v/>
      </c>
      <c r="M371" s="232" t="str" cm="1">
        <f t="array" ref="M371">IF(B371="","",_xlfn.IFS(E371&lt;&gt;"Concluído","E1 — Solicitação",F371&lt;&gt;"Concluído","E2 — Triagem",G371&lt;&gt;"Concluído","E3 — Levantamento ⚠",H371&lt;&gt;"Concluído","E4 — Execução",I371&lt;&gt;"Concluído","E5 — Validação ⚠",AND(J371&lt;&gt;"Concluído",J371&lt;&gt;"N/A"),"E6 — Ajustes",K371&lt;&gt;"Concluído","E7 — Entrega",L371&lt;&gt;"Concluído","E08 — Estabilização / Hypercare",TRUE,"✔ Fluxo concluído"))</f>
        <v/>
      </c>
      <c r="N371" s="233" t="str">
        <f t="shared" si="6"/>
        <v/>
      </c>
      <c r="O371" s="230"/>
    </row>
    <row r="372" spans="2:15" x14ac:dyDescent="0.35">
      <c r="B372" s="229" t="str">
        <f>IF(Lançamentos!$B349="","",Lançamentos!$B349)</f>
        <v/>
      </c>
      <c r="C372" s="231" t="str">
        <f>IF($B372="","",Lançamentos!$J349)</f>
        <v/>
      </c>
      <c r="D372" s="231" t="str">
        <f>IF($B372="","",Lançamentos!$H349)</f>
        <v/>
      </c>
      <c r="E372" s="229" t="str">
        <f>IF($B372="","",IF(COUNTIF(Lançamentos!$B$3:$B$1001,$B372)=0,"Bloqueado",IF(COUNTIF('E1 — Solicitação'!$E354:$L354,"⛔ Bloqueado")&gt;0,"Bloqueado",IF(COUNTIF('E1 — Solicitação'!$E354:$L354,"N/A")=8,"Bloqueado",IF(COUNTIF('E1 — Solicitação'!$E354:$L354,"✔ Concluído")+COUNTIF('E1 — Solicitação'!$E354:$L354,"N/A")=8,"Concluído",IF(COUNTIF('E1 — Solicitação'!$E354:$L354,"✔ Concluído")+COUNTIF('E1 — Solicitação'!$E354:$L354,"🔄 Em andamento")&gt;0,"Em andamento","Não iniciado"))))))</f>
        <v/>
      </c>
      <c r="F372" s="229" t="str">
        <f>IF($B372="","",IF($E372&lt;&gt;"Concluído","Não iniciado",IF(COUNTIF(Lançamentos!$B$3:$B$1001,$B372)=0,"Bloqueado",IF('E2 — Triagem'!$D354="","Bloqueado",IF(COUNTIF('E2 — Triagem'!$E354:$L354,"N/A")=8,"Bloqueado",IF(COUNTIF('E2 — Triagem'!$E354:$L354,"⛔ Bloqueado")&gt;0,"Bloqueado",IF(COUNTIF('E2 — Triagem'!$E354:$L354,"✔ Concluído")+COUNTIF('E2 — Triagem'!$E354:$L354,"N/A")=8,"Concluído",IF(COUNTIF('E2 — Triagem'!$E354:$L354,"✔ Concluído")+COUNTIF('E2 — Triagem'!$E354:$L354,"🔄 Em andamento")&gt;0,"Em andamento","Não iniciado"))))))))</f>
        <v/>
      </c>
      <c r="G372" s="229" t="str">
        <f>IF($B372="","",IF($F372&lt;&gt;"Concluído","Não iniciado",IF(COUNTIF(Lançamentos!$B$3:$B$1001,$B372)=0,"Bloqueado",IF('E3 — Levantamento'!$D354="","Bloqueado",IF(COUNTIF('E3 — Levantamento'!$E354:$I354,"⛔ Bloqueado")&gt;0,"Bloqueado",IF('E3 — Levantamento'!$I354="N/A","Bloqueado",IF(COUNTIF('E3 — Levantamento'!$E354:$I354,"✔ Concluído")=5,"Concluído",IF(COUNTIF('E3 — Levantamento'!$E354:$I354,"✔ Concluído")+COUNTIF('E3 — Levantamento'!$E354:$I354,"🔄 Em andamento")&gt;0,"Em andamento","Não iniciado"))))))))</f>
        <v/>
      </c>
      <c r="H372" s="229" t="str">
        <f>IF($B372="","",IF($G372&lt;&gt;"Concluído","Não iniciado",IF(COUNTIF(Lançamentos!$B$3:$B$1001,$B372)=0,"Bloqueado",IF('E4 — Execução'!$D354="","Bloqueado",IF(COUNTIF('E4 — Execução'!$E354:$K354,"⛔ Bloqueado")&gt;0,"Bloqueado",IF(COUNTIF('E4 — Execução'!$E354:$K354,"✔ Concluído")=7,"Concluído",IF(COUNTIF('E4 — Execução'!$E354:$K354,"✔ Concluído")+COUNTIF('E4 — Execução'!$E354:$K354,"🔄 Em andamento")&gt;0,"Em andamento","Não iniciado")))))))</f>
        <v/>
      </c>
      <c r="I372" s="229" t="str">
        <f>IF($B372="","",IF($H372&lt;&gt;"Concluído","Não iniciado",IF(COUNTIF(Lançamentos!$B$3:$B$1001,$B372)=0,"Bloqueado",IF('E5 — Validação'!$D354="","Bloqueado",IF(COUNTIF('E5 — Validação'!$E354:$I354,"⛔ Bloqueado")&gt;0,"Bloqueado",IF('E5 — Validação'!$I354="N/A","Bloqueado",IF(AND('E5 — Validação'!$E354="✔ Concluído",'E5 — Validação'!$F354="✔ Concluído",OR('E5 — Validação'!$G354="✔ Concluído",'E5 — Validação'!$G354="N/A"),'E5 — Validação'!$H354="✔ Concluído",'E5 — Validação'!$I354="✔ Concluído"),"Concluído",IF(COUNTIF('E5 — Validação'!$E354:$I354,"✔ Concluído")+COUNTIF('E5 — Validação'!$E354:$I354,"🔄 Em andamento")&gt;0,"Em andamento","Não iniciado"))))))))</f>
        <v/>
      </c>
      <c r="J372" s="229" t="str">
        <f>IF($B372="","",IF($I372&lt;&gt;"Concluído","Não iniciado",IF('E6 — Ajustes'!$N354="Não","N/A",IF(COUNTIF(Lançamentos!$B$3:$B$1001,$B372)=0,"Bloqueado",IF('E6 — Ajustes'!$D354="","Bloqueado",IF(COUNTIF('E6 — Ajustes'!$E354:$J354,"⛔ Bloqueado")&gt;0,"Bloqueado",IF(AND('E6 — Ajustes'!$E354="✔ Concluído",'E6 — Ajustes'!$F354="✔ Concluído",'E6 — Ajustes'!$G354="✔ Concluído",'E6 — Ajustes'!$H354="✔ Concluído",OR('E6 — Ajustes'!$I354="✔ Concluído",'E6 — Ajustes'!$I354="N/A"),'E6 — Ajustes'!$J354="✔ Concluído"),"Concluído",IF(COUNTIF('E6 — Ajustes'!$E354:$J354,"✔ Concluído")+COUNTIF('E6 — Ajustes'!$E354:$J354,"🔄 Em andamento")&gt;0,"Em andamento","Não iniciado"))))))))</f>
        <v/>
      </c>
      <c r="K372" s="229" t="str">
        <f>IF($B372="","",IF($I372&lt;&gt;"Concluído","Não iniciado",IF(AND($J372&lt;&gt;"Concluído",$J372&lt;&gt;"N/A"),"Não iniciado",IF(COUNTIF(Lançamentos!$B$3:$B$1001,$B372)=0,"Bloqueado",IF('E7 — Entrega'!$D354="","Bloqueado",IF(COUNTIF('E7 — Entrega'!$E354:$H354,"⛔ Bloqueado")&gt;0,"Bloqueado",IF(COUNTIF('E7 — Entrega'!$E354:$H354,"✔ Concluído")=4,"Concluído",IF(COUNTIF('E7 — Entrega'!$E354:$H354,"✔ Concluído")+COUNTIF('E7 — Entrega'!$E354:$H354,"🔄 Em andamento")&gt;0,"Em andamento","Não iniciado"))))))))</f>
        <v/>
      </c>
      <c r="L372" s="229" t="str">
        <f>IF($B372="","",IF($K372&lt;&gt;"Concluído","Não iniciado",IF(OR(COUNTIF('E08 — Estabilização Hypercare'!$E354:$J354,"⛔ Bloqueado")&gt;0,'E08 — Estabilização Hypercare'!$N354="⛔ Incidente Crítico — Encerramento Bloqueado",AND('E08 — Estabilização Hypercare'!$N354="🆕 Evolução Identificada — Nova Demanda Aberta",'E08 — Estabilização Hypercare'!$U354="")),"Bloqueado",IF(AND('E08 — Estabilização Hypercare'!$E354="✔ Concluído",'E08 — Estabilização Hypercare'!$F354="✔ Concluído",'E08 — Estabilização Hypercare'!$G354="✔ Concluído",OR('E08 — Estabilização Hypercare'!$H354="✔ Concluído",'E08 — Estabilização Hypercare'!$H354="N/A"),'E08 — Estabilização Hypercare'!$I354="✔ Concluído",'E08 — Estabilização Hypercare'!$J354="✔ Concluído",OR('E08 — Estabilização Hypercare'!$N354="✅ Estável — Demanda Encerrada",AND('E08 — Estabilização Hypercare'!$N354="🆕 Evolução Identificada — Nova Demanda Aberta",'E08 — Estabilização Hypercare'!$U354&lt;&gt;""))),"Concluído",IF(OR(COUNTIF('E08 — Estabilização Hypercare'!$E354:$J354,"✔ Concluído")&gt;0,COUNTIF('E08 — Estabilização Hypercare'!$E354:$J354,"🔄 Em andamento")&gt;0,'E08 — Estabilização Hypercare'!$N354&lt;&gt;""),"Em andamento","Não iniciado")))))</f>
        <v/>
      </c>
      <c r="M372" s="232" t="str" cm="1">
        <f t="array" ref="M372">IF(B372="","",_xlfn.IFS(E372&lt;&gt;"Concluído","E1 — Solicitação",F372&lt;&gt;"Concluído","E2 — Triagem",G372&lt;&gt;"Concluído","E3 — Levantamento ⚠",H372&lt;&gt;"Concluído","E4 — Execução",I372&lt;&gt;"Concluído","E5 — Validação ⚠",AND(J372&lt;&gt;"Concluído",J372&lt;&gt;"N/A"),"E6 — Ajustes",K372&lt;&gt;"Concluído","E7 — Entrega",L372&lt;&gt;"Concluído","E08 — Estabilização / Hypercare",TRUE,"✔ Fluxo concluído"))</f>
        <v/>
      </c>
      <c r="N372" s="233" t="str">
        <f t="shared" si="6"/>
        <v/>
      </c>
      <c r="O372" s="230"/>
    </row>
    <row r="373" spans="2:15" x14ac:dyDescent="0.35">
      <c r="B373" s="229" t="str">
        <f>IF(Lançamentos!$B350="","",Lançamentos!$B350)</f>
        <v/>
      </c>
      <c r="C373" s="231" t="str">
        <f>IF($B373="","",Lançamentos!$J350)</f>
        <v/>
      </c>
      <c r="D373" s="231" t="str">
        <f>IF($B373="","",Lançamentos!$H350)</f>
        <v/>
      </c>
      <c r="E373" s="229" t="str">
        <f>IF($B373="","",IF(COUNTIF(Lançamentos!$B$3:$B$1001,$B373)=0,"Bloqueado",IF(COUNTIF('E1 — Solicitação'!$E355:$L355,"⛔ Bloqueado")&gt;0,"Bloqueado",IF(COUNTIF('E1 — Solicitação'!$E355:$L355,"N/A")=8,"Bloqueado",IF(COUNTIF('E1 — Solicitação'!$E355:$L355,"✔ Concluído")+COUNTIF('E1 — Solicitação'!$E355:$L355,"N/A")=8,"Concluído",IF(COUNTIF('E1 — Solicitação'!$E355:$L355,"✔ Concluído")+COUNTIF('E1 — Solicitação'!$E355:$L355,"🔄 Em andamento")&gt;0,"Em andamento","Não iniciado"))))))</f>
        <v/>
      </c>
      <c r="F373" s="229" t="str">
        <f>IF($B373="","",IF($E373&lt;&gt;"Concluído","Não iniciado",IF(COUNTIF(Lançamentos!$B$3:$B$1001,$B373)=0,"Bloqueado",IF('E2 — Triagem'!$D355="","Bloqueado",IF(COUNTIF('E2 — Triagem'!$E355:$L355,"N/A")=8,"Bloqueado",IF(COUNTIF('E2 — Triagem'!$E355:$L355,"⛔ Bloqueado")&gt;0,"Bloqueado",IF(COUNTIF('E2 — Triagem'!$E355:$L355,"✔ Concluído")+COUNTIF('E2 — Triagem'!$E355:$L355,"N/A")=8,"Concluído",IF(COUNTIF('E2 — Triagem'!$E355:$L355,"✔ Concluído")+COUNTIF('E2 — Triagem'!$E355:$L355,"🔄 Em andamento")&gt;0,"Em andamento","Não iniciado"))))))))</f>
        <v/>
      </c>
      <c r="G373" s="229" t="str">
        <f>IF($B373="","",IF($F373&lt;&gt;"Concluído","Não iniciado",IF(COUNTIF(Lançamentos!$B$3:$B$1001,$B373)=0,"Bloqueado",IF('E3 — Levantamento'!$D355="","Bloqueado",IF(COUNTIF('E3 — Levantamento'!$E355:$I355,"⛔ Bloqueado")&gt;0,"Bloqueado",IF('E3 — Levantamento'!$I355="N/A","Bloqueado",IF(COUNTIF('E3 — Levantamento'!$E355:$I355,"✔ Concluído")=5,"Concluído",IF(COUNTIF('E3 — Levantamento'!$E355:$I355,"✔ Concluído")+COUNTIF('E3 — Levantamento'!$E355:$I355,"🔄 Em andamento")&gt;0,"Em andamento","Não iniciado"))))))))</f>
        <v/>
      </c>
      <c r="H373" s="229" t="str">
        <f>IF($B373="","",IF($G373&lt;&gt;"Concluído","Não iniciado",IF(COUNTIF(Lançamentos!$B$3:$B$1001,$B373)=0,"Bloqueado",IF('E4 — Execução'!$D355="","Bloqueado",IF(COUNTIF('E4 — Execução'!$E355:$K355,"⛔ Bloqueado")&gt;0,"Bloqueado",IF(COUNTIF('E4 — Execução'!$E355:$K355,"✔ Concluído")=7,"Concluído",IF(COUNTIF('E4 — Execução'!$E355:$K355,"✔ Concluído")+COUNTIF('E4 — Execução'!$E355:$K355,"🔄 Em andamento")&gt;0,"Em andamento","Não iniciado")))))))</f>
        <v/>
      </c>
      <c r="I373" s="229" t="str">
        <f>IF($B373="","",IF($H373&lt;&gt;"Concluído","Não iniciado",IF(COUNTIF(Lançamentos!$B$3:$B$1001,$B373)=0,"Bloqueado",IF('E5 — Validação'!$D355="","Bloqueado",IF(COUNTIF('E5 — Validação'!$E355:$I355,"⛔ Bloqueado")&gt;0,"Bloqueado",IF('E5 — Validação'!$I355="N/A","Bloqueado",IF(AND('E5 — Validação'!$E355="✔ Concluído",'E5 — Validação'!$F355="✔ Concluído",OR('E5 — Validação'!$G355="✔ Concluído",'E5 — Validação'!$G355="N/A"),'E5 — Validação'!$H355="✔ Concluído",'E5 — Validação'!$I355="✔ Concluído"),"Concluído",IF(COUNTIF('E5 — Validação'!$E355:$I355,"✔ Concluído")+COUNTIF('E5 — Validação'!$E355:$I355,"🔄 Em andamento")&gt;0,"Em andamento","Não iniciado"))))))))</f>
        <v/>
      </c>
      <c r="J373" s="229" t="str">
        <f>IF($B373="","",IF($I373&lt;&gt;"Concluído","Não iniciado",IF('E6 — Ajustes'!$N355="Não","N/A",IF(COUNTIF(Lançamentos!$B$3:$B$1001,$B373)=0,"Bloqueado",IF('E6 — Ajustes'!$D355="","Bloqueado",IF(COUNTIF('E6 — Ajustes'!$E355:$J355,"⛔ Bloqueado")&gt;0,"Bloqueado",IF(AND('E6 — Ajustes'!$E355="✔ Concluído",'E6 — Ajustes'!$F355="✔ Concluído",'E6 — Ajustes'!$G355="✔ Concluído",'E6 — Ajustes'!$H355="✔ Concluído",OR('E6 — Ajustes'!$I355="✔ Concluído",'E6 — Ajustes'!$I355="N/A"),'E6 — Ajustes'!$J355="✔ Concluído"),"Concluído",IF(COUNTIF('E6 — Ajustes'!$E355:$J355,"✔ Concluído")+COUNTIF('E6 — Ajustes'!$E355:$J355,"🔄 Em andamento")&gt;0,"Em andamento","Não iniciado"))))))))</f>
        <v/>
      </c>
      <c r="K373" s="229" t="str">
        <f>IF($B373="","",IF($I373&lt;&gt;"Concluído","Não iniciado",IF(AND($J373&lt;&gt;"Concluído",$J373&lt;&gt;"N/A"),"Não iniciado",IF(COUNTIF(Lançamentos!$B$3:$B$1001,$B373)=0,"Bloqueado",IF('E7 — Entrega'!$D355="","Bloqueado",IF(COUNTIF('E7 — Entrega'!$E355:$H355,"⛔ Bloqueado")&gt;0,"Bloqueado",IF(COUNTIF('E7 — Entrega'!$E355:$H355,"✔ Concluído")=4,"Concluído",IF(COUNTIF('E7 — Entrega'!$E355:$H355,"✔ Concluído")+COUNTIF('E7 — Entrega'!$E355:$H355,"🔄 Em andamento")&gt;0,"Em andamento","Não iniciado"))))))))</f>
        <v/>
      </c>
      <c r="L373" s="229" t="str">
        <f>IF($B373="","",IF($K373&lt;&gt;"Concluído","Não iniciado",IF(OR(COUNTIF('E08 — Estabilização Hypercare'!$E355:$J355,"⛔ Bloqueado")&gt;0,'E08 — Estabilização Hypercare'!$N355="⛔ Incidente Crítico — Encerramento Bloqueado",AND('E08 — Estabilização Hypercare'!$N355="🆕 Evolução Identificada — Nova Demanda Aberta",'E08 — Estabilização Hypercare'!$U355="")),"Bloqueado",IF(AND('E08 — Estabilização Hypercare'!$E355="✔ Concluído",'E08 — Estabilização Hypercare'!$F355="✔ Concluído",'E08 — Estabilização Hypercare'!$G355="✔ Concluído",OR('E08 — Estabilização Hypercare'!$H355="✔ Concluído",'E08 — Estabilização Hypercare'!$H355="N/A"),'E08 — Estabilização Hypercare'!$I355="✔ Concluído",'E08 — Estabilização Hypercare'!$J355="✔ Concluído",OR('E08 — Estabilização Hypercare'!$N355="✅ Estável — Demanda Encerrada",AND('E08 — Estabilização Hypercare'!$N355="🆕 Evolução Identificada — Nova Demanda Aberta",'E08 — Estabilização Hypercare'!$U355&lt;&gt;""))),"Concluído",IF(OR(COUNTIF('E08 — Estabilização Hypercare'!$E355:$J355,"✔ Concluído")&gt;0,COUNTIF('E08 — Estabilização Hypercare'!$E355:$J355,"🔄 Em andamento")&gt;0,'E08 — Estabilização Hypercare'!$N355&lt;&gt;""),"Em andamento","Não iniciado")))))</f>
        <v/>
      </c>
      <c r="M373" s="232" t="str" cm="1">
        <f t="array" ref="M373">IF(B373="","",_xlfn.IFS(E373&lt;&gt;"Concluído","E1 — Solicitação",F373&lt;&gt;"Concluído","E2 — Triagem",G373&lt;&gt;"Concluído","E3 — Levantamento ⚠",H373&lt;&gt;"Concluído","E4 — Execução",I373&lt;&gt;"Concluído","E5 — Validação ⚠",AND(J373&lt;&gt;"Concluído",J373&lt;&gt;"N/A"),"E6 — Ajustes",K373&lt;&gt;"Concluído","E7 — Entrega",L373&lt;&gt;"Concluído","E08 — Estabilização / Hypercare",TRUE,"✔ Fluxo concluído"))</f>
        <v/>
      </c>
      <c r="N373" s="233" t="str">
        <f t="shared" si="6"/>
        <v/>
      </c>
      <c r="O373" s="230"/>
    </row>
    <row r="374" spans="2:15" x14ac:dyDescent="0.35">
      <c r="B374" s="229" t="str">
        <f>IF(Lançamentos!$B351="","",Lançamentos!$B351)</f>
        <v/>
      </c>
      <c r="C374" s="231" t="str">
        <f>IF($B374="","",Lançamentos!$J351)</f>
        <v/>
      </c>
      <c r="D374" s="231" t="str">
        <f>IF($B374="","",Lançamentos!$H351)</f>
        <v/>
      </c>
      <c r="E374" s="229" t="str">
        <f>IF($B374="","",IF(COUNTIF(Lançamentos!$B$3:$B$1001,$B374)=0,"Bloqueado",IF(COUNTIF('E1 — Solicitação'!$E356:$L356,"⛔ Bloqueado")&gt;0,"Bloqueado",IF(COUNTIF('E1 — Solicitação'!$E356:$L356,"N/A")=8,"Bloqueado",IF(COUNTIF('E1 — Solicitação'!$E356:$L356,"✔ Concluído")+COUNTIF('E1 — Solicitação'!$E356:$L356,"N/A")=8,"Concluído",IF(COUNTIF('E1 — Solicitação'!$E356:$L356,"✔ Concluído")+COUNTIF('E1 — Solicitação'!$E356:$L356,"🔄 Em andamento")&gt;0,"Em andamento","Não iniciado"))))))</f>
        <v/>
      </c>
      <c r="F374" s="229" t="str">
        <f>IF($B374="","",IF($E374&lt;&gt;"Concluído","Não iniciado",IF(COUNTIF(Lançamentos!$B$3:$B$1001,$B374)=0,"Bloqueado",IF('E2 — Triagem'!$D356="","Bloqueado",IF(COUNTIF('E2 — Triagem'!$E356:$L356,"N/A")=8,"Bloqueado",IF(COUNTIF('E2 — Triagem'!$E356:$L356,"⛔ Bloqueado")&gt;0,"Bloqueado",IF(COUNTIF('E2 — Triagem'!$E356:$L356,"✔ Concluído")+COUNTIF('E2 — Triagem'!$E356:$L356,"N/A")=8,"Concluído",IF(COUNTIF('E2 — Triagem'!$E356:$L356,"✔ Concluído")+COUNTIF('E2 — Triagem'!$E356:$L356,"🔄 Em andamento")&gt;0,"Em andamento","Não iniciado"))))))))</f>
        <v/>
      </c>
      <c r="G374" s="229" t="str">
        <f>IF($B374="","",IF($F374&lt;&gt;"Concluído","Não iniciado",IF(COUNTIF(Lançamentos!$B$3:$B$1001,$B374)=0,"Bloqueado",IF('E3 — Levantamento'!$D356="","Bloqueado",IF(COUNTIF('E3 — Levantamento'!$E356:$I356,"⛔ Bloqueado")&gt;0,"Bloqueado",IF('E3 — Levantamento'!$I356="N/A","Bloqueado",IF(COUNTIF('E3 — Levantamento'!$E356:$I356,"✔ Concluído")=5,"Concluído",IF(COUNTIF('E3 — Levantamento'!$E356:$I356,"✔ Concluído")+COUNTIF('E3 — Levantamento'!$E356:$I356,"🔄 Em andamento")&gt;0,"Em andamento","Não iniciado"))))))))</f>
        <v/>
      </c>
      <c r="H374" s="229" t="str">
        <f>IF($B374="","",IF($G374&lt;&gt;"Concluído","Não iniciado",IF(COUNTIF(Lançamentos!$B$3:$B$1001,$B374)=0,"Bloqueado",IF('E4 — Execução'!$D356="","Bloqueado",IF(COUNTIF('E4 — Execução'!$E356:$K356,"⛔ Bloqueado")&gt;0,"Bloqueado",IF(COUNTIF('E4 — Execução'!$E356:$K356,"✔ Concluído")=7,"Concluído",IF(COUNTIF('E4 — Execução'!$E356:$K356,"✔ Concluído")+COUNTIF('E4 — Execução'!$E356:$K356,"🔄 Em andamento")&gt;0,"Em andamento","Não iniciado")))))))</f>
        <v/>
      </c>
      <c r="I374" s="229" t="str">
        <f>IF($B374="","",IF($H374&lt;&gt;"Concluído","Não iniciado",IF(COUNTIF(Lançamentos!$B$3:$B$1001,$B374)=0,"Bloqueado",IF('E5 — Validação'!$D356="","Bloqueado",IF(COUNTIF('E5 — Validação'!$E356:$I356,"⛔ Bloqueado")&gt;0,"Bloqueado",IF('E5 — Validação'!$I356="N/A","Bloqueado",IF(AND('E5 — Validação'!$E356="✔ Concluído",'E5 — Validação'!$F356="✔ Concluído",OR('E5 — Validação'!$G356="✔ Concluído",'E5 — Validação'!$G356="N/A"),'E5 — Validação'!$H356="✔ Concluído",'E5 — Validação'!$I356="✔ Concluído"),"Concluído",IF(COUNTIF('E5 — Validação'!$E356:$I356,"✔ Concluído")+COUNTIF('E5 — Validação'!$E356:$I356,"🔄 Em andamento")&gt;0,"Em andamento","Não iniciado"))))))))</f>
        <v/>
      </c>
      <c r="J374" s="229" t="str">
        <f>IF($B374="","",IF($I374&lt;&gt;"Concluído","Não iniciado",IF('E6 — Ajustes'!$N356="Não","N/A",IF(COUNTIF(Lançamentos!$B$3:$B$1001,$B374)=0,"Bloqueado",IF('E6 — Ajustes'!$D356="","Bloqueado",IF(COUNTIF('E6 — Ajustes'!$E356:$J356,"⛔ Bloqueado")&gt;0,"Bloqueado",IF(AND('E6 — Ajustes'!$E356="✔ Concluído",'E6 — Ajustes'!$F356="✔ Concluído",'E6 — Ajustes'!$G356="✔ Concluído",'E6 — Ajustes'!$H356="✔ Concluído",OR('E6 — Ajustes'!$I356="✔ Concluído",'E6 — Ajustes'!$I356="N/A"),'E6 — Ajustes'!$J356="✔ Concluído"),"Concluído",IF(COUNTIF('E6 — Ajustes'!$E356:$J356,"✔ Concluído")+COUNTIF('E6 — Ajustes'!$E356:$J356,"🔄 Em andamento")&gt;0,"Em andamento","Não iniciado"))))))))</f>
        <v/>
      </c>
      <c r="K374" s="229" t="str">
        <f>IF($B374="","",IF($I374&lt;&gt;"Concluído","Não iniciado",IF(AND($J374&lt;&gt;"Concluído",$J374&lt;&gt;"N/A"),"Não iniciado",IF(COUNTIF(Lançamentos!$B$3:$B$1001,$B374)=0,"Bloqueado",IF('E7 — Entrega'!$D356="","Bloqueado",IF(COUNTIF('E7 — Entrega'!$E356:$H356,"⛔ Bloqueado")&gt;0,"Bloqueado",IF(COUNTIF('E7 — Entrega'!$E356:$H356,"✔ Concluído")=4,"Concluído",IF(COUNTIF('E7 — Entrega'!$E356:$H356,"✔ Concluído")+COUNTIF('E7 — Entrega'!$E356:$H356,"🔄 Em andamento")&gt;0,"Em andamento","Não iniciado"))))))))</f>
        <v/>
      </c>
      <c r="L374" s="229" t="str">
        <f>IF($B374="","",IF($K374&lt;&gt;"Concluído","Não iniciado",IF(OR(COUNTIF('E08 — Estabilização Hypercare'!$E356:$J356,"⛔ Bloqueado")&gt;0,'E08 — Estabilização Hypercare'!$N356="⛔ Incidente Crítico — Encerramento Bloqueado",AND('E08 — Estabilização Hypercare'!$N356="🆕 Evolução Identificada — Nova Demanda Aberta",'E08 — Estabilização Hypercare'!$U356="")),"Bloqueado",IF(AND('E08 — Estabilização Hypercare'!$E356="✔ Concluído",'E08 — Estabilização Hypercare'!$F356="✔ Concluído",'E08 — Estabilização Hypercare'!$G356="✔ Concluído",OR('E08 — Estabilização Hypercare'!$H356="✔ Concluído",'E08 — Estabilização Hypercare'!$H356="N/A"),'E08 — Estabilização Hypercare'!$I356="✔ Concluído",'E08 — Estabilização Hypercare'!$J356="✔ Concluído",OR('E08 — Estabilização Hypercare'!$N356="✅ Estável — Demanda Encerrada",AND('E08 — Estabilização Hypercare'!$N356="🆕 Evolução Identificada — Nova Demanda Aberta",'E08 — Estabilização Hypercare'!$U356&lt;&gt;""))),"Concluído",IF(OR(COUNTIF('E08 — Estabilização Hypercare'!$E356:$J356,"✔ Concluído")&gt;0,COUNTIF('E08 — Estabilização Hypercare'!$E356:$J356,"🔄 Em andamento")&gt;0,'E08 — Estabilização Hypercare'!$N356&lt;&gt;""),"Em andamento","Não iniciado")))))</f>
        <v/>
      </c>
      <c r="M374" s="232" t="str" cm="1">
        <f t="array" ref="M374">IF(B374="","",_xlfn.IFS(E374&lt;&gt;"Concluído","E1 — Solicitação",F374&lt;&gt;"Concluído","E2 — Triagem",G374&lt;&gt;"Concluído","E3 — Levantamento ⚠",H374&lt;&gt;"Concluído","E4 — Execução",I374&lt;&gt;"Concluído","E5 — Validação ⚠",AND(J374&lt;&gt;"Concluído",J374&lt;&gt;"N/A"),"E6 — Ajustes",K374&lt;&gt;"Concluído","E7 — Entrega",L374&lt;&gt;"Concluído","E08 — Estabilização / Hypercare",TRUE,"✔ Fluxo concluído"))</f>
        <v/>
      </c>
      <c r="N374" s="233" t="str">
        <f t="shared" si="6"/>
        <v/>
      </c>
      <c r="O374" s="230"/>
    </row>
    <row r="375" spans="2:15" x14ac:dyDescent="0.35">
      <c r="B375" s="229" t="str">
        <f>IF(Lançamentos!$B352="","",Lançamentos!$B352)</f>
        <v/>
      </c>
      <c r="C375" s="231" t="str">
        <f>IF($B375="","",Lançamentos!$J352)</f>
        <v/>
      </c>
      <c r="D375" s="231" t="str">
        <f>IF($B375="","",Lançamentos!$H352)</f>
        <v/>
      </c>
      <c r="E375" s="229" t="str">
        <f>IF($B375="","",IF(COUNTIF(Lançamentos!$B$3:$B$1001,$B375)=0,"Bloqueado",IF(COUNTIF('E1 — Solicitação'!$E357:$L357,"⛔ Bloqueado")&gt;0,"Bloqueado",IF(COUNTIF('E1 — Solicitação'!$E357:$L357,"N/A")=8,"Bloqueado",IF(COUNTIF('E1 — Solicitação'!$E357:$L357,"✔ Concluído")+COUNTIF('E1 — Solicitação'!$E357:$L357,"N/A")=8,"Concluído",IF(COUNTIF('E1 — Solicitação'!$E357:$L357,"✔ Concluído")+COUNTIF('E1 — Solicitação'!$E357:$L357,"🔄 Em andamento")&gt;0,"Em andamento","Não iniciado"))))))</f>
        <v/>
      </c>
      <c r="F375" s="229" t="str">
        <f>IF($B375="","",IF($E375&lt;&gt;"Concluído","Não iniciado",IF(COUNTIF(Lançamentos!$B$3:$B$1001,$B375)=0,"Bloqueado",IF('E2 — Triagem'!$D357="","Bloqueado",IF(COUNTIF('E2 — Triagem'!$E357:$L357,"N/A")=8,"Bloqueado",IF(COUNTIF('E2 — Triagem'!$E357:$L357,"⛔ Bloqueado")&gt;0,"Bloqueado",IF(COUNTIF('E2 — Triagem'!$E357:$L357,"✔ Concluído")+COUNTIF('E2 — Triagem'!$E357:$L357,"N/A")=8,"Concluído",IF(COUNTIF('E2 — Triagem'!$E357:$L357,"✔ Concluído")+COUNTIF('E2 — Triagem'!$E357:$L357,"🔄 Em andamento")&gt;0,"Em andamento","Não iniciado"))))))))</f>
        <v/>
      </c>
      <c r="G375" s="229" t="str">
        <f>IF($B375="","",IF($F375&lt;&gt;"Concluído","Não iniciado",IF(COUNTIF(Lançamentos!$B$3:$B$1001,$B375)=0,"Bloqueado",IF('E3 — Levantamento'!$D357="","Bloqueado",IF(COUNTIF('E3 — Levantamento'!$E357:$I357,"⛔ Bloqueado")&gt;0,"Bloqueado",IF('E3 — Levantamento'!$I357="N/A","Bloqueado",IF(COUNTIF('E3 — Levantamento'!$E357:$I357,"✔ Concluído")=5,"Concluído",IF(COUNTIF('E3 — Levantamento'!$E357:$I357,"✔ Concluído")+COUNTIF('E3 — Levantamento'!$E357:$I357,"🔄 Em andamento")&gt;0,"Em andamento","Não iniciado"))))))))</f>
        <v/>
      </c>
      <c r="H375" s="229" t="str">
        <f>IF($B375="","",IF($G375&lt;&gt;"Concluído","Não iniciado",IF(COUNTIF(Lançamentos!$B$3:$B$1001,$B375)=0,"Bloqueado",IF('E4 — Execução'!$D357="","Bloqueado",IF(COUNTIF('E4 — Execução'!$E357:$K357,"⛔ Bloqueado")&gt;0,"Bloqueado",IF(COUNTIF('E4 — Execução'!$E357:$K357,"✔ Concluído")=7,"Concluído",IF(COUNTIF('E4 — Execução'!$E357:$K357,"✔ Concluído")+COUNTIF('E4 — Execução'!$E357:$K357,"🔄 Em andamento")&gt;0,"Em andamento","Não iniciado")))))))</f>
        <v/>
      </c>
      <c r="I375" s="229" t="str">
        <f>IF($B375="","",IF($H375&lt;&gt;"Concluído","Não iniciado",IF(COUNTIF(Lançamentos!$B$3:$B$1001,$B375)=0,"Bloqueado",IF('E5 — Validação'!$D357="","Bloqueado",IF(COUNTIF('E5 — Validação'!$E357:$I357,"⛔ Bloqueado")&gt;0,"Bloqueado",IF('E5 — Validação'!$I357="N/A","Bloqueado",IF(AND('E5 — Validação'!$E357="✔ Concluído",'E5 — Validação'!$F357="✔ Concluído",OR('E5 — Validação'!$G357="✔ Concluído",'E5 — Validação'!$G357="N/A"),'E5 — Validação'!$H357="✔ Concluído",'E5 — Validação'!$I357="✔ Concluído"),"Concluído",IF(COUNTIF('E5 — Validação'!$E357:$I357,"✔ Concluído")+COUNTIF('E5 — Validação'!$E357:$I357,"🔄 Em andamento")&gt;0,"Em andamento","Não iniciado"))))))))</f>
        <v/>
      </c>
      <c r="J375" s="229" t="str">
        <f>IF($B375="","",IF($I375&lt;&gt;"Concluído","Não iniciado",IF('E6 — Ajustes'!$N357="Não","N/A",IF(COUNTIF(Lançamentos!$B$3:$B$1001,$B375)=0,"Bloqueado",IF('E6 — Ajustes'!$D357="","Bloqueado",IF(COUNTIF('E6 — Ajustes'!$E357:$J357,"⛔ Bloqueado")&gt;0,"Bloqueado",IF(AND('E6 — Ajustes'!$E357="✔ Concluído",'E6 — Ajustes'!$F357="✔ Concluído",'E6 — Ajustes'!$G357="✔ Concluído",'E6 — Ajustes'!$H357="✔ Concluído",OR('E6 — Ajustes'!$I357="✔ Concluído",'E6 — Ajustes'!$I357="N/A"),'E6 — Ajustes'!$J357="✔ Concluído"),"Concluído",IF(COUNTIF('E6 — Ajustes'!$E357:$J357,"✔ Concluído")+COUNTIF('E6 — Ajustes'!$E357:$J357,"🔄 Em andamento")&gt;0,"Em andamento","Não iniciado"))))))))</f>
        <v/>
      </c>
      <c r="K375" s="229" t="str">
        <f>IF($B375="","",IF($I375&lt;&gt;"Concluído","Não iniciado",IF(AND($J375&lt;&gt;"Concluído",$J375&lt;&gt;"N/A"),"Não iniciado",IF(COUNTIF(Lançamentos!$B$3:$B$1001,$B375)=0,"Bloqueado",IF('E7 — Entrega'!$D357="","Bloqueado",IF(COUNTIF('E7 — Entrega'!$E357:$H357,"⛔ Bloqueado")&gt;0,"Bloqueado",IF(COUNTIF('E7 — Entrega'!$E357:$H357,"✔ Concluído")=4,"Concluído",IF(COUNTIF('E7 — Entrega'!$E357:$H357,"✔ Concluído")+COUNTIF('E7 — Entrega'!$E357:$H357,"🔄 Em andamento")&gt;0,"Em andamento","Não iniciado"))))))))</f>
        <v/>
      </c>
      <c r="L375" s="229" t="str">
        <f>IF($B375="","",IF($K375&lt;&gt;"Concluído","Não iniciado",IF(OR(COUNTIF('E08 — Estabilização Hypercare'!$E357:$J357,"⛔ Bloqueado")&gt;0,'E08 — Estabilização Hypercare'!$N357="⛔ Incidente Crítico — Encerramento Bloqueado",AND('E08 — Estabilização Hypercare'!$N357="🆕 Evolução Identificada — Nova Demanda Aberta",'E08 — Estabilização Hypercare'!$U357="")),"Bloqueado",IF(AND('E08 — Estabilização Hypercare'!$E357="✔ Concluído",'E08 — Estabilização Hypercare'!$F357="✔ Concluído",'E08 — Estabilização Hypercare'!$G357="✔ Concluído",OR('E08 — Estabilização Hypercare'!$H357="✔ Concluído",'E08 — Estabilização Hypercare'!$H357="N/A"),'E08 — Estabilização Hypercare'!$I357="✔ Concluído",'E08 — Estabilização Hypercare'!$J357="✔ Concluído",OR('E08 — Estabilização Hypercare'!$N357="✅ Estável — Demanda Encerrada",AND('E08 — Estabilização Hypercare'!$N357="🆕 Evolução Identificada — Nova Demanda Aberta",'E08 — Estabilização Hypercare'!$U357&lt;&gt;""))),"Concluído",IF(OR(COUNTIF('E08 — Estabilização Hypercare'!$E357:$J357,"✔ Concluído")&gt;0,COUNTIF('E08 — Estabilização Hypercare'!$E357:$J357,"🔄 Em andamento")&gt;0,'E08 — Estabilização Hypercare'!$N357&lt;&gt;""),"Em andamento","Não iniciado")))))</f>
        <v/>
      </c>
      <c r="M375" s="232" t="str" cm="1">
        <f t="array" ref="M375">IF(B375="","",_xlfn.IFS(E375&lt;&gt;"Concluído","E1 — Solicitação",F375&lt;&gt;"Concluído","E2 — Triagem",G375&lt;&gt;"Concluído","E3 — Levantamento ⚠",H375&lt;&gt;"Concluído","E4 — Execução",I375&lt;&gt;"Concluído","E5 — Validação ⚠",AND(J375&lt;&gt;"Concluído",J375&lt;&gt;"N/A"),"E6 — Ajustes",K375&lt;&gt;"Concluído","E7 — Entrega",L375&lt;&gt;"Concluído","E08 — Estabilização / Hypercare",TRUE,"✔ Fluxo concluído"))</f>
        <v/>
      </c>
      <c r="N375" s="233" t="str">
        <f t="shared" si="6"/>
        <v/>
      </c>
      <c r="O375" s="230"/>
    </row>
    <row r="376" spans="2:15" x14ac:dyDescent="0.35">
      <c r="B376" s="229" t="str">
        <f>IF(Lançamentos!$B353="","",Lançamentos!$B353)</f>
        <v/>
      </c>
      <c r="C376" s="231" t="str">
        <f>IF($B376="","",Lançamentos!$J353)</f>
        <v/>
      </c>
      <c r="D376" s="231" t="str">
        <f>IF($B376="","",Lançamentos!$H353)</f>
        <v/>
      </c>
      <c r="E376" s="229" t="str">
        <f>IF($B376="","",IF(COUNTIF(Lançamentos!$B$3:$B$1001,$B376)=0,"Bloqueado",IF(COUNTIF('E1 — Solicitação'!$E358:$L358,"⛔ Bloqueado")&gt;0,"Bloqueado",IF(COUNTIF('E1 — Solicitação'!$E358:$L358,"N/A")=8,"Bloqueado",IF(COUNTIF('E1 — Solicitação'!$E358:$L358,"✔ Concluído")+COUNTIF('E1 — Solicitação'!$E358:$L358,"N/A")=8,"Concluído",IF(COUNTIF('E1 — Solicitação'!$E358:$L358,"✔ Concluído")+COUNTIF('E1 — Solicitação'!$E358:$L358,"🔄 Em andamento")&gt;0,"Em andamento","Não iniciado"))))))</f>
        <v/>
      </c>
      <c r="F376" s="229" t="str">
        <f>IF($B376="","",IF($E376&lt;&gt;"Concluído","Não iniciado",IF(COUNTIF(Lançamentos!$B$3:$B$1001,$B376)=0,"Bloqueado",IF('E2 — Triagem'!$D358="","Bloqueado",IF(COUNTIF('E2 — Triagem'!$E358:$L358,"N/A")=8,"Bloqueado",IF(COUNTIF('E2 — Triagem'!$E358:$L358,"⛔ Bloqueado")&gt;0,"Bloqueado",IF(COUNTIF('E2 — Triagem'!$E358:$L358,"✔ Concluído")+COUNTIF('E2 — Triagem'!$E358:$L358,"N/A")=8,"Concluído",IF(COUNTIF('E2 — Triagem'!$E358:$L358,"✔ Concluído")+COUNTIF('E2 — Triagem'!$E358:$L358,"🔄 Em andamento")&gt;0,"Em andamento","Não iniciado"))))))))</f>
        <v/>
      </c>
      <c r="G376" s="229" t="str">
        <f>IF($B376="","",IF($F376&lt;&gt;"Concluído","Não iniciado",IF(COUNTIF(Lançamentos!$B$3:$B$1001,$B376)=0,"Bloqueado",IF('E3 — Levantamento'!$D358="","Bloqueado",IF(COUNTIF('E3 — Levantamento'!$E358:$I358,"⛔ Bloqueado")&gt;0,"Bloqueado",IF('E3 — Levantamento'!$I358="N/A","Bloqueado",IF(COUNTIF('E3 — Levantamento'!$E358:$I358,"✔ Concluído")=5,"Concluído",IF(COUNTIF('E3 — Levantamento'!$E358:$I358,"✔ Concluído")+COUNTIF('E3 — Levantamento'!$E358:$I358,"🔄 Em andamento")&gt;0,"Em andamento","Não iniciado"))))))))</f>
        <v/>
      </c>
      <c r="H376" s="229" t="str">
        <f>IF($B376="","",IF($G376&lt;&gt;"Concluído","Não iniciado",IF(COUNTIF(Lançamentos!$B$3:$B$1001,$B376)=0,"Bloqueado",IF('E4 — Execução'!$D358="","Bloqueado",IF(COUNTIF('E4 — Execução'!$E358:$K358,"⛔ Bloqueado")&gt;0,"Bloqueado",IF(COUNTIF('E4 — Execução'!$E358:$K358,"✔ Concluído")=7,"Concluído",IF(COUNTIF('E4 — Execução'!$E358:$K358,"✔ Concluído")+COUNTIF('E4 — Execução'!$E358:$K358,"🔄 Em andamento")&gt;0,"Em andamento","Não iniciado")))))))</f>
        <v/>
      </c>
      <c r="I376" s="229" t="str">
        <f>IF($B376="","",IF($H376&lt;&gt;"Concluído","Não iniciado",IF(COUNTIF(Lançamentos!$B$3:$B$1001,$B376)=0,"Bloqueado",IF('E5 — Validação'!$D358="","Bloqueado",IF(COUNTIF('E5 — Validação'!$E358:$I358,"⛔ Bloqueado")&gt;0,"Bloqueado",IF('E5 — Validação'!$I358="N/A","Bloqueado",IF(AND('E5 — Validação'!$E358="✔ Concluído",'E5 — Validação'!$F358="✔ Concluído",OR('E5 — Validação'!$G358="✔ Concluído",'E5 — Validação'!$G358="N/A"),'E5 — Validação'!$H358="✔ Concluído",'E5 — Validação'!$I358="✔ Concluído"),"Concluído",IF(COUNTIF('E5 — Validação'!$E358:$I358,"✔ Concluído")+COUNTIF('E5 — Validação'!$E358:$I358,"🔄 Em andamento")&gt;0,"Em andamento","Não iniciado"))))))))</f>
        <v/>
      </c>
      <c r="J376" s="229" t="str">
        <f>IF($B376="","",IF($I376&lt;&gt;"Concluído","Não iniciado",IF('E6 — Ajustes'!$N358="Não","N/A",IF(COUNTIF(Lançamentos!$B$3:$B$1001,$B376)=0,"Bloqueado",IF('E6 — Ajustes'!$D358="","Bloqueado",IF(COUNTIF('E6 — Ajustes'!$E358:$J358,"⛔ Bloqueado")&gt;0,"Bloqueado",IF(AND('E6 — Ajustes'!$E358="✔ Concluído",'E6 — Ajustes'!$F358="✔ Concluído",'E6 — Ajustes'!$G358="✔ Concluído",'E6 — Ajustes'!$H358="✔ Concluído",OR('E6 — Ajustes'!$I358="✔ Concluído",'E6 — Ajustes'!$I358="N/A"),'E6 — Ajustes'!$J358="✔ Concluído"),"Concluído",IF(COUNTIF('E6 — Ajustes'!$E358:$J358,"✔ Concluído")+COUNTIF('E6 — Ajustes'!$E358:$J358,"🔄 Em andamento")&gt;0,"Em andamento","Não iniciado"))))))))</f>
        <v/>
      </c>
      <c r="K376" s="229" t="str">
        <f>IF($B376="","",IF($I376&lt;&gt;"Concluído","Não iniciado",IF(AND($J376&lt;&gt;"Concluído",$J376&lt;&gt;"N/A"),"Não iniciado",IF(COUNTIF(Lançamentos!$B$3:$B$1001,$B376)=0,"Bloqueado",IF('E7 — Entrega'!$D358="","Bloqueado",IF(COUNTIF('E7 — Entrega'!$E358:$H358,"⛔ Bloqueado")&gt;0,"Bloqueado",IF(COUNTIF('E7 — Entrega'!$E358:$H358,"✔ Concluído")=4,"Concluído",IF(COUNTIF('E7 — Entrega'!$E358:$H358,"✔ Concluído")+COUNTIF('E7 — Entrega'!$E358:$H358,"🔄 Em andamento")&gt;0,"Em andamento","Não iniciado"))))))))</f>
        <v/>
      </c>
      <c r="L376" s="229" t="str">
        <f>IF($B376="","",IF($K376&lt;&gt;"Concluído","Não iniciado",IF(OR(COUNTIF('E08 — Estabilização Hypercare'!$E358:$J358,"⛔ Bloqueado")&gt;0,'E08 — Estabilização Hypercare'!$N358="⛔ Incidente Crítico — Encerramento Bloqueado",AND('E08 — Estabilização Hypercare'!$N358="🆕 Evolução Identificada — Nova Demanda Aberta",'E08 — Estabilização Hypercare'!$U358="")),"Bloqueado",IF(AND('E08 — Estabilização Hypercare'!$E358="✔ Concluído",'E08 — Estabilização Hypercare'!$F358="✔ Concluído",'E08 — Estabilização Hypercare'!$G358="✔ Concluído",OR('E08 — Estabilização Hypercare'!$H358="✔ Concluído",'E08 — Estabilização Hypercare'!$H358="N/A"),'E08 — Estabilização Hypercare'!$I358="✔ Concluído",'E08 — Estabilização Hypercare'!$J358="✔ Concluído",OR('E08 — Estabilização Hypercare'!$N358="✅ Estável — Demanda Encerrada",AND('E08 — Estabilização Hypercare'!$N358="🆕 Evolução Identificada — Nova Demanda Aberta",'E08 — Estabilização Hypercare'!$U358&lt;&gt;""))),"Concluído",IF(OR(COUNTIF('E08 — Estabilização Hypercare'!$E358:$J358,"✔ Concluído")&gt;0,COUNTIF('E08 — Estabilização Hypercare'!$E358:$J358,"🔄 Em andamento")&gt;0,'E08 — Estabilização Hypercare'!$N358&lt;&gt;""),"Em andamento","Não iniciado")))))</f>
        <v/>
      </c>
      <c r="M376" s="232" t="str" cm="1">
        <f t="array" ref="M376">IF(B376="","",_xlfn.IFS(E376&lt;&gt;"Concluído","E1 — Solicitação",F376&lt;&gt;"Concluído","E2 — Triagem",G376&lt;&gt;"Concluído","E3 — Levantamento ⚠",H376&lt;&gt;"Concluído","E4 — Execução",I376&lt;&gt;"Concluído","E5 — Validação ⚠",AND(J376&lt;&gt;"Concluído",J376&lt;&gt;"N/A"),"E6 — Ajustes",K376&lt;&gt;"Concluído","E7 — Entrega",L376&lt;&gt;"Concluído","E08 — Estabilização / Hypercare",TRUE,"✔ Fluxo concluído"))</f>
        <v/>
      </c>
      <c r="N376" s="233" t="str">
        <f t="shared" si="6"/>
        <v/>
      </c>
      <c r="O376" s="230"/>
    </row>
    <row r="377" spans="2:15" x14ac:dyDescent="0.35">
      <c r="B377" s="229" t="str">
        <f>IF(Lançamentos!$B354="","",Lançamentos!$B354)</f>
        <v/>
      </c>
      <c r="C377" s="231" t="str">
        <f>IF($B377="","",Lançamentos!$J354)</f>
        <v/>
      </c>
      <c r="D377" s="231" t="str">
        <f>IF($B377="","",Lançamentos!$H354)</f>
        <v/>
      </c>
      <c r="E377" s="229" t="str">
        <f>IF($B377="","",IF(COUNTIF(Lançamentos!$B$3:$B$1001,$B377)=0,"Bloqueado",IF(COUNTIF('E1 — Solicitação'!$E359:$L359,"⛔ Bloqueado")&gt;0,"Bloqueado",IF(COUNTIF('E1 — Solicitação'!$E359:$L359,"N/A")=8,"Bloqueado",IF(COUNTIF('E1 — Solicitação'!$E359:$L359,"✔ Concluído")+COUNTIF('E1 — Solicitação'!$E359:$L359,"N/A")=8,"Concluído",IF(COUNTIF('E1 — Solicitação'!$E359:$L359,"✔ Concluído")+COUNTIF('E1 — Solicitação'!$E359:$L359,"🔄 Em andamento")&gt;0,"Em andamento","Não iniciado"))))))</f>
        <v/>
      </c>
      <c r="F377" s="229" t="str">
        <f>IF($B377="","",IF($E377&lt;&gt;"Concluído","Não iniciado",IF(COUNTIF(Lançamentos!$B$3:$B$1001,$B377)=0,"Bloqueado",IF('E2 — Triagem'!$D359="","Bloqueado",IF(COUNTIF('E2 — Triagem'!$E359:$L359,"N/A")=8,"Bloqueado",IF(COUNTIF('E2 — Triagem'!$E359:$L359,"⛔ Bloqueado")&gt;0,"Bloqueado",IF(COUNTIF('E2 — Triagem'!$E359:$L359,"✔ Concluído")+COUNTIF('E2 — Triagem'!$E359:$L359,"N/A")=8,"Concluído",IF(COUNTIF('E2 — Triagem'!$E359:$L359,"✔ Concluído")+COUNTIF('E2 — Triagem'!$E359:$L359,"🔄 Em andamento")&gt;0,"Em andamento","Não iniciado"))))))))</f>
        <v/>
      </c>
      <c r="G377" s="229" t="str">
        <f>IF($B377="","",IF($F377&lt;&gt;"Concluído","Não iniciado",IF(COUNTIF(Lançamentos!$B$3:$B$1001,$B377)=0,"Bloqueado",IF('E3 — Levantamento'!$D359="","Bloqueado",IF(COUNTIF('E3 — Levantamento'!$E359:$I359,"⛔ Bloqueado")&gt;0,"Bloqueado",IF('E3 — Levantamento'!$I359="N/A","Bloqueado",IF(COUNTIF('E3 — Levantamento'!$E359:$I359,"✔ Concluído")=5,"Concluído",IF(COUNTIF('E3 — Levantamento'!$E359:$I359,"✔ Concluído")+COUNTIF('E3 — Levantamento'!$E359:$I359,"🔄 Em andamento")&gt;0,"Em andamento","Não iniciado"))))))))</f>
        <v/>
      </c>
      <c r="H377" s="229" t="str">
        <f>IF($B377="","",IF($G377&lt;&gt;"Concluído","Não iniciado",IF(COUNTIF(Lançamentos!$B$3:$B$1001,$B377)=0,"Bloqueado",IF('E4 — Execução'!$D359="","Bloqueado",IF(COUNTIF('E4 — Execução'!$E359:$K359,"⛔ Bloqueado")&gt;0,"Bloqueado",IF(COUNTIF('E4 — Execução'!$E359:$K359,"✔ Concluído")=7,"Concluído",IF(COUNTIF('E4 — Execução'!$E359:$K359,"✔ Concluído")+COUNTIF('E4 — Execução'!$E359:$K359,"🔄 Em andamento")&gt;0,"Em andamento","Não iniciado")))))))</f>
        <v/>
      </c>
      <c r="I377" s="229" t="str">
        <f>IF($B377="","",IF($H377&lt;&gt;"Concluído","Não iniciado",IF(COUNTIF(Lançamentos!$B$3:$B$1001,$B377)=0,"Bloqueado",IF('E5 — Validação'!$D359="","Bloqueado",IF(COUNTIF('E5 — Validação'!$E359:$I359,"⛔ Bloqueado")&gt;0,"Bloqueado",IF('E5 — Validação'!$I359="N/A","Bloqueado",IF(AND('E5 — Validação'!$E359="✔ Concluído",'E5 — Validação'!$F359="✔ Concluído",OR('E5 — Validação'!$G359="✔ Concluído",'E5 — Validação'!$G359="N/A"),'E5 — Validação'!$H359="✔ Concluído",'E5 — Validação'!$I359="✔ Concluído"),"Concluído",IF(COUNTIF('E5 — Validação'!$E359:$I359,"✔ Concluído")+COUNTIF('E5 — Validação'!$E359:$I359,"🔄 Em andamento")&gt;0,"Em andamento","Não iniciado"))))))))</f>
        <v/>
      </c>
      <c r="J377" s="229" t="str">
        <f>IF($B377="","",IF($I377&lt;&gt;"Concluído","Não iniciado",IF('E6 — Ajustes'!$N359="Não","N/A",IF(COUNTIF(Lançamentos!$B$3:$B$1001,$B377)=0,"Bloqueado",IF('E6 — Ajustes'!$D359="","Bloqueado",IF(COUNTIF('E6 — Ajustes'!$E359:$J359,"⛔ Bloqueado")&gt;0,"Bloqueado",IF(AND('E6 — Ajustes'!$E359="✔ Concluído",'E6 — Ajustes'!$F359="✔ Concluído",'E6 — Ajustes'!$G359="✔ Concluído",'E6 — Ajustes'!$H359="✔ Concluído",OR('E6 — Ajustes'!$I359="✔ Concluído",'E6 — Ajustes'!$I359="N/A"),'E6 — Ajustes'!$J359="✔ Concluído"),"Concluído",IF(COUNTIF('E6 — Ajustes'!$E359:$J359,"✔ Concluído")+COUNTIF('E6 — Ajustes'!$E359:$J359,"🔄 Em andamento")&gt;0,"Em andamento","Não iniciado"))))))))</f>
        <v/>
      </c>
      <c r="K377" s="229" t="str">
        <f>IF($B377="","",IF($I377&lt;&gt;"Concluído","Não iniciado",IF(AND($J377&lt;&gt;"Concluído",$J377&lt;&gt;"N/A"),"Não iniciado",IF(COUNTIF(Lançamentos!$B$3:$B$1001,$B377)=0,"Bloqueado",IF('E7 — Entrega'!$D359="","Bloqueado",IF(COUNTIF('E7 — Entrega'!$E359:$H359,"⛔ Bloqueado")&gt;0,"Bloqueado",IF(COUNTIF('E7 — Entrega'!$E359:$H359,"✔ Concluído")=4,"Concluído",IF(COUNTIF('E7 — Entrega'!$E359:$H359,"✔ Concluído")+COUNTIF('E7 — Entrega'!$E359:$H359,"🔄 Em andamento")&gt;0,"Em andamento","Não iniciado"))))))))</f>
        <v/>
      </c>
      <c r="L377" s="229" t="str">
        <f>IF($B377="","",IF($K377&lt;&gt;"Concluído","Não iniciado",IF(OR(COUNTIF('E08 — Estabilização Hypercare'!$E359:$J359,"⛔ Bloqueado")&gt;0,'E08 — Estabilização Hypercare'!$N359="⛔ Incidente Crítico — Encerramento Bloqueado",AND('E08 — Estabilização Hypercare'!$N359="🆕 Evolução Identificada — Nova Demanda Aberta",'E08 — Estabilização Hypercare'!$U359="")),"Bloqueado",IF(AND('E08 — Estabilização Hypercare'!$E359="✔ Concluído",'E08 — Estabilização Hypercare'!$F359="✔ Concluído",'E08 — Estabilização Hypercare'!$G359="✔ Concluído",OR('E08 — Estabilização Hypercare'!$H359="✔ Concluído",'E08 — Estabilização Hypercare'!$H359="N/A"),'E08 — Estabilização Hypercare'!$I359="✔ Concluído",'E08 — Estabilização Hypercare'!$J359="✔ Concluído",OR('E08 — Estabilização Hypercare'!$N359="✅ Estável — Demanda Encerrada",AND('E08 — Estabilização Hypercare'!$N359="🆕 Evolução Identificada — Nova Demanda Aberta",'E08 — Estabilização Hypercare'!$U359&lt;&gt;""))),"Concluído",IF(OR(COUNTIF('E08 — Estabilização Hypercare'!$E359:$J359,"✔ Concluído")&gt;0,COUNTIF('E08 — Estabilização Hypercare'!$E359:$J359,"🔄 Em andamento")&gt;0,'E08 — Estabilização Hypercare'!$N359&lt;&gt;""),"Em andamento","Não iniciado")))))</f>
        <v/>
      </c>
      <c r="M377" s="232" t="str" cm="1">
        <f t="array" ref="M377">IF(B377="","",_xlfn.IFS(E377&lt;&gt;"Concluído","E1 — Solicitação",F377&lt;&gt;"Concluído","E2 — Triagem",G377&lt;&gt;"Concluído","E3 — Levantamento ⚠",H377&lt;&gt;"Concluído","E4 — Execução",I377&lt;&gt;"Concluído","E5 — Validação ⚠",AND(J377&lt;&gt;"Concluído",J377&lt;&gt;"N/A"),"E6 — Ajustes",K377&lt;&gt;"Concluído","E7 — Entrega",L377&lt;&gt;"Concluído","E08 — Estabilização / Hypercare",TRUE,"✔ Fluxo concluído"))</f>
        <v/>
      </c>
      <c r="N377" s="233" t="str">
        <f t="shared" si="6"/>
        <v/>
      </c>
      <c r="O377" s="230"/>
    </row>
    <row r="378" spans="2:15" x14ac:dyDescent="0.35">
      <c r="B378" s="229" t="str">
        <f>IF(Lançamentos!$B355="","",Lançamentos!$B355)</f>
        <v/>
      </c>
      <c r="C378" s="231" t="str">
        <f>IF($B378="","",Lançamentos!$J355)</f>
        <v/>
      </c>
      <c r="D378" s="231" t="str">
        <f>IF($B378="","",Lançamentos!$H355)</f>
        <v/>
      </c>
      <c r="E378" s="229" t="str">
        <f>IF($B378="","",IF(COUNTIF(Lançamentos!$B$3:$B$1001,$B378)=0,"Bloqueado",IF(COUNTIF('E1 — Solicitação'!$E360:$L360,"⛔ Bloqueado")&gt;0,"Bloqueado",IF(COUNTIF('E1 — Solicitação'!$E360:$L360,"N/A")=8,"Bloqueado",IF(COUNTIF('E1 — Solicitação'!$E360:$L360,"✔ Concluído")+COUNTIF('E1 — Solicitação'!$E360:$L360,"N/A")=8,"Concluído",IF(COUNTIF('E1 — Solicitação'!$E360:$L360,"✔ Concluído")+COUNTIF('E1 — Solicitação'!$E360:$L360,"🔄 Em andamento")&gt;0,"Em andamento","Não iniciado"))))))</f>
        <v/>
      </c>
      <c r="F378" s="229" t="str">
        <f>IF($B378="","",IF($E378&lt;&gt;"Concluído","Não iniciado",IF(COUNTIF(Lançamentos!$B$3:$B$1001,$B378)=0,"Bloqueado",IF('E2 — Triagem'!$D360="","Bloqueado",IF(COUNTIF('E2 — Triagem'!$E360:$L360,"N/A")=8,"Bloqueado",IF(COUNTIF('E2 — Triagem'!$E360:$L360,"⛔ Bloqueado")&gt;0,"Bloqueado",IF(COUNTIF('E2 — Triagem'!$E360:$L360,"✔ Concluído")+COUNTIF('E2 — Triagem'!$E360:$L360,"N/A")=8,"Concluído",IF(COUNTIF('E2 — Triagem'!$E360:$L360,"✔ Concluído")+COUNTIF('E2 — Triagem'!$E360:$L360,"🔄 Em andamento")&gt;0,"Em andamento","Não iniciado"))))))))</f>
        <v/>
      </c>
      <c r="G378" s="229" t="str">
        <f>IF($B378="","",IF($F378&lt;&gt;"Concluído","Não iniciado",IF(COUNTIF(Lançamentos!$B$3:$B$1001,$B378)=0,"Bloqueado",IF('E3 — Levantamento'!$D360="","Bloqueado",IF(COUNTIF('E3 — Levantamento'!$E360:$I360,"⛔ Bloqueado")&gt;0,"Bloqueado",IF('E3 — Levantamento'!$I360="N/A","Bloqueado",IF(COUNTIF('E3 — Levantamento'!$E360:$I360,"✔ Concluído")=5,"Concluído",IF(COUNTIF('E3 — Levantamento'!$E360:$I360,"✔ Concluído")+COUNTIF('E3 — Levantamento'!$E360:$I360,"🔄 Em andamento")&gt;0,"Em andamento","Não iniciado"))))))))</f>
        <v/>
      </c>
      <c r="H378" s="229" t="str">
        <f>IF($B378="","",IF($G378&lt;&gt;"Concluído","Não iniciado",IF(COUNTIF(Lançamentos!$B$3:$B$1001,$B378)=0,"Bloqueado",IF('E4 — Execução'!$D360="","Bloqueado",IF(COUNTIF('E4 — Execução'!$E360:$K360,"⛔ Bloqueado")&gt;0,"Bloqueado",IF(COUNTIF('E4 — Execução'!$E360:$K360,"✔ Concluído")=7,"Concluído",IF(COUNTIF('E4 — Execução'!$E360:$K360,"✔ Concluído")+COUNTIF('E4 — Execução'!$E360:$K360,"🔄 Em andamento")&gt;0,"Em andamento","Não iniciado")))))))</f>
        <v/>
      </c>
      <c r="I378" s="229" t="str">
        <f>IF($B378="","",IF($H378&lt;&gt;"Concluído","Não iniciado",IF(COUNTIF(Lançamentos!$B$3:$B$1001,$B378)=0,"Bloqueado",IF('E5 — Validação'!$D360="","Bloqueado",IF(COUNTIF('E5 — Validação'!$E360:$I360,"⛔ Bloqueado")&gt;0,"Bloqueado",IF('E5 — Validação'!$I360="N/A","Bloqueado",IF(AND('E5 — Validação'!$E360="✔ Concluído",'E5 — Validação'!$F360="✔ Concluído",OR('E5 — Validação'!$G360="✔ Concluído",'E5 — Validação'!$G360="N/A"),'E5 — Validação'!$H360="✔ Concluído",'E5 — Validação'!$I360="✔ Concluído"),"Concluído",IF(COUNTIF('E5 — Validação'!$E360:$I360,"✔ Concluído")+COUNTIF('E5 — Validação'!$E360:$I360,"🔄 Em andamento")&gt;0,"Em andamento","Não iniciado"))))))))</f>
        <v/>
      </c>
      <c r="J378" s="229" t="str">
        <f>IF($B378="","",IF($I378&lt;&gt;"Concluído","Não iniciado",IF('E6 — Ajustes'!$N360="Não","N/A",IF(COUNTIF(Lançamentos!$B$3:$B$1001,$B378)=0,"Bloqueado",IF('E6 — Ajustes'!$D360="","Bloqueado",IF(COUNTIF('E6 — Ajustes'!$E360:$J360,"⛔ Bloqueado")&gt;0,"Bloqueado",IF(AND('E6 — Ajustes'!$E360="✔ Concluído",'E6 — Ajustes'!$F360="✔ Concluído",'E6 — Ajustes'!$G360="✔ Concluído",'E6 — Ajustes'!$H360="✔ Concluído",OR('E6 — Ajustes'!$I360="✔ Concluído",'E6 — Ajustes'!$I360="N/A"),'E6 — Ajustes'!$J360="✔ Concluído"),"Concluído",IF(COUNTIF('E6 — Ajustes'!$E360:$J360,"✔ Concluído")+COUNTIF('E6 — Ajustes'!$E360:$J360,"🔄 Em andamento")&gt;0,"Em andamento","Não iniciado"))))))))</f>
        <v/>
      </c>
      <c r="K378" s="229" t="str">
        <f>IF($B378="","",IF($I378&lt;&gt;"Concluído","Não iniciado",IF(AND($J378&lt;&gt;"Concluído",$J378&lt;&gt;"N/A"),"Não iniciado",IF(COUNTIF(Lançamentos!$B$3:$B$1001,$B378)=0,"Bloqueado",IF('E7 — Entrega'!$D360="","Bloqueado",IF(COUNTIF('E7 — Entrega'!$E360:$H360,"⛔ Bloqueado")&gt;0,"Bloqueado",IF(COUNTIF('E7 — Entrega'!$E360:$H360,"✔ Concluído")=4,"Concluído",IF(COUNTIF('E7 — Entrega'!$E360:$H360,"✔ Concluído")+COUNTIF('E7 — Entrega'!$E360:$H360,"🔄 Em andamento")&gt;0,"Em andamento","Não iniciado"))))))))</f>
        <v/>
      </c>
      <c r="L378" s="229" t="str">
        <f>IF($B378="","",IF($K378&lt;&gt;"Concluído","Não iniciado",IF(OR(COUNTIF('E08 — Estabilização Hypercare'!$E360:$J360,"⛔ Bloqueado")&gt;0,'E08 — Estabilização Hypercare'!$N360="⛔ Incidente Crítico — Encerramento Bloqueado",AND('E08 — Estabilização Hypercare'!$N360="🆕 Evolução Identificada — Nova Demanda Aberta",'E08 — Estabilização Hypercare'!$U360="")),"Bloqueado",IF(AND('E08 — Estabilização Hypercare'!$E360="✔ Concluído",'E08 — Estabilização Hypercare'!$F360="✔ Concluído",'E08 — Estabilização Hypercare'!$G360="✔ Concluído",OR('E08 — Estabilização Hypercare'!$H360="✔ Concluído",'E08 — Estabilização Hypercare'!$H360="N/A"),'E08 — Estabilização Hypercare'!$I360="✔ Concluído",'E08 — Estabilização Hypercare'!$J360="✔ Concluído",OR('E08 — Estabilização Hypercare'!$N360="✅ Estável — Demanda Encerrada",AND('E08 — Estabilização Hypercare'!$N360="🆕 Evolução Identificada — Nova Demanda Aberta",'E08 — Estabilização Hypercare'!$U360&lt;&gt;""))),"Concluído",IF(OR(COUNTIF('E08 — Estabilização Hypercare'!$E360:$J360,"✔ Concluído")&gt;0,COUNTIF('E08 — Estabilização Hypercare'!$E360:$J360,"🔄 Em andamento")&gt;0,'E08 — Estabilização Hypercare'!$N360&lt;&gt;""),"Em andamento","Não iniciado")))))</f>
        <v/>
      </c>
      <c r="M378" s="232" t="str" cm="1">
        <f t="array" ref="M378">IF(B378="","",_xlfn.IFS(E378&lt;&gt;"Concluído","E1 — Solicitação",F378&lt;&gt;"Concluído","E2 — Triagem",G378&lt;&gt;"Concluído","E3 — Levantamento ⚠",H378&lt;&gt;"Concluído","E4 — Execução",I378&lt;&gt;"Concluído","E5 — Validação ⚠",AND(J378&lt;&gt;"Concluído",J378&lt;&gt;"N/A"),"E6 — Ajustes",K378&lt;&gt;"Concluído","E7 — Entrega",L378&lt;&gt;"Concluído","E08 — Estabilização / Hypercare",TRUE,"✔ Fluxo concluído"))</f>
        <v/>
      </c>
      <c r="N378" s="233" t="str">
        <f t="shared" si="6"/>
        <v/>
      </c>
      <c r="O378" s="230"/>
    </row>
    <row r="379" spans="2:15" x14ac:dyDescent="0.35">
      <c r="B379" s="229" t="str">
        <f>IF(Lançamentos!$B356="","",Lançamentos!$B356)</f>
        <v/>
      </c>
      <c r="C379" s="231" t="str">
        <f>IF($B379="","",Lançamentos!$J356)</f>
        <v/>
      </c>
      <c r="D379" s="231" t="str">
        <f>IF($B379="","",Lançamentos!$H356)</f>
        <v/>
      </c>
      <c r="E379" s="229" t="str">
        <f>IF($B379="","",IF(COUNTIF(Lançamentos!$B$3:$B$1001,$B379)=0,"Bloqueado",IF(COUNTIF('E1 — Solicitação'!$E361:$L361,"⛔ Bloqueado")&gt;0,"Bloqueado",IF(COUNTIF('E1 — Solicitação'!$E361:$L361,"N/A")=8,"Bloqueado",IF(COUNTIF('E1 — Solicitação'!$E361:$L361,"✔ Concluído")+COUNTIF('E1 — Solicitação'!$E361:$L361,"N/A")=8,"Concluído",IF(COUNTIF('E1 — Solicitação'!$E361:$L361,"✔ Concluído")+COUNTIF('E1 — Solicitação'!$E361:$L361,"🔄 Em andamento")&gt;0,"Em andamento","Não iniciado"))))))</f>
        <v/>
      </c>
      <c r="F379" s="229" t="str">
        <f>IF($B379="","",IF($E379&lt;&gt;"Concluído","Não iniciado",IF(COUNTIF(Lançamentos!$B$3:$B$1001,$B379)=0,"Bloqueado",IF('E2 — Triagem'!$D361="","Bloqueado",IF(COUNTIF('E2 — Triagem'!$E361:$L361,"N/A")=8,"Bloqueado",IF(COUNTIF('E2 — Triagem'!$E361:$L361,"⛔ Bloqueado")&gt;0,"Bloqueado",IF(COUNTIF('E2 — Triagem'!$E361:$L361,"✔ Concluído")+COUNTIF('E2 — Triagem'!$E361:$L361,"N/A")=8,"Concluído",IF(COUNTIF('E2 — Triagem'!$E361:$L361,"✔ Concluído")+COUNTIF('E2 — Triagem'!$E361:$L361,"🔄 Em andamento")&gt;0,"Em andamento","Não iniciado"))))))))</f>
        <v/>
      </c>
      <c r="G379" s="229" t="str">
        <f>IF($B379="","",IF($F379&lt;&gt;"Concluído","Não iniciado",IF(COUNTIF(Lançamentos!$B$3:$B$1001,$B379)=0,"Bloqueado",IF('E3 — Levantamento'!$D361="","Bloqueado",IF(COUNTIF('E3 — Levantamento'!$E361:$I361,"⛔ Bloqueado")&gt;0,"Bloqueado",IF('E3 — Levantamento'!$I361="N/A","Bloqueado",IF(COUNTIF('E3 — Levantamento'!$E361:$I361,"✔ Concluído")=5,"Concluído",IF(COUNTIF('E3 — Levantamento'!$E361:$I361,"✔ Concluído")+COUNTIF('E3 — Levantamento'!$E361:$I361,"🔄 Em andamento")&gt;0,"Em andamento","Não iniciado"))))))))</f>
        <v/>
      </c>
      <c r="H379" s="229" t="str">
        <f>IF($B379="","",IF($G379&lt;&gt;"Concluído","Não iniciado",IF(COUNTIF(Lançamentos!$B$3:$B$1001,$B379)=0,"Bloqueado",IF('E4 — Execução'!$D361="","Bloqueado",IF(COUNTIF('E4 — Execução'!$E361:$K361,"⛔ Bloqueado")&gt;0,"Bloqueado",IF(COUNTIF('E4 — Execução'!$E361:$K361,"✔ Concluído")=7,"Concluído",IF(COUNTIF('E4 — Execução'!$E361:$K361,"✔ Concluído")+COUNTIF('E4 — Execução'!$E361:$K361,"🔄 Em andamento")&gt;0,"Em andamento","Não iniciado")))))))</f>
        <v/>
      </c>
      <c r="I379" s="229" t="str">
        <f>IF($B379="","",IF($H379&lt;&gt;"Concluído","Não iniciado",IF(COUNTIF(Lançamentos!$B$3:$B$1001,$B379)=0,"Bloqueado",IF('E5 — Validação'!$D361="","Bloqueado",IF(COUNTIF('E5 — Validação'!$E361:$I361,"⛔ Bloqueado")&gt;0,"Bloqueado",IF('E5 — Validação'!$I361="N/A","Bloqueado",IF(AND('E5 — Validação'!$E361="✔ Concluído",'E5 — Validação'!$F361="✔ Concluído",OR('E5 — Validação'!$G361="✔ Concluído",'E5 — Validação'!$G361="N/A"),'E5 — Validação'!$H361="✔ Concluído",'E5 — Validação'!$I361="✔ Concluído"),"Concluído",IF(COUNTIF('E5 — Validação'!$E361:$I361,"✔ Concluído")+COUNTIF('E5 — Validação'!$E361:$I361,"🔄 Em andamento")&gt;0,"Em andamento","Não iniciado"))))))))</f>
        <v/>
      </c>
      <c r="J379" s="229" t="str">
        <f>IF($B379="","",IF($I379&lt;&gt;"Concluído","Não iniciado",IF('E6 — Ajustes'!$N361="Não","N/A",IF(COUNTIF(Lançamentos!$B$3:$B$1001,$B379)=0,"Bloqueado",IF('E6 — Ajustes'!$D361="","Bloqueado",IF(COUNTIF('E6 — Ajustes'!$E361:$J361,"⛔ Bloqueado")&gt;0,"Bloqueado",IF(AND('E6 — Ajustes'!$E361="✔ Concluído",'E6 — Ajustes'!$F361="✔ Concluído",'E6 — Ajustes'!$G361="✔ Concluído",'E6 — Ajustes'!$H361="✔ Concluído",OR('E6 — Ajustes'!$I361="✔ Concluído",'E6 — Ajustes'!$I361="N/A"),'E6 — Ajustes'!$J361="✔ Concluído"),"Concluído",IF(COUNTIF('E6 — Ajustes'!$E361:$J361,"✔ Concluído")+COUNTIF('E6 — Ajustes'!$E361:$J361,"🔄 Em andamento")&gt;0,"Em andamento","Não iniciado"))))))))</f>
        <v/>
      </c>
      <c r="K379" s="229" t="str">
        <f>IF($B379="","",IF($I379&lt;&gt;"Concluído","Não iniciado",IF(AND($J379&lt;&gt;"Concluído",$J379&lt;&gt;"N/A"),"Não iniciado",IF(COUNTIF(Lançamentos!$B$3:$B$1001,$B379)=0,"Bloqueado",IF('E7 — Entrega'!$D361="","Bloqueado",IF(COUNTIF('E7 — Entrega'!$E361:$H361,"⛔ Bloqueado")&gt;0,"Bloqueado",IF(COUNTIF('E7 — Entrega'!$E361:$H361,"✔ Concluído")=4,"Concluído",IF(COUNTIF('E7 — Entrega'!$E361:$H361,"✔ Concluído")+COUNTIF('E7 — Entrega'!$E361:$H361,"🔄 Em andamento")&gt;0,"Em andamento","Não iniciado"))))))))</f>
        <v/>
      </c>
      <c r="L379" s="229" t="str">
        <f>IF($B379="","",IF($K379&lt;&gt;"Concluído","Não iniciado",IF(OR(COUNTIF('E08 — Estabilização Hypercare'!$E361:$J361,"⛔ Bloqueado")&gt;0,'E08 — Estabilização Hypercare'!$N361="⛔ Incidente Crítico — Encerramento Bloqueado",AND('E08 — Estabilização Hypercare'!$N361="🆕 Evolução Identificada — Nova Demanda Aberta",'E08 — Estabilização Hypercare'!$U361="")),"Bloqueado",IF(AND('E08 — Estabilização Hypercare'!$E361="✔ Concluído",'E08 — Estabilização Hypercare'!$F361="✔ Concluído",'E08 — Estabilização Hypercare'!$G361="✔ Concluído",OR('E08 — Estabilização Hypercare'!$H361="✔ Concluído",'E08 — Estabilização Hypercare'!$H361="N/A"),'E08 — Estabilização Hypercare'!$I361="✔ Concluído",'E08 — Estabilização Hypercare'!$J361="✔ Concluído",OR('E08 — Estabilização Hypercare'!$N361="✅ Estável — Demanda Encerrada",AND('E08 — Estabilização Hypercare'!$N361="🆕 Evolução Identificada — Nova Demanda Aberta",'E08 — Estabilização Hypercare'!$U361&lt;&gt;""))),"Concluído",IF(OR(COUNTIF('E08 — Estabilização Hypercare'!$E361:$J361,"✔ Concluído")&gt;0,COUNTIF('E08 — Estabilização Hypercare'!$E361:$J361,"🔄 Em andamento")&gt;0,'E08 — Estabilização Hypercare'!$N361&lt;&gt;""),"Em andamento","Não iniciado")))))</f>
        <v/>
      </c>
      <c r="M379" s="232" t="str" cm="1">
        <f t="array" ref="M379">IF(B379="","",_xlfn.IFS(E379&lt;&gt;"Concluído","E1 — Solicitação",F379&lt;&gt;"Concluído","E2 — Triagem",G379&lt;&gt;"Concluído","E3 — Levantamento ⚠",H379&lt;&gt;"Concluído","E4 — Execução",I379&lt;&gt;"Concluído","E5 — Validação ⚠",AND(J379&lt;&gt;"Concluído",J379&lt;&gt;"N/A"),"E6 — Ajustes",K379&lt;&gt;"Concluído","E7 — Entrega",L379&lt;&gt;"Concluído","E08 — Estabilização / Hypercare",TRUE,"✔ Fluxo concluído"))</f>
        <v/>
      </c>
      <c r="N379" s="233" t="str">
        <f t="shared" si="6"/>
        <v/>
      </c>
      <c r="O379" s="230"/>
    </row>
    <row r="380" spans="2:15" x14ac:dyDescent="0.35">
      <c r="B380" s="229" t="str">
        <f>IF(Lançamentos!$B357="","",Lançamentos!$B357)</f>
        <v/>
      </c>
      <c r="C380" s="231" t="str">
        <f>IF($B380="","",Lançamentos!$J357)</f>
        <v/>
      </c>
      <c r="D380" s="231" t="str">
        <f>IF($B380="","",Lançamentos!$H357)</f>
        <v/>
      </c>
      <c r="E380" s="229" t="str">
        <f>IF($B380="","",IF(COUNTIF(Lançamentos!$B$3:$B$1001,$B380)=0,"Bloqueado",IF(COUNTIF('E1 — Solicitação'!$E362:$L362,"⛔ Bloqueado")&gt;0,"Bloqueado",IF(COUNTIF('E1 — Solicitação'!$E362:$L362,"N/A")=8,"Bloqueado",IF(COUNTIF('E1 — Solicitação'!$E362:$L362,"✔ Concluído")+COUNTIF('E1 — Solicitação'!$E362:$L362,"N/A")=8,"Concluído",IF(COUNTIF('E1 — Solicitação'!$E362:$L362,"✔ Concluído")+COUNTIF('E1 — Solicitação'!$E362:$L362,"🔄 Em andamento")&gt;0,"Em andamento","Não iniciado"))))))</f>
        <v/>
      </c>
      <c r="F380" s="229" t="str">
        <f>IF($B380="","",IF($E380&lt;&gt;"Concluído","Não iniciado",IF(COUNTIF(Lançamentos!$B$3:$B$1001,$B380)=0,"Bloqueado",IF('E2 — Triagem'!$D362="","Bloqueado",IF(COUNTIF('E2 — Triagem'!$E362:$L362,"N/A")=8,"Bloqueado",IF(COUNTIF('E2 — Triagem'!$E362:$L362,"⛔ Bloqueado")&gt;0,"Bloqueado",IF(COUNTIF('E2 — Triagem'!$E362:$L362,"✔ Concluído")+COUNTIF('E2 — Triagem'!$E362:$L362,"N/A")=8,"Concluído",IF(COUNTIF('E2 — Triagem'!$E362:$L362,"✔ Concluído")+COUNTIF('E2 — Triagem'!$E362:$L362,"🔄 Em andamento")&gt;0,"Em andamento","Não iniciado"))))))))</f>
        <v/>
      </c>
      <c r="G380" s="229" t="str">
        <f>IF($B380="","",IF($F380&lt;&gt;"Concluído","Não iniciado",IF(COUNTIF(Lançamentos!$B$3:$B$1001,$B380)=0,"Bloqueado",IF('E3 — Levantamento'!$D362="","Bloqueado",IF(COUNTIF('E3 — Levantamento'!$E362:$I362,"⛔ Bloqueado")&gt;0,"Bloqueado",IF('E3 — Levantamento'!$I362="N/A","Bloqueado",IF(COUNTIF('E3 — Levantamento'!$E362:$I362,"✔ Concluído")=5,"Concluído",IF(COUNTIF('E3 — Levantamento'!$E362:$I362,"✔ Concluído")+COUNTIF('E3 — Levantamento'!$E362:$I362,"🔄 Em andamento")&gt;0,"Em andamento","Não iniciado"))))))))</f>
        <v/>
      </c>
      <c r="H380" s="229" t="str">
        <f>IF($B380="","",IF($G380&lt;&gt;"Concluído","Não iniciado",IF(COUNTIF(Lançamentos!$B$3:$B$1001,$B380)=0,"Bloqueado",IF('E4 — Execução'!$D362="","Bloqueado",IF(COUNTIF('E4 — Execução'!$E362:$K362,"⛔ Bloqueado")&gt;0,"Bloqueado",IF(COUNTIF('E4 — Execução'!$E362:$K362,"✔ Concluído")=7,"Concluído",IF(COUNTIF('E4 — Execução'!$E362:$K362,"✔ Concluído")+COUNTIF('E4 — Execução'!$E362:$K362,"🔄 Em andamento")&gt;0,"Em andamento","Não iniciado")))))))</f>
        <v/>
      </c>
      <c r="I380" s="229" t="str">
        <f>IF($B380="","",IF($H380&lt;&gt;"Concluído","Não iniciado",IF(COUNTIF(Lançamentos!$B$3:$B$1001,$B380)=0,"Bloqueado",IF('E5 — Validação'!$D362="","Bloqueado",IF(COUNTIF('E5 — Validação'!$E362:$I362,"⛔ Bloqueado")&gt;0,"Bloqueado",IF('E5 — Validação'!$I362="N/A","Bloqueado",IF(AND('E5 — Validação'!$E362="✔ Concluído",'E5 — Validação'!$F362="✔ Concluído",OR('E5 — Validação'!$G362="✔ Concluído",'E5 — Validação'!$G362="N/A"),'E5 — Validação'!$H362="✔ Concluído",'E5 — Validação'!$I362="✔ Concluído"),"Concluído",IF(COUNTIF('E5 — Validação'!$E362:$I362,"✔ Concluído")+COUNTIF('E5 — Validação'!$E362:$I362,"🔄 Em andamento")&gt;0,"Em andamento","Não iniciado"))))))))</f>
        <v/>
      </c>
      <c r="J380" s="229" t="str">
        <f>IF($B380="","",IF($I380&lt;&gt;"Concluído","Não iniciado",IF('E6 — Ajustes'!$N362="Não","N/A",IF(COUNTIF(Lançamentos!$B$3:$B$1001,$B380)=0,"Bloqueado",IF('E6 — Ajustes'!$D362="","Bloqueado",IF(COUNTIF('E6 — Ajustes'!$E362:$J362,"⛔ Bloqueado")&gt;0,"Bloqueado",IF(AND('E6 — Ajustes'!$E362="✔ Concluído",'E6 — Ajustes'!$F362="✔ Concluído",'E6 — Ajustes'!$G362="✔ Concluído",'E6 — Ajustes'!$H362="✔ Concluído",OR('E6 — Ajustes'!$I362="✔ Concluído",'E6 — Ajustes'!$I362="N/A"),'E6 — Ajustes'!$J362="✔ Concluído"),"Concluído",IF(COUNTIF('E6 — Ajustes'!$E362:$J362,"✔ Concluído")+COUNTIF('E6 — Ajustes'!$E362:$J362,"🔄 Em andamento")&gt;0,"Em andamento","Não iniciado"))))))))</f>
        <v/>
      </c>
      <c r="K380" s="229" t="str">
        <f>IF($B380="","",IF($I380&lt;&gt;"Concluído","Não iniciado",IF(AND($J380&lt;&gt;"Concluído",$J380&lt;&gt;"N/A"),"Não iniciado",IF(COUNTIF(Lançamentos!$B$3:$B$1001,$B380)=0,"Bloqueado",IF('E7 — Entrega'!$D362="","Bloqueado",IF(COUNTIF('E7 — Entrega'!$E362:$H362,"⛔ Bloqueado")&gt;0,"Bloqueado",IF(COUNTIF('E7 — Entrega'!$E362:$H362,"✔ Concluído")=4,"Concluído",IF(COUNTIF('E7 — Entrega'!$E362:$H362,"✔ Concluído")+COUNTIF('E7 — Entrega'!$E362:$H362,"🔄 Em andamento")&gt;0,"Em andamento","Não iniciado"))))))))</f>
        <v/>
      </c>
      <c r="L380" s="229" t="str">
        <f>IF($B380="","",IF($K380&lt;&gt;"Concluído","Não iniciado",IF(OR(COUNTIF('E08 — Estabilização Hypercare'!$E362:$J362,"⛔ Bloqueado")&gt;0,'E08 — Estabilização Hypercare'!$N362="⛔ Incidente Crítico — Encerramento Bloqueado",AND('E08 — Estabilização Hypercare'!$N362="🆕 Evolução Identificada — Nova Demanda Aberta",'E08 — Estabilização Hypercare'!$U362="")),"Bloqueado",IF(AND('E08 — Estabilização Hypercare'!$E362="✔ Concluído",'E08 — Estabilização Hypercare'!$F362="✔ Concluído",'E08 — Estabilização Hypercare'!$G362="✔ Concluído",OR('E08 — Estabilização Hypercare'!$H362="✔ Concluído",'E08 — Estabilização Hypercare'!$H362="N/A"),'E08 — Estabilização Hypercare'!$I362="✔ Concluído",'E08 — Estabilização Hypercare'!$J362="✔ Concluído",OR('E08 — Estabilização Hypercare'!$N362="✅ Estável — Demanda Encerrada",AND('E08 — Estabilização Hypercare'!$N362="🆕 Evolução Identificada — Nova Demanda Aberta",'E08 — Estabilização Hypercare'!$U362&lt;&gt;""))),"Concluído",IF(OR(COUNTIF('E08 — Estabilização Hypercare'!$E362:$J362,"✔ Concluído")&gt;0,COUNTIF('E08 — Estabilização Hypercare'!$E362:$J362,"🔄 Em andamento")&gt;0,'E08 — Estabilização Hypercare'!$N362&lt;&gt;""),"Em andamento","Não iniciado")))))</f>
        <v/>
      </c>
      <c r="M380" s="232" t="str" cm="1">
        <f t="array" ref="M380">IF(B380="","",_xlfn.IFS(E380&lt;&gt;"Concluído","E1 — Solicitação",F380&lt;&gt;"Concluído","E2 — Triagem",G380&lt;&gt;"Concluído","E3 — Levantamento ⚠",H380&lt;&gt;"Concluído","E4 — Execução",I380&lt;&gt;"Concluído","E5 — Validação ⚠",AND(J380&lt;&gt;"Concluído",J380&lt;&gt;"N/A"),"E6 — Ajustes",K380&lt;&gt;"Concluído","E7 — Entrega",L380&lt;&gt;"Concluído","E08 — Estabilização / Hypercare",TRUE,"✔ Fluxo concluído"))</f>
        <v/>
      </c>
      <c r="N380" s="233" t="str">
        <f t="shared" si="6"/>
        <v/>
      </c>
      <c r="O380" s="230"/>
    </row>
    <row r="381" spans="2:15" x14ac:dyDescent="0.35">
      <c r="B381" s="229" t="str">
        <f>IF(Lançamentos!$B358="","",Lançamentos!$B358)</f>
        <v/>
      </c>
      <c r="C381" s="231" t="str">
        <f>IF($B381="","",Lançamentos!$J358)</f>
        <v/>
      </c>
      <c r="D381" s="231" t="str">
        <f>IF($B381="","",Lançamentos!$H358)</f>
        <v/>
      </c>
      <c r="E381" s="229" t="str">
        <f>IF($B381="","",IF(COUNTIF(Lançamentos!$B$3:$B$1001,$B381)=0,"Bloqueado",IF(COUNTIF('E1 — Solicitação'!$E363:$L363,"⛔ Bloqueado")&gt;0,"Bloqueado",IF(COUNTIF('E1 — Solicitação'!$E363:$L363,"N/A")=8,"Bloqueado",IF(COUNTIF('E1 — Solicitação'!$E363:$L363,"✔ Concluído")+COUNTIF('E1 — Solicitação'!$E363:$L363,"N/A")=8,"Concluído",IF(COUNTIF('E1 — Solicitação'!$E363:$L363,"✔ Concluído")+COUNTIF('E1 — Solicitação'!$E363:$L363,"🔄 Em andamento")&gt;0,"Em andamento","Não iniciado"))))))</f>
        <v/>
      </c>
      <c r="F381" s="229" t="str">
        <f>IF($B381="","",IF($E381&lt;&gt;"Concluído","Não iniciado",IF(COUNTIF(Lançamentos!$B$3:$B$1001,$B381)=0,"Bloqueado",IF('E2 — Triagem'!$D363="","Bloqueado",IF(COUNTIF('E2 — Triagem'!$E363:$L363,"N/A")=8,"Bloqueado",IF(COUNTIF('E2 — Triagem'!$E363:$L363,"⛔ Bloqueado")&gt;0,"Bloqueado",IF(COUNTIF('E2 — Triagem'!$E363:$L363,"✔ Concluído")+COUNTIF('E2 — Triagem'!$E363:$L363,"N/A")=8,"Concluído",IF(COUNTIF('E2 — Triagem'!$E363:$L363,"✔ Concluído")+COUNTIF('E2 — Triagem'!$E363:$L363,"🔄 Em andamento")&gt;0,"Em andamento","Não iniciado"))))))))</f>
        <v/>
      </c>
      <c r="G381" s="229" t="str">
        <f>IF($B381="","",IF($F381&lt;&gt;"Concluído","Não iniciado",IF(COUNTIF(Lançamentos!$B$3:$B$1001,$B381)=0,"Bloqueado",IF('E3 — Levantamento'!$D363="","Bloqueado",IF(COUNTIF('E3 — Levantamento'!$E363:$I363,"⛔ Bloqueado")&gt;0,"Bloqueado",IF('E3 — Levantamento'!$I363="N/A","Bloqueado",IF(COUNTIF('E3 — Levantamento'!$E363:$I363,"✔ Concluído")=5,"Concluído",IF(COUNTIF('E3 — Levantamento'!$E363:$I363,"✔ Concluído")+COUNTIF('E3 — Levantamento'!$E363:$I363,"🔄 Em andamento")&gt;0,"Em andamento","Não iniciado"))))))))</f>
        <v/>
      </c>
      <c r="H381" s="229" t="str">
        <f>IF($B381="","",IF($G381&lt;&gt;"Concluído","Não iniciado",IF(COUNTIF(Lançamentos!$B$3:$B$1001,$B381)=0,"Bloqueado",IF('E4 — Execução'!$D363="","Bloqueado",IF(COUNTIF('E4 — Execução'!$E363:$K363,"⛔ Bloqueado")&gt;0,"Bloqueado",IF(COUNTIF('E4 — Execução'!$E363:$K363,"✔ Concluído")=7,"Concluído",IF(COUNTIF('E4 — Execução'!$E363:$K363,"✔ Concluído")+COUNTIF('E4 — Execução'!$E363:$K363,"🔄 Em andamento")&gt;0,"Em andamento","Não iniciado")))))))</f>
        <v/>
      </c>
      <c r="I381" s="229" t="str">
        <f>IF($B381="","",IF($H381&lt;&gt;"Concluído","Não iniciado",IF(COUNTIF(Lançamentos!$B$3:$B$1001,$B381)=0,"Bloqueado",IF('E5 — Validação'!$D363="","Bloqueado",IF(COUNTIF('E5 — Validação'!$E363:$I363,"⛔ Bloqueado")&gt;0,"Bloqueado",IF('E5 — Validação'!$I363="N/A","Bloqueado",IF(AND('E5 — Validação'!$E363="✔ Concluído",'E5 — Validação'!$F363="✔ Concluído",OR('E5 — Validação'!$G363="✔ Concluído",'E5 — Validação'!$G363="N/A"),'E5 — Validação'!$H363="✔ Concluído",'E5 — Validação'!$I363="✔ Concluído"),"Concluído",IF(COUNTIF('E5 — Validação'!$E363:$I363,"✔ Concluído")+COUNTIF('E5 — Validação'!$E363:$I363,"🔄 Em andamento")&gt;0,"Em andamento","Não iniciado"))))))))</f>
        <v/>
      </c>
      <c r="J381" s="229" t="str">
        <f>IF($B381="","",IF($I381&lt;&gt;"Concluído","Não iniciado",IF('E6 — Ajustes'!$N363="Não","N/A",IF(COUNTIF(Lançamentos!$B$3:$B$1001,$B381)=0,"Bloqueado",IF('E6 — Ajustes'!$D363="","Bloqueado",IF(COUNTIF('E6 — Ajustes'!$E363:$J363,"⛔ Bloqueado")&gt;0,"Bloqueado",IF(AND('E6 — Ajustes'!$E363="✔ Concluído",'E6 — Ajustes'!$F363="✔ Concluído",'E6 — Ajustes'!$G363="✔ Concluído",'E6 — Ajustes'!$H363="✔ Concluído",OR('E6 — Ajustes'!$I363="✔ Concluído",'E6 — Ajustes'!$I363="N/A"),'E6 — Ajustes'!$J363="✔ Concluído"),"Concluído",IF(COUNTIF('E6 — Ajustes'!$E363:$J363,"✔ Concluído")+COUNTIF('E6 — Ajustes'!$E363:$J363,"🔄 Em andamento")&gt;0,"Em andamento","Não iniciado"))))))))</f>
        <v/>
      </c>
      <c r="K381" s="229" t="str">
        <f>IF($B381="","",IF($I381&lt;&gt;"Concluído","Não iniciado",IF(AND($J381&lt;&gt;"Concluído",$J381&lt;&gt;"N/A"),"Não iniciado",IF(COUNTIF(Lançamentos!$B$3:$B$1001,$B381)=0,"Bloqueado",IF('E7 — Entrega'!$D363="","Bloqueado",IF(COUNTIF('E7 — Entrega'!$E363:$H363,"⛔ Bloqueado")&gt;0,"Bloqueado",IF(COUNTIF('E7 — Entrega'!$E363:$H363,"✔ Concluído")=4,"Concluído",IF(COUNTIF('E7 — Entrega'!$E363:$H363,"✔ Concluído")+COUNTIF('E7 — Entrega'!$E363:$H363,"🔄 Em andamento")&gt;0,"Em andamento","Não iniciado"))))))))</f>
        <v/>
      </c>
      <c r="L381" s="229" t="str">
        <f>IF($B381="","",IF($K381&lt;&gt;"Concluído","Não iniciado",IF(OR(COUNTIF('E08 — Estabilização Hypercare'!$E363:$J363,"⛔ Bloqueado")&gt;0,'E08 — Estabilização Hypercare'!$N363="⛔ Incidente Crítico — Encerramento Bloqueado",AND('E08 — Estabilização Hypercare'!$N363="🆕 Evolução Identificada — Nova Demanda Aberta",'E08 — Estabilização Hypercare'!$U363="")),"Bloqueado",IF(AND('E08 — Estabilização Hypercare'!$E363="✔ Concluído",'E08 — Estabilização Hypercare'!$F363="✔ Concluído",'E08 — Estabilização Hypercare'!$G363="✔ Concluído",OR('E08 — Estabilização Hypercare'!$H363="✔ Concluído",'E08 — Estabilização Hypercare'!$H363="N/A"),'E08 — Estabilização Hypercare'!$I363="✔ Concluído",'E08 — Estabilização Hypercare'!$J363="✔ Concluído",OR('E08 — Estabilização Hypercare'!$N363="✅ Estável — Demanda Encerrada",AND('E08 — Estabilização Hypercare'!$N363="🆕 Evolução Identificada — Nova Demanda Aberta",'E08 — Estabilização Hypercare'!$U363&lt;&gt;""))),"Concluído",IF(OR(COUNTIF('E08 — Estabilização Hypercare'!$E363:$J363,"✔ Concluído")&gt;0,COUNTIF('E08 — Estabilização Hypercare'!$E363:$J363,"🔄 Em andamento")&gt;0,'E08 — Estabilização Hypercare'!$N363&lt;&gt;""),"Em andamento","Não iniciado")))))</f>
        <v/>
      </c>
      <c r="M381" s="232" t="str" cm="1">
        <f t="array" ref="M381">IF(B381="","",_xlfn.IFS(E381&lt;&gt;"Concluído","E1 — Solicitação",F381&lt;&gt;"Concluído","E2 — Triagem",G381&lt;&gt;"Concluído","E3 — Levantamento ⚠",H381&lt;&gt;"Concluído","E4 — Execução",I381&lt;&gt;"Concluído","E5 — Validação ⚠",AND(J381&lt;&gt;"Concluído",J381&lt;&gt;"N/A"),"E6 — Ajustes",K381&lt;&gt;"Concluído","E7 — Entrega",L381&lt;&gt;"Concluído","E08 — Estabilização / Hypercare",TRUE,"✔ Fluxo concluído"))</f>
        <v/>
      </c>
      <c r="N381" s="233" t="str">
        <f t="shared" si="6"/>
        <v/>
      </c>
      <c r="O381" s="230"/>
    </row>
    <row r="382" spans="2:15" x14ac:dyDescent="0.35">
      <c r="B382" s="229" t="str">
        <f>IF(Lançamentos!$B359="","",Lançamentos!$B359)</f>
        <v/>
      </c>
      <c r="C382" s="231" t="str">
        <f>IF($B382="","",Lançamentos!$J359)</f>
        <v/>
      </c>
      <c r="D382" s="231" t="str">
        <f>IF($B382="","",Lançamentos!$H359)</f>
        <v/>
      </c>
      <c r="E382" s="229" t="str">
        <f>IF($B382="","",IF(COUNTIF(Lançamentos!$B$3:$B$1001,$B382)=0,"Bloqueado",IF(COUNTIF('E1 — Solicitação'!$E364:$L364,"⛔ Bloqueado")&gt;0,"Bloqueado",IF(COUNTIF('E1 — Solicitação'!$E364:$L364,"N/A")=8,"Bloqueado",IF(COUNTIF('E1 — Solicitação'!$E364:$L364,"✔ Concluído")+COUNTIF('E1 — Solicitação'!$E364:$L364,"N/A")=8,"Concluído",IF(COUNTIF('E1 — Solicitação'!$E364:$L364,"✔ Concluído")+COUNTIF('E1 — Solicitação'!$E364:$L364,"🔄 Em andamento")&gt;0,"Em andamento","Não iniciado"))))))</f>
        <v/>
      </c>
      <c r="F382" s="229" t="str">
        <f>IF($B382="","",IF($E382&lt;&gt;"Concluído","Não iniciado",IF(COUNTIF(Lançamentos!$B$3:$B$1001,$B382)=0,"Bloqueado",IF('E2 — Triagem'!$D364="","Bloqueado",IF(COUNTIF('E2 — Triagem'!$E364:$L364,"N/A")=8,"Bloqueado",IF(COUNTIF('E2 — Triagem'!$E364:$L364,"⛔ Bloqueado")&gt;0,"Bloqueado",IF(COUNTIF('E2 — Triagem'!$E364:$L364,"✔ Concluído")+COUNTIF('E2 — Triagem'!$E364:$L364,"N/A")=8,"Concluído",IF(COUNTIF('E2 — Triagem'!$E364:$L364,"✔ Concluído")+COUNTIF('E2 — Triagem'!$E364:$L364,"🔄 Em andamento")&gt;0,"Em andamento","Não iniciado"))))))))</f>
        <v/>
      </c>
      <c r="G382" s="229" t="str">
        <f>IF($B382="","",IF($F382&lt;&gt;"Concluído","Não iniciado",IF(COUNTIF(Lançamentos!$B$3:$B$1001,$B382)=0,"Bloqueado",IF('E3 — Levantamento'!$D364="","Bloqueado",IF(COUNTIF('E3 — Levantamento'!$E364:$I364,"⛔ Bloqueado")&gt;0,"Bloqueado",IF('E3 — Levantamento'!$I364="N/A","Bloqueado",IF(COUNTIF('E3 — Levantamento'!$E364:$I364,"✔ Concluído")=5,"Concluído",IF(COUNTIF('E3 — Levantamento'!$E364:$I364,"✔ Concluído")+COUNTIF('E3 — Levantamento'!$E364:$I364,"🔄 Em andamento")&gt;0,"Em andamento","Não iniciado"))))))))</f>
        <v/>
      </c>
      <c r="H382" s="229" t="str">
        <f>IF($B382="","",IF($G382&lt;&gt;"Concluído","Não iniciado",IF(COUNTIF(Lançamentos!$B$3:$B$1001,$B382)=0,"Bloqueado",IF('E4 — Execução'!$D364="","Bloqueado",IF(COUNTIF('E4 — Execução'!$E364:$K364,"⛔ Bloqueado")&gt;0,"Bloqueado",IF(COUNTIF('E4 — Execução'!$E364:$K364,"✔ Concluído")=7,"Concluído",IF(COUNTIF('E4 — Execução'!$E364:$K364,"✔ Concluído")+COUNTIF('E4 — Execução'!$E364:$K364,"🔄 Em andamento")&gt;0,"Em andamento","Não iniciado")))))))</f>
        <v/>
      </c>
      <c r="I382" s="229" t="str">
        <f>IF($B382="","",IF($H382&lt;&gt;"Concluído","Não iniciado",IF(COUNTIF(Lançamentos!$B$3:$B$1001,$B382)=0,"Bloqueado",IF('E5 — Validação'!$D364="","Bloqueado",IF(COUNTIF('E5 — Validação'!$E364:$I364,"⛔ Bloqueado")&gt;0,"Bloqueado",IF('E5 — Validação'!$I364="N/A","Bloqueado",IF(AND('E5 — Validação'!$E364="✔ Concluído",'E5 — Validação'!$F364="✔ Concluído",OR('E5 — Validação'!$G364="✔ Concluído",'E5 — Validação'!$G364="N/A"),'E5 — Validação'!$H364="✔ Concluído",'E5 — Validação'!$I364="✔ Concluído"),"Concluído",IF(COUNTIF('E5 — Validação'!$E364:$I364,"✔ Concluído")+COUNTIF('E5 — Validação'!$E364:$I364,"🔄 Em andamento")&gt;0,"Em andamento","Não iniciado"))))))))</f>
        <v/>
      </c>
      <c r="J382" s="229" t="str">
        <f>IF($B382="","",IF($I382&lt;&gt;"Concluído","Não iniciado",IF('E6 — Ajustes'!$N364="Não","N/A",IF(COUNTIF(Lançamentos!$B$3:$B$1001,$B382)=0,"Bloqueado",IF('E6 — Ajustes'!$D364="","Bloqueado",IF(COUNTIF('E6 — Ajustes'!$E364:$J364,"⛔ Bloqueado")&gt;0,"Bloqueado",IF(AND('E6 — Ajustes'!$E364="✔ Concluído",'E6 — Ajustes'!$F364="✔ Concluído",'E6 — Ajustes'!$G364="✔ Concluído",'E6 — Ajustes'!$H364="✔ Concluído",OR('E6 — Ajustes'!$I364="✔ Concluído",'E6 — Ajustes'!$I364="N/A"),'E6 — Ajustes'!$J364="✔ Concluído"),"Concluído",IF(COUNTIF('E6 — Ajustes'!$E364:$J364,"✔ Concluído")+COUNTIF('E6 — Ajustes'!$E364:$J364,"🔄 Em andamento")&gt;0,"Em andamento","Não iniciado"))))))))</f>
        <v/>
      </c>
      <c r="K382" s="229" t="str">
        <f>IF($B382="","",IF($I382&lt;&gt;"Concluído","Não iniciado",IF(AND($J382&lt;&gt;"Concluído",$J382&lt;&gt;"N/A"),"Não iniciado",IF(COUNTIF(Lançamentos!$B$3:$B$1001,$B382)=0,"Bloqueado",IF('E7 — Entrega'!$D364="","Bloqueado",IF(COUNTIF('E7 — Entrega'!$E364:$H364,"⛔ Bloqueado")&gt;0,"Bloqueado",IF(COUNTIF('E7 — Entrega'!$E364:$H364,"✔ Concluído")=4,"Concluído",IF(COUNTIF('E7 — Entrega'!$E364:$H364,"✔ Concluído")+COUNTIF('E7 — Entrega'!$E364:$H364,"🔄 Em andamento")&gt;0,"Em andamento","Não iniciado"))))))))</f>
        <v/>
      </c>
      <c r="L382" s="229" t="str">
        <f>IF($B382="","",IF($K382&lt;&gt;"Concluído","Não iniciado",IF(OR(COUNTIF('E08 — Estabilização Hypercare'!$E364:$J364,"⛔ Bloqueado")&gt;0,'E08 — Estabilização Hypercare'!$N364="⛔ Incidente Crítico — Encerramento Bloqueado",AND('E08 — Estabilização Hypercare'!$N364="🆕 Evolução Identificada — Nova Demanda Aberta",'E08 — Estabilização Hypercare'!$U364="")),"Bloqueado",IF(AND('E08 — Estabilização Hypercare'!$E364="✔ Concluído",'E08 — Estabilização Hypercare'!$F364="✔ Concluído",'E08 — Estabilização Hypercare'!$G364="✔ Concluído",OR('E08 — Estabilização Hypercare'!$H364="✔ Concluído",'E08 — Estabilização Hypercare'!$H364="N/A"),'E08 — Estabilização Hypercare'!$I364="✔ Concluído",'E08 — Estabilização Hypercare'!$J364="✔ Concluído",OR('E08 — Estabilização Hypercare'!$N364="✅ Estável — Demanda Encerrada",AND('E08 — Estabilização Hypercare'!$N364="🆕 Evolução Identificada — Nova Demanda Aberta",'E08 — Estabilização Hypercare'!$U364&lt;&gt;""))),"Concluído",IF(OR(COUNTIF('E08 — Estabilização Hypercare'!$E364:$J364,"✔ Concluído")&gt;0,COUNTIF('E08 — Estabilização Hypercare'!$E364:$J364,"🔄 Em andamento")&gt;0,'E08 — Estabilização Hypercare'!$N364&lt;&gt;""),"Em andamento","Não iniciado")))))</f>
        <v/>
      </c>
      <c r="M382" s="232" t="str" cm="1">
        <f t="array" ref="M382">IF(B382="","",_xlfn.IFS(E382&lt;&gt;"Concluído","E1 — Solicitação",F382&lt;&gt;"Concluído","E2 — Triagem",G382&lt;&gt;"Concluído","E3 — Levantamento ⚠",H382&lt;&gt;"Concluído","E4 — Execução",I382&lt;&gt;"Concluído","E5 — Validação ⚠",AND(J382&lt;&gt;"Concluído",J382&lt;&gt;"N/A"),"E6 — Ajustes",K382&lt;&gt;"Concluído","E7 — Entrega",L382&lt;&gt;"Concluído","E08 — Estabilização / Hypercare",TRUE,"✔ Fluxo concluído"))</f>
        <v/>
      </c>
      <c r="N382" s="233" t="str">
        <f t="shared" si="6"/>
        <v/>
      </c>
      <c r="O382" s="230"/>
    </row>
    <row r="383" spans="2:15" x14ac:dyDescent="0.35">
      <c r="B383" s="229" t="str">
        <f>IF(Lançamentos!$B360="","",Lançamentos!$B360)</f>
        <v/>
      </c>
      <c r="C383" s="231" t="str">
        <f>IF($B383="","",Lançamentos!$J360)</f>
        <v/>
      </c>
      <c r="D383" s="231" t="str">
        <f>IF($B383="","",Lançamentos!$H360)</f>
        <v/>
      </c>
      <c r="E383" s="229" t="str">
        <f>IF($B383="","",IF(COUNTIF(Lançamentos!$B$3:$B$1001,$B383)=0,"Bloqueado",IF(COUNTIF('E1 — Solicitação'!$E365:$L365,"⛔ Bloqueado")&gt;0,"Bloqueado",IF(COUNTIF('E1 — Solicitação'!$E365:$L365,"N/A")=8,"Bloqueado",IF(COUNTIF('E1 — Solicitação'!$E365:$L365,"✔ Concluído")+COUNTIF('E1 — Solicitação'!$E365:$L365,"N/A")=8,"Concluído",IF(COUNTIF('E1 — Solicitação'!$E365:$L365,"✔ Concluído")+COUNTIF('E1 — Solicitação'!$E365:$L365,"🔄 Em andamento")&gt;0,"Em andamento","Não iniciado"))))))</f>
        <v/>
      </c>
      <c r="F383" s="229" t="str">
        <f>IF($B383="","",IF($E383&lt;&gt;"Concluído","Não iniciado",IF(COUNTIF(Lançamentos!$B$3:$B$1001,$B383)=0,"Bloqueado",IF('E2 — Triagem'!$D365="","Bloqueado",IF(COUNTIF('E2 — Triagem'!$E365:$L365,"N/A")=8,"Bloqueado",IF(COUNTIF('E2 — Triagem'!$E365:$L365,"⛔ Bloqueado")&gt;0,"Bloqueado",IF(COUNTIF('E2 — Triagem'!$E365:$L365,"✔ Concluído")+COUNTIF('E2 — Triagem'!$E365:$L365,"N/A")=8,"Concluído",IF(COUNTIF('E2 — Triagem'!$E365:$L365,"✔ Concluído")+COUNTIF('E2 — Triagem'!$E365:$L365,"🔄 Em andamento")&gt;0,"Em andamento","Não iniciado"))))))))</f>
        <v/>
      </c>
      <c r="G383" s="229" t="str">
        <f>IF($B383="","",IF($F383&lt;&gt;"Concluído","Não iniciado",IF(COUNTIF(Lançamentos!$B$3:$B$1001,$B383)=0,"Bloqueado",IF('E3 — Levantamento'!$D365="","Bloqueado",IF(COUNTIF('E3 — Levantamento'!$E365:$I365,"⛔ Bloqueado")&gt;0,"Bloqueado",IF('E3 — Levantamento'!$I365="N/A","Bloqueado",IF(COUNTIF('E3 — Levantamento'!$E365:$I365,"✔ Concluído")=5,"Concluído",IF(COUNTIF('E3 — Levantamento'!$E365:$I365,"✔ Concluído")+COUNTIF('E3 — Levantamento'!$E365:$I365,"🔄 Em andamento")&gt;0,"Em andamento","Não iniciado"))))))))</f>
        <v/>
      </c>
      <c r="H383" s="229" t="str">
        <f>IF($B383="","",IF($G383&lt;&gt;"Concluído","Não iniciado",IF(COUNTIF(Lançamentos!$B$3:$B$1001,$B383)=0,"Bloqueado",IF('E4 — Execução'!$D365="","Bloqueado",IF(COUNTIF('E4 — Execução'!$E365:$K365,"⛔ Bloqueado")&gt;0,"Bloqueado",IF(COUNTIF('E4 — Execução'!$E365:$K365,"✔ Concluído")=7,"Concluído",IF(COUNTIF('E4 — Execução'!$E365:$K365,"✔ Concluído")+COUNTIF('E4 — Execução'!$E365:$K365,"🔄 Em andamento")&gt;0,"Em andamento","Não iniciado")))))))</f>
        <v/>
      </c>
      <c r="I383" s="229" t="str">
        <f>IF($B383="","",IF($H383&lt;&gt;"Concluído","Não iniciado",IF(COUNTIF(Lançamentos!$B$3:$B$1001,$B383)=0,"Bloqueado",IF('E5 — Validação'!$D365="","Bloqueado",IF(COUNTIF('E5 — Validação'!$E365:$I365,"⛔ Bloqueado")&gt;0,"Bloqueado",IF('E5 — Validação'!$I365="N/A","Bloqueado",IF(AND('E5 — Validação'!$E365="✔ Concluído",'E5 — Validação'!$F365="✔ Concluído",OR('E5 — Validação'!$G365="✔ Concluído",'E5 — Validação'!$G365="N/A"),'E5 — Validação'!$H365="✔ Concluído",'E5 — Validação'!$I365="✔ Concluído"),"Concluído",IF(COUNTIF('E5 — Validação'!$E365:$I365,"✔ Concluído")+COUNTIF('E5 — Validação'!$E365:$I365,"🔄 Em andamento")&gt;0,"Em andamento","Não iniciado"))))))))</f>
        <v/>
      </c>
      <c r="J383" s="229" t="str">
        <f>IF($B383="","",IF($I383&lt;&gt;"Concluído","Não iniciado",IF('E6 — Ajustes'!$N365="Não","N/A",IF(COUNTIF(Lançamentos!$B$3:$B$1001,$B383)=0,"Bloqueado",IF('E6 — Ajustes'!$D365="","Bloqueado",IF(COUNTIF('E6 — Ajustes'!$E365:$J365,"⛔ Bloqueado")&gt;0,"Bloqueado",IF(AND('E6 — Ajustes'!$E365="✔ Concluído",'E6 — Ajustes'!$F365="✔ Concluído",'E6 — Ajustes'!$G365="✔ Concluído",'E6 — Ajustes'!$H365="✔ Concluído",OR('E6 — Ajustes'!$I365="✔ Concluído",'E6 — Ajustes'!$I365="N/A"),'E6 — Ajustes'!$J365="✔ Concluído"),"Concluído",IF(COUNTIF('E6 — Ajustes'!$E365:$J365,"✔ Concluído")+COUNTIF('E6 — Ajustes'!$E365:$J365,"🔄 Em andamento")&gt;0,"Em andamento","Não iniciado"))))))))</f>
        <v/>
      </c>
      <c r="K383" s="229" t="str">
        <f>IF($B383="","",IF($I383&lt;&gt;"Concluído","Não iniciado",IF(AND($J383&lt;&gt;"Concluído",$J383&lt;&gt;"N/A"),"Não iniciado",IF(COUNTIF(Lançamentos!$B$3:$B$1001,$B383)=0,"Bloqueado",IF('E7 — Entrega'!$D365="","Bloqueado",IF(COUNTIF('E7 — Entrega'!$E365:$H365,"⛔ Bloqueado")&gt;0,"Bloqueado",IF(COUNTIF('E7 — Entrega'!$E365:$H365,"✔ Concluído")=4,"Concluído",IF(COUNTIF('E7 — Entrega'!$E365:$H365,"✔ Concluído")+COUNTIF('E7 — Entrega'!$E365:$H365,"🔄 Em andamento")&gt;0,"Em andamento","Não iniciado"))))))))</f>
        <v/>
      </c>
      <c r="L383" s="229" t="str">
        <f>IF($B383="","",IF($K383&lt;&gt;"Concluído","Não iniciado",IF(OR(COUNTIF('E08 — Estabilização Hypercare'!$E365:$J365,"⛔ Bloqueado")&gt;0,'E08 — Estabilização Hypercare'!$N365="⛔ Incidente Crítico — Encerramento Bloqueado",AND('E08 — Estabilização Hypercare'!$N365="🆕 Evolução Identificada — Nova Demanda Aberta",'E08 — Estabilização Hypercare'!$U365="")),"Bloqueado",IF(AND('E08 — Estabilização Hypercare'!$E365="✔ Concluído",'E08 — Estabilização Hypercare'!$F365="✔ Concluído",'E08 — Estabilização Hypercare'!$G365="✔ Concluído",OR('E08 — Estabilização Hypercare'!$H365="✔ Concluído",'E08 — Estabilização Hypercare'!$H365="N/A"),'E08 — Estabilização Hypercare'!$I365="✔ Concluído",'E08 — Estabilização Hypercare'!$J365="✔ Concluído",OR('E08 — Estabilização Hypercare'!$N365="✅ Estável — Demanda Encerrada",AND('E08 — Estabilização Hypercare'!$N365="🆕 Evolução Identificada — Nova Demanda Aberta",'E08 — Estabilização Hypercare'!$U365&lt;&gt;""))),"Concluído",IF(OR(COUNTIF('E08 — Estabilização Hypercare'!$E365:$J365,"✔ Concluído")&gt;0,COUNTIF('E08 — Estabilização Hypercare'!$E365:$J365,"🔄 Em andamento")&gt;0,'E08 — Estabilização Hypercare'!$N365&lt;&gt;""),"Em andamento","Não iniciado")))))</f>
        <v/>
      </c>
      <c r="M383" s="232" t="str" cm="1">
        <f t="array" ref="M383">IF(B383="","",_xlfn.IFS(E383&lt;&gt;"Concluído","E1 — Solicitação",F383&lt;&gt;"Concluído","E2 — Triagem",G383&lt;&gt;"Concluído","E3 — Levantamento ⚠",H383&lt;&gt;"Concluído","E4 — Execução",I383&lt;&gt;"Concluído","E5 — Validação ⚠",AND(J383&lt;&gt;"Concluído",J383&lt;&gt;"N/A"),"E6 — Ajustes",K383&lt;&gt;"Concluído","E7 — Entrega",L383&lt;&gt;"Concluído","E08 — Estabilização / Hypercare",TRUE,"✔ Fluxo concluído"))</f>
        <v/>
      </c>
      <c r="N383" s="233" t="str">
        <f t="shared" si="6"/>
        <v/>
      </c>
      <c r="O383" s="230"/>
    </row>
    <row r="384" spans="2:15" x14ac:dyDescent="0.35">
      <c r="B384" s="229" t="str">
        <f>IF(Lançamentos!$B361="","",Lançamentos!$B361)</f>
        <v/>
      </c>
      <c r="C384" s="231" t="str">
        <f>IF($B384="","",Lançamentos!$J361)</f>
        <v/>
      </c>
      <c r="D384" s="231" t="str">
        <f>IF($B384="","",Lançamentos!$H361)</f>
        <v/>
      </c>
      <c r="E384" s="229" t="str">
        <f>IF($B384="","",IF(COUNTIF(Lançamentos!$B$3:$B$1001,$B384)=0,"Bloqueado",IF(COUNTIF('E1 — Solicitação'!$E366:$L366,"⛔ Bloqueado")&gt;0,"Bloqueado",IF(COUNTIF('E1 — Solicitação'!$E366:$L366,"N/A")=8,"Bloqueado",IF(COUNTIF('E1 — Solicitação'!$E366:$L366,"✔ Concluído")+COUNTIF('E1 — Solicitação'!$E366:$L366,"N/A")=8,"Concluído",IF(COUNTIF('E1 — Solicitação'!$E366:$L366,"✔ Concluído")+COUNTIF('E1 — Solicitação'!$E366:$L366,"🔄 Em andamento")&gt;0,"Em andamento","Não iniciado"))))))</f>
        <v/>
      </c>
      <c r="F384" s="229" t="str">
        <f>IF($B384="","",IF($E384&lt;&gt;"Concluído","Não iniciado",IF(COUNTIF(Lançamentos!$B$3:$B$1001,$B384)=0,"Bloqueado",IF('E2 — Triagem'!$D366="","Bloqueado",IF(COUNTIF('E2 — Triagem'!$E366:$L366,"N/A")=8,"Bloqueado",IF(COUNTIF('E2 — Triagem'!$E366:$L366,"⛔ Bloqueado")&gt;0,"Bloqueado",IF(COUNTIF('E2 — Triagem'!$E366:$L366,"✔ Concluído")+COUNTIF('E2 — Triagem'!$E366:$L366,"N/A")=8,"Concluído",IF(COUNTIF('E2 — Triagem'!$E366:$L366,"✔ Concluído")+COUNTIF('E2 — Triagem'!$E366:$L366,"🔄 Em andamento")&gt;0,"Em andamento","Não iniciado"))))))))</f>
        <v/>
      </c>
      <c r="G384" s="229" t="str">
        <f>IF($B384="","",IF($F384&lt;&gt;"Concluído","Não iniciado",IF(COUNTIF(Lançamentos!$B$3:$B$1001,$B384)=0,"Bloqueado",IF('E3 — Levantamento'!$D366="","Bloqueado",IF(COUNTIF('E3 — Levantamento'!$E366:$I366,"⛔ Bloqueado")&gt;0,"Bloqueado",IF('E3 — Levantamento'!$I366="N/A","Bloqueado",IF(COUNTIF('E3 — Levantamento'!$E366:$I366,"✔ Concluído")=5,"Concluído",IF(COUNTIF('E3 — Levantamento'!$E366:$I366,"✔ Concluído")+COUNTIF('E3 — Levantamento'!$E366:$I366,"🔄 Em andamento")&gt;0,"Em andamento","Não iniciado"))))))))</f>
        <v/>
      </c>
      <c r="H384" s="229" t="str">
        <f>IF($B384="","",IF($G384&lt;&gt;"Concluído","Não iniciado",IF(COUNTIF(Lançamentos!$B$3:$B$1001,$B384)=0,"Bloqueado",IF('E4 — Execução'!$D366="","Bloqueado",IF(COUNTIF('E4 — Execução'!$E366:$K366,"⛔ Bloqueado")&gt;0,"Bloqueado",IF(COUNTIF('E4 — Execução'!$E366:$K366,"✔ Concluído")=7,"Concluído",IF(COUNTIF('E4 — Execução'!$E366:$K366,"✔ Concluído")+COUNTIF('E4 — Execução'!$E366:$K366,"🔄 Em andamento")&gt;0,"Em andamento","Não iniciado")))))))</f>
        <v/>
      </c>
      <c r="I384" s="229" t="str">
        <f>IF($B384="","",IF($H384&lt;&gt;"Concluído","Não iniciado",IF(COUNTIF(Lançamentos!$B$3:$B$1001,$B384)=0,"Bloqueado",IF('E5 — Validação'!$D366="","Bloqueado",IF(COUNTIF('E5 — Validação'!$E366:$I366,"⛔ Bloqueado")&gt;0,"Bloqueado",IF('E5 — Validação'!$I366="N/A","Bloqueado",IF(AND('E5 — Validação'!$E366="✔ Concluído",'E5 — Validação'!$F366="✔ Concluído",OR('E5 — Validação'!$G366="✔ Concluído",'E5 — Validação'!$G366="N/A"),'E5 — Validação'!$H366="✔ Concluído",'E5 — Validação'!$I366="✔ Concluído"),"Concluído",IF(COUNTIF('E5 — Validação'!$E366:$I366,"✔ Concluído")+COUNTIF('E5 — Validação'!$E366:$I366,"🔄 Em andamento")&gt;0,"Em andamento","Não iniciado"))))))))</f>
        <v/>
      </c>
      <c r="J384" s="229" t="str">
        <f>IF($B384="","",IF($I384&lt;&gt;"Concluído","Não iniciado",IF('E6 — Ajustes'!$N366="Não","N/A",IF(COUNTIF(Lançamentos!$B$3:$B$1001,$B384)=0,"Bloqueado",IF('E6 — Ajustes'!$D366="","Bloqueado",IF(COUNTIF('E6 — Ajustes'!$E366:$J366,"⛔ Bloqueado")&gt;0,"Bloqueado",IF(AND('E6 — Ajustes'!$E366="✔ Concluído",'E6 — Ajustes'!$F366="✔ Concluído",'E6 — Ajustes'!$G366="✔ Concluído",'E6 — Ajustes'!$H366="✔ Concluído",OR('E6 — Ajustes'!$I366="✔ Concluído",'E6 — Ajustes'!$I366="N/A"),'E6 — Ajustes'!$J366="✔ Concluído"),"Concluído",IF(COUNTIF('E6 — Ajustes'!$E366:$J366,"✔ Concluído")+COUNTIF('E6 — Ajustes'!$E366:$J366,"🔄 Em andamento")&gt;0,"Em andamento","Não iniciado"))))))))</f>
        <v/>
      </c>
      <c r="K384" s="229" t="str">
        <f>IF($B384="","",IF($I384&lt;&gt;"Concluído","Não iniciado",IF(AND($J384&lt;&gt;"Concluído",$J384&lt;&gt;"N/A"),"Não iniciado",IF(COUNTIF(Lançamentos!$B$3:$B$1001,$B384)=0,"Bloqueado",IF('E7 — Entrega'!$D366="","Bloqueado",IF(COUNTIF('E7 — Entrega'!$E366:$H366,"⛔ Bloqueado")&gt;0,"Bloqueado",IF(COUNTIF('E7 — Entrega'!$E366:$H366,"✔ Concluído")=4,"Concluído",IF(COUNTIF('E7 — Entrega'!$E366:$H366,"✔ Concluído")+COUNTIF('E7 — Entrega'!$E366:$H366,"🔄 Em andamento")&gt;0,"Em andamento","Não iniciado"))))))))</f>
        <v/>
      </c>
      <c r="L384" s="229" t="str">
        <f>IF($B384="","",IF($K384&lt;&gt;"Concluído","Não iniciado",IF(OR(COUNTIF('E08 — Estabilização Hypercare'!$E366:$J366,"⛔ Bloqueado")&gt;0,'E08 — Estabilização Hypercare'!$N366="⛔ Incidente Crítico — Encerramento Bloqueado",AND('E08 — Estabilização Hypercare'!$N366="🆕 Evolução Identificada — Nova Demanda Aberta",'E08 — Estabilização Hypercare'!$U366="")),"Bloqueado",IF(AND('E08 — Estabilização Hypercare'!$E366="✔ Concluído",'E08 — Estabilização Hypercare'!$F366="✔ Concluído",'E08 — Estabilização Hypercare'!$G366="✔ Concluído",OR('E08 — Estabilização Hypercare'!$H366="✔ Concluído",'E08 — Estabilização Hypercare'!$H366="N/A"),'E08 — Estabilização Hypercare'!$I366="✔ Concluído",'E08 — Estabilização Hypercare'!$J366="✔ Concluído",OR('E08 — Estabilização Hypercare'!$N366="✅ Estável — Demanda Encerrada",AND('E08 — Estabilização Hypercare'!$N366="🆕 Evolução Identificada — Nova Demanda Aberta",'E08 — Estabilização Hypercare'!$U366&lt;&gt;""))),"Concluído",IF(OR(COUNTIF('E08 — Estabilização Hypercare'!$E366:$J366,"✔ Concluído")&gt;0,COUNTIF('E08 — Estabilização Hypercare'!$E366:$J366,"🔄 Em andamento")&gt;0,'E08 — Estabilização Hypercare'!$N366&lt;&gt;""),"Em andamento","Não iniciado")))))</f>
        <v/>
      </c>
      <c r="M384" s="232" t="str" cm="1">
        <f t="array" ref="M384">IF(B384="","",_xlfn.IFS(E384&lt;&gt;"Concluído","E1 — Solicitação",F384&lt;&gt;"Concluído","E2 — Triagem",G384&lt;&gt;"Concluído","E3 — Levantamento ⚠",H384&lt;&gt;"Concluído","E4 — Execução",I384&lt;&gt;"Concluído","E5 — Validação ⚠",AND(J384&lt;&gt;"Concluído",J384&lt;&gt;"N/A"),"E6 — Ajustes",K384&lt;&gt;"Concluído","E7 — Entrega",L384&lt;&gt;"Concluído","E08 — Estabilização / Hypercare",TRUE,"✔ Fluxo concluído"))</f>
        <v/>
      </c>
      <c r="N384" s="233" t="str">
        <f t="shared" si="6"/>
        <v/>
      </c>
      <c r="O384" s="230"/>
    </row>
    <row r="385" spans="2:15" x14ac:dyDescent="0.35">
      <c r="B385" s="229" t="str">
        <f>IF(Lançamentos!$B362="","",Lançamentos!$B362)</f>
        <v/>
      </c>
      <c r="C385" s="231" t="str">
        <f>IF($B385="","",Lançamentos!$J362)</f>
        <v/>
      </c>
      <c r="D385" s="231" t="str">
        <f>IF($B385="","",Lançamentos!$H362)</f>
        <v/>
      </c>
      <c r="E385" s="229" t="str">
        <f>IF($B385="","",IF(COUNTIF(Lançamentos!$B$3:$B$1001,$B385)=0,"Bloqueado",IF(COUNTIF('E1 — Solicitação'!$E367:$L367,"⛔ Bloqueado")&gt;0,"Bloqueado",IF(COUNTIF('E1 — Solicitação'!$E367:$L367,"N/A")=8,"Bloqueado",IF(COUNTIF('E1 — Solicitação'!$E367:$L367,"✔ Concluído")+COUNTIF('E1 — Solicitação'!$E367:$L367,"N/A")=8,"Concluído",IF(COUNTIF('E1 — Solicitação'!$E367:$L367,"✔ Concluído")+COUNTIF('E1 — Solicitação'!$E367:$L367,"🔄 Em andamento")&gt;0,"Em andamento","Não iniciado"))))))</f>
        <v/>
      </c>
      <c r="F385" s="229" t="str">
        <f>IF($B385="","",IF($E385&lt;&gt;"Concluído","Não iniciado",IF(COUNTIF(Lançamentos!$B$3:$B$1001,$B385)=0,"Bloqueado",IF('E2 — Triagem'!$D367="","Bloqueado",IF(COUNTIF('E2 — Triagem'!$E367:$L367,"N/A")=8,"Bloqueado",IF(COUNTIF('E2 — Triagem'!$E367:$L367,"⛔ Bloqueado")&gt;0,"Bloqueado",IF(COUNTIF('E2 — Triagem'!$E367:$L367,"✔ Concluído")+COUNTIF('E2 — Triagem'!$E367:$L367,"N/A")=8,"Concluído",IF(COUNTIF('E2 — Triagem'!$E367:$L367,"✔ Concluído")+COUNTIF('E2 — Triagem'!$E367:$L367,"🔄 Em andamento")&gt;0,"Em andamento","Não iniciado"))))))))</f>
        <v/>
      </c>
      <c r="G385" s="229" t="str">
        <f>IF($B385="","",IF($F385&lt;&gt;"Concluído","Não iniciado",IF(COUNTIF(Lançamentos!$B$3:$B$1001,$B385)=0,"Bloqueado",IF('E3 — Levantamento'!$D367="","Bloqueado",IF(COUNTIF('E3 — Levantamento'!$E367:$I367,"⛔ Bloqueado")&gt;0,"Bloqueado",IF('E3 — Levantamento'!$I367="N/A","Bloqueado",IF(COUNTIF('E3 — Levantamento'!$E367:$I367,"✔ Concluído")=5,"Concluído",IF(COUNTIF('E3 — Levantamento'!$E367:$I367,"✔ Concluído")+COUNTIF('E3 — Levantamento'!$E367:$I367,"🔄 Em andamento")&gt;0,"Em andamento","Não iniciado"))))))))</f>
        <v/>
      </c>
      <c r="H385" s="229" t="str">
        <f>IF($B385="","",IF($G385&lt;&gt;"Concluído","Não iniciado",IF(COUNTIF(Lançamentos!$B$3:$B$1001,$B385)=0,"Bloqueado",IF('E4 — Execução'!$D367="","Bloqueado",IF(COUNTIF('E4 — Execução'!$E367:$K367,"⛔ Bloqueado")&gt;0,"Bloqueado",IF(COUNTIF('E4 — Execução'!$E367:$K367,"✔ Concluído")=7,"Concluído",IF(COUNTIF('E4 — Execução'!$E367:$K367,"✔ Concluído")+COUNTIF('E4 — Execução'!$E367:$K367,"🔄 Em andamento")&gt;0,"Em andamento","Não iniciado")))))))</f>
        <v/>
      </c>
      <c r="I385" s="229" t="str">
        <f>IF($B385="","",IF($H385&lt;&gt;"Concluído","Não iniciado",IF(COUNTIF(Lançamentos!$B$3:$B$1001,$B385)=0,"Bloqueado",IF('E5 — Validação'!$D367="","Bloqueado",IF(COUNTIF('E5 — Validação'!$E367:$I367,"⛔ Bloqueado")&gt;0,"Bloqueado",IF('E5 — Validação'!$I367="N/A","Bloqueado",IF(AND('E5 — Validação'!$E367="✔ Concluído",'E5 — Validação'!$F367="✔ Concluído",OR('E5 — Validação'!$G367="✔ Concluído",'E5 — Validação'!$G367="N/A"),'E5 — Validação'!$H367="✔ Concluído",'E5 — Validação'!$I367="✔ Concluído"),"Concluído",IF(COUNTIF('E5 — Validação'!$E367:$I367,"✔ Concluído")+COUNTIF('E5 — Validação'!$E367:$I367,"🔄 Em andamento")&gt;0,"Em andamento","Não iniciado"))))))))</f>
        <v/>
      </c>
      <c r="J385" s="229" t="str">
        <f>IF($B385="","",IF($I385&lt;&gt;"Concluído","Não iniciado",IF('E6 — Ajustes'!$N367="Não","N/A",IF(COUNTIF(Lançamentos!$B$3:$B$1001,$B385)=0,"Bloqueado",IF('E6 — Ajustes'!$D367="","Bloqueado",IF(COUNTIF('E6 — Ajustes'!$E367:$J367,"⛔ Bloqueado")&gt;0,"Bloqueado",IF(AND('E6 — Ajustes'!$E367="✔ Concluído",'E6 — Ajustes'!$F367="✔ Concluído",'E6 — Ajustes'!$G367="✔ Concluído",'E6 — Ajustes'!$H367="✔ Concluído",OR('E6 — Ajustes'!$I367="✔ Concluído",'E6 — Ajustes'!$I367="N/A"),'E6 — Ajustes'!$J367="✔ Concluído"),"Concluído",IF(COUNTIF('E6 — Ajustes'!$E367:$J367,"✔ Concluído")+COUNTIF('E6 — Ajustes'!$E367:$J367,"🔄 Em andamento")&gt;0,"Em andamento","Não iniciado"))))))))</f>
        <v/>
      </c>
      <c r="K385" s="229" t="str">
        <f>IF($B385="","",IF($I385&lt;&gt;"Concluído","Não iniciado",IF(AND($J385&lt;&gt;"Concluído",$J385&lt;&gt;"N/A"),"Não iniciado",IF(COUNTIF(Lançamentos!$B$3:$B$1001,$B385)=0,"Bloqueado",IF('E7 — Entrega'!$D367="","Bloqueado",IF(COUNTIF('E7 — Entrega'!$E367:$H367,"⛔ Bloqueado")&gt;0,"Bloqueado",IF(COUNTIF('E7 — Entrega'!$E367:$H367,"✔ Concluído")=4,"Concluído",IF(COUNTIF('E7 — Entrega'!$E367:$H367,"✔ Concluído")+COUNTIF('E7 — Entrega'!$E367:$H367,"🔄 Em andamento")&gt;0,"Em andamento","Não iniciado"))))))))</f>
        <v/>
      </c>
      <c r="L385" s="229" t="str">
        <f>IF($B385="","",IF($K385&lt;&gt;"Concluído","Não iniciado",IF(OR(COUNTIF('E08 — Estabilização Hypercare'!$E367:$J367,"⛔ Bloqueado")&gt;0,'E08 — Estabilização Hypercare'!$N367="⛔ Incidente Crítico — Encerramento Bloqueado",AND('E08 — Estabilização Hypercare'!$N367="🆕 Evolução Identificada — Nova Demanda Aberta",'E08 — Estabilização Hypercare'!$U367="")),"Bloqueado",IF(AND('E08 — Estabilização Hypercare'!$E367="✔ Concluído",'E08 — Estabilização Hypercare'!$F367="✔ Concluído",'E08 — Estabilização Hypercare'!$G367="✔ Concluído",OR('E08 — Estabilização Hypercare'!$H367="✔ Concluído",'E08 — Estabilização Hypercare'!$H367="N/A"),'E08 — Estabilização Hypercare'!$I367="✔ Concluído",'E08 — Estabilização Hypercare'!$J367="✔ Concluído",OR('E08 — Estabilização Hypercare'!$N367="✅ Estável — Demanda Encerrada",AND('E08 — Estabilização Hypercare'!$N367="🆕 Evolução Identificada — Nova Demanda Aberta",'E08 — Estabilização Hypercare'!$U367&lt;&gt;""))),"Concluído",IF(OR(COUNTIF('E08 — Estabilização Hypercare'!$E367:$J367,"✔ Concluído")&gt;0,COUNTIF('E08 — Estabilização Hypercare'!$E367:$J367,"🔄 Em andamento")&gt;0,'E08 — Estabilização Hypercare'!$N367&lt;&gt;""),"Em andamento","Não iniciado")))))</f>
        <v/>
      </c>
      <c r="M385" s="232" t="str" cm="1">
        <f t="array" ref="M385">IF(B385="","",_xlfn.IFS(E385&lt;&gt;"Concluído","E1 — Solicitação",F385&lt;&gt;"Concluído","E2 — Triagem",G385&lt;&gt;"Concluído","E3 — Levantamento ⚠",H385&lt;&gt;"Concluído","E4 — Execução",I385&lt;&gt;"Concluído","E5 — Validação ⚠",AND(J385&lt;&gt;"Concluído",J385&lt;&gt;"N/A"),"E6 — Ajustes",K385&lt;&gt;"Concluído","E7 — Entrega",L385&lt;&gt;"Concluído","E08 — Estabilização / Hypercare",TRUE,"✔ Fluxo concluído"))</f>
        <v/>
      </c>
      <c r="N385" s="233" t="str">
        <f t="shared" si="6"/>
        <v/>
      </c>
      <c r="O385" s="230"/>
    </row>
    <row r="386" spans="2:15" x14ac:dyDescent="0.35">
      <c r="B386" s="229" t="str">
        <f>IF(Lançamentos!$B363="","",Lançamentos!$B363)</f>
        <v/>
      </c>
      <c r="C386" s="231" t="str">
        <f>IF($B386="","",Lançamentos!$J363)</f>
        <v/>
      </c>
      <c r="D386" s="231" t="str">
        <f>IF($B386="","",Lançamentos!$H363)</f>
        <v/>
      </c>
      <c r="E386" s="229" t="str">
        <f>IF($B386="","",IF(COUNTIF(Lançamentos!$B$3:$B$1001,$B386)=0,"Bloqueado",IF(COUNTIF('E1 — Solicitação'!$E368:$L368,"⛔ Bloqueado")&gt;0,"Bloqueado",IF(COUNTIF('E1 — Solicitação'!$E368:$L368,"N/A")=8,"Bloqueado",IF(COUNTIF('E1 — Solicitação'!$E368:$L368,"✔ Concluído")+COUNTIF('E1 — Solicitação'!$E368:$L368,"N/A")=8,"Concluído",IF(COUNTIF('E1 — Solicitação'!$E368:$L368,"✔ Concluído")+COUNTIF('E1 — Solicitação'!$E368:$L368,"🔄 Em andamento")&gt;0,"Em andamento","Não iniciado"))))))</f>
        <v/>
      </c>
      <c r="F386" s="229" t="str">
        <f>IF($B386="","",IF($E386&lt;&gt;"Concluído","Não iniciado",IF(COUNTIF(Lançamentos!$B$3:$B$1001,$B386)=0,"Bloqueado",IF('E2 — Triagem'!$D368="","Bloqueado",IF(COUNTIF('E2 — Triagem'!$E368:$L368,"N/A")=8,"Bloqueado",IF(COUNTIF('E2 — Triagem'!$E368:$L368,"⛔ Bloqueado")&gt;0,"Bloqueado",IF(COUNTIF('E2 — Triagem'!$E368:$L368,"✔ Concluído")+COUNTIF('E2 — Triagem'!$E368:$L368,"N/A")=8,"Concluído",IF(COUNTIF('E2 — Triagem'!$E368:$L368,"✔ Concluído")+COUNTIF('E2 — Triagem'!$E368:$L368,"🔄 Em andamento")&gt;0,"Em andamento","Não iniciado"))))))))</f>
        <v/>
      </c>
      <c r="G386" s="229" t="str">
        <f>IF($B386="","",IF($F386&lt;&gt;"Concluído","Não iniciado",IF(COUNTIF(Lançamentos!$B$3:$B$1001,$B386)=0,"Bloqueado",IF('E3 — Levantamento'!$D368="","Bloqueado",IF(COUNTIF('E3 — Levantamento'!$E368:$I368,"⛔ Bloqueado")&gt;0,"Bloqueado",IF('E3 — Levantamento'!$I368="N/A","Bloqueado",IF(COUNTIF('E3 — Levantamento'!$E368:$I368,"✔ Concluído")=5,"Concluído",IF(COUNTIF('E3 — Levantamento'!$E368:$I368,"✔ Concluído")+COUNTIF('E3 — Levantamento'!$E368:$I368,"🔄 Em andamento")&gt;0,"Em andamento","Não iniciado"))))))))</f>
        <v/>
      </c>
      <c r="H386" s="229" t="str">
        <f>IF($B386="","",IF($G386&lt;&gt;"Concluído","Não iniciado",IF(COUNTIF(Lançamentos!$B$3:$B$1001,$B386)=0,"Bloqueado",IF('E4 — Execução'!$D368="","Bloqueado",IF(COUNTIF('E4 — Execução'!$E368:$K368,"⛔ Bloqueado")&gt;0,"Bloqueado",IF(COUNTIF('E4 — Execução'!$E368:$K368,"✔ Concluído")=7,"Concluído",IF(COUNTIF('E4 — Execução'!$E368:$K368,"✔ Concluído")+COUNTIF('E4 — Execução'!$E368:$K368,"🔄 Em andamento")&gt;0,"Em andamento","Não iniciado")))))))</f>
        <v/>
      </c>
      <c r="I386" s="229" t="str">
        <f>IF($B386="","",IF($H386&lt;&gt;"Concluído","Não iniciado",IF(COUNTIF(Lançamentos!$B$3:$B$1001,$B386)=0,"Bloqueado",IF('E5 — Validação'!$D368="","Bloqueado",IF(COUNTIF('E5 — Validação'!$E368:$I368,"⛔ Bloqueado")&gt;0,"Bloqueado",IF('E5 — Validação'!$I368="N/A","Bloqueado",IF(AND('E5 — Validação'!$E368="✔ Concluído",'E5 — Validação'!$F368="✔ Concluído",OR('E5 — Validação'!$G368="✔ Concluído",'E5 — Validação'!$G368="N/A"),'E5 — Validação'!$H368="✔ Concluído",'E5 — Validação'!$I368="✔ Concluído"),"Concluído",IF(COUNTIF('E5 — Validação'!$E368:$I368,"✔ Concluído")+COUNTIF('E5 — Validação'!$E368:$I368,"🔄 Em andamento")&gt;0,"Em andamento","Não iniciado"))))))))</f>
        <v/>
      </c>
      <c r="J386" s="229" t="str">
        <f>IF($B386="","",IF($I386&lt;&gt;"Concluído","Não iniciado",IF('E6 — Ajustes'!$N368="Não","N/A",IF(COUNTIF(Lançamentos!$B$3:$B$1001,$B386)=0,"Bloqueado",IF('E6 — Ajustes'!$D368="","Bloqueado",IF(COUNTIF('E6 — Ajustes'!$E368:$J368,"⛔ Bloqueado")&gt;0,"Bloqueado",IF(AND('E6 — Ajustes'!$E368="✔ Concluído",'E6 — Ajustes'!$F368="✔ Concluído",'E6 — Ajustes'!$G368="✔ Concluído",'E6 — Ajustes'!$H368="✔ Concluído",OR('E6 — Ajustes'!$I368="✔ Concluído",'E6 — Ajustes'!$I368="N/A"),'E6 — Ajustes'!$J368="✔ Concluído"),"Concluído",IF(COUNTIF('E6 — Ajustes'!$E368:$J368,"✔ Concluído")+COUNTIF('E6 — Ajustes'!$E368:$J368,"🔄 Em andamento")&gt;0,"Em andamento","Não iniciado"))))))))</f>
        <v/>
      </c>
      <c r="K386" s="229" t="str">
        <f>IF($B386="","",IF($I386&lt;&gt;"Concluído","Não iniciado",IF(AND($J386&lt;&gt;"Concluído",$J386&lt;&gt;"N/A"),"Não iniciado",IF(COUNTIF(Lançamentos!$B$3:$B$1001,$B386)=0,"Bloqueado",IF('E7 — Entrega'!$D368="","Bloqueado",IF(COUNTIF('E7 — Entrega'!$E368:$H368,"⛔ Bloqueado")&gt;0,"Bloqueado",IF(COUNTIF('E7 — Entrega'!$E368:$H368,"✔ Concluído")=4,"Concluído",IF(COUNTIF('E7 — Entrega'!$E368:$H368,"✔ Concluído")+COUNTIF('E7 — Entrega'!$E368:$H368,"🔄 Em andamento")&gt;0,"Em andamento","Não iniciado"))))))))</f>
        <v/>
      </c>
      <c r="L386" s="229" t="str">
        <f>IF($B386="","",IF($K386&lt;&gt;"Concluído","Não iniciado",IF(OR(COUNTIF('E08 — Estabilização Hypercare'!$E368:$J368,"⛔ Bloqueado")&gt;0,'E08 — Estabilização Hypercare'!$N368="⛔ Incidente Crítico — Encerramento Bloqueado",AND('E08 — Estabilização Hypercare'!$N368="🆕 Evolução Identificada — Nova Demanda Aberta",'E08 — Estabilização Hypercare'!$U368="")),"Bloqueado",IF(AND('E08 — Estabilização Hypercare'!$E368="✔ Concluído",'E08 — Estabilização Hypercare'!$F368="✔ Concluído",'E08 — Estabilização Hypercare'!$G368="✔ Concluído",OR('E08 — Estabilização Hypercare'!$H368="✔ Concluído",'E08 — Estabilização Hypercare'!$H368="N/A"),'E08 — Estabilização Hypercare'!$I368="✔ Concluído",'E08 — Estabilização Hypercare'!$J368="✔ Concluído",OR('E08 — Estabilização Hypercare'!$N368="✅ Estável — Demanda Encerrada",AND('E08 — Estabilização Hypercare'!$N368="🆕 Evolução Identificada — Nova Demanda Aberta",'E08 — Estabilização Hypercare'!$U368&lt;&gt;""))),"Concluído",IF(OR(COUNTIF('E08 — Estabilização Hypercare'!$E368:$J368,"✔ Concluído")&gt;0,COUNTIF('E08 — Estabilização Hypercare'!$E368:$J368,"🔄 Em andamento")&gt;0,'E08 — Estabilização Hypercare'!$N368&lt;&gt;""),"Em andamento","Não iniciado")))))</f>
        <v/>
      </c>
      <c r="M386" s="232" t="str" cm="1">
        <f t="array" ref="M386">IF(B386="","",_xlfn.IFS(E386&lt;&gt;"Concluído","E1 — Solicitação",F386&lt;&gt;"Concluído","E2 — Triagem",G386&lt;&gt;"Concluído","E3 — Levantamento ⚠",H386&lt;&gt;"Concluído","E4 — Execução",I386&lt;&gt;"Concluído","E5 — Validação ⚠",AND(J386&lt;&gt;"Concluído",J386&lt;&gt;"N/A"),"E6 — Ajustes",K386&lt;&gt;"Concluído","E7 — Entrega",L386&lt;&gt;"Concluído","E08 — Estabilização / Hypercare",TRUE,"✔ Fluxo concluído"))</f>
        <v/>
      </c>
      <c r="N386" s="233" t="str">
        <f t="shared" si="6"/>
        <v/>
      </c>
      <c r="O386" s="230"/>
    </row>
    <row r="387" spans="2:15" x14ac:dyDescent="0.35">
      <c r="B387" s="229" t="str">
        <f>IF(Lançamentos!$B364="","",Lançamentos!$B364)</f>
        <v/>
      </c>
      <c r="C387" s="231" t="str">
        <f>IF($B387="","",Lançamentos!$J364)</f>
        <v/>
      </c>
      <c r="D387" s="231" t="str">
        <f>IF($B387="","",Lançamentos!$H364)</f>
        <v/>
      </c>
      <c r="E387" s="229" t="str">
        <f>IF($B387="","",IF(COUNTIF(Lançamentos!$B$3:$B$1001,$B387)=0,"Bloqueado",IF(COUNTIF('E1 — Solicitação'!$E369:$L369,"⛔ Bloqueado")&gt;0,"Bloqueado",IF(COUNTIF('E1 — Solicitação'!$E369:$L369,"N/A")=8,"Bloqueado",IF(COUNTIF('E1 — Solicitação'!$E369:$L369,"✔ Concluído")+COUNTIF('E1 — Solicitação'!$E369:$L369,"N/A")=8,"Concluído",IF(COUNTIF('E1 — Solicitação'!$E369:$L369,"✔ Concluído")+COUNTIF('E1 — Solicitação'!$E369:$L369,"🔄 Em andamento")&gt;0,"Em andamento","Não iniciado"))))))</f>
        <v/>
      </c>
      <c r="F387" s="229" t="str">
        <f>IF($B387="","",IF($E387&lt;&gt;"Concluído","Não iniciado",IF(COUNTIF(Lançamentos!$B$3:$B$1001,$B387)=0,"Bloqueado",IF('E2 — Triagem'!$D369="","Bloqueado",IF(COUNTIF('E2 — Triagem'!$E369:$L369,"N/A")=8,"Bloqueado",IF(COUNTIF('E2 — Triagem'!$E369:$L369,"⛔ Bloqueado")&gt;0,"Bloqueado",IF(COUNTIF('E2 — Triagem'!$E369:$L369,"✔ Concluído")+COUNTIF('E2 — Triagem'!$E369:$L369,"N/A")=8,"Concluído",IF(COUNTIF('E2 — Triagem'!$E369:$L369,"✔ Concluído")+COUNTIF('E2 — Triagem'!$E369:$L369,"🔄 Em andamento")&gt;0,"Em andamento","Não iniciado"))))))))</f>
        <v/>
      </c>
      <c r="G387" s="229" t="str">
        <f>IF($B387="","",IF($F387&lt;&gt;"Concluído","Não iniciado",IF(COUNTIF(Lançamentos!$B$3:$B$1001,$B387)=0,"Bloqueado",IF('E3 — Levantamento'!$D369="","Bloqueado",IF(COUNTIF('E3 — Levantamento'!$E369:$I369,"⛔ Bloqueado")&gt;0,"Bloqueado",IF('E3 — Levantamento'!$I369="N/A","Bloqueado",IF(COUNTIF('E3 — Levantamento'!$E369:$I369,"✔ Concluído")=5,"Concluído",IF(COUNTIF('E3 — Levantamento'!$E369:$I369,"✔ Concluído")+COUNTIF('E3 — Levantamento'!$E369:$I369,"🔄 Em andamento")&gt;0,"Em andamento","Não iniciado"))))))))</f>
        <v/>
      </c>
      <c r="H387" s="229" t="str">
        <f>IF($B387="","",IF($G387&lt;&gt;"Concluído","Não iniciado",IF(COUNTIF(Lançamentos!$B$3:$B$1001,$B387)=0,"Bloqueado",IF('E4 — Execução'!$D369="","Bloqueado",IF(COUNTIF('E4 — Execução'!$E369:$K369,"⛔ Bloqueado")&gt;0,"Bloqueado",IF(COUNTIF('E4 — Execução'!$E369:$K369,"✔ Concluído")=7,"Concluído",IF(COUNTIF('E4 — Execução'!$E369:$K369,"✔ Concluído")+COUNTIF('E4 — Execução'!$E369:$K369,"🔄 Em andamento")&gt;0,"Em andamento","Não iniciado")))))))</f>
        <v/>
      </c>
      <c r="I387" s="229" t="str">
        <f>IF($B387="","",IF($H387&lt;&gt;"Concluído","Não iniciado",IF(COUNTIF(Lançamentos!$B$3:$B$1001,$B387)=0,"Bloqueado",IF('E5 — Validação'!$D369="","Bloqueado",IF(COUNTIF('E5 — Validação'!$E369:$I369,"⛔ Bloqueado")&gt;0,"Bloqueado",IF('E5 — Validação'!$I369="N/A","Bloqueado",IF(AND('E5 — Validação'!$E369="✔ Concluído",'E5 — Validação'!$F369="✔ Concluído",OR('E5 — Validação'!$G369="✔ Concluído",'E5 — Validação'!$G369="N/A"),'E5 — Validação'!$H369="✔ Concluído",'E5 — Validação'!$I369="✔ Concluído"),"Concluído",IF(COUNTIF('E5 — Validação'!$E369:$I369,"✔ Concluído")+COUNTIF('E5 — Validação'!$E369:$I369,"🔄 Em andamento")&gt;0,"Em andamento","Não iniciado"))))))))</f>
        <v/>
      </c>
      <c r="J387" s="229" t="str">
        <f>IF($B387="","",IF($I387&lt;&gt;"Concluído","Não iniciado",IF('E6 — Ajustes'!$N369="Não","N/A",IF(COUNTIF(Lançamentos!$B$3:$B$1001,$B387)=0,"Bloqueado",IF('E6 — Ajustes'!$D369="","Bloqueado",IF(COUNTIF('E6 — Ajustes'!$E369:$J369,"⛔ Bloqueado")&gt;0,"Bloqueado",IF(AND('E6 — Ajustes'!$E369="✔ Concluído",'E6 — Ajustes'!$F369="✔ Concluído",'E6 — Ajustes'!$G369="✔ Concluído",'E6 — Ajustes'!$H369="✔ Concluído",OR('E6 — Ajustes'!$I369="✔ Concluído",'E6 — Ajustes'!$I369="N/A"),'E6 — Ajustes'!$J369="✔ Concluído"),"Concluído",IF(COUNTIF('E6 — Ajustes'!$E369:$J369,"✔ Concluído")+COUNTIF('E6 — Ajustes'!$E369:$J369,"🔄 Em andamento")&gt;0,"Em andamento","Não iniciado"))))))))</f>
        <v/>
      </c>
      <c r="K387" s="229" t="str">
        <f>IF($B387="","",IF($I387&lt;&gt;"Concluído","Não iniciado",IF(AND($J387&lt;&gt;"Concluído",$J387&lt;&gt;"N/A"),"Não iniciado",IF(COUNTIF(Lançamentos!$B$3:$B$1001,$B387)=0,"Bloqueado",IF('E7 — Entrega'!$D369="","Bloqueado",IF(COUNTIF('E7 — Entrega'!$E369:$H369,"⛔ Bloqueado")&gt;0,"Bloqueado",IF(COUNTIF('E7 — Entrega'!$E369:$H369,"✔ Concluído")=4,"Concluído",IF(COUNTIF('E7 — Entrega'!$E369:$H369,"✔ Concluído")+COUNTIF('E7 — Entrega'!$E369:$H369,"🔄 Em andamento")&gt;0,"Em andamento","Não iniciado"))))))))</f>
        <v/>
      </c>
      <c r="L387" s="229" t="str">
        <f>IF($B387="","",IF($K387&lt;&gt;"Concluído","Não iniciado",IF(OR(COUNTIF('E08 — Estabilização Hypercare'!$E369:$J369,"⛔ Bloqueado")&gt;0,'E08 — Estabilização Hypercare'!$N369="⛔ Incidente Crítico — Encerramento Bloqueado",AND('E08 — Estabilização Hypercare'!$N369="🆕 Evolução Identificada — Nova Demanda Aberta",'E08 — Estabilização Hypercare'!$U369="")),"Bloqueado",IF(AND('E08 — Estabilização Hypercare'!$E369="✔ Concluído",'E08 — Estabilização Hypercare'!$F369="✔ Concluído",'E08 — Estabilização Hypercare'!$G369="✔ Concluído",OR('E08 — Estabilização Hypercare'!$H369="✔ Concluído",'E08 — Estabilização Hypercare'!$H369="N/A"),'E08 — Estabilização Hypercare'!$I369="✔ Concluído",'E08 — Estabilização Hypercare'!$J369="✔ Concluído",OR('E08 — Estabilização Hypercare'!$N369="✅ Estável — Demanda Encerrada",AND('E08 — Estabilização Hypercare'!$N369="🆕 Evolução Identificada — Nova Demanda Aberta",'E08 — Estabilização Hypercare'!$U369&lt;&gt;""))),"Concluído",IF(OR(COUNTIF('E08 — Estabilização Hypercare'!$E369:$J369,"✔ Concluído")&gt;0,COUNTIF('E08 — Estabilização Hypercare'!$E369:$J369,"🔄 Em andamento")&gt;0,'E08 — Estabilização Hypercare'!$N369&lt;&gt;""),"Em andamento","Não iniciado")))))</f>
        <v/>
      </c>
      <c r="M387" s="232" t="str" cm="1">
        <f t="array" ref="M387">IF(B387="","",_xlfn.IFS(E387&lt;&gt;"Concluído","E1 — Solicitação",F387&lt;&gt;"Concluído","E2 — Triagem",G387&lt;&gt;"Concluído","E3 — Levantamento ⚠",H387&lt;&gt;"Concluído","E4 — Execução",I387&lt;&gt;"Concluído","E5 — Validação ⚠",AND(J387&lt;&gt;"Concluído",J387&lt;&gt;"N/A"),"E6 — Ajustes",K387&lt;&gt;"Concluído","E7 — Entrega",L387&lt;&gt;"Concluído","E08 — Estabilização / Hypercare",TRUE,"✔ Fluxo concluído"))</f>
        <v/>
      </c>
      <c r="N387" s="233" t="str">
        <f t="shared" si="6"/>
        <v/>
      </c>
      <c r="O387" s="230"/>
    </row>
    <row r="388" spans="2:15" x14ac:dyDescent="0.35">
      <c r="B388" s="229" t="str">
        <f>IF(Lançamentos!$B365="","",Lançamentos!$B365)</f>
        <v/>
      </c>
      <c r="C388" s="231" t="str">
        <f>IF($B388="","",Lançamentos!$J365)</f>
        <v/>
      </c>
      <c r="D388" s="231" t="str">
        <f>IF($B388="","",Lançamentos!$H365)</f>
        <v/>
      </c>
      <c r="E388" s="229" t="str">
        <f>IF($B388="","",IF(COUNTIF(Lançamentos!$B$3:$B$1001,$B388)=0,"Bloqueado",IF(COUNTIF('E1 — Solicitação'!$E370:$L370,"⛔ Bloqueado")&gt;0,"Bloqueado",IF(COUNTIF('E1 — Solicitação'!$E370:$L370,"N/A")=8,"Bloqueado",IF(COUNTIF('E1 — Solicitação'!$E370:$L370,"✔ Concluído")+COUNTIF('E1 — Solicitação'!$E370:$L370,"N/A")=8,"Concluído",IF(COUNTIF('E1 — Solicitação'!$E370:$L370,"✔ Concluído")+COUNTIF('E1 — Solicitação'!$E370:$L370,"🔄 Em andamento")&gt;0,"Em andamento","Não iniciado"))))))</f>
        <v/>
      </c>
      <c r="F388" s="229" t="str">
        <f>IF($B388="","",IF($E388&lt;&gt;"Concluído","Não iniciado",IF(COUNTIF(Lançamentos!$B$3:$B$1001,$B388)=0,"Bloqueado",IF('E2 — Triagem'!$D370="","Bloqueado",IF(COUNTIF('E2 — Triagem'!$E370:$L370,"N/A")=8,"Bloqueado",IF(COUNTIF('E2 — Triagem'!$E370:$L370,"⛔ Bloqueado")&gt;0,"Bloqueado",IF(COUNTIF('E2 — Triagem'!$E370:$L370,"✔ Concluído")+COUNTIF('E2 — Triagem'!$E370:$L370,"N/A")=8,"Concluído",IF(COUNTIF('E2 — Triagem'!$E370:$L370,"✔ Concluído")+COUNTIF('E2 — Triagem'!$E370:$L370,"🔄 Em andamento")&gt;0,"Em andamento","Não iniciado"))))))))</f>
        <v/>
      </c>
      <c r="G388" s="229" t="str">
        <f>IF($B388="","",IF($F388&lt;&gt;"Concluído","Não iniciado",IF(COUNTIF(Lançamentos!$B$3:$B$1001,$B388)=0,"Bloqueado",IF('E3 — Levantamento'!$D370="","Bloqueado",IF(COUNTIF('E3 — Levantamento'!$E370:$I370,"⛔ Bloqueado")&gt;0,"Bloqueado",IF('E3 — Levantamento'!$I370="N/A","Bloqueado",IF(COUNTIF('E3 — Levantamento'!$E370:$I370,"✔ Concluído")=5,"Concluído",IF(COUNTIF('E3 — Levantamento'!$E370:$I370,"✔ Concluído")+COUNTIF('E3 — Levantamento'!$E370:$I370,"🔄 Em andamento")&gt;0,"Em andamento","Não iniciado"))))))))</f>
        <v/>
      </c>
      <c r="H388" s="229" t="str">
        <f>IF($B388="","",IF($G388&lt;&gt;"Concluído","Não iniciado",IF(COUNTIF(Lançamentos!$B$3:$B$1001,$B388)=0,"Bloqueado",IF('E4 — Execução'!$D370="","Bloqueado",IF(COUNTIF('E4 — Execução'!$E370:$K370,"⛔ Bloqueado")&gt;0,"Bloqueado",IF(COUNTIF('E4 — Execução'!$E370:$K370,"✔ Concluído")=7,"Concluído",IF(COUNTIF('E4 — Execução'!$E370:$K370,"✔ Concluído")+COUNTIF('E4 — Execução'!$E370:$K370,"🔄 Em andamento")&gt;0,"Em andamento","Não iniciado")))))))</f>
        <v/>
      </c>
      <c r="I388" s="229" t="str">
        <f>IF($B388="","",IF($H388&lt;&gt;"Concluído","Não iniciado",IF(COUNTIF(Lançamentos!$B$3:$B$1001,$B388)=0,"Bloqueado",IF('E5 — Validação'!$D370="","Bloqueado",IF(COUNTIF('E5 — Validação'!$E370:$I370,"⛔ Bloqueado")&gt;0,"Bloqueado",IF('E5 — Validação'!$I370="N/A","Bloqueado",IF(AND('E5 — Validação'!$E370="✔ Concluído",'E5 — Validação'!$F370="✔ Concluído",OR('E5 — Validação'!$G370="✔ Concluído",'E5 — Validação'!$G370="N/A"),'E5 — Validação'!$H370="✔ Concluído",'E5 — Validação'!$I370="✔ Concluído"),"Concluído",IF(COUNTIF('E5 — Validação'!$E370:$I370,"✔ Concluído")+COUNTIF('E5 — Validação'!$E370:$I370,"🔄 Em andamento")&gt;0,"Em andamento","Não iniciado"))))))))</f>
        <v/>
      </c>
      <c r="J388" s="229" t="str">
        <f>IF($B388="","",IF($I388&lt;&gt;"Concluído","Não iniciado",IF('E6 — Ajustes'!$N370="Não","N/A",IF(COUNTIF(Lançamentos!$B$3:$B$1001,$B388)=0,"Bloqueado",IF('E6 — Ajustes'!$D370="","Bloqueado",IF(COUNTIF('E6 — Ajustes'!$E370:$J370,"⛔ Bloqueado")&gt;0,"Bloqueado",IF(AND('E6 — Ajustes'!$E370="✔ Concluído",'E6 — Ajustes'!$F370="✔ Concluído",'E6 — Ajustes'!$G370="✔ Concluído",'E6 — Ajustes'!$H370="✔ Concluído",OR('E6 — Ajustes'!$I370="✔ Concluído",'E6 — Ajustes'!$I370="N/A"),'E6 — Ajustes'!$J370="✔ Concluído"),"Concluído",IF(COUNTIF('E6 — Ajustes'!$E370:$J370,"✔ Concluído")+COUNTIF('E6 — Ajustes'!$E370:$J370,"🔄 Em andamento")&gt;0,"Em andamento","Não iniciado"))))))))</f>
        <v/>
      </c>
      <c r="K388" s="229" t="str">
        <f>IF($B388="","",IF($I388&lt;&gt;"Concluído","Não iniciado",IF(AND($J388&lt;&gt;"Concluído",$J388&lt;&gt;"N/A"),"Não iniciado",IF(COUNTIF(Lançamentos!$B$3:$B$1001,$B388)=0,"Bloqueado",IF('E7 — Entrega'!$D370="","Bloqueado",IF(COUNTIF('E7 — Entrega'!$E370:$H370,"⛔ Bloqueado")&gt;0,"Bloqueado",IF(COUNTIF('E7 — Entrega'!$E370:$H370,"✔ Concluído")=4,"Concluído",IF(COUNTIF('E7 — Entrega'!$E370:$H370,"✔ Concluído")+COUNTIF('E7 — Entrega'!$E370:$H370,"🔄 Em andamento")&gt;0,"Em andamento","Não iniciado"))))))))</f>
        <v/>
      </c>
      <c r="L388" s="229" t="str">
        <f>IF($B388="","",IF($K388&lt;&gt;"Concluído","Não iniciado",IF(OR(COUNTIF('E08 — Estabilização Hypercare'!$E370:$J370,"⛔ Bloqueado")&gt;0,'E08 — Estabilização Hypercare'!$N370="⛔ Incidente Crítico — Encerramento Bloqueado",AND('E08 — Estabilização Hypercare'!$N370="🆕 Evolução Identificada — Nova Demanda Aberta",'E08 — Estabilização Hypercare'!$U370="")),"Bloqueado",IF(AND('E08 — Estabilização Hypercare'!$E370="✔ Concluído",'E08 — Estabilização Hypercare'!$F370="✔ Concluído",'E08 — Estabilização Hypercare'!$G370="✔ Concluído",OR('E08 — Estabilização Hypercare'!$H370="✔ Concluído",'E08 — Estabilização Hypercare'!$H370="N/A"),'E08 — Estabilização Hypercare'!$I370="✔ Concluído",'E08 — Estabilização Hypercare'!$J370="✔ Concluído",OR('E08 — Estabilização Hypercare'!$N370="✅ Estável — Demanda Encerrada",AND('E08 — Estabilização Hypercare'!$N370="🆕 Evolução Identificada — Nova Demanda Aberta",'E08 — Estabilização Hypercare'!$U370&lt;&gt;""))),"Concluído",IF(OR(COUNTIF('E08 — Estabilização Hypercare'!$E370:$J370,"✔ Concluído")&gt;0,COUNTIF('E08 — Estabilização Hypercare'!$E370:$J370,"🔄 Em andamento")&gt;0,'E08 — Estabilização Hypercare'!$N370&lt;&gt;""),"Em andamento","Não iniciado")))))</f>
        <v/>
      </c>
      <c r="M388" s="232" t="str" cm="1">
        <f t="array" ref="M388">IF(B388="","",_xlfn.IFS(E388&lt;&gt;"Concluído","E1 — Solicitação",F388&lt;&gt;"Concluído","E2 — Triagem",G388&lt;&gt;"Concluído","E3 — Levantamento ⚠",H388&lt;&gt;"Concluído","E4 — Execução",I388&lt;&gt;"Concluído","E5 — Validação ⚠",AND(J388&lt;&gt;"Concluído",J388&lt;&gt;"N/A"),"E6 — Ajustes",K388&lt;&gt;"Concluído","E7 — Entrega",L388&lt;&gt;"Concluído","E08 — Estabilização / Hypercare",TRUE,"✔ Fluxo concluído"))</f>
        <v/>
      </c>
      <c r="N388" s="233" t="str">
        <f t="shared" si="6"/>
        <v/>
      </c>
      <c r="O388" s="230"/>
    </row>
    <row r="389" spans="2:15" x14ac:dyDescent="0.35">
      <c r="B389" s="229" t="str">
        <f>IF(Lançamentos!$B366="","",Lançamentos!$B366)</f>
        <v/>
      </c>
      <c r="C389" s="231" t="str">
        <f>IF($B389="","",Lançamentos!$J366)</f>
        <v/>
      </c>
      <c r="D389" s="231" t="str">
        <f>IF($B389="","",Lançamentos!$H366)</f>
        <v/>
      </c>
      <c r="E389" s="229" t="str">
        <f>IF($B389="","",IF(COUNTIF(Lançamentos!$B$3:$B$1001,$B389)=0,"Bloqueado",IF(COUNTIF('E1 — Solicitação'!$E371:$L371,"⛔ Bloqueado")&gt;0,"Bloqueado",IF(COUNTIF('E1 — Solicitação'!$E371:$L371,"N/A")=8,"Bloqueado",IF(COUNTIF('E1 — Solicitação'!$E371:$L371,"✔ Concluído")+COUNTIF('E1 — Solicitação'!$E371:$L371,"N/A")=8,"Concluído",IF(COUNTIF('E1 — Solicitação'!$E371:$L371,"✔ Concluído")+COUNTIF('E1 — Solicitação'!$E371:$L371,"🔄 Em andamento")&gt;0,"Em andamento","Não iniciado"))))))</f>
        <v/>
      </c>
      <c r="F389" s="229" t="str">
        <f>IF($B389="","",IF($E389&lt;&gt;"Concluído","Não iniciado",IF(COUNTIF(Lançamentos!$B$3:$B$1001,$B389)=0,"Bloqueado",IF('E2 — Triagem'!$D371="","Bloqueado",IF(COUNTIF('E2 — Triagem'!$E371:$L371,"N/A")=8,"Bloqueado",IF(COUNTIF('E2 — Triagem'!$E371:$L371,"⛔ Bloqueado")&gt;0,"Bloqueado",IF(COUNTIF('E2 — Triagem'!$E371:$L371,"✔ Concluído")+COUNTIF('E2 — Triagem'!$E371:$L371,"N/A")=8,"Concluído",IF(COUNTIF('E2 — Triagem'!$E371:$L371,"✔ Concluído")+COUNTIF('E2 — Triagem'!$E371:$L371,"🔄 Em andamento")&gt;0,"Em andamento","Não iniciado"))))))))</f>
        <v/>
      </c>
      <c r="G389" s="229" t="str">
        <f>IF($B389="","",IF($F389&lt;&gt;"Concluído","Não iniciado",IF(COUNTIF(Lançamentos!$B$3:$B$1001,$B389)=0,"Bloqueado",IF('E3 — Levantamento'!$D371="","Bloqueado",IF(COUNTIF('E3 — Levantamento'!$E371:$I371,"⛔ Bloqueado")&gt;0,"Bloqueado",IF('E3 — Levantamento'!$I371="N/A","Bloqueado",IF(COUNTIF('E3 — Levantamento'!$E371:$I371,"✔ Concluído")=5,"Concluído",IF(COUNTIF('E3 — Levantamento'!$E371:$I371,"✔ Concluído")+COUNTIF('E3 — Levantamento'!$E371:$I371,"🔄 Em andamento")&gt;0,"Em andamento","Não iniciado"))))))))</f>
        <v/>
      </c>
      <c r="H389" s="229" t="str">
        <f>IF($B389="","",IF($G389&lt;&gt;"Concluído","Não iniciado",IF(COUNTIF(Lançamentos!$B$3:$B$1001,$B389)=0,"Bloqueado",IF('E4 — Execução'!$D371="","Bloqueado",IF(COUNTIF('E4 — Execução'!$E371:$K371,"⛔ Bloqueado")&gt;0,"Bloqueado",IF(COUNTIF('E4 — Execução'!$E371:$K371,"✔ Concluído")=7,"Concluído",IF(COUNTIF('E4 — Execução'!$E371:$K371,"✔ Concluído")+COUNTIF('E4 — Execução'!$E371:$K371,"🔄 Em andamento")&gt;0,"Em andamento","Não iniciado")))))))</f>
        <v/>
      </c>
      <c r="I389" s="229" t="str">
        <f>IF($B389="","",IF($H389&lt;&gt;"Concluído","Não iniciado",IF(COUNTIF(Lançamentos!$B$3:$B$1001,$B389)=0,"Bloqueado",IF('E5 — Validação'!$D371="","Bloqueado",IF(COUNTIF('E5 — Validação'!$E371:$I371,"⛔ Bloqueado")&gt;0,"Bloqueado",IF('E5 — Validação'!$I371="N/A","Bloqueado",IF(AND('E5 — Validação'!$E371="✔ Concluído",'E5 — Validação'!$F371="✔ Concluído",OR('E5 — Validação'!$G371="✔ Concluído",'E5 — Validação'!$G371="N/A"),'E5 — Validação'!$H371="✔ Concluído",'E5 — Validação'!$I371="✔ Concluído"),"Concluído",IF(COUNTIF('E5 — Validação'!$E371:$I371,"✔ Concluído")+COUNTIF('E5 — Validação'!$E371:$I371,"🔄 Em andamento")&gt;0,"Em andamento","Não iniciado"))))))))</f>
        <v/>
      </c>
      <c r="J389" s="229" t="str">
        <f>IF($B389="","",IF($I389&lt;&gt;"Concluído","Não iniciado",IF('E6 — Ajustes'!$N371="Não","N/A",IF(COUNTIF(Lançamentos!$B$3:$B$1001,$B389)=0,"Bloqueado",IF('E6 — Ajustes'!$D371="","Bloqueado",IF(COUNTIF('E6 — Ajustes'!$E371:$J371,"⛔ Bloqueado")&gt;0,"Bloqueado",IF(AND('E6 — Ajustes'!$E371="✔ Concluído",'E6 — Ajustes'!$F371="✔ Concluído",'E6 — Ajustes'!$G371="✔ Concluído",'E6 — Ajustes'!$H371="✔ Concluído",OR('E6 — Ajustes'!$I371="✔ Concluído",'E6 — Ajustes'!$I371="N/A"),'E6 — Ajustes'!$J371="✔ Concluído"),"Concluído",IF(COUNTIF('E6 — Ajustes'!$E371:$J371,"✔ Concluído")+COUNTIF('E6 — Ajustes'!$E371:$J371,"🔄 Em andamento")&gt;0,"Em andamento","Não iniciado"))))))))</f>
        <v/>
      </c>
      <c r="K389" s="229" t="str">
        <f>IF($B389="","",IF($I389&lt;&gt;"Concluído","Não iniciado",IF(AND($J389&lt;&gt;"Concluído",$J389&lt;&gt;"N/A"),"Não iniciado",IF(COUNTIF(Lançamentos!$B$3:$B$1001,$B389)=0,"Bloqueado",IF('E7 — Entrega'!$D371="","Bloqueado",IF(COUNTIF('E7 — Entrega'!$E371:$H371,"⛔ Bloqueado")&gt;0,"Bloqueado",IF(COUNTIF('E7 — Entrega'!$E371:$H371,"✔ Concluído")=4,"Concluído",IF(COUNTIF('E7 — Entrega'!$E371:$H371,"✔ Concluído")+COUNTIF('E7 — Entrega'!$E371:$H371,"🔄 Em andamento")&gt;0,"Em andamento","Não iniciado"))))))))</f>
        <v/>
      </c>
      <c r="L389" s="229" t="str">
        <f>IF($B389="","",IF($K389&lt;&gt;"Concluído","Não iniciado",IF(OR(COUNTIF('E08 — Estabilização Hypercare'!$E371:$J371,"⛔ Bloqueado")&gt;0,'E08 — Estabilização Hypercare'!$N371="⛔ Incidente Crítico — Encerramento Bloqueado",AND('E08 — Estabilização Hypercare'!$N371="🆕 Evolução Identificada — Nova Demanda Aberta",'E08 — Estabilização Hypercare'!$U371="")),"Bloqueado",IF(AND('E08 — Estabilização Hypercare'!$E371="✔ Concluído",'E08 — Estabilização Hypercare'!$F371="✔ Concluído",'E08 — Estabilização Hypercare'!$G371="✔ Concluído",OR('E08 — Estabilização Hypercare'!$H371="✔ Concluído",'E08 — Estabilização Hypercare'!$H371="N/A"),'E08 — Estabilização Hypercare'!$I371="✔ Concluído",'E08 — Estabilização Hypercare'!$J371="✔ Concluído",OR('E08 — Estabilização Hypercare'!$N371="✅ Estável — Demanda Encerrada",AND('E08 — Estabilização Hypercare'!$N371="🆕 Evolução Identificada — Nova Demanda Aberta",'E08 — Estabilização Hypercare'!$U371&lt;&gt;""))),"Concluído",IF(OR(COUNTIF('E08 — Estabilização Hypercare'!$E371:$J371,"✔ Concluído")&gt;0,COUNTIF('E08 — Estabilização Hypercare'!$E371:$J371,"🔄 Em andamento")&gt;0,'E08 — Estabilização Hypercare'!$N371&lt;&gt;""),"Em andamento","Não iniciado")))))</f>
        <v/>
      </c>
      <c r="M389" s="232" t="str" cm="1">
        <f t="array" ref="M389">IF(B389="","",_xlfn.IFS(E389&lt;&gt;"Concluído","E1 — Solicitação",F389&lt;&gt;"Concluído","E2 — Triagem",G389&lt;&gt;"Concluído","E3 — Levantamento ⚠",H389&lt;&gt;"Concluído","E4 — Execução",I389&lt;&gt;"Concluído","E5 — Validação ⚠",AND(J389&lt;&gt;"Concluído",J389&lt;&gt;"N/A"),"E6 — Ajustes",K389&lt;&gt;"Concluído","E7 — Entrega",L389&lt;&gt;"Concluído","E08 — Estabilização / Hypercare",TRUE,"✔ Fluxo concluído"))</f>
        <v/>
      </c>
      <c r="N389" s="233" t="str">
        <f t="shared" si="6"/>
        <v/>
      </c>
      <c r="O389" s="230"/>
    </row>
    <row r="390" spans="2:15" x14ac:dyDescent="0.35">
      <c r="B390" s="229" t="str">
        <f>IF(Lançamentos!$B367="","",Lançamentos!$B367)</f>
        <v/>
      </c>
      <c r="C390" s="231" t="str">
        <f>IF($B390="","",Lançamentos!$J367)</f>
        <v/>
      </c>
      <c r="D390" s="231" t="str">
        <f>IF($B390="","",Lançamentos!$H367)</f>
        <v/>
      </c>
      <c r="E390" s="229" t="str">
        <f>IF($B390="","",IF(COUNTIF(Lançamentos!$B$3:$B$1001,$B390)=0,"Bloqueado",IF(COUNTIF('E1 — Solicitação'!$E372:$L372,"⛔ Bloqueado")&gt;0,"Bloqueado",IF(COUNTIF('E1 — Solicitação'!$E372:$L372,"N/A")=8,"Bloqueado",IF(COUNTIF('E1 — Solicitação'!$E372:$L372,"✔ Concluído")+COUNTIF('E1 — Solicitação'!$E372:$L372,"N/A")=8,"Concluído",IF(COUNTIF('E1 — Solicitação'!$E372:$L372,"✔ Concluído")+COUNTIF('E1 — Solicitação'!$E372:$L372,"🔄 Em andamento")&gt;0,"Em andamento","Não iniciado"))))))</f>
        <v/>
      </c>
      <c r="F390" s="229" t="str">
        <f>IF($B390="","",IF($E390&lt;&gt;"Concluído","Não iniciado",IF(COUNTIF(Lançamentos!$B$3:$B$1001,$B390)=0,"Bloqueado",IF('E2 — Triagem'!$D372="","Bloqueado",IF(COUNTIF('E2 — Triagem'!$E372:$L372,"N/A")=8,"Bloqueado",IF(COUNTIF('E2 — Triagem'!$E372:$L372,"⛔ Bloqueado")&gt;0,"Bloqueado",IF(COUNTIF('E2 — Triagem'!$E372:$L372,"✔ Concluído")+COUNTIF('E2 — Triagem'!$E372:$L372,"N/A")=8,"Concluído",IF(COUNTIF('E2 — Triagem'!$E372:$L372,"✔ Concluído")+COUNTIF('E2 — Triagem'!$E372:$L372,"🔄 Em andamento")&gt;0,"Em andamento","Não iniciado"))))))))</f>
        <v/>
      </c>
      <c r="G390" s="229" t="str">
        <f>IF($B390="","",IF($F390&lt;&gt;"Concluído","Não iniciado",IF(COUNTIF(Lançamentos!$B$3:$B$1001,$B390)=0,"Bloqueado",IF('E3 — Levantamento'!$D372="","Bloqueado",IF(COUNTIF('E3 — Levantamento'!$E372:$I372,"⛔ Bloqueado")&gt;0,"Bloqueado",IF('E3 — Levantamento'!$I372="N/A","Bloqueado",IF(COUNTIF('E3 — Levantamento'!$E372:$I372,"✔ Concluído")=5,"Concluído",IF(COUNTIF('E3 — Levantamento'!$E372:$I372,"✔ Concluído")+COUNTIF('E3 — Levantamento'!$E372:$I372,"🔄 Em andamento")&gt;0,"Em andamento","Não iniciado"))))))))</f>
        <v/>
      </c>
      <c r="H390" s="229" t="str">
        <f>IF($B390="","",IF($G390&lt;&gt;"Concluído","Não iniciado",IF(COUNTIF(Lançamentos!$B$3:$B$1001,$B390)=0,"Bloqueado",IF('E4 — Execução'!$D372="","Bloqueado",IF(COUNTIF('E4 — Execução'!$E372:$K372,"⛔ Bloqueado")&gt;0,"Bloqueado",IF(COUNTIF('E4 — Execução'!$E372:$K372,"✔ Concluído")=7,"Concluído",IF(COUNTIF('E4 — Execução'!$E372:$K372,"✔ Concluído")+COUNTIF('E4 — Execução'!$E372:$K372,"🔄 Em andamento")&gt;0,"Em andamento","Não iniciado")))))))</f>
        <v/>
      </c>
      <c r="I390" s="229" t="str">
        <f>IF($B390="","",IF($H390&lt;&gt;"Concluído","Não iniciado",IF(COUNTIF(Lançamentos!$B$3:$B$1001,$B390)=0,"Bloqueado",IF('E5 — Validação'!$D372="","Bloqueado",IF(COUNTIF('E5 — Validação'!$E372:$I372,"⛔ Bloqueado")&gt;0,"Bloqueado",IF('E5 — Validação'!$I372="N/A","Bloqueado",IF(AND('E5 — Validação'!$E372="✔ Concluído",'E5 — Validação'!$F372="✔ Concluído",OR('E5 — Validação'!$G372="✔ Concluído",'E5 — Validação'!$G372="N/A"),'E5 — Validação'!$H372="✔ Concluído",'E5 — Validação'!$I372="✔ Concluído"),"Concluído",IF(COUNTIF('E5 — Validação'!$E372:$I372,"✔ Concluído")+COUNTIF('E5 — Validação'!$E372:$I372,"🔄 Em andamento")&gt;0,"Em andamento","Não iniciado"))))))))</f>
        <v/>
      </c>
      <c r="J390" s="229" t="str">
        <f>IF($B390="","",IF($I390&lt;&gt;"Concluído","Não iniciado",IF('E6 — Ajustes'!$N372="Não","N/A",IF(COUNTIF(Lançamentos!$B$3:$B$1001,$B390)=0,"Bloqueado",IF('E6 — Ajustes'!$D372="","Bloqueado",IF(COUNTIF('E6 — Ajustes'!$E372:$J372,"⛔ Bloqueado")&gt;0,"Bloqueado",IF(AND('E6 — Ajustes'!$E372="✔ Concluído",'E6 — Ajustes'!$F372="✔ Concluído",'E6 — Ajustes'!$G372="✔ Concluído",'E6 — Ajustes'!$H372="✔ Concluído",OR('E6 — Ajustes'!$I372="✔ Concluído",'E6 — Ajustes'!$I372="N/A"),'E6 — Ajustes'!$J372="✔ Concluído"),"Concluído",IF(COUNTIF('E6 — Ajustes'!$E372:$J372,"✔ Concluído")+COUNTIF('E6 — Ajustes'!$E372:$J372,"🔄 Em andamento")&gt;0,"Em andamento","Não iniciado"))))))))</f>
        <v/>
      </c>
      <c r="K390" s="229" t="str">
        <f>IF($B390="","",IF($I390&lt;&gt;"Concluído","Não iniciado",IF(AND($J390&lt;&gt;"Concluído",$J390&lt;&gt;"N/A"),"Não iniciado",IF(COUNTIF(Lançamentos!$B$3:$B$1001,$B390)=0,"Bloqueado",IF('E7 — Entrega'!$D372="","Bloqueado",IF(COUNTIF('E7 — Entrega'!$E372:$H372,"⛔ Bloqueado")&gt;0,"Bloqueado",IF(COUNTIF('E7 — Entrega'!$E372:$H372,"✔ Concluído")=4,"Concluído",IF(COUNTIF('E7 — Entrega'!$E372:$H372,"✔ Concluído")+COUNTIF('E7 — Entrega'!$E372:$H372,"🔄 Em andamento")&gt;0,"Em andamento","Não iniciado"))))))))</f>
        <v/>
      </c>
      <c r="L390" s="229" t="str">
        <f>IF($B390="","",IF($K390&lt;&gt;"Concluído","Não iniciado",IF(OR(COUNTIF('E08 — Estabilização Hypercare'!$E372:$J372,"⛔ Bloqueado")&gt;0,'E08 — Estabilização Hypercare'!$N372="⛔ Incidente Crítico — Encerramento Bloqueado",AND('E08 — Estabilização Hypercare'!$N372="🆕 Evolução Identificada — Nova Demanda Aberta",'E08 — Estabilização Hypercare'!$U372="")),"Bloqueado",IF(AND('E08 — Estabilização Hypercare'!$E372="✔ Concluído",'E08 — Estabilização Hypercare'!$F372="✔ Concluído",'E08 — Estabilização Hypercare'!$G372="✔ Concluído",OR('E08 — Estabilização Hypercare'!$H372="✔ Concluído",'E08 — Estabilização Hypercare'!$H372="N/A"),'E08 — Estabilização Hypercare'!$I372="✔ Concluído",'E08 — Estabilização Hypercare'!$J372="✔ Concluído",OR('E08 — Estabilização Hypercare'!$N372="✅ Estável — Demanda Encerrada",AND('E08 — Estabilização Hypercare'!$N372="🆕 Evolução Identificada — Nova Demanda Aberta",'E08 — Estabilização Hypercare'!$U372&lt;&gt;""))),"Concluído",IF(OR(COUNTIF('E08 — Estabilização Hypercare'!$E372:$J372,"✔ Concluído")&gt;0,COUNTIF('E08 — Estabilização Hypercare'!$E372:$J372,"🔄 Em andamento")&gt;0,'E08 — Estabilização Hypercare'!$N372&lt;&gt;""),"Em andamento","Não iniciado")))))</f>
        <v/>
      </c>
      <c r="M390" s="232" t="str" cm="1">
        <f t="array" ref="M390">IF(B390="","",_xlfn.IFS(E390&lt;&gt;"Concluído","E1 — Solicitação",F390&lt;&gt;"Concluído","E2 — Triagem",G390&lt;&gt;"Concluído","E3 — Levantamento ⚠",H390&lt;&gt;"Concluído","E4 — Execução",I390&lt;&gt;"Concluído","E5 — Validação ⚠",AND(J390&lt;&gt;"Concluído",J390&lt;&gt;"N/A"),"E6 — Ajustes",K390&lt;&gt;"Concluído","E7 — Entrega",L390&lt;&gt;"Concluído","E08 — Estabilização / Hypercare",TRUE,"✔ Fluxo concluído"))</f>
        <v/>
      </c>
      <c r="N390" s="233" t="str">
        <f t="shared" si="6"/>
        <v/>
      </c>
      <c r="O390" s="230"/>
    </row>
    <row r="391" spans="2:15" x14ac:dyDescent="0.35">
      <c r="B391" s="229" t="str">
        <f>IF(Lançamentos!$B368="","",Lançamentos!$B368)</f>
        <v/>
      </c>
      <c r="C391" s="231" t="str">
        <f>IF($B391="","",Lançamentos!$J368)</f>
        <v/>
      </c>
      <c r="D391" s="231" t="str">
        <f>IF($B391="","",Lançamentos!$H368)</f>
        <v/>
      </c>
      <c r="E391" s="229" t="str">
        <f>IF($B391="","",IF(COUNTIF(Lançamentos!$B$3:$B$1001,$B391)=0,"Bloqueado",IF(COUNTIF('E1 — Solicitação'!$E373:$L373,"⛔ Bloqueado")&gt;0,"Bloqueado",IF(COUNTIF('E1 — Solicitação'!$E373:$L373,"N/A")=8,"Bloqueado",IF(COUNTIF('E1 — Solicitação'!$E373:$L373,"✔ Concluído")+COUNTIF('E1 — Solicitação'!$E373:$L373,"N/A")=8,"Concluído",IF(COUNTIF('E1 — Solicitação'!$E373:$L373,"✔ Concluído")+COUNTIF('E1 — Solicitação'!$E373:$L373,"🔄 Em andamento")&gt;0,"Em andamento","Não iniciado"))))))</f>
        <v/>
      </c>
      <c r="F391" s="229" t="str">
        <f>IF($B391="","",IF($E391&lt;&gt;"Concluído","Não iniciado",IF(COUNTIF(Lançamentos!$B$3:$B$1001,$B391)=0,"Bloqueado",IF('E2 — Triagem'!$D373="","Bloqueado",IF(COUNTIF('E2 — Triagem'!$E373:$L373,"N/A")=8,"Bloqueado",IF(COUNTIF('E2 — Triagem'!$E373:$L373,"⛔ Bloqueado")&gt;0,"Bloqueado",IF(COUNTIF('E2 — Triagem'!$E373:$L373,"✔ Concluído")+COUNTIF('E2 — Triagem'!$E373:$L373,"N/A")=8,"Concluído",IF(COUNTIF('E2 — Triagem'!$E373:$L373,"✔ Concluído")+COUNTIF('E2 — Triagem'!$E373:$L373,"🔄 Em andamento")&gt;0,"Em andamento","Não iniciado"))))))))</f>
        <v/>
      </c>
      <c r="G391" s="229" t="str">
        <f>IF($B391="","",IF($F391&lt;&gt;"Concluído","Não iniciado",IF(COUNTIF(Lançamentos!$B$3:$B$1001,$B391)=0,"Bloqueado",IF('E3 — Levantamento'!$D373="","Bloqueado",IF(COUNTIF('E3 — Levantamento'!$E373:$I373,"⛔ Bloqueado")&gt;0,"Bloqueado",IF('E3 — Levantamento'!$I373="N/A","Bloqueado",IF(COUNTIF('E3 — Levantamento'!$E373:$I373,"✔ Concluído")=5,"Concluído",IF(COUNTIF('E3 — Levantamento'!$E373:$I373,"✔ Concluído")+COUNTIF('E3 — Levantamento'!$E373:$I373,"🔄 Em andamento")&gt;0,"Em andamento","Não iniciado"))))))))</f>
        <v/>
      </c>
      <c r="H391" s="229" t="str">
        <f>IF($B391="","",IF($G391&lt;&gt;"Concluído","Não iniciado",IF(COUNTIF(Lançamentos!$B$3:$B$1001,$B391)=0,"Bloqueado",IF('E4 — Execução'!$D373="","Bloqueado",IF(COUNTIF('E4 — Execução'!$E373:$K373,"⛔ Bloqueado")&gt;0,"Bloqueado",IF(COUNTIF('E4 — Execução'!$E373:$K373,"✔ Concluído")=7,"Concluído",IF(COUNTIF('E4 — Execução'!$E373:$K373,"✔ Concluído")+COUNTIF('E4 — Execução'!$E373:$K373,"🔄 Em andamento")&gt;0,"Em andamento","Não iniciado")))))))</f>
        <v/>
      </c>
      <c r="I391" s="229" t="str">
        <f>IF($B391="","",IF($H391&lt;&gt;"Concluído","Não iniciado",IF(COUNTIF(Lançamentos!$B$3:$B$1001,$B391)=0,"Bloqueado",IF('E5 — Validação'!$D373="","Bloqueado",IF(COUNTIF('E5 — Validação'!$E373:$I373,"⛔ Bloqueado")&gt;0,"Bloqueado",IF('E5 — Validação'!$I373="N/A","Bloqueado",IF(AND('E5 — Validação'!$E373="✔ Concluído",'E5 — Validação'!$F373="✔ Concluído",OR('E5 — Validação'!$G373="✔ Concluído",'E5 — Validação'!$G373="N/A"),'E5 — Validação'!$H373="✔ Concluído",'E5 — Validação'!$I373="✔ Concluído"),"Concluído",IF(COUNTIF('E5 — Validação'!$E373:$I373,"✔ Concluído")+COUNTIF('E5 — Validação'!$E373:$I373,"🔄 Em andamento")&gt;0,"Em andamento","Não iniciado"))))))))</f>
        <v/>
      </c>
      <c r="J391" s="229" t="str">
        <f>IF($B391="","",IF($I391&lt;&gt;"Concluído","Não iniciado",IF('E6 — Ajustes'!$N373="Não","N/A",IF(COUNTIF(Lançamentos!$B$3:$B$1001,$B391)=0,"Bloqueado",IF('E6 — Ajustes'!$D373="","Bloqueado",IF(COUNTIF('E6 — Ajustes'!$E373:$J373,"⛔ Bloqueado")&gt;0,"Bloqueado",IF(AND('E6 — Ajustes'!$E373="✔ Concluído",'E6 — Ajustes'!$F373="✔ Concluído",'E6 — Ajustes'!$G373="✔ Concluído",'E6 — Ajustes'!$H373="✔ Concluído",OR('E6 — Ajustes'!$I373="✔ Concluído",'E6 — Ajustes'!$I373="N/A"),'E6 — Ajustes'!$J373="✔ Concluído"),"Concluído",IF(COUNTIF('E6 — Ajustes'!$E373:$J373,"✔ Concluído")+COUNTIF('E6 — Ajustes'!$E373:$J373,"🔄 Em andamento")&gt;0,"Em andamento","Não iniciado"))))))))</f>
        <v/>
      </c>
      <c r="K391" s="229" t="str">
        <f>IF($B391="","",IF($I391&lt;&gt;"Concluído","Não iniciado",IF(AND($J391&lt;&gt;"Concluído",$J391&lt;&gt;"N/A"),"Não iniciado",IF(COUNTIF(Lançamentos!$B$3:$B$1001,$B391)=0,"Bloqueado",IF('E7 — Entrega'!$D373="","Bloqueado",IF(COUNTIF('E7 — Entrega'!$E373:$H373,"⛔ Bloqueado")&gt;0,"Bloqueado",IF(COUNTIF('E7 — Entrega'!$E373:$H373,"✔ Concluído")=4,"Concluído",IF(COUNTIF('E7 — Entrega'!$E373:$H373,"✔ Concluído")+COUNTIF('E7 — Entrega'!$E373:$H373,"🔄 Em andamento")&gt;0,"Em andamento","Não iniciado"))))))))</f>
        <v/>
      </c>
      <c r="L391" s="229" t="str">
        <f>IF($B391="","",IF($K391&lt;&gt;"Concluído","Não iniciado",IF(OR(COUNTIF('E08 — Estabilização Hypercare'!$E373:$J373,"⛔ Bloqueado")&gt;0,'E08 — Estabilização Hypercare'!$N373="⛔ Incidente Crítico — Encerramento Bloqueado",AND('E08 — Estabilização Hypercare'!$N373="🆕 Evolução Identificada — Nova Demanda Aberta",'E08 — Estabilização Hypercare'!$U373="")),"Bloqueado",IF(AND('E08 — Estabilização Hypercare'!$E373="✔ Concluído",'E08 — Estabilização Hypercare'!$F373="✔ Concluído",'E08 — Estabilização Hypercare'!$G373="✔ Concluído",OR('E08 — Estabilização Hypercare'!$H373="✔ Concluído",'E08 — Estabilização Hypercare'!$H373="N/A"),'E08 — Estabilização Hypercare'!$I373="✔ Concluído",'E08 — Estabilização Hypercare'!$J373="✔ Concluído",OR('E08 — Estabilização Hypercare'!$N373="✅ Estável — Demanda Encerrada",AND('E08 — Estabilização Hypercare'!$N373="🆕 Evolução Identificada — Nova Demanda Aberta",'E08 — Estabilização Hypercare'!$U373&lt;&gt;""))),"Concluído",IF(OR(COUNTIF('E08 — Estabilização Hypercare'!$E373:$J373,"✔ Concluído")&gt;0,COUNTIF('E08 — Estabilização Hypercare'!$E373:$J373,"🔄 Em andamento")&gt;0,'E08 — Estabilização Hypercare'!$N373&lt;&gt;""),"Em andamento","Não iniciado")))))</f>
        <v/>
      </c>
      <c r="M391" s="232" t="str" cm="1">
        <f t="array" ref="M391">IF(B391="","",_xlfn.IFS(E391&lt;&gt;"Concluído","E1 — Solicitação",F391&lt;&gt;"Concluído","E2 — Triagem",G391&lt;&gt;"Concluído","E3 — Levantamento ⚠",H391&lt;&gt;"Concluído","E4 — Execução",I391&lt;&gt;"Concluído","E5 — Validação ⚠",AND(J391&lt;&gt;"Concluído",J391&lt;&gt;"N/A"),"E6 — Ajustes",K391&lt;&gt;"Concluído","E7 — Entrega",L391&lt;&gt;"Concluído","E08 — Estabilização / Hypercare",TRUE,"✔ Fluxo concluído"))</f>
        <v/>
      </c>
      <c r="N391" s="233" t="str">
        <f t="shared" si="6"/>
        <v/>
      </c>
      <c r="O391" s="230"/>
    </row>
    <row r="392" spans="2:15" x14ac:dyDescent="0.35">
      <c r="B392" s="229" t="str">
        <f>IF(Lançamentos!$B369="","",Lançamentos!$B369)</f>
        <v/>
      </c>
      <c r="C392" s="231" t="str">
        <f>IF($B392="","",Lançamentos!$J369)</f>
        <v/>
      </c>
      <c r="D392" s="231" t="str">
        <f>IF($B392="","",Lançamentos!$H369)</f>
        <v/>
      </c>
      <c r="E392" s="229" t="str">
        <f>IF($B392="","",IF(COUNTIF(Lançamentos!$B$3:$B$1001,$B392)=0,"Bloqueado",IF(COUNTIF('E1 — Solicitação'!$E374:$L374,"⛔ Bloqueado")&gt;0,"Bloqueado",IF(COUNTIF('E1 — Solicitação'!$E374:$L374,"N/A")=8,"Bloqueado",IF(COUNTIF('E1 — Solicitação'!$E374:$L374,"✔ Concluído")+COUNTIF('E1 — Solicitação'!$E374:$L374,"N/A")=8,"Concluído",IF(COUNTIF('E1 — Solicitação'!$E374:$L374,"✔ Concluído")+COUNTIF('E1 — Solicitação'!$E374:$L374,"🔄 Em andamento")&gt;0,"Em andamento","Não iniciado"))))))</f>
        <v/>
      </c>
      <c r="F392" s="229" t="str">
        <f>IF($B392="","",IF($E392&lt;&gt;"Concluído","Não iniciado",IF(COUNTIF(Lançamentos!$B$3:$B$1001,$B392)=0,"Bloqueado",IF('E2 — Triagem'!$D374="","Bloqueado",IF(COUNTIF('E2 — Triagem'!$E374:$L374,"N/A")=8,"Bloqueado",IF(COUNTIF('E2 — Triagem'!$E374:$L374,"⛔ Bloqueado")&gt;0,"Bloqueado",IF(COUNTIF('E2 — Triagem'!$E374:$L374,"✔ Concluído")+COUNTIF('E2 — Triagem'!$E374:$L374,"N/A")=8,"Concluído",IF(COUNTIF('E2 — Triagem'!$E374:$L374,"✔ Concluído")+COUNTIF('E2 — Triagem'!$E374:$L374,"🔄 Em andamento")&gt;0,"Em andamento","Não iniciado"))))))))</f>
        <v/>
      </c>
      <c r="G392" s="229" t="str">
        <f>IF($B392="","",IF($F392&lt;&gt;"Concluído","Não iniciado",IF(COUNTIF(Lançamentos!$B$3:$B$1001,$B392)=0,"Bloqueado",IF('E3 — Levantamento'!$D374="","Bloqueado",IF(COUNTIF('E3 — Levantamento'!$E374:$I374,"⛔ Bloqueado")&gt;0,"Bloqueado",IF('E3 — Levantamento'!$I374="N/A","Bloqueado",IF(COUNTIF('E3 — Levantamento'!$E374:$I374,"✔ Concluído")=5,"Concluído",IF(COUNTIF('E3 — Levantamento'!$E374:$I374,"✔ Concluído")+COUNTIF('E3 — Levantamento'!$E374:$I374,"🔄 Em andamento")&gt;0,"Em andamento","Não iniciado"))))))))</f>
        <v/>
      </c>
      <c r="H392" s="229" t="str">
        <f>IF($B392="","",IF($G392&lt;&gt;"Concluído","Não iniciado",IF(COUNTIF(Lançamentos!$B$3:$B$1001,$B392)=0,"Bloqueado",IF('E4 — Execução'!$D374="","Bloqueado",IF(COUNTIF('E4 — Execução'!$E374:$K374,"⛔ Bloqueado")&gt;0,"Bloqueado",IF(COUNTIF('E4 — Execução'!$E374:$K374,"✔ Concluído")=7,"Concluído",IF(COUNTIF('E4 — Execução'!$E374:$K374,"✔ Concluído")+COUNTIF('E4 — Execução'!$E374:$K374,"🔄 Em andamento")&gt;0,"Em andamento","Não iniciado")))))))</f>
        <v/>
      </c>
      <c r="I392" s="229" t="str">
        <f>IF($B392="","",IF($H392&lt;&gt;"Concluído","Não iniciado",IF(COUNTIF(Lançamentos!$B$3:$B$1001,$B392)=0,"Bloqueado",IF('E5 — Validação'!$D374="","Bloqueado",IF(COUNTIF('E5 — Validação'!$E374:$I374,"⛔ Bloqueado")&gt;0,"Bloqueado",IF('E5 — Validação'!$I374="N/A","Bloqueado",IF(AND('E5 — Validação'!$E374="✔ Concluído",'E5 — Validação'!$F374="✔ Concluído",OR('E5 — Validação'!$G374="✔ Concluído",'E5 — Validação'!$G374="N/A"),'E5 — Validação'!$H374="✔ Concluído",'E5 — Validação'!$I374="✔ Concluído"),"Concluído",IF(COUNTIF('E5 — Validação'!$E374:$I374,"✔ Concluído")+COUNTIF('E5 — Validação'!$E374:$I374,"🔄 Em andamento")&gt;0,"Em andamento","Não iniciado"))))))))</f>
        <v/>
      </c>
      <c r="J392" s="229" t="str">
        <f>IF($B392="","",IF($I392&lt;&gt;"Concluído","Não iniciado",IF('E6 — Ajustes'!$N374="Não","N/A",IF(COUNTIF(Lançamentos!$B$3:$B$1001,$B392)=0,"Bloqueado",IF('E6 — Ajustes'!$D374="","Bloqueado",IF(COUNTIF('E6 — Ajustes'!$E374:$J374,"⛔ Bloqueado")&gt;0,"Bloqueado",IF(AND('E6 — Ajustes'!$E374="✔ Concluído",'E6 — Ajustes'!$F374="✔ Concluído",'E6 — Ajustes'!$G374="✔ Concluído",'E6 — Ajustes'!$H374="✔ Concluído",OR('E6 — Ajustes'!$I374="✔ Concluído",'E6 — Ajustes'!$I374="N/A"),'E6 — Ajustes'!$J374="✔ Concluído"),"Concluído",IF(COUNTIF('E6 — Ajustes'!$E374:$J374,"✔ Concluído")+COUNTIF('E6 — Ajustes'!$E374:$J374,"🔄 Em andamento")&gt;0,"Em andamento","Não iniciado"))))))))</f>
        <v/>
      </c>
      <c r="K392" s="229" t="str">
        <f>IF($B392="","",IF($I392&lt;&gt;"Concluído","Não iniciado",IF(AND($J392&lt;&gt;"Concluído",$J392&lt;&gt;"N/A"),"Não iniciado",IF(COUNTIF(Lançamentos!$B$3:$B$1001,$B392)=0,"Bloqueado",IF('E7 — Entrega'!$D374="","Bloqueado",IF(COUNTIF('E7 — Entrega'!$E374:$H374,"⛔ Bloqueado")&gt;0,"Bloqueado",IF(COUNTIF('E7 — Entrega'!$E374:$H374,"✔ Concluído")=4,"Concluído",IF(COUNTIF('E7 — Entrega'!$E374:$H374,"✔ Concluído")+COUNTIF('E7 — Entrega'!$E374:$H374,"🔄 Em andamento")&gt;0,"Em andamento","Não iniciado"))))))))</f>
        <v/>
      </c>
      <c r="L392" s="229" t="str">
        <f>IF($B392="","",IF($K392&lt;&gt;"Concluído","Não iniciado",IF(OR(COUNTIF('E08 — Estabilização Hypercare'!$E374:$J374,"⛔ Bloqueado")&gt;0,'E08 — Estabilização Hypercare'!$N374="⛔ Incidente Crítico — Encerramento Bloqueado",AND('E08 — Estabilização Hypercare'!$N374="🆕 Evolução Identificada — Nova Demanda Aberta",'E08 — Estabilização Hypercare'!$U374="")),"Bloqueado",IF(AND('E08 — Estabilização Hypercare'!$E374="✔ Concluído",'E08 — Estabilização Hypercare'!$F374="✔ Concluído",'E08 — Estabilização Hypercare'!$G374="✔ Concluído",OR('E08 — Estabilização Hypercare'!$H374="✔ Concluído",'E08 — Estabilização Hypercare'!$H374="N/A"),'E08 — Estabilização Hypercare'!$I374="✔ Concluído",'E08 — Estabilização Hypercare'!$J374="✔ Concluído",OR('E08 — Estabilização Hypercare'!$N374="✅ Estável — Demanda Encerrada",AND('E08 — Estabilização Hypercare'!$N374="🆕 Evolução Identificada — Nova Demanda Aberta",'E08 — Estabilização Hypercare'!$U374&lt;&gt;""))),"Concluído",IF(OR(COUNTIF('E08 — Estabilização Hypercare'!$E374:$J374,"✔ Concluído")&gt;0,COUNTIF('E08 — Estabilização Hypercare'!$E374:$J374,"🔄 Em andamento")&gt;0,'E08 — Estabilização Hypercare'!$N374&lt;&gt;""),"Em andamento","Não iniciado")))))</f>
        <v/>
      </c>
      <c r="M392" s="232" t="str" cm="1">
        <f t="array" ref="M392">IF(B392="","",_xlfn.IFS(E392&lt;&gt;"Concluído","E1 — Solicitação",F392&lt;&gt;"Concluído","E2 — Triagem",G392&lt;&gt;"Concluído","E3 — Levantamento ⚠",H392&lt;&gt;"Concluído","E4 — Execução",I392&lt;&gt;"Concluído","E5 — Validação ⚠",AND(J392&lt;&gt;"Concluído",J392&lt;&gt;"N/A"),"E6 — Ajustes",K392&lt;&gt;"Concluído","E7 — Entrega",L392&lt;&gt;"Concluído","E08 — Estabilização / Hypercare",TRUE,"✔ Fluxo concluído"))</f>
        <v/>
      </c>
      <c r="N392" s="233" t="str">
        <f t="shared" si="6"/>
        <v/>
      </c>
      <c r="O392" s="230"/>
    </row>
    <row r="393" spans="2:15" x14ac:dyDescent="0.35">
      <c r="B393" s="229" t="str">
        <f>IF(Lançamentos!$B370="","",Lançamentos!$B370)</f>
        <v/>
      </c>
      <c r="C393" s="231" t="str">
        <f>IF($B393="","",Lançamentos!$J370)</f>
        <v/>
      </c>
      <c r="D393" s="231" t="str">
        <f>IF($B393="","",Lançamentos!$H370)</f>
        <v/>
      </c>
      <c r="E393" s="229" t="str">
        <f>IF($B393="","",IF(COUNTIF(Lançamentos!$B$3:$B$1001,$B393)=0,"Bloqueado",IF(COUNTIF('E1 — Solicitação'!$E375:$L375,"⛔ Bloqueado")&gt;0,"Bloqueado",IF(COUNTIF('E1 — Solicitação'!$E375:$L375,"N/A")=8,"Bloqueado",IF(COUNTIF('E1 — Solicitação'!$E375:$L375,"✔ Concluído")+COUNTIF('E1 — Solicitação'!$E375:$L375,"N/A")=8,"Concluído",IF(COUNTIF('E1 — Solicitação'!$E375:$L375,"✔ Concluído")+COUNTIF('E1 — Solicitação'!$E375:$L375,"🔄 Em andamento")&gt;0,"Em andamento","Não iniciado"))))))</f>
        <v/>
      </c>
      <c r="F393" s="229" t="str">
        <f>IF($B393="","",IF($E393&lt;&gt;"Concluído","Não iniciado",IF(COUNTIF(Lançamentos!$B$3:$B$1001,$B393)=0,"Bloqueado",IF('E2 — Triagem'!$D375="","Bloqueado",IF(COUNTIF('E2 — Triagem'!$E375:$L375,"N/A")=8,"Bloqueado",IF(COUNTIF('E2 — Triagem'!$E375:$L375,"⛔ Bloqueado")&gt;0,"Bloqueado",IF(COUNTIF('E2 — Triagem'!$E375:$L375,"✔ Concluído")+COUNTIF('E2 — Triagem'!$E375:$L375,"N/A")=8,"Concluído",IF(COUNTIF('E2 — Triagem'!$E375:$L375,"✔ Concluído")+COUNTIF('E2 — Triagem'!$E375:$L375,"🔄 Em andamento")&gt;0,"Em andamento","Não iniciado"))))))))</f>
        <v/>
      </c>
      <c r="G393" s="229" t="str">
        <f>IF($B393="","",IF($F393&lt;&gt;"Concluído","Não iniciado",IF(COUNTIF(Lançamentos!$B$3:$B$1001,$B393)=0,"Bloqueado",IF('E3 — Levantamento'!$D375="","Bloqueado",IF(COUNTIF('E3 — Levantamento'!$E375:$I375,"⛔ Bloqueado")&gt;0,"Bloqueado",IF('E3 — Levantamento'!$I375="N/A","Bloqueado",IF(COUNTIF('E3 — Levantamento'!$E375:$I375,"✔ Concluído")=5,"Concluído",IF(COUNTIF('E3 — Levantamento'!$E375:$I375,"✔ Concluído")+COUNTIF('E3 — Levantamento'!$E375:$I375,"🔄 Em andamento")&gt;0,"Em andamento","Não iniciado"))))))))</f>
        <v/>
      </c>
      <c r="H393" s="229" t="str">
        <f>IF($B393="","",IF($G393&lt;&gt;"Concluído","Não iniciado",IF(COUNTIF(Lançamentos!$B$3:$B$1001,$B393)=0,"Bloqueado",IF('E4 — Execução'!$D375="","Bloqueado",IF(COUNTIF('E4 — Execução'!$E375:$K375,"⛔ Bloqueado")&gt;0,"Bloqueado",IF(COUNTIF('E4 — Execução'!$E375:$K375,"✔ Concluído")=7,"Concluído",IF(COUNTIF('E4 — Execução'!$E375:$K375,"✔ Concluído")+COUNTIF('E4 — Execução'!$E375:$K375,"🔄 Em andamento")&gt;0,"Em andamento","Não iniciado")))))))</f>
        <v/>
      </c>
      <c r="I393" s="229" t="str">
        <f>IF($B393="","",IF($H393&lt;&gt;"Concluído","Não iniciado",IF(COUNTIF(Lançamentos!$B$3:$B$1001,$B393)=0,"Bloqueado",IF('E5 — Validação'!$D375="","Bloqueado",IF(COUNTIF('E5 — Validação'!$E375:$I375,"⛔ Bloqueado")&gt;0,"Bloqueado",IF('E5 — Validação'!$I375="N/A","Bloqueado",IF(AND('E5 — Validação'!$E375="✔ Concluído",'E5 — Validação'!$F375="✔ Concluído",OR('E5 — Validação'!$G375="✔ Concluído",'E5 — Validação'!$G375="N/A"),'E5 — Validação'!$H375="✔ Concluído",'E5 — Validação'!$I375="✔ Concluído"),"Concluído",IF(COUNTIF('E5 — Validação'!$E375:$I375,"✔ Concluído")+COUNTIF('E5 — Validação'!$E375:$I375,"🔄 Em andamento")&gt;0,"Em andamento","Não iniciado"))))))))</f>
        <v/>
      </c>
      <c r="J393" s="229" t="str">
        <f>IF($B393="","",IF($I393&lt;&gt;"Concluído","Não iniciado",IF('E6 — Ajustes'!$N375="Não","N/A",IF(COUNTIF(Lançamentos!$B$3:$B$1001,$B393)=0,"Bloqueado",IF('E6 — Ajustes'!$D375="","Bloqueado",IF(COUNTIF('E6 — Ajustes'!$E375:$J375,"⛔ Bloqueado")&gt;0,"Bloqueado",IF(AND('E6 — Ajustes'!$E375="✔ Concluído",'E6 — Ajustes'!$F375="✔ Concluído",'E6 — Ajustes'!$G375="✔ Concluído",'E6 — Ajustes'!$H375="✔ Concluído",OR('E6 — Ajustes'!$I375="✔ Concluído",'E6 — Ajustes'!$I375="N/A"),'E6 — Ajustes'!$J375="✔ Concluído"),"Concluído",IF(COUNTIF('E6 — Ajustes'!$E375:$J375,"✔ Concluído")+COUNTIF('E6 — Ajustes'!$E375:$J375,"🔄 Em andamento")&gt;0,"Em andamento","Não iniciado"))))))))</f>
        <v/>
      </c>
      <c r="K393" s="229" t="str">
        <f>IF($B393="","",IF($I393&lt;&gt;"Concluído","Não iniciado",IF(AND($J393&lt;&gt;"Concluído",$J393&lt;&gt;"N/A"),"Não iniciado",IF(COUNTIF(Lançamentos!$B$3:$B$1001,$B393)=0,"Bloqueado",IF('E7 — Entrega'!$D375="","Bloqueado",IF(COUNTIF('E7 — Entrega'!$E375:$H375,"⛔ Bloqueado")&gt;0,"Bloqueado",IF(COUNTIF('E7 — Entrega'!$E375:$H375,"✔ Concluído")=4,"Concluído",IF(COUNTIF('E7 — Entrega'!$E375:$H375,"✔ Concluído")+COUNTIF('E7 — Entrega'!$E375:$H375,"🔄 Em andamento")&gt;0,"Em andamento","Não iniciado"))))))))</f>
        <v/>
      </c>
      <c r="L393" s="229" t="str">
        <f>IF($B393="","",IF($K393&lt;&gt;"Concluído","Não iniciado",IF(OR(COUNTIF('E08 — Estabilização Hypercare'!$E375:$J375,"⛔ Bloqueado")&gt;0,'E08 — Estabilização Hypercare'!$N375="⛔ Incidente Crítico — Encerramento Bloqueado",AND('E08 — Estabilização Hypercare'!$N375="🆕 Evolução Identificada — Nova Demanda Aberta",'E08 — Estabilização Hypercare'!$U375="")),"Bloqueado",IF(AND('E08 — Estabilização Hypercare'!$E375="✔ Concluído",'E08 — Estabilização Hypercare'!$F375="✔ Concluído",'E08 — Estabilização Hypercare'!$G375="✔ Concluído",OR('E08 — Estabilização Hypercare'!$H375="✔ Concluído",'E08 — Estabilização Hypercare'!$H375="N/A"),'E08 — Estabilização Hypercare'!$I375="✔ Concluído",'E08 — Estabilização Hypercare'!$J375="✔ Concluído",OR('E08 — Estabilização Hypercare'!$N375="✅ Estável — Demanda Encerrada",AND('E08 — Estabilização Hypercare'!$N375="🆕 Evolução Identificada — Nova Demanda Aberta",'E08 — Estabilização Hypercare'!$U375&lt;&gt;""))),"Concluído",IF(OR(COUNTIF('E08 — Estabilização Hypercare'!$E375:$J375,"✔ Concluído")&gt;0,COUNTIF('E08 — Estabilização Hypercare'!$E375:$J375,"🔄 Em andamento")&gt;0,'E08 — Estabilização Hypercare'!$N375&lt;&gt;""),"Em andamento","Não iniciado")))))</f>
        <v/>
      </c>
      <c r="M393" s="232" t="str" cm="1">
        <f t="array" ref="M393">IF(B393="","",_xlfn.IFS(E393&lt;&gt;"Concluído","E1 — Solicitação",F393&lt;&gt;"Concluído","E2 — Triagem",G393&lt;&gt;"Concluído","E3 — Levantamento ⚠",H393&lt;&gt;"Concluído","E4 — Execução",I393&lt;&gt;"Concluído","E5 — Validação ⚠",AND(J393&lt;&gt;"Concluído",J393&lt;&gt;"N/A"),"E6 — Ajustes",K393&lt;&gt;"Concluído","E7 — Entrega",L393&lt;&gt;"Concluído","E08 — Estabilização / Hypercare",TRUE,"✔ Fluxo concluído"))</f>
        <v/>
      </c>
      <c r="N393" s="233" t="str">
        <f t="shared" si="6"/>
        <v/>
      </c>
      <c r="O393" s="230"/>
    </row>
    <row r="394" spans="2:15" x14ac:dyDescent="0.35">
      <c r="B394" s="229" t="str">
        <f>IF(Lançamentos!$B371="","",Lançamentos!$B371)</f>
        <v/>
      </c>
      <c r="C394" s="231" t="str">
        <f>IF($B394="","",Lançamentos!$J371)</f>
        <v/>
      </c>
      <c r="D394" s="231" t="str">
        <f>IF($B394="","",Lançamentos!$H371)</f>
        <v/>
      </c>
      <c r="E394" s="229" t="str">
        <f>IF($B394="","",IF(COUNTIF(Lançamentos!$B$3:$B$1001,$B394)=0,"Bloqueado",IF(COUNTIF('E1 — Solicitação'!$E376:$L376,"⛔ Bloqueado")&gt;0,"Bloqueado",IF(COUNTIF('E1 — Solicitação'!$E376:$L376,"N/A")=8,"Bloqueado",IF(COUNTIF('E1 — Solicitação'!$E376:$L376,"✔ Concluído")+COUNTIF('E1 — Solicitação'!$E376:$L376,"N/A")=8,"Concluído",IF(COUNTIF('E1 — Solicitação'!$E376:$L376,"✔ Concluído")+COUNTIF('E1 — Solicitação'!$E376:$L376,"🔄 Em andamento")&gt;0,"Em andamento","Não iniciado"))))))</f>
        <v/>
      </c>
      <c r="F394" s="229" t="str">
        <f>IF($B394="","",IF($E394&lt;&gt;"Concluído","Não iniciado",IF(COUNTIF(Lançamentos!$B$3:$B$1001,$B394)=0,"Bloqueado",IF('E2 — Triagem'!$D376="","Bloqueado",IF(COUNTIF('E2 — Triagem'!$E376:$L376,"N/A")=8,"Bloqueado",IF(COUNTIF('E2 — Triagem'!$E376:$L376,"⛔ Bloqueado")&gt;0,"Bloqueado",IF(COUNTIF('E2 — Triagem'!$E376:$L376,"✔ Concluído")+COUNTIF('E2 — Triagem'!$E376:$L376,"N/A")=8,"Concluído",IF(COUNTIF('E2 — Triagem'!$E376:$L376,"✔ Concluído")+COUNTIF('E2 — Triagem'!$E376:$L376,"🔄 Em andamento")&gt;0,"Em andamento","Não iniciado"))))))))</f>
        <v/>
      </c>
      <c r="G394" s="229" t="str">
        <f>IF($B394="","",IF($F394&lt;&gt;"Concluído","Não iniciado",IF(COUNTIF(Lançamentos!$B$3:$B$1001,$B394)=0,"Bloqueado",IF('E3 — Levantamento'!$D376="","Bloqueado",IF(COUNTIF('E3 — Levantamento'!$E376:$I376,"⛔ Bloqueado")&gt;0,"Bloqueado",IF('E3 — Levantamento'!$I376="N/A","Bloqueado",IF(COUNTIF('E3 — Levantamento'!$E376:$I376,"✔ Concluído")=5,"Concluído",IF(COUNTIF('E3 — Levantamento'!$E376:$I376,"✔ Concluído")+COUNTIF('E3 — Levantamento'!$E376:$I376,"🔄 Em andamento")&gt;0,"Em andamento","Não iniciado"))))))))</f>
        <v/>
      </c>
      <c r="H394" s="229" t="str">
        <f>IF($B394="","",IF($G394&lt;&gt;"Concluído","Não iniciado",IF(COUNTIF(Lançamentos!$B$3:$B$1001,$B394)=0,"Bloqueado",IF('E4 — Execução'!$D376="","Bloqueado",IF(COUNTIF('E4 — Execução'!$E376:$K376,"⛔ Bloqueado")&gt;0,"Bloqueado",IF(COUNTIF('E4 — Execução'!$E376:$K376,"✔ Concluído")=7,"Concluído",IF(COUNTIF('E4 — Execução'!$E376:$K376,"✔ Concluído")+COUNTIF('E4 — Execução'!$E376:$K376,"🔄 Em andamento")&gt;0,"Em andamento","Não iniciado")))))))</f>
        <v/>
      </c>
      <c r="I394" s="229" t="str">
        <f>IF($B394="","",IF($H394&lt;&gt;"Concluído","Não iniciado",IF(COUNTIF(Lançamentos!$B$3:$B$1001,$B394)=0,"Bloqueado",IF('E5 — Validação'!$D376="","Bloqueado",IF(COUNTIF('E5 — Validação'!$E376:$I376,"⛔ Bloqueado")&gt;0,"Bloqueado",IF('E5 — Validação'!$I376="N/A","Bloqueado",IF(AND('E5 — Validação'!$E376="✔ Concluído",'E5 — Validação'!$F376="✔ Concluído",OR('E5 — Validação'!$G376="✔ Concluído",'E5 — Validação'!$G376="N/A"),'E5 — Validação'!$H376="✔ Concluído",'E5 — Validação'!$I376="✔ Concluído"),"Concluído",IF(COUNTIF('E5 — Validação'!$E376:$I376,"✔ Concluído")+COUNTIF('E5 — Validação'!$E376:$I376,"🔄 Em andamento")&gt;0,"Em andamento","Não iniciado"))))))))</f>
        <v/>
      </c>
      <c r="J394" s="229" t="str">
        <f>IF($B394="","",IF($I394&lt;&gt;"Concluído","Não iniciado",IF('E6 — Ajustes'!$N376="Não","N/A",IF(COUNTIF(Lançamentos!$B$3:$B$1001,$B394)=0,"Bloqueado",IF('E6 — Ajustes'!$D376="","Bloqueado",IF(COUNTIF('E6 — Ajustes'!$E376:$J376,"⛔ Bloqueado")&gt;0,"Bloqueado",IF(AND('E6 — Ajustes'!$E376="✔ Concluído",'E6 — Ajustes'!$F376="✔ Concluído",'E6 — Ajustes'!$G376="✔ Concluído",'E6 — Ajustes'!$H376="✔ Concluído",OR('E6 — Ajustes'!$I376="✔ Concluído",'E6 — Ajustes'!$I376="N/A"),'E6 — Ajustes'!$J376="✔ Concluído"),"Concluído",IF(COUNTIF('E6 — Ajustes'!$E376:$J376,"✔ Concluído")+COUNTIF('E6 — Ajustes'!$E376:$J376,"🔄 Em andamento")&gt;0,"Em andamento","Não iniciado"))))))))</f>
        <v/>
      </c>
      <c r="K394" s="229" t="str">
        <f>IF($B394="","",IF($I394&lt;&gt;"Concluído","Não iniciado",IF(AND($J394&lt;&gt;"Concluído",$J394&lt;&gt;"N/A"),"Não iniciado",IF(COUNTIF(Lançamentos!$B$3:$B$1001,$B394)=0,"Bloqueado",IF('E7 — Entrega'!$D376="","Bloqueado",IF(COUNTIF('E7 — Entrega'!$E376:$H376,"⛔ Bloqueado")&gt;0,"Bloqueado",IF(COUNTIF('E7 — Entrega'!$E376:$H376,"✔ Concluído")=4,"Concluído",IF(COUNTIF('E7 — Entrega'!$E376:$H376,"✔ Concluído")+COUNTIF('E7 — Entrega'!$E376:$H376,"🔄 Em andamento")&gt;0,"Em andamento","Não iniciado"))))))))</f>
        <v/>
      </c>
      <c r="L394" s="229" t="str">
        <f>IF($B394="","",IF($K394&lt;&gt;"Concluído","Não iniciado",IF(OR(COUNTIF('E08 — Estabilização Hypercare'!$E376:$J376,"⛔ Bloqueado")&gt;0,'E08 — Estabilização Hypercare'!$N376="⛔ Incidente Crítico — Encerramento Bloqueado",AND('E08 — Estabilização Hypercare'!$N376="🆕 Evolução Identificada — Nova Demanda Aberta",'E08 — Estabilização Hypercare'!$U376="")),"Bloqueado",IF(AND('E08 — Estabilização Hypercare'!$E376="✔ Concluído",'E08 — Estabilização Hypercare'!$F376="✔ Concluído",'E08 — Estabilização Hypercare'!$G376="✔ Concluído",OR('E08 — Estabilização Hypercare'!$H376="✔ Concluído",'E08 — Estabilização Hypercare'!$H376="N/A"),'E08 — Estabilização Hypercare'!$I376="✔ Concluído",'E08 — Estabilização Hypercare'!$J376="✔ Concluído",OR('E08 — Estabilização Hypercare'!$N376="✅ Estável — Demanda Encerrada",AND('E08 — Estabilização Hypercare'!$N376="🆕 Evolução Identificada — Nova Demanda Aberta",'E08 — Estabilização Hypercare'!$U376&lt;&gt;""))),"Concluído",IF(OR(COUNTIF('E08 — Estabilização Hypercare'!$E376:$J376,"✔ Concluído")&gt;0,COUNTIF('E08 — Estabilização Hypercare'!$E376:$J376,"🔄 Em andamento")&gt;0,'E08 — Estabilização Hypercare'!$N376&lt;&gt;""),"Em andamento","Não iniciado")))))</f>
        <v/>
      </c>
      <c r="M394" s="232" t="str" cm="1">
        <f t="array" ref="M394">IF(B394="","",_xlfn.IFS(E394&lt;&gt;"Concluído","E1 — Solicitação",F394&lt;&gt;"Concluído","E2 — Triagem",G394&lt;&gt;"Concluído","E3 — Levantamento ⚠",H394&lt;&gt;"Concluído","E4 — Execução",I394&lt;&gt;"Concluído","E5 — Validação ⚠",AND(J394&lt;&gt;"Concluído",J394&lt;&gt;"N/A"),"E6 — Ajustes",K394&lt;&gt;"Concluído","E7 — Entrega",L394&lt;&gt;"Concluído","E08 — Estabilização / Hypercare",TRUE,"✔ Fluxo concluído"))</f>
        <v/>
      </c>
      <c r="N394" s="233" t="str">
        <f t="shared" si="6"/>
        <v/>
      </c>
      <c r="O394" s="230"/>
    </row>
    <row r="395" spans="2:15" x14ac:dyDescent="0.35">
      <c r="B395" s="229" t="str">
        <f>IF(Lançamentos!$B372="","",Lançamentos!$B372)</f>
        <v/>
      </c>
      <c r="C395" s="231" t="str">
        <f>IF($B395="","",Lançamentos!$J372)</f>
        <v/>
      </c>
      <c r="D395" s="231" t="str">
        <f>IF($B395="","",Lançamentos!$H372)</f>
        <v/>
      </c>
      <c r="E395" s="229" t="str">
        <f>IF($B395="","",IF(COUNTIF(Lançamentos!$B$3:$B$1001,$B395)=0,"Bloqueado",IF(COUNTIF('E1 — Solicitação'!$E377:$L377,"⛔ Bloqueado")&gt;0,"Bloqueado",IF(COUNTIF('E1 — Solicitação'!$E377:$L377,"N/A")=8,"Bloqueado",IF(COUNTIF('E1 — Solicitação'!$E377:$L377,"✔ Concluído")+COUNTIF('E1 — Solicitação'!$E377:$L377,"N/A")=8,"Concluído",IF(COUNTIF('E1 — Solicitação'!$E377:$L377,"✔ Concluído")+COUNTIF('E1 — Solicitação'!$E377:$L377,"🔄 Em andamento")&gt;0,"Em andamento","Não iniciado"))))))</f>
        <v/>
      </c>
      <c r="F395" s="229" t="str">
        <f>IF($B395="","",IF($E395&lt;&gt;"Concluído","Não iniciado",IF(COUNTIF(Lançamentos!$B$3:$B$1001,$B395)=0,"Bloqueado",IF('E2 — Triagem'!$D377="","Bloqueado",IF(COUNTIF('E2 — Triagem'!$E377:$L377,"N/A")=8,"Bloqueado",IF(COUNTIF('E2 — Triagem'!$E377:$L377,"⛔ Bloqueado")&gt;0,"Bloqueado",IF(COUNTIF('E2 — Triagem'!$E377:$L377,"✔ Concluído")+COUNTIF('E2 — Triagem'!$E377:$L377,"N/A")=8,"Concluído",IF(COUNTIF('E2 — Triagem'!$E377:$L377,"✔ Concluído")+COUNTIF('E2 — Triagem'!$E377:$L377,"🔄 Em andamento")&gt;0,"Em andamento","Não iniciado"))))))))</f>
        <v/>
      </c>
      <c r="G395" s="229" t="str">
        <f>IF($B395="","",IF($F395&lt;&gt;"Concluído","Não iniciado",IF(COUNTIF(Lançamentos!$B$3:$B$1001,$B395)=0,"Bloqueado",IF('E3 — Levantamento'!$D377="","Bloqueado",IF(COUNTIF('E3 — Levantamento'!$E377:$I377,"⛔ Bloqueado")&gt;0,"Bloqueado",IF('E3 — Levantamento'!$I377="N/A","Bloqueado",IF(COUNTIF('E3 — Levantamento'!$E377:$I377,"✔ Concluído")=5,"Concluído",IF(COUNTIF('E3 — Levantamento'!$E377:$I377,"✔ Concluído")+COUNTIF('E3 — Levantamento'!$E377:$I377,"🔄 Em andamento")&gt;0,"Em andamento","Não iniciado"))))))))</f>
        <v/>
      </c>
      <c r="H395" s="229" t="str">
        <f>IF($B395="","",IF($G395&lt;&gt;"Concluído","Não iniciado",IF(COUNTIF(Lançamentos!$B$3:$B$1001,$B395)=0,"Bloqueado",IF('E4 — Execução'!$D377="","Bloqueado",IF(COUNTIF('E4 — Execução'!$E377:$K377,"⛔ Bloqueado")&gt;0,"Bloqueado",IF(COUNTIF('E4 — Execução'!$E377:$K377,"✔ Concluído")=7,"Concluído",IF(COUNTIF('E4 — Execução'!$E377:$K377,"✔ Concluído")+COUNTIF('E4 — Execução'!$E377:$K377,"🔄 Em andamento")&gt;0,"Em andamento","Não iniciado")))))))</f>
        <v/>
      </c>
      <c r="I395" s="229" t="str">
        <f>IF($B395="","",IF($H395&lt;&gt;"Concluído","Não iniciado",IF(COUNTIF(Lançamentos!$B$3:$B$1001,$B395)=0,"Bloqueado",IF('E5 — Validação'!$D377="","Bloqueado",IF(COUNTIF('E5 — Validação'!$E377:$I377,"⛔ Bloqueado")&gt;0,"Bloqueado",IF('E5 — Validação'!$I377="N/A","Bloqueado",IF(AND('E5 — Validação'!$E377="✔ Concluído",'E5 — Validação'!$F377="✔ Concluído",OR('E5 — Validação'!$G377="✔ Concluído",'E5 — Validação'!$G377="N/A"),'E5 — Validação'!$H377="✔ Concluído",'E5 — Validação'!$I377="✔ Concluído"),"Concluído",IF(COUNTIF('E5 — Validação'!$E377:$I377,"✔ Concluído")+COUNTIF('E5 — Validação'!$E377:$I377,"🔄 Em andamento")&gt;0,"Em andamento","Não iniciado"))))))))</f>
        <v/>
      </c>
      <c r="J395" s="229" t="str">
        <f>IF($B395="","",IF($I395&lt;&gt;"Concluído","Não iniciado",IF('E6 — Ajustes'!$N377="Não","N/A",IF(COUNTIF(Lançamentos!$B$3:$B$1001,$B395)=0,"Bloqueado",IF('E6 — Ajustes'!$D377="","Bloqueado",IF(COUNTIF('E6 — Ajustes'!$E377:$J377,"⛔ Bloqueado")&gt;0,"Bloqueado",IF(AND('E6 — Ajustes'!$E377="✔ Concluído",'E6 — Ajustes'!$F377="✔ Concluído",'E6 — Ajustes'!$G377="✔ Concluído",'E6 — Ajustes'!$H377="✔ Concluído",OR('E6 — Ajustes'!$I377="✔ Concluído",'E6 — Ajustes'!$I377="N/A"),'E6 — Ajustes'!$J377="✔ Concluído"),"Concluído",IF(COUNTIF('E6 — Ajustes'!$E377:$J377,"✔ Concluído")+COUNTIF('E6 — Ajustes'!$E377:$J377,"🔄 Em andamento")&gt;0,"Em andamento","Não iniciado"))))))))</f>
        <v/>
      </c>
      <c r="K395" s="229" t="str">
        <f>IF($B395="","",IF($I395&lt;&gt;"Concluído","Não iniciado",IF(AND($J395&lt;&gt;"Concluído",$J395&lt;&gt;"N/A"),"Não iniciado",IF(COUNTIF(Lançamentos!$B$3:$B$1001,$B395)=0,"Bloqueado",IF('E7 — Entrega'!$D377="","Bloqueado",IF(COUNTIF('E7 — Entrega'!$E377:$H377,"⛔ Bloqueado")&gt;0,"Bloqueado",IF(COUNTIF('E7 — Entrega'!$E377:$H377,"✔ Concluído")=4,"Concluído",IF(COUNTIF('E7 — Entrega'!$E377:$H377,"✔ Concluído")+COUNTIF('E7 — Entrega'!$E377:$H377,"🔄 Em andamento")&gt;0,"Em andamento","Não iniciado"))))))))</f>
        <v/>
      </c>
      <c r="L395" s="229" t="str">
        <f>IF($B395="","",IF($K395&lt;&gt;"Concluído","Não iniciado",IF(OR(COUNTIF('E08 — Estabilização Hypercare'!$E377:$J377,"⛔ Bloqueado")&gt;0,'E08 — Estabilização Hypercare'!$N377="⛔ Incidente Crítico — Encerramento Bloqueado",AND('E08 — Estabilização Hypercare'!$N377="🆕 Evolução Identificada — Nova Demanda Aberta",'E08 — Estabilização Hypercare'!$U377="")),"Bloqueado",IF(AND('E08 — Estabilização Hypercare'!$E377="✔ Concluído",'E08 — Estabilização Hypercare'!$F377="✔ Concluído",'E08 — Estabilização Hypercare'!$G377="✔ Concluído",OR('E08 — Estabilização Hypercare'!$H377="✔ Concluído",'E08 — Estabilização Hypercare'!$H377="N/A"),'E08 — Estabilização Hypercare'!$I377="✔ Concluído",'E08 — Estabilização Hypercare'!$J377="✔ Concluído",OR('E08 — Estabilização Hypercare'!$N377="✅ Estável — Demanda Encerrada",AND('E08 — Estabilização Hypercare'!$N377="🆕 Evolução Identificada — Nova Demanda Aberta",'E08 — Estabilização Hypercare'!$U377&lt;&gt;""))),"Concluído",IF(OR(COUNTIF('E08 — Estabilização Hypercare'!$E377:$J377,"✔ Concluído")&gt;0,COUNTIF('E08 — Estabilização Hypercare'!$E377:$J377,"🔄 Em andamento")&gt;0,'E08 — Estabilização Hypercare'!$N377&lt;&gt;""),"Em andamento","Não iniciado")))))</f>
        <v/>
      </c>
      <c r="M395" s="232" t="str" cm="1">
        <f t="array" ref="M395">IF(B395="","",_xlfn.IFS(E395&lt;&gt;"Concluído","E1 — Solicitação",F395&lt;&gt;"Concluído","E2 — Triagem",G395&lt;&gt;"Concluído","E3 — Levantamento ⚠",H395&lt;&gt;"Concluído","E4 — Execução",I395&lt;&gt;"Concluído","E5 — Validação ⚠",AND(J395&lt;&gt;"Concluído",J395&lt;&gt;"N/A"),"E6 — Ajustes",K395&lt;&gt;"Concluído","E7 — Entrega",L395&lt;&gt;"Concluído","E08 — Estabilização / Hypercare",TRUE,"✔ Fluxo concluído"))</f>
        <v/>
      </c>
      <c r="N395" s="233" t="str">
        <f t="shared" si="6"/>
        <v/>
      </c>
      <c r="O395" s="230"/>
    </row>
    <row r="396" spans="2:15" x14ac:dyDescent="0.35">
      <c r="B396" s="229" t="str">
        <f>IF(Lançamentos!$B373="","",Lançamentos!$B373)</f>
        <v/>
      </c>
      <c r="C396" s="231" t="str">
        <f>IF($B396="","",Lançamentos!$J373)</f>
        <v/>
      </c>
      <c r="D396" s="231" t="str">
        <f>IF($B396="","",Lançamentos!$H373)</f>
        <v/>
      </c>
      <c r="E396" s="229" t="str">
        <f>IF($B396="","",IF(COUNTIF(Lançamentos!$B$3:$B$1001,$B396)=0,"Bloqueado",IF(COUNTIF('E1 — Solicitação'!$E378:$L378,"⛔ Bloqueado")&gt;0,"Bloqueado",IF(COUNTIF('E1 — Solicitação'!$E378:$L378,"N/A")=8,"Bloqueado",IF(COUNTIF('E1 — Solicitação'!$E378:$L378,"✔ Concluído")+COUNTIF('E1 — Solicitação'!$E378:$L378,"N/A")=8,"Concluído",IF(COUNTIF('E1 — Solicitação'!$E378:$L378,"✔ Concluído")+COUNTIF('E1 — Solicitação'!$E378:$L378,"🔄 Em andamento")&gt;0,"Em andamento","Não iniciado"))))))</f>
        <v/>
      </c>
      <c r="F396" s="229" t="str">
        <f>IF($B396="","",IF($E396&lt;&gt;"Concluído","Não iniciado",IF(COUNTIF(Lançamentos!$B$3:$B$1001,$B396)=0,"Bloqueado",IF('E2 — Triagem'!$D378="","Bloqueado",IF(COUNTIF('E2 — Triagem'!$E378:$L378,"N/A")=8,"Bloqueado",IF(COUNTIF('E2 — Triagem'!$E378:$L378,"⛔ Bloqueado")&gt;0,"Bloqueado",IF(COUNTIF('E2 — Triagem'!$E378:$L378,"✔ Concluído")+COUNTIF('E2 — Triagem'!$E378:$L378,"N/A")=8,"Concluído",IF(COUNTIF('E2 — Triagem'!$E378:$L378,"✔ Concluído")+COUNTIF('E2 — Triagem'!$E378:$L378,"🔄 Em andamento")&gt;0,"Em andamento","Não iniciado"))))))))</f>
        <v/>
      </c>
      <c r="G396" s="229" t="str">
        <f>IF($B396="","",IF($F396&lt;&gt;"Concluído","Não iniciado",IF(COUNTIF(Lançamentos!$B$3:$B$1001,$B396)=0,"Bloqueado",IF('E3 — Levantamento'!$D378="","Bloqueado",IF(COUNTIF('E3 — Levantamento'!$E378:$I378,"⛔ Bloqueado")&gt;0,"Bloqueado",IF('E3 — Levantamento'!$I378="N/A","Bloqueado",IF(COUNTIF('E3 — Levantamento'!$E378:$I378,"✔ Concluído")=5,"Concluído",IF(COUNTIF('E3 — Levantamento'!$E378:$I378,"✔ Concluído")+COUNTIF('E3 — Levantamento'!$E378:$I378,"🔄 Em andamento")&gt;0,"Em andamento","Não iniciado"))))))))</f>
        <v/>
      </c>
      <c r="H396" s="229" t="str">
        <f>IF($B396="","",IF($G396&lt;&gt;"Concluído","Não iniciado",IF(COUNTIF(Lançamentos!$B$3:$B$1001,$B396)=0,"Bloqueado",IF('E4 — Execução'!$D378="","Bloqueado",IF(COUNTIF('E4 — Execução'!$E378:$K378,"⛔ Bloqueado")&gt;0,"Bloqueado",IF(COUNTIF('E4 — Execução'!$E378:$K378,"✔ Concluído")=7,"Concluído",IF(COUNTIF('E4 — Execução'!$E378:$K378,"✔ Concluído")+COUNTIF('E4 — Execução'!$E378:$K378,"🔄 Em andamento")&gt;0,"Em andamento","Não iniciado")))))))</f>
        <v/>
      </c>
      <c r="I396" s="229" t="str">
        <f>IF($B396="","",IF($H396&lt;&gt;"Concluído","Não iniciado",IF(COUNTIF(Lançamentos!$B$3:$B$1001,$B396)=0,"Bloqueado",IF('E5 — Validação'!$D378="","Bloqueado",IF(COUNTIF('E5 — Validação'!$E378:$I378,"⛔ Bloqueado")&gt;0,"Bloqueado",IF('E5 — Validação'!$I378="N/A","Bloqueado",IF(AND('E5 — Validação'!$E378="✔ Concluído",'E5 — Validação'!$F378="✔ Concluído",OR('E5 — Validação'!$G378="✔ Concluído",'E5 — Validação'!$G378="N/A"),'E5 — Validação'!$H378="✔ Concluído",'E5 — Validação'!$I378="✔ Concluído"),"Concluído",IF(COUNTIF('E5 — Validação'!$E378:$I378,"✔ Concluído")+COUNTIF('E5 — Validação'!$E378:$I378,"🔄 Em andamento")&gt;0,"Em andamento","Não iniciado"))))))))</f>
        <v/>
      </c>
      <c r="J396" s="229" t="str">
        <f>IF($B396="","",IF($I396&lt;&gt;"Concluído","Não iniciado",IF('E6 — Ajustes'!$N378="Não","N/A",IF(COUNTIF(Lançamentos!$B$3:$B$1001,$B396)=0,"Bloqueado",IF('E6 — Ajustes'!$D378="","Bloqueado",IF(COUNTIF('E6 — Ajustes'!$E378:$J378,"⛔ Bloqueado")&gt;0,"Bloqueado",IF(AND('E6 — Ajustes'!$E378="✔ Concluído",'E6 — Ajustes'!$F378="✔ Concluído",'E6 — Ajustes'!$G378="✔ Concluído",'E6 — Ajustes'!$H378="✔ Concluído",OR('E6 — Ajustes'!$I378="✔ Concluído",'E6 — Ajustes'!$I378="N/A"),'E6 — Ajustes'!$J378="✔ Concluído"),"Concluído",IF(COUNTIF('E6 — Ajustes'!$E378:$J378,"✔ Concluído")+COUNTIF('E6 — Ajustes'!$E378:$J378,"🔄 Em andamento")&gt;0,"Em andamento","Não iniciado"))))))))</f>
        <v/>
      </c>
      <c r="K396" s="229" t="str">
        <f>IF($B396="","",IF($I396&lt;&gt;"Concluído","Não iniciado",IF(AND($J396&lt;&gt;"Concluído",$J396&lt;&gt;"N/A"),"Não iniciado",IF(COUNTIF(Lançamentos!$B$3:$B$1001,$B396)=0,"Bloqueado",IF('E7 — Entrega'!$D378="","Bloqueado",IF(COUNTIF('E7 — Entrega'!$E378:$H378,"⛔ Bloqueado")&gt;0,"Bloqueado",IF(COUNTIF('E7 — Entrega'!$E378:$H378,"✔ Concluído")=4,"Concluído",IF(COUNTIF('E7 — Entrega'!$E378:$H378,"✔ Concluído")+COUNTIF('E7 — Entrega'!$E378:$H378,"🔄 Em andamento")&gt;0,"Em andamento","Não iniciado"))))))))</f>
        <v/>
      </c>
      <c r="L396" s="229" t="str">
        <f>IF($B396="","",IF($K396&lt;&gt;"Concluído","Não iniciado",IF(OR(COUNTIF('E08 — Estabilização Hypercare'!$E378:$J378,"⛔ Bloqueado")&gt;0,'E08 — Estabilização Hypercare'!$N378="⛔ Incidente Crítico — Encerramento Bloqueado",AND('E08 — Estabilização Hypercare'!$N378="🆕 Evolução Identificada — Nova Demanda Aberta",'E08 — Estabilização Hypercare'!$U378="")),"Bloqueado",IF(AND('E08 — Estabilização Hypercare'!$E378="✔ Concluído",'E08 — Estabilização Hypercare'!$F378="✔ Concluído",'E08 — Estabilização Hypercare'!$G378="✔ Concluído",OR('E08 — Estabilização Hypercare'!$H378="✔ Concluído",'E08 — Estabilização Hypercare'!$H378="N/A"),'E08 — Estabilização Hypercare'!$I378="✔ Concluído",'E08 — Estabilização Hypercare'!$J378="✔ Concluído",OR('E08 — Estabilização Hypercare'!$N378="✅ Estável — Demanda Encerrada",AND('E08 — Estabilização Hypercare'!$N378="🆕 Evolução Identificada — Nova Demanda Aberta",'E08 — Estabilização Hypercare'!$U378&lt;&gt;""))),"Concluído",IF(OR(COUNTIF('E08 — Estabilização Hypercare'!$E378:$J378,"✔ Concluído")&gt;0,COUNTIF('E08 — Estabilização Hypercare'!$E378:$J378,"🔄 Em andamento")&gt;0,'E08 — Estabilização Hypercare'!$N378&lt;&gt;""),"Em andamento","Não iniciado")))))</f>
        <v/>
      </c>
      <c r="M396" s="232" t="str" cm="1">
        <f t="array" ref="M396">IF(B396="","",_xlfn.IFS(E396&lt;&gt;"Concluído","E1 — Solicitação",F396&lt;&gt;"Concluído","E2 — Triagem",G396&lt;&gt;"Concluído","E3 — Levantamento ⚠",H396&lt;&gt;"Concluído","E4 — Execução",I396&lt;&gt;"Concluído","E5 — Validação ⚠",AND(J396&lt;&gt;"Concluído",J396&lt;&gt;"N/A"),"E6 — Ajustes",K396&lt;&gt;"Concluído","E7 — Entrega",L396&lt;&gt;"Concluído","E08 — Estabilização / Hypercare",TRUE,"✔ Fluxo concluído"))</f>
        <v/>
      </c>
      <c r="N396" s="233" t="str">
        <f t="shared" si="6"/>
        <v/>
      </c>
      <c r="O396" s="230"/>
    </row>
    <row r="397" spans="2:15" x14ac:dyDescent="0.35">
      <c r="B397" s="229" t="str">
        <f>IF(Lançamentos!$B374="","",Lançamentos!$B374)</f>
        <v/>
      </c>
      <c r="C397" s="231" t="str">
        <f>IF($B397="","",Lançamentos!$J374)</f>
        <v/>
      </c>
      <c r="D397" s="231" t="str">
        <f>IF($B397="","",Lançamentos!$H374)</f>
        <v/>
      </c>
      <c r="E397" s="229" t="str">
        <f>IF($B397="","",IF(COUNTIF(Lançamentos!$B$3:$B$1001,$B397)=0,"Bloqueado",IF(COUNTIF('E1 — Solicitação'!$E379:$L379,"⛔ Bloqueado")&gt;0,"Bloqueado",IF(COUNTIF('E1 — Solicitação'!$E379:$L379,"N/A")=8,"Bloqueado",IF(COUNTIF('E1 — Solicitação'!$E379:$L379,"✔ Concluído")+COUNTIF('E1 — Solicitação'!$E379:$L379,"N/A")=8,"Concluído",IF(COUNTIF('E1 — Solicitação'!$E379:$L379,"✔ Concluído")+COUNTIF('E1 — Solicitação'!$E379:$L379,"🔄 Em andamento")&gt;0,"Em andamento","Não iniciado"))))))</f>
        <v/>
      </c>
      <c r="F397" s="229" t="str">
        <f>IF($B397="","",IF($E397&lt;&gt;"Concluído","Não iniciado",IF(COUNTIF(Lançamentos!$B$3:$B$1001,$B397)=0,"Bloqueado",IF('E2 — Triagem'!$D379="","Bloqueado",IF(COUNTIF('E2 — Triagem'!$E379:$L379,"N/A")=8,"Bloqueado",IF(COUNTIF('E2 — Triagem'!$E379:$L379,"⛔ Bloqueado")&gt;0,"Bloqueado",IF(COUNTIF('E2 — Triagem'!$E379:$L379,"✔ Concluído")+COUNTIF('E2 — Triagem'!$E379:$L379,"N/A")=8,"Concluído",IF(COUNTIF('E2 — Triagem'!$E379:$L379,"✔ Concluído")+COUNTIF('E2 — Triagem'!$E379:$L379,"🔄 Em andamento")&gt;0,"Em andamento","Não iniciado"))))))))</f>
        <v/>
      </c>
      <c r="G397" s="229" t="str">
        <f>IF($B397="","",IF($F397&lt;&gt;"Concluído","Não iniciado",IF(COUNTIF(Lançamentos!$B$3:$B$1001,$B397)=0,"Bloqueado",IF('E3 — Levantamento'!$D379="","Bloqueado",IF(COUNTIF('E3 — Levantamento'!$E379:$I379,"⛔ Bloqueado")&gt;0,"Bloqueado",IF('E3 — Levantamento'!$I379="N/A","Bloqueado",IF(COUNTIF('E3 — Levantamento'!$E379:$I379,"✔ Concluído")=5,"Concluído",IF(COUNTIF('E3 — Levantamento'!$E379:$I379,"✔ Concluído")+COUNTIF('E3 — Levantamento'!$E379:$I379,"🔄 Em andamento")&gt;0,"Em andamento","Não iniciado"))))))))</f>
        <v/>
      </c>
      <c r="H397" s="229" t="str">
        <f>IF($B397="","",IF($G397&lt;&gt;"Concluído","Não iniciado",IF(COUNTIF(Lançamentos!$B$3:$B$1001,$B397)=0,"Bloqueado",IF('E4 — Execução'!$D379="","Bloqueado",IF(COUNTIF('E4 — Execução'!$E379:$K379,"⛔ Bloqueado")&gt;0,"Bloqueado",IF(COUNTIF('E4 — Execução'!$E379:$K379,"✔ Concluído")=7,"Concluído",IF(COUNTIF('E4 — Execução'!$E379:$K379,"✔ Concluído")+COUNTIF('E4 — Execução'!$E379:$K379,"🔄 Em andamento")&gt;0,"Em andamento","Não iniciado")))))))</f>
        <v/>
      </c>
      <c r="I397" s="229" t="str">
        <f>IF($B397="","",IF($H397&lt;&gt;"Concluído","Não iniciado",IF(COUNTIF(Lançamentos!$B$3:$B$1001,$B397)=0,"Bloqueado",IF('E5 — Validação'!$D379="","Bloqueado",IF(COUNTIF('E5 — Validação'!$E379:$I379,"⛔ Bloqueado")&gt;0,"Bloqueado",IF('E5 — Validação'!$I379="N/A","Bloqueado",IF(AND('E5 — Validação'!$E379="✔ Concluído",'E5 — Validação'!$F379="✔ Concluído",OR('E5 — Validação'!$G379="✔ Concluído",'E5 — Validação'!$G379="N/A"),'E5 — Validação'!$H379="✔ Concluído",'E5 — Validação'!$I379="✔ Concluído"),"Concluído",IF(COUNTIF('E5 — Validação'!$E379:$I379,"✔ Concluído")+COUNTIF('E5 — Validação'!$E379:$I379,"🔄 Em andamento")&gt;0,"Em andamento","Não iniciado"))))))))</f>
        <v/>
      </c>
      <c r="J397" s="229" t="str">
        <f>IF($B397="","",IF($I397&lt;&gt;"Concluído","Não iniciado",IF('E6 — Ajustes'!$N379="Não","N/A",IF(COUNTIF(Lançamentos!$B$3:$B$1001,$B397)=0,"Bloqueado",IF('E6 — Ajustes'!$D379="","Bloqueado",IF(COUNTIF('E6 — Ajustes'!$E379:$J379,"⛔ Bloqueado")&gt;0,"Bloqueado",IF(AND('E6 — Ajustes'!$E379="✔ Concluído",'E6 — Ajustes'!$F379="✔ Concluído",'E6 — Ajustes'!$G379="✔ Concluído",'E6 — Ajustes'!$H379="✔ Concluído",OR('E6 — Ajustes'!$I379="✔ Concluído",'E6 — Ajustes'!$I379="N/A"),'E6 — Ajustes'!$J379="✔ Concluído"),"Concluído",IF(COUNTIF('E6 — Ajustes'!$E379:$J379,"✔ Concluído")+COUNTIF('E6 — Ajustes'!$E379:$J379,"🔄 Em andamento")&gt;0,"Em andamento","Não iniciado"))))))))</f>
        <v/>
      </c>
      <c r="K397" s="229" t="str">
        <f>IF($B397="","",IF($I397&lt;&gt;"Concluído","Não iniciado",IF(AND($J397&lt;&gt;"Concluído",$J397&lt;&gt;"N/A"),"Não iniciado",IF(COUNTIF(Lançamentos!$B$3:$B$1001,$B397)=0,"Bloqueado",IF('E7 — Entrega'!$D379="","Bloqueado",IF(COUNTIF('E7 — Entrega'!$E379:$H379,"⛔ Bloqueado")&gt;0,"Bloqueado",IF(COUNTIF('E7 — Entrega'!$E379:$H379,"✔ Concluído")=4,"Concluído",IF(COUNTIF('E7 — Entrega'!$E379:$H379,"✔ Concluído")+COUNTIF('E7 — Entrega'!$E379:$H379,"🔄 Em andamento")&gt;0,"Em andamento","Não iniciado"))))))))</f>
        <v/>
      </c>
      <c r="L397" s="229" t="str">
        <f>IF($B397="","",IF($K397&lt;&gt;"Concluído","Não iniciado",IF(OR(COUNTIF('E08 — Estabilização Hypercare'!$E379:$J379,"⛔ Bloqueado")&gt;0,'E08 — Estabilização Hypercare'!$N379="⛔ Incidente Crítico — Encerramento Bloqueado",AND('E08 — Estabilização Hypercare'!$N379="🆕 Evolução Identificada — Nova Demanda Aberta",'E08 — Estabilização Hypercare'!$U379="")),"Bloqueado",IF(AND('E08 — Estabilização Hypercare'!$E379="✔ Concluído",'E08 — Estabilização Hypercare'!$F379="✔ Concluído",'E08 — Estabilização Hypercare'!$G379="✔ Concluído",OR('E08 — Estabilização Hypercare'!$H379="✔ Concluído",'E08 — Estabilização Hypercare'!$H379="N/A"),'E08 — Estabilização Hypercare'!$I379="✔ Concluído",'E08 — Estabilização Hypercare'!$J379="✔ Concluído",OR('E08 — Estabilização Hypercare'!$N379="✅ Estável — Demanda Encerrada",AND('E08 — Estabilização Hypercare'!$N379="🆕 Evolução Identificada — Nova Demanda Aberta",'E08 — Estabilização Hypercare'!$U379&lt;&gt;""))),"Concluído",IF(OR(COUNTIF('E08 — Estabilização Hypercare'!$E379:$J379,"✔ Concluído")&gt;0,COUNTIF('E08 — Estabilização Hypercare'!$E379:$J379,"🔄 Em andamento")&gt;0,'E08 — Estabilização Hypercare'!$N379&lt;&gt;""),"Em andamento","Não iniciado")))))</f>
        <v/>
      </c>
      <c r="M397" s="232" t="str" cm="1">
        <f t="array" ref="M397">IF(B397="","",_xlfn.IFS(E397&lt;&gt;"Concluído","E1 — Solicitação",F397&lt;&gt;"Concluído","E2 — Triagem",G397&lt;&gt;"Concluído","E3 — Levantamento ⚠",H397&lt;&gt;"Concluído","E4 — Execução",I397&lt;&gt;"Concluído","E5 — Validação ⚠",AND(J397&lt;&gt;"Concluído",J397&lt;&gt;"N/A"),"E6 — Ajustes",K397&lt;&gt;"Concluído","E7 — Entrega",L397&lt;&gt;"Concluído","E08 — Estabilização / Hypercare",TRUE,"✔ Fluxo concluído"))</f>
        <v/>
      </c>
      <c r="N397" s="233" t="str">
        <f t="shared" si="6"/>
        <v/>
      </c>
      <c r="O397" s="230"/>
    </row>
    <row r="398" spans="2:15" x14ac:dyDescent="0.35">
      <c r="B398" s="229" t="str">
        <f>IF(Lançamentos!$B375="","",Lançamentos!$B375)</f>
        <v/>
      </c>
      <c r="C398" s="231" t="str">
        <f>IF($B398="","",Lançamentos!$J375)</f>
        <v/>
      </c>
      <c r="D398" s="231" t="str">
        <f>IF($B398="","",Lançamentos!$H375)</f>
        <v/>
      </c>
      <c r="E398" s="229" t="str">
        <f>IF($B398="","",IF(COUNTIF(Lançamentos!$B$3:$B$1001,$B398)=0,"Bloqueado",IF(COUNTIF('E1 — Solicitação'!$E380:$L380,"⛔ Bloqueado")&gt;0,"Bloqueado",IF(COUNTIF('E1 — Solicitação'!$E380:$L380,"N/A")=8,"Bloqueado",IF(COUNTIF('E1 — Solicitação'!$E380:$L380,"✔ Concluído")+COUNTIF('E1 — Solicitação'!$E380:$L380,"N/A")=8,"Concluído",IF(COUNTIF('E1 — Solicitação'!$E380:$L380,"✔ Concluído")+COUNTIF('E1 — Solicitação'!$E380:$L380,"🔄 Em andamento")&gt;0,"Em andamento","Não iniciado"))))))</f>
        <v/>
      </c>
      <c r="F398" s="229" t="str">
        <f>IF($B398="","",IF($E398&lt;&gt;"Concluído","Não iniciado",IF(COUNTIF(Lançamentos!$B$3:$B$1001,$B398)=0,"Bloqueado",IF('E2 — Triagem'!$D380="","Bloqueado",IF(COUNTIF('E2 — Triagem'!$E380:$L380,"N/A")=8,"Bloqueado",IF(COUNTIF('E2 — Triagem'!$E380:$L380,"⛔ Bloqueado")&gt;0,"Bloqueado",IF(COUNTIF('E2 — Triagem'!$E380:$L380,"✔ Concluído")+COUNTIF('E2 — Triagem'!$E380:$L380,"N/A")=8,"Concluído",IF(COUNTIF('E2 — Triagem'!$E380:$L380,"✔ Concluído")+COUNTIF('E2 — Triagem'!$E380:$L380,"🔄 Em andamento")&gt;0,"Em andamento","Não iniciado"))))))))</f>
        <v/>
      </c>
      <c r="G398" s="229" t="str">
        <f>IF($B398="","",IF($F398&lt;&gt;"Concluído","Não iniciado",IF(COUNTIF(Lançamentos!$B$3:$B$1001,$B398)=0,"Bloqueado",IF('E3 — Levantamento'!$D380="","Bloqueado",IF(COUNTIF('E3 — Levantamento'!$E380:$I380,"⛔ Bloqueado")&gt;0,"Bloqueado",IF('E3 — Levantamento'!$I380="N/A","Bloqueado",IF(COUNTIF('E3 — Levantamento'!$E380:$I380,"✔ Concluído")=5,"Concluído",IF(COUNTIF('E3 — Levantamento'!$E380:$I380,"✔ Concluído")+COUNTIF('E3 — Levantamento'!$E380:$I380,"🔄 Em andamento")&gt;0,"Em andamento","Não iniciado"))))))))</f>
        <v/>
      </c>
      <c r="H398" s="229" t="str">
        <f>IF($B398="","",IF($G398&lt;&gt;"Concluído","Não iniciado",IF(COUNTIF(Lançamentos!$B$3:$B$1001,$B398)=0,"Bloqueado",IF('E4 — Execução'!$D380="","Bloqueado",IF(COUNTIF('E4 — Execução'!$E380:$K380,"⛔ Bloqueado")&gt;0,"Bloqueado",IF(COUNTIF('E4 — Execução'!$E380:$K380,"✔ Concluído")=7,"Concluído",IF(COUNTIF('E4 — Execução'!$E380:$K380,"✔ Concluído")+COUNTIF('E4 — Execução'!$E380:$K380,"🔄 Em andamento")&gt;0,"Em andamento","Não iniciado")))))))</f>
        <v/>
      </c>
      <c r="I398" s="229" t="str">
        <f>IF($B398="","",IF($H398&lt;&gt;"Concluído","Não iniciado",IF(COUNTIF(Lançamentos!$B$3:$B$1001,$B398)=0,"Bloqueado",IF('E5 — Validação'!$D380="","Bloqueado",IF(COUNTIF('E5 — Validação'!$E380:$I380,"⛔ Bloqueado")&gt;0,"Bloqueado",IF('E5 — Validação'!$I380="N/A","Bloqueado",IF(AND('E5 — Validação'!$E380="✔ Concluído",'E5 — Validação'!$F380="✔ Concluído",OR('E5 — Validação'!$G380="✔ Concluído",'E5 — Validação'!$G380="N/A"),'E5 — Validação'!$H380="✔ Concluído",'E5 — Validação'!$I380="✔ Concluído"),"Concluído",IF(COUNTIF('E5 — Validação'!$E380:$I380,"✔ Concluído")+COUNTIF('E5 — Validação'!$E380:$I380,"🔄 Em andamento")&gt;0,"Em andamento","Não iniciado"))))))))</f>
        <v/>
      </c>
      <c r="J398" s="229" t="str">
        <f>IF($B398="","",IF($I398&lt;&gt;"Concluído","Não iniciado",IF('E6 — Ajustes'!$N380="Não","N/A",IF(COUNTIF(Lançamentos!$B$3:$B$1001,$B398)=0,"Bloqueado",IF('E6 — Ajustes'!$D380="","Bloqueado",IF(COUNTIF('E6 — Ajustes'!$E380:$J380,"⛔ Bloqueado")&gt;0,"Bloqueado",IF(AND('E6 — Ajustes'!$E380="✔ Concluído",'E6 — Ajustes'!$F380="✔ Concluído",'E6 — Ajustes'!$G380="✔ Concluído",'E6 — Ajustes'!$H380="✔ Concluído",OR('E6 — Ajustes'!$I380="✔ Concluído",'E6 — Ajustes'!$I380="N/A"),'E6 — Ajustes'!$J380="✔ Concluído"),"Concluído",IF(COUNTIF('E6 — Ajustes'!$E380:$J380,"✔ Concluído")+COUNTIF('E6 — Ajustes'!$E380:$J380,"🔄 Em andamento")&gt;0,"Em andamento","Não iniciado"))))))))</f>
        <v/>
      </c>
      <c r="K398" s="229" t="str">
        <f>IF($B398="","",IF($I398&lt;&gt;"Concluído","Não iniciado",IF(AND($J398&lt;&gt;"Concluído",$J398&lt;&gt;"N/A"),"Não iniciado",IF(COUNTIF(Lançamentos!$B$3:$B$1001,$B398)=0,"Bloqueado",IF('E7 — Entrega'!$D380="","Bloqueado",IF(COUNTIF('E7 — Entrega'!$E380:$H380,"⛔ Bloqueado")&gt;0,"Bloqueado",IF(COUNTIF('E7 — Entrega'!$E380:$H380,"✔ Concluído")=4,"Concluído",IF(COUNTIF('E7 — Entrega'!$E380:$H380,"✔ Concluído")+COUNTIF('E7 — Entrega'!$E380:$H380,"🔄 Em andamento")&gt;0,"Em andamento","Não iniciado"))))))))</f>
        <v/>
      </c>
      <c r="L398" s="229" t="str">
        <f>IF($B398="","",IF($K398&lt;&gt;"Concluído","Não iniciado",IF(OR(COUNTIF('E08 — Estabilização Hypercare'!$E380:$J380,"⛔ Bloqueado")&gt;0,'E08 — Estabilização Hypercare'!$N380="⛔ Incidente Crítico — Encerramento Bloqueado",AND('E08 — Estabilização Hypercare'!$N380="🆕 Evolução Identificada — Nova Demanda Aberta",'E08 — Estabilização Hypercare'!$U380="")),"Bloqueado",IF(AND('E08 — Estabilização Hypercare'!$E380="✔ Concluído",'E08 — Estabilização Hypercare'!$F380="✔ Concluído",'E08 — Estabilização Hypercare'!$G380="✔ Concluído",OR('E08 — Estabilização Hypercare'!$H380="✔ Concluído",'E08 — Estabilização Hypercare'!$H380="N/A"),'E08 — Estabilização Hypercare'!$I380="✔ Concluído",'E08 — Estabilização Hypercare'!$J380="✔ Concluído",OR('E08 — Estabilização Hypercare'!$N380="✅ Estável — Demanda Encerrada",AND('E08 — Estabilização Hypercare'!$N380="🆕 Evolução Identificada — Nova Demanda Aberta",'E08 — Estabilização Hypercare'!$U380&lt;&gt;""))),"Concluído",IF(OR(COUNTIF('E08 — Estabilização Hypercare'!$E380:$J380,"✔ Concluído")&gt;0,COUNTIF('E08 — Estabilização Hypercare'!$E380:$J380,"🔄 Em andamento")&gt;0,'E08 — Estabilização Hypercare'!$N380&lt;&gt;""),"Em andamento","Não iniciado")))))</f>
        <v/>
      </c>
      <c r="M398" s="232" t="str" cm="1">
        <f t="array" ref="M398">IF(B398="","",_xlfn.IFS(E398&lt;&gt;"Concluído","E1 — Solicitação",F398&lt;&gt;"Concluído","E2 — Triagem",G398&lt;&gt;"Concluído","E3 — Levantamento ⚠",H398&lt;&gt;"Concluído","E4 — Execução",I398&lt;&gt;"Concluído","E5 — Validação ⚠",AND(J398&lt;&gt;"Concluído",J398&lt;&gt;"N/A"),"E6 — Ajustes",K398&lt;&gt;"Concluído","E7 — Entrega",L398&lt;&gt;"Concluído","E08 — Estabilização / Hypercare",TRUE,"✔ Fluxo concluído"))</f>
        <v/>
      </c>
      <c r="N398" s="233" t="str">
        <f t="shared" si="6"/>
        <v/>
      </c>
      <c r="O398" s="230"/>
    </row>
    <row r="399" spans="2:15" x14ac:dyDescent="0.35">
      <c r="B399" s="229" t="str">
        <f>IF(Lançamentos!$B376="","",Lançamentos!$B376)</f>
        <v/>
      </c>
      <c r="C399" s="231" t="str">
        <f>IF($B399="","",Lançamentos!$J376)</f>
        <v/>
      </c>
      <c r="D399" s="231" t="str">
        <f>IF($B399="","",Lançamentos!$H376)</f>
        <v/>
      </c>
      <c r="E399" s="229" t="str">
        <f>IF($B399="","",IF(COUNTIF(Lançamentos!$B$3:$B$1001,$B399)=0,"Bloqueado",IF(COUNTIF('E1 — Solicitação'!$E381:$L381,"⛔ Bloqueado")&gt;0,"Bloqueado",IF(COUNTIF('E1 — Solicitação'!$E381:$L381,"N/A")=8,"Bloqueado",IF(COUNTIF('E1 — Solicitação'!$E381:$L381,"✔ Concluído")+COUNTIF('E1 — Solicitação'!$E381:$L381,"N/A")=8,"Concluído",IF(COUNTIF('E1 — Solicitação'!$E381:$L381,"✔ Concluído")+COUNTIF('E1 — Solicitação'!$E381:$L381,"🔄 Em andamento")&gt;0,"Em andamento","Não iniciado"))))))</f>
        <v/>
      </c>
      <c r="F399" s="229" t="str">
        <f>IF($B399="","",IF($E399&lt;&gt;"Concluído","Não iniciado",IF(COUNTIF(Lançamentos!$B$3:$B$1001,$B399)=0,"Bloqueado",IF('E2 — Triagem'!$D381="","Bloqueado",IF(COUNTIF('E2 — Triagem'!$E381:$L381,"N/A")=8,"Bloqueado",IF(COUNTIF('E2 — Triagem'!$E381:$L381,"⛔ Bloqueado")&gt;0,"Bloqueado",IF(COUNTIF('E2 — Triagem'!$E381:$L381,"✔ Concluído")+COUNTIF('E2 — Triagem'!$E381:$L381,"N/A")=8,"Concluído",IF(COUNTIF('E2 — Triagem'!$E381:$L381,"✔ Concluído")+COUNTIF('E2 — Triagem'!$E381:$L381,"🔄 Em andamento")&gt;0,"Em andamento","Não iniciado"))))))))</f>
        <v/>
      </c>
      <c r="G399" s="229" t="str">
        <f>IF($B399="","",IF($F399&lt;&gt;"Concluído","Não iniciado",IF(COUNTIF(Lançamentos!$B$3:$B$1001,$B399)=0,"Bloqueado",IF('E3 — Levantamento'!$D381="","Bloqueado",IF(COUNTIF('E3 — Levantamento'!$E381:$I381,"⛔ Bloqueado")&gt;0,"Bloqueado",IF('E3 — Levantamento'!$I381="N/A","Bloqueado",IF(COUNTIF('E3 — Levantamento'!$E381:$I381,"✔ Concluído")=5,"Concluído",IF(COUNTIF('E3 — Levantamento'!$E381:$I381,"✔ Concluído")+COUNTIF('E3 — Levantamento'!$E381:$I381,"🔄 Em andamento")&gt;0,"Em andamento","Não iniciado"))))))))</f>
        <v/>
      </c>
      <c r="H399" s="229" t="str">
        <f>IF($B399="","",IF($G399&lt;&gt;"Concluído","Não iniciado",IF(COUNTIF(Lançamentos!$B$3:$B$1001,$B399)=0,"Bloqueado",IF('E4 — Execução'!$D381="","Bloqueado",IF(COUNTIF('E4 — Execução'!$E381:$K381,"⛔ Bloqueado")&gt;0,"Bloqueado",IF(COUNTIF('E4 — Execução'!$E381:$K381,"✔ Concluído")=7,"Concluído",IF(COUNTIF('E4 — Execução'!$E381:$K381,"✔ Concluído")+COUNTIF('E4 — Execução'!$E381:$K381,"🔄 Em andamento")&gt;0,"Em andamento","Não iniciado")))))))</f>
        <v/>
      </c>
      <c r="I399" s="229" t="str">
        <f>IF($B399="","",IF($H399&lt;&gt;"Concluído","Não iniciado",IF(COUNTIF(Lançamentos!$B$3:$B$1001,$B399)=0,"Bloqueado",IF('E5 — Validação'!$D381="","Bloqueado",IF(COUNTIF('E5 — Validação'!$E381:$I381,"⛔ Bloqueado")&gt;0,"Bloqueado",IF('E5 — Validação'!$I381="N/A","Bloqueado",IF(AND('E5 — Validação'!$E381="✔ Concluído",'E5 — Validação'!$F381="✔ Concluído",OR('E5 — Validação'!$G381="✔ Concluído",'E5 — Validação'!$G381="N/A"),'E5 — Validação'!$H381="✔ Concluído",'E5 — Validação'!$I381="✔ Concluído"),"Concluído",IF(COUNTIF('E5 — Validação'!$E381:$I381,"✔ Concluído")+COUNTIF('E5 — Validação'!$E381:$I381,"🔄 Em andamento")&gt;0,"Em andamento","Não iniciado"))))))))</f>
        <v/>
      </c>
      <c r="J399" s="229" t="str">
        <f>IF($B399="","",IF($I399&lt;&gt;"Concluído","Não iniciado",IF('E6 — Ajustes'!$N381="Não","N/A",IF(COUNTIF(Lançamentos!$B$3:$B$1001,$B399)=0,"Bloqueado",IF('E6 — Ajustes'!$D381="","Bloqueado",IF(COUNTIF('E6 — Ajustes'!$E381:$J381,"⛔ Bloqueado")&gt;0,"Bloqueado",IF(AND('E6 — Ajustes'!$E381="✔ Concluído",'E6 — Ajustes'!$F381="✔ Concluído",'E6 — Ajustes'!$G381="✔ Concluído",'E6 — Ajustes'!$H381="✔ Concluído",OR('E6 — Ajustes'!$I381="✔ Concluído",'E6 — Ajustes'!$I381="N/A"),'E6 — Ajustes'!$J381="✔ Concluído"),"Concluído",IF(COUNTIF('E6 — Ajustes'!$E381:$J381,"✔ Concluído")+COUNTIF('E6 — Ajustes'!$E381:$J381,"🔄 Em andamento")&gt;0,"Em andamento","Não iniciado"))))))))</f>
        <v/>
      </c>
      <c r="K399" s="229" t="str">
        <f>IF($B399="","",IF($I399&lt;&gt;"Concluído","Não iniciado",IF(AND($J399&lt;&gt;"Concluído",$J399&lt;&gt;"N/A"),"Não iniciado",IF(COUNTIF(Lançamentos!$B$3:$B$1001,$B399)=0,"Bloqueado",IF('E7 — Entrega'!$D381="","Bloqueado",IF(COUNTIF('E7 — Entrega'!$E381:$H381,"⛔ Bloqueado")&gt;0,"Bloqueado",IF(COUNTIF('E7 — Entrega'!$E381:$H381,"✔ Concluído")=4,"Concluído",IF(COUNTIF('E7 — Entrega'!$E381:$H381,"✔ Concluído")+COUNTIF('E7 — Entrega'!$E381:$H381,"🔄 Em andamento")&gt;0,"Em andamento","Não iniciado"))))))))</f>
        <v/>
      </c>
      <c r="L399" s="229" t="str">
        <f>IF($B399="","",IF($K399&lt;&gt;"Concluído","Não iniciado",IF(OR(COUNTIF('E08 — Estabilização Hypercare'!$E381:$J381,"⛔ Bloqueado")&gt;0,'E08 — Estabilização Hypercare'!$N381="⛔ Incidente Crítico — Encerramento Bloqueado",AND('E08 — Estabilização Hypercare'!$N381="🆕 Evolução Identificada — Nova Demanda Aberta",'E08 — Estabilização Hypercare'!$U381="")),"Bloqueado",IF(AND('E08 — Estabilização Hypercare'!$E381="✔ Concluído",'E08 — Estabilização Hypercare'!$F381="✔ Concluído",'E08 — Estabilização Hypercare'!$G381="✔ Concluído",OR('E08 — Estabilização Hypercare'!$H381="✔ Concluído",'E08 — Estabilização Hypercare'!$H381="N/A"),'E08 — Estabilização Hypercare'!$I381="✔ Concluído",'E08 — Estabilização Hypercare'!$J381="✔ Concluído",OR('E08 — Estabilização Hypercare'!$N381="✅ Estável — Demanda Encerrada",AND('E08 — Estabilização Hypercare'!$N381="🆕 Evolução Identificada — Nova Demanda Aberta",'E08 — Estabilização Hypercare'!$U381&lt;&gt;""))),"Concluído",IF(OR(COUNTIF('E08 — Estabilização Hypercare'!$E381:$J381,"✔ Concluído")&gt;0,COUNTIF('E08 — Estabilização Hypercare'!$E381:$J381,"🔄 Em andamento")&gt;0,'E08 — Estabilização Hypercare'!$N381&lt;&gt;""),"Em andamento","Não iniciado")))))</f>
        <v/>
      </c>
      <c r="M399" s="232" t="str" cm="1">
        <f t="array" ref="M399">IF(B399="","",_xlfn.IFS(E399&lt;&gt;"Concluído","E1 — Solicitação",F399&lt;&gt;"Concluído","E2 — Triagem",G399&lt;&gt;"Concluído","E3 — Levantamento ⚠",H399&lt;&gt;"Concluído","E4 — Execução",I399&lt;&gt;"Concluído","E5 — Validação ⚠",AND(J399&lt;&gt;"Concluído",J399&lt;&gt;"N/A"),"E6 — Ajustes",K399&lt;&gt;"Concluído","E7 — Entrega",L399&lt;&gt;"Concluído","E08 — Estabilização / Hypercare",TRUE,"✔ Fluxo concluído"))</f>
        <v/>
      </c>
      <c r="N399" s="233" t="str">
        <f t="shared" si="6"/>
        <v/>
      </c>
      <c r="O399" s="230"/>
    </row>
    <row r="400" spans="2:15" x14ac:dyDescent="0.35">
      <c r="B400" s="229" t="str">
        <f>IF(Lançamentos!$B377="","",Lançamentos!$B377)</f>
        <v/>
      </c>
      <c r="C400" s="231" t="str">
        <f>IF($B400="","",Lançamentos!$J377)</f>
        <v/>
      </c>
      <c r="D400" s="231" t="str">
        <f>IF($B400="","",Lançamentos!$H377)</f>
        <v/>
      </c>
      <c r="E400" s="229" t="str">
        <f>IF($B400="","",IF(COUNTIF(Lançamentos!$B$3:$B$1001,$B400)=0,"Bloqueado",IF(COUNTIF('E1 — Solicitação'!$E382:$L382,"⛔ Bloqueado")&gt;0,"Bloqueado",IF(COUNTIF('E1 — Solicitação'!$E382:$L382,"N/A")=8,"Bloqueado",IF(COUNTIF('E1 — Solicitação'!$E382:$L382,"✔ Concluído")+COUNTIF('E1 — Solicitação'!$E382:$L382,"N/A")=8,"Concluído",IF(COUNTIF('E1 — Solicitação'!$E382:$L382,"✔ Concluído")+COUNTIF('E1 — Solicitação'!$E382:$L382,"🔄 Em andamento")&gt;0,"Em andamento","Não iniciado"))))))</f>
        <v/>
      </c>
      <c r="F400" s="229" t="str">
        <f>IF($B400="","",IF($E400&lt;&gt;"Concluído","Não iniciado",IF(COUNTIF(Lançamentos!$B$3:$B$1001,$B400)=0,"Bloqueado",IF('E2 — Triagem'!$D382="","Bloqueado",IF(COUNTIF('E2 — Triagem'!$E382:$L382,"N/A")=8,"Bloqueado",IF(COUNTIF('E2 — Triagem'!$E382:$L382,"⛔ Bloqueado")&gt;0,"Bloqueado",IF(COUNTIF('E2 — Triagem'!$E382:$L382,"✔ Concluído")+COUNTIF('E2 — Triagem'!$E382:$L382,"N/A")=8,"Concluído",IF(COUNTIF('E2 — Triagem'!$E382:$L382,"✔ Concluído")+COUNTIF('E2 — Triagem'!$E382:$L382,"🔄 Em andamento")&gt;0,"Em andamento","Não iniciado"))))))))</f>
        <v/>
      </c>
      <c r="G400" s="229" t="str">
        <f>IF($B400="","",IF($F400&lt;&gt;"Concluído","Não iniciado",IF(COUNTIF(Lançamentos!$B$3:$B$1001,$B400)=0,"Bloqueado",IF('E3 — Levantamento'!$D382="","Bloqueado",IF(COUNTIF('E3 — Levantamento'!$E382:$I382,"⛔ Bloqueado")&gt;0,"Bloqueado",IF('E3 — Levantamento'!$I382="N/A","Bloqueado",IF(COUNTIF('E3 — Levantamento'!$E382:$I382,"✔ Concluído")=5,"Concluído",IF(COUNTIF('E3 — Levantamento'!$E382:$I382,"✔ Concluído")+COUNTIF('E3 — Levantamento'!$E382:$I382,"🔄 Em andamento")&gt;0,"Em andamento","Não iniciado"))))))))</f>
        <v/>
      </c>
      <c r="H400" s="229" t="str">
        <f>IF($B400="","",IF($G400&lt;&gt;"Concluído","Não iniciado",IF(COUNTIF(Lançamentos!$B$3:$B$1001,$B400)=0,"Bloqueado",IF('E4 — Execução'!$D382="","Bloqueado",IF(COUNTIF('E4 — Execução'!$E382:$K382,"⛔ Bloqueado")&gt;0,"Bloqueado",IF(COUNTIF('E4 — Execução'!$E382:$K382,"✔ Concluído")=7,"Concluído",IF(COUNTIF('E4 — Execução'!$E382:$K382,"✔ Concluído")+COUNTIF('E4 — Execução'!$E382:$K382,"🔄 Em andamento")&gt;0,"Em andamento","Não iniciado")))))))</f>
        <v/>
      </c>
      <c r="I400" s="229" t="str">
        <f>IF($B400="","",IF($H400&lt;&gt;"Concluído","Não iniciado",IF(COUNTIF(Lançamentos!$B$3:$B$1001,$B400)=0,"Bloqueado",IF('E5 — Validação'!$D382="","Bloqueado",IF(COUNTIF('E5 — Validação'!$E382:$I382,"⛔ Bloqueado")&gt;0,"Bloqueado",IF('E5 — Validação'!$I382="N/A","Bloqueado",IF(AND('E5 — Validação'!$E382="✔ Concluído",'E5 — Validação'!$F382="✔ Concluído",OR('E5 — Validação'!$G382="✔ Concluído",'E5 — Validação'!$G382="N/A"),'E5 — Validação'!$H382="✔ Concluído",'E5 — Validação'!$I382="✔ Concluído"),"Concluído",IF(COUNTIF('E5 — Validação'!$E382:$I382,"✔ Concluído")+COUNTIF('E5 — Validação'!$E382:$I382,"🔄 Em andamento")&gt;0,"Em andamento","Não iniciado"))))))))</f>
        <v/>
      </c>
      <c r="J400" s="229" t="str">
        <f>IF($B400="","",IF($I400&lt;&gt;"Concluído","Não iniciado",IF('E6 — Ajustes'!$N382="Não","N/A",IF(COUNTIF(Lançamentos!$B$3:$B$1001,$B400)=0,"Bloqueado",IF('E6 — Ajustes'!$D382="","Bloqueado",IF(COUNTIF('E6 — Ajustes'!$E382:$J382,"⛔ Bloqueado")&gt;0,"Bloqueado",IF(AND('E6 — Ajustes'!$E382="✔ Concluído",'E6 — Ajustes'!$F382="✔ Concluído",'E6 — Ajustes'!$G382="✔ Concluído",'E6 — Ajustes'!$H382="✔ Concluído",OR('E6 — Ajustes'!$I382="✔ Concluído",'E6 — Ajustes'!$I382="N/A"),'E6 — Ajustes'!$J382="✔ Concluído"),"Concluído",IF(COUNTIF('E6 — Ajustes'!$E382:$J382,"✔ Concluído")+COUNTIF('E6 — Ajustes'!$E382:$J382,"🔄 Em andamento")&gt;0,"Em andamento","Não iniciado"))))))))</f>
        <v/>
      </c>
      <c r="K400" s="229" t="str">
        <f>IF($B400="","",IF($I400&lt;&gt;"Concluído","Não iniciado",IF(AND($J400&lt;&gt;"Concluído",$J400&lt;&gt;"N/A"),"Não iniciado",IF(COUNTIF(Lançamentos!$B$3:$B$1001,$B400)=0,"Bloqueado",IF('E7 — Entrega'!$D382="","Bloqueado",IF(COUNTIF('E7 — Entrega'!$E382:$H382,"⛔ Bloqueado")&gt;0,"Bloqueado",IF(COUNTIF('E7 — Entrega'!$E382:$H382,"✔ Concluído")=4,"Concluído",IF(COUNTIF('E7 — Entrega'!$E382:$H382,"✔ Concluído")+COUNTIF('E7 — Entrega'!$E382:$H382,"🔄 Em andamento")&gt;0,"Em andamento","Não iniciado"))))))))</f>
        <v/>
      </c>
      <c r="L400" s="229" t="str">
        <f>IF($B400="","",IF($K400&lt;&gt;"Concluído","Não iniciado",IF(OR(COUNTIF('E08 — Estabilização Hypercare'!$E382:$J382,"⛔ Bloqueado")&gt;0,'E08 — Estabilização Hypercare'!$N382="⛔ Incidente Crítico — Encerramento Bloqueado",AND('E08 — Estabilização Hypercare'!$N382="🆕 Evolução Identificada — Nova Demanda Aberta",'E08 — Estabilização Hypercare'!$U382="")),"Bloqueado",IF(AND('E08 — Estabilização Hypercare'!$E382="✔ Concluído",'E08 — Estabilização Hypercare'!$F382="✔ Concluído",'E08 — Estabilização Hypercare'!$G382="✔ Concluído",OR('E08 — Estabilização Hypercare'!$H382="✔ Concluído",'E08 — Estabilização Hypercare'!$H382="N/A"),'E08 — Estabilização Hypercare'!$I382="✔ Concluído",'E08 — Estabilização Hypercare'!$J382="✔ Concluído",OR('E08 — Estabilização Hypercare'!$N382="✅ Estável — Demanda Encerrada",AND('E08 — Estabilização Hypercare'!$N382="🆕 Evolução Identificada — Nova Demanda Aberta",'E08 — Estabilização Hypercare'!$U382&lt;&gt;""))),"Concluído",IF(OR(COUNTIF('E08 — Estabilização Hypercare'!$E382:$J382,"✔ Concluído")&gt;0,COUNTIF('E08 — Estabilização Hypercare'!$E382:$J382,"🔄 Em andamento")&gt;0,'E08 — Estabilização Hypercare'!$N382&lt;&gt;""),"Em andamento","Não iniciado")))))</f>
        <v/>
      </c>
      <c r="M400" s="232" t="str" cm="1">
        <f t="array" ref="M400">IF(B400="","",_xlfn.IFS(E400&lt;&gt;"Concluído","E1 — Solicitação",F400&lt;&gt;"Concluído","E2 — Triagem",G400&lt;&gt;"Concluído","E3 — Levantamento ⚠",H400&lt;&gt;"Concluído","E4 — Execução",I400&lt;&gt;"Concluído","E5 — Validação ⚠",AND(J400&lt;&gt;"Concluído",J400&lt;&gt;"N/A"),"E6 — Ajustes",K400&lt;&gt;"Concluído","E7 — Entrega",L400&lt;&gt;"Concluído","E08 — Estabilização / Hypercare",TRUE,"✔ Fluxo concluído"))</f>
        <v/>
      </c>
      <c r="N400" s="233" t="str">
        <f t="shared" si="6"/>
        <v/>
      </c>
      <c r="O400" s="230"/>
    </row>
    <row r="401" spans="2:15" x14ac:dyDescent="0.35">
      <c r="B401" s="229" t="str">
        <f>IF(Lançamentos!$B378="","",Lançamentos!$B378)</f>
        <v/>
      </c>
      <c r="C401" s="231" t="str">
        <f>IF($B401="","",Lançamentos!$J378)</f>
        <v/>
      </c>
      <c r="D401" s="231" t="str">
        <f>IF($B401="","",Lançamentos!$H378)</f>
        <v/>
      </c>
      <c r="E401" s="229" t="str">
        <f>IF($B401="","",IF(COUNTIF(Lançamentos!$B$3:$B$1001,$B401)=0,"Bloqueado",IF(COUNTIF('E1 — Solicitação'!$E383:$L383,"⛔ Bloqueado")&gt;0,"Bloqueado",IF(COUNTIF('E1 — Solicitação'!$E383:$L383,"N/A")=8,"Bloqueado",IF(COUNTIF('E1 — Solicitação'!$E383:$L383,"✔ Concluído")+COUNTIF('E1 — Solicitação'!$E383:$L383,"N/A")=8,"Concluído",IF(COUNTIF('E1 — Solicitação'!$E383:$L383,"✔ Concluído")+COUNTIF('E1 — Solicitação'!$E383:$L383,"🔄 Em andamento")&gt;0,"Em andamento","Não iniciado"))))))</f>
        <v/>
      </c>
      <c r="F401" s="229" t="str">
        <f>IF($B401="","",IF($E401&lt;&gt;"Concluído","Não iniciado",IF(COUNTIF(Lançamentos!$B$3:$B$1001,$B401)=0,"Bloqueado",IF('E2 — Triagem'!$D383="","Bloqueado",IF(COUNTIF('E2 — Triagem'!$E383:$L383,"N/A")=8,"Bloqueado",IF(COUNTIF('E2 — Triagem'!$E383:$L383,"⛔ Bloqueado")&gt;0,"Bloqueado",IF(COUNTIF('E2 — Triagem'!$E383:$L383,"✔ Concluído")+COUNTIF('E2 — Triagem'!$E383:$L383,"N/A")=8,"Concluído",IF(COUNTIF('E2 — Triagem'!$E383:$L383,"✔ Concluído")+COUNTIF('E2 — Triagem'!$E383:$L383,"🔄 Em andamento")&gt;0,"Em andamento","Não iniciado"))))))))</f>
        <v/>
      </c>
      <c r="G401" s="229" t="str">
        <f>IF($B401="","",IF($F401&lt;&gt;"Concluído","Não iniciado",IF(COUNTIF(Lançamentos!$B$3:$B$1001,$B401)=0,"Bloqueado",IF('E3 — Levantamento'!$D383="","Bloqueado",IF(COUNTIF('E3 — Levantamento'!$E383:$I383,"⛔ Bloqueado")&gt;0,"Bloqueado",IF('E3 — Levantamento'!$I383="N/A","Bloqueado",IF(COUNTIF('E3 — Levantamento'!$E383:$I383,"✔ Concluído")=5,"Concluído",IF(COUNTIF('E3 — Levantamento'!$E383:$I383,"✔ Concluído")+COUNTIF('E3 — Levantamento'!$E383:$I383,"🔄 Em andamento")&gt;0,"Em andamento","Não iniciado"))))))))</f>
        <v/>
      </c>
      <c r="H401" s="229" t="str">
        <f>IF($B401="","",IF($G401&lt;&gt;"Concluído","Não iniciado",IF(COUNTIF(Lançamentos!$B$3:$B$1001,$B401)=0,"Bloqueado",IF('E4 — Execução'!$D383="","Bloqueado",IF(COUNTIF('E4 — Execução'!$E383:$K383,"⛔ Bloqueado")&gt;0,"Bloqueado",IF(COUNTIF('E4 — Execução'!$E383:$K383,"✔ Concluído")=7,"Concluído",IF(COUNTIF('E4 — Execução'!$E383:$K383,"✔ Concluído")+COUNTIF('E4 — Execução'!$E383:$K383,"🔄 Em andamento")&gt;0,"Em andamento","Não iniciado")))))))</f>
        <v/>
      </c>
      <c r="I401" s="229" t="str">
        <f>IF($B401="","",IF($H401&lt;&gt;"Concluído","Não iniciado",IF(COUNTIF(Lançamentos!$B$3:$B$1001,$B401)=0,"Bloqueado",IF('E5 — Validação'!$D383="","Bloqueado",IF(COUNTIF('E5 — Validação'!$E383:$I383,"⛔ Bloqueado")&gt;0,"Bloqueado",IF('E5 — Validação'!$I383="N/A","Bloqueado",IF(AND('E5 — Validação'!$E383="✔ Concluído",'E5 — Validação'!$F383="✔ Concluído",OR('E5 — Validação'!$G383="✔ Concluído",'E5 — Validação'!$G383="N/A"),'E5 — Validação'!$H383="✔ Concluído",'E5 — Validação'!$I383="✔ Concluído"),"Concluído",IF(COUNTIF('E5 — Validação'!$E383:$I383,"✔ Concluído")+COUNTIF('E5 — Validação'!$E383:$I383,"🔄 Em andamento")&gt;0,"Em andamento","Não iniciado"))))))))</f>
        <v/>
      </c>
      <c r="J401" s="229" t="str">
        <f>IF($B401="","",IF($I401&lt;&gt;"Concluído","Não iniciado",IF('E6 — Ajustes'!$N383="Não","N/A",IF(COUNTIF(Lançamentos!$B$3:$B$1001,$B401)=0,"Bloqueado",IF('E6 — Ajustes'!$D383="","Bloqueado",IF(COUNTIF('E6 — Ajustes'!$E383:$J383,"⛔ Bloqueado")&gt;0,"Bloqueado",IF(AND('E6 — Ajustes'!$E383="✔ Concluído",'E6 — Ajustes'!$F383="✔ Concluído",'E6 — Ajustes'!$G383="✔ Concluído",'E6 — Ajustes'!$H383="✔ Concluído",OR('E6 — Ajustes'!$I383="✔ Concluído",'E6 — Ajustes'!$I383="N/A"),'E6 — Ajustes'!$J383="✔ Concluído"),"Concluído",IF(COUNTIF('E6 — Ajustes'!$E383:$J383,"✔ Concluído")+COUNTIF('E6 — Ajustes'!$E383:$J383,"🔄 Em andamento")&gt;0,"Em andamento","Não iniciado"))))))))</f>
        <v/>
      </c>
      <c r="K401" s="229" t="str">
        <f>IF($B401="","",IF($I401&lt;&gt;"Concluído","Não iniciado",IF(AND($J401&lt;&gt;"Concluído",$J401&lt;&gt;"N/A"),"Não iniciado",IF(COUNTIF(Lançamentos!$B$3:$B$1001,$B401)=0,"Bloqueado",IF('E7 — Entrega'!$D383="","Bloqueado",IF(COUNTIF('E7 — Entrega'!$E383:$H383,"⛔ Bloqueado")&gt;0,"Bloqueado",IF(COUNTIF('E7 — Entrega'!$E383:$H383,"✔ Concluído")=4,"Concluído",IF(COUNTIF('E7 — Entrega'!$E383:$H383,"✔ Concluído")+COUNTIF('E7 — Entrega'!$E383:$H383,"🔄 Em andamento")&gt;0,"Em andamento","Não iniciado"))))))))</f>
        <v/>
      </c>
      <c r="L401" s="229" t="str">
        <f>IF($B401="","",IF($K401&lt;&gt;"Concluído","Não iniciado",IF(OR(COUNTIF('E08 — Estabilização Hypercare'!$E383:$J383,"⛔ Bloqueado")&gt;0,'E08 — Estabilização Hypercare'!$N383="⛔ Incidente Crítico — Encerramento Bloqueado",AND('E08 — Estabilização Hypercare'!$N383="🆕 Evolução Identificada — Nova Demanda Aberta",'E08 — Estabilização Hypercare'!$U383="")),"Bloqueado",IF(AND('E08 — Estabilização Hypercare'!$E383="✔ Concluído",'E08 — Estabilização Hypercare'!$F383="✔ Concluído",'E08 — Estabilização Hypercare'!$G383="✔ Concluído",OR('E08 — Estabilização Hypercare'!$H383="✔ Concluído",'E08 — Estabilização Hypercare'!$H383="N/A"),'E08 — Estabilização Hypercare'!$I383="✔ Concluído",'E08 — Estabilização Hypercare'!$J383="✔ Concluído",OR('E08 — Estabilização Hypercare'!$N383="✅ Estável — Demanda Encerrada",AND('E08 — Estabilização Hypercare'!$N383="🆕 Evolução Identificada — Nova Demanda Aberta",'E08 — Estabilização Hypercare'!$U383&lt;&gt;""))),"Concluído",IF(OR(COUNTIF('E08 — Estabilização Hypercare'!$E383:$J383,"✔ Concluído")&gt;0,COUNTIF('E08 — Estabilização Hypercare'!$E383:$J383,"🔄 Em andamento")&gt;0,'E08 — Estabilização Hypercare'!$N383&lt;&gt;""),"Em andamento","Não iniciado")))))</f>
        <v/>
      </c>
      <c r="M401" s="232" t="str" cm="1">
        <f t="array" ref="M401">IF(B401="","",_xlfn.IFS(E401&lt;&gt;"Concluído","E1 — Solicitação",F401&lt;&gt;"Concluído","E2 — Triagem",G401&lt;&gt;"Concluído","E3 — Levantamento ⚠",H401&lt;&gt;"Concluído","E4 — Execução",I401&lt;&gt;"Concluído","E5 — Validação ⚠",AND(J401&lt;&gt;"Concluído",J401&lt;&gt;"N/A"),"E6 — Ajustes",K401&lt;&gt;"Concluído","E7 — Entrega",L401&lt;&gt;"Concluído","E08 — Estabilização / Hypercare",TRUE,"✔ Fluxo concluído"))</f>
        <v/>
      </c>
      <c r="N401" s="233" t="str">
        <f t="shared" si="6"/>
        <v/>
      </c>
      <c r="O401" s="230"/>
    </row>
    <row r="402" spans="2:15" x14ac:dyDescent="0.35">
      <c r="B402" s="229" t="str">
        <f>IF(Lançamentos!$B379="","",Lançamentos!$B379)</f>
        <v/>
      </c>
      <c r="C402" s="231" t="str">
        <f>IF($B402="","",Lançamentos!$J379)</f>
        <v/>
      </c>
      <c r="D402" s="231" t="str">
        <f>IF($B402="","",Lançamentos!$H379)</f>
        <v/>
      </c>
      <c r="E402" s="229" t="str">
        <f>IF($B402="","",IF(COUNTIF(Lançamentos!$B$3:$B$1001,$B402)=0,"Bloqueado",IF(COUNTIF('E1 — Solicitação'!$E384:$L384,"⛔ Bloqueado")&gt;0,"Bloqueado",IF(COUNTIF('E1 — Solicitação'!$E384:$L384,"N/A")=8,"Bloqueado",IF(COUNTIF('E1 — Solicitação'!$E384:$L384,"✔ Concluído")+COUNTIF('E1 — Solicitação'!$E384:$L384,"N/A")=8,"Concluído",IF(COUNTIF('E1 — Solicitação'!$E384:$L384,"✔ Concluído")+COUNTIF('E1 — Solicitação'!$E384:$L384,"🔄 Em andamento")&gt;0,"Em andamento","Não iniciado"))))))</f>
        <v/>
      </c>
      <c r="F402" s="229" t="str">
        <f>IF($B402="","",IF($E402&lt;&gt;"Concluído","Não iniciado",IF(COUNTIF(Lançamentos!$B$3:$B$1001,$B402)=0,"Bloqueado",IF('E2 — Triagem'!$D384="","Bloqueado",IF(COUNTIF('E2 — Triagem'!$E384:$L384,"N/A")=8,"Bloqueado",IF(COUNTIF('E2 — Triagem'!$E384:$L384,"⛔ Bloqueado")&gt;0,"Bloqueado",IF(COUNTIF('E2 — Triagem'!$E384:$L384,"✔ Concluído")+COUNTIF('E2 — Triagem'!$E384:$L384,"N/A")=8,"Concluído",IF(COUNTIF('E2 — Triagem'!$E384:$L384,"✔ Concluído")+COUNTIF('E2 — Triagem'!$E384:$L384,"🔄 Em andamento")&gt;0,"Em andamento","Não iniciado"))))))))</f>
        <v/>
      </c>
      <c r="G402" s="229" t="str">
        <f>IF($B402="","",IF($F402&lt;&gt;"Concluído","Não iniciado",IF(COUNTIF(Lançamentos!$B$3:$B$1001,$B402)=0,"Bloqueado",IF('E3 — Levantamento'!$D384="","Bloqueado",IF(COUNTIF('E3 — Levantamento'!$E384:$I384,"⛔ Bloqueado")&gt;0,"Bloqueado",IF('E3 — Levantamento'!$I384="N/A","Bloqueado",IF(COUNTIF('E3 — Levantamento'!$E384:$I384,"✔ Concluído")=5,"Concluído",IF(COUNTIF('E3 — Levantamento'!$E384:$I384,"✔ Concluído")+COUNTIF('E3 — Levantamento'!$E384:$I384,"🔄 Em andamento")&gt;0,"Em andamento","Não iniciado"))))))))</f>
        <v/>
      </c>
      <c r="H402" s="229" t="str">
        <f>IF($B402="","",IF($G402&lt;&gt;"Concluído","Não iniciado",IF(COUNTIF(Lançamentos!$B$3:$B$1001,$B402)=0,"Bloqueado",IF('E4 — Execução'!$D384="","Bloqueado",IF(COUNTIF('E4 — Execução'!$E384:$K384,"⛔ Bloqueado")&gt;0,"Bloqueado",IF(COUNTIF('E4 — Execução'!$E384:$K384,"✔ Concluído")=7,"Concluído",IF(COUNTIF('E4 — Execução'!$E384:$K384,"✔ Concluído")+COUNTIF('E4 — Execução'!$E384:$K384,"🔄 Em andamento")&gt;0,"Em andamento","Não iniciado")))))))</f>
        <v/>
      </c>
      <c r="I402" s="229" t="str">
        <f>IF($B402="","",IF($H402&lt;&gt;"Concluído","Não iniciado",IF(COUNTIF(Lançamentos!$B$3:$B$1001,$B402)=0,"Bloqueado",IF('E5 — Validação'!$D384="","Bloqueado",IF(COUNTIF('E5 — Validação'!$E384:$I384,"⛔ Bloqueado")&gt;0,"Bloqueado",IF('E5 — Validação'!$I384="N/A","Bloqueado",IF(AND('E5 — Validação'!$E384="✔ Concluído",'E5 — Validação'!$F384="✔ Concluído",OR('E5 — Validação'!$G384="✔ Concluído",'E5 — Validação'!$G384="N/A"),'E5 — Validação'!$H384="✔ Concluído",'E5 — Validação'!$I384="✔ Concluído"),"Concluído",IF(COUNTIF('E5 — Validação'!$E384:$I384,"✔ Concluído")+COUNTIF('E5 — Validação'!$E384:$I384,"🔄 Em andamento")&gt;0,"Em andamento","Não iniciado"))))))))</f>
        <v/>
      </c>
      <c r="J402" s="229" t="str">
        <f>IF($B402="","",IF($I402&lt;&gt;"Concluído","Não iniciado",IF('E6 — Ajustes'!$N384="Não","N/A",IF(COUNTIF(Lançamentos!$B$3:$B$1001,$B402)=0,"Bloqueado",IF('E6 — Ajustes'!$D384="","Bloqueado",IF(COUNTIF('E6 — Ajustes'!$E384:$J384,"⛔ Bloqueado")&gt;0,"Bloqueado",IF(AND('E6 — Ajustes'!$E384="✔ Concluído",'E6 — Ajustes'!$F384="✔ Concluído",'E6 — Ajustes'!$G384="✔ Concluído",'E6 — Ajustes'!$H384="✔ Concluído",OR('E6 — Ajustes'!$I384="✔ Concluído",'E6 — Ajustes'!$I384="N/A"),'E6 — Ajustes'!$J384="✔ Concluído"),"Concluído",IF(COUNTIF('E6 — Ajustes'!$E384:$J384,"✔ Concluído")+COUNTIF('E6 — Ajustes'!$E384:$J384,"🔄 Em andamento")&gt;0,"Em andamento","Não iniciado"))))))))</f>
        <v/>
      </c>
      <c r="K402" s="229" t="str">
        <f>IF($B402="","",IF($I402&lt;&gt;"Concluído","Não iniciado",IF(AND($J402&lt;&gt;"Concluído",$J402&lt;&gt;"N/A"),"Não iniciado",IF(COUNTIF(Lançamentos!$B$3:$B$1001,$B402)=0,"Bloqueado",IF('E7 — Entrega'!$D384="","Bloqueado",IF(COUNTIF('E7 — Entrega'!$E384:$H384,"⛔ Bloqueado")&gt;0,"Bloqueado",IF(COUNTIF('E7 — Entrega'!$E384:$H384,"✔ Concluído")=4,"Concluído",IF(COUNTIF('E7 — Entrega'!$E384:$H384,"✔ Concluído")+COUNTIF('E7 — Entrega'!$E384:$H384,"🔄 Em andamento")&gt;0,"Em andamento","Não iniciado"))))))))</f>
        <v/>
      </c>
      <c r="L402" s="229" t="str">
        <f>IF($B402="","",IF($K402&lt;&gt;"Concluído","Não iniciado",IF(OR(COUNTIF('E08 — Estabilização Hypercare'!$E384:$J384,"⛔ Bloqueado")&gt;0,'E08 — Estabilização Hypercare'!$N384="⛔ Incidente Crítico — Encerramento Bloqueado",AND('E08 — Estabilização Hypercare'!$N384="🆕 Evolução Identificada — Nova Demanda Aberta",'E08 — Estabilização Hypercare'!$U384="")),"Bloqueado",IF(AND('E08 — Estabilização Hypercare'!$E384="✔ Concluído",'E08 — Estabilização Hypercare'!$F384="✔ Concluído",'E08 — Estabilização Hypercare'!$G384="✔ Concluído",OR('E08 — Estabilização Hypercare'!$H384="✔ Concluído",'E08 — Estabilização Hypercare'!$H384="N/A"),'E08 — Estabilização Hypercare'!$I384="✔ Concluído",'E08 — Estabilização Hypercare'!$J384="✔ Concluído",OR('E08 — Estabilização Hypercare'!$N384="✅ Estável — Demanda Encerrada",AND('E08 — Estabilização Hypercare'!$N384="🆕 Evolução Identificada — Nova Demanda Aberta",'E08 — Estabilização Hypercare'!$U384&lt;&gt;""))),"Concluído",IF(OR(COUNTIF('E08 — Estabilização Hypercare'!$E384:$J384,"✔ Concluído")&gt;0,COUNTIF('E08 — Estabilização Hypercare'!$E384:$J384,"🔄 Em andamento")&gt;0,'E08 — Estabilização Hypercare'!$N384&lt;&gt;""),"Em andamento","Não iniciado")))))</f>
        <v/>
      </c>
      <c r="M402" s="232" t="str" cm="1">
        <f t="array" ref="M402">IF(B402="","",_xlfn.IFS(E402&lt;&gt;"Concluído","E1 — Solicitação",F402&lt;&gt;"Concluído","E2 — Triagem",G402&lt;&gt;"Concluído","E3 — Levantamento ⚠",H402&lt;&gt;"Concluído","E4 — Execução",I402&lt;&gt;"Concluído","E5 — Validação ⚠",AND(J402&lt;&gt;"Concluído",J402&lt;&gt;"N/A"),"E6 — Ajustes",K402&lt;&gt;"Concluído","E7 — Entrega",L402&lt;&gt;"Concluído","E08 — Estabilização / Hypercare",TRUE,"✔ Fluxo concluído"))</f>
        <v/>
      </c>
      <c r="N402" s="233" t="str">
        <f t="shared" si="6"/>
        <v/>
      </c>
      <c r="O402" s="230"/>
    </row>
    <row r="403" spans="2:15" x14ac:dyDescent="0.35">
      <c r="B403" s="229" t="str">
        <f>IF(Lançamentos!$B380="","",Lançamentos!$B380)</f>
        <v/>
      </c>
      <c r="C403" s="231" t="str">
        <f>IF($B403="","",Lançamentos!$J380)</f>
        <v/>
      </c>
      <c r="D403" s="231" t="str">
        <f>IF($B403="","",Lançamentos!$H380)</f>
        <v/>
      </c>
      <c r="E403" s="229" t="str">
        <f>IF($B403="","",IF(COUNTIF(Lançamentos!$B$3:$B$1001,$B403)=0,"Bloqueado",IF(COUNTIF('E1 — Solicitação'!$E385:$L385,"⛔ Bloqueado")&gt;0,"Bloqueado",IF(COUNTIF('E1 — Solicitação'!$E385:$L385,"N/A")=8,"Bloqueado",IF(COUNTIF('E1 — Solicitação'!$E385:$L385,"✔ Concluído")+COUNTIF('E1 — Solicitação'!$E385:$L385,"N/A")=8,"Concluído",IF(COUNTIF('E1 — Solicitação'!$E385:$L385,"✔ Concluído")+COUNTIF('E1 — Solicitação'!$E385:$L385,"🔄 Em andamento")&gt;0,"Em andamento","Não iniciado"))))))</f>
        <v/>
      </c>
      <c r="F403" s="229" t="str">
        <f>IF($B403="","",IF($E403&lt;&gt;"Concluído","Não iniciado",IF(COUNTIF(Lançamentos!$B$3:$B$1001,$B403)=0,"Bloqueado",IF('E2 — Triagem'!$D385="","Bloqueado",IF(COUNTIF('E2 — Triagem'!$E385:$L385,"N/A")=8,"Bloqueado",IF(COUNTIF('E2 — Triagem'!$E385:$L385,"⛔ Bloqueado")&gt;0,"Bloqueado",IF(COUNTIF('E2 — Triagem'!$E385:$L385,"✔ Concluído")+COUNTIF('E2 — Triagem'!$E385:$L385,"N/A")=8,"Concluído",IF(COUNTIF('E2 — Triagem'!$E385:$L385,"✔ Concluído")+COUNTIF('E2 — Triagem'!$E385:$L385,"🔄 Em andamento")&gt;0,"Em andamento","Não iniciado"))))))))</f>
        <v/>
      </c>
      <c r="G403" s="229" t="str">
        <f>IF($B403="","",IF($F403&lt;&gt;"Concluído","Não iniciado",IF(COUNTIF(Lançamentos!$B$3:$B$1001,$B403)=0,"Bloqueado",IF('E3 — Levantamento'!$D385="","Bloqueado",IF(COUNTIF('E3 — Levantamento'!$E385:$I385,"⛔ Bloqueado")&gt;0,"Bloqueado",IF('E3 — Levantamento'!$I385="N/A","Bloqueado",IF(COUNTIF('E3 — Levantamento'!$E385:$I385,"✔ Concluído")=5,"Concluído",IF(COUNTIF('E3 — Levantamento'!$E385:$I385,"✔ Concluído")+COUNTIF('E3 — Levantamento'!$E385:$I385,"🔄 Em andamento")&gt;0,"Em andamento","Não iniciado"))))))))</f>
        <v/>
      </c>
      <c r="H403" s="229" t="str">
        <f>IF($B403="","",IF($G403&lt;&gt;"Concluído","Não iniciado",IF(COUNTIF(Lançamentos!$B$3:$B$1001,$B403)=0,"Bloqueado",IF('E4 — Execução'!$D385="","Bloqueado",IF(COUNTIF('E4 — Execução'!$E385:$K385,"⛔ Bloqueado")&gt;0,"Bloqueado",IF(COUNTIF('E4 — Execução'!$E385:$K385,"✔ Concluído")=7,"Concluído",IF(COUNTIF('E4 — Execução'!$E385:$K385,"✔ Concluído")+COUNTIF('E4 — Execução'!$E385:$K385,"🔄 Em andamento")&gt;0,"Em andamento","Não iniciado")))))))</f>
        <v/>
      </c>
      <c r="I403" s="229" t="str">
        <f>IF($B403="","",IF($H403&lt;&gt;"Concluído","Não iniciado",IF(COUNTIF(Lançamentos!$B$3:$B$1001,$B403)=0,"Bloqueado",IF('E5 — Validação'!$D385="","Bloqueado",IF(COUNTIF('E5 — Validação'!$E385:$I385,"⛔ Bloqueado")&gt;0,"Bloqueado",IF('E5 — Validação'!$I385="N/A","Bloqueado",IF(AND('E5 — Validação'!$E385="✔ Concluído",'E5 — Validação'!$F385="✔ Concluído",OR('E5 — Validação'!$G385="✔ Concluído",'E5 — Validação'!$G385="N/A"),'E5 — Validação'!$H385="✔ Concluído",'E5 — Validação'!$I385="✔ Concluído"),"Concluído",IF(COUNTIF('E5 — Validação'!$E385:$I385,"✔ Concluído")+COUNTIF('E5 — Validação'!$E385:$I385,"🔄 Em andamento")&gt;0,"Em andamento","Não iniciado"))))))))</f>
        <v/>
      </c>
      <c r="J403" s="229" t="str">
        <f>IF($B403="","",IF($I403&lt;&gt;"Concluído","Não iniciado",IF('E6 — Ajustes'!$N385="Não","N/A",IF(COUNTIF(Lançamentos!$B$3:$B$1001,$B403)=0,"Bloqueado",IF('E6 — Ajustes'!$D385="","Bloqueado",IF(COUNTIF('E6 — Ajustes'!$E385:$J385,"⛔ Bloqueado")&gt;0,"Bloqueado",IF(AND('E6 — Ajustes'!$E385="✔ Concluído",'E6 — Ajustes'!$F385="✔ Concluído",'E6 — Ajustes'!$G385="✔ Concluído",'E6 — Ajustes'!$H385="✔ Concluído",OR('E6 — Ajustes'!$I385="✔ Concluído",'E6 — Ajustes'!$I385="N/A"),'E6 — Ajustes'!$J385="✔ Concluído"),"Concluído",IF(COUNTIF('E6 — Ajustes'!$E385:$J385,"✔ Concluído")+COUNTIF('E6 — Ajustes'!$E385:$J385,"🔄 Em andamento")&gt;0,"Em andamento","Não iniciado"))))))))</f>
        <v/>
      </c>
      <c r="K403" s="229" t="str">
        <f>IF($B403="","",IF($I403&lt;&gt;"Concluído","Não iniciado",IF(AND($J403&lt;&gt;"Concluído",$J403&lt;&gt;"N/A"),"Não iniciado",IF(COUNTIF(Lançamentos!$B$3:$B$1001,$B403)=0,"Bloqueado",IF('E7 — Entrega'!$D385="","Bloqueado",IF(COUNTIF('E7 — Entrega'!$E385:$H385,"⛔ Bloqueado")&gt;0,"Bloqueado",IF(COUNTIF('E7 — Entrega'!$E385:$H385,"✔ Concluído")=4,"Concluído",IF(COUNTIF('E7 — Entrega'!$E385:$H385,"✔ Concluído")+COUNTIF('E7 — Entrega'!$E385:$H385,"🔄 Em andamento")&gt;0,"Em andamento","Não iniciado"))))))))</f>
        <v/>
      </c>
      <c r="L403" s="229" t="str">
        <f>IF($B403="","",IF($K403&lt;&gt;"Concluído","Não iniciado",IF(OR(COUNTIF('E08 — Estabilização Hypercare'!$E385:$J385,"⛔ Bloqueado")&gt;0,'E08 — Estabilização Hypercare'!$N385="⛔ Incidente Crítico — Encerramento Bloqueado",AND('E08 — Estabilização Hypercare'!$N385="🆕 Evolução Identificada — Nova Demanda Aberta",'E08 — Estabilização Hypercare'!$U385="")),"Bloqueado",IF(AND('E08 — Estabilização Hypercare'!$E385="✔ Concluído",'E08 — Estabilização Hypercare'!$F385="✔ Concluído",'E08 — Estabilização Hypercare'!$G385="✔ Concluído",OR('E08 — Estabilização Hypercare'!$H385="✔ Concluído",'E08 — Estabilização Hypercare'!$H385="N/A"),'E08 — Estabilização Hypercare'!$I385="✔ Concluído",'E08 — Estabilização Hypercare'!$J385="✔ Concluído",OR('E08 — Estabilização Hypercare'!$N385="✅ Estável — Demanda Encerrada",AND('E08 — Estabilização Hypercare'!$N385="🆕 Evolução Identificada — Nova Demanda Aberta",'E08 — Estabilização Hypercare'!$U385&lt;&gt;""))),"Concluído",IF(OR(COUNTIF('E08 — Estabilização Hypercare'!$E385:$J385,"✔ Concluído")&gt;0,COUNTIF('E08 — Estabilização Hypercare'!$E385:$J385,"🔄 Em andamento")&gt;0,'E08 — Estabilização Hypercare'!$N385&lt;&gt;""),"Em andamento","Não iniciado")))))</f>
        <v/>
      </c>
      <c r="M403" s="232" t="str" cm="1">
        <f t="array" ref="M403">IF(B403="","",_xlfn.IFS(E403&lt;&gt;"Concluído","E1 — Solicitação",F403&lt;&gt;"Concluído","E2 — Triagem",G403&lt;&gt;"Concluído","E3 — Levantamento ⚠",H403&lt;&gt;"Concluído","E4 — Execução",I403&lt;&gt;"Concluído","E5 — Validação ⚠",AND(J403&lt;&gt;"Concluído",J403&lt;&gt;"N/A"),"E6 — Ajustes",K403&lt;&gt;"Concluído","E7 — Entrega",L403&lt;&gt;"Concluído","E08 — Estabilização / Hypercare",TRUE,"✔ Fluxo concluído"))</f>
        <v/>
      </c>
      <c r="N403" s="233" t="str">
        <f t="shared" si="6"/>
        <v/>
      </c>
      <c r="O403" s="230"/>
    </row>
    <row r="404" spans="2:15" x14ac:dyDescent="0.35">
      <c r="B404" s="229" t="str">
        <f>IF(Lançamentos!$B381="","",Lançamentos!$B381)</f>
        <v/>
      </c>
      <c r="C404" s="231" t="str">
        <f>IF($B404="","",Lançamentos!$J381)</f>
        <v/>
      </c>
      <c r="D404" s="231" t="str">
        <f>IF($B404="","",Lançamentos!$H381)</f>
        <v/>
      </c>
      <c r="E404" s="229" t="str">
        <f>IF($B404="","",IF(COUNTIF(Lançamentos!$B$3:$B$1001,$B404)=0,"Bloqueado",IF(COUNTIF('E1 — Solicitação'!$E386:$L386,"⛔ Bloqueado")&gt;0,"Bloqueado",IF(COUNTIF('E1 — Solicitação'!$E386:$L386,"N/A")=8,"Bloqueado",IF(COUNTIF('E1 — Solicitação'!$E386:$L386,"✔ Concluído")+COUNTIF('E1 — Solicitação'!$E386:$L386,"N/A")=8,"Concluído",IF(COUNTIF('E1 — Solicitação'!$E386:$L386,"✔ Concluído")+COUNTIF('E1 — Solicitação'!$E386:$L386,"🔄 Em andamento")&gt;0,"Em andamento","Não iniciado"))))))</f>
        <v/>
      </c>
      <c r="F404" s="229" t="str">
        <f>IF($B404="","",IF($E404&lt;&gt;"Concluído","Não iniciado",IF(COUNTIF(Lançamentos!$B$3:$B$1001,$B404)=0,"Bloqueado",IF('E2 — Triagem'!$D386="","Bloqueado",IF(COUNTIF('E2 — Triagem'!$E386:$L386,"N/A")=8,"Bloqueado",IF(COUNTIF('E2 — Triagem'!$E386:$L386,"⛔ Bloqueado")&gt;0,"Bloqueado",IF(COUNTIF('E2 — Triagem'!$E386:$L386,"✔ Concluído")+COUNTIF('E2 — Triagem'!$E386:$L386,"N/A")=8,"Concluído",IF(COUNTIF('E2 — Triagem'!$E386:$L386,"✔ Concluído")+COUNTIF('E2 — Triagem'!$E386:$L386,"🔄 Em andamento")&gt;0,"Em andamento","Não iniciado"))))))))</f>
        <v/>
      </c>
      <c r="G404" s="229" t="str">
        <f>IF($B404="","",IF($F404&lt;&gt;"Concluído","Não iniciado",IF(COUNTIF(Lançamentos!$B$3:$B$1001,$B404)=0,"Bloqueado",IF('E3 — Levantamento'!$D386="","Bloqueado",IF(COUNTIF('E3 — Levantamento'!$E386:$I386,"⛔ Bloqueado")&gt;0,"Bloqueado",IF('E3 — Levantamento'!$I386="N/A","Bloqueado",IF(COUNTIF('E3 — Levantamento'!$E386:$I386,"✔ Concluído")=5,"Concluído",IF(COUNTIF('E3 — Levantamento'!$E386:$I386,"✔ Concluído")+COUNTIF('E3 — Levantamento'!$E386:$I386,"🔄 Em andamento")&gt;0,"Em andamento","Não iniciado"))))))))</f>
        <v/>
      </c>
      <c r="H404" s="229" t="str">
        <f>IF($B404="","",IF($G404&lt;&gt;"Concluído","Não iniciado",IF(COUNTIF(Lançamentos!$B$3:$B$1001,$B404)=0,"Bloqueado",IF('E4 — Execução'!$D386="","Bloqueado",IF(COUNTIF('E4 — Execução'!$E386:$K386,"⛔ Bloqueado")&gt;0,"Bloqueado",IF(COUNTIF('E4 — Execução'!$E386:$K386,"✔ Concluído")=7,"Concluído",IF(COUNTIF('E4 — Execução'!$E386:$K386,"✔ Concluído")+COUNTIF('E4 — Execução'!$E386:$K386,"🔄 Em andamento")&gt;0,"Em andamento","Não iniciado")))))))</f>
        <v/>
      </c>
      <c r="I404" s="229" t="str">
        <f>IF($B404="","",IF($H404&lt;&gt;"Concluído","Não iniciado",IF(COUNTIF(Lançamentos!$B$3:$B$1001,$B404)=0,"Bloqueado",IF('E5 — Validação'!$D386="","Bloqueado",IF(COUNTIF('E5 — Validação'!$E386:$I386,"⛔ Bloqueado")&gt;0,"Bloqueado",IF('E5 — Validação'!$I386="N/A","Bloqueado",IF(AND('E5 — Validação'!$E386="✔ Concluído",'E5 — Validação'!$F386="✔ Concluído",OR('E5 — Validação'!$G386="✔ Concluído",'E5 — Validação'!$G386="N/A"),'E5 — Validação'!$H386="✔ Concluído",'E5 — Validação'!$I386="✔ Concluído"),"Concluído",IF(COUNTIF('E5 — Validação'!$E386:$I386,"✔ Concluído")+COUNTIF('E5 — Validação'!$E386:$I386,"🔄 Em andamento")&gt;0,"Em andamento","Não iniciado"))))))))</f>
        <v/>
      </c>
      <c r="J404" s="229" t="str">
        <f>IF($B404="","",IF($I404&lt;&gt;"Concluído","Não iniciado",IF('E6 — Ajustes'!$N386="Não","N/A",IF(COUNTIF(Lançamentos!$B$3:$B$1001,$B404)=0,"Bloqueado",IF('E6 — Ajustes'!$D386="","Bloqueado",IF(COUNTIF('E6 — Ajustes'!$E386:$J386,"⛔ Bloqueado")&gt;0,"Bloqueado",IF(AND('E6 — Ajustes'!$E386="✔ Concluído",'E6 — Ajustes'!$F386="✔ Concluído",'E6 — Ajustes'!$G386="✔ Concluído",'E6 — Ajustes'!$H386="✔ Concluído",OR('E6 — Ajustes'!$I386="✔ Concluído",'E6 — Ajustes'!$I386="N/A"),'E6 — Ajustes'!$J386="✔ Concluído"),"Concluído",IF(COUNTIF('E6 — Ajustes'!$E386:$J386,"✔ Concluído")+COUNTIF('E6 — Ajustes'!$E386:$J386,"🔄 Em andamento")&gt;0,"Em andamento","Não iniciado"))))))))</f>
        <v/>
      </c>
      <c r="K404" s="229" t="str">
        <f>IF($B404="","",IF($I404&lt;&gt;"Concluído","Não iniciado",IF(AND($J404&lt;&gt;"Concluído",$J404&lt;&gt;"N/A"),"Não iniciado",IF(COUNTIF(Lançamentos!$B$3:$B$1001,$B404)=0,"Bloqueado",IF('E7 — Entrega'!$D386="","Bloqueado",IF(COUNTIF('E7 — Entrega'!$E386:$H386,"⛔ Bloqueado")&gt;0,"Bloqueado",IF(COUNTIF('E7 — Entrega'!$E386:$H386,"✔ Concluído")=4,"Concluído",IF(COUNTIF('E7 — Entrega'!$E386:$H386,"✔ Concluído")+COUNTIF('E7 — Entrega'!$E386:$H386,"🔄 Em andamento")&gt;0,"Em andamento","Não iniciado"))))))))</f>
        <v/>
      </c>
      <c r="L404" s="229" t="str">
        <f>IF($B404="","",IF($K404&lt;&gt;"Concluído","Não iniciado",IF(OR(COUNTIF('E08 — Estabilização Hypercare'!$E386:$J386,"⛔ Bloqueado")&gt;0,'E08 — Estabilização Hypercare'!$N386="⛔ Incidente Crítico — Encerramento Bloqueado",AND('E08 — Estabilização Hypercare'!$N386="🆕 Evolução Identificada — Nova Demanda Aberta",'E08 — Estabilização Hypercare'!$U386="")),"Bloqueado",IF(AND('E08 — Estabilização Hypercare'!$E386="✔ Concluído",'E08 — Estabilização Hypercare'!$F386="✔ Concluído",'E08 — Estabilização Hypercare'!$G386="✔ Concluído",OR('E08 — Estabilização Hypercare'!$H386="✔ Concluído",'E08 — Estabilização Hypercare'!$H386="N/A"),'E08 — Estabilização Hypercare'!$I386="✔ Concluído",'E08 — Estabilização Hypercare'!$J386="✔ Concluído",OR('E08 — Estabilização Hypercare'!$N386="✅ Estável — Demanda Encerrada",AND('E08 — Estabilização Hypercare'!$N386="🆕 Evolução Identificada — Nova Demanda Aberta",'E08 — Estabilização Hypercare'!$U386&lt;&gt;""))),"Concluído",IF(OR(COUNTIF('E08 — Estabilização Hypercare'!$E386:$J386,"✔ Concluído")&gt;0,COUNTIF('E08 — Estabilização Hypercare'!$E386:$J386,"🔄 Em andamento")&gt;0,'E08 — Estabilização Hypercare'!$N386&lt;&gt;""),"Em andamento","Não iniciado")))))</f>
        <v/>
      </c>
      <c r="M404" s="232" t="str" cm="1">
        <f t="array" ref="M404">IF(B404="","",_xlfn.IFS(E404&lt;&gt;"Concluído","E1 — Solicitação",F404&lt;&gt;"Concluído","E2 — Triagem",G404&lt;&gt;"Concluído","E3 — Levantamento ⚠",H404&lt;&gt;"Concluído","E4 — Execução",I404&lt;&gt;"Concluído","E5 — Validação ⚠",AND(J404&lt;&gt;"Concluído",J404&lt;&gt;"N/A"),"E6 — Ajustes",K404&lt;&gt;"Concluído","E7 — Entrega",L404&lt;&gt;"Concluído","E08 — Estabilização / Hypercare",TRUE,"✔ Fluxo concluído"))</f>
        <v/>
      </c>
      <c r="N404" s="233" t="str">
        <f t="shared" si="6"/>
        <v/>
      </c>
      <c r="O404" s="230"/>
    </row>
    <row r="405" spans="2:15" x14ac:dyDescent="0.35">
      <c r="B405" s="229" t="str">
        <f>IF(Lançamentos!$B382="","",Lançamentos!$B382)</f>
        <v/>
      </c>
      <c r="C405" s="231" t="str">
        <f>IF($B405="","",Lançamentos!$J382)</f>
        <v/>
      </c>
      <c r="D405" s="231" t="str">
        <f>IF($B405="","",Lançamentos!$H382)</f>
        <v/>
      </c>
      <c r="E405" s="229" t="str">
        <f>IF($B405="","",IF(COUNTIF(Lançamentos!$B$3:$B$1001,$B405)=0,"Bloqueado",IF(COUNTIF('E1 — Solicitação'!$E387:$L387,"⛔ Bloqueado")&gt;0,"Bloqueado",IF(COUNTIF('E1 — Solicitação'!$E387:$L387,"N/A")=8,"Bloqueado",IF(COUNTIF('E1 — Solicitação'!$E387:$L387,"✔ Concluído")+COUNTIF('E1 — Solicitação'!$E387:$L387,"N/A")=8,"Concluído",IF(COUNTIF('E1 — Solicitação'!$E387:$L387,"✔ Concluído")+COUNTIF('E1 — Solicitação'!$E387:$L387,"🔄 Em andamento")&gt;0,"Em andamento","Não iniciado"))))))</f>
        <v/>
      </c>
      <c r="F405" s="229" t="str">
        <f>IF($B405="","",IF($E405&lt;&gt;"Concluído","Não iniciado",IF(COUNTIF(Lançamentos!$B$3:$B$1001,$B405)=0,"Bloqueado",IF('E2 — Triagem'!$D387="","Bloqueado",IF(COUNTIF('E2 — Triagem'!$E387:$L387,"N/A")=8,"Bloqueado",IF(COUNTIF('E2 — Triagem'!$E387:$L387,"⛔ Bloqueado")&gt;0,"Bloqueado",IF(COUNTIF('E2 — Triagem'!$E387:$L387,"✔ Concluído")+COUNTIF('E2 — Triagem'!$E387:$L387,"N/A")=8,"Concluído",IF(COUNTIF('E2 — Triagem'!$E387:$L387,"✔ Concluído")+COUNTIF('E2 — Triagem'!$E387:$L387,"🔄 Em andamento")&gt;0,"Em andamento","Não iniciado"))))))))</f>
        <v/>
      </c>
      <c r="G405" s="229" t="str">
        <f>IF($B405="","",IF($F405&lt;&gt;"Concluído","Não iniciado",IF(COUNTIF(Lançamentos!$B$3:$B$1001,$B405)=0,"Bloqueado",IF('E3 — Levantamento'!$D387="","Bloqueado",IF(COUNTIF('E3 — Levantamento'!$E387:$I387,"⛔ Bloqueado")&gt;0,"Bloqueado",IF('E3 — Levantamento'!$I387="N/A","Bloqueado",IF(COUNTIF('E3 — Levantamento'!$E387:$I387,"✔ Concluído")=5,"Concluído",IF(COUNTIF('E3 — Levantamento'!$E387:$I387,"✔ Concluído")+COUNTIF('E3 — Levantamento'!$E387:$I387,"🔄 Em andamento")&gt;0,"Em andamento","Não iniciado"))))))))</f>
        <v/>
      </c>
      <c r="H405" s="229" t="str">
        <f>IF($B405="","",IF($G405&lt;&gt;"Concluído","Não iniciado",IF(COUNTIF(Lançamentos!$B$3:$B$1001,$B405)=0,"Bloqueado",IF('E4 — Execução'!$D387="","Bloqueado",IF(COUNTIF('E4 — Execução'!$E387:$K387,"⛔ Bloqueado")&gt;0,"Bloqueado",IF(COUNTIF('E4 — Execução'!$E387:$K387,"✔ Concluído")=7,"Concluído",IF(COUNTIF('E4 — Execução'!$E387:$K387,"✔ Concluído")+COUNTIF('E4 — Execução'!$E387:$K387,"🔄 Em andamento")&gt;0,"Em andamento","Não iniciado")))))))</f>
        <v/>
      </c>
      <c r="I405" s="229" t="str">
        <f>IF($B405="","",IF($H405&lt;&gt;"Concluído","Não iniciado",IF(COUNTIF(Lançamentos!$B$3:$B$1001,$B405)=0,"Bloqueado",IF('E5 — Validação'!$D387="","Bloqueado",IF(COUNTIF('E5 — Validação'!$E387:$I387,"⛔ Bloqueado")&gt;0,"Bloqueado",IF('E5 — Validação'!$I387="N/A","Bloqueado",IF(AND('E5 — Validação'!$E387="✔ Concluído",'E5 — Validação'!$F387="✔ Concluído",OR('E5 — Validação'!$G387="✔ Concluído",'E5 — Validação'!$G387="N/A"),'E5 — Validação'!$H387="✔ Concluído",'E5 — Validação'!$I387="✔ Concluído"),"Concluído",IF(COUNTIF('E5 — Validação'!$E387:$I387,"✔ Concluído")+COUNTIF('E5 — Validação'!$E387:$I387,"🔄 Em andamento")&gt;0,"Em andamento","Não iniciado"))))))))</f>
        <v/>
      </c>
      <c r="J405" s="229" t="str">
        <f>IF($B405="","",IF($I405&lt;&gt;"Concluído","Não iniciado",IF('E6 — Ajustes'!$N387="Não","N/A",IF(COUNTIF(Lançamentos!$B$3:$B$1001,$B405)=0,"Bloqueado",IF('E6 — Ajustes'!$D387="","Bloqueado",IF(COUNTIF('E6 — Ajustes'!$E387:$J387,"⛔ Bloqueado")&gt;0,"Bloqueado",IF(AND('E6 — Ajustes'!$E387="✔ Concluído",'E6 — Ajustes'!$F387="✔ Concluído",'E6 — Ajustes'!$G387="✔ Concluído",'E6 — Ajustes'!$H387="✔ Concluído",OR('E6 — Ajustes'!$I387="✔ Concluído",'E6 — Ajustes'!$I387="N/A"),'E6 — Ajustes'!$J387="✔ Concluído"),"Concluído",IF(COUNTIF('E6 — Ajustes'!$E387:$J387,"✔ Concluído")+COUNTIF('E6 — Ajustes'!$E387:$J387,"🔄 Em andamento")&gt;0,"Em andamento","Não iniciado"))))))))</f>
        <v/>
      </c>
      <c r="K405" s="229" t="str">
        <f>IF($B405="","",IF($I405&lt;&gt;"Concluído","Não iniciado",IF(AND($J405&lt;&gt;"Concluído",$J405&lt;&gt;"N/A"),"Não iniciado",IF(COUNTIF(Lançamentos!$B$3:$B$1001,$B405)=0,"Bloqueado",IF('E7 — Entrega'!$D387="","Bloqueado",IF(COUNTIF('E7 — Entrega'!$E387:$H387,"⛔ Bloqueado")&gt;0,"Bloqueado",IF(COUNTIF('E7 — Entrega'!$E387:$H387,"✔ Concluído")=4,"Concluído",IF(COUNTIF('E7 — Entrega'!$E387:$H387,"✔ Concluído")+COUNTIF('E7 — Entrega'!$E387:$H387,"🔄 Em andamento")&gt;0,"Em andamento","Não iniciado"))))))))</f>
        <v/>
      </c>
      <c r="L405" s="229" t="str">
        <f>IF($B405="","",IF($K405&lt;&gt;"Concluído","Não iniciado",IF(OR(COUNTIF('E08 — Estabilização Hypercare'!$E387:$J387,"⛔ Bloqueado")&gt;0,'E08 — Estabilização Hypercare'!$N387="⛔ Incidente Crítico — Encerramento Bloqueado",AND('E08 — Estabilização Hypercare'!$N387="🆕 Evolução Identificada — Nova Demanda Aberta",'E08 — Estabilização Hypercare'!$U387="")),"Bloqueado",IF(AND('E08 — Estabilização Hypercare'!$E387="✔ Concluído",'E08 — Estabilização Hypercare'!$F387="✔ Concluído",'E08 — Estabilização Hypercare'!$G387="✔ Concluído",OR('E08 — Estabilização Hypercare'!$H387="✔ Concluído",'E08 — Estabilização Hypercare'!$H387="N/A"),'E08 — Estabilização Hypercare'!$I387="✔ Concluído",'E08 — Estabilização Hypercare'!$J387="✔ Concluído",OR('E08 — Estabilização Hypercare'!$N387="✅ Estável — Demanda Encerrada",AND('E08 — Estabilização Hypercare'!$N387="🆕 Evolução Identificada — Nova Demanda Aberta",'E08 — Estabilização Hypercare'!$U387&lt;&gt;""))),"Concluído",IF(OR(COUNTIF('E08 — Estabilização Hypercare'!$E387:$J387,"✔ Concluído")&gt;0,COUNTIF('E08 — Estabilização Hypercare'!$E387:$J387,"🔄 Em andamento")&gt;0,'E08 — Estabilização Hypercare'!$N387&lt;&gt;""),"Em andamento","Não iniciado")))))</f>
        <v/>
      </c>
      <c r="M405" s="232" t="str" cm="1">
        <f t="array" ref="M405">IF(B405="","",_xlfn.IFS(E405&lt;&gt;"Concluído","E1 — Solicitação",F405&lt;&gt;"Concluído","E2 — Triagem",G405&lt;&gt;"Concluído","E3 — Levantamento ⚠",H405&lt;&gt;"Concluído","E4 — Execução",I405&lt;&gt;"Concluído","E5 — Validação ⚠",AND(J405&lt;&gt;"Concluído",J405&lt;&gt;"N/A"),"E6 — Ajustes",K405&lt;&gt;"Concluído","E7 — Entrega",L405&lt;&gt;"Concluído","E08 — Estabilização / Hypercare",TRUE,"✔ Fluxo concluído"))</f>
        <v/>
      </c>
      <c r="N405" s="233" t="str">
        <f t="shared" si="6"/>
        <v/>
      </c>
      <c r="O405" s="230"/>
    </row>
    <row r="406" spans="2:15" x14ac:dyDescent="0.35">
      <c r="B406" s="229" t="str">
        <f>IF(Lançamentos!$B383="","",Lançamentos!$B383)</f>
        <v/>
      </c>
      <c r="C406" s="231" t="str">
        <f>IF($B406="","",Lançamentos!$J383)</f>
        <v/>
      </c>
      <c r="D406" s="231" t="str">
        <f>IF($B406="","",Lançamentos!$H383)</f>
        <v/>
      </c>
      <c r="E406" s="229" t="str">
        <f>IF($B406="","",IF(COUNTIF(Lançamentos!$B$3:$B$1001,$B406)=0,"Bloqueado",IF(COUNTIF('E1 — Solicitação'!$E388:$L388,"⛔ Bloqueado")&gt;0,"Bloqueado",IF(COUNTIF('E1 — Solicitação'!$E388:$L388,"N/A")=8,"Bloqueado",IF(COUNTIF('E1 — Solicitação'!$E388:$L388,"✔ Concluído")+COUNTIF('E1 — Solicitação'!$E388:$L388,"N/A")=8,"Concluído",IF(COUNTIF('E1 — Solicitação'!$E388:$L388,"✔ Concluído")+COUNTIF('E1 — Solicitação'!$E388:$L388,"🔄 Em andamento")&gt;0,"Em andamento","Não iniciado"))))))</f>
        <v/>
      </c>
      <c r="F406" s="229" t="str">
        <f>IF($B406="","",IF($E406&lt;&gt;"Concluído","Não iniciado",IF(COUNTIF(Lançamentos!$B$3:$B$1001,$B406)=0,"Bloqueado",IF('E2 — Triagem'!$D388="","Bloqueado",IF(COUNTIF('E2 — Triagem'!$E388:$L388,"N/A")=8,"Bloqueado",IF(COUNTIF('E2 — Triagem'!$E388:$L388,"⛔ Bloqueado")&gt;0,"Bloqueado",IF(COUNTIF('E2 — Triagem'!$E388:$L388,"✔ Concluído")+COUNTIF('E2 — Triagem'!$E388:$L388,"N/A")=8,"Concluído",IF(COUNTIF('E2 — Triagem'!$E388:$L388,"✔ Concluído")+COUNTIF('E2 — Triagem'!$E388:$L388,"🔄 Em andamento")&gt;0,"Em andamento","Não iniciado"))))))))</f>
        <v/>
      </c>
      <c r="G406" s="229" t="str">
        <f>IF($B406="","",IF($F406&lt;&gt;"Concluído","Não iniciado",IF(COUNTIF(Lançamentos!$B$3:$B$1001,$B406)=0,"Bloqueado",IF('E3 — Levantamento'!$D388="","Bloqueado",IF(COUNTIF('E3 — Levantamento'!$E388:$I388,"⛔ Bloqueado")&gt;0,"Bloqueado",IF('E3 — Levantamento'!$I388="N/A","Bloqueado",IF(COUNTIF('E3 — Levantamento'!$E388:$I388,"✔ Concluído")=5,"Concluído",IF(COUNTIF('E3 — Levantamento'!$E388:$I388,"✔ Concluído")+COUNTIF('E3 — Levantamento'!$E388:$I388,"🔄 Em andamento")&gt;0,"Em andamento","Não iniciado"))))))))</f>
        <v/>
      </c>
      <c r="H406" s="229" t="str">
        <f>IF($B406="","",IF($G406&lt;&gt;"Concluído","Não iniciado",IF(COUNTIF(Lançamentos!$B$3:$B$1001,$B406)=0,"Bloqueado",IF('E4 — Execução'!$D388="","Bloqueado",IF(COUNTIF('E4 — Execução'!$E388:$K388,"⛔ Bloqueado")&gt;0,"Bloqueado",IF(COUNTIF('E4 — Execução'!$E388:$K388,"✔ Concluído")=7,"Concluído",IF(COUNTIF('E4 — Execução'!$E388:$K388,"✔ Concluído")+COUNTIF('E4 — Execução'!$E388:$K388,"🔄 Em andamento")&gt;0,"Em andamento","Não iniciado")))))))</f>
        <v/>
      </c>
      <c r="I406" s="229" t="str">
        <f>IF($B406="","",IF($H406&lt;&gt;"Concluído","Não iniciado",IF(COUNTIF(Lançamentos!$B$3:$B$1001,$B406)=0,"Bloqueado",IF('E5 — Validação'!$D388="","Bloqueado",IF(COUNTIF('E5 — Validação'!$E388:$I388,"⛔ Bloqueado")&gt;0,"Bloqueado",IF('E5 — Validação'!$I388="N/A","Bloqueado",IF(AND('E5 — Validação'!$E388="✔ Concluído",'E5 — Validação'!$F388="✔ Concluído",OR('E5 — Validação'!$G388="✔ Concluído",'E5 — Validação'!$G388="N/A"),'E5 — Validação'!$H388="✔ Concluído",'E5 — Validação'!$I388="✔ Concluído"),"Concluído",IF(COUNTIF('E5 — Validação'!$E388:$I388,"✔ Concluído")+COUNTIF('E5 — Validação'!$E388:$I388,"🔄 Em andamento")&gt;0,"Em andamento","Não iniciado"))))))))</f>
        <v/>
      </c>
      <c r="J406" s="229" t="str">
        <f>IF($B406="","",IF($I406&lt;&gt;"Concluído","Não iniciado",IF('E6 — Ajustes'!$N388="Não","N/A",IF(COUNTIF(Lançamentos!$B$3:$B$1001,$B406)=0,"Bloqueado",IF('E6 — Ajustes'!$D388="","Bloqueado",IF(COUNTIF('E6 — Ajustes'!$E388:$J388,"⛔ Bloqueado")&gt;0,"Bloqueado",IF(AND('E6 — Ajustes'!$E388="✔ Concluído",'E6 — Ajustes'!$F388="✔ Concluído",'E6 — Ajustes'!$G388="✔ Concluído",'E6 — Ajustes'!$H388="✔ Concluído",OR('E6 — Ajustes'!$I388="✔ Concluído",'E6 — Ajustes'!$I388="N/A"),'E6 — Ajustes'!$J388="✔ Concluído"),"Concluído",IF(COUNTIF('E6 — Ajustes'!$E388:$J388,"✔ Concluído")+COUNTIF('E6 — Ajustes'!$E388:$J388,"🔄 Em andamento")&gt;0,"Em andamento","Não iniciado"))))))))</f>
        <v/>
      </c>
      <c r="K406" s="229" t="str">
        <f>IF($B406="","",IF($I406&lt;&gt;"Concluído","Não iniciado",IF(AND($J406&lt;&gt;"Concluído",$J406&lt;&gt;"N/A"),"Não iniciado",IF(COUNTIF(Lançamentos!$B$3:$B$1001,$B406)=0,"Bloqueado",IF('E7 — Entrega'!$D388="","Bloqueado",IF(COUNTIF('E7 — Entrega'!$E388:$H388,"⛔ Bloqueado")&gt;0,"Bloqueado",IF(COUNTIF('E7 — Entrega'!$E388:$H388,"✔ Concluído")=4,"Concluído",IF(COUNTIF('E7 — Entrega'!$E388:$H388,"✔ Concluído")+COUNTIF('E7 — Entrega'!$E388:$H388,"🔄 Em andamento")&gt;0,"Em andamento","Não iniciado"))))))))</f>
        <v/>
      </c>
      <c r="L406" s="229" t="str">
        <f>IF($B406="","",IF($K406&lt;&gt;"Concluído","Não iniciado",IF(OR(COUNTIF('E08 — Estabilização Hypercare'!$E388:$J388,"⛔ Bloqueado")&gt;0,'E08 — Estabilização Hypercare'!$N388="⛔ Incidente Crítico — Encerramento Bloqueado",AND('E08 — Estabilização Hypercare'!$N388="🆕 Evolução Identificada — Nova Demanda Aberta",'E08 — Estabilização Hypercare'!$U388="")),"Bloqueado",IF(AND('E08 — Estabilização Hypercare'!$E388="✔ Concluído",'E08 — Estabilização Hypercare'!$F388="✔ Concluído",'E08 — Estabilização Hypercare'!$G388="✔ Concluído",OR('E08 — Estabilização Hypercare'!$H388="✔ Concluído",'E08 — Estabilização Hypercare'!$H388="N/A"),'E08 — Estabilização Hypercare'!$I388="✔ Concluído",'E08 — Estabilização Hypercare'!$J388="✔ Concluído",OR('E08 — Estabilização Hypercare'!$N388="✅ Estável — Demanda Encerrada",AND('E08 — Estabilização Hypercare'!$N388="🆕 Evolução Identificada — Nova Demanda Aberta",'E08 — Estabilização Hypercare'!$U388&lt;&gt;""))),"Concluído",IF(OR(COUNTIF('E08 — Estabilização Hypercare'!$E388:$J388,"✔ Concluído")&gt;0,COUNTIF('E08 — Estabilização Hypercare'!$E388:$J388,"🔄 Em andamento")&gt;0,'E08 — Estabilização Hypercare'!$N388&lt;&gt;""),"Em andamento","Não iniciado")))))</f>
        <v/>
      </c>
      <c r="M406" s="232" t="str" cm="1">
        <f t="array" ref="M406">IF(B406="","",_xlfn.IFS(E406&lt;&gt;"Concluído","E1 — Solicitação",F406&lt;&gt;"Concluído","E2 — Triagem",G406&lt;&gt;"Concluído","E3 — Levantamento ⚠",H406&lt;&gt;"Concluído","E4 — Execução",I406&lt;&gt;"Concluído","E5 — Validação ⚠",AND(J406&lt;&gt;"Concluído",J406&lt;&gt;"N/A"),"E6 — Ajustes",K406&lt;&gt;"Concluído","E7 — Entrega",L406&lt;&gt;"Concluído","E08 — Estabilização / Hypercare",TRUE,"✔ Fluxo concluído"))</f>
        <v/>
      </c>
      <c r="N406" s="233" t="str">
        <f t="shared" si="6"/>
        <v/>
      </c>
      <c r="O406" s="230"/>
    </row>
    <row r="407" spans="2:15" x14ac:dyDescent="0.35">
      <c r="B407" s="229" t="str">
        <f>IF(Lançamentos!$B384="","",Lançamentos!$B384)</f>
        <v/>
      </c>
      <c r="C407" s="231" t="str">
        <f>IF($B407="","",Lançamentos!$J384)</f>
        <v/>
      </c>
      <c r="D407" s="231" t="str">
        <f>IF($B407="","",Lançamentos!$H384)</f>
        <v/>
      </c>
      <c r="E407" s="229" t="str">
        <f>IF($B407="","",IF(COUNTIF(Lançamentos!$B$3:$B$1001,$B407)=0,"Bloqueado",IF(COUNTIF('E1 — Solicitação'!$E389:$L389,"⛔ Bloqueado")&gt;0,"Bloqueado",IF(COUNTIF('E1 — Solicitação'!$E389:$L389,"N/A")=8,"Bloqueado",IF(COUNTIF('E1 — Solicitação'!$E389:$L389,"✔ Concluído")+COUNTIF('E1 — Solicitação'!$E389:$L389,"N/A")=8,"Concluído",IF(COUNTIF('E1 — Solicitação'!$E389:$L389,"✔ Concluído")+COUNTIF('E1 — Solicitação'!$E389:$L389,"🔄 Em andamento")&gt;0,"Em andamento","Não iniciado"))))))</f>
        <v/>
      </c>
      <c r="F407" s="229" t="str">
        <f>IF($B407="","",IF($E407&lt;&gt;"Concluído","Não iniciado",IF(COUNTIF(Lançamentos!$B$3:$B$1001,$B407)=0,"Bloqueado",IF('E2 — Triagem'!$D389="","Bloqueado",IF(COUNTIF('E2 — Triagem'!$E389:$L389,"N/A")=8,"Bloqueado",IF(COUNTIF('E2 — Triagem'!$E389:$L389,"⛔ Bloqueado")&gt;0,"Bloqueado",IF(COUNTIF('E2 — Triagem'!$E389:$L389,"✔ Concluído")+COUNTIF('E2 — Triagem'!$E389:$L389,"N/A")=8,"Concluído",IF(COUNTIF('E2 — Triagem'!$E389:$L389,"✔ Concluído")+COUNTIF('E2 — Triagem'!$E389:$L389,"🔄 Em andamento")&gt;0,"Em andamento","Não iniciado"))))))))</f>
        <v/>
      </c>
      <c r="G407" s="229" t="str">
        <f>IF($B407="","",IF($F407&lt;&gt;"Concluído","Não iniciado",IF(COUNTIF(Lançamentos!$B$3:$B$1001,$B407)=0,"Bloqueado",IF('E3 — Levantamento'!$D389="","Bloqueado",IF(COUNTIF('E3 — Levantamento'!$E389:$I389,"⛔ Bloqueado")&gt;0,"Bloqueado",IF('E3 — Levantamento'!$I389="N/A","Bloqueado",IF(COUNTIF('E3 — Levantamento'!$E389:$I389,"✔ Concluído")=5,"Concluído",IF(COUNTIF('E3 — Levantamento'!$E389:$I389,"✔ Concluído")+COUNTIF('E3 — Levantamento'!$E389:$I389,"🔄 Em andamento")&gt;0,"Em andamento","Não iniciado"))))))))</f>
        <v/>
      </c>
      <c r="H407" s="229" t="str">
        <f>IF($B407="","",IF($G407&lt;&gt;"Concluído","Não iniciado",IF(COUNTIF(Lançamentos!$B$3:$B$1001,$B407)=0,"Bloqueado",IF('E4 — Execução'!$D389="","Bloqueado",IF(COUNTIF('E4 — Execução'!$E389:$K389,"⛔ Bloqueado")&gt;0,"Bloqueado",IF(COUNTIF('E4 — Execução'!$E389:$K389,"✔ Concluído")=7,"Concluído",IF(COUNTIF('E4 — Execução'!$E389:$K389,"✔ Concluído")+COUNTIF('E4 — Execução'!$E389:$K389,"🔄 Em andamento")&gt;0,"Em andamento","Não iniciado")))))))</f>
        <v/>
      </c>
      <c r="I407" s="229" t="str">
        <f>IF($B407="","",IF($H407&lt;&gt;"Concluído","Não iniciado",IF(COUNTIF(Lançamentos!$B$3:$B$1001,$B407)=0,"Bloqueado",IF('E5 — Validação'!$D389="","Bloqueado",IF(COUNTIF('E5 — Validação'!$E389:$I389,"⛔ Bloqueado")&gt;0,"Bloqueado",IF('E5 — Validação'!$I389="N/A","Bloqueado",IF(AND('E5 — Validação'!$E389="✔ Concluído",'E5 — Validação'!$F389="✔ Concluído",OR('E5 — Validação'!$G389="✔ Concluído",'E5 — Validação'!$G389="N/A"),'E5 — Validação'!$H389="✔ Concluído",'E5 — Validação'!$I389="✔ Concluído"),"Concluído",IF(COUNTIF('E5 — Validação'!$E389:$I389,"✔ Concluído")+COUNTIF('E5 — Validação'!$E389:$I389,"🔄 Em andamento")&gt;0,"Em andamento","Não iniciado"))))))))</f>
        <v/>
      </c>
      <c r="J407" s="229" t="str">
        <f>IF($B407="","",IF($I407&lt;&gt;"Concluído","Não iniciado",IF('E6 — Ajustes'!$N389="Não","N/A",IF(COUNTIF(Lançamentos!$B$3:$B$1001,$B407)=0,"Bloqueado",IF('E6 — Ajustes'!$D389="","Bloqueado",IF(COUNTIF('E6 — Ajustes'!$E389:$J389,"⛔ Bloqueado")&gt;0,"Bloqueado",IF(AND('E6 — Ajustes'!$E389="✔ Concluído",'E6 — Ajustes'!$F389="✔ Concluído",'E6 — Ajustes'!$G389="✔ Concluído",'E6 — Ajustes'!$H389="✔ Concluído",OR('E6 — Ajustes'!$I389="✔ Concluído",'E6 — Ajustes'!$I389="N/A"),'E6 — Ajustes'!$J389="✔ Concluído"),"Concluído",IF(COUNTIF('E6 — Ajustes'!$E389:$J389,"✔ Concluído")+COUNTIF('E6 — Ajustes'!$E389:$J389,"🔄 Em andamento")&gt;0,"Em andamento","Não iniciado"))))))))</f>
        <v/>
      </c>
      <c r="K407" s="229" t="str">
        <f>IF($B407="","",IF($I407&lt;&gt;"Concluído","Não iniciado",IF(AND($J407&lt;&gt;"Concluído",$J407&lt;&gt;"N/A"),"Não iniciado",IF(COUNTIF(Lançamentos!$B$3:$B$1001,$B407)=0,"Bloqueado",IF('E7 — Entrega'!$D389="","Bloqueado",IF(COUNTIF('E7 — Entrega'!$E389:$H389,"⛔ Bloqueado")&gt;0,"Bloqueado",IF(COUNTIF('E7 — Entrega'!$E389:$H389,"✔ Concluído")=4,"Concluído",IF(COUNTIF('E7 — Entrega'!$E389:$H389,"✔ Concluído")+COUNTIF('E7 — Entrega'!$E389:$H389,"🔄 Em andamento")&gt;0,"Em andamento","Não iniciado"))))))))</f>
        <v/>
      </c>
      <c r="L407" s="229" t="str">
        <f>IF($B407="","",IF($K407&lt;&gt;"Concluído","Não iniciado",IF(OR(COUNTIF('E08 — Estabilização Hypercare'!$E389:$J389,"⛔ Bloqueado")&gt;0,'E08 — Estabilização Hypercare'!$N389="⛔ Incidente Crítico — Encerramento Bloqueado",AND('E08 — Estabilização Hypercare'!$N389="🆕 Evolução Identificada — Nova Demanda Aberta",'E08 — Estabilização Hypercare'!$U389="")),"Bloqueado",IF(AND('E08 — Estabilização Hypercare'!$E389="✔ Concluído",'E08 — Estabilização Hypercare'!$F389="✔ Concluído",'E08 — Estabilização Hypercare'!$G389="✔ Concluído",OR('E08 — Estabilização Hypercare'!$H389="✔ Concluído",'E08 — Estabilização Hypercare'!$H389="N/A"),'E08 — Estabilização Hypercare'!$I389="✔ Concluído",'E08 — Estabilização Hypercare'!$J389="✔ Concluído",OR('E08 — Estabilização Hypercare'!$N389="✅ Estável — Demanda Encerrada",AND('E08 — Estabilização Hypercare'!$N389="🆕 Evolução Identificada — Nova Demanda Aberta",'E08 — Estabilização Hypercare'!$U389&lt;&gt;""))),"Concluído",IF(OR(COUNTIF('E08 — Estabilização Hypercare'!$E389:$J389,"✔ Concluído")&gt;0,COUNTIF('E08 — Estabilização Hypercare'!$E389:$J389,"🔄 Em andamento")&gt;0,'E08 — Estabilização Hypercare'!$N389&lt;&gt;""),"Em andamento","Não iniciado")))))</f>
        <v/>
      </c>
      <c r="M407" s="232" t="str" cm="1">
        <f t="array" ref="M407">IF(B407="","",_xlfn.IFS(E407&lt;&gt;"Concluído","E1 — Solicitação",F407&lt;&gt;"Concluído","E2 — Triagem",G407&lt;&gt;"Concluído","E3 — Levantamento ⚠",H407&lt;&gt;"Concluído","E4 — Execução",I407&lt;&gt;"Concluído","E5 — Validação ⚠",AND(J407&lt;&gt;"Concluído",J407&lt;&gt;"N/A"),"E6 — Ajustes",K407&lt;&gt;"Concluído","E7 — Entrega",L407&lt;&gt;"Concluído","E08 — Estabilização / Hypercare",TRUE,"✔ Fluxo concluído"))</f>
        <v/>
      </c>
      <c r="N407" s="233" t="str">
        <f t="shared" si="6"/>
        <v/>
      </c>
      <c r="O407" s="230"/>
    </row>
    <row r="408" spans="2:15" x14ac:dyDescent="0.35">
      <c r="B408" s="229" t="str">
        <f>IF(Lançamentos!$B385="","",Lançamentos!$B385)</f>
        <v/>
      </c>
      <c r="C408" s="231" t="str">
        <f>IF($B408="","",Lançamentos!$J385)</f>
        <v/>
      </c>
      <c r="D408" s="231" t="str">
        <f>IF($B408="","",Lançamentos!$H385)</f>
        <v/>
      </c>
      <c r="E408" s="229" t="str">
        <f>IF($B408="","",IF(COUNTIF(Lançamentos!$B$3:$B$1001,$B408)=0,"Bloqueado",IF(COUNTIF('E1 — Solicitação'!$E390:$L390,"⛔ Bloqueado")&gt;0,"Bloqueado",IF(COUNTIF('E1 — Solicitação'!$E390:$L390,"N/A")=8,"Bloqueado",IF(COUNTIF('E1 — Solicitação'!$E390:$L390,"✔ Concluído")+COUNTIF('E1 — Solicitação'!$E390:$L390,"N/A")=8,"Concluído",IF(COUNTIF('E1 — Solicitação'!$E390:$L390,"✔ Concluído")+COUNTIF('E1 — Solicitação'!$E390:$L390,"🔄 Em andamento")&gt;0,"Em andamento","Não iniciado"))))))</f>
        <v/>
      </c>
      <c r="F408" s="229" t="str">
        <f>IF($B408="","",IF($E408&lt;&gt;"Concluído","Não iniciado",IF(COUNTIF(Lançamentos!$B$3:$B$1001,$B408)=0,"Bloqueado",IF('E2 — Triagem'!$D390="","Bloqueado",IF(COUNTIF('E2 — Triagem'!$E390:$L390,"N/A")=8,"Bloqueado",IF(COUNTIF('E2 — Triagem'!$E390:$L390,"⛔ Bloqueado")&gt;0,"Bloqueado",IF(COUNTIF('E2 — Triagem'!$E390:$L390,"✔ Concluído")+COUNTIF('E2 — Triagem'!$E390:$L390,"N/A")=8,"Concluído",IF(COUNTIF('E2 — Triagem'!$E390:$L390,"✔ Concluído")+COUNTIF('E2 — Triagem'!$E390:$L390,"🔄 Em andamento")&gt;0,"Em andamento","Não iniciado"))))))))</f>
        <v/>
      </c>
      <c r="G408" s="229" t="str">
        <f>IF($B408="","",IF($F408&lt;&gt;"Concluído","Não iniciado",IF(COUNTIF(Lançamentos!$B$3:$B$1001,$B408)=0,"Bloqueado",IF('E3 — Levantamento'!$D390="","Bloqueado",IF(COUNTIF('E3 — Levantamento'!$E390:$I390,"⛔ Bloqueado")&gt;0,"Bloqueado",IF('E3 — Levantamento'!$I390="N/A","Bloqueado",IF(COUNTIF('E3 — Levantamento'!$E390:$I390,"✔ Concluído")=5,"Concluído",IF(COUNTIF('E3 — Levantamento'!$E390:$I390,"✔ Concluído")+COUNTIF('E3 — Levantamento'!$E390:$I390,"🔄 Em andamento")&gt;0,"Em andamento","Não iniciado"))))))))</f>
        <v/>
      </c>
      <c r="H408" s="229" t="str">
        <f>IF($B408="","",IF($G408&lt;&gt;"Concluído","Não iniciado",IF(COUNTIF(Lançamentos!$B$3:$B$1001,$B408)=0,"Bloqueado",IF('E4 — Execução'!$D390="","Bloqueado",IF(COUNTIF('E4 — Execução'!$E390:$K390,"⛔ Bloqueado")&gt;0,"Bloqueado",IF(COUNTIF('E4 — Execução'!$E390:$K390,"✔ Concluído")=7,"Concluído",IF(COUNTIF('E4 — Execução'!$E390:$K390,"✔ Concluído")+COUNTIF('E4 — Execução'!$E390:$K390,"🔄 Em andamento")&gt;0,"Em andamento","Não iniciado")))))))</f>
        <v/>
      </c>
      <c r="I408" s="229" t="str">
        <f>IF($B408="","",IF($H408&lt;&gt;"Concluído","Não iniciado",IF(COUNTIF(Lançamentos!$B$3:$B$1001,$B408)=0,"Bloqueado",IF('E5 — Validação'!$D390="","Bloqueado",IF(COUNTIF('E5 — Validação'!$E390:$I390,"⛔ Bloqueado")&gt;0,"Bloqueado",IF('E5 — Validação'!$I390="N/A","Bloqueado",IF(AND('E5 — Validação'!$E390="✔ Concluído",'E5 — Validação'!$F390="✔ Concluído",OR('E5 — Validação'!$G390="✔ Concluído",'E5 — Validação'!$G390="N/A"),'E5 — Validação'!$H390="✔ Concluído",'E5 — Validação'!$I390="✔ Concluído"),"Concluído",IF(COUNTIF('E5 — Validação'!$E390:$I390,"✔ Concluído")+COUNTIF('E5 — Validação'!$E390:$I390,"🔄 Em andamento")&gt;0,"Em andamento","Não iniciado"))))))))</f>
        <v/>
      </c>
      <c r="J408" s="229" t="str">
        <f>IF($B408="","",IF($I408&lt;&gt;"Concluído","Não iniciado",IF('E6 — Ajustes'!$N390="Não","N/A",IF(COUNTIF(Lançamentos!$B$3:$B$1001,$B408)=0,"Bloqueado",IF('E6 — Ajustes'!$D390="","Bloqueado",IF(COUNTIF('E6 — Ajustes'!$E390:$J390,"⛔ Bloqueado")&gt;0,"Bloqueado",IF(AND('E6 — Ajustes'!$E390="✔ Concluído",'E6 — Ajustes'!$F390="✔ Concluído",'E6 — Ajustes'!$G390="✔ Concluído",'E6 — Ajustes'!$H390="✔ Concluído",OR('E6 — Ajustes'!$I390="✔ Concluído",'E6 — Ajustes'!$I390="N/A"),'E6 — Ajustes'!$J390="✔ Concluído"),"Concluído",IF(COUNTIF('E6 — Ajustes'!$E390:$J390,"✔ Concluído")+COUNTIF('E6 — Ajustes'!$E390:$J390,"🔄 Em andamento")&gt;0,"Em andamento","Não iniciado"))))))))</f>
        <v/>
      </c>
      <c r="K408" s="229" t="str">
        <f>IF($B408="","",IF($I408&lt;&gt;"Concluído","Não iniciado",IF(AND($J408&lt;&gt;"Concluído",$J408&lt;&gt;"N/A"),"Não iniciado",IF(COUNTIF(Lançamentos!$B$3:$B$1001,$B408)=0,"Bloqueado",IF('E7 — Entrega'!$D390="","Bloqueado",IF(COUNTIF('E7 — Entrega'!$E390:$H390,"⛔ Bloqueado")&gt;0,"Bloqueado",IF(COUNTIF('E7 — Entrega'!$E390:$H390,"✔ Concluído")=4,"Concluído",IF(COUNTIF('E7 — Entrega'!$E390:$H390,"✔ Concluído")+COUNTIF('E7 — Entrega'!$E390:$H390,"🔄 Em andamento")&gt;0,"Em andamento","Não iniciado"))))))))</f>
        <v/>
      </c>
      <c r="L408" s="229" t="str">
        <f>IF($B408="","",IF($K408&lt;&gt;"Concluído","Não iniciado",IF(OR(COUNTIF('E08 — Estabilização Hypercare'!$E390:$J390,"⛔ Bloqueado")&gt;0,'E08 — Estabilização Hypercare'!$N390="⛔ Incidente Crítico — Encerramento Bloqueado",AND('E08 — Estabilização Hypercare'!$N390="🆕 Evolução Identificada — Nova Demanda Aberta",'E08 — Estabilização Hypercare'!$U390="")),"Bloqueado",IF(AND('E08 — Estabilização Hypercare'!$E390="✔ Concluído",'E08 — Estabilização Hypercare'!$F390="✔ Concluído",'E08 — Estabilização Hypercare'!$G390="✔ Concluído",OR('E08 — Estabilização Hypercare'!$H390="✔ Concluído",'E08 — Estabilização Hypercare'!$H390="N/A"),'E08 — Estabilização Hypercare'!$I390="✔ Concluído",'E08 — Estabilização Hypercare'!$J390="✔ Concluído",OR('E08 — Estabilização Hypercare'!$N390="✅ Estável — Demanda Encerrada",AND('E08 — Estabilização Hypercare'!$N390="🆕 Evolução Identificada — Nova Demanda Aberta",'E08 — Estabilização Hypercare'!$U390&lt;&gt;""))),"Concluído",IF(OR(COUNTIF('E08 — Estabilização Hypercare'!$E390:$J390,"✔ Concluído")&gt;0,COUNTIF('E08 — Estabilização Hypercare'!$E390:$J390,"🔄 Em andamento")&gt;0,'E08 — Estabilização Hypercare'!$N390&lt;&gt;""),"Em andamento","Não iniciado")))))</f>
        <v/>
      </c>
      <c r="M408" s="232" t="str" cm="1">
        <f t="array" ref="M408">IF(B408="","",_xlfn.IFS(E408&lt;&gt;"Concluído","E1 — Solicitação",F408&lt;&gt;"Concluído","E2 — Triagem",G408&lt;&gt;"Concluído","E3 — Levantamento ⚠",H408&lt;&gt;"Concluído","E4 — Execução",I408&lt;&gt;"Concluído","E5 — Validação ⚠",AND(J408&lt;&gt;"Concluído",J408&lt;&gt;"N/A"),"E6 — Ajustes",K408&lt;&gt;"Concluído","E7 — Entrega",L408&lt;&gt;"Concluído","E08 — Estabilização / Hypercare",TRUE,"✔ Fluxo concluído"))</f>
        <v/>
      </c>
      <c r="N408" s="233" t="str">
        <f t="shared" si="6"/>
        <v/>
      </c>
      <c r="O408" s="230"/>
    </row>
    <row r="409" spans="2:15" x14ac:dyDescent="0.35">
      <c r="B409" s="229" t="str">
        <f>IF(Lançamentos!$B386="","",Lançamentos!$B386)</f>
        <v/>
      </c>
      <c r="C409" s="231" t="str">
        <f>IF($B409="","",Lançamentos!$J386)</f>
        <v/>
      </c>
      <c r="D409" s="231" t="str">
        <f>IF($B409="","",Lançamentos!$H386)</f>
        <v/>
      </c>
      <c r="E409" s="229" t="str">
        <f>IF($B409="","",IF(COUNTIF(Lançamentos!$B$3:$B$1001,$B409)=0,"Bloqueado",IF(COUNTIF('E1 — Solicitação'!$E391:$L391,"⛔ Bloqueado")&gt;0,"Bloqueado",IF(COUNTIF('E1 — Solicitação'!$E391:$L391,"N/A")=8,"Bloqueado",IF(COUNTIF('E1 — Solicitação'!$E391:$L391,"✔ Concluído")+COUNTIF('E1 — Solicitação'!$E391:$L391,"N/A")=8,"Concluído",IF(COUNTIF('E1 — Solicitação'!$E391:$L391,"✔ Concluído")+COUNTIF('E1 — Solicitação'!$E391:$L391,"🔄 Em andamento")&gt;0,"Em andamento","Não iniciado"))))))</f>
        <v/>
      </c>
      <c r="F409" s="229" t="str">
        <f>IF($B409="","",IF($E409&lt;&gt;"Concluído","Não iniciado",IF(COUNTIF(Lançamentos!$B$3:$B$1001,$B409)=0,"Bloqueado",IF('E2 — Triagem'!$D391="","Bloqueado",IF(COUNTIF('E2 — Triagem'!$E391:$L391,"N/A")=8,"Bloqueado",IF(COUNTIF('E2 — Triagem'!$E391:$L391,"⛔ Bloqueado")&gt;0,"Bloqueado",IF(COUNTIF('E2 — Triagem'!$E391:$L391,"✔ Concluído")+COUNTIF('E2 — Triagem'!$E391:$L391,"N/A")=8,"Concluído",IF(COUNTIF('E2 — Triagem'!$E391:$L391,"✔ Concluído")+COUNTIF('E2 — Triagem'!$E391:$L391,"🔄 Em andamento")&gt;0,"Em andamento","Não iniciado"))))))))</f>
        <v/>
      </c>
      <c r="G409" s="229" t="str">
        <f>IF($B409="","",IF($F409&lt;&gt;"Concluído","Não iniciado",IF(COUNTIF(Lançamentos!$B$3:$B$1001,$B409)=0,"Bloqueado",IF('E3 — Levantamento'!$D391="","Bloqueado",IF(COUNTIF('E3 — Levantamento'!$E391:$I391,"⛔ Bloqueado")&gt;0,"Bloqueado",IF('E3 — Levantamento'!$I391="N/A","Bloqueado",IF(COUNTIF('E3 — Levantamento'!$E391:$I391,"✔ Concluído")=5,"Concluído",IF(COUNTIF('E3 — Levantamento'!$E391:$I391,"✔ Concluído")+COUNTIF('E3 — Levantamento'!$E391:$I391,"🔄 Em andamento")&gt;0,"Em andamento","Não iniciado"))))))))</f>
        <v/>
      </c>
      <c r="H409" s="229" t="str">
        <f>IF($B409="","",IF($G409&lt;&gt;"Concluído","Não iniciado",IF(COUNTIF(Lançamentos!$B$3:$B$1001,$B409)=0,"Bloqueado",IF('E4 — Execução'!$D391="","Bloqueado",IF(COUNTIF('E4 — Execução'!$E391:$K391,"⛔ Bloqueado")&gt;0,"Bloqueado",IF(COUNTIF('E4 — Execução'!$E391:$K391,"✔ Concluído")=7,"Concluído",IF(COUNTIF('E4 — Execução'!$E391:$K391,"✔ Concluído")+COUNTIF('E4 — Execução'!$E391:$K391,"🔄 Em andamento")&gt;0,"Em andamento","Não iniciado")))))))</f>
        <v/>
      </c>
      <c r="I409" s="229" t="str">
        <f>IF($B409="","",IF($H409&lt;&gt;"Concluído","Não iniciado",IF(COUNTIF(Lançamentos!$B$3:$B$1001,$B409)=0,"Bloqueado",IF('E5 — Validação'!$D391="","Bloqueado",IF(COUNTIF('E5 — Validação'!$E391:$I391,"⛔ Bloqueado")&gt;0,"Bloqueado",IF('E5 — Validação'!$I391="N/A","Bloqueado",IF(AND('E5 — Validação'!$E391="✔ Concluído",'E5 — Validação'!$F391="✔ Concluído",OR('E5 — Validação'!$G391="✔ Concluído",'E5 — Validação'!$G391="N/A"),'E5 — Validação'!$H391="✔ Concluído",'E5 — Validação'!$I391="✔ Concluído"),"Concluído",IF(COUNTIF('E5 — Validação'!$E391:$I391,"✔ Concluído")+COUNTIF('E5 — Validação'!$E391:$I391,"🔄 Em andamento")&gt;0,"Em andamento","Não iniciado"))))))))</f>
        <v/>
      </c>
      <c r="J409" s="229" t="str">
        <f>IF($B409="","",IF($I409&lt;&gt;"Concluído","Não iniciado",IF('E6 — Ajustes'!$N391="Não","N/A",IF(COUNTIF(Lançamentos!$B$3:$B$1001,$B409)=0,"Bloqueado",IF('E6 — Ajustes'!$D391="","Bloqueado",IF(COUNTIF('E6 — Ajustes'!$E391:$J391,"⛔ Bloqueado")&gt;0,"Bloqueado",IF(AND('E6 — Ajustes'!$E391="✔ Concluído",'E6 — Ajustes'!$F391="✔ Concluído",'E6 — Ajustes'!$G391="✔ Concluído",'E6 — Ajustes'!$H391="✔ Concluído",OR('E6 — Ajustes'!$I391="✔ Concluído",'E6 — Ajustes'!$I391="N/A"),'E6 — Ajustes'!$J391="✔ Concluído"),"Concluído",IF(COUNTIF('E6 — Ajustes'!$E391:$J391,"✔ Concluído")+COUNTIF('E6 — Ajustes'!$E391:$J391,"🔄 Em andamento")&gt;0,"Em andamento","Não iniciado"))))))))</f>
        <v/>
      </c>
      <c r="K409" s="229" t="str">
        <f>IF($B409="","",IF($I409&lt;&gt;"Concluído","Não iniciado",IF(AND($J409&lt;&gt;"Concluído",$J409&lt;&gt;"N/A"),"Não iniciado",IF(COUNTIF(Lançamentos!$B$3:$B$1001,$B409)=0,"Bloqueado",IF('E7 — Entrega'!$D391="","Bloqueado",IF(COUNTIF('E7 — Entrega'!$E391:$H391,"⛔ Bloqueado")&gt;0,"Bloqueado",IF(COUNTIF('E7 — Entrega'!$E391:$H391,"✔ Concluído")=4,"Concluído",IF(COUNTIF('E7 — Entrega'!$E391:$H391,"✔ Concluído")+COUNTIF('E7 — Entrega'!$E391:$H391,"🔄 Em andamento")&gt;0,"Em andamento","Não iniciado"))))))))</f>
        <v/>
      </c>
      <c r="L409" s="229" t="str">
        <f>IF($B409="","",IF($K409&lt;&gt;"Concluído","Não iniciado",IF(OR(COUNTIF('E08 — Estabilização Hypercare'!$E391:$J391,"⛔ Bloqueado")&gt;0,'E08 — Estabilização Hypercare'!$N391="⛔ Incidente Crítico — Encerramento Bloqueado",AND('E08 — Estabilização Hypercare'!$N391="🆕 Evolução Identificada — Nova Demanda Aberta",'E08 — Estabilização Hypercare'!$U391="")),"Bloqueado",IF(AND('E08 — Estabilização Hypercare'!$E391="✔ Concluído",'E08 — Estabilização Hypercare'!$F391="✔ Concluído",'E08 — Estabilização Hypercare'!$G391="✔ Concluído",OR('E08 — Estabilização Hypercare'!$H391="✔ Concluído",'E08 — Estabilização Hypercare'!$H391="N/A"),'E08 — Estabilização Hypercare'!$I391="✔ Concluído",'E08 — Estabilização Hypercare'!$J391="✔ Concluído",OR('E08 — Estabilização Hypercare'!$N391="✅ Estável — Demanda Encerrada",AND('E08 — Estabilização Hypercare'!$N391="🆕 Evolução Identificada — Nova Demanda Aberta",'E08 — Estabilização Hypercare'!$U391&lt;&gt;""))),"Concluído",IF(OR(COUNTIF('E08 — Estabilização Hypercare'!$E391:$J391,"✔ Concluído")&gt;0,COUNTIF('E08 — Estabilização Hypercare'!$E391:$J391,"🔄 Em andamento")&gt;0,'E08 — Estabilização Hypercare'!$N391&lt;&gt;""),"Em andamento","Não iniciado")))))</f>
        <v/>
      </c>
      <c r="M409" s="232" t="str" cm="1">
        <f t="array" ref="M409">IF(B409="","",_xlfn.IFS(E409&lt;&gt;"Concluído","E1 — Solicitação",F409&lt;&gt;"Concluído","E2 — Triagem",G409&lt;&gt;"Concluído","E3 — Levantamento ⚠",H409&lt;&gt;"Concluído","E4 — Execução",I409&lt;&gt;"Concluído","E5 — Validação ⚠",AND(J409&lt;&gt;"Concluído",J409&lt;&gt;"N/A"),"E6 — Ajustes",K409&lt;&gt;"Concluído","E7 — Entrega",L409&lt;&gt;"Concluído","E08 — Estabilização / Hypercare",TRUE,"✔ Fluxo concluído"))</f>
        <v/>
      </c>
      <c r="N409" s="233" t="str">
        <f t="shared" si="6"/>
        <v/>
      </c>
      <c r="O409" s="230"/>
    </row>
    <row r="410" spans="2:15" x14ac:dyDescent="0.35">
      <c r="B410" s="229" t="str">
        <f>IF(Lançamentos!$B387="","",Lançamentos!$B387)</f>
        <v/>
      </c>
      <c r="C410" s="231" t="str">
        <f>IF($B410="","",Lançamentos!$J387)</f>
        <v/>
      </c>
      <c r="D410" s="231" t="str">
        <f>IF($B410="","",Lançamentos!$H387)</f>
        <v/>
      </c>
      <c r="E410" s="229" t="str">
        <f>IF($B410="","",IF(COUNTIF(Lançamentos!$B$3:$B$1001,$B410)=0,"Bloqueado",IF(COUNTIF('E1 — Solicitação'!$E392:$L392,"⛔ Bloqueado")&gt;0,"Bloqueado",IF(COUNTIF('E1 — Solicitação'!$E392:$L392,"N/A")=8,"Bloqueado",IF(COUNTIF('E1 — Solicitação'!$E392:$L392,"✔ Concluído")+COUNTIF('E1 — Solicitação'!$E392:$L392,"N/A")=8,"Concluído",IF(COUNTIF('E1 — Solicitação'!$E392:$L392,"✔ Concluído")+COUNTIF('E1 — Solicitação'!$E392:$L392,"🔄 Em andamento")&gt;0,"Em andamento","Não iniciado"))))))</f>
        <v/>
      </c>
      <c r="F410" s="229" t="str">
        <f>IF($B410="","",IF($E410&lt;&gt;"Concluído","Não iniciado",IF(COUNTIF(Lançamentos!$B$3:$B$1001,$B410)=0,"Bloqueado",IF('E2 — Triagem'!$D392="","Bloqueado",IF(COUNTIF('E2 — Triagem'!$E392:$L392,"N/A")=8,"Bloqueado",IF(COUNTIF('E2 — Triagem'!$E392:$L392,"⛔ Bloqueado")&gt;0,"Bloqueado",IF(COUNTIF('E2 — Triagem'!$E392:$L392,"✔ Concluído")+COUNTIF('E2 — Triagem'!$E392:$L392,"N/A")=8,"Concluído",IF(COUNTIF('E2 — Triagem'!$E392:$L392,"✔ Concluído")+COUNTIF('E2 — Triagem'!$E392:$L392,"🔄 Em andamento")&gt;0,"Em andamento","Não iniciado"))))))))</f>
        <v/>
      </c>
      <c r="G410" s="229" t="str">
        <f>IF($B410="","",IF($F410&lt;&gt;"Concluído","Não iniciado",IF(COUNTIF(Lançamentos!$B$3:$B$1001,$B410)=0,"Bloqueado",IF('E3 — Levantamento'!$D392="","Bloqueado",IF(COUNTIF('E3 — Levantamento'!$E392:$I392,"⛔ Bloqueado")&gt;0,"Bloqueado",IF('E3 — Levantamento'!$I392="N/A","Bloqueado",IF(COUNTIF('E3 — Levantamento'!$E392:$I392,"✔ Concluído")=5,"Concluído",IF(COUNTIF('E3 — Levantamento'!$E392:$I392,"✔ Concluído")+COUNTIF('E3 — Levantamento'!$E392:$I392,"🔄 Em andamento")&gt;0,"Em andamento","Não iniciado"))))))))</f>
        <v/>
      </c>
      <c r="H410" s="229" t="str">
        <f>IF($B410="","",IF($G410&lt;&gt;"Concluído","Não iniciado",IF(COUNTIF(Lançamentos!$B$3:$B$1001,$B410)=0,"Bloqueado",IF('E4 — Execução'!$D392="","Bloqueado",IF(COUNTIF('E4 — Execução'!$E392:$K392,"⛔ Bloqueado")&gt;0,"Bloqueado",IF(COUNTIF('E4 — Execução'!$E392:$K392,"✔ Concluído")=7,"Concluído",IF(COUNTIF('E4 — Execução'!$E392:$K392,"✔ Concluído")+COUNTIF('E4 — Execução'!$E392:$K392,"🔄 Em andamento")&gt;0,"Em andamento","Não iniciado")))))))</f>
        <v/>
      </c>
      <c r="I410" s="229" t="str">
        <f>IF($B410="","",IF($H410&lt;&gt;"Concluído","Não iniciado",IF(COUNTIF(Lançamentos!$B$3:$B$1001,$B410)=0,"Bloqueado",IF('E5 — Validação'!$D392="","Bloqueado",IF(COUNTIF('E5 — Validação'!$E392:$I392,"⛔ Bloqueado")&gt;0,"Bloqueado",IF('E5 — Validação'!$I392="N/A","Bloqueado",IF(AND('E5 — Validação'!$E392="✔ Concluído",'E5 — Validação'!$F392="✔ Concluído",OR('E5 — Validação'!$G392="✔ Concluído",'E5 — Validação'!$G392="N/A"),'E5 — Validação'!$H392="✔ Concluído",'E5 — Validação'!$I392="✔ Concluído"),"Concluído",IF(COUNTIF('E5 — Validação'!$E392:$I392,"✔ Concluído")+COUNTIF('E5 — Validação'!$E392:$I392,"🔄 Em andamento")&gt;0,"Em andamento","Não iniciado"))))))))</f>
        <v/>
      </c>
      <c r="J410" s="229" t="str">
        <f>IF($B410="","",IF($I410&lt;&gt;"Concluído","Não iniciado",IF('E6 — Ajustes'!$N392="Não","N/A",IF(COUNTIF(Lançamentos!$B$3:$B$1001,$B410)=0,"Bloqueado",IF('E6 — Ajustes'!$D392="","Bloqueado",IF(COUNTIF('E6 — Ajustes'!$E392:$J392,"⛔ Bloqueado")&gt;0,"Bloqueado",IF(AND('E6 — Ajustes'!$E392="✔ Concluído",'E6 — Ajustes'!$F392="✔ Concluído",'E6 — Ajustes'!$G392="✔ Concluído",'E6 — Ajustes'!$H392="✔ Concluído",OR('E6 — Ajustes'!$I392="✔ Concluído",'E6 — Ajustes'!$I392="N/A"),'E6 — Ajustes'!$J392="✔ Concluído"),"Concluído",IF(COUNTIF('E6 — Ajustes'!$E392:$J392,"✔ Concluído")+COUNTIF('E6 — Ajustes'!$E392:$J392,"🔄 Em andamento")&gt;0,"Em andamento","Não iniciado"))))))))</f>
        <v/>
      </c>
      <c r="K410" s="229" t="str">
        <f>IF($B410="","",IF($I410&lt;&gt;"Concluído","Não iniciado",IF(AND($J410&lt;&gt;"Concluído",$J410&lt;&gt;"N/A"),"Não iniciado",IF(COUNTIF(Lançamentos!$B$3:$B$1001,$B410)=0,"Bloqueado",IF('E7 — Entrega'!$D392="","Bloqueado",IF(COUNTIF('E7 — Entrega'!$E392:$H392,"⛔ Bloqueado")&gt;0,"Bloqueado",IF(COUNTIF('E7 — Entrega'!$E392:$H392,"✔ Concluído")=4,"Concluído",IF(COUNTIF('E7 — Entrega'!$E392:$H392,"✔ Concluído")+COUNTIF('E7 — Entrega'!$E392:$H392,"🔄 Em andamento")&gt;0,"Em andamento","Não iniciado"))))))))</f>
        <v/>
      </c>
      <c r="L410" s="229" t="str">
        <f>IF($B410="","",IF($K410&lt;&gt;"Concluído","Não iniciado",IF(OR(COUNTIF('E08 — Estabilização Hypercare'!$E392:$J392,"⛔ Bloqueado")&gt;0,'E08 — Estabilização Hypercare'!$N392="⛔ Incidente Crítico — Encerramento Bloqueado",AND('E08 — Estabilização Hypercare'!$N392="🆕 Evolução Identificada — Nova Demanda Aberta",'E08 — Estabilização Hypercare'!$U392="")),"Bloqueado",IF(AND('E08 — Estabilização Hypercare'!$E392="✔ Concluído",'E08 — Estabilização Hypercare'!$F392="✔ Concluído",'E08 — Estabilização Hypercare'!$G392="✔ Concluído",OR('E08 — Estabilização Hypercare'!$H392="✔ Concluído",'E08 — Estabilização Hypercare'!$H392="N/A"),'E08 — Estabilização Hypercare'!$I392="✔ Concluído",'E08 — Estabilização Hypercare'!$J392="✔ Concluído",OR('E08 — Estabilização Hypercare'!$N392="✅ Estável — Demanda Encerrada",AND('E08 — Estabilização Hypercare'!$N392="🆕 Evolução Identificada — Nova Demanda Aberta",'E08 — Estabilização Hypercare'!$U392&lt;&gt;""))),"Concluído",IF(OR(COUNTIF('E08 — Estabilização Hypercare'!$E392:$J392,"✔ Concluído")&gt;0,COUNTIF('E08 — Estabilização Hypercare'!$E392:$J392,"🔄 Em andamento")&gt;0,'E08 — Estabilização Hypercare'!$N392&lt;&gt;""),"Em andamento","Não iniciado")))))</f>
        <v/>
      </c>
      <c r="M410" s="232" t="str" cm="1">
        <f t="array" ref="M410">IF(B410="","",_xlfn.IFS(E410&lt;&gt;"Concluído","E1 — Solicitação",F410&lt;&gt;"Concluído","E2 — Triagem",G410&lt;&gt;"Concluído","E3 — Levantamento ⚠",H410&lt;&gt;"Concluído","E4 — Execução",I410&lt;&gt;"Concluído","E5 — Validação ⚠",AND(J410&lt;&gt;"Concluído",J410&lt;&gt;"N/A"),"E6 — Ajustes",K410&lt;&gt;"Concluído","E7 — Entrega",L410&lt;&gt;"Concluído","E08 — Estabilização / Hypercare",TRUE,"✔ Fluxo concluído"))</f>
        <v/>
      </c>
      <c r="N410" s="233" t="str">
        <f t="shared" si="6"/>
        <v/>
      </c>
      <c r="O410" s="230"/>
    </row>
    <row r="411" spans="2:15" x14ac:dyDescent="0.35">
      <c r="B411" s="229" t="str">
        <f>IF(Lançamentos!$B388="","",Lançamentos!$B388)</f>
        <v/>
      </c>
      <c r="C411" s="231" t="str">
        <f>IF($B411="","",Lançamentos!$J388)</f>
        <v/>
      </c>
      <c r="D411" s="231" t="str">
        <f>IF($B411="","",Lançamentos!$H388)</f>
        <v/>
      </c>
      <c r="E411" s="229" t="str">
        <f>IF($B411="","",IF(COUNTIF(Lançamentos!$B$3:$B$1001,$B411)=0,"Bloqueado",IF(COUNTIF('E1 — Solicitação'!$E393:$L393,"⛔ Bloqueado")&gt;0,"Bloqueado",IF(COUNTIF('E1 — Solicitação'!$E393:$L393,"N/A")=8,"Bloqueado",IF(COUNTIF('E1 — Solicitação'!$E393:$L393,"✔ Concluído")+COUNTIF('E1 — Solicitação'!$E393:$L393,"N/A")=8,"Concluído",IF(COUNTIF('E1 — Solicitação'!$E393:$L393,"✔ Concluído")+COUNTIF('E1 — Solicitação'!$E393:$L393,"🔄 Em andamento")&gt;0,"Em andamento","Não iniciado"))))))</f>
        <v/>
      </c>
      <c r="F411" s="229" t="str">
        <f>IF($B411="","",IF($E411&lt;&gt;"Concluído","Não iniciado",IF(COUNTIF(Lançamentos!$B$3:$B$1001,$B411)=0,"Bloqueado",IF('E2 — Triagem'!$D393="","Bloqueado",IF(COUNTIF('E2 — Triagem'!$E393:$L393,"N/A")=8,"Bloqueado",IF(COUNTIF('E2 — Triagem'!$E393:$L393,"⛔ Bloqueado")&gt;0,"Bloqueado",IF(COUNTIF('E2 — Triagem'!$E393:$L393,"✔ Concluído")+COUNTIF('E2 — Triagem'!$E393:$L393,"N/A")=8,"Concluído",IF(COUNTIF('E2 — Triagem'!$E393:$L393,"✔ Concluído")+COUNTIF('E2 — Triagem'!$E393:$L393,"🔄 Em andamento")&gt;0,"Em andamento","Não iniciado"))))))))</f>
        <v/>
      </c>
      <c r="G411" s="229" t="str">
        <f>IF($B411="","",IF($F411&lt;&gt;"Concluído","Não iniciado",IF(COUNTIF(Lançamentos!$B$3:$B$1001,$B411)=0,"Bloqueado",IF('E3 — Levantamento'!$D393="","Bloqueado",IF(COUNTIF('E3 — Levantamento'!$E393:$I393,"⛔ Bloqueado")&gt;0,"Bloqueado",IF('E3 — Levantamento'!$I393="N/A","Bloqueado",IF(COUNTIF('E3 — Levantamento'!$E393:$I393,"✔ Concluído")=5,"Concluído",IF(COUNTIF('E3 — Levantamento'!$E393:$I393,"✔ Concluído")+COUNTIF('E3 — Levantamento'!$E393:$I393,"🔄 Em andamento")&gt;0,"Em andamento","Não iniciado"))))))))</f>
        <v/>
      </c>
      <c r="H411" s="229" t="str">
        <f>IF($B411="","",IF($G411&lt;&gt;"Concluído","Não iniciado",IF(COUNTIF(Lançamentos!$B$3:$B$1001,$B411)=0,"Bloqueado",IF('E4 — Execução'!$D393="","Bloqueado",IF(COUNTIF('E4 — Execução'!$E393:$K393,"⛔ Bloqueado")&gt;0,"Bloqueado",IF(COUNTIF('E4 — Execução'!$E393:$K393,"✔ Concluído")=7,"Concluído",IF(COUNTIF('E4 — Execução'!$E393:$K393,"✔ Concluído")+COUNTIF('E4 — Execução'!$E393:$K393,"🔄 Em andamento")&gt;0,"Em andamento","Não iniciado")))))))</f>
        <v/>
      </c>
      <c r="I411" s="229" t="str">
        <f>IF($B411="","",IF($H411&lt;&gt;"Concluído","Não iniciado",IF(COUNTIF(Lançamentos!$B$3:$B$1001,$B411)=0,"Bloqueado",IF('E5 — Validação'!$D393="","Bloqueado",IF(COUNTIF('E5 — Validação'!$E393:$I393,"⛔ Bloqueado")&gt;0,"Bloqueado",IF('E5 — Validação'!$I393="N/A","Bloqueado",IF(AND('E5 — Validação'!$E393="✔ Concluído",'E5 — Validação'!$F393="✔ Concluído",OR('E5 — Validação'!$G393="✔ Concluído",'E5 — Validação'!$G393="N/A"),'E5 — Validação'!$H393="✔ Concluído",'E5 — Validação'!$I393="✔ Concluído"),"Concluído",IF(COUNTIF('E5 — Validação'!$E393:$I393,"✔ Concluído")+COUNTIF('E5 — Validação'!$E393:$I393,"🔄 Em andamento")&gt;0,"Em andamento","Não iniciado"))))))))</f>
        <v/>
      </c>
      <c r="J411" s="229" t="str">
        <f>IF($B411="","",IF($I411&lt;&gt;"Concluído","Não iniciado",IF('E6 — Ajustes'!$N393="Não","N/A",IF(COUNTIF(Lançamentos!$B$3:$B$1001,$B411)=0,"Bloqueado",IF('E6 — Ajustes'!$D393="","Bloqueado",IF(COUNTIF('E6 — Ajustes'!$E393:$J393,"⛔ Bloqueado")&gt;0,"Bloqueado",IF(AND('E6 — Ajustes'!$E393="✔ Concluído",'E6 — Ajustes'!$F393="✔ Concluído",'E6 — Ajustes'!$G393="✔ Concluído",'E6 — Ajustes'!$H393="✔ Concluído",OR('E6 — Ajustes'!$I393="✔ Concluído",'E6 — Ajustes'!$I393="N/A"),'E6 — Ajustes'!$J393="✔ Concluído"),"Concluído",IF(COUNTIF('E6 — Ajustes'!$E393:$J393,"✔ Concluído")+COUNTIF('E6 — Ajustes'!$E393:$J393,"🔄 Em andamento")&gt;0,"Em andamento","Não iniciado"))))))))</f>
        <v/>
      </c>
      <c r="K411" s="229" t="str">
        <f>IF($B411="","",IF($I411&lt;&gt;"Concluído","Não iniciado",IF(AND($J411&lt;&gt;"Concluído",$J411&lt;&gt;"N/A"),"Não iniciado",IF(COUNTIF(Lançamentos!$B$3:$B$1001,$B411)=0,"Bloqueado",IF('E7 — Entrega'!$D393="","Bloqueado",IF(COUNTIF('E7 — Entrega'!$E393:$H393,"⛔ Bloqueado")&gt;0,"Bloqueado",IF(COUNTIF('E7 — Entrega'!$E393:$H393,"✔ Concluído")=4,"Concluído",IF(COUNTIF('E7 — Entrega'!$E393:$H393,"✔ Concluído")+COUNTIF('E7 — Entrega'!$E393:$H393,"🔄 Em andamento")&gt;0,"Em andamento","Não iniciado"))))))))</f>
        <v/>
      </c>
      <c r="L411" s="229" t="str">
        <f>IF($B411="","",IF($K411&lt;&gt;"Concluído","Não iniciado",IF(OR(COUNTIF('E08 — Estabilização Hypercare'!$E393:$J393,"⛔ Bloqueado")&gt;0,'E08 — Estabilização Hypercare'!$N393="⛔ Incidente Crítico — Encerramento Bloqueado",AND('E08 — Estabilização Hypercare'!$N393="🆕 Evolução Identificada — Nova Demanda Aberta",'E08 — Estabilização Hypercare'!$U393="")),"Bloqueado",IF(AND('E08 — Estabilização Hypercare'!$E393="✔ Concluído",'E08 — Estabilização Hypercare'!$F393="✔ Concluído",'E08 — Estabilização Hypercare'!$G393="✔ Concluído",OR('E08 — Estabilização Hypercare'!$H393="✔ Concluído",'E08 — Estabilização Hypercare'!$H393="N/A"),'E08 — Estabilização Hypercare'!$I393="✔ Concluído",'E08 — Estabilização Hypercare'!$J393="✔ Concluído",OR('E08 — Estabilização Hypercare'!$N393="✅ Estável — Demanda Encerrada",AND('E08 — Estabilização Hypercare'!$N393="🆕 Evolução Identificada — Nova Demanda Aberta",'E08 — Estabilização Hypercare'!$U393&lt;&gt;""))),"Concluído",IF(OR(COUNTIF('E08 — Estabilização Hypercare'!$E393:$J393,"✔ Concluído")&gt;0,COUNTIF('E08 — Estabilização Hypercare'!$E393:$J393,"🔄 Em andamento")&gt;0,'E08 — Estabilização Hypercare'!$N393&lt;&gt;""),"Em andamento","Não iniciado")))))</f>
        <v/>
      </c>
      <c r="M411" s="232" t="str" cm="1">
        <f t="array" ref="M411">IF(B411="","",_xlfn.IFS(E411&lt;&gt;"Concluído","E1 — Solicitação",F411&lt;&gt;"Concluído","E2 — Triagem",G411&lt;&gt;"Concluído","E3 — Levantamento ⚠",H411&lt;&gt;"Concluído","E4 — Execução",I411&lt;&gt;"Concluído","E5 — Validação ⚠",AND(J411&lt;&gt;"Concluído",J411&lt;&gt;"N/A"),"E6 — Ajustes",K411&lt;&gt;"Concluído","E7 — Entrega",L411&lt;&gt;"Concluído","E08 — Estabilização / Hypercare",TRUE,"✔ Fluxo concluído"))</f>
        <v/>
      </c>
      <c r="N411" s="233" t="str">
        <f t="shared" si="6"/>
        <v/>
      </c>
      <c r="O411" s="230"/>
    </row>
    <row r="412" spans="2:15" x14ac:dyDescent="0.35">
      <c r="B412" s="229" t="str">
        <f>IF(Lançamentos!$B389="","",Lançamentos!$B389)</f>
        <v/>
      </c>
      <c r="C412" s="231" t="str">
        <f>IF($B412="","",Lançamentos!$J389)</f>
        <v/>
      </c>
      <c r="D412" s="231" t="str">
        <f>IF($B412="","",Lançamentos!$H389)</f>
        <v/>
      </c>
      <c r="E412" s="229" t="str">
        <f>IF($B412="","",IF(COUNTIF(Lançamentos!$B$3:$B$1001,$B412)=0,"Bloqueado",IF(COUNTIF('E1 — Solicitação'!$E394:$L394,"⛔ Bloqueado")&gt;0,"Bloqueado",IF(COUNTIF('E1 — Solicitação'!$E394:$L394,"N/A")=8,"Bloqueado",IF(COUNTIF('E1 — Solicitação'!$E394:$L394,"✔ Concluído")+COUNTIF('E1 — Solicitação'!$E394:$L394,"N/A")=8,"Concluído",IF(COUNTIF('E1 — Solicitação'!$E394:$L394,"✔ Concluído")+COUNTIF('E1 — Solicitação'!$E394:$L394,"🔄 Em andamento")&gt;0,"Em andamento","Não iniciado"))))))</f>
        <v/>
      </c>
      <c r="F412" s="229" t="str">
        <f>IF($B412="","",IF($E412&lt;&gt;"Concluído","Não iniciado",IF(COUNTIF(Lançamentos!$B$3:$B$1001,$B412)=0,"Bloqueado",IF('E2 — Triagem'!$D394="","Bloqueado",IF(COUNTIF('E2 — Triagem'!$E394:$L394,"N/A")=8,"Bloqueado",IF(COUNTIF('E2 — Triagem'!$E394:$L394,"⛔ Bloqueado")&gt;0,"Bloqueado",IF(COUNTIF('E2 — Triagem'!$E394:$L394,"✔ Concluído")+COUNTIF('E2 — Triagem'!$E394:$L394,"N/A")=8,"Concluído",IF(COUNTIF('E2 — Triagem'!$E394:$L394,"✔ Concluído")+COUNTIF('E2 — Triagem'!$E394:$L394,"🔄 Em andamento")&gt;0,"Em andamento","Não iniciado"))))))))</f>
        <v/>
      </c>
      <c r="G412" s="229" t="str">
        <f>IF($B412="","",IF($F412&lt;&gt;"Concluído","Não iniciado",IF(COUNTIF(Lançamentos!$B$3:$B$1001,$B412)=0,"Bloqueado",IF('E3 — Levantamento'!$D394="","Bloqueado",IF(COUNTIF('E3 — Levantamento'!$E394:$I394,"⛔ Bloqueado")&gt;0,"Bloqueado",IF('E3 — Levantamento'!$I394="N/A","Bloqueado",IF(COUNTIF('E3 — Levantamento'!$E394:$I394,"✔ Concluído")=5,"Concluído",IF(COUNTIF('E3 — Levantamento'!$E394:$I394,"✔ Concluído")+COUNTIF('E3 — Levantamento'!$E394:$I394,"🔄 Em andamento")&gt;0,"Em andamento","Não iniciado"))))))))</f>
        <v/>
      </c>
      <c r="H412" s="229" t="str">
        <f>IF($B412="","",IF($G412&lt;&gt;"Concluído","Não iniciado",IF(COUNTIF(Lançamentos!$B$3:$B$1001,$B412)=0,"Bloqueado",IF('E4 — Execução'!$D394="","Bloqueado",IF(COUNTIF('E4 — Execução'!$E394:$K394,"⛔ Bloqueado")&gt;0,"Bloqueado",IF(COUNTIF('E4 — Execução'!$E394:$K394,"✔ Concluído")=7,"Concluído",IF(COUNTIF('E4 — Execução'!$E394:$K394,"✔ Concluído")+COUNTIF('E4 — Execução'!$E394:$K394,"🔄 Em andamento")&gt;0,"Em andamento","Não iniciado")))))))</f>
        <v/>
      </c>
      <c r="I412" s="229" t="str">
        <f>IF($B412="","",IF($H412&lt;&gt;"Concluído","Não iniciado",IF(COUNTIF(Lançamentos!$B$3:$B$1001,$B412)=0,"Bloqueado",IF('E5 — Validação'!$D394="","Bloqueado",IF(COUNTIF('E5 — Validação'!$E394:$I394,"⛔ Bloqueado")&gt;0,"Bloqueado",IF('E5 — Validação'!$I394="N/A","Bloqueado",IF(AND('E5 — Validação'!$E394="✔ Concluído",'E5 — Validação'!$F394="✔ Concluído",OR('E5 — Validação'!$G394="✔ Concluído",'E5 — Validação'!$G394="N/A"),'E5 — Validação'!$H394="✔ Concluído",'E5 — Validação'!$I394="✔ Concluído"),"Concluído",IF(COUNTIF('E5 — Validação'!$E394:$I394,"✔ Concluído")+COUNTIF('E5 — Validação'!$E394:$I394,"🔄 Em andamento")&gt;0,"Em andamento","Não iniciado"))))))))</f>
        <v/>
      </c>
      <c r="J412" s="229" t="str">
        <f>IF($B412="","",IF($I412&lt;&gt;"Concluído","Não iniciado",IF('E6 — Ajustes'!$N394="Não","N/A",IF(COUNTIF(Lançamentos!$B$3:$B$1001,$B412)=0,"Bloqueado",IF('E6 — Ajustes'!$D394="","Bloqueado",IF(COUNTIF('E6 — Ajustes'!$E394:$J394,"⛔ Bloqueado")&gt;0,"Bloqueado",IF(AND('E6 — Ajustes'!$E394="✔ Concluído",'E6 — Ajustes'!$F394="✔ Concluído",'E6 — Ajustes'!$G394="✔ Concluído",'E6 — Ajustes'!$H394="✔ Concluído",OR('E6 — Ajustes'!$I394="✔ Concluído",'E6 — Ajustes'!$I394="N/A"),'E6 — Ajustes'!$J394="✔ Concluído"),"Concluído",IF(COUNTIF('E6 — Ajustes'!$E394:$J394,"✔ Concluído")+COUNTIF('E6 — Ajustes'!$E394:$J394,"🔄 Em andamento")&gt;0,"Em andamento","Não iniciado"))))))))</f>
        <v/>
      </c>
      <c r="K412" s="229" t="str">
        <f>IF($B412="","",IF($I412&lt;&gt;"Concluído","Não iniciado",IF(AND($J412&lt;&gt;"Concluído",$J412&lt;&gt;"N/A"),"Não iniciado",IF(COUNTIF(Lançamentos!$B$3:$B$1001,$B412)=0,"Bloqueado",IF('E7 — Entrega'!$D394="","Bloqueado",IF(COUNTIF('E7 — Entrega'!$E394:$H394,"⛔ Bloqueado")&gt;0,"Bloqueado",IF(COUNTIF('E7 — Entrega'!$E394:$H394,"✔ Concluído")=4,"Concluído",IF(COUNTIF('E7 — Entrega'!$E394:$H394,"✔ Concluído")+COUNTIF('E7 — Entrega'!$E394:$H394,"🔄 Em andamento")&gt;0,"Em andamento","Não iniciado"))))))))</f>
        <v/>
      </c>
      <c r="L412" s="229" t="str">
        <f>IF($B412="","",IF($K412&lt;&gt;"Concluído","Não iniciado",IF(OR(COUNTIF('E08 — Estabilização Hypercare'!$E394:$J394,"⛔ Bloqueado")&gt;0,'E08 — Estabilização Hypercare'!$N394="⛔ Incidente Crítico — Encerramento Bloqueado",AND('E08 — Estabilização Hypercare'!$N394="🆕 Evolução Identificada — Nova Demanda Aberta",'E08 — Estabilização Hypercare'!$U394="")),"Bloqueado",IF(AND('E08 — Estabilização Hypercare'!$E394="✔ Concluído",'E08 — Estabilização Hypercare'!$F394="✔ Concluído",'E08 — Estabilização Hypercare'!$G394="✔ Concluído",OR('E08 — Estabilização Hypercare'!$H394="✔ Concluído",'E08 — Estabilização Hypercare'!$H394="N/A"),'E08 — Estabilização Hypercare'!$I394="✔ Concluído",'E08 — Estabilização Hypercare'!$J394="✔ Concluído",OR('E08 — Estabilização Hypercare'!$N394="✅ Estável — Demanda Encerrada",AND('E08 — Estabilização Hypercare'!$N394="🆕 Evolução Identificada — Nova Demanda Aberta",'E08 — Estabilização Hypercare'!$U394&lt;&gt;""))),"Concluído",IF(OR(COUNTIF('E08 — Estabilização Hypercare'!$E394:$J394,"✔ Concluído")&gt;0,COUNTIF('E08 — Estabilização Hypercare'!$E394:$J394,"🔄 Em andamento")&gt;0,'E08 — Estabilização Hypercare'!$N394&lt;&gt;""),"Em andamento","Não iniciado")))))</f>
        <v/>
      </c>
      <c r="M412" s="232" t="str" cm="1">
        <f t="array" ref="M412">IF(B412="","",_xlfn.IFS(E412&lt;&gt;"Concluído","E1 — Solicitação",F412&lt;&gt;"Concluído","E2 — Triagem",G412&lt;&gt;"Concluído","E3 — Levantamento ⚠",H412&lt;&gt;"Concluído","E4 — Execução",I412&lt;&gt;"Concluído","E5 — Validação ⚠",AND(J412&lt;&gt;"Concluído",J412&lt;&gt;"N/A"),"E6 — Ajustes",K412&lt;&gt;"Concluído","E7 — Entrega",L412&lt;&gt;"Concluído","E08 — Estabilização / Hypercare",TRUE,"✔ Fluxo concluído"))</f>
        <v/>
      </c>
      <c r="N412" s="233" t="str">
        <f t="shared" si="6"/>
        <v/>
      </c>
      <c r="O412" s="230"/>
    </row>
    <row r="413" spans="2:15" x14ac:dyDescent="0.35">
      <c r="B413" s="229" t="str">
        <f>IF(Lançamentos!$B390="","",Lançamentos!$B390)</f>
        <v/>
      </c>
      <c r="C413" s="231" t="str">
        <f>IF($B413="","",Lançamentos!$J390)</f>
        <v/>
      </c>
      <c r="D413" s="231" t="str">
        <f>IF($B413="","",Lançamentos!$H390)</f>
        <v/>
      </c>
      <c r="E413" s="229" t="str">
        <f>IF($B413="","",IF(COUNTIF(Lançamentos!$B$3:$B$1001,$B413)=0,"Bloqueado",IF(COUNTIF('E1 — Solicitação'!$E395:$L395,"⛔ Bloqueado")&gt;0,"Bloqueado",IF(COUNTIF('E1 — Solicitação'!$E395:$L395,"N/A")=8,"Bloqueado",IF(COUNTIF('E1 — Solicitação'!$E395:$L395,"✔ Concluído")+COUNTIF('E1 — Solicitação'!$E395:$L395,"N/A")=8,"Concluído",IF(COUNTIF('E1 — Solicitação'!$E395:$L395,"✔ Concluído")+COUNTIF('E1 — Solicitação'!$E395:$L395,"🔄 Em andamento")&gt;0,"Em andamento","Não iniciado"))))))</f>
        <v/>
      </c>
      <c r="F413" s="229" t="str">
        <f>IF($B413="","",IF($E413&lt;&gt;"Concluído","Não iniciado",IF(COUNTIF(Lançamentos!$B$3:$B$1001,$B413)=0,"Bloqueado",IF('E2 — Triagem'!$D395="","Bloqueado",IF(COUNTIF('E2 — Triagem'!$E395:$L395,"N/A")=8,"Bloqueado",IF(COUNTIF('E2 — Triagem'!$E395:$L395,"⛔ Bloqueado")&gt;0,"Bloqueado",IF(COUNTIF('E2 — Triagem'!$E395:$L395,"✔ Concluído")+COUNTIF('E2 — Triagem'!$E395:$L395,"N/A")=8,"Concluído",IF(COUNTIF('E2 — Triagem'!$E395:$L395,"✔ Concluído")+COUNTIF('E2 — Triagem'!$E395:$L395,"🔄 Em andamento")&gt;0,"Em andamento","Não iniciado"))))))))</f>
        <v/>
      </c>
      <c r="G413" s="229" t="str">
        <f>IF($B413="","",IF($F413&lt;&gt;"Concluído","Não iniciado",IF(COUNTIF(Lançamentos!$B$3:$B$1001,$B413)=0,"Bloqueado",IF('E3 — Levantamento'!$D395="","Bloqueado",IF(COUNTIF('E3 — Levantamento'!$E395:$I395,"⛔ Bloqueado")&gt;0,"Bloqueado",IF('E3 — Levantamento'!$I395="N/A","Bloqueado",IF(COUNTIF('E3 — Levantamento'!$E395:$I395,"✔ Concluído")=5,"Concluído",IF(COUNTIF('E3 — Levantamento'!$E395:$I395,"✔ Concluído")+COUNTIF('E3 — Levantamento'!$E395:$I395,"🔄 Em andamento")&gt;0,"Em andamento","Não iniciado"))))))))</f>
        <v/>
      </c>
      <c r="H413" s="229" t="str">
        <f>IF($B413="","",IF($G413&lt;&gt;"Concluído","Não iniciado",IF(COUNTIF(Lançamentos!$B$3:$B$1001,$B413)=0,"Bloqueado",IF('E4 — Execução'!$D395="","Bloqueado",IF(COUNTIF('E4 — Execução'!$E395:$K395,"⛔ Bloqueado")&gt;0,"Bloqueado",IF(COUNTIF('E4 — Execução'!$E395:$K395,"✔ Concluído")=7,"Concluído",IF(COUNTIF('E4 — Execução'!$E395:$K395,"✔ Concluído")+COUNTIF('E4 — Execução'!$E395:$K395,"🔄 Em andamento")&gt;0,"Em andamento","Não iniciado")))))))</f>
        <v/>
      </c>
      <c r="I413" s="229" t="str">
        <f>IF($B413="","",IF($H413&lt;&gt;"Concluído","Não iniciado",IF(COUNTIF(Lançamentos!$B$3:$B$1001,$B413)=0,"Bloqueado",IF('E5 — Validação'!$D395="","Bloqueado",IF(COUNTIF('E5 — Validação'!$E395:$I395,"⛔ Bloqueado")&gt;0,"Bloqueado",IF('E5 — Validação'!$I395="N/A","Bloqueado",IF(AND('E5 — Validação'!$E395="✔ Concluído",'E5 — Validação'!$F395="✔ Concluído",OR('E5 — Validação'!$G395="✔ Concluído",'E5 — Validação'!$G395="N/A"),'E5 — Validação'!$H395="✔ Concluído",'E5 — Validação'!$I395="✔ Concluído"),"Concluído",IF(COUNTIF('E5 — Validação'!$E395:$I395,"✔ Concluído")+COUNTIF('E5 — Validação'!$E395:$I395,"🔄 Em andamento")&gt;0,"Em andamento","Não iniciado"))))))))</f>
        <v/>
      </c>
      <c r="J413" s="229" t="str">
        <f>IF($B413="","",IF($I413&lt;&gt;"Concluído","Não iniciado",IF('E6 — Ajustes'!$N395="Não","N/A",IF(COUNTIF(Lançamentos!$B$3:$B$1001,$B413)=0,"Bloqueado",IF('E6 — Ajustes'!$D395="","Bloqueado",IF(COUNTIF('E6 — Ajustes'!$E395:$J395,"⛔ Bloqueado")&gt;0,"Bloqueado",IF(AND('E6 — Ajustes'!$E395="✔ Concluído",'E6 — Ajustes'!$F395="✔ Concluído",'E6 — Ajustes'!$G395="✔ Concluído",'E6 — Ajustes'!$H395="✔ Concluído",OR('E6 — Ajustes'!$I395="✔ Concluído",'E6 — Ajustes'!$I395="N/A"),'E6 — Ajustes'!$J395="✔ Concluído"),"Concluído",IF(COUNTIF('E6 — Ajustes'!$E395:$J395,"✔ Concluído")+COUNTIF('E6 — Ajustes'!$E395:$J395,"🔄 Em andamento")&gt;0,"Em andamento","Não iniciado"))))))))</f>
        <v/>
      </c>
      <c r="K413" s="229" t="str">
        <f>IF($B413="","",IF($I413&lt;&gt;"Concluído","Não iniciado",IF(AND($J413&lt;&gt;"Concluído",$J413&lt;&gt;"N/A"),"Não iniciado",IF(COUNTIF(Lançamentos!$B$3:$B$1001,$B413)=0,"Bloqueado",IF('E7 — Entrega'!$D395="","Bloqueado",IF(COUNTIF('E7 — Entrega'!$E395:$H395,"⛔ Bloqueado")&gt;0,"Bloqueado",IF(COUNTIF('E7 — Entrega'!$E395:$H395,"✔ Concluído")=4,"Concluído",IF(COUNTIF('E7 — Entrega'!$E395:$H395,"✔ Concluído")+COUNTIF('E7 — Entrega'!$E395:$H395,"🔄 Em andamento")&gt;0,"Em andamento","Não iniciado"))))))))</f>
        <v/>
      </c>
      <c r="L413" s="229" t="str">
        <f>IF($B413="","",IF($K413&lt;&gt;"Concluído","Não iniciado",IF(OR(COUNTIF('E08 — Estabilização Hypercare'!$E395:$J395,"⛔ Bloqueado")&gt;0,'E08 — Estabilização Hypercare'!$N395="⛔ Incidente Crítico — Encerramento Bloqueado",AND('E08 — Estabilização Hypercare'!$N395="🆕 Evolução Identificada — Nova Demanda Aberta",'E08 — Estabilização Hypercare'!$U395="")),"Bloqueado",IF(AND('E08 — Estabilização Hypercare'!$E395="✔ Concluído",'E08 — Estabilização Hypercare'!$F395="✔ Concluído",'E08 — Estabilização Hypercare'!$G395="✔ Concluído",OR('E08 — Estabilização Hypercare'!$H395="✔ Concluído",'E08 — Estabilização Hypercare'!$H395="N/A"),'E08 — Estabilização Hypercare'!$I395="✔ Concluído",'E08 — Estabilização Hypercare'!$J395="✔ Concluído",OR('E08 — Estabilização Hypercare'!$N395="✅ Estável — Demanda Encerrada",AND('E08 — Estabilização Hypercare'!$N395="🆕 Evolução Identificada — Nova Demanda Aberta",'E08 — Estabilização Hypercare'!$U395&lt;&gt;""))),"Concluído",IF(OR(COUNTIF('E08 — Estabilização Hypercare'!$E395:$J395,"✔ Concluído")&gt;0,COUNTIF('E08 — Estabilização Hypercare'!$E395:$J395,"🔄 Em andamento")&gt;0,'E08 — Estabilização Hypercare'!$N395&lt;&gt;""),"Em andamento","Não iniciado")))))</f>
        <v/>
      </c>
      <c r="M413" s="232" t="str" cm="1">
        <f t="array" ref="M413">IF(B413="","",_xlfn.IFS(E413&lt;&gt;"Concluído","E1 — Solicitação",F413&lt;&gt;"Concluído","E2 — Triagem",G413&lt;&gt;"Concluído","E3 — Levantamento ⚠",H413&lt;&gt;"Concluído","E4 — Execução",I413&lt;&gt;"Concluído","E5 — Validação ⚠",AND(J413&lt;&gt;"Concluído",J413&lt;&gt;"N/A"),"E6 — Ajustes",K413&lt;&gt;"Concluído","E7 — Entrega",L413&lt;&gt;"Concluído","E08 — Estabilização / Hypercare",TRUE,"✔ Fluxo concluído"))</f>
        <v/>
      </c>
      <c r="N413" s="233" t="str">
        <f t="shared" si="6"/>
        <v/>
      </c>
      <c r="O413" s="230"/>
    </row>
    <row r="414" spans="2:15" x14ac:dyDescent="0.35">
      <c r="B414" s="229" t="str">
        <f>IF(Lançamentos!$B391="","",Lançamentos!$B391)</f>
        <v/>
      </c>
      <c r="C414" s="231" t="str">
        <f>IF($B414="","",Lançamentos!$J391)</f>
        <v/>
      </c>
      <c r="D414" s="231" t="str">
        <f>IF($B414="","",Lançamentos!$H391)</f>
        <v/>
      </c>
      <c r="E414" s="229" t="str">
        <f>IF($B414="","",IF(COUNTIF(Lançamentos!$B$3:$B$1001,$B414)=0,"Bloqueado",IF(COUNTIF('E1 — Solicitação'!$E396:$L396,"⛔ Bloqueado")&gt;0,"Bloqueado",IF(COUNTIF('E1 — Solicitação'!$E396:$L396,"N/A")=8,"Bloqueado",IF(COUNTIF('E1 — Solicitação'!$E396:$L396,"✔ Concluído")+COUNTIF('E1 — Solicitação'!$E396:$L396,"N/A")=8,"Concluído",IF(COUNTIF('E1 — Solicitação'!$E396:$L396,"✔ Concluído")+COUNTIF('E1 — Solicitação'!$E396:$L396,"🔄 Em andamento")&gt;0,"Em andamento","Não iniciado"))))))</f>
        <v/>
      </c>
      <c r="F414" s="229" t="str">
        <f>IF($B414="","",IF($E414&lt;&gt;"Concluído","Não iniciado",IF(COUNTIF(Lançamentos!$B$3:$B$1001,$B414)=0,"Bloqueado",IF('E2 — Triagem'!$D396="","Bloqueado",IF(COUNTIF('E2 — Triagem'!$E396:$L396,"N/A")=8,"Bloqueado",IF(COUNTIF('E2 — Triagem'!$E396:$L396,"⛔ Bloqueado")&gt;0,"Bloqueado",IF(COUNTIF('E2 — Triagem'!$E396:$L396,"✔ Concluído")+COUNTIF('E2 — Triagem'!$E396:$L396,"N/A")=8,"Concluído",IF(COUNTIF('E2 — Triagem'!$E396:$L396,"✔ Concluído")+COUNTIF('E2 — Triagem'!$E396:$L396,"🔄 Em andamento")&gt;0,"Em andamento","Não iniciado"))))))))</f>
        <v/>
      </c>
      <c r="G414" s="229" t="str">
        <f>IF($B414="","",IF($F414&lt;&gt;"Concluído","Não iniciado",IF(COUNTIF(Lançamentos!$B$3:$B$1001,$B414)=0,"Bloqueado",IF('E3 — Levantamento'!$D396="","Bloqueado",IF(COUNTIF('E3 — Levantamento'!$E396:$I396,"⛔ Bloqueado")&gt;0,"Bloqueado",IF('E3 — Levantamento'!$I396="N/A","Bloqueado",IF(COUNTIF('E3 — Levantamento'!$E396:$I396,"✔ Concluído")=5,"Concluído",IF(COUNTIF('E3 — Levantamento'!$E396:$I396,"✔ Concluído")+COUNTIF('E3 — Levantamento'!$E396:$I396,"🔄 Em andamento")&gt;0,"Em andamento","Não iniciado"))))))))</f>
        <v/>
      </c>
      <c r="H414" s="229" t="str">
        <f>IF($B414="","",IF($G414&lt;&gt;"Concluído","Não iniciado",IF(COUNTIF(Lançamentos!$B$3:$B$1001,$B414)=0,"Bloqueado",IF('E4 — Execução'!$D396="","Bloqueado",IF(COUNTIF('E4 — Execução'!$E396:$K396,"⛔ Bloqueado")&gt;0,"Bloqueado",IF(COUNTIF('E4 — Execução'!$E396:$K396,"✔ Concluído")=7,"Concluído",IF(COUNTIF('E4 — Execução'!$E396:$K396,"✔ Concluído")+COUNTIF('E4 — Execução'!$E396:$K396,"🔄 Em andamento")&gt;0,"Em andamento","Não iniciado")))))))</f>
        <v/>
      </c>
      <c r="I414" s="229" t="str">
        <f>IF($B414="","",IF($H414&lt;&gt;"Concluído","Não iniciado",IF(COUNTIF(Lançamentos!$B$3:$B$1001,$B414)=0,"Bloqueado",IF('E5 — Validação'!$D396="","Bloqueado",IF(COUNTIF('E5 — Validação'!$E396:$I396,"⛔ Bloqueado")&gt;0,"Bloqueado",IF('E5 — Validação'!$I396="N/A","Bloqueado",IF(AND('E5 — Validação'!$E396="✔ Concluído",'E5 — Validação'!$F396="✔ Concluído",OR('E5 — Validação'!$G396="✔ Concluído",'E5 — Validação'!$G396="N/A"),'E5 — Validação'!$H396="✔ Concluído",'E5 — Validação'!$I396="✔ Concluído"),"Concluído",IF(COUNTIF('E5 — Validação'!$E396:$I396,"✔ Concluído")+COUNTIF('E5 — Validação'!$E396:$I396,"🔄 Em andamento")&gt;0,"Em andamento","Não iniciado"))))))))</f>
        <v/>
      </c>
      <c r="J414" s="229" t="str">
        <f>IF($B414="","",IF($I414&lt;&gt;"Concluído","Não iniciado",IF('E6 — Ajustes'!$N396="Não","N/A",IF(COUNTIF(Lançamentos!$B$3:$B$1001,$B414)=0,"Bloqueado",IF('E6 — Ajustes'!$D396="","Bloqueado",IF(COUNTIF('E6 — Ajustes'!$E396:$J396,"⛔ Bloqueado")&gt;0,"Bloqueado",IF(AND('E6 — Ajustes'!$E396="✔ Concluído",'E6 — Ajustes'!$F396="✔ Concluído",'E6 — Ajustes'!$G396="✔ Concluído",'E6 — Ajustes'!$H396="✔ Concluído",OR('E6 — Ajustes'!$I396="✔ Concluído",'E6 — Ajustes'!$I396="N/A"),'E6 — Ajustes'!$J396="✔ Concluído"),"Concluído",IF(COUNTIF('E6 — Ajustes'!$E396:$J396,"✔ Concluído")+COUNTIF('E6 — Ajustes'!$E396:$J396,"🔄 Em andamento")&gt;0,"Em andamento","Não iniciado"))))))))</f>
        <v/>
      </c>
      <c r="K414" s="229" t="str">
        <f>IF($B414="","",IF($I414&lt;&gt;"Concluído","Não iniciado",IF(AND($J414&lt;&gt;"Concluído",$J414&lt;&gt;"N/A"),"Não iniciado",IF(COUNTIF(Lançamentos!$B$3:$B$1001,$B414)=0,"Bloqueado",IF('E7 — Entrega'!$D396="","Bloqueado",IF(COUNTIF('E7 — Entrega'!$E396:$H396,"⛔ Bloqueado")&gt;0,"Bloqueado",IF(COUNTIF('E7 — Entrega'!$E396:$H396,"✔ Concluído")=4,"Concluído",IF(COUNTIF('E7 — Entrega'!$E396:$H396,"✔ Concluído")+COUNTIF('E7 — Entrega'!$E396:$H396,"🔄 Em andamento")&gt;0,"Em andamento","Não iniciado"))))))))</f>
        <v/>
      </c>
      <c r="L414" s="229" t="str">
        <f>IF($B414="","",IF($K414&lt;&gt;"Concluído","Não iniciado",IF(OR(COUNTIF('E08 — Estabilização Hypercare'!$E396:$J396,"⛔ Bloqueado")&gt;0,'E08 — Estabilização Hypercare'!$N396="⛔ Incidente Crítico — Encerramento Bloqueado",AND('E08 — Estabilização Hypercare'!$N396="🆕 Evolução Identificada — Nova Demanda Aberta",'E08 — Estabilização Hypercare'!$U396="")),"Bloqueado",IF(AND('E08 — Estabilização Hypercare'!$E396="✔ Concluído",'E08 — Estabilização Hypercare'!$F396="✔ Concluído",'E08 — Estabilização Hypercare'!$G396="✔ Concluído",OR('E08 — Estabilização Hypercare'!$H396="✔ Concluído",'E08 — Estabilização Hypercare'!$H396="N/A"),'E08 — Estabilização Hypercare'!$I396="✔ Concluído",'E08 — Estabilização Hypercare'!$J396="✔ Concluído",OR('E08 — Estabilização Hypercare'!$N396="✅ Estável — Demanda Encerrada",AND('E08 — Estabilização Hypercare'!$N396="🆕 Evolução Identificada — Nova Demanda Aberta",'E08 — Estabilização Hypercare'!$U396&lt;&gt;""))),"Concluído",IF(OR(COUNTIF('E08 — Estabilização Hypercare'!$E396:$J396,"✔ Concluído")&gt;0,COUNTIF('E08 — Estabilização Hypercare'!$E396:$J396,"🔄 Em andamento")&gt;0,'E08 — Estabilização Hypercare'!$N396&lt;&gt;""),"Em andamento","Não iniciado")))))</f>
        <v/>
      </c>
      <c r="M414" s="232" t="str" cm="1">
        <f t="array" ref="M414">IF(B414="","",_xlfn.IFS(E414&lt;&gt;"Concluído","E1 — Solicitação",F414&lt;&gt;"Concluído","E2 — Triagem",G414&lt;&gt;"Concluído","E3 — Levantamento ⚠",H414&lt;&gt;"Concluído","E4 — Execução",I414&lt;&gt;"Concluído","E5 — Validação ⚠",AND(J414&lt;&gt;"Concluído",J414&lt;&gt;"N/A"),"E6 — Ajustes",K414&lt;&gt;"Concluído","E7 — Entrega",L414&lt;&gt;"Concluído","E08 — Estabilização / Hypercare",TRUE,"✔ Fluxo concluído"))</f>
        <v/>
      </c>
      <c r="N414" s="233" t="str">
        <f t="shared" si="6"/>
        <v/>
      </c>
      <c r="O414" s="230"/>
    </row>
    <row r="415" spans="2:15" x14ac:dyDescent="0.35">
      <c r="B415" s="229" t="str">
        <f>IF(Lançamentos!$B392="","",Lançamentos!$B392)</f>
        <v/>
      </c>
      <c r="C415" s="231" t="str">
        <f>IF($B415="","",Lançamentos!$J392)</f>
        <v/>
      </c>
      <c r="D415" s="231" t="str">
        <f>IF($B415="","",Lançamentos!$H392)</f>
        <v/>
      </c>
      <c r="E415" s="229" t="str">
        <f>IF($B415="","",IF(COUNTIF(Lançamentos!$B$3:$B$1001,$B415)=0,"Bloqueado",IF(COUNTIF('E1 — Solicitação'!$E397:$L397,"⛔ Bloqueado")&gt;0,"Bloqueado",IF(COUNTIF('E1 — Solicitação'!$E397:$L397,"N/A")=8,"Bloqueado",IF(COUNTIF('E1 — Solicitação'!$E397:$L397,"✔ Concluído")+COUNTIF('E1 — Solicitação'!$E397:$L397,"N/A")=8,"Concluído",IF(COUNTIF('E1 — Solicitação'!$E397:$L397,"✔ Concluído")+COUNTIF('E1 — Solicitação'!$E397:$L397,"🔄 Em andamento")&gt;0,"Em andamento","Não iniciado"))))))</f>
        <v/>
      </c>
      <c r="F415" s="229" t="str">
        <f>IF($B415="","",IF($E415&lt;&gt;"Concluído","Não iniciado",IF(COUNTIF(Lançamentos!$B$3:$B$1001,$B415)=0,"Bloqueado",IF('E2 — Triagem'!$D397="","Bloqueado",IF(COUNTIF('E2 — Triagem'!$E397:$L397,"N/A")=8,"Bloqueado",IF(COUNTIF('E2 — Triagem'!$E397:$L397,"⛔ Bloqueado")&gt;0,"Bloqueado",IF(COUNTIF('E2 — Triagem'!$E397:$L397,"✔ Concluído")+COUNTIF('E2 — Triagem'!$E397:$L397,"N/A")=8,"Concluído",IF(COUNTIF('E2 — Triagem'!$E397:$L397,"✔ Concluído")+COUNTIF('E2 — Triagem'!$E397:$L397,"🔄 Em andamento")&gt;0,"Em andamento","Não iniciado"))))))))</f>
        <v/>
      </c>
      <c r="G415" s="229" t="str">
        <f>IF($B415="","",IF($F415&lt;&gt;"Concluído","Não iniciado",IF(COUNTIF(Lançamentos!$B$3:$B$1001,$B415)=0,"Bloqueado",IF('E3 — Levantamento'!$D397="","Bloqueado",IF(COUNTIF('E3 — Levantamento'!$E397:$I397,"⛔ Bloqueado")&gt;0,"Bloqueado",IF('E3 — Levantamento'!$I397="N/A","Bloqueado",IF(COUNTIF('E3 — Levantamento'!$E397:$I397,"✔ Concluído")=5,"Concluído",IF(COUNTIF('E3 — Levantamento'!$E397:$I397,"✔ Concluído")+COUNTIF('E3 — Levantamento'!$E397:$I397,"🔄 Em andamento")&gt;0,"Em andamento","Não iniciado"))))))))</f>
        <v/>
      </c>
      <c r="H415" s="229" t="str">
        <f>IF($B415="","",IF($G415&lt;&gt;"Concluído","Não iniciado",IF(COUNTIF(Lançamentos!$B$3:$B$1001,$B415)=0,"Bloqueado",IF('E4 — Execução'!$D397="","Bloqueado",IF(COUNTIF('E4 — Execução'!$E397:$K397,"⛔ Bloqueado")&gt;0,"Bloqueado",IF(COUNTIF('E4 — Execução'!$E397:$K397,"✔ Concluído")=7,"Concluído",IF(COUNTIF('E4 — Execução'!$E397:$K397,"✔ Concluído")+COUNTIF('E4 — Execução'!$E397:$K397,"🔄 Em andamento")&gt;0,"Em andamento","Não iniciado")))))))</f>
        <v/>
      </c>
      <c r="I415" s="229" t="str">
        <f>IF($B415="","",IF($H415&lt;&gt;"Concluído","Não iniciado",IF(COUNTIF(Lançamentos!$B$3:$B$1001,$B415)=0,"Bloqueado",IF('E5 — Validação'!$D397="","Bloqueado",IF(COUNTIF('E5 — Validação'!$E397:$I397,"⛔ Bloqueado")&gt;0,"Bloqueado",IF('E5 — Validação'!$I397="N/A","Bloqueado",IF(AND('E5 — Validação'!$E397="✔ Concluído",'E5 — Validação'!$F397="✔ Concluído",OR('E5 — Validação'!$G397="✔ Concluído",'E5 — Validação'!$G397="N/A"),'E5 — Validação'!$H397="✔ Concluído",'E5 — Validação'!$I397="✔ Concluído"),"Concluído",IF(COUNTIF('E5 — Validação'!$E397:$I397,"✔ Concluído")+COUNTIF('E5 — Validação'!$E397:$I397,"🔄 Em andamento")&gt;0,"Em andamento","Não iniciado"))))))))</f>
        <v/>
      </c>
      <c r="J415" s="229" t="str">
        <f>IF($B415="","",IF($I415&lt;&gt;"Concluído","Não iniciado",IF('E6 — Ajustes'!$N397="Não","N/A",IF(COUNTIF(Lançamentos!$B$3:$B$1001,$B415)=0,"Bloqueado",IF('E6 — Ajustes'!$D397="","Bloqueado",IF(COUNTIF('E6 — Ajustes'!$E397:$J397,"⛔ Bloqueado")&gt;0,"Bloqueado",IF(AND('E6 — Ajustes'!$E397="✔ Concluído",'E6 — Ajustes'!$F397="✔ Concluído",'E6 — Ajustes'!$G397="✔ Concluído",'E6 — Ajustes'!$H397="✔ Concluído",OR('E6 — Ajustes'!$I397="✔ Concluído",'E6 — Ajustes'!$I397="N/A"),'E6 — Ajustes'!$J397="✔ Concluído"),"Concluído",IF(COUNTIF('E6 — Ajustes'!$E397:$J397,"✔ Concluído")+COUNTIF('E6 — Ajustes'!$E397:$J397,"🔄 Em andamento")&gt;0,"Em andamento","Não iniciado"))))))))</f>
        <v/>
      </c>
      <c r="K415" s="229" t="str">
        <f>IF($B415="","",IF($I415&lt;&gt;"Concluído","Não iniciado",IF(AND($J415&lt;&gt;"Concluído",$J415&lt;&gt;"N/A"),"Não iniciado",IF(COUNTIF(Lançamentos!$B$3:$B$1001,$B415)=0,"Bloqueado",IF('E7 — Entrega'!$D397="","Bloqueado",IF(COUNTIF('E7 — Entrega'!$E397:$H397,"⛔ Bloqueado")&gt;0,"Bloqueado",IF(COUNTIF('E7 — Entrega'!$E397:$H397,"✔ Concluído")=4,"Concluído",IF(COUNTIF('E7 — Entrega'!$E397:$H397,"✔ Concluído")+COUNTIF('E7 — Entrega'!$E397:$H397,"🔄 Em andamento")&gt;0,"Em andamento","Não iniciado"))))))))</f>
        <v/>
      </c>
      <c r="L415" s="229" t="str">
        <f>IF($B415="","",IF($K415&lt;&gt;"Concluído","Não iniciado",IF(OR(COUNTIF('E08 — Estabilização Hypercare'!$E397:$J397,"⛔ Bloqueado")&gt;0,'E08 — Estabilização Hypercare'!$N397="⛔ Incidente Crítico — Encerramento Bloqueado",AND('E08 — Estabilização Hypercare'!$N397="🆕 Evolução Identificada — Nova Demanda Aberta",'E08 — Estabilização Hypercare'!$U397="")),"Bloqueado",IF(AND('E08 — Estabilização Hypercare'!$E397="✔ Concluído",'E08 — Estabilização Hypercare'!$F397="✔ Concluído",'E08 — Estabilização Hypercare'!$G397="✔ Concluído",OR('E08 — Estabilização Hypercare'!$H397="✔ Concluído",'E08 — Estabilização Hypercare'!$H397="N/A"),'E08 — Estabilização Hypercare'!$I397="✔ Concluído",'E08 — Estabilização Hypercare'!$J397="✔ Concluído",OR('E08 — Estabilização Hypercare'!$N397="✅ Estável — Demanda Encerrada",AND('E08 — Estabilização Hypercare'!$N397="🆕 Evolução Identificada — Nova Demanda Aberta",'E08 — Estabilização Hypercare'!$U397&lt;&gt;""))),"Concluído",IF(OR(COUNTIF('E08 — Estabilização Hypercare'!$E397:$J397,"✔ Concluído")&gt;0,COUNTIF('E08 — Estabilização Hypercare'!$E397:$J397,"🔄 Em andamento")&gt;0,'E08 — Estabilização Hypercare'!$N397&lt;&gt;""),"Em andamento","Não iniciado")))))</f>
        <v/>
      </c>
      <c r="M415" s="232" t="str" cm="1">
        <f t="array" ref="M415">IF(B415="","",_xlfn.IFS(E415&lt;&gt;"Concluído","E1 — Solicitação",F415&lt;&gt;"Concluído","E2 — Triagem",G415&lt;&gt;"Concluído","E3 — Levantamento ⚠",H415&lt;&gt;"Concluído","E4 — Execução",I415&lt;&gt;"Concluído","E5 — Validação ⚠",AND(J415&lt;&gt;"Concluído",J415&lt;&gt;"N/A"),"E6 — Ajustes",K415&lt;&gt;"Concluído","E7 — Entrega",L415&lt;&gt;"Concluído","E08 — Estabilização / Hypercare",TRUE,"✔ Fluxo concluído"))</f>
        <v/>
      </c>
      <c r="N415" s="233" t="str">
        <f t="shared" si="6"/>
        <v/>
      </c>
      <c r="O415" s="230"/>
    </row>
    <row r="416" spans="2:15" x14ac:dyDescent="0.35">
      <c r="B416" s="229" t="str">
        <f>IF(Lançamentos!$B393="","",Lançamentos!$B393)</f>
        <v/>
      </c>
      <c r="C416" s="231" t="str">
        <f>IF($B416="","",Lançamentos!$J393)</f>
        <v/>
      </c>
      <c r="D416" s="231" t="str">
        <f>IF($B416="","",Lançamentos!$H393)</f>
        <v/>
      </c>
      <c r="E416" s="229" t="str">
        <f>IF($B416="","",IF(COUNTIF(Lançamentos!$B$3:$B$1001,$B416)=0,"Bloqueado",IF(COUNTIF('E1 — Solicitação'!$E398:$L398,"⛔ Bloqueado")&gt;0,"Bloqueado",IF(COUNTIF('E1 — Solicitação'!$E398:$L398,"N/A")=8,"Bloqueado",IF(COUNTIF('E1 — Solicitação'!$E398:$L398,"✔ Concluído")+COUNTIF('E1 — Solicitação'!$E398:$L398,"N/A")=8,"Concluído",IF(COUNTIF('E1 — Solicitação'!$E398:$L398,"✔ Concluído")+COUNTIF('E1 — Solicitação'!$E398:$L398,"🔄 Em andamento")&gt;0,"Em andamento","Não iniciado"))))))</f>
        <v/>
      </c>
      <c r="F416" s="229" t="str">
        <f>IF($B416="","",IF($E416&lt;&gt;"Concluído","Não iniciado",IF(COUNTIF(Lançamentos!$B$3:$B$1001,$B416)=0,"Bloqueado",IF('E2 — Triagem'!$D398="","Bloqueado",IF(COUNTIF('E2 — Triagem'!$E398:$L398,"N/A")=8,"Bloqueado",IF(COUNTIF('E2 — Triagem'!$E398:$L398,"⛔ Bloqueado")&gt;0,"Bloqueado",IF(COUNTIF('E2 — Triagem'!$E398:$L398,"✔ Concluído")+COUNTIF('E2 — Triagem'!$E398:$L398,"N/A")=8,"Concluído",IF(COUNTIF('E2 — Triagem'!$E398:$L398,"✔ Concluído")+COUNTIF('E2 — Triagem'!$E398:$L398,"🔄 Em andamento")&gt;0,"Em andamento","Não iniciado"))))))))</f>
        <v/>
      </c>
      <c r="G416" s="229" t="str">
        <f>IF($B416="","",IF($F416&lt;&gt;"Concluído","Não iniciado",IF(COUNTIF(Lançamentos!$B$3:$B$1001,$B416)=0,"Bloqueado",IF('E3 — Levantamento'!$D398="","Bloqueado",IF(COUNTIF('E3 — Levantamento'!$E398:$I398,"⛔ Bloqueado")&gt;0,"Bloqueado",IF('E3 — Levantamento'!$I398="N/A","Bloqueado",IF(COUNTIF('E3 — Levantamento'!$E398:$I398,"✔ Concluído")=5,"Concluído",IF(COUNTIF('E3 — Levantamento'!$E398:$I398,"✔ Concluído")+COUNTIF('E3 — Levantamento'!$E398:$I398,"🔄 Em andamento")&gt;0,"Em andamento","Não iniciado"))))))))</f>
        <v/>
      </c>
      <c r="H416" s="229" t="str">
        <f>IF($B416="","",IF($G416&lt;&gt;"Concluído","Não iniciado",IF(COUNTIF(Lançamentos!$B$3:$B$1001,$B416)=0,"Bloqueado",IF('E4 — Execução'!$D398="","Bloqueado",IF(COUNTIF('E4 — Execução'!$E398:$K398,"⛔ Bloqueado")&gt;0,"Bloqueado",IF(COUNTIF('E4 — Execução'!$E398:$K398,"✔ Concluído")=7,"Concluído",IF(COUNTIF('E4 — Execução'!$E398:$K398,"✔ Concluído")+COUNTIF('E4 — Execução'!$E398:$K398,"🔄 Em andamento")&gt;0,"Em andamento","Não iniciado")))))))</f>
        <v/>
      </c>
      <c r="I416" s="229" t="str">
        <f>IF($B416="","",IF($H416&lt;&gt;"Concluído","Não iniciado",IF(COUNTIF(Lançamentos!$B$3:$B$1001,$B416)=0,"Bloqueado",IF('E5 — Validação'!$D398="","Bloqueado",IF(COUNTIF('E5 — Validação'!$E398:$I398,"⛔ Bloqueado")&gt;0,"Bloqueado",IF('E5 — Validação'!$I398="N/A","Bloqueado",IF(AND('E5 — Validação'!$E398="✔ Concluído",'E5 — Validação'!$F398="✔ Concluído",OR('E5 — Validação'!$G398="✔ Concluído",'E5 — Validação'!$G398="N/A"),'E5 — Validação'!$H398="✔ Concluído",'E5 — Validação'!$I398="✔ Concluído"),"Concluído",IF(COUNTIF('E5 — Validação'!$E398:$I398,"✔ Concluído")+COUNTIF('E5 — Validação'!$E398:$I398,"🔄 Em andamento")&gt;0,"Em andamento","Não iniciado"))))))))</f>
        <v/>
      </c>
      <c r="J416" s="229" t="str">
        <f>IF($B416="","",IF($I416&lt;&gt;"Concluído","Não iniciado",IF('E6 — Ajustes'!$N398="Não","N/A",IF(COUNTIF(Lançamentos!$B$3:$B$1001,$B416)=0,"Bloqueado",IF('E6 — Ajustes'!$D398="","Bloqueado",IF(COUNTIF('E6 — Ajustes'!$E398:$J398,"⛔ Bloqueado")&gt;0,"Bloqueado",IF(AND('E6 — Ajustes'!$E398="✔ Concluído",'E6 — Ajustes'!$F398="✔ Concluído",'E6 — Ajustes'!$G398="✔ Concluído",'E6 — Ajustes'!$H398="✔ Concluído",OR('E6 — Ajustes'!$I398="✔ Concluído",'E6 — Ajustes'!$I398="N/A"),'E6 — Ajustes'!$J398="✔ Concluído"),"Concluído",IF(COUNTIF('E6 — Ajustes'!$E398:$J398,"✔ Concluído")+COUNTIF('E6 — Ajustes'!$E398:$J398,"🔄 Em andamento")&gt;0,"Em andamento","Não iniciado"))))))))</f>
        <v/>
      </c>
      <c r="K416" s="229" t="str">
        <f>IF($B416="","",IF($I416&lt;&gt;"Concluído","Não iniciado",IF(AND($J416&lt;&gt;"Concluído",$J416&lt;&gt;"N/A"),"Não iniciado",IF(COUNTIF(Lançamentos!$B$3:$B$1001,$B416)=0,"Bloqueado",IF('E7 — Entrega'!$D398="","Bloqueado",IF(COUNTIF('E7 — Entrega'!$E398:$H398,"⛔ Bloqueado")&gt;0,"Bloqueado",IF(COUNTIF('E7 — Entrega'!$E398:$H398,"✔ Concluído")=4,"Concluído",IF(COUNTIF('E7 — Entrega'!$E398:$H398,"✔ Concluído")+COUNTIF('E7 — Entrega'!$E398:$H398,"🔄 Em andamento")&gt;0,"Em andamento","Não iniciado"))))))))</f>
        <v/>
      </c>
      <c r="L416" s="229" t="str">
        <f>IF($B416="","",IF($K416&lt;&gt;"Concluído","Não iniciado",IF(OR(COUNTIF('E08 — Estabilização Hypercare'!$E398:$J398,"⛔ Bloqueado")&gt;0,'E08 — Estabilização Hypercare'!$N398="⛔ Incidente Crítico — Encerramento Bloqueado",AND('E08 — Estabilização Hypercare'!$N398="🆕 Evolução Identificada — Nova Demanda Aberta",'E08 — Estabilização Hypercare'!$U398="")),"Bloqueado",IF(AND('E08 — Estabilização Hypercare'!$E398="✔ Concluído",'E08 — Estabilização Hypercare'!$F398="✔ Concluído",'E08 — Estabilização Hypercare'!$G398="✔ Concluído",OR('E08 — Estabilização Hypercare'!$H398="✔ Concluído",'E08 — Estabilização Hypercare'!$H398="N/A"),'E08 — Estabilização Hypercare'!$I398="✔ Concluído",'E08 — Estabilização Hypercare'!$J398="✔ Concluído",OR('E08 — Estabilização Hypercare'!$N398="✅ Estável — Demanda Encerrada",AND('E08 — Estabilização Hypercare'!$N398="🆕 Evolução Identificada — Nova Demanda Aberta",'E08 — Estabilização Hypercare'!$U398&lt;&gt;""))),"Concluído",IF(OR(COUNTIF('E08 — Estabilização Hypercare'!$E398:$J398,"✔ Concluído")&gt;0,COUNTIF('E08 — Estabilização Hypercare'!$E398:$J398,"🔄 Em andamento")&gt;0,'E08 — Estabilização Hypercare'!$N398&lt;&gt;""),"Em andamento","Não iniciado")))))</f>
        <v/>
      </c>
      <c r="M416" s="232" t="str" cm="1">
        <f t="array" ref="M416">IF(B416="","",_xlfn.IFS(E416&lt;&gt;"Concluído","E1 — Solicitação",F416&lt;&gt;"Concluído","E2 — Triagem",G416&lt;&gt;"Concluído","E3 — Levantamento ⚠",H416&lt;&gt;"Concluído","E4 — Execução",I416&lt;&gt;"Concluído","E5 — Validação ⚠",AND(J416&lt;&gt;"Concluído",J416&lt;&gt;"N/A"),"E6 — Ajustes",K416&lt;&gt;"Concluído","E7 — Entrega",L416&lt;&gt;"Concluído","E08 — Estabilização / Hypercare",TRUE,"✔ Fluxo concluído"))</f>
        <v/>
      </c>
      <c r="N416" s="233" t="str">
        <f t="shared" si="6"/>
        <v/>
      </c>
      <c r="O416" s="230"/>
    </row>
    <row r="417" spans="2:15" x14ac:dyDescent="0.35">
      <c r="B417" s="229" t="str">
        <f>IF(Lançamentos!$B394="","",Lançamentos!$B394)</f>
        <v/>
      </c>
      <c r="C417" s="231" t="str">
        <f>IF($B417="","",Lançamentos!$J394)</f>
        <v/>
      </c>
      <c r="D417" s="231" t="str">
        <f>IF($B417="","",Lançamentos!$H394)</f>
        <v/>
      </c>
      <c r="E417" s="229" t="str">
        <f>IF($B417="","",IF(COUNTIF(Lançamentos!$B$3:$B$1001,$B417)=0,"Bloqueado",IF(COUNTIF('E1 — Solicitação'!$E399:$L399,"⛔ Bloqueado")&gt;0,"Bloqueado",IF(COUNTIF('E1 — Solicitação'!$E399:$L399,"N/A")=8,"Bloqueado",IF(COUNTIF('E1 — Solicitação'!$E399:$L399,"✔ Concluído")+COUNTIF('E1 — Solicitação'!$E399:$L399,"N/A")=8,"Concluído",IF(COUNTIF('E1 — Solicitação'!$E399:$L399,"✔ Concluído")+COUNTIF('E1 — Solicitação'!$E399:$L399,"🔄 Em andamento")&gt;0,"Em andamento","Não iniciado"))))))</f>
        <v/>
      </c>
      <c r="F417" s="229" t="str">
        <f>IF($B417="","",IF($E417&lt;&gt;"Concluído","Não iniciado",IF(COUNTIF(Lançamentos!$B$3:$B$1001,$B417)=0,"Bloqueado",IF('E2 — Triagem'!$D399="","Bloqueado",IF(COUNTIF('E2 — Triagem'!$E399:$L399,"N/A")=8,"Bloqueado",IF(COUNTIF('E2 — Triagem'!$E399:$L399,"⛔ Bloqueado")&gt;0,"Bloqueado",IF(COUNTIF('E2 — Triagem'!$E399:$L399,"✔ Concluído")+COUNTIF('E2 — Triagem'!$E399:$L399,"N/A")=8,"Concluído",IF(COUNTIF('E2 — Triagem'!$E399:$L399,"✔ Concluído")+COUNTIF('E2 — Triagem'!$E399:$L399,"🔄 Em andamento")&gt;0,"Em andamento","Não iniciado"))))))))</f>
        <v/>
      </c>
      <c r="G417" s="229" t="str">
        <f>IF($B417="","",IF($F417&lt;&gt;"Concluído","Não iniciado",IF(COUNTIF(Lançamentos!$B$3:$B$1001,$B417)=0,"Bloqueado",IF('E3 — Levantamento'!$D399="","Bloqueado",IF(COUNTIF('E3 — Levantamento'!$E399:$I399,"⛔ Bloqueado")&gt;0,"Bloqueado",IF('E3 — Levantamento'!$I399="N/A","Bloqueado",IF(COUNTIF('E3 — Levantamento'!$E399:$I399,"✔ Concluído")=5,"Concluído",IF(COUNTIF('E3 — Levantamento'!$E399:$I399,"✔ Concluído")+COUNTIF('E3 — Levantamento'!$E399:$I399,"🔄 Em andamento")&gt;0,"Em andamento","Não iniciado"))))))))</f>
        <v/>
      </c>
      <c r="H417" s="229" t="str">
        <f>IF($B417="","",IF($G417&lt;&gt;"Concluído","Não iniciado",IF(COUNTIF(Lançamentos!$B$3:$B$1001,$B417)=0,"Bloqueado",IF('E4 — Execução'!$D399="","Bloqueado",IF(COUNTIF('E4 — Execução'!$E399:$K399,"⛔ Bloqueado")&gt;0,"Bloqueado",IF(COUNTIF('E4 — Execução'!$E399:$K399,"✔ Concluído")=7,"Concluído",IF(COUNTIF('E4 — Execução'!$E399:$K399,"✔ Concluído")+COUNTIF('E4 — Execução'!$E399:$K399,"🔄 Em andamento")&gt;0,"Em andamento","Não iniciado")))))))</f>
        <v/>
      </c>
      <c r="I417" s="229" t="str">
        <f>IF($B417="","",IF($H417&lt;&gt;"Concluído","Não iniciado",IF(COUNTIF(Lançamentos!$B$3:$B$1001,$B417)=0,"Bloqueado",IF('E5 — Validação'!$D399="","Bloqueado",IF(COUNTIF('E5 — Validação'!$E399:$I399,"⛔ Bloqueado")&gt;0,"Bloqueado",IF('E5 — Validação'!$I399="N/A","Bloqueado",IF(AND('E5 — Validação'!$E399="✔ Concluído",'E5 — Validação'!$F399="✔ Concluído",OR('E5 — Validação'!$G399="✔ Concluído",'E5 — Validação'!$G399="N/A"),'E5 — Validação'!$H399="✔ Concluído",'E5 — Validação'!$I399="✔ Concluído"),"Concluído",IF(COUNTIF('E5 — Validação'!$E399:$I399,"✔ Concluído")+COUNTIF('E5 — Validação'!$E399:$I399,"🔄 Em andamento")&gt;0,"Em andamento","Não iniciado"))))))))</f>
        <v/>
      </c>
      <c r="J417" s="229" t="str">
        <f>IF($B417="","",IF($I417&lt;&gt;"Concluído","Não iniciado",IF('E6 — Ajustes'!$N399="Não","N/A",IF(COUNTIF(Lançamentos!$B$3:$B$1001,$B417)=0,"Bloqueado",IF('E6 — Ajustes'!$D399="","Bloqueado",IF(COUNTIF('E6 — Ajustes'!$E399:$J399,"⛔ Bloqueado")&gt;0,"Bloqueado",IF(AND('E6 — Ajustes'!$E399="✔ Concluído",'E6 — Ajustes'!$F399="✔ Concluído",'E6 — Ajustes'!$G399="✔ Concluído",'E6 — Ajustes'!$H399="✔ Concluído",OR('E6 — Ajustes'!$I399="✔ Concluído",'E6 — Ajustes'!$I399="N/A"),'E6 — Ajustes'!$J399="✔ Concluído"),"Concluído",IF(COUNTIF('E6 — Ajustes'!$E399:$J399,"✔ Concluído")+COUNTIF('E6 — Ajustes'!$E399:$J399,"🔄 Em andamento")&gt;0,"Em andamento","Não iniciado"))))))))</f>
        <v/>
      </c>
      <c r="K417" s="229" t="str">
        <f>IF($B417="","",IF($I417&lt;&gt;"Concluído","Não iniciado",IF(AND($J417&lt;&gt;"Concluído",$J417&lt;&gt;"N/A"),"Não iniciado",IF(COUNTIF(Lançamentos!$B$3:$B$1001,$B417)=0,"Bloqueado",IF('E7 — Entrega'!$D399="","Bloqueado",IF(COUNTIF('E7 — Entrega'!$E399:$H399,"⛔ Bloqueado")&gt;0,"Bloqueado",IF(COUNTIF('E7 — Entrega'!$E399:$H399,"✔ Concluído")=4,"Concluído",IF(COUNTIF('E7 — Entrega'!$E399:$H399,"✔ Concluído")+COUNTIF('E7 — Entrega'!$E399:$H399,"🔄 Em andamento")&gt;0,"Em andamento","Não iniciado"))))))))</f>
        <v/>
      </c>
      <c r="L417" s="229" t="str">
        <f>IF($B417="","",IF($K417&lt;&gt;"Concluído","Não iniciado",IF(OR(COUNTIF('E08 — Estabilização Hypercare'!$E399:$J399,"⛔ Bloqueado")&gt;0,'E08 — Estabilização Hypercare'!$N399="⛔ Incidente Crítico — Encerramento Bloqueado",AND('E08 — Estabilização Hypercare'!$N399="🆕 Evolução Identificada — Nova Demanda Aberta",'E08 — Estabilização Hypercare'!$U399="")),"Bloqueado",IF(AND('E08 — Estabilização Hypercare'!$E399="✔ Concluído",'E08 — Estabilização Hypercare'!$F399="✔ Concluído",'E08 — Estabilização Hypercare'!$G399="✔ Concluído",OR('E08 — Estabilização Hypercare'!$H399="✔ Concluído",'E08 — Estabilização Hypercare'!$H399="N/A"),'E08 — Estabilização Hypercare'!$I399="✔ Concluído",'E08 — Estabilização Hypercare'!$J399="✔ Concluído",OR('E08 — Estabilização Hypercare'!$N399="✅ Estável — Demanda Encerrada",AND('E08 — Estabilização Hypercare'!$N399="🆕 Evolução Identificada — Nova Demanda Aberta",'E08 — Estabilização Hypercare'!$U399&lt;&gt;""))),"Concluído",IF(OR(COUNTIF('E08 — Estabilização Hypercare'!$E399:$J399,"✔ Concluído")&gt;0,COUNTIF('E08 — Estabilização Hypercare'!$E399:$J399,"🔄 Em andamento")&gt;0,'E08 — Estabilização Hypercare'!$N399&lt;&gt;""),"Em andamento","Não iniciado")))))</f>
        <v/>
      </c>
      <c r="M417" s="232" t="str" cm="1">
        <f t="array" ref="M417">IF(B417="","",_xlfn.IFS(E417&lt;&gt;"Concluído","E1 — Solicitação",F417&lt;&gt;"Concluído","E2 — Triagem",G417&lt;&gt;"Concluído","E3 — Levantamento ⚠",H417&lt;&gt;"Concluído","E4 — Execução",I417&lt;&gt;"Concluído","E5 — Validação ⚠",AND(J417&lt;&gt;"Concluído",J417&lt;&gt;"N/A"),"E6 — Ajustes",K417&lt;&gt;"Concluído","E7 — Entrega",L417&lt;&gt;"Concluído","E08 — Estabilização / Hypercare",TRUE,"✔ Fluxo concluído"))</f>
        <v/>
      </c>
      <c r="N417" s="233" t="str">
        <f t="shared" si="6"/>
        <v/>
      </c>
      <c r="O417" s="230"/>
    </row>
    <row r="418" spans="2:15" x14ac:dyDescent="0.35">
      <c r="B418" s="229" t="str">
        <f>IF(Lançamentos!$B395="","",Lançamentos!$B395)</f>
        <v/>
      </c>
      <c r="C418" s="231" t="str">
        <f>IF($B418="","",Lançamentos!$J395)</f>
        <v/>
      </c>
      <c r="D418" s="231" t="str">
        <f>IF($B418="","",Lançamentos!$H395)</f>
        <v/>
      </c>
      <c r="E418" s="229" t="str">
        <f>IF($B418="","",IF(COUNTIF(Lançamentos!$B$3:$B$1001,$B418)=0,"Bloqueado",IF(COUNTIF('E1 — Solicitação'!$E400:$L400,"⛔ Bloqueado")&gt;0,"Bloqueado",IF(COUNTIF('E1 — Solicitação'!$E400:$L400,"N/A")=8,"Bloqueado",IF(COUNTIF('E1 — Solicitação'!$E400:$L400,"✔ Concluído")+COUNTIF('E1 — Solicitação'!$E400:$L400,"N/A")=8,"Concluído",IF(COUNTIF('E1 — Solicitação'!$E400:$L400,"✔ Concluído")+COUNTIF('E1 — Solicitação'!$E400:$L400,"🔄 Em andamento")&gt;0,"Em andamento","Não iniciado"))))))</f>
        <v/>
      </c>
      <c r="F418" s="229" t="str">
        <f>IF($B418="","",IF($E418&lt;&gt;"Concluído","Não iniciado",IF(COUNTIF(Lançamentos!$B$3:$B$1001,$B418)=0,"Bloqueado",IF('E2 — Triagem'!$D400="","Bloqueado",IF(COUNTIF('E2 — Triagem'!$E400:$L400,"N/A")=8,"Bloqueado",IF(COUNTIF('E2 — Triagem'!$E400:$L400,"⛔ Bloqueado")&gt;0,"Bloqueado",IF(COUNTIF('E2 — Triagem'!$E400:$L400,"✔ Concluído")+COUNTIF('E2 — Triagem'!$E400:$L400,"N/A")=8,"Concluído",IF(COUNTIF('E2 — Triagem'!$E400:$L400,"✔ Concluído")+COUNTIF('E2 — Triagem'!$E400:$L400,"🔄 Em andamento")&gt;0,"Em andamento","Não iniciado"))))))))</f>
        <v/>
      </c>
      <c r="G418" s="229" t="str">
        <f>IF($B418="","",IF($F418&lt;&gt;"Concluído","Não iniciado",IF(COUNTIF(Lançamentos!$B$3:$B$1001,$B418)=0,"Bloqueado",IF('E3 — Levantamento'!$D400="","Bloqueado",IF(COUNTIF('E3 — Levantamento'!$E400:$I400,"⛔ Bloqueado")&gt;0,"Bloqueado",IF('E3 — Levantamento'!$I400="N/A","Bloqueado",IF(COUNTIF('E3 — Levantamento'!$E400:$I400,"✔ Concluído")=5,"Concluído",IF(COUNTIF('E3 — Levantamento'!$E400:$I400,"✔ Concluído")+COUNTIF('E3 — Levantamento'!$E400:$I400,"🔄 Em andamento")&gt;0,"Em andamento","Não iniciado"))))))))</f>
        <v/>
      </c>
      <c r="H418" s="229" t="str">
        <f>IF($B418="","",IF($G418&lt;&gt;"Concluído","Não iniciado",IF(COUNTIF(Lançamentos!$B$3:$B$1001,$B418)=0,"Bloqueado",IF('E4 — Execução'!$D400="","Bloqueado",IF(COUNTIF('E4 — Execução'!$E400:$K400,"⛔ Bloqueado")&gt;0,"Bloqueado",IF(COUNTIF('E4 — Execução'!$E400:$K400,"✔ Concluído")=7,"Concluído",IF(COUNTIF('E4 — Execução'!$E400:$K400,"✔ Concluído")+COUNTIF('E4 — Execução'!$E400:$K400,"🔄 Em andamento")&gt;0,"Em andamento","Não iniciado")))))))</f>
        <v/>
      </c>
      <c r="I418" s="229" t="str">
        <f>IF($B418="","",IF($H418&lt;&gt;"Concluído","Não iniciado",IF(COUNTIF(Lançamentos!$B$3:$B$1001,$B418)=0,"Bloqueado",IF('E5 — Validação'!$D400="","Bloqueado",IF(COUNTIF('E5 — Validação'!$E400:$I400,"⛔ Bloqueado")&gt;0,"Bloqueado",IF('E5 — Validação'!$I400="N/A","Bloqueado",IF(AND('E5 — Validação'!$E400="✔ Concluído",'E5 — Validação'!$F400="✔ Concluído",OR('E5 — Validação'!$G400="✔ Concluído",'E5 — Validação'!$G400="N/A"),'E5 — Validação'!$H400="✔ Concluído",'E5 — Validação'!$I400="✔ Concluído"),"Concluído",IF(COUNTIF('E5 — Validação'!$E400:$I400,"✔ Concluído")+COUNTIF('E5 — Validação'!$E400:$I400,"🔄 Em andamento")&gt;0,"Em andamento","Não iniciado"))))))))</f>
        <v/>
      </c>
      <c r="J418" s="229" t="str">
        <f>IF($B418="","",IF($I418&lt;&gt;"Concluído","Não iniciado",IF('E6 — Ajustes'!$N400="Não","N/A",IF(COUNTIF(Lançamentos!$B$3:$B$1001,$B418)=0,"Bloqueado",IF('E6 — Ajustes'!$D400="","Bloqueado",IF(COUNTIF('E6 — Ajustes'!$E400:$J400,"⛔ Bloqueado")&gt;0,"Bloqueado",IF(AND('E6 — Ajustes'!$E400="✔ Concluído",'E6 — Ajustes'!$F400="✔ Concluído",'E6 — Ajustes'!$G400="✔ Concluído",'E6 — Ajustes'!$H400="✔ Concluído",OR('E6 — Ajustes'!$I400="✔ Concluído",'E6 — Ajustes'!$I400="N/A"),'E6 — Ajustes'!$J400="✔ Concluído"),"Concluído",IF(COUNTIF('E6 — Ajustes'!$E400:$J400,"✔ Concluído")+COUNTIF('E6 — Ajustes'!$E400:$J400,"🔄 Em andamento")&gt;0,"Em andamento","Não iniciado"))))))))</f>
        <v/>
      </c>
      <c r="K418" s="229" t="str">
        <f>IF($B418="","",IF($I418&lt;&gt;"Concluído","Não iniciado",IF(AND($J418&lt;&gt;"Concluído",$J418&lt;&gt;"N/A"),"Não iniciado",IF(COUNTIF(Lançamentos!$B$3:$B$1001,$B418)=0,"Bloqueado",IF('E7 — Entrega'!$D400="","Bloqueado",IF(COUNTIF('E7 — Entrega'!$E400:$H400,"⛔ Bloqueado")&gt;0,"Bloqueado",IF(COUNTIF('E7 — Entrega'!$E400:$H400,"✔ Concluído")=4,"Concluído",IF(COUNTIF('E7 — Entrega'!$E400:$H400,"✔ Concluído")+COUNTIF('E7 — Entrega'!$E400:$H400,"🔄 Em andamento")&gt;0,"Em andamento","Não iniciado"))))))))</f>
        <v/>
      </c>
      <c r="L418" s="229" t="str">
        <f>IF($B418="","",IF($K418&lt;&gt;"Concluído","Não iniciado",IF(OR(COUNTIF('E08 — Estabilização Hypercare'!$E400:$J400,"⛔ Bloqueado")&gt;0,'E08 — Estabilização Hypercare'!$N400="⛔ Incidente Crítico — Encerramento Bloqueado",AND('E08 — Estabilização Hypercare'!$N400="🆕 Evolução Identificada — Nova Demanda Aberta",'E08 — Estabilização Hypercare'!$U400="")),"Bloqueado",IF(AND('E08 — Estabilização Hypercare'!$E400="✔ Concluído",'E08 — Estabilização Hypercare'!$F400="✔ Concluído",'E08 — Estabilização Hypercare'!$G400="✔ Concluído",OR('E08 — Estabilização Hypercare'!$H400="✔ Concluído",'E08 — Estabilização Hypercare'!$H400="N/A"),'E08 — Estabilização Hypercare'!$I400="✔ Concluído",'E08 — Estabilização Hypercare'!$J400="✔ Concluído",OR('E08 — Estabilização Hypercare'!$N400="✅ Estável — Demanda Encerrada",AND('E08 — Estabilização Hypercare'!$N400="🆕 Evolução Identificada — Nova Demanda Aberta",'E08 — Estabilização Hypercare'!$U400&lt;&gt;""))),"Concluído",IF(OR(COUNTIF('E08 — Estabilização Hypercare'!$E400:$J400,"✔ Concluído")&gt;0,COUNTIF('E08 — Estabilização Hypercare'!$E400:$J400,"🔄 Em andamento")&gt;0,'E08 — Estabilização Hypercare'!$N400&lt;&gt;""),"Em andamento","Não iniciado")))))</f>
        <v/>
      </c>
      <c r="M418" s="232" t="str" cm="1">
        <f t="array" ref="M418">IF(B418="","",_xlfn.IFS(E418&lt;&gt;"Concluído","E1 — Solicitação",F418&lt;&gt;"Concluído","E2 — Triagem",G418&lt;&gt;"Concluído","E3 — Levantamento ⚠",H418&lt;&gt;"Concluído","E4 — Execução",I418&lt;&gt;"Concluído","E5 — Validação ⚠",AND(J418&lt;&gt;"Concluído",J418&lt;&gt;"N/A"),"E6 — Ajustes",K418&lt;&gt;"Concluído","E7 — Entrega",L418&lt;&gt;"Concluído","E08 — Estabilização / Hypercare",TRUE,"✔ Fluxo concluído"))</f>
        <v/>
      </c>
      <c r="N418" s="233" t="str">
        <f t="shared" ref="N418:N481" si="7">IF(B418="","",(COUNTIF(E418:L418,"Concluído")+COUNTIF(E418:L418,"N/A"))/8)</f>
        <v/>
      </c>
      <c r="O418" s="230"/>
    </row>
    <row r="419" spans="2:15" x14ac:dyDescent="0.35">
      <c r="B419" s="229" t="str">
        <f>IF(Lançamentos!$B396="","",Lançamentos!$B396)</f>
        <v/>
      </c>
      <c r="C419" s="231" t="str">
        <f>IF($B419="","",Lançamentos!$J396)</f>
        <v/>
      </c>
      <c r="D419" s="231" t="str">
        <f>IF($B419="","",Lançamentos!$H396)</f>
        <v/>
      </c>
      <c r="E419" s="229" t="str">
        <f>IF($B419="","",IF(COUNTIF(Lançamentos!$B$3:$B$1001,$B419)=0,"Bloqueado",IF(COUNTIF('E1 — Solicitação'!$E401:$L401,"⛔ Bloqueado")&gt;0,"Bloqueado",IF(COUNTIF('E1 — Solicitação'!$E401:$L401,"N/A")=8,"Bloqueado",IF(COUNTIF('E1 — Solicitação'!$E401:$L401,"✔ Concluído")+COUNTIF('E1 — Solicitação'!$E401:$L401,"N/A")=8,"Concluído",IF(COUNTIF('E1 — Solicitação'!$E401:$L401,"✔ Concluído")+COUNTIF('E1 — Solicitação'!$E401:$L401,"🔄 Em andamento")&gt;0,"Em andamento","Não iniciado"))))))</f>
        <v/>
      </c>
      <c r="F419" s="229" t="str">
        <f>IF($B419="","",IF($E419&lt;&gt;"Concluído","Não iniciado",IF(COUNTIF(Lançamentos!$B$3:$B$1001,$B419)=0,"Bloqueado",IF('E2 — Triagem'!$D401="","Bloqueado",IF(COUNTIF('E2 — Triagem'!$E401:$L401,"N/A")=8,"Bloqueado",IF(COUNTIF('E2 — Triagem'!$E401:$L401,"⛔ Bloqueado")&gt;0,"Bloqueado",IF(COUNTIF('E2 — Triagem'!$E401:$L401,"✔ Concluído")+COUNTIF('E2 — Triagem'!$E401:$L401,"N/A")=8,"Concluído",IF(COUNTIF('E2 — Triagem'!$E401:$L401,"✔ Concluído")+COUNTIF('E2 — Triagem'!$E401:$L401,"🔄 Em andamento")&gt;0,"Em andamento","Não iniciado"))))))))</f>
        <v/>
      </c>
      <c r="G419" s="229" t="str">
        <f>IF($B419="","",IF($F419&lt;&gt;"Concluído","Não iniciado",IF(COUNTIF(Lançamentos!$B$3:$B$1001,$B419)=0,"Bloqueado",IF('E3 — Levantamento'!$D401="","Bloqueado",IF(COUNTIF('E3 — Levantamento'!$E401:$I401,"⛔ Bloqueado")&gt;0,"Bloqueado",IF('E3 — Levantamento'!$I401="N/A","Bloqueado",IF(COUNTIF('E3 — Levantamento'!$E401:$I401,"✔ Concluído")=5,"Concluído",IF(COUNTIF('E3 — Levantamento'!$E401:$I401,"✔ Concluído")+COUNTIF('E3 — Levantamento'!$E401:$I401,"🔄 Em andamento")&gt;0,"Em andamento","Não iniciado"))))))))</f>
        <v/>
      </c>
      <c r="H419" s="229" t="str">
        <f>IF($B419="","",IF($G419&lt;&gt;"Concluído","Não iniciado",IF(COUNTIF(Lançamentos!$B$3:$B$1001,$B419)=0,"Bloqueado",IF('E4 — Execução'!$D401="","Bloqueado",IF(COUNTIF('E4 — Execução'!$E401:$K401,"⛔ Bloqueado")&gt;0,"Bloqueado",IF(COUNTIF('E4 — Execução'!$E401:$K401,"✔ Concluído")=7,"Concluído",IF(COUNTIF('E4 — Execução'!$E401:$K401,"✔ Concluído")+COUNTIF('E4 — Execução'!$E401:$K401,"🔄 Em andamento")&gt;0,"Em andamento","Não iniciado")))))))</f>
        <v/>
      </c>
      <c r="I419" s="229" t="str">
        <f>IF($B419="","",IF($H419&lt;&gt;"Concluído","Não iniciado",IF(COUNTIF(Lançamentos!$B$3:$B$1001,$B419)=0,"Bloqueado",IF('E5 — Validação'!$D401="","Bloqueado",IF(COUNTIF('E5 — Validação'!$E401:$I401,"⛔ Bloqueado")&gt;0,"Bloqueado",IF('E5 — Validação'!$I401="N/A","Bloqueado",IF(AND('E5 — Validação'!$E401="✔ Concluído",'E5 — Validação'!$F401="✔ Concluído",OR('E5 — Validação'!$G401="✔ Concluído",'E5 — Validação'!$G401="N/A"),'E5 — Validação'!$H401="✔ Concluído",'E5 — Validação'!$I401="✔ Concluído"),"Concluído",IF(COUNTIF('E5 — Validação'!$E401:$I401,"✔ Concluído")+COUNTIF('E5 — Validação'!$E401:$I401,"🔄 Em andamento")&gt;0,"Em andamento","Não iniciado"))))))))</f>
        <v/>
      </c>
      <c r="J419" s="229" t="str">
        <f>IF($B419="","",IF($I419&lt;&gt;"Concluído","Não iniciado",IF('E6 — Ajustes'!$N401="Não","N/A",IF(COUNTIF(Lançamentos!$B$3:$B$1001,$B419)=0,"Bloqueado",IF('E6 — Ajustes'!$D401="","Bloqueado",IF(COUNTIF('E6 — Ajustes'!$E401:$J401,"⛔ Bloqueado")&gt;0,"Bloqueado",IF(AND('E6 — Ajustes'!$E401="✔ Concluído",'E6 — Ajustes'!$F401="✔ Concluído",'E6 — Ajustes'!$G401="✔ Concluído",'E6 — Ajustes'!$H401="✔ Concluído",OR('E6 — Ajustes'!$I401="✔ Concluído",'E6 — Ajustes'!$I401="N/A"),'E6 — Ajustes'!$J401="✔ Concluído"),"Concluído",IF(COUNTIF('E6 — Ajustes'!$E401:$J401,"✔ Concluído")+COUNTIF('E6 — Ajustes'!$E401:$J401,"🔄 Em andamento")&gt;0,"Em andamento","Não iniciado"))))))))</f>
        <v/>
      </c>
      <c r="K419" s="229" t="str">
        <f>IF($B419="","",IF($I419&lt;&gt;"Concluído","Não iniciado",IF(AND($J419&lt;&gt;"Concluído",$J419&lt;&gt;"N/A"),"Não iniciado",IF(COUNTIF(Lançamentos!$B$3:$B$1001,$B419)=0,"Bloqueado",IF('E7 — Entrega'!$D401="","Bloqueado",IF(COUNTIF('E7 — Entrega'!$E401:$H401,"⛔ Bloqueado")&gt;0,"Bloqueado",IF(COUNTIF('E7 — Entrega'!$E401:$H401,"✔ Concluído")=4,"Concluído",IF(COUNTIF('E7 — Entrega'!$E401:$H401,"✔ Concluído")+COUNTIF('E7 — Entrega'!$E401:$H401,"🔄 Em andamento")&gt;0,"Em andamento","Não iniciado"))))))))</f>
        <v/>
      </c>
      <c r="L419" s="229" t="str">
        <f>IF($B419="","",IF($K419&lt;&gt;"Concluído","Não iniciado",IF(OR(COUNTIF('E08 — Estabilização Hypercare'!$E401:$J401,"⛔ Bloqueado")&gt;0,'E08 — Estabilização Hypercare'!$N401="⛔ Incidente Crítico — Encerramento Bloqueado",AND('E08 — Estabilização Hypercare'!$N401="🆕 Evolução Identificada — Nova Demanda Aberta",'E08 — Estabilização Hypercare'!$U401="")),"Bloqueado",IF(AND('E08 — Estabilização Hypercare'!$E401="✔ Concluído",'E08 — Estabilização Hypercare'!$F401="✔ Concluído",'E08 — Estabilização Hypercare'!$G401="✔ Concluído",OR('E08 — Estabilização Hypercare'!$H401="✔ Concluído",'E08 — Estabilização Hypercare'!$H401="N/A"),'E08 — Estabilização Hypercare'!$I401="✔ Concluído",'E08 — Estabilização Hypercare'!$J401="✔ Concluído",OR('E08 — Estabilização Hypercare'!$N401="✅ Estável — Demanda Encerrada",AND('E08 — Estabilização Hypercare'!$N401="🆕 Evolução Identificada — Nova Demanda Aberta",'E08 — Estabilização Hypercare'!$U401&lt;&gt;""))),"Concluído",IF(OR(COUNTIF('E08 — Estabilização Hypercare'!$E401:$J401,"✔ Concluído")&gt;0,COUNTIF('E08 — Estabilização Hypercare'!$E401:$J401,"🔄 Em andamento")&gt;0,'E08 — Estabilização Hypercare'!$N401&lt;&gt;""),"Em andamento","Não iniciado")))))</f>
        <v/>
      </c>
      <c r="M419" s="232" t="str" cm="1">
        <f t="array" ref="M419">IF(B419="","",_xlfn.IFS(E419&lt;&gt;"Concluído","E1 — Solicitação",F419&lt;&gt;"Concluído","E2 — Triagem",G419&lt;&gt;"Concluído","E3 — Levantamento ⚠",H419&lt;&gt;"Concluído","E4 — Execução",I419&lt;&gt;"Concluído","E5 — Validação ⚠",AND(J419&lt;&gt;"Concluído",J419&lt;&gt;"N/A"),"E6 — Ajustes",K419&lt;&gt;"Concluído","E7 — Entrega",L419&lt;&gt;"Concluído","E08 — Estabilização / Hypercare",TRUE,"✔ Fluxo concluído"))</f>
        <v/>
      </c>
      <c r="N419" s="233" t="str">
        <f t="shared" si="7"/>
        <v/>
      </c>
      <c r="O419" s="230"/>
    </row>
    <row r="420" spans="2:15" x14ac:dyDescent="0.35">
      <c r="B420" s="229" t="str">
        <f>IF(Lançamentos!$B397="","",Lançamentos!$B397)</f>
        <v/>
      </c>
      <c r="C420" s="231" t="str">
        <f>IF($B420="","",Lançamentos!$J397)</f>
        <v/>
      </c>
      <c r="D420" s="231" t="str">
        <f>IF($B420="","",Lançamentos!$H397)</f>
        <v/>
      </c>
      <c r="E420" s="229" t="str">
        <f>IF($B420="","",IF(COUNTIF(Lançamentos!$B$3:$B$1001,$B420)=0,"Bloqueado",IF(COUNTIF('E1 — Solicitação'!$E402:$L402,"⛔ Bloqueado")&gt;0,"Bloqueado",IF(COUNTIF('E1 — Solicitação'!$E402:$L402,"N/A")=8,"Bloqueado",IF(COUNTIF('E1 — Solicitação'!$E402:$L402,"✔ Concluído")+COUNTIF('E1 — Solicitação'!$E402:$L402,"N/A")=8,"Concluído",IF(COUNTIF('E1 — Solicitação'!$E402:$L402,"✔ Concluído")+COUNTIF('E1 — Solicitação'!$E402:$L402,"🔄 Em andamento")&gt;0,"Em andamento","Não iniciado"))))))</f>
        <v/>
      </c>
      <c r="F420" s="229" t="str">
        <f>IF($B420="","",IF($E420&lt;&gt;"Concluído","Não iniciado",IF(COUNTIF(Lançamentos!$B$3:$B$1001,$B420)=0,"Bloqueado",IF('E2 — Triagem'!$D402="","Bloqueado",IF(COUNTIF('E2 — Triagem'!$E402:$L402,"N/A")=8,"Bloqueado",IF(COUNTIF('E2 — Triagem'!$E402:$L402,"⛔ Bloqueado")&gt;0,"Bloqueado",IF(COUNTIF('E2 — Triagem'!$E402:$L402,"✔ Concluído")+COUNTIF('E2 — Triagem'!$E402:$L402,"N/A")=8,"Concluído",IF(COUNTIF('E2 — Triagem'!$E402:$L402,"✔ Concluído")+COUNTIF('E2 — Triagem'!$E402:$L402,"🔄 Em andamento")&gt;0,"Em andamento","Não iniciado"))))))))</f>
        <v/>
      </c>
      <c r="G420" s="229" t="str">
        <f>IF($B420="","",IF($F420&lt;&gt;"Concluído","Não iniciado",IF(COUNTIF(Lançamentos!$B$3:$B$1001,$B420)=0,"Bloqueado",IF('E3 — Levantamento'!$D402="","Bloqueado",IF(COUNTIF('E3 — Levantamento'!$E402:$I402,"⛔ Bloqueado")&gt;0,"Bloqueado",IF('E3 — Levantamento'!$I402="N/A","Bloqueado",IF(COUNTIF('E3 — Levantamento'!$E402:$I402,"✔ Concluído")=5,"Concluído",IF(COUNTIF('E3 — Levantamento'!$E402:$I402,"✔ Concluído")+COUNTIF('E3 — Levantamento'!$E402:$I402,"🔄 Em andamento")&gt;0,"Em andamento","Não iniciado"))))))))</f>
        <v/>
      </c>
      <c r="H420" s="229" t="str">
        <f>IF($B420="","",IF($G420&lt;&gt;"Concluído","Não iniciado",IF(COUNTIF(Lançamentos!$B$3:$B$1001,$B420)=0,"Bloqueado",IF('E4 — Execução'!$D402="","Bloqueado",IF(COUNTIF('E4 — Execução'!$E402:$K402,"⛔ Bloqueado")&gt;0,"Bloqueado",IF(COUNTIF('E4 — Execução'!$E402:$K402,"✔ Concluído")=7,"Concluído",IF(COUNTIF('E4 — Execução'!$E402:$K402,"✔ Concluído")+COUNTIF('E4 — Execução'!$E402:$K402,"🔄 Em andamento")&gt;0,"Em andamento","Não iniciado")))))))</f>
        <v/>
      </c>
      <c r="I420" s="229" t="str">
        <f>IF($B420="","",IF($H420&lt;&gt;"Concluído","Não iniciado",IF(COUNTIF(Lançamentos!$B$3:$B$1001,$B420)=0,"Bloqueado",IF('E5 — Validação'!$D402="","Bloqueado",IF(COUNTIF('E5 — Validação'!$E402:$I402,"⛔ Bloqueado")&gt;0,"Bloqueado",IF('E5 — Validação'!$I402="N/A","Bloqueado",IF(AND('E5 — Validação'!$E402="✔ Concluído",'E5 — Validação'!$F402="✔ Concluído",OR('E5 — Validação'!$G402="✔ Concluído",'E5 — Validação'!$G402="N/A"),'E5 — Validação'!$H402="✔ Concluído",'E5 — Validação'!$I402="✔ Concluído"),"Concluído",IF(COUNTIF('E5 — Validação'!$E402:$I402,"✔ Concluído")+COUNTIF('E5 — Validação'!$E402:$I402,"🔄 Em andamento")&gt;0,"Em andamento","Não iniciado"))))))))</f>
        <v/>
      </c>
      <c r="J420" s="229" t="str">
        <f>IF($B420="","",IF($I420&lt;&gt;"Concluído","Não iniciado",IF('E6 — Ajustes'!$N402="Não","N/A",IF(COUNTIF(Lançamentos!$B$3:$B$1001,$B420)=0,"Bloqueado",IF('E6 — Ajustes'!$D402="","Bloqueado",IF(COUNTIF('E6 — Ajustes'!$E402:$J402,"⛔ Bloqueado")&gt;0,"Bloqueado",IF(AND('E6 — Ajustes'!$E402="✔ Concluído",'E6 — Ajustes'!$F402="✔ Concluído",'E6 — Ajustes'!$G402="✔ Concluído",'E6 — Ajustes'!$H402="✔ Concluído",OR('E6 — Ajustes'!$I402="✔ Concluído",'E6 — Ajustes'!$I402="N/A"),'E6 — Ajustes'!$J402="✔ Concluído"),"Concluído",IF(COUNTIF('E6 — Ajustes'!$E402:$J402,"✔ Concluído")+COUNTIF('E6 — Ajustes'!$E402:$J402,"🔄 Em andamento")&gt;0,"Em andamento","Não iniciado"))))))))</f>
        <v/>
      </c>
      <c r="K420" s="229" t="str">
        <f>IF($B420="","",IF($I420&lt;&gt;"Concluído","Não iniciado",IF(AND($J420&lt;&gt;"Concluído",$J420&lt;&gt;"N/A"),"Não iniciado",IF(COUNTIF(Lançamentos!$B$3:$B$1001,$B420)=0,"Bloqueado",IF('E7 — Entrega'!$D402="","Bloqueado",IF(COUNTIF('E7 — Entrega'!$E402:$H402,"⛔ Bloqueado")&gt;0,"Bloqueado",IF(COUNTIF('E7 — Entrega'!$E402:$H402,"✔ Concluído")=4,"Concluído",IF(COUNTIF('E7 — Entrega'!$E402:$H402,"✔ Concluído")+COUNTIF('E7 — Entrega'!$E402:$H402,"🔄 Em andamento")&gt;0,"Em andamento","Não iniciado"))))))))</f>
        <v/>
      </c>
      <c r="L420" s="229" t="str">
        <f>IF($B420="","",IF($K420&lt;&gt;"Concluído","Não iniciado",IF(OR(COUNTIF('E08 — Estabilização Hypercare'!$E402:$J402,"⛔ Bloqueado")&gt;0,'E08 — Estabilização Hypercare'!$N402="⛔ Incidente Crítico — Encerramento Bloqueado",AND('E08 — Estabilização Hypercare'!$N402="🆕 Evolução Identificada — Nova Demanda Aberta",'E08 — Estabilização Hypercare'!$U402="")),"Bloqueado",IF(AND('E08 — Estabilização Hypercare'!$E402="✔ Concluído",'E08 — Estabilização Hypercare'!$F402="✔ Concluído",'E08 — Estabilização Hypercare'!$G402="✔ Concluído",OR('E08 — Estabilização Hypercare'!$H402="✔ Concluído",'E08 — Estabilização Hypercare'!$H402="N/A"),'E08 — Estabilização Hypercare'!$I402="✔ Concluído",'E08 — Estabilização Hypercare'!$J402="✔ Concluído",OR('E08 — Estabilização Hypercare'!$N402="✅ Estável — Demanda Encerrada",AND('E08 — Estabilização Hypercare'!$N402="🆕 Evolução Identificada — Nova Demanda Aberta",'E08 — Estabilização Hypercare'!$U402&lt;&gt;""))),"Concluído",IF(OR(COUNTIF('E08 — Estabilização Hypercare'!$E402:$J402,"✔ Concluído")&gt;0,COUNTIF('E08 — Estabilização Hypercare'!$E402:$J402,"🔄 Em andamento")&gt;0,'E08 — Estabilização Hypercare'!$N402&lt;&gt;""),"Em andamento","Não iniciado")))))</f>
        <v/>
      </c>
      <c r="M420" s="232" t="str" cm="1">
        <f t="array" ref="M420">IF(B420="","",_xlfn.IFS(E420&lt;&gt;"Concluído","E1 — Solicitação",F420&lt;&gt;"Concluído","E2 — Triagem",G420&lt;&gt;"Concluído","E3 — Levantamento ⚠",H420&lt;&gt;"Concluído","E4 — Execução",I420&lt;&gt;"Concluído","E5 — Validação ⚠",AND(J420&lt;&gt;"Concluído",J420&lt;&gt;"N/A"),"E6 — Ajustes",K420&lt;&gt;"Concluído","E7 — Entrega",L420&lt;&gt;"Concluído","E08 — Estabilização / Hypercare",TRUE,"✔ Fluxo concluído"))</f>
        <v/>
      </c>
      <c r="N420" s="233" t="str">
        <f t="shared" si="7"/>
        <v/>
      </c>
      <c r="O420" s="230"/>
    </row>
    <row r="421" spans="2:15" x14ac:dyDescent="0.35">
      <c r="B421" s="229" t="str">
        <f>IF(Lançamentos!$B398="","",Lançamentos!$B398)</f>
        <v/>
      </c>
      <c r="C421" s="231" t="str">
        <f>IF($B421="","",Lançamentos!$J398)</f>
        <v/>
      </c>
      <c r="D421" s="231" t="str">
        <f>IF($B421="","",Lançamentos!$H398)</f>
        <v/>
      </c>
      <c r="E421" s="229" t="str">
        <f>IF($B421="","",IF(COUNTIF(Lançamentos!$B$3:$B$1001,$B421)=0,"Bloqueado",IF(COUNTIF('E1 — Solicitação'!$E403:$L403,"⛔ Bloqueado")&gt;0,"Bloqueado",IF(COUNTIF('E1 — Solicitação'!$E403:$L403,"N/A")=8,"Bloqueado",IF(COUNTIF('E1 — Solicitação'!$E403:$L403,"✔ Concluído")+COUNTIF('E1 — Solicitação'!$E403:$L403,"N/A")=8,"Concluído",IF(COUNTIF('E1 — Solicitação'!$E403:$L403,"✔ Concluído")+COUNTIF('E1 — Solicitação'!$E403:$L403,"🔄 Em andamento")&gt;0,"Em andamento","Não iniciado"))))))</f>
        <v/>
      </c>
      <c r="F421" s="229" t="str">
        <f>IF($B421="","",IF($E421&lt;&gt;"Concluído","Não iniciado",IF(COUNTIF(Lançamentos!$B$3:$B$1001,$B421)=0,"Bloqueado",IF('E2 — Triagem'!$D403="","Bloqueado",IF(COUNTIF('E2 — Triagem'!$E403:$L403,"N/A")=8,"Bloqueado",IF(COUNTIF('E2 — Triagem'!$E403:$L403,"⛔ Bloqueado")&gt;0,"Bloqueado",IF(COUNTIF('E2 — Triagem'!$E403:$L403,"✔ Concluído")+COUNTIF('E2 — Triagem'!$E403:$L403,"N/A")=8,"Concluído",IF(COUNTIF('E2 — Triagem'!$E403:$L403,"✔ Concluído")+COUNTIF('E2 — Triagem'!$E403:$L403,"🔄 Em andamento")&gt;0,"Em andamento","Não iniciado"))))))))</f>
        <v/>
      </c>
      <c r="G421" s="229" t="str">
        <f>IF($B421="","",IF($F421&lt;&gt;"Concluído","Não iniciado",IF(COUNTIF(Lançamentos!$B$3:$B$1001,$B421)=0,"Bloqueado",IF('E3 — Levantamento'!$D403="","Bloqueado",IF(COUNTIF('E3 — Levantamento'!$E403:$I403,"⛔ Bloqueado")&gt;0,"Bloqueado",IF('E3 — Levantamento'!$I403="N/A","Bloqueado",IF(COUNTIF('E3 — Levantamento'!$E403:$I403,"✔ Concluído")=5,"Concluído",IF(COUNTIF('E3 — Levantamento'!$E403:$I403,"✔ Concluído")+COUNTIF('E3 — Levantamento'!$E403:$I403,"🔄 Em andamento")&gt;0,"Em andamento","Não iniciado"))))))))</f>
        <v/>
      </c>
      <c r="H421" s="229" t="str">
        <f>IF($B421="","",IF($G421&lt;&gt;"Concluído","Não iniciado",IF(COUNTIF(Lançamentos!$B$3:$B$1001,$B421)=0,"Bloqueado",IF('E4 — Execução'!$D403="","Bloqueado",IF(COUNTIF('E4 — Execução'!$E403:$K403,"⛔ Bloqueado")&gt;0,"Bloqueado",IF(COUNTIF('E4 — Execução'!$E403:$K403,"✔ Concluído")=7,"Concluído",IF(COUNTIF('E4 — Execução'!$E403:$K403,"✔ Concluído")+COUNTIF('E4 — Execução'!$E403:$K403,"🔄 Em andamento")&gt;0,"Em andamento","Não iniciado")))))))</f>
        <v/>
      </c>
      <c r="I421" s="229" t="str">
        <f>IF($B421="","",IF($H421&lt;&gt;"Concluído","Não iniciado",IF(COUNTIF(Lançamentos!$B$3:$B$1001,$B421)=0,"Bloqueado",IF('E5 — Validação'!$D403="","Bloqueado",IF(COUNTIF('E5 — Validação'!$E403:$I403,"⛔ Bloqueado")&gt;0,"Bloqueado",IF('E5 — Validação'!$I403="N/A","Bloqueado",IF(AND('E5 — Validação'!$E403="✔ Concluído",'E5 — Validação'!$F403="✔ Concluído",OR('E5 — Validação'!$G403="✔ Concluído",'E5 — Validação'!$G403="N/A"),'E5 — Validação'!$H403="✔ Concluído",'E5 — Validação'!$I403="✔ Concluído"),"Concluído",IF(COUNTIF('E5 — Validação'!$E403:$I403,"✔ Concluído")+COUNTIF('E5 — Validação'!$E403:$I403,"🔄 Em andamento")&gt;0,"Em andamento","Não iniciado"))))))))</f>
        <v/>
      </c>
      <c r="J421" s="229" t="str">
        <f>IF($B421="","",IF($I421&lt;&gt;"Concluído","Não iniciado",IF('E6 — Ajustes'!$N403="Não","N/A",IF(COUNTIF(Lançamentos!$B$3:$B$1001,$B421)=0,"Bloqueado",IF('E6 — Ajustes'!$D403="","Bloqueado",IF(COUNTIF('E6 — Ajustes'!$E403:$J403,"⛔ Bloqueado")&gt;0,"Bloqueado",IF(AND('E6 — Ajustes'!$E403="✔ Concluído",'E6 — Ajustes'!$F403="✔ Concluído",'E6 — Ajustes'!$G403="✔ Concluído",'E6 — Ajustes'!$H403="✔ Concluído",OR('E6 — Ajustes'!$I403="✔ Concluído",'E6 — Ajustes'!$I403="N/A"),'E6 — Ajustes'!$J403="✔ Concluído"),"Concluído",IF(COUNTIF('E6 — Ajustes'!$E403:$J403,"✔ Concluído")+COUNTIF('E6 — Ajustes'!$E403:$J403,"🔄 Em andamento")&gt;0,"Em andamento","Não iniciado"))))))))</f>
        <v/>
      </c>
      <c r="K421" s="229" t="str">
        <f>IF($B421="","",IF($I421&lt;&gt;"Concluído","Não iniciado",IF(AND($J421&lt;&gt;"Concluído",$J421&lt;&gt;"N/A"),"Não iniciado",IF(COUNTIF(Lançamentos!$B$3:$B$1001,$B421)=0,"Bloqueado",IF('E7 — Entrega'!$D403="","Bloqueado",IF(COUNTIF('E7 — Entrega'!$E403:$H403,"⛔ Bloqueado")&gt;0,"Bloqueado",IF(COUNTIF('E7 — Entrega'!$E403:$H403,"✔ Concluído")=4,"Concluído",IF(COUNTIF('E7 — Entrega'!$E403:$H403,"✔ Concluído")+COUNTIF('E7 — Entrega'!$E403:$H403,"🔄 Em andamento")&gt;0,"Em andamento","Não iniciado"))))))))</f>
        <v/>
      </c>
      <c r="L421" s="229" t="str">
        <f>IF($B421="","",IF($K421&lt;&gt;"Concluído","Não iniciado",IF(OR(COUNTIF('E08 — Estabilização Hypercare'!$E403:$J403,"⛔ Bloqueado")&gt;0,'E08 — Estabilização Hypercare'!$N403="⛔ Incidente Crítico — Encerramento Bloqueado",AND('E08 — Estabilização Hypercare'!$N403="🆕 Evolução Identificada — Nova Demanda Aberta",'E08 — Estabilização Hypercare'!$U403="")),"Bloqueado",IF(AND('E08 — Estabilização Hypercare'!$E403="✔ Concluído",'E08 — Estabilização Hypercare'!$F403="✔ Concluído",'E08 — Estabilização Hypercare'!$G403="✔ Concluído",OR('E08 — Estabilização Hypercare'!$H403="✔ Concluído",'E08 — Estabilização Hypercare'!$H403="N/A"),'E08 — Estabilização Hypercare'!$I403="✔ Concluído",'E08 — Estabilização Hypercare'!$J403="✔ Concluído",OR('E08 — Estabilização Hypercare'!$N403="✅ Estável — Demanda Encerrada",AND('E08 — Estabilização Hypercare'!$N403="🆕 Evolução Identificada — Nova Demanda Aberta",'E08 — Estabilização Hypercare'!$U403&lt;&gt;""))),"Concluído",IF(OR(COUNTIF('E08 — Estabilização Hypercare'!$E403:$J403,"✔ Concluído")&gt;0,COUNTIF('E08 — Estabilização Hypercare'!$E403:$J403,"🔄 Em andamento")&gt;0,'E08 — Estabilização Hypercare'!$N403&lt;&gt;""),"Em andamento","Não iniciado")))))</f>
        <v/>
      </c>
      <c r="M421" s="232" t="str" cm="1">
        <f t="array" ref="M421">IF(B421="","",_xlfn.IFS(E421&lt;&gt;"Concluído","E1 — Solicitação",F421&lt;&gt;"Concluído","E2 — Triagem",G421&lt;&gt;"Concluído","E3 — Levantamento ⚠",H421&lt;&gt;"Concluído","E4 — Execução",I421&lt;&gt;"Concluído","E5 — Validação ⚠",AND(J421&lt;&gt;"Concluído",J421&lt;&gt;"N/A"),"E6 — Ajustes",K421&lt;&gt;"Concluído","E7 — Entrega",L421&lt;&gt;"Concluído","E08 — Estabilização / Hypercare",TRUE,"✔ Fluxo concluído"))</f>
        <v/>
      </c>
      <c r="N421" s="233" t="str">
        <f t="shared" si="7"/>
        <v/>
      </c>
      <c r="O421" s="230"/>
    </row>
    <row r="422" spans="2:15" x14ac:dyDescent="0.35">
      <c r="B422" s="229" t="str">
        <f>IF(Lançamentos!$B399="","",Lançamentos!$B399)</f>
        <v/>
      </c>
      <c r="C422" s="231" t="str">
        <f>IF($B422="","",Lançamentos!$J399)</f>
        <v/>
      </c>
      <c r="D422" s="231" t="str">
        <f>IF($B422="","",Lançamentos!$H399)</f>
        <v/>
      </c>
      <c r="E422" s="229" t="str">
        <f>IF($B422="","",IF(COUNTIF(Lançamentos!$B$3:$B$1001,$B422)=0,"Bloqueado",IF(COUNTIF('E1 — Solicitação'!$E404:$L404,"⛔ Bloqueado")&gt;0,"Bloqueado",IF(COUNTIF('E1 — Solicitação'!$E404:$L404,"N/A")=8,"Bloqueado",IF(COUNTIF('E1 — Solicitação'!$E404:$L404,"✔ Concluído")+COUNTIF('E1 — Solicitação'!$E404:$L404,"N/A")=8,"Concluído",IF(COUNTIF('E1 — Solicitação'!$E404:$L404,"✔ Concluído")+COUNTIF('E1 — Solicitação'!$E404:$L404,"🔄 Em andamento")&gt;0,"Em andamento","Não iniciado"))))))</f>
        <v/>
      </c>
      <c r="F422" s="229" t="str">
        <f>IF($B422="","",IF($E422&lt;&gt;"Concluído","Não iniciado",IF(COUNTIF(Lançamentos!$B$3:$B$1001,$B422)=0,"Bloqueado",IF('E2 — Triagem'!$D404="","Bloqueado",IF(COUNTIF('E2 — Triagem'!$E404:$L404,"N/A")=8,"Bloqueado",IF(COUNTIF('E2 — Triagem'!$E404:$L404,"⛔ Bloqueado")&gt;0,"Bloqueado",IF(COUNTIF('E2 — Triagem'!$E404:$L404,"✔ Concluído")+COUNTIF('E2 — Triagem'!$E404:$L404,"N/A")=8,"Concluído",IF(COUNTIF('E2 — Triagem'!$E404:$L404,"✔ Concluído")+COUNTIF('E2 — Triagem'!$E404:$L404,"🔄 Em andamento")&gt;0,"Em andamento","Não iniciado"))))))))</f>
        <v/>
      </c>
      <c r="G422" s="229" t="str">
        <f>IF($B422="","",IF($F422&lt;&gt;"Concluído","Não iniciado",IF(COUNTIF(Lançamentos!$B$3:$B$1001,$B422)=0,"Bloqueado",IF('E3 — Levantamento'!$D404="","Bloqueado",IF(COUNTIF('E3 — Levantamento'!$E404:$I404,"⛔ Bloqueado")&gt;0,"Bloqueado",IF('E3 — Levantamento'!$I404="N/A","Bloqueado",IF(COUNTIF('E3 — Levantamento'!$E404:$I404,"✔ Concluído")=5,"Concluído",IF(COUNTIF('E3 — Levantamento'!$E404:$I404,"✔ Concluído")+COUNTIF('E3 — Levantamento'!$E404:$I404,"🔄 Em andamento")&gt;0,"Em andamento","Não iniciado"))))))))</f>
        <v/>
      </c>
      <c r="H422" s="229" t="str">
        <f>IF($B422="","",IF($G422&lt;&gt;"Concluído","Não iniciado",IF(COUNTIF(Lançamentos!$B$3:$B$1001,$B422)=0,"Bloqueado",IF('E4 — Execução'!$D404="","Bloqueado",IF(COUNTIF('E4 — Execução'!$E404:$K404,"⛔ Bloqueado")&gt;0,"Bloqueado",IF(COUNTIF('E4 — Execução'!$E404:$K404,"✔ Concluído")=7,"Concluído",IF(COUNTIF('E4 — Execução'!$E404:$K404,"✔ Concluído")+COUNTIF('E4 — Execução'!$E404:$K404,"🔄 Em andamento")&gt;0,"Em andamento","Não iniciado")))))))</f>
        <v/>
      </c>
      <c r="I422" s="229" t="str">
        <f>IF($B422="","",IF($H422&lt;&gt;"Concluído","Não iniciado",IF(COUNTIF(Lançamentos!$B$3:$B$1001,$B422)=0,"Bloqueado",IF('E5 — Validação'!$D404="","Bloqueado",IF(COUNTIF('E5 — Validação'!$E404:$I404,"⛔ Bloqueado")&gt;0,"Bloqueado",IF('E5 — Validação'!$I404="N/A","Bloqueado",IF(AND('E5 — Validação'!$E404="✔ Concluído",'E5 — Validação'!$F404="✔ Concluído",OR('E5 — Validação'!$G404="✔ Concluído",'E5 — Validação'!$G404="N/A"),'E5 — Validação'!$H404="✔ Concluído",'E5 — Validação'!$I404="✔ Concluído"),"Concluído",IF(COUNTIF('E5 — Validação'!$E404:$I404,"✔ Concluído")+COUNTIF('E5 — Validação'!$E404:$I404,"🔄 Em andamento")&gt;0,"Em andamento","Não iniciado"))))))))</f>
        <v/>
      </c>
      <c r="J422" s="229" t="str">
        <f>IF($B422="","",IF($I422&lt;&gt;"Concluído","Não iniciado",IF('E6 — Ajustes'!$N404="Não","N/A",IF(COUNTIF(Lançamentos!$B$3:$B$1001,$B422)=0,"Bloqueado",IF('E6 — Ajustes'!$D404="","Bloqueado",IF(COUNTIF('E6 — Ajustes'!$E404:$J404,"⛔ Bloqueado")&gt;0,"Bloqueado",IF(AND('E6 — Ajustes'!$E404="✔ Concluído",'E6 — Ajustes'!$F404="✔ Concluído",'E6 — Ajustes'!$G404="✔ Concluído",'E6 — Ajustes'!$H404="✔ Concluído",OR('E6 — Ajustes'!$I404="✔ Concluído",'E6 — Ajustes'!$I404="N/A"),'E6 — Ajustes'!$J404="✔ Concluído"),"Concluído",IF(COUNTIF('E6 — Ajustes'!$E404:$J404,"✔ Concluído")+COUNTIF('E6 — Ajustes'!$E404:$J404,"🔄 Em andamento")&gt;0,"Em andamento","Não iniciado"))))))))</f>
        <v/>
      </c>
      <c r="K422" s="229" t="str">
        <f>IF($B422="","",IF($I422&lt;&gt;"Concluído","Não iniciado",IF(AND($J422&lt;&gt;"Concluído",$J422&lt;&gt;"N/A"),"Não iniciado",IF(COUNTIF(Lançamentos!$B$3:$B$1001,$B422)=0,"Bloqueado",IF('E7 — Entrega'!$D404="","Bloqueado",IF(COUNTIF('E7 — Entrega'!$E404:$H404,"⛔ Bloqueado")&gt;0,"Bloqueado",IF(COUNTIF('E7 — Entrega'!$E404:$H404,"✔ Concluído")=4,"Concluído",IF(COUNTIF('E7 — Entrega'!$E404:$H404,"✔ Concluído")+COUNTIF('E7 — Entrega'!$E404:$H404,"🔄 Em andamento")&gt;0,"Em andamento","Não iniciado"))))))))</f>
        <v/>
      </c>
      <c r="L422" s="229" t="str">
        <f>IF($B422="","",IF($K422&lt;&gt;"Concluído","Não iniciado",IF(OR(COUNTIF('E08 — Estabilização Hypercare'!$E404:$J404,"⛔ Bloqueado")&gt;0,'E08 — Estabilização Hypercare'!$N404="⛔ Incidente Crítico — Encerramento Bloqueado",AND('E08 — Estabilização Hypercare'!$N404="🆕 Evolução Identificada — Nova Demanda Aberta",'E08 — Estabilização Hypercare'!$U404="")),"Bloqueado",IF(AND('E08 — Estabilização Hypercare'!$E404="✔ Concluído",'E08 — Estabilização Hypercare'!$F404="✔ Concluído",'E08 — Estabilização Hypercare'!$G404="✔ Concluído",OR('E08 — Estabilização Hypercare'!$H404="✔ Concluído",'E08 — Estabilização Hypercare'!$H404="N/A"),'E08 — Estabilização Hypercare'!$I404="✔ Concluído",'E08 — Estabilização Hypercare'!$J404="✔ Concluído",OR('E08 — Estabilização Hypercare'!$N404="✅ Estável — Demanda Encerrada",AND('E08 — Estabilização Hypercare'!$N404="🆕 Evolução Identificada — Nova Demanda Aberta",'E08 — Estabilização Hypercare'!$U404&lt;&gt;""))),"Concluído",IF(OR(COUNTIF('E08 — Estabilização Hypercare'!$E404:$J404,"✔ Concluído")&gt;0,COUNTIF('E08 — Estabilização Hypercare'!$E404:$J404,"🔄 Em andamento")&gt;0,'E08 — Estabilização Hypercare'!$N404&lt;&gt;""),"Em andamento","Não iniciado")))))</f>
        <v/>
      </c>
      <c r="M422" s="232" t="str" cm="1">
        <f t="array" ref="M422">IF(B422="","",_xlfn.IFS(E422&lt;&gt;"Concluído","E1 — Solicitação",F422&lt;&gt;"Concluído","E2 — Triagem",G422&lt;&gt;"Concluído","E3 — Levantamento ⚠",H422&lt;&gt;"Concluído","E4 — Execução",I422&lt;&gt;"Concluído","E5 — Validação ⚠",AND(J422&lt;&gt;"Concluído",J422&lt;&gt;"N/A"),"E6 — Ajustes",K422&lt;&gt;"Concluído","E7 — Entrega",L422&lt;&gt;"Concluído","E08 — Estabilização / Hypercare",TRUE,"✔ Fluxo concluído"))</f>
        <v/>
      </c>
      <c r="N422" s="233" t="str">
        <f t="shared" si="7"/>
        <v/>
      </c>
      <c r="O422" s="230"/>
    </row>
    <row r="423" spans="2:15" x14ac:dyDescent="0.35">
      <c r="B423" s="229" t="str">
        <f>IF(Lançamentos!$B400="","",Lançamentos!$B400)</f>
        <v/>
      </c>
      <c r="C423" s="231" t="str">
        <f>IF($B423="","",Lançamentos!$J400)</f>
        <v/>
      </c>
      <c r="D423" s="231" t="str">
        <f>IF($B423="","",Lançamentos!$H400)</f>
        <v/>
      </c>
      <c r="E423" s="229" t="str">
        <f>IF($B423="","",IF(COUNTIF(Lançamentos!$B$3:$B$1001,$B423)=0,"Bloqueado",IF(COUNTIF('E1 — Solicitação'!$E405:$L405,"⛔ Bloqueado")&gt;0,"Bloqueado",IF(COUNTIF('E1 — Solicitação'!$E405:$L405,"N/A")=8,"Bloqueado",IF(COUNTIF('E1 — Solicitação'!$E405:$L405,"✔ Concluído")+COUNTIF('E1 — Solicitação'!$E405:$L405,"N/A")=8,"Concluído",IF(COUNTIF('E1 — Solicitação'!$E405:$L405,"✔ Concluído")+COUNTIF('E1 — Solicitação'!$E405:$L405,"🔄 Em andamento")&gt;0,"Em andamento","Não iniciado"))))))</f>
        <v/>
      </c>
      <c r="F423" s="229" t="str">
        <f>IF($B423="","",IF($E423&lt;&gt;"Concluído","Não iniciado",IF(COUNTIF(Lançamentos!$B$3:$B$1001,$B423)=0,"Bloqueado",IF('E2 — Triagem'!$D405="","Bloqueado",IF(COUNTIF('E2 — Triagem'!$E405:$L405,"N/A")=8,"Bloqueado",IF(COUNTIF('E2 — Triagem'!$E405:$L405,"⛔ Bloqueado")&gt;0,"Bloqueado",IF(COUNTIF('E2 — Triagem'!$E405:$L405,"✔ Concluído")+COUNTIF('E2 — Triagem'!$E405:$L405,"N/A")=8,"Concluído",IF(COUNTIF('E2 — Triagem'!$E405:$L405,"✔ Concluído")+COUNTIF('E2 — Triagem'!$E405:$L405,"🔄 Em andamento")&gt;0,"Em andamento","Não iniciado"))))))))</f>
        <v/>
      </c>
      <c r="G423" s="229" t="str">
        <f>IF($B423="","",IF($F423&lt;&gt;"Concluído","Não iniciado",IF(COUNTIF(Lançamentos!$B$3:$B$1001,$B423)=0,"Bloqueado",IF('E3 — Levantamento'!$D405="","Bloqueado",IF(COUNTIF('E3 — Levantamento'!$E405:$I405,"⛔ Bloqueado")&gt;0,"Bloqueado",IF('E3 — Levantamento'!$I405="N/A","Bloqueado",IF(COUNTIF('E3 — Levantamento'!$E405:$I405,"✔ Concluído")=5,"Concluído",IF(COUNTIF('E3 — Levantamento'!$E405:$I405,"✔ Concluído")+COUNTIF('E3 — Levantamento'!$E405:$I405,"🔄 Em andamento")&gt;0,"Em andamento","Não iniciado"))))))))</f>
        <v/>
      </c>
      <c r="H423" s="229" t="str">
        <f>IF($B423="","",IF($G423&lt;&gt;"Concluído","Não iniciado",IF(COUNTIF(Lançamentos!$B$3:$B$1001,$B423)=0,"Bloqueado",IF('E4 — Execução'!$D405="","Bloqueado",IF(COUNTIF('E4 — Execução'!$E405:$K405,"⛔ Bloqueado")&gt;0,"Bloqueado",IF(COUNTIF('E4 — Execução'!$E405:$K405,"✔ Concluído")=7,"Concluído",IF(COUNTIF('E4 — Execução'!$E405:$K405,"✔ Concluído")+COUNTIF('E4 — Execução'!$E405:$K405,"🔄 Em andamento")&gt;0,"Em andamento","Não iniciado")))))))</f>
        <v/>
      </c>
      <c r="I423" s="229" t="str">
        <f>IF($B423="","",IF($H423&lt;&gt;"Concluído","Não iniciado",IF(COUNTIF(Lançamentos!$B$3:$B$1001,$B423)=0,"Bloqueado",IF('E5 — Validação'!$D405="","Bloqueado",IF(COUNTIF('E5 — Validação'!$E405:$I405,"⛔ Bloqueado")&gt;0,"Bloqueado",IF('E5 — Validação'!$I405="N/A","Bloqueado",IF(AND('E5 — Validação'!$E405="✔ Concluído",'E5 — Validação'!$F405="✔ Concluído",OR('E5 — Validação'!$G405="✔ Concluído",'E5 — Validação'!$G405="N/A"),'E5 — Validação'!$H405="✔ Concluído",'E5 — Validação'!$I405="✔ Concluído"),"Concluído",IF(COUNTIF('E5 — Validação'!$E405:$I405,"✔ Concluído")+COUNTIF('E5 — Validação'!$E405:$I405,"🔄 Em andamento")&gt;0,"Em andamento","Não iniciado"))))))))</f>
        <v/>
      </c>
      <c r="J423" s="229" t="str">
        <f>IF($B423="","",IF($I423&lt;&gt;"Concluído","Não iniciado",IF('E6 — Ajustes'!$N405="Não","N/A",IF(COUNTIF(Lançamentos!$B$3:$B$1001,$B423)=0,"Bloqueado",IF('E6 — Ajustes'!$D405="","Bloqueado",IF(COUNTIF('E6 — Ajustes'!$E405:$J405,"⛔ Bloqueado")&gt;0,"Bloqueado",IF(AND('E6 — Ajustes'!$E405="✔ Concluído",'E6 — Ajustes'!$F405="✔ Concluído",'E6 — Ajustes'!$G405="✔ Concluído",'E6 — Ajustes'!$H405="✔ Concluído",OR('E6 — Ajustes'!$I405="✔ Concluído",'E6 — Ajustes'!$I405="N/A"),'E6 — Ajustes'!$J405="✔ Concluído"),"Concluído",IF(COUNTIF('E6 — Ajustes'!$E405:$J405,"✔ Concluído")+COUNTIF('E6 — Ajustes'!$E405:$J405,"🔄 Em andamento")&gt;0,"Em andamento","Não iniciado"))))))))</f>
        <v/>
      </c>
      <c r="K423" s="229" t="str">
        <f>IF($B423="","",IF($I423&lt;&gt;"Concluído","Não iniciado",IF(AND($J423&lt;&gt;"Concluído",$J423&lt;&gt;"N/A"),"Não iniciado",IF(COUNTIF(Lançamentos!$B$3:$B$1001,$B423)=0,"Bloqueado",IF('E7 — Entrega'!$D405="","Bloqueado",IF(COUNTIF('E7 — Entrega'!$E405:$H405,"⛔ Bloqueado")&gt;0,"Bloqueado",IF(COUNTIF('E7 — Entrega'!$E405:$H405,"✔ Concluído")=4,"Concluído",IF(COUNTIF('E7 — Entrega'!$E405:$H405,"✔ Concluído")+COUNTIF('E7 — Entrega'!$E405:$H405,"🔄 Em andamento")&gt;0,"Em andamento","Não iniciado"))))))))</f>
        <v/>
      </c>
      <c r="L423" s="229" t="str">
        <f>IF($B423="","",IF($K423&lt;&gt;"Concluído","Não iniciado",IF(OR(COUNTIF('E08 — Estabilização Hypercare'!$E405:$J405,"⛔ Bloqueado")&gt;0,'E08 — Estabilização Hypercare'!$N405="⛔ Incidente Crítico — Encerramento Bloqueado",AND('E08 — Estabilização Hypercare'!$N405="🆕 Evolução Identificada — Nova Demanda Aberta",'E08 — Estabilização Hypercare'!$U405="")),"Bloqueado",IF(AND('E08 — Estabilização Hypercare'!$E405="✔ Concluído",'E08 — Estabilização Hypercare'!$F405="✔ Concluído",'E08 — Estabilização Hypercare'!$G405="✔ Concluído",OR('E08 — Estabilização Hypercare'!$H405="✔ Concluído",'E08 — Estabilização Hypercare'!$H405="N/A"),'E08 — Estabilização Hypercare'!$I405="✔ Concluído",'E08 — Estabilização Hypercare'!$J405="✔ Concluído",OR('E08 — Estabilização Hypercare'!$N405="✅ Estável — Demanda Encerrada",AND('E08 — Estabilização Hypercare'!$N405="🆕 Evolução Identificada — Nova Demanda Aberta",'E08 — Estabilização Hypercare'!$U405&lt;&gt;""))),"Concluído",IF(OR(COUNTIF('E08 — Estabilização Hypercare'!$E405:$J405,"✔ Concluído")&gt;0,COUNTIF('E08 — Estabilização Hypercare'!$E405:$J405,"🔄 Em andamento")&gt;0,'E08 — Estabilização Hypercare'!$N405&lt;&gt;""),"Em andamento","Não iniciado")))))</f>
        <v/>
      </c>
      <c r="M423" s="232" t="str" cm="1">
        <f t="array" ref="M423">IF(B423="","",_xlfn.IFS(E423&lt;&gt;"Concluído","E1 — Solicitação",F423&lt;&gt;"Concluído","E2 — Triagem",G423&lt;&gt;"Concluído","E3 — Levantamento ⚠",H423&lt;&gt;"Concluído","E4 — Execução",I423&lt;&gt;"Concluído","E5 — Validação ⚠",AND(J423&lt;&gt;"Concluído",J423&lt;&gt;"N/A"),"E6 — Ajustes",K423&lt;&gt;"Concluído","E7 — Entrega",L423&lt;&gt;"Concluído","E08 — Estabilização / Hypercare",TRUE,"✔ Fluxo concluído"))</f>
        <v/>
      </c>
      <c r="N423" s="233" t="str">
        <f t="shared" si="7"/>
        <v/>
      </c>
      <c r="O423" s="230"/>
    </row>
    <row r="424" spans="2:15" x14ac:dyDescent="0.35">
      <c r="B424" s="229" t="str">
        <f>IF(Lançamentos!$B401="","",Lançamentos!$B401)</f>
        <v/>
      </c>
      <c r="C424" s="231" t="str">
        <f>IF($B424="","",Lançamentos!$J401)</f>
        <v/>
      </c>
      <c r="D424" s="231" t="str">
        <f>IF($B424="","",Lançamentos!$H401)</f>
        <v/>
      </c>
      <c r="E424" s="229" t="str">
        <f>IF($B424="","",IF(COUNTIF(Lançamentos!$B$3:$B$1001,$B424)=0,"Bloqueado",IF(COUNTIF('E1 — Solicitação'!$E406:$L406,"⛔ Bloqueado")&gt;0,"Bloqueado",IF(COUNTIF('E1 — Solicitação'!$E406:$L406,"N/A")=8,"Bloqueado",IF(COUNTIF('E1 — Solicitação'!$E406:$L406,"✔ Concluído")+COUNTIF('E1 — Solicitação'!$E406:$L406,"N/A")=8,"Concluído",IF(COUNTIF('E1 — Solicitação'!$E406:$L406,"✔ Concluído")+COUNTIF('E1 — Solicitação'!$E406:$L406,"🔄 Em andamento")&gt;0,"Em andamento","Não iniciado"))))))</f>
        <v/>
      </c>
      <c r="F424" s="229" t="str">
        <f>IF($B424="","",IF($E424&lt;&gt;"Concluído","Não iniciado",IF(COUNTIF(Lançamentos!$B$3:$B$1001,$B424)=0,"Bloqueado",IF('E2 — Triagem'!$D406="","Bloqueado",IF(COUNTIF('E2 — Triagem'!$E406:$L406,"N/A")=8,"Bloqueado",IF(COUNTIF('E2 — Triagem'!$E406:$L406,"⛔ Bloqueado")&gt;0,"Bloqueado",IF(COUNTIF('E2 — Triagem'!$E406:$L406,"✔ Concluído")+COUNTIF('E2 — Triagem'!$E406:$L406,"N/A")=8,"Concluído",IF(COUNTIF('E2 — Triagem'!$E406:$L406,"✔ Concluído")+COUNTIF('E2 — Triagem'!$E406:$L406,"🔄 Em andamento")&gt;0,"Em andamento","Não iniciado"))))))))</f>
        <v/>
      </c>
      <c r="G424" s="229" t="str">
        <f>IF($B424="","",IF($F424&lt;&gt;"Concluído","Não iniciado",IF(COUNTIF(Lançamentos!$B$3:$B$1001,$B424)=0,"Bloqueado",IF('E3 — Levantamento'!$D406="","Bloqueado",IF(COUNTIF('E3 — Levantamento'!$E406:$I406,"⛔ Bloqueado")&gt;0,"Bloqueado",IF('E3 — Levantamento'!$I406="N/A","Bloqueado",IF(COUNTIF('E3 — Levantamento'!$E406:$I406,"✔ Concluído")=5,"Concluído",IF(COUNTIF('E3 — Levantamento'!$E406:$I406,"✔ Concluído")+COUNTIF('E3 — Levantamento'!$E406:$I406,"🔄 Em andamento")&gt;0,"Em andamento","Não iniciado"))))))))</f>
        <v/>
      </c>
      <c r="H424" s="229" t="str">
        <f>IF($B424="","",IF($G424&lt;&gt;"Concluído","Não iniciado",IF(COUNTIF(Lançamentos!$B$3:$B$1001,$B424)=0,"Bloqueado",IF('E4 — Execução'!$D406="","Bloqueado",IF(COUNTIF('E4 — Execução'!$E406:$K406,"⛔ Bloqueado")&gt;0,"Bloqueado",IF(COUNTIF('E4 — Execução'!$E406:$K406,"✔ Concluído")=7,"Concluído",IF(COUNTIF('E4 — Execução'!$E406:$K406,"✔ Concluído")+COUNTIF('E4 — Execução'!$E406:$K406,"🔄 Em andamento")&gt;0,"Em andamento","Não iniciado")))))))</f>
        <v/>
      </c>
      <c r="I424" s="229" t="str">
        <f>IF($B424="","",IF($H424&lt;&gt;"Concluído","Não iniciado",IF(COUNTIF(Lançamentos!$B$3:$B$1001,$B424)=0,"Bloqueado",IF('E5 — Validação'!$D406="","Bloqueado",IF(COUNTIF('E5 — Validação'!$E406:$I406,"⛔ Bloqueado")&gt;0,"Bloqueado",IF('E5 — Validação'!$I406="N/A","Bloqueado",IF(AND('E5 — Validação'!$E406="✔ Concluído",'E5 — Validação'!$F406="✔ Concluído",OR('E5 — Validação'!$G406="✔ Concluído",'E5 — Validação'!$G406="N/A"),'E5 — Validação'!$H406="✔ Concluído",'E5 — Validação'!$I406="✔ Concluído"),"Concluído",IF(COUNTIF('E5 — Validação'!$E406:$I406,"✔ Concluído")+COUNTIF('E5 — Validação'!$E406:$I406,"🔄 Em andamento")&gt;0,"Em andamento","Não iniciado"))))))))</f>
        <v/>
      </c>
      <c r="J424" s="229" t="str">
        <f>IF($B424="","",IF($I424&lt;&gt;"Concluído","Não iniciado",IF('E6 — Ajustes'!$N406="Não","N/A",IF(COUNTIF(Lançamentos!$B$3:$B$1001,$B424)=0,"Bloqueado",IF('E6 — Ajustes'!$D406="","Bloqueado",IF(COUNTIF('E6 — Ajustes'!$E406:$J406,"⛔ Bloqueado")&gt;0,"Bloqueado",IF(AND('E6 — Ajustes'!$E406="✔ Concluído",'E6 — Ajustes'!$F406="✔ Concluído",'E6 — Ajustes'!$G406="✔ Concluído",'E6 — Ajustes'!$H406="✔ Concluído",OR('E6 — Ajustes'!$I406="✔ Concluído",'E6 — Ajustes'!$I406="N/A"),'E6 — Ajustes'!$J406="✔ Concluído"),"Concluído",IF(COUNTIF('E6 — Ajustes'!$E406:$J406,"✔ Concluído")+COUNTIF('E6 — Ajustes'!$E406:$J406,"🔄 Em andamento")&gt;0,"Em andamento","Não iniciado"))))))))</f>
        <v/>
      </c>
      <c r="K424" s="229" t="str">
        <f>IF($B424="","",IF($I424&lt;&gt;"Concluído","Não iniciado",IF(AND($J424&lt;&gt;"Concluído",$J424&lt;&gt;"N/A"),"Não iniciado",IF(COUNTIF(Lançamentos!$B$3:$B$1001,$B424)=0,"Bloqueado",IF('E7 — Entrega'!$D406="","Bloqueado",IF(COUNTIF('E7 — Entrega'!$E406:$H406,"⛔ Bloqueado")&gt;0,"Bloqueado",IF(COUNTIF('E7 — Entrega'!$E406:$H406,"✔ Concluído")=4,"Concluído",IF(COUNTIF('E7 — Entrega'!$E406:$H406,"✔ Concluído")+COUNTIF('E7 — Entrega'!$E406:$H406,"🔄 Em andamento")&gt;0,"Em andamento","Não iniciado"))))))))</f>
        <v/>
      </c>
      <c r="L424" s="229" t="str">
        <f>IF($B424="","",IF($K424&lt;&gt;"Concluído","Não iniciado",IF(OR(COUNTIF('E08 — Estabilização Hypercare'!$E406:$J406,"⛔ Bloqueado")&gt;0,'E08 — Estabilização Hypercare'!$N406="⛔ Incidente Crítico — Encerramento Bloqueado",AND('E08 — Estabilização Hypercare'!$N406="🆕 Evolução Identificada — Nova Demanda Aberta",'E08 — Estabilização Hypercare'!$U406="")),"Bloqueado",IF(AND('E08 — Estabilização Hypercare'!$E406="✔ Concluído",'E08 — Estabilização Hypercare'!$F406="✔ Concluído",'E08 — Estabilização Hypercare'!$G406="✔ Concluído",OR('E08 — Estabilização Hypercare'!$H406="✔ Concluído",'E08 — Estabilização Hypercare'!$H406="N/A"),'E08 — Estabilização Hypercare'!$I406="✔ Concluído",'E08 — Estabilização Hypercare'!$J406="✔ Concluído",OR('E08 — Estabilização Hypercare'!$N406="✅ Estável — Demanda Encerrada",AND('E08 — Estabilização Hypercare'!$N406="🆕 Evolução Identificada — Nova Demanda Aberta",'E08 — Estabilização Hypercare'!$U406&lt;&gt;""))),"Concluído",IF(OR(COUNTIF('E08 — Estabilização Hypercare'!$E406:$J406,"✔ Concluído")&gt;0,COUNTIF('E08 — Estabilização Hypercare'!$E406:$J406,"🔄 Em andamento")&gt;0,'E08 — Estabilização Hypercare'!$N406&lt;&gt;""),"Em andamento","Não iniciado")))))</f>
        <v/>
      </c>
      <c r="M424" s="232" t="str" cm="1">
        <f t="array" ref="M424">IF(B424="","",_xlfn.IFS(E424&lt;&gt;"Concluído","E1 — Solicitação",F424&lt;&gt;"Concluído","E2 — Triagem",G424&lt;&gt;"Concluído","E3 — Levantamento ⚠",H424&lt;&gt;"Concluído","E4 — Execução",I424&lt;&gt;"Concluído","E5 — Validação ⚠",AND(J424&lt;&gt;"Concluído",J424&lt;&gt;"N/A"),"E6 — Ajustes",K424&lt;&gt;"Concluído","E7 — Entrega",L424&lt;&gt;"Concluído","E08 — Estabilização / Hypercare",TRUE,"✔ Fluxo concluído"))</f>
        <v/>
      </c>
      <c r="N424" s="233" t="str">
        <f t="shared" si="7"/>
        <v/>
      </c>
      <c r="O424" s="230"/>
    </row>
    <row r="425" spans="2:15" x14ac:dyDescent="0.35">
      <c r="B425" s="229" t="str">
        <f>IF(Lançamentos!$B402="","",Lançamentos!$B402)</f>
        <v/>
      </c>
      <c r="C425" s="231" t="str">
        <f>IF($B425="","",Lançamentos!$J402)</f>
        <v/>
      </c>
      <c r="D425" s="231" t="str">
        <f>IF($B425="","",Lançamentos!$H402)</f>
        <v/>
      </c>
      <c r="E425" s="229" t="str">
        <f>IF($B425="","",IF(COUNTIF(Lançamentos!$B$3:$B$1001,$B425)=0,"Bloqueado",IF(COUNTIF('E1 — Solicitação'!$E407:$L407,"⛔ Bloqueado")&gt;0,"Bloqueado",IF(COUNTIF('E1 — Solicitação'!$E407:$L407,"N/A")=8,"Bloqueado",IF(COUNTIF('E1 — Solicitação'!$E407:$L407,"✔ Concluído")+COUNTIF('E1 — Solicitação'!$E407:$L407,"N/A")=8,"Concluído",IF(COUNTIF('E1 — Solicitação'!$E407:$L407,"✔ Concluído")+COUNTIF('E1 — Solicitação'!$E407:$L407,"🔄 Em andamento")&gt;0,"Em andamento","Não iniciado"))))))</f>
        <v/>
      </c>
      <c r="F425" s="229" t="str">
        <f>IF($B425="","",IF($E425&lt;&gt;"Concluído","Não iniciado",IF(COUNTIF(Lançamentos!$B$3:$B$1001,$B425)=0,"Bloqueado",IF('E2 — Triagem'!$D407="","Bloqueado",IF(COUNTIF('E2 — Triagem'!$E407:$L407,"N/A")=8,"Bloqueado",IF(COUNTIF('E2 — Triagem'!$E407:$L407,"⛔ Bloqueado")&gt;0,"Bloqueado",IF(COUNTIF('E2 — Triagem'!$E407:$L407,"✔ Concluído")+COUNTIF('E2 — Triagem'!$E407:$L407,"N/A")=8,"Concluído",IF(COUNTIF('E2 — Triagem'!$E407:$L407,"✔ Concluído")+COUNTIF('E2 — Triagem'!$E407:$L407,"🔄 Em andamento")&gt;0,"Em andamento","Não iniciado"))))))))</f>
        <v/>
      </c>
      <c r="G425" s="229" t="str">
        <f>IF($B425="","",IF($F425&lt;&gt;"Concluído","Não iniciado",IF(COUNTIF(Lançamentos!$B$3:$B$1001,$B425)=0,"Bloqueado",IF('E3 — Levantamento'!$D407="","Bloqueado",IF(COUNTIF('E3 — Levantamento'!$E407:$I407,"⛔ Bloqueado")&gt;0,"Bloqueado",IF('E3 — Levantamento'!$I407="N/A","Bloqueado",IF(COUNTIF('E3 — Levantamento'!$E407:$I407,"✔ Concluído")=5,"Concluído",IF(COUNTIF('E3 — Levantamento'!$E407:$I407,"✔ Concluído")+COUNTIF('E3 — Levantamento'!$E407:$I407,"🔄 Em andamento")&gt;0,"Em andamento","Não iniciado"))))))))</f>
        <v/>
      </c>
      <c r="H425" s="229" t="str">
        <f>IF($B425="","",IF($G425&lt;&gt;"Concluído","Não iniciado",IF(COUNTIF(Lançamentos!$B$3:$B$1001,$B425)=0,"Bloqueado",IF('E4 — Execução'!$D407="","Bloqueado",IF(COUNTIF('E4 — Execução'!$E407:$K407,"⛔ Bloqueado")&gt;0,"Bloqueado",IF(COUNTIF('E4 — Execução'!$E407:$K407,"✔ Concluído")=7,"Concluído",IF(COUNTIF('E4 — Execução'!$E407:$K407,"✔ Concluído")+COUNTIF('E4 — Execução'!$E407:$K407,"🔄 Em andamento")&gt;0,"Em andamento","Não iniciado")))))))</f>
        <v/>
      </c>
      <c r="I425" s="229" t="str">
        <f>IF($B425="","",IF($H425&lt;&gt;"Concluído","Não iniciado",IF(COUNTIF(Lançamentos!$B$3:$B$1001,$B425)=0,"Bloqueado",IF('E5 — Validação'!$D407="","Bloqueado",IF(COUNTIF('E5 — Validação'!$E407:$I407,"⛔ Bloqueado")&gt;0,"Bloqueado",IF('E5 — Validação'!$I407="N/A","Bloqueado",IF(AND('E5 — Validação'!$E407="✔ Concluído",'E5 — Validação'!$F407="✔ Concluído",OR('E5 — Validação'!$G407="✔ Concluído",'E5 — Validação'!$G407="N/A"),'E5 — Validação'!$H407="✔ Concluído",'E5 — Validação'!$I407="✔ Concluído"),"Concluído",IF(COUNTIF('E5 — Validação'!$E407:$I407,"✔ Concluído")+COUNTIF('E5 — Validação'!$E407:$I407,"🔄 Em andamento")&gt;0,"Em andamento","Não iniciado"))))))))</f>
        <v/>
      </c>
      <c r="J425" s="229" t="str">
        <f>IF($B425="","",IF($I425&lt;&gt;"Concluído","Não iniciado",IF('E6 — Ajustes'!$N407="Não","N/A",IF(COUNTIF(Lançamentos!$B$3:$B$1001,$B425)=0,"Bloqueado",IF('E6 — Ajustes'!$D407="","Bloqueado",IF(COUNTIF('E6 — Ajustes'!$E407:$J407,"⛔ Bloqueado")&gt;0,"Bloqueado",IF(AND('E6 — Ajustes'!$E407="✔ Concluído",'E6 — Ajustes'!$F407="✔ Concluído",'E6 — Ajustes'!$G407="✔ Concluído",'E6 — Ajustes'!$H407="✔ Concluído",OR('E6 — Ajustes'!$I407="✔ Concluído",'E6 — Ajustes'!$I407="N/A"),'E6 — Ajustes'!$J407="✔ Concluído"),"Concluído",IF(COUNTIF('E6 — Ajustes'!$E407:$J407,"✔ Concluído")+COUNTIF('E6 — Ajustes'!$E407:$J407,"🔄 Em andamento")&gt;0,"Em andamento","Não iniciado"))))))))</f>
        <v/>
      </c>
      <c r="K425" s="229" t="str">
        <f>IF($B425="","",IF($I425&lt;&gt;"Concluído","Não iniciado",IF(AND($J425&lt;&gt;"Concluído",$J425&lt;&gt;"N/A"),"Não iniciado",IF(COUNTIF(Lançamentos!$B$3:$B$1001,$B425)=0,"Bloqueado",IF('E7 — Entrega'!$D407="","Bloqueado",IF(COUNTIF('E7 — Entrega'!$E407:$H407,"⛔ Bloqueado")&gt;0,"Bloqueado",IF(COUNTIF('E7 — Entrega'!$E407:$H407,"✔ Concluído")=4,"Concluído",IF(COUNTIF('E7 — Entrega'!$E407:$H407,"✔ Concluído")+COUNTIF('E7 — Entrega'!$E407:$H407,"🔄 Em andamento")&gt;0,"Em andamento","Não iniciado"))))))))</f>
        <v/>
      </c>
      <c r="L425" s="229" t="str">
        <f>IF($B425="","",IF($K425&lt;&gt;"Concluído","Não iniciado",IF(OR(COUNTIF('E08 — Estabilização Hypercare'!$E407:$J407,"⛔ Bloqueado")&gt;0,'E08 — Estabilização Hypercare'!$N407="⛔ Incidente Crítico — Encerramento Bloqueado",AND('E08 — Estabilização Hypercare'!$N407="🆕 Evolução Identificada — Nova Demanda Aberta",'E08 — Estabilização Hypercare'!$U407="")),"Bloqueado",IF(AND('E08 — Estabilização Hypercare'!$E407="✔ Concluído",'E08 — Estabilização Hypercare'!$F407="✔ Concluído",'E08 — Estabilização Hypercare'!$G407="✔ Concluído",OR('E08 — Estabilização Hypercare'!$H407="✔ Concluído",'E08 — Estabilização Hypercare'!$H407="N/A"),'E08 — Estabilização Hypercare'!$I407="✔ Concluído",'E08 — Estabilização Hypercare'!$J407="✔ Concluído",OR('E08 — Estabilização Hypercare'!$N407="✅ Estável — Demanda Encerrada",AND('E08 — Estabilização Hypercare'!$N407="🆕 Evolução Identificada — Nova Demanda Aberta",'E08 — Estabilização Hypercare'!$U407&lt;&gt;""))),"Concluído",IF(OR(COUNTIF('E08 — Estabilização Hypercare'!$E407:$J407,"✔ Concluído")&gt;0,COUNTIF('E08 — Estabilização Hypercare'!$E407:$J407,"🔄 Em andamento")&gt;0,'E08 — Estabilização Hypercare'!$N407&lt;&gt;""),"Em andamento","Não iniciado")))))</f>
        <v/>
      </c>
      <c r="M425" s="232" t="str" cm="1">
        <f t="array" ref="M425">IF(B425="","",_xlfn.IFS(E425&lt;&gt;"Concluído","E1 — Solicitação",F425&lt;&gt;"Concluído","E2 — Triagem",G425&lt;&gt;"Concluído","E3 — Levantamento ⚠",H425&lt;&gt;"Concluído","E4 — Execução",I425&lt;&gt;"Concluído","E5 — Validação ⚠",AND(J425&lt;&gt;"Concluído",J425&lt;&gt;"N/A"),"E6 — Ajustes",K425&lt;&gt;"Concluído","E7 — Entrega",L425&lt;&gt;"Concluído","E08 — Estabilização / Hypercare",TRUE,"✔ Fluxo concluído"))</f>
        <v/>
      </c>
      <c r="N425" s="233" t="str">
        <f t="shared" si="7"/>
        <v/>
      </c>
      <c r="O425" s="230"/>
    </row>
    <row r="426" spans="2:15" x14ac:dyDescent="0.35">
      <c r="B426" s="229" t="str">
        <f>IF(Lançamentos!$B403="","",Lançamentos!$B403)</f>
        <v/>
      </c>
      <c r="C426" s="231" t="str">
        <f>IF($B426="","",Lançamentos!$J403)</f>
        <v/>
      </c>
      <c r="D426" s="231" t="str">
        <f>IF($B426="","",Lançamentos!$H403)</f>
        <v/>
      </c>
      <c r="E426" s="229" t="str">
        <f>IF($B426="","",IF(COUNTIF(Lançamentos!$B$3:$B$1001,$B426)=0,"Bloqueado",IF(COUNTIF('E1 — Solicitação'!$E408:$L408,"⛔ Bloqueado")&gt;0,"Bloqueado",IF(COUNTIF('E1 — Solicitação'!$E408:$L408,"N/A")=8,"Bloqueado",IF(COUNTIF('E1 — Solicitação'!$E408:$L408,"✔ Concluído")+COUNTIF('E1 — Solicitação'!$E408:$L408,"N/A")=8,"Concluído",IF(COUNTIF('E1 — Solicitação'!$E408:$L408,"✔ Concluído")+COUNTIF('E1 — Solicitação'!$E408:$L408,"🔄 Em andamento")&gt;0,"Em andamento","Não iniciado"))))))</f>
        <v/>
      </c>
      <c r="F426" s="229" t="str">
        <f>IF($B426="","",IF($E426&lt;&gt;"Concluído","Não iniciado",IF(COUNTIF(Lançamentos!$B$3:$B$1001,$B426)=0,"Bloqueado",IF('E2 — Triagem'!$D408="","Bloqueado",IF(COUNTIF('E2 — Triagem'!$E408:$L408,"N/A")=8,"Bloqueado",IF(COUNTIF('E2 — Triagem'!$E408:$L408,"⛔ Bloqueado")&gt;0,"Bloqueado",IF(COUNTIF('E2 — Triagem'!$E408:$L408,"✔ Concluído")+COUNTIF('E2 — Triagem'!$E408:$L408,"N/A")=8,"Concluído",IF(COUNTIF('E2 — Triagem'!$E408:$L408,"✔ Concluído")+COUNTIF('E2 — Triagem'!$E408:$L408,"🔄 Em andamento")&gt;0,"Em andamento","Não iniciado"))))))))</f>
        <v/>
      </c>
      <c r="G426" s="229" t="str">
        <f>IF($B426="","",IF($F426&lt;&gt;"Concluído","Não iniciado",IF(COUNTIF(Lançamentos!$B$3:$B$1001,$B426)=0,"Bloqueado",IF('E3 — Levantamento'!$D408="","Bloqueado",IF(COUNTIF('E3 — Levantamento'!$E408:$I408,"⛔ Bloqueado")&gt;0,"Bloqueado",IF('E3 — Levantamento'!$I408="N/A","Bloqueado",IF(COUNTIF('E3 — Levantamento'!$E408:$I408,"✔ Concluído")=5,"Concluído",IF(COUNTIF('E3 — Levantamento'!$E408:$I408,"✔ Concluído")+COUNTIF('E3 — Levantamento'!$E408:$I408,"🔄 Em andamento")&gt;0,"Em andamento","Não iniciado"))))))))</f>
        <v/>
      </c>
      <c r="H426" s="229" t="str">
        <f>IF($B426="","",IF($G426&lt;&gt;"Concluído","Não iniciado",IF(COUNTIF(Lançamentos!$B$3:$B$1001,$B426)=0,"Bloqueado",IF('E4 — Execução'!$D408="","Bloqueado",IF(COUNTIF('E4 — Execução'!$E408:$K408,"⛔ Bloqueado")&gt;0,"Bloqueado",IF(COUNTIF('E4 — Execução'!$E408:$K408,"✔ Concluído")=7,"Concluído",IF(COUNTIF('E4 — Execução'!$E408:$K408,"✔ Concluído")+COUNTIF('E4 — Execução'!$E408:$K408,"🔄 Em andamento")&gt;0,"Em andamento","Não iniciado")))))))</f>
        <v/>
      </c>
      <c r="I426" s="229" t="str">
        <f>IF($B426="","",IF($H426&lt;&gt;"Concluído","Não iniciado",IF(COUNTIF(Lançamentos!$B$3:$B$1001,$B426)=0,"Bloqueado",IF('E5 — Validação'!$D408="","Bloqueado",IF(COUNTIF('E5 — Validação'!$E408:$I408,"⛔ Bloqueado")&gt;0,"Bloqueado",IF('E5 — Validação'!$I408="N/A","Bloqueado",IF(AND('E5 — Validação'!$E408="✔ Concluído",'E5 — Validação'!$F408="✔ Concluído",OR('E5 — Validação'!$G408="✔ Concluído",'E5 — Validação'!$G408="N/A"),'E5 — Validação'!$H408="✔ Concluído",'E5 — Validação'!$I408="✔ Concluído"),"Concluído",IF(COUNTIF('E5 — Validação'!$E408:$I408,"✔ Concluído")+COUNTIF('E5 — Validação'!$E408:$I408,"🔄 Em andamento")&gt;0,"Em andamento","Não iniciado"))))))))</f>
        <v/>
      </c>
      <c r="J426" s="229" t="str">
        <f>IF($B426="","",IF($I426&lt;&gt;"Concluído","Não iniciado",IF('E6 — Ajustes'!$N408="Não","N/A",IF(COUNTIF(Lançamentos!$B$3:$B$1001,$B426)=0,"Bloqueado",IF('E6 — Ajustes'!$D408="","Bloqueado",IF(COUNTIF('E6 — Ajustes'!$E408:$J408,"⛔ Bloqueado")&gt;0,"Bloqueado",IF(AND('E6 — Ajustes'!$E408="✔ Concluído",'E6 — Ajustes'!$F408="✔ Concluído",'E6 — Ajustes'!$G408="✔ Concluído",'E6 — Ajustes'!$H408="✔ Concluído",OR('E6 — Ajustes'!$I408="✔ Concluído",'E6 — Ajustes'!$I408="N/A"),'E6 — Ajustes'!$J408="✔ Concluído"),"Concluído",IF(COUNTIF('E6 — Ajustes'!$E408:$J408,"✔ Concluído")+COUNTIF('E6 — Ajustes'!$E408:$J408,"🔄 Em andamento")&gt;0,"Em andamento","Não iniciado"))))))))</f>
        <v/>
      </c>
      <c r="K426" s="229" t="str">
        <f>IF($B426="","",IF($I426&lt;&gt;"Concluído","Não iniciado",IF(AND($J426&lt;&gt;"Concluído",$J426&lt;&gt;"N/A"),"Não iniciado",IF(COUNTIF(Lançamentos!$B$3:$B$1001,$B426)=0,"Bloqueado",IF('E7 — Entrega'!$D408="","Bloqueado",IF(COUNTIF('E7 — Entrega'!$E408:$H408,"⛔ Bloqueado")&gt;0,"Bloqueado",IF(COUNTIF('E7 — Entrega'!$E408:$H408,"✔ Concluído")=4,"Concluído",IF(COUNTIF('E7 — Entrega'!$E408:$H408,"✔ Concluído")+COUNTIF('E7 — Entrega'!$E408:$H408,"🔄 Em andamento")&gt;0,"Em andamento","Não iniciado"))))))))</f>
        <v/>
      </c>
      <c r="L426" s="229" t="str">
        <f>IF($B426="","",IF($K426&lt;&gt;"Concluído","Não iniciado",IF(OR(COUNTIF('E08 — Estabilização Hypercare'!$E408:$J408,"⛔ Bloqueado")&gt;0,'E08 — Estabilização Hypercare'!$N408="⛔ Incidente Crítico — Encerramento Bloqueado",AND('E08 — Estabilização Hypercare'!$N408="🆕 Evolução Identificada — Nova Demanda Aberta",'E08 — Estabilização Hypercare'!$U408="")),"Bloqueado",IF(AND('E08 — Estabilização Hypercare'!$E408="✔ Concluído",'E08 — Estabilização Hypercare'!$F408="✔ Concluído",'E08 — Estabilização Hypercare'!$G408="✔ Concluído",OR('E08 — Estabilização Hypercare'!$H408="✔ Concluído",'E08 — Estabilização Hypercare'!$H408="N/A"),'E08 — Estabilização Hypercare'!$I408="✔ Concluído",'E08 — Estabilização Hypercare'!$J408="✔ Concluído",OR('E08 — Estabilização Hypercare'!$N408="✅ Estável — Demanda Encerrada",AND('E08 — Estabilização Hypercare'!$N408="🆕 Evolução Identificada — Nova Demanda Aberta",'E08 — Estabilização Hypercare'!$U408&lt;&gt;""))),"Concluído",IF(OR(COUNTIF('E08 — Estabilização Hypercare'!$E408:$J408,"✔ Concluído")&gt;0,COUNTIF('E08 — Estabilização Hypercare'!$E408:$J408,"🔄 Em andamento")&gt;0,'E08 — Estabilização Hypercare'!$N408&lt;&gt;""),"Em andamento","Não iniciado")))))</f>
        <v/>
      </c>
      <c r="M426" s="232" t="str" cm="1">
        <f t="array" ref="M426">IF(B426="","",_xlfn.IFS(E426&lt;&gt;"Concluído","E1 — Solicitação",F426&lt;&gt;"Concluído","E2 — Triagem",G426&lt;&gt;"Concluído","E3 — Levantamento ⚠",H426&lt;&gt;"Concluído","E4 — Execução",I426&lt;&gt;"Concluído","E5 — Validação ⚠",AND(J426&lt;&gt;"Concluído",J426&lt;&gt;"N/A"),"E6 — Ajustes",K426&lt;&gt;"Concluído","E7 — Entrega",L426&lt;&gt;"Concluído","E08 — Estabilização / Hypercare",TRUE,"✔ Fluxo concluído"))</f>
        <v/>
      </c>
      <c r="N426" s="233" t="str">
        <f t="shared" si="7"/>
        <v/>
      </c>
      <c r="O426" s="230"/>
    </row>
    <row r="427" spans="2:15" x14ac:dyDescent="0.35">
      <c r="B427" s="229" t="str">
        <f>IF(Lançamentos!$B404="","",Lançamentos!$B404)</f>
        <v/>
      </c>
      <c r="C427" s="231" t="str">
        <f>IF($B427="","",Lançamentos!$J404)</f>
        <v/>
      </c>
      <c r="D427" s="231" t="str">
        <f>IF($B427="","",Lançamentos!$H404)</f>
        <v/>
      </c>
      <c r="E427" s="229" t="str">
        <f>IF($B427="","",IF(COUNTIF(Lançamentos!$B$3:$B$1001,$B427)=0,"Bloqueado",IF(COUNTIF('E1 — Solicitação'!$E409:$L409,"⛔ Bloqueado")&gt;0,"Bloqueado",IF(COUNTIF('E1 — Solicitação'!$E409:$L409,"N/A")=8,"Bloqueado",IF(COUNTIF('E1 — Solicitação'!$E409:$L409,"✔ Concluído")+COUNTIF('E1 — Solicitação'!$E409:$L409,"N/A")=8,"Concluído",IF(COUNTIF('E1 — Solicitação'!$E409:$L409,"✔ Concluído")+COUNTIF('E1 — Solicitação'!$E409:$L409,"🔄 Em andamento")&gt;0,"Em andamento","Não iniciado"))))))</f>
        <v/>
      </c>
      <c r="F427" s="229" t="str">
        <f>IF($B427="","",IF($E427&lt;&gt;"Concluído","Não iniciado",IF(COUNTIF(Lançamentos!$B$3:$B$1001,$B427)=0,"Bloqueado",IF('E2 — Triagem'!$D409="","Bloqueado",IF(COUNTIF('E2 — Triagem'!$E409:$L409,"N/A")=8,"Bloqueado",IF(COUNTIF('E2 — Triagem'!$E409:$L409,"⛔ Bloqueado")&gt;0,"Bloqueado",IF(COUNTIF('E2 — Triagem'!$E409:$L409,"✔ Concluído")+COUNTIF('E2 — Triagem'!$E409:$L409,"N/A")=8,"Concluído",IF(COUNTIF('E2 — Triagem'!$E409:$L409,"✔ Concluído")+COUNTIF('E2 — Triagem'!$E409:$L409,"🔄 Em andamento")&gt;0,"Em andamento","Não iniciado"))))))))</f>
        <v/>
      </c>
      <c r="G427" s="229" t="str">
        <f>IF($B427="","",IF($F427&lt;&gt;"Concluído","Não iniciado",IF(COUNTIF(Lançamentos!$B$3:$B$1001,$B427)=0,"Bloqueado",IF('E3 — Levantamento'!$D409="","Bloqueado",IF(COUNTIF('E3 — Levantamento'!$E409:$I409,"⛔ Bloqueado")&gt;0,"Bloqueado",IF('E3 — Levantamento'!$I409="N/A","Bloqueado",IF(COUNTIF('E3 — Levantamento'!$E409:$I409,"✔ Concluído")=5,"Concluído",IF(COUNTIF('E3 — Levantamento'!$E409:$I409,"✔ Concluído")+COUNTIF('E3 — Levantamento'!$E409:$I409,"🔄 Em andamento")&gt;0,"Em andamento","Não iniciado"))))))))</f>
        <v/>
      </c>
      <c r="H427" s="229" t="str">
        <f>IF($B427="","",IF($G427&lt;&gt;"Concluído","Não iniciado",IF(COUNTIF(Lançamentos!$B$3:$B$1001,$B427)=0,"Bloqueado",IF('E4 — Execução'!$D409="","Bloqueado",IF(COUNTIF('E4 — Execução'!$E409:$K409,"⛔ Bloqueado")&gt;0,"Bloqueado",IF(COUNTIF('E4 — Execução'!$E409:$K409,"✔ Concluído")=7,"Concluído",IF(COUNTIF('E4 — Execução'!$E409:$K409,"✔ Concluído")+COUNTIF('E4 — Execução'!$E409:$K409,"🔄 Em andamento")&gt;0,"Em andamento","Não iniciado")))))))</f>
        <v/>
      </c>
      <c r="I427" s="229" t="str">
        <f>IF($B427="","",IF($H427&lt;&gt;"Concluído","Não iniciado",IF(COUNTIF(Lançamentos!$B$3:$B$1001,$B427)=0,"Bloqueado",IF('E5 — Validação'!$D409="","Bloqueado",IF(COUNTIF('E5 — Validação'!$E409:$I409,"⛔ Bloqueado")&gt;0,"Bloqueado",IF('E5 — Validação'!$I409="N/A","Bloqueado",IF(AND('E5 — Validação'!$E409="✔ Concluído",'E5 — Validação'!$F409="✔ Concluído",OR('E5 — Validação'!$G409="✔ Concluído",'E5 — Validação'!$G409="N/A"),'E5 — Validação'!$H409="✔ Concluído",'E5 — Validação'!$I409="✔ Concluído"),"Concluído",IF(COUNTIF('E5 — Validação'!$E409:$I409,"✔ Concluído")+COUNTIF('E5 — Validação'!$E409:$I409,"🔄 Em andamento")&gt;0,"Em andamento","Não iniciado"))))))))</f>
        <v/>
      </c>
      <c r="J427" s="229" t="str">
        <f>IF($B427="","",IF($I427&lt;&gt;"Concluído","Não iniciado",IF('E6 — Ajustes'!$N409="Não","N/A",IF(COUNTIF(Lançamentos!$B$3:$B$1001,$B427)=0,"Bloqueado",IF('E6 — Ajustes'!$D409="","Bloqueado",IF(COUNTIF('E6 — Ajustes'!$E409:$J409,"⛔ Bloqueado")&gt;0,"Bloqueado",IF(AND('E6 — Ajustes'!$E409="✔ Concluído",'E6 — Ajustes'!$F409="✔ Concluído",'E6 — Ajustes'!$G409="✔ Concluído",'E6 — Ajustes'!$H409="✔ Concluído",OR('E6 — Ajustes'!$I409="✔ Concluído",'E6 — Ajustes'!$I409="N/A"),'E6 — Ajustes'!$J409="✔ Concluído"),"Concluído",IF(COUNTIF('E6 — Ajustes'!$E409:$J409,"✔ Concluído")+COUNTIF('E6 — Ajustes'!$E409:$J409,"🔄 Em andamento")&gt;0,"Em andamento","Não iniciado"))))))))</f>
        <v/>
      </c>
      <c r="K427" s="229" t="str">
        <f>IF($B427="","",IF($I427&lt;&gt;"Concluído","Não iniciado",IF(AND($J427&lt;&gt;"Concluído",$J427&lt;&gt;"N/A"),"Não iniciado",IF(COUNTIF(Lançamentos!$B$3:$B$1001,$B427)=0,"Bloqueado",IF('E7 — Entrega'!$D409="","Bloqueado",IF(COUNTIF('E7 — Entrega'!$E409:$H409,"⛔ Bloqueado")&gt;0,"Bloqueado",IF(COUNTIF('E7 — Entrega'!$E409:$H409,"✔ Concluído")=4,"Concluído",IF(COUNTIF('E7 — Entrega'!$E409:$H409,"✔ Concluído")+COUNTIF('E7 — Entrega'!$E409:$H409,"🔄 Em andamento")&gt;0,"Em andamento","Não iniciado"))))))))</f>
        <v/>
      </c>
      <c r="L427" s="229" t="str">
        <f>IF($B427="","",IF($K427&lt;&gt;"Concluído","Não iniciado",IF(OR(COUNTIF('E08 — Estabilização Hypercare'!$E409:$J409,"⛔ Bloqueado")&gt;0,'E08 — Estabilização Hypercare'!$N409="⛔ Incidente Crítico — Encerramento Bloqueado",AND('E08 — Estabilização Hypercare'!$N409="🆕 Evolução Identificada — Nova Demanda Aberta",'E08 — Estabilização Hypercare'!$U409="")),"Bloqueado",IF(AND('E08 — Estabilização Hypercare'!$E409="✔ Concluído",'E08 — Estabilização Hypercare'!$F409="✔ Concluído",'E08 — Estabilização Hypercare'!$G409="✔ Concluído",OR('E08 — Estabilização Hypercare'!$H409="✔ Concluído",'E08 — Estabilização Hypercare'!$H409="N/A"),'E08 — Estabilização Hypercare'!$I409="✔ Concluído",'E08 — Estabilização Hypercare'!$J409="✔ Concluído",OR('E08 — Estabilização Hypercare'!$N409="✅ Estável — Demanda Encerrada",AND('E08 — Estabilização Hypercare'!$N409="🆕 Evolução Identificada — Nova Demanda Aberta",'E08 — Estabilização Hypercare'!$U409&lt;&gt;""))),"Concluído",IF(OR(COUNTIF('E08 — Estabilização Hypercare'!$E409:$J409,"✔ Concluído")&gt;0,COUNTIF('E08 — Estabilização Hypercare'!$E409:$J409,"🔄 Em andamento")&gt;0,'E08 — Estabilização Hypercare'!$N409&lt;&gt;""),"Em andamento","Não iniciado")))))</f>
        <v/>
      </c>
      <c r="M427" s="232" t="str" cm="1">
        <f t="array" ref="M427">IF(B427="","",_xlfn.IFS(E427&lt;&gt;"Concluído","E1 — Solicitação",F427&lt;&gt;"Concluído","E2 — Triagem",G427&lt;&gt;"Concluído","E3 — Levantamento ⚠",H427&lt;&gt;"Concluído","E4 — Execução",I427&lt;&gt;"Concluído","E5 — Validação ⚠",AND(J427&lt;&gt;"Concluído",J427&lt;&gt;"N/A"),"E6 — Ajustes",K427&lt;&gt;"Concluído","E7 — Entrega",L427&lt;&gt;"Concluído","E08 — Estabilização / Hypercare",TRUE,"✔ Fluxo concluído"))</f>
        <v/>
      </c>
      <c r="N427" s="233" t="str">
        <f t="shared" si="7"/>
        <v/>
      </c>
      <c r="O427" s="230"/>
    </row>
    <row r="428" spans="2:15" x14ac:dyDescent="0.35">
      <c r="B428" s="229" t="str">
        <f>IF(Lançamentos!$B405="","",Lançamentos!$B405)</f>
        <v/>
      </c>
      <c r="C428" s="231" t="str">
        <f>IF($B428="","",Lançamentos!$J405)</f>
        <v/>
      </c>
      <c r="D428" s="231" t="str">
        <f>IF($B428="","",Lançamentos!$H405)</f>
        <v/>
      </c>
      <c r="E428" s="229" t="str">
        <f>IF($B428="","",IF(COUNTIF(Lançamentos!$B$3:$B$1001,$B428)=0,"Bloqueado",IF(COUNTIF('E1 — Solicitação'!$E410:$L410,"⛔ Bloqueado")&gt;0,"Bloqueado",IF(COUNTIF('E1 — Solicitação'!$E410:$L410,"N/A")=8,"Bloqueado",IF(COUNTIF('E1 — Solicitação'!$E410:$L410,"✔ Concluído")+COUNTIF('E1 — Solicitação'!$E410:$L410,"N/A")=8,"Concluído",IF(COUNTIF('E1 — Solicitação'!$E410:$L410,"✔ Concluído")+COUNTIF('E1 — Solicitação'!$E410:$L410,"🔄 Em andamento")&gt;0,"Em andamento","Não iniciado"))))))</f>
        <v/>
      </c>
      <c r="F428" s="229" t="str">
        <f>IF($B428="","",IF($E428&lt;&gt;"Concluído","Não iniciado",IF(COUNTIF(Lançamentos!$B$3:$B$1001,$B428)=0,"Bloqueado",IF('E2 — Triagem'!$D410="","Bloqueado",IF(COUNTIF('E2 — Triagem'!$E410:$L410,"N/A")=8,"Bloqueado",IF(COUNTIF('E2 — Triagem'!$E410:$L410,"⛔ Bloqueado")&gt;0,"Bloqueado",IF(COUNTIF('E2 — Triagem'!$E410:$L410,"✔ Concluído")+COUNTIF('E2 — Triagem'!$E410:$L410,"N/A")=8,"Concluído",IF(COUNTIF('E2 — Triagem'!$E410:$L410,"✔ Concluído")+COUNTIF('E2 — Triagem'!$E410:$L410,"🔄 Em andamento")&gt;0,"Em andamento","Não iniciado"))))))))</f>
        <v/>
      </c>
      <c r="G428" s="229" t="str">
        <f>IF($B428="","",IF($F428&lt;&gt;"Concluído","Não iniciado",IF(COUNTIF(Lançamentos!$B$3:$B$1001,$B428)=0,"Bloqueado",IF('E3 — Levantamento'!$D410="","Bloqueado",IF(COUNTIF('E3 — Levantamento'!$E410:$I410,"⛔ Bloqueado")&gt;0,"Bloqueado",IF('E3 — Levantamento'!$I410="N/A","Bloqueado",IF(COUNTIF('E3 — Levantamento'!$E410:$I410,"✔ Concluído")=5,"Concluído",IF(COUNTIF('E3 — Levantamento'!$E410:$I410,"✔ Concluído")+COUNTIF('E3 — Levantamento'!$E410:$I410,"🔄 Em andamento")&gt;0,"Em andamento","Não iniciado"))))))))</f>
        <v/>
      </c>
      <c r="H428" s="229" t="str">
        <f>IF($B428="","",IF($G428&lt;&gt;"Concluído","Não iniciado",IF(COUNTIF(Lançamentos!$B$3:$B$1001,$B428)=0,"Bloqueado",IF('E4 — Execução'!$D410="","Bloqueado",IF(COUNTIF('E4 — Execução'!$E410:$K410,"⛔ Bloqueado")&gt;0,"Bloqueado",IF(COUNTIF('E4 — Execução'!$E410:$K410,"✔ Concluído")=7,"Concluído",IF(COUNTIF('E4 — Execução'!$E410:$K410,"✔ Concluído")+COUNTIF('E4 — Execução'!$E410:$K410,"🔄 Em andamento")&gt;0,"Em andamento","Não iniciado")))))))</f>
        <v/>
      </c>
      <c r="I428" s="229" t="str">
        <f>IF($B428="","",IF($H428&lt;&gt;"Concluído","Não iniciado",IF(COUNTIF(Lançamentos!$B$3:$B$1001,$B428)=0,"Bloqueado",IF('E5 — Validação'!$D410="","Bloqueado",IF(COUNTIF('E5 — Validação'!$E410:$I410,"⛔ Bloqueado")&gt;0,"Bloqueado",IF('E5 — Validação'!$I410="N/A","Bloqueado",IF(AND('E5 — Validação'!$E410="✔ Concluído",'E5 — Validação'!$F410="✔ Concluído",OR('E5 — Validação'!$G410="✔ Concluído",'E5 — Validação'!$G410="N/A"),'E5 — Validação'!$H410="✔ Concluído",'E5 — Validação'!$I410="✔ Concluído"),"Concluído",IF(COUNTIF('E5 — Validação'!$E410:$I410,"✔ Concluído")+COUNTIF('E5 — Validação'!$E410:$I410,"🔄 Em andamento")&gt;0,"Em andamento","Não iniciado"))))))))</f>
        <v/>
      </c>
      <c r="J428" s="229" t="str">
        <f>IF($B428="","",IF($I428&lt;&gt;"Concluído","Não iniciado",IF('E6 — Ajustes'!$N410="Não","N/A",IF(COUNTIF(Lançamentos!$B$3:$B$1001,$B428)=0,"Bloqueado",IF('E6 — Ajustes'!$D410="","Bloqueado",IF(COUNTIF('E6 — Ajustes'!$E410:$J410,"⛔ Bloqueado")&gt;0,"Bloqueado",IF(AND('E6 — Ajustes'!$E410="✔ Concluído",'E6 — Ajustes'!$F410="✔ Concluído",'E6 — Ajustes'!$G410="✔ Concluído",'E6 — Ajustes'!$H410="✔ Concluído",OR('E6 — Ajustes'!$I410="✔ Concluído",'E6 — Ajustes'!$I410="N/A"),'E6 — Ajustes'!$J410="✔ Concluído"),"Concluído",IF(COUNTIF('E6 — Ajustes'!$E410:$J410,"✔ Concluído")+COUNTIF('E6 — Ajustes'!$E410:$J410,"🔄 Em andamento")&gt;0,"Em andamento","Não iniciado"))))))))</f>
        <v/>
      </c>
      <c r="K428" s="229" t="str">
        <f>IF($B428="","",IF($I428&lt;&gt;"Concluído","Não iniciado",IF(AND($J428&lt;&gt;"Concluído",$J428&lt;&gt;"N/A"),"Não iniciado",IF(COUNTIF(Lançamentos!$B$3:$B$1001,$B428)=0,"Bloqueado",IF('E7 — Entrega'!$D410="","Bloqueado",IF(COUNTIF('E7 — Entrega'!$E410:$H410,"⛔ Bloqueado")&gt;0,"Bloqueado",IF(COUNTIF('E7 — Entrega'!$E410:$H410,"✔ Concluído")=4,"Concluído",IF(COUNTIF('E7 — Entrega'!$E410:$H410,"✔ Concluído")+COUNTIF('E7 — Entrega'!$E410:$H410,"🔄 Em andamento")&gt;0,"Em andamento","Não iniciado"))))))))</f>
        <v/>
      </c>
      <c r="L428" s="229" t="str">
        <f>IF($B428="","",IF($K428&lt;&gt;"Concluído","Não iniciado",IF(OR(COUNTIF('E08 — Estabilização Hypercare'!$E410:$J410,"⛔ Bloqueado")&gt;0,'E08 — Estabilização Hypercare'!$N410="⛔ Incidente Crítico — Encerramento Bloqueado",AND('E08 — Estabilização Hypercare'!$N410="🆕 Evolução Identificada — Nova Demanda Aberta",'E08 — Estabilização Hypercare'!$U410="")),"Bloqueado",IF(AND('E08 — Estabilização Hypercare'!$E410="✔ Concluído",'E08 — Estabilização Hypercare'!$F410="✔ Concluído",'E08 — Estabilização Hypercare'!$G410="✔ Concluído",OR('E08 — Estabilização Hypercare'!$H410="✔ Concluído",'E08 — Estabilização Hypercare'!$H410="N/A"),'E08 — Estabilização Hypercare'!$I410="✔ Concluído",'E08 — Estabilização Hypercare'!$J410="✔ Concluído",OR('E08 — Estabilização Hypercare'!$N410="✅ Estável — Demanda Encerrada",AND('E08 — Estabilização Hypercare'!$N410="🆕 Evolução Identificada — Nova Demanda Aberta",'E08 — Estabilização Hypercare'!$U410&lt;&gt;""))),"Concluído",IF(OR(COUNTIF('E08 — Estabilização Hypercare'!$E410:$J410,"✔ Concluído")&gt;0,COUNTIF('E08 — Estabilização Hypercare'!$E410:$J410,"🔄 Em andamento")&gt;0,'E08 — Estabilização Hypercare'!$N410&lt;&gt;""),"Em andamento","Não iniciado")))))</f>
        <v/>
      </c>
      <c r="M428" s="232" t="str" cm="1">
        <f t="array" ref="M428">IF(B428="","",_xlfn.IFS(E428&lt;&gt;"Concluído","E1 — Solicitação",F428&lt;&gt;"Concluído","E2 — Triagem",G428&lt;&gt;"Concluído","E3 — Levantamento ⚠",H428&lt;&gt;"Concluído","E4 — Execução",I428&lt;&gt;"Concluído","E5 — Validação ⚠",AND(J428&lt;&gt;"Concluído",J428&lt;&gt;"N/A"),"E6 — Ajustes",K428&lt;&gt;"Concluído","E7 — Entrega",L428&lt;&gt;"Concluído","E08 — Estabilização / Hypercare",TRUE,"✔ Fluxo concluído"))</f>
        <v/>
      </c>
      <c r="N428" s="233" t="str">
        <f t="shared" si="7"/>
        <v/>
      </c>
      <c r="O428" s="230"/>
    </row>
    <row r="429" spans="2:15" x14ac:dyDescent="0.35">
      <c r="B429" s="229" t="str">
        <f>IF(Lançamentos!$B406="","",Lançamentos!$B406)</f>
        <v/>
      </c>
      <c r="C429" s="231" t="str">
        <f>IF($B429="","",Lançamentos!$J406)</f>
        <v/>
      </c>
      <c r="D429" s="231" t="str">
        <f>IF($B429="","",Lançamentos!$H406)</f>
        <v/>
      </c>
      <c r="E429" s="229" t="str">
        <f>IF($B429="","",IF(COUNTIF(Lançamentos!$B$3:$B$1001,$B429)=0,"Bloqueado",IF(COUNTIF('E1 — Solicitação'!$E411:$L411,"⛔ Bloqueado")&gt;0,"Bloqueado",IF(COUNTIF('E1 — Solicitação'!$E411:$L411,"N/A")=8,"Bloqueado",IF(COUNTIF('E1 — Solicitação'!$E411:$L411,"✔ Concluído")+COUNTIF('E1 — Solicitação'!$E411:$L411,"N/A")=8,"Concluído",IF(COUNTIF('E1 — Solicitação'!$E411:$L411,"✔ Concluído")+COUNTIF('E1 — Solicitação'!$E411:$L411,"🔄 Em andamento")&gt;0,"Em andamento","Não iniciado"))))))</f>
        <v/>
      </c>
      <c r="F429" s="229" t="str">
        <f>IF($B429="","",IF($E429&lt;&gt;"Concluído","Não iniciado",IF(COUNTIF(Lançamentos!$B$3:$B$1001,$B429)=0,"Bloqueado",IF('E2 — Triagem'!$D411="","Bloqueado",IF(COUNTIF('E2 — Triagem'!$E411:$L411,"N/A")=8,"Bloqueado",IF(COUNTIF('E2 — Triagem'!$E411:$L411,"⛔ Bloqueado")&gt;0,"Bloqueado",IF(COUNTIF('E2 — Triagem'!$E411:$L411,"✔ Concluído")+COUNTIF('E2 — Triagem'!$E411:$L411,"N/A")=8,"Concluído",IF(COUNTIF('E2 — Triagem'!$E411:$L411,"✔ Concluído")+COUNTIF('E2 — Triagem'!$E411:$L411,"🔄 Em andamento")&gt;0,"Em andamento","Não iniciado"))))))))</f>
        <v/>
      </c>
      <c r="G429" s="229" t="str">
        <f>IF($B429="","",IF($F429&lt;&gt;"Concluído","Não iniciado",IF(COUNTIF(Lançamentos!$B$3:$B$1001,$B429)=0,"Bloqueado",IF('E3 — Levantamento'!$D411="","Bloqueado",IF(COUNTIF('E3 — Levantamento'!$E411:$I411,"⛔ Bloqueado")&gt;0,"Bloqueado",IF('E3 — Levantamento'!$I411="N/A","Bloqueado",IF(COUNTIF('E3 — Levantamento'!$E411:$I411,"✔ Concluído")=5,"Concluído",IF(COUNTIF('E3 — Levantamento'!$E411:$I411,"✔ Concluído")+COUNTIF('E3 — Levantamento'!$E411:$I411,"🔄 Em andamento")&gt;0,"Em andamento","Não iniciado"))))))))</f>
        <v/>
      </c>
      <c r="H429" s="229" t="str">
        <f>IF($B429="","",IF($G429&lt;&gt;"Concluído","Não iniciado",IF(COUNTIF(Lançamentos!$B$3:$B$1001,$B429)=0,"Bloqueado",IF('E4 — Execução'!$D411="","Bloqueado",IF(COUNTIF('E4 — Execução'!$E411:$K411,"⛔ Bloqueado")&gt;0,"Bloqueado",IF(COUNTIF('E4 — Execução'!$E411:$K411,"✔ Concluído")=7,"Concluído",IF(COUNTIF('E4 — Execução'!$E411:$K411,"✔ Concluído")+COUNTIF('E4 — Execução'!$E411:$K411,"🔄 Em andamento")&gt;0,"Em andamento","Não iniciado")))))))</f>
        <v/>
      </c>
      <c r="I429" s="229" t="str">
        <f>IF($B429="","",IF($H429&lt;&gt;"Concluído","Não iniciado",IF(COUNTIF(Lançamentos!$B$3:$B$1001,$B429)=0,"Bloqueado",IF('E5 — Validação'!$D411="","Bloqueado",IF(COUNTIF('E5 — Validação'!$E411:$I411,"⛔ Bloqueado")&gt;0,"Bloqueado",IF('E5 — Validação'!$I411="N/A","Bloqueado",IF(AND('E5 — Validação'!$E411="✔ Concluído",'E5 — Validação'!$F411="✔ Concluído",OR('E5 — Validação'!$G411="✔ Concluído",'E5 — Validação'!$G411="N/A"),'E5 — Validação'!$H411="✔ Concluído",'E5 — Validação'!$I411="✔ Concluído"),"Concluído",IF(COUNTIF('E5 — Validação'!$E411:$I411,"✔ Concluído")+COUNTIF('E5 — Validação'!$E411:$I411,"🔄 Em andamento")&gt;0,"Em andamento","Não iniciado"))))))))</f>
        <v/>
      </c>
      <c r="J429" s="229" t="str">
        <f>IF($B429="","",IF($I429&lt;&gt;"Concluído","Não iniciado",IF('E6 — Ajustes'!$N411="Não","N/A",IF(COUNTIF(Lançamentos!$B$3:$B$1001,$B429)=0,"Bloqueado",IF('E6 — Ajustes'!$D411="","Bloqueado",IF(COUNTIF('E6 — Ajustes'!$E411:$J411,"⛔ Bloqueado")&gt;0,"Bloqueado",IF(AND('E6 — Ajustes'!$E411="✔ Concluído",'E6 — Ajustes'!$F411="✔ Concluído",'E6 — Ajustes'!$G411="✔ Concluído",'E6 — Ajustes'!$H411="✔ Concluído",OR('E6 — Ajustes'!$I411="✔ Concluído",'E6 — Ajustes'!$I411="N/A"),'E6 — Ajustes'!$J411="✔ Concluído"),"Concluído",IF(COUNTIF('E6 — Ajustes'!$E411:$J411,"✔ Concluído")+COUNTIF('E6 — Ajustes'!$E411:$J411,"🔄 Em andamento")&gt;0,"Em andamento","Não iniciado"))))))))</f>
        <v/>
      </c>
      <c r="K429" s="229" t="str">
        <f>IF($B429="","",IF($I429&lt;&gt;"Concluído","Não iniciado",IF(AND($J429&lt;&gt;"Concluído",$J429&lt;&gt;"N/A"),"Não iniciado",IF(COUNTIF(Lançamentos!$B$3:$B$1001,$B429)=0,"Bloqueado",IF('E7 — Entrega'!$D411="","Bloqueado",IF(COUNTIF('E7 — Entrega'!$E411:$H411,"⛔ Bloqueado")&gt;0,"Bloqueado",IF(COUNTIF('E7 — Entrega'!$E411:$H411,"✔ Concluído")=4,"Concluído",IF(COUNTIF('E7 — Entrega'!$E411:$H411,"✔ Concluído")+COUNTIF('E7 — Entrega'!$E411:$H411,"🔄 Em andamento")&gt;0,"Em andamento","Não iniciado"))))))))</f>
        <v/>
      </c>
      <c r="L429" s="229" t="str">
        <f>IF($B429="","",IF($K429&lt;&gt;"Concluído","Não iniciado",IF(OR(COUNTIF('E08 — Estabilização Hypercare'!$E411:$J411,"⛔ Bloqueado")&gt;0,'E08 — Estabilização Hypercare'!$N411="⛔ Incidente Crítico — Encerramento Bloqueado",AND('E08 — Estabilização Hypercare'!$N411="🆕 Evolução Identificada — Nova Demanda Aberta",'E08 — Estabilização Hypercare'!$U411="")),"Bloqueado",IF(AND('E08 — Estabilização Hypercare'!$E411="✔ Concluído",'E08 — Estabilização Hypercare'!$F411="✔ Concluído",'E08 — Estabilização Hypercare'!$G411="✔ Concluído",OR('E08 — Estabilização Hypercare'!$H411="✔ Concluído",'E08 — Estabilização Hypercare'!$H411="N/A"),'E08 — Estabilização Hypercare'!$I411="✔ Concluído",'E08 — Estabilização Hypercare'!$J411="✔ Concluído",OR('E08 — Estabilização Hypercare'!$N411="✅ Estável — Demanda Encerrada",AND('E08 — Estabilização Hypercare'!$N411="🆕 Evolução Identificada — Nova Demanda Aberta",'E08 — Estabilização Hypercare'!$U411&lt;&gt;""))),"Concluído",IF(OR(COUNTIF('E08 — Estabilização Hypercare'!$E411:$J411,"✔ Concluído")&gt;0,COUNTIF('E08 — Estabilização Hypercare'!$E411:$J411,"🔄 Em andamento")&gt;0,'E08 — Estabilização Hypercare'!$N411&lt;&gt;""),"Em andamento","Não iniciado")))))</f>
        <v/>
      </c>
      <c r="M429" s="232" t="str" cm="1">
        <f t="array" ref="M429">IF(B429="","",_xlfn.IFS(E429&lt;&gt;"Concluído","E1 — Solicitação",F429&lt;&gt;"Concluído","E2 — Triagem",G429&lt;&gt;"Concluído","E3 — Levantamento ⚠",H429&lt;&gt;"Concluído","E4 — Execução",I429&lt;&gt;"Concluído","E5 — Validação ⚠",AND(J429&lt;&gt;"Concluído",J429&lt;&gt;"N/A"),"E6 — Ajustes",K429&lt;&gt;"Concluído","E7 — Entrega",L429&lt;&gt;"Concluído","E08 — Estabilização / Hypercare",TRUE,"✔ Fluxo concluído"))</f>
        <v/>
      </c>
      <c r="N429" s="233" t="str">
        <f t="shared" si="7"/>
        <v/>
      </c>
      <c r="O429" s="230"/>
    </row>
    <row r="430" spans="2:15" x14ac:dyDescent="0.35">
      <c r="B430" s="229" t="str">
        <f>IF(Lançamentos!$B407="","",Lançamentos!$B407)</f>
        <v/>
      </c>
      <c r="C430" s="231" t="str">
        <f>IF($B430="","",Lançamentos!$J407)</f>
        <v/>
      </c>
      <c r="D430" s="231" t="str">
        <f>IF($B430="","",Lançamentos!$H407)</f>
        <v/>
      </c>
      <c r="E430" s="229" t="str">
        <f>IF($B430="","",IF(COUNTIF(Lançamentos!$B$3:$B$1001,$B430)=0,"Bloqueado",IF(COUNTIF('E1 — Solicitação'!$E412:$L412,"⛔ Bloqueado")&gt;0,"Bloqueado",IF(COUNTIF('E1 — Solicitação'!$E412:$L412,"N/A")=8,"Bloqueado",IF(COUNTIF('E1 — Solicitação'!$E412:$L412,"✔ Concluído")+COUNTIF('E1 — Solicitação'!$E412:$L412,"N/A")=8,"Concluído",IF(COUNTIF('E1 — Solicitação'!$E412:$L412,"✔ Concluído")+COUNTIF('E1 — Solicitação'!$E412:$L412,"🔄 Em andamento")&gt;0,"Em andamento","Não iniciado"))))))</f>
        <v/>
      </c>
      <c r="F430" s="229" t="str">
        <f>IF($B430="","",IF($E430&lt;&gt;"Concluído","Não iniciado",IF(COUNTIF(Lançamentos!$B$3:$B$1001,$B430)=0,"Bloqueado",IF('E2 — Triagem'!$D412="","Bloqueado",IF(COUNTIF('E2 — Triagem'!$E412:$L412,"N/A")=8,"Bloqueado",IF(COUNTIF('E2 — Triagem'!$E412:$L412,"⛔ Bloqueado")&gt;0,"Bloqueado",IF(COUNTIF('E2 — Triagem'!$E412:$L412,"✔ Concluído")+COUNTIF('E2 — Triagem'!$E412:$L412,"N/A")=8,"Concluído",IF(COUNTIF('E2 — Triagem'!$E412:$L412,"✔ Concluído")+COUNTIF('E2 — Triagem'!$E412:$L412,"🔄 Em andamento")&gt;0,"Em andamento","Não iniciado"))))))))</f>
        <v/>
      </c>
      <c r="G430" s="229" t="str">
        <f>IF($B430="","",IF($F430&lt;&gt;"Concluído","Não iniciado",IF(COUNTIF(Lançamentos!$B$3:$B$1001,$B430)=0,"Bloqueado",IF('E3 — Levantamento'!$D412="","Bloqueado",IF(COUNTIF('E3 — Levantamento'!$E412:$I412,"⛔ Bloqueado")&gt;0,"Bloqueado",IF('E3 — Levantamento'!$I412="N/A","Bloqueado",IF(COUNTIF('E3 — Levantamento'!$E412:$I412,"✔ Concluído")=5,"Concluído",IF(COUNTIF('E3 — Levantamento'!$E412:$I412,"✔ Concluído")+COUNTIF('E3 — Levantamento'!$E412:$I412,"🔄 Em andamento")&gt;0,"Em andamento","Não iniciado"))))))))</f>
        <v/>
      </c>
      <c r="H430" s="229" t="str">
        <f>IF($B430="","",IF($G430&lt;&gt;"Concluído","Não iniciado",IF(COUNTIF(Lançamentos!$B$3:$B$1001,$B430)=0,"Bloqueado",IF('E4 — Execução'!$D412="","Bloqueado",IF(COUNTIF('E4 — Execução'!$E412:$K412,"⛔ Bloqueado")&gt;0,"Bloqueado",IF(COUNTIF('E4 — Execução'!$E412:$K412,"✔ Concluído")=7,"Concluído",IF(COUNTIF('E4 — Execução'!$E412:$K412,"✔ Concluído")+COUNTIF('E4 — Execução'!$E412:$K412,"🔄 Em andamento")&gt;0,"Em andamento","Não iniciado")))))))</f>
        <v/>
      </c>
      <c r="I430" s="229" t="str">
        <f>IF($B430="","",IF($H430&lt;&gt;"Concluído","Não iniciado",IF(COUNTIF(Lançamentos!$B$3:$B$1001,$B430)=0,"Bloqueado",IF('E5 — Validação'!$D412="","Bloqueado",IF(COUNTIF('E5 — Validação'!$E412:$I412,"⛔ Bloqueado")&gt;0,"Bloqueado",IF('E5 — Validação'!$I412="N/A","Bloqueado",IF(AND('E5 — Validação'!$E412="✔ Concluído",'E5 — Validação'!$F412="✔ Concluído",OR('E5 — Validação'!$G412="✔ Concluído",'E5 — Validação'!$G412="N/A"),'E5 — Validação'!$H412="✔ Concluído",'E5 — Validação'!$I412="✔ Concluído"),"Concluído",IF(COUNTIF('E5 — Validação'!$E412:$I412,"✔ Concluído")+COUNTIF('E5 — Validação'!$E412:$I412,"🔄 Em andamento")&gt;0,"Em andamento","Não iniciado"))))))))</f>
        <v/>
      </c>
      <c r="J430" s="229" t="str">
        <f>IF($B430="","",IF($I430&lt;&gt;"Concluído","Não iniciado",IF('E6 — Ajustes'!$N412="Não","N/A",IF(COUNTIF(Lançamentos!$B$3:$B$1001,$B430)=0,"Bloqueado",IF('E6 — Ajustes'!$D412="","Bloqueado",IF(COUNTIF('E6 — Ajustes'!$E412:$J412,"⛔ Bloqueado")&gt;0,"Bloqueado",IF(AND('E6 — Ajustes'!$E412="✔ Concluído",'E6 — Ajustes'!$F412="✔ Concluído",'E6 — Ajustes'!$G412="✔ Concluído",'E6 — Ajustes'!$H412="✔ Concluído",OR('E6 — Ajustes'!$I412="✔ Concluído",'E6 — Ajustes'!$I412="N/A"),'E6 — Ajustes'!$J412="✔ Concluído"),"Concluído",IF(COUNTIF('E6 — Ajustes'!$E412:$J412,"✔ Concluído")+COUNTIF('E6 — Ajustes'!$E412:$J412,"🔄 Em andamento")&gt;0,"Em andamento","Não iniciado"))))))))</f>
        <v/>
      </c>
      <c r="K430" s="229" t="str">
        <f>IF($B430="","",IF($I430&lt;&gt;"Concluído","Não iniciado",IF(AND($J430&lt;&gt;"Concluído",$J430&lt;&gt;"N/A"),"Não iniciado",IF(COUNTIF(Lançamentos!$B$3:$B$1001,$B430)=0,"Bloqueado",IF('E7 — Entrega'!$D412="","Bloqueado",IF(COUNTIF('E7 — Entrega'!$E412:$H412,"⛔ Bloqueado")&gt;0,"Bloqueado",IF(COUNTIF('E7 — Entrega'!$E412:$H412,"✔ Concluído")=4,"Concluído",IF(COUNTIF('E7 — Entrega'!$E412:$H412,"✔ Concluído")+COUNTIF('E7 — Entrega'!$E412:$H412,"🔄 Em andamento")&gt;0,"Em andamento","Não iniciado"))))))))</f>
        <v/>
      </c>
      <c r="L430" s="229" t="str">
        <f>IF($B430="","",IF($K430&lt;&gt;"Concluído","Não iniciado",IF(OR(COUNTIF('E08 — Estabilização Hypercare'!$E412:$J412,"⛔ Bloqueado")&gt;0,'E08 — Estabilização Hypercare'!$N412="⛔ Incidente Crítico — Encerramento Bloqueado",AND('E08 — Estabilização Hypercare'!$N412="🆕 Evolução Identificada — Nova Demanda Aberta",'E08 — Estabilização Hypercare'!$U412="")),"Bloqueado",IF(AND('E08 — Estabilização Hypercare'!$E412="✔ Concluído",'E08 — Estabilização Hypercare'!$F412="✔ Concluído",'E08 — Estabilização Hypercare'!$G412="✔ Concluído",OR('E08 — Estabilização Hypercare'!$H412="✔ Concluído",'E08 — Estabilização Hypercare'!$H412="N/A"),'E08 — Estabilização Hypercare'!$I412="✔ Concluído",'E08 — Estabilização Hypercare'!$J412="✔ Concluído",OR('E08 — Estabilização Hypercare'!$N412="✅ Estável — Demanda Encerrada",AND('E08 — Estabilização Hypercare'!$N412="🆕 Evolução Identificada — Nova Demanda Aberta",'E08 — Estabilização Hypercare'!$U412&lt;&gt;""))),"Concluído",IF(OR(COUNTIF('E08 — Estabilização Hypercare'!$E412:$J412,"✔ Concluído")&gt;0,COUNTIF('E08 — Estabilização Hypercare'!$E412:$J412,"🔄 Em andamento")&gt;0,'E08 — Estabilização Hypercare'!$N412&lt;&gt;""),"Em andamento","Não iniciado")))))</f>
        <v/>
      </c>
      <c r="M430" s="232" t="str" cm="1">
        <f t="array" ref="M430">IF(B430="","",_xlfn.IFS(E430&lt;&gt;"Concluído","E1 — Solicitação",F430&lt;&gt;"Concluído","E2 — Triagem",G430&lt;&gt;"Concluído","E3 — Levantamento ⚠",H430&lt;&gt;"Concluído","E4 — Execução",I430&lt;&gt;"Concluído","E5 — Validação ⚠",AND(J430&lt;&gt;"Concluído",J430&lt;&gt;"N/A"),"E6 — Ajustes",K430&lt;&gt;"Concluído","E7 — Entrega",L430&lt;&gt;"Concluído","E08 — Estabilização / Hypercare",TRUE,"✔ Fluxo concluído"))</f>
        <v/>
      </c>
      <c r="N430" s="233" t="str">
        <f t="shared" si="7"/>
        <v/>
      </c>
      <c r="O430" s="230"/>
    </row>
    <row r="431" spans="2:15" x14ac:dyDescent="0.35">
      <c r="B431" s="229" t="str">
        <f>IF(Lançamentos!$B408="","",Lançamentos!$B408)</f>
        <v/>
      </c>
      <c r="C431" s="231" t="str">
        <f>IF($B431="","",Lançamentos!$J408)</f>
        <v/>
      </c>
      <c r="D431" s="231" t="str">
        <f>IF($B431="","",Lançamentos!$H408)</f>
        <v/>
      </c>
      <c r="E431" s="229" t="str">
        <f>IF($B431="","",IF(COUNTIF(Lançamentos!$B$3:$B$1001,$B431)=0,"Bloqueado",IF(COUNTIF('E1 — Solicitação'!$E413:$L413,"⛔ Bloqueado")&gt;0,"Bloqueado",IF(COUNTIF('E1 — Solicitação'!$E413:$L413,"N/A")=8,"Bloqueado",IF(COUNTIF('E1 — Solicitação'!$E413:$L413,"✔ Concluído")+COUNTIF('E1 — Solicitação'!$E413:$L413,"N/A")=8,"Concluído",IF(COUNTIF('E1 — Solicitação'!$E413:$L413,"✔ Concluído")+COUNTIF('E1 — Solicitação'!$E413:$L413,"🔄 Em andamento")&gt;0,"Em andamento","Não iniciado"))))))</f>
        <v/>
      </c>
      <c r="F431" s="229" t="str">
        <f>IF($B431="","",IF($E431&lt;&gt;"Concluído","Não iniciado",IF(COUNTIF(Lançamentos!$B$3:$B$1001,$B431)=0,"Bloqueado",IF('E2 — Triagem'!$D413="","Bloqueado",IF(COUNTIF('E2 — Triagem'!$E413:$L413,"N/A")=8,"Bloqueado",IF(COUNTIF('E2 — Triagem'!$E413:$L413,"⛔ Bloqueado")&gt;0,"Bloqueado",IF(COUNTIF('E2 — Triagem'!$E413:$L413,"✔ Concluído")+COUNTIF('E2 — Triagem'!$E413:$L413,"N/A")=8,"Concluído",IF(COUNTIF('E2 — Triagem'!$E413:$L413,"✔ Concluído")+COUNTIF('E2 — Triagem'!$E413:$L413,"🔄 Em andamento")&gt;0,"Em andamento","Não iniciado"))))))))</f>
        <v/>
      </c>
      <c r="G431" s="229" t="str">
        <f>IF($B431="","",IF($F431&lt;&gt;"Concluído","Não iniciado",IF(COUNTIF(Lançamentos!$B$3:$B$1001,$B431)=0,"Bloqueado",IF('E3 — Levantamento'!$D413="","Bloqueado",IF(COUNTIF('E3 — Levantamento'!$E413:$I413,"⛔ Bloqueado")&gt;0,"Bloqueado",IF('E3 — Levantamento'!$I413="N/A","Bloqueado",IF(COUNTIF('E3 — Levantamento'!$E413:$I413,"✔ Concluído")=5,"Concluído",IF(COUNTIF('E3 — Levantamento'!$E413:$I413,"✔ Concluído")+COUNTIF('E3 — Levantamento'!$E413:$I413,"🔄 Em andamento")&gt;0,"Em andamento","Não iniciado"))))))))</f>
        <v/>
      </c>
      <c r="H431" s="229" t="str">
        <f>IF($B431="","",IF($G431&lt;&gt;"Concluído","Não iniciado",IF(COUNTIF(Lançamentos!$B$3:$B$1001,$B431)=0,"Bloqueado",IF('E4 — Execução'!$D413="","Bloqueado",IF(COUNTIF('E4 — Execução'!$E413:$K413,"⛔ Bloqueado")&gt;0,"Bloqueado",IF(COUNTIF('E4 — Execução'!$E413:$K413,"✔ Concluído")=7,"Concluído",IF(COUNTIF('E4 — Execução'!$E413:$K413,"✔ Concluído")+COUNTIF('E4 — Execução'!$E413:$K413,"🔄 Em andamento")&gt;0,"Em andamento","Não iniciado")))))))</f>
        <v/>
      </c>
      <c r="I431" s="229" t="str">
        <f>IF($B431="","",IF($H431&lt;&gt;"Concluído","Não iniciado",IF(COUNTIF(Lançamentos!$B$3:$B$1001,$B431)=0,"Bloqueado",IF('E5 — Validação'!$D413="","Bloqueado",IF(COUNTIF('E5 — Validação'!$E413:$I413,"⛔ Bloqueado")&gt;0,"Bloqueado",IF('E5 — Validação'!$I413="N/A","Bloqueado",IF(AND('E5 — Validação'!$E413="✔ Concluído",'E5 — Validação'!$F413="✔ Concluído",OR('E5 — Validação'!$G413="✔ Concluído",'E5 — Validação'!$G413="N/A"),'E5 — Validação'!$H413="✔ Concluído",'E5 — Validação'!$I413="✔ Concluído"),"Concluído",IF(COUNTIF('E5 — Validação'!$E413:$I413,"✔ Concluído")+COUNTIF('E5 — Validação'!$E413:$I413,"🔄 Em andamento")&gt;0,"Em andamento","Não iniciado"))))))))</f>
        <v/>
      </c>
      <c r="J431" s="229" t="str">
        <f>IF($B431="","",IF($I431&lt;&gt;"Concluído","Não iniciado",IF('E6 — Ajustes'!$N413="Não","N/A",IF(COUNTIF(Lançamentos!$B$3:$B$1001,$B431)=0,"Bloqueado",IF('E6 — Ajustes'!$D413="","Bloqueado",IF(COUNTIF('E6 — Ajustes'!$E413:$J413,"⛔ Bloqueado")&gt;0,"Bloqueado",IF(AND('E6 — Ajustes'!$E413="✔ Concluído",'E6 — Ajustes'!$F413="✔ Concluído",'E6 — Ajustes'!$G413="✔ Concluído",'E6 — Ajustes'!$H413="✔ Concluído",OR('E6 — Ajustes'!$I413="✔ Concluído",'E6 — Ajustes'!$I413="N/A"),'E6 — Ajustes'!$J413="✔ Concluído"),"Concluído",IF(COUNTIF('E6 — Ajustes'!$E413:$J413,"✔ Concluído")+COUNTIF('E6 — Ajustes'!$E413:$J413,"🔄 Em andamento")&gt;0,"Em andamento","Não iniciado"))))))))</f>
        <v/>
      </c>
      <c r="K431" s="229" t="str">
        <f>IF($B431="","",IF($I431&lt;&gt;"Concluído","Não iniciado",IF(AND($J431&lt;&gt;"Concluído",$J431&lt;&gt;"N/A"),"Não iniciado",IF(COUNTIF(Lançamentos!$B$3:$B$1001,$B431)=0,"Bloqueado",IF('E7 — Entrega'!$D413="","Bloqueado",IF(COUNTIF('E7 — Entrega'!$E413:$H413,"⛔ Bloqueado")&gt;0,"Bloqueado",IF(COUNTIF('E7 — Entrega'!$E413:$H413,"✔ Concluído")=4,"Concluído",IF(COUNTIF('E7 — Entrega'!$E413:$H413,"✔ Concluído")+COUNTIF('E7 — Entrega'!$E413:$H413,"🔄 Em andamento")&gt;0,"Em andamento","Não iniciado"))))))))</f>
        <v/>
      </c>
      <c r="L431" s="229" t="str">
        <f>IF($B431="","",IF($K431&lt;&gt;"Concluído","Não iniciado",IF(OR(COUNTIF('E08 — Estabilização Hypercare'!$E413:$J413,"⛔ Bloqueado")&gt;0,'E08 — Estabilização Hypercare'!$N413="⛔ Incidente Crítico — Encerramento Bloqueado",AND('E08 — Estabilização Hypercare'!$N413="🆕 Evolução Identificada — Nova Demanda Aberta",'E08 — Estabilização Hypercare'!$U413="")),"Bloqueado",IF(AND('E08 — Estabilização Hypercare'!$E413="✔ Concluído",'E08 — Estabilização Hypercare'!$F413="✔ Concluído",'E08 — Estabilização Hypercare'!$G413="✔ Concluído",OR('E08 — Estabilização Hypercare'!$H413="✔ Concluído",'E08 — Estabilização Hypercare'!$H413="N/A"),'E08 — Estabilização Hypercare'!$I413="✔ Concluído",'E08 — Estabilização Hypercare'!$J413="✔ Concluído",OR('E08 — Estabilização Hypercare'!$N413="✅ Estável — Demanda Encerrada",AND('E08 — Estabilização Hypercare'!$N413="🆕 Evolução Identificada — Nova Demanda Aberta",'E08 — Estabilização Hypercare'!$U413&lt;&gt;""))),"Concluído",IF(OR(COUNTIF('E08 — Estabilização Hypercare'!$E413:$J413,"✔ Concluído")&gt;0,COUNTIF('E08 — Estabilização Hypercare'!$E413:$J413,"🔄 Em andamento")&gt;0,'E08 — Estabilização Hypercare'!$N413&lt;&gt;""),"Em andamento","Não iniciado")))))</f>
        <v/>
      </c>
      <c r="M431" s="232" t="str" cm="1">
        <f t="array" ref="M431">IF(B431="","",_xlfn.IFS(E431&lt;&gt;"Concluído","E1 — Solicitação",F431&lt;&gt;"Concluído","E2 — Triagem",G431&lt;&gt;"Concluído","E3 — Levantamento ⚠",H431&lt;&gt;"Concluído","E4 — Execução",I431&lt;&gt;"Concluído","E5 — Validação ⚠",AND(J431&lt;&gt;"Concluído",J431&lt;&gt;"N/A"),"E6 — Ajustes",K431&lt;&gt;"Concluído","E7 — Entrega",L431&lt;&gt;"Concluído","E08 — Estabilização / Hypercare",TRUE,"✔ Fluxo concluído"))</f>
        <v/>
      </c>
      <c r="N431" s="233" t="str">
        <f t="shared" si="7"/>
        <v/>
      </c>
      <c r="O431" s="230"/>
    </row>
    <row r="432" spans="2:15" x14ac:dyDescent="0.35">
      <c r="B432" s="229" t="str">
        <f>IF(Lançamentos!$B409="","",Lançamentos!$B409)</f>
        <v/>
      </c>
      <c r="C432" s="231" t="str">
        <f>IF($B432="","",Lançamentos!$J409)</f>
        <v/>
      </c>
      <c r="D432" s="231" t="str">
        <f>IF($B432="","",Lançamentos!$H409)</f>
        <v/>
      </c>
      <c r="E432" s="229" t="str">
        <f>IF($B432="","",IF(COUNTIF(Lançamentos!$B$3:$B$1001,$B432)=0,"Bloqueado",IF(COUNTIF('E1 — Solicitação'!$E414:$L414,"⛔ Bloqueado")&gt;0,"Bloqueado",IF(COUNTIF('E1 — Solicitação'!$E414:$L414,"N/A")=8,"Bloqueado",IF(COUNTIF('E1 — Solicitação'!$E414:$L414,"✔ Concluído")+COUNTIF('E1 — Solicitação'!$E414:$L414,"N/A")=8,"Concluído",IF(COUNTIF('E1 — Solicitação'!$E414:$L414,"✔ Concluído")+COUNTIF('E1 — Solicitação'!$E414:$L414,"🔄 Em andamento")&gt;0,"Em andamento","Não iniciado"))))))</f>
        <v/>
      </c>
      <c r="F432" s="229" t="str">
        <f>IF($B432="","",IF($E432&lt;&gt;"Concluído","Não iniciado",IF(COUNTIF(Lançamentos!$B$3:$B$1001,$B432)=0,"Bloqueado",IF('E2 — Triagem'!$D414="","Bloqueado",IF(COUNTIF('E2 — Triagem'!$E414:$L414,"N/A")=8,"Bloqueado",IF(COUNTIF('E2 — Triagem'!$E414:$L414,"⛔ Bloqueado")&gt;0,"Bloqueado",IF(COUNTIF('E2 — Triagem'!$E414:$L414,"✔ Concluído")+COUNTIF('E2 — Triagem'!$E414:$L414,"N/A")=8,"Concluído",IF(COUNTIF('E2 — Triagem'!$E414:$L414,"✔ Concluído")+COUNTIF('E2 — Triagem'!$E414:$L414,"🔄 Em andamento")&gt;0,"Em andamento","Não iniciado"))))))))</f>
        <v/>
      </c>
      <c r="G432" s="229" t="str">
        <f>IF($B432="","",IF($F432&lt;&gt;"Concluído","Não iniciado",IF(COUNTIF(Lançamentos!$B$3:$B$1001,$B432)=0,"Bloqueado",IF('E3 — Levantamento'!$D414="","Bloqueado",IF(COUNTIF('E3 — Levantamento'!$E414:$I414,"⛔ Bloqueado")&gt;0,"Bloqueado",IF('E3 — Levantamento'!$I414="N/A","Bloqueado",IF(COUNTIF('E3 — Levantamento'!$E414:$I414,"✔ Concluído")=5,"Concluído",IF(COUNTIF('E3 — Levantamento'!$E414:$I414,"✔ Concluído")+COUNTIF('E3 — Levantamento'!$E414:$I414,"🔄 Em andamento")&gt;0,"Em andamento","Não iniciado"))))))))</f>
        <v/>
      </c>
      <c r="H432" s="229" t="str">
        <f>IF($B432="","",IF($G432&lt;&gt;"Concluído","Não iniciado",IF(COUNTIF(Lançamentos!$B$3:$B$1001,$B432)=0,"Bloqueado",IF('E4 — Execução'!$D414="","Bloqueado",IF(COUNTIF('E4 — Execução'!$E414:$K414,"⛔ Bloqueado")&gt;0,"Bloqueado",IF(COUNTIF('E4 — Execução'!$E414:$K414,"✔ Concluído")=7,"Concluído",IF(COUNTIF('E4 — Execução'!$E414:$K414,"✔ Concluído")+COUNTIF('E4 — Execução'!$E414:$K414,"🔄 Em andamento")&gt;0,"Em andamento","Não iniciado")))))))</f>
        <v/>
      </c>
      <c r="I432" s="229" t="str">
        <f>IF($B432="","",IF($H432&lt;&gt;"Concluído","Não iniciado",IF(COUNTIF(Lançamentos!$B$3:$B$1001,$B432)=0,"Bloqueado",IF('E5 — Validação'!$D414="","Bloqueado",IF(COUNTIF('E5 — Validação'!$E414:$I414,"⛔ Bloqueado")&gt;0,"Bloqueado",IF('E5 — Validação'!$I414="N/A","Bloqueado",IF(AND('E5 — Validação'!$E414="✔ Concluído",'E5 — Validação'!$F414="✔ Concluído",OR('E5 — Validação'!$G414="✔ Concluído",'E5 — Validação'!$G414="N/A"),'E5 — Validação'!$H414="✔ Concluído",'E5 — Validação'!$I414="✔ Concluído"),"Concluído",IF(COUNTIF('E5 — Validação'!$E414:$I414,"✔ Concluído")+COUNTIF('E5 — Validação'!$E414:$I414,"🔄 Em andamento")&gt;0,"Em andamento","Não iniciado"))))))))</f>
        <v/>
      </c>
      <c r="J432" s="229" t="str">
        <f>IF($B432="","",IF($I432&lt;&gt;"Concluído","Não iniciado",IF('E6 — Ajustes'!$N414="Não","N/A",IF(COUNTIF(Lançamentos!$B$3:$B$1001,$B432)=0,"Bloqueado",IF('E6 — Ajustes'!$D414="","Bloqueado",IF(COUNTIF('E6 — Ajustes'!$E414:$J414,"⛔ Bloqueado")&gt;0,"Bloqueado",IF(AND('E6 — Ajustes'!$E414="✔ Concluído",'E6 — Ajustes'!$F414="✔ Concluído",'E6 — Ajustes'!$G414="✔ Concluído",'E6 — Ajustes'!$H414="✔ Concluído",OR('E6 — Ajustes'!$I414="✔ Concluído",'E6 — Ajustes'!$I414="N/A"),'E6 — Ajustes'!$J414="✔ Concluído"),"Concluído",IF(COUNTIF('E6 — Ajustes'!$E414:$J414,"✔ Concluído")+COUNTIF('E6 — Ajustes'!$E414:$J414,"🔄 Em andamento")&gt;0,"Em andamento","Não iniciado"))))))))</f>
        <v/>
      </c>
      <c r="K432" s="229" t="str">
        <f>IF($B432="","",IF($I432&lt;&gt;"Concluído","Não iniciado",IF(AND($J432&lt;&gt;"Concluído",$J432&lt;&gt;"N/A"),"Não iniciado",IF(COUNTIF(Lançamentos!$B$3:$B$1001,$B432)=0,"Bloqueado",IF('E7 — Entrega'!$D414="","Bloqueado",IF(COUNTIF('E7 — Entrega'!$E414:$H414,"⛔ Bloqueado")&gt;0,"Bloqueado",IF(COUNTIF('E7 — Entrega'!$E414:$H414,"✔ Concluído")=4,"Concluído",IF(COUNTIF('E7 — Entrega'!$E414:$H414,"✔ Concluído")+COUNTIF('E7 — Entrega'!$E414:$H414,"🔄 Em andamento")&gt;0,"Em andamento","Não iniciado"))))))))</f>
        <v/>
      </c>
      <c r="L432" s="229" t="str">
        <f>IF($B432="","",IF($K432&lt;&gt;"Concluído","Não iniciado",IF(OR(COUNTIF('E08 — Estabilização Hypercare'!$E414:$J414,"⛔ Bloqueado")&gt;0,'E08 — Estabilização Hypercare'!$N414="⛔ Incidente Crítico — Encerramento Bloqueado",AND('E08 — Estabilização Hypercare'!$N414="🆕 Evolução Identificada — Nova Demanda Aberta",'E08 — Estabilização Hypercare'!$U414="")),"Bloqueado",IF(AND('E08 — Estabilização Hypercare'!$E414="✔ Concluído",'E08 — Estabilização Hypercare'!$F414="✔ Concluído",'E08 — Estabilização Hypercare'!$G414="✔ Concluído",OR('E08 — Estabilização Hypercare'!$H414="✔ Concluído",'E08 — Estabilização Hypercare'!$H414="N/A"),'E08 — Estabilização Hypercare'!$I414="✔ Concluído",'E08 — Estabilização Hypercare'!$J414="✔ Concluído",OR('E08 — Estabilização Hypercare'!$N414="✅ Estável — Demanda Encerrada",AND('E08 — Estabilização Hypercare'!$N414="🆕 Evolução Identificada — Nova Demanda Aberta",'E08 — Estabilização Hypercare'!$U414&lt;&gt;""))),"Concluído",IF(OR(COUNTIF('E08 — Estabilização Hypercare'!$E414:$J414,"✔ Concluído")&gt;0,COUNTIF('E08 — Estabilização Hypercare'!$E414:$J414,"🔄 Em andamento")&gt;0,'E08 — Estabilização Hypercare'!$N414&lt;&gt;""),"Em andamento","Não iniciado")))))</f>
        <v/>
      </c>
      <c r="M432" s="232" t="str" cm="1">
        <f t="array" ref="M432">IF(B432="","",_xlfn.IFS(E432&lt;&gt;"Concluído","E1 — Solicitação",F432&lt;&gt;"Concluído","E2 — Triagem",G432&lt;&gt;"Concluído","E3 — Levantamento ⚠",H432&lt;&gt;"Concluído","E4 — Execução",I432&lt;&gt;"Concluído","E5 — Validação ⚠",AND(J432&lt;&gt;"Concluído",J432&lt;&gt;"N/A"),"E6 — Ajustes",K432&lt;&gt;"Concluído","E7 — Entrega",L432&lt;&gt;"Concluído","E08 — Estabilização / Hypercare",TRUE,"✔ Fluxo concluído"))</f>
        <v/>
      </c>
      <c r="N432" s="233" t="str">
        <f t="shared" si="7"/>
        <v/>
      </c>
      <c r="O432" s="230"/>
    </row>
    <row r="433" spans="2:15" x14ac:dyDescent="0.35">
      <c r="B433" s="229" t="str">
        <f>IF(Lançamentos!$B410="","",Lançamentos!$B410)</f>
        <v/>
      </c>
      <c r="C433" s="231" t="str">
        <f>IF($B433="","",Lançamentos!$J410)</f>
        <v/>
      </c>
      <c r="D433" s="231" t="str">
        <f>IF($B433="","",Lançamentos!$H410)</f>
        <v/>
      </c>
      <c r="E433" s="229" t="str">
        <f>IF($B433="","",IF(COUNTIF(Lançamentos!$B$3:$B$1001,$B433)=0,"Bloqueado",IF(COUNTIF('E1 — Solicitação'!$E415:$L415,"⛔ Bloqueado")&gt;0,"Bloqueado",IF(COUNTIF('E1 — Solicitação'!$E415:$L415,"N/A")=8,"Bloqueado",IF(COUNTIF('E1 — Solicitação'!$E415:$L415,"✔ Concluído")+COUNTIF('E1 — Solicitação'!$E415:$L415,"N/A")=8,"Concluído",IF(COUNTIF('E1 — Solicitação'!$E415:$L415,"✔ Concluído")+COUNTIF('E1 — Solicitação'!$E415:$L415,"🔄 Em andamento")&gt;0,"Em andamento","Não iniciado"))))))</f>
        <v/>
      </c>
      <c r="F433" s="229" t="str">
        <f>IF($B433="","",IF($E433&lt;&gt;"Concluído","Não iniciado",IF(COUNTIF(Lançamentos!$B$3:$B$1001,$B433)=0,"Bloqueado",IF('E2 — Triagem'!$D415="","Bloqueado",IF(COUNTIF('E2 — Triagem'!$E415:$L415,"N/A")=8,"Bloqueado",IF(COUNTIF('E2 — Triagem'!$E415:$L415,"⛔ Bloqueado")&gt;0,"Bloqueado",IF(COUNTIF('E2 — Triagem'!$E415:$L415,"✔ Concluído")+COUNTIF('E2 — Triagem'!$E415:$L415,"N/A")=8,"Concluído",IF(COUNTIF('E2 — Triagem'!$E415:$L415,"✔ Concluído")+COUNTIF('E2 — Triagem'!$E415:$L415,"🔄 Em andamento")&gt;0,"Em andamento","Não iniciado"))))))))</f>
        <v/>
      </c>
      <c r="G433" s="229" t="str">
        <f>IF($B433="","",IF($F433&lt;&gt;"Concluído","Não iniciado",IF(COUNTIF(Lançamentos!$B$3:$B$1001,$B433)=0,"Bloqueado",IF('E3 — Levantamento'!$D415="","Bloqueado",IF(COUNTIF('E3 — Levantamento'!$E415:$I415,"⛔ Bloqueado")&gt;0,"Bloqueado",IF('E3 — Levantamento'!$I415="N/A","Bloqueado",IF(COUNTIF('E3 — Levantamento'!$E415:$I415,"✔ Concluído")=5,"Concluído",IF(COUNTIF('E3 — Levantamento'!$E415:$I415,"✔ Concluído")+COUNTIF('E3 — Levantamento'!$E415:$I415,"🔄 Em andamento")&gt;0,"Em andamento","Não iniciado"))))))))</f>
        <v/>
      </c>
      <c r="H433" s="229" t="str">
        <f>IF($B433="","",IF($G433&lt;&gt;"Concluído","Não iniciado",IF(COUNTIF(Lançamentos!$B$3:$B$1001,$B433)=0,"Bloqueado",IF('E4 — Execução'!$D415="","Bloqueado",IF(COUNTIF('E4 — Execução'!$E415:$K415,"⛔ Bloqueado")&gt;0,"Bloqueado",IF(COUNTIF('E4 — Execução'!$E415:$K415,"✔ Concluído")=7,"Concluído",IF(COUNTIF('E4 — Execução'!$E415:$K415,"✔ Concluído")+COUNTIF('E4 — Execução'!$E415:$K415,"🔄 Em andamento")&gt;0,"Em andamento","Não iniciado")))))))</f>
        <v/>
      </c>
      <c r="I433" s="229" t="str">
        <f>IF($B433="","",IF($H433&lt;&gt;"Concluído","Não iniciado",IF(COUNTIF(Lançamentos!$B$3:$B$1001,$B433)=0,"Bloqueado",IF('E5 — Validação'!$D415="","Bloqueado",IF(COUNTIF('E5 — Validação'!$E415:$I415,"⛔ Bloqueado")&gt;0,"Bloqueado",IF('E5 — Validação'!$I415="N/A","Bloqueado",IF(AND('E5 — Validação'!$E415="✔ Concluído",'E5 — Validação'!$F415="✔ Concluído",OR('E5 — Validação'!$G415="✔ Concluído",'E5 — Validação'!$G415="N/A"),'E5 — Validação'!$H415="✔ Concluído",'E5 — Validação'!$I415="✔ Concluído"),"Concluído",IF(COUNTIF('E5 — Validação'!$E415:$I415,"✔ Concluído")+COUNTIF('E5 — Validação'!$E415:$I415,"🔄 Em andamento")&gt;0,"Em andamento","Não iniciado"))))))))</f>
        <v/>
      </c>
      <c r="J433" s="229" t="str">
        <f>IF($B433="","",IF($I433&lt;&gt;"Concluído","Não iniciado",IF('E6 — Ajustes'!$N415="Não","N/A",IF(COUNTIF(Lançamentos!$B$3:$B$1001,$B433)=0,"Bloqueado",IF('E6 — Ajustes'!$D415="","Bloqueado",IF(COUNTIF('E6 — Ajustes'!$E415:$J415,"⛔ Bloqueado")&gt;0,"Bloqueado",IF(AND('E6 — Ajustes'!$E415="✔ Concluído",'E6 — Ajustes'!$F415="✔ Concluído",'E6 — Ajustes'!$G415="✔ Concluído",'E6 — Ajustes'!$H415="✔ Concluído",OR('E6 — Ajustes'!$I415="✔ Concluído",'E6 — Ajustes'!$I415="N/A"),'E6 — Ajustes'!$J415="✔ Concluído"),"Concluído",IF(COUNTIF('E6 — Ajustes'!$E415:$J415,"✔ Concluído")+COUNTIF('E6 — Ajustes'!$E415:$J415,"🔄 Em andamento")&gt;0,"Em andamento","Não iniciado"))))))))</f>
        <v/>
      </c>
      <c r="K433" s="229" t="str">
        <f>IF($B433="","",IF($I433&lt;&gt;"Concluído","Não iniciado",IF(AND($J433&lt;&gt;"Concluído",$J433&lt;&gt;"N/A"),"Não iniciado",IF(COUNTIF(Lançamentos!$B$3:$B$1001,$B433)=0,"Bloqueado",IF('E7 — Entrega'!$D415="","Bloqueado",IF(COUNTIF('E7 — Entrega'!$E415:$H415,"⛔ Bloqueado")&gt;0,"Bloqueado",IF(COUNTIF('E7 — Entrega'!$E415:$H415,"✔ Concluído")=4,"Concluído",IF(COUNTIF('E7 — Entrega'!$E415:$H415,"✔ Concluído")+COUNTIF('E7 — Entrega'!$E415:$H415,"🔄 Em andamento")&gt;0,"Em andamento","Não iniciado"))))))))</f>
        <v/>
      </c>
      <c r="L433" s="229" t="str">
        <f>IF($B433="","",IF($K433&lt;&gt;"Concluído","Não iniciado",IF(OR(COUNTIF('E08 — Estabilização Hypercare'!$E415:$J415,"⛔ Bloqueado")&gt;0,'E08 — Estabilização Hypercare'!$N415="⛔ Incidente Crítico — Encerramento Bloqueado",AND('E08 — Estabilização Hypercare'!$N415="🆕 Evolução Identificada — Nova Demanda Aberta",'E08 — Estabilização Hypercare'!$U415="")),"Bloqueado",IF(AND('E08 — Estabilização Hypercare'!$E415="✔ Concluído",'E08 — Estabilização Hypercare'!$F415="✔ Concluído",'E08 — Estabilização Hypercare'!$G415="✔ Concluído",OR('E08 — Estabilização Hypercare'!$H415="✔ Concluído",'E08 — Estabilização Hypercare'!$H415="N/A"),'E08 — Estabilização Hypercare'!$I415="✔ Concluído",'E08 — Estabilização Hypercare'!$J415="✔ Concluído",OR('E08 — Estabilização Hypercare'!$N415="✅ Estável — Demanda Encerrada",AND('E08 — Estabilização Hypercare'!$N415="🆕 Evolução Identificada — Nova Demanda Aberta",'E08 — Estabilização Hypercare'!$U415&lt;&gt;""))),"Concluído",IF(OR(COUNTIF('E08 — Estabilização Hypercare'!$E415:$J415,"✔ Concluído")&gt;0,COUNTIF('E08 — Estabilização Hypercare'!$E415:$J415,"🔄 Em andamento")&gt;0,'E08 — Estabilização Hypercare'!$N415&lt;&gt;""),"Em andamento","Não iniciado")))))</f>
        <v/>
      </c>
      <c r="M433" s="232" t="str" cm="1">
        <f t="array" ref="M433">IF(B433="","",_xlfn.IFS(E433&lt;&gt;"Concluído","E1 — Solicitação",F433&lt;&gt;"Concluído","E2 — Triagem",G433&lt;&gt;"Concluído","E3 — Levantamento ⚠",H433&lt;&gt;"Concluído","E4 — Execução",I433&lt;&gt;"Concluído","E5 — Validação ⚠",AND(J433&lt;&gt;"Concluído",J433&lt;&gt;"N/A"),"E6 — Ajustes",K433&lt;&gt;"Concluído","E7 — Entrega",L433&lt;&gt;"Concluído","E08 — Estabilização / Hypercare",TRUE,"✔ Fluxo concluído"))</f>
        <v/>
      </c>
      <c r="N433" s="233" t="str">
        <f t="shared" si="7"/>
        <v/>
      </c>
      <c r="O433" s="230"/>
    </row>
    <row r="434" spans="2:15" x14ac:dyDescent="0.35">
      <c r="B434" s="229" t="str">
        <f>IF(Lançamentos!$B411="","",Lançamentos!$B411)</f>
        <v/>
      </c>
      <c r="C434" s="231" t="str">
        <f>IF($B434="","",Lançamentos!$J411)</f>
        <v/>
      </c>
      <c r="D434" s="231" t="str">
        <f>IF($B434="","",Lançamentos!$H411)</f>
        <v/>
      </c>
      <c r="E434" s="229" t="str">
        <f>IF($B434="","",IF(COUNTIF(Lançamentos!$B$3:$B$1001,$B434)=0,"Bloqueado",IF(COUNTIF('E1 — Solicitação'!$E416:$L416,"⛔ Bloqueado")&gt;0,"Bloqueado",IF(COUNTIF('E1 — Solicitação'!$E416:$L416,"N/A")=8,"Bloqueado",IF(COUNTIF('E1 — Solicitação'!$E416:$L416,"✔ Concluído")+COUNTIF('E1 — Solicitação'!$E416:$L416,"N/A")=8,"Concluído",IF(COUNTIF('E1 — Solicitação'!$E416:$L416,"✔ Concluído")+COUNTIF('E1 — Solicitação'!$E416:$L416,"🔄 Em andamento")&gt;0,"Em andamento","Não iniciado"))))))</f>
        <v/>
      </c>
      <c r="F434" s="229" t="str">
        <f>IF($B434="","",IF($E434&lt;&gt;"Concluído","Não iniciado",IF(COUNTIF(Lançamentos!$B$3:$B$1001,$B434)=0,"Bloqueado",IF('E2 — Triagem'!$D416="","Bloqueado",IF(COUNTIF('E2 — Triagem'!$E416:$L416,"N/A")=8,"Bloqueado",IF(COUNTIF('E2 — Triagem'!$E416:$L416,"⛔ Bloqueado")&gt;0,"Bloqueado",IF(COUNTIF('E2 — Triagem'!$E416:$L416,"✔ Concluído")+COUNTIF('E2 — Triagem'!$E416:$L416,"N/A")=8,"Concluído",IF(COUNTIF('E2 — Triagem'!$E416:$L416,"✔ Concluído")+COUNTIF('E2 — Triagem'!$E416:$L416,"🔄 Em andamento")&gt;0,"Em andamento","Não iniciado"))))))))</f>
        <v/>
      </c>
      <c r="G434" s="229" t="str">
        <f>IF($B434="","",IF($F434&lt;&gt;"Concluído","Não iniciado",IF(COUNTIF(Lançamentos!$B$3:$B$1001,$B434)=0,"Bloqueado",IF('E3 — Levantamento'!$D416="","Bloqueado",IF(COUNTIF('E3 — Levantamento'!$E416:$I416,"⛔ Bloqueado")&gt;0,"Bloqueado",IF('E3 — Levantamento'!$I416="N/A","Bloqueado",IF(COUNTIF('E3 — Levantamento'!$E416:$I416,"✔ Concluído")=5,"Concluído",IF(COUNTIF('E3 — Levantamento'!$E416:$I416,"✔ Concluído")+COUNTIF('E3 — Levantamento'!$E416:$I416,"🔄 Em andamento")&gt;0,"Em andamento","Não iniciado"))))))))</f>
        <v/>
      </c>
      <c r="H434" s="229" t="str">
        <f>IF($B434="","",IF($G434&lt;&gt;"Concluído","Não iniciado",IF(COUNTIF(Lançamentos!$B$3:$B$1001,$B434)=0,"Bloqueado",IF('E4 — Execução'!$D416="","Bloqueado",IF(COUNTIF('E4 — Execução'!$E416:$K416,"⛔ Bloqueado")&gt;0,"Bloqueado",IF(COUNTIF('E4 — Execução'!$E416:$K416,"✔ Concluído")=7,"Concluído",IF(COUNTIF('E4 — Execução'!$E416:$K416,"✔ Concluído")+COUNTIF('E4 — Execução'!$E416:$K416,"🔄 Em andamento")&gt;0,"Em andamento","Não iniciado")))))))</f>
        <v/>
      </c>
      <c r="I434" s="229" t="str">
        <f>IF($B434="","",IF($H434&lt;&gt;"Concluído","Não iniciado",IF(COUNTIF(Lançamentos!$B$3:$B$1001,$B434)=0,"Bloqueado",IF('E5 — Validação'!$D416="","Bloqueado",IF(COUNTIF('E5 — Validação'!$E416:$I416,"⛔ Bloqueado")&gt;0,"Bloqueado",IF('E5 — Validação'!$I416="N/A","Bloqueado",IF(AND('E5 — Validação'!$E416="✔ Concluído",'E5 — Validação'!$F416="✔ Concluído",OR('E5 — Validação'!$G416="✔ Concluído",'E5 — Validação'!$G416="N/A"),'E5 — Validação'!$H416="✔ Concluído",'E5 — Validação'!$I416="✔ Concluído"),"Concluído",IF(COUNTIF('E5 — Validação'!$E416:$I416,"✔ Concluído")+COUNTIF('E5 — Validação'!$E416:$I416,"🔄 Em andamento")&gt;0,"Em andamento","Não iniciado"))))))))</f>
        <v/>
      </c>
      <c r="J434" s="229" t="str">
        <f>IF($B434="","",IF($I434&lt;&gt;"Concluído","Não iniciado",IF('E6 — Ajustes'!$N416="Não","N/A",IF(COUNTIF(Lançamentos!$B$3:$B$1001,$B434)=0,"Bloqueado",IF('E6 — Ajustes'!$D416="","Bloqueado",IF(COUNTIF('E6 — Ajustes'!$E416:$J416,"⛔ Bloqueado")&gt;0,"Bloqueado",IF(AND('E6 — Ajustes'!$E416="✔ Concluído",'E6 — Ajustes'!$F416="✔ Concluído",'E6 — Ajustes'!$G416="✔ Concluído",'E6 — Ajustes'!$H416="✔ Concluído",OR('E6 — Ajustes'!$I416="✔ Concluído",'E6 — Ajustes'!$I416="N/A"),'E6 — Ajustes'!$J416="✔ Concluído"),"Concluído",IF(COUNTIF('E6 — Ajustes'!$E416:$J416,"✔ Concluído")+COUNTIF('E6 — Ajustes'!$E416:$J416,"🔄 Em andamento")&gt;0,"Em andamento","Não iniciado"))))))))</f>
        <v/>
      </c>
      <c r="K434" s="229" t="str">
        <f>IF($B434="","",IF($I434&lt;&gt;"Concluído","Não iniciado",IF(AND($J434&lt;&gt;"Concluído",$J434&lt;&gt;"N/A"),"Não iniciado",IF(COUNTIF(Lançamentos!$B$3:$B$1001,$B434)=0,"Bloqueado",IF('E7 — Entrega'!$D416="","Bloqueado",IF(COUNTIF('E7 — Entrega'!$E416:$H416,"⛔ Bloqueado")&gt;0,"Bloqueado",IF(COUNTIF('E7 — Entrega'!$E416:$H416,"✔ Concluído")=4,"Concluído",IF(COUNTIF('E7 — Entrega'!$E416:$H416,"✔ Concluído")+COUNTIF('E7 — Entrega'!$E416:$H416,"🔄 Em andamento")&gt;0,"Em andamento","Não iniciado"))))))))</f>
        <v/>
      </c>
      <c r="L434" s="229" t="str">
        <f>IF($B434="","",IF($K434&lt;&gt;"Concluído","Não iniciado",IF(OR(COUNTIF('E08 — Estabilização Hypercare'!$E416:$J416,"⛔ Bloqueado")&gt;0,'E08 — Estabilização Hypercare'!$N416="⛔ Incidente Crítico — Encerramento Bloqueado",AND('E08 — Estabilização Hypercare'!$N416="🆕 Evolução Identificada — Nova Demanda Aberta",'E08 — Estabilização Hypercare'!$U416="")),"Bloqueado",IF(AND('E08 — Estabilização Hypercare'!$E416="✔ Concluído",'E08 — Estabilização Hypercare'!$F416="✔ Concluído",'E08 — Estabilização Hypercare'!$G416="✔ Concluído",OR('E08 — Estabilização Hypercare'!$H416="✔ Concluído",'E08 — Estabilização Hypercare'!$H416="N/A"),'E08 — Estabilização Hypercare'!$I416="✔ Concluído",'E08 — Estabilização Hypercare'!$J416="✔ Concluído",OR('E08 — Estabilização Hypercare'!$N416="✅ Estável — Demanda Encerrada",AND('E08 — Estabilização Hypercare'!$N416="🆕 Evolução Identificada — Nova Demanda Aberta",'E08 — Estabilização Hypercare'!$U416&lt;&gt;""))),"Concluído",IF(OR(COUNTIF('E08 — Estabilização Hypercare'!$E416:$J416,"✔ Concluído")&gt;0,COUNTIF('E08 — Estabilização Hypercare'!$E416:$J416,"🔄 Em andamento")&gt;0,'E08 — Estabilização Hypercare'!$N416&lt;&gt;""),"Em andamento","Não iniciado")))))</f>
        <v/>
      </c>
      <c r="M434" s="232" t="str" cm="1">
        <f t="array" ref="M434">IF(B434="","",_xlfn.IFS(E434&lt;&gt;"Concluído","E1 — Solicitação",F434&lt;&gt;"Concluído","E2 — Triagem",G434&lt;&gt;"Concluído","E3 — Levantamento ⚠",H434&lt;&gt;"Concluído","E4 — Execução",I434&lt;&gt;"Concluído","E5 — Validação ⚠",AND(J434&lt;&gt;"Concluído",J434&lt;&gt;"N/A"),"E6 — Ajustes",K434&lt;&gt;"Concluído","E7 — Entrega",L434&lt;&gt;"Concluído","E08 — Estabilização / Hypercare",TRUE,"✔ Fluxo concluído"))</f>
        <v/>
      </c>
      <c r="N434" s="233" t="str">
        <f t="shared" si="7"/>
        <v/>
      </c>
      <c r="O434" s="230"/>
    </row>
    <row r="435" spans="2:15" x14ac:dyDescent="0.35">
      <c r="B435" s="229" t="str">
        <f>IF(Lançamentos!$B412="","",Lançamentos!$B412)</f>
        <v/>
      </c>
      <c r="C435" s="231" t="str">
        <f>IF($B435="","",Lançamentos!$J412)</f>
        <v/>
      </c>
      <c r="D435" s="231" t="str">
        <f>IF($B435="","",Lançamentos!$H412)</f>
        <v/>
      </c>
      <c r="E435" s="229" t="str">
        <f>IF($B435="","",IF(COUNTIF(Lançamentos!$B$3:$B$1001,$B435)=0,"Bloqueado",IF(COUNTIF('E1 — Solicitação'!$E417:$L417,"⛔ Bloqueado")&gt;0,"Bloqueado",IF(COUNTIF('E1 — Solicitação'!$E417:$L417,"N/A")=8,"Bloqueado",IF(COUNTIF('E1 — Solicitação'!$E417:$L417,"✔ Concluído")+COUNTIF('E1 — Solicitação'!$E417:$L417,"N/A")=8,"Concluído",IF(COUNTIF('E1 — Solicitação'!$E417:$L417,"✔ Concluído")+COUNTIF('E1 — Solicitação'!$E417:$L417,"🔄 Em andamento")&gt;0,"Em andamento","Não iniciado"))))))</f>
        <v/>
      </c>
      <c r="F435" s="229" t="str">
        <f>IF($B435="","",IF($E435&lt;&gt;"Concluído","Não iniciado",IF(COUNTIF(Lançamentos!$B$3:$B$1001,$B435)=0,"Bloqueado",IF('E2 — Triagem'!$D417="","Bloqueado",IF(COUNTIF('E2 — Triagem'!$E417:$L417,"N/A")=8,"Bloqueado",IF(COUNTIF('E2 — Triagem'!$E417:$L417,"⛔ Bloqueado")&gt;0,"Bloqueado",IF(COUNTIF('E2 — Triagem'!$E417:$L417,"✔ Concluído")+COUNTIF('E2 — Triagem'!$E417:$L417,"N/A")=8,"Concluído",IF(COUNTIF('E2 — Triagem'!$E417:$L417,"✔ Concluído")+COUNTIF('E2 — Triagem'!$E417:$L417,"🔄 Em andamento")&gt;0,"Em andamento","Não iniciado"))))))))</f>
        <v/>
      </c>
      <c r="G435" s="229" t="str">
        <f>IF($B435="","",IF($F435&lt;&gt;"Concluído","Não iniciado",IF(COUNTIF(Lançamentos!$B$3:$B$1001,$B435)=0,"Bloqueado",IF('E3 — Levantamento'!$D417="","Bloqueado",IF(COUNTIF('E3 — Levantamento'!$E417:$I417,"⛔ Bloqueado")&gt;0,"Bloqueado",IF('E3 — Levantamento'!$I417="N/A","Bloqueado",IF(COUNTIF('E3 — Levantamento'!$E417:$I417,"✔ Concluído")=5,"Concluído",IF(COUNTIF('E3 — Levantamento'!$E417:$I417,"✔ Concluído")+COUNTIF('E3 — Levantamento'!$E417:$I417,"🔄 Em andamento")&gt;0,"Em andamento","Não iniciado"))))))))</f>
        <v/>
      </c>
      <c r="H435" s="229" t="str">
        <f>IF($B435="","",IF($G435&lt;&gt;"Concluído","Não iniciado",IF(COUNTIF(Lançamentos!$B$3:$B$1001,$B435)=0,"Bloqueado",IF('E4 — Execução'!$D417="","Bloqueado",IF(COUNTIF('E4 — Execução'!$E417:$K417,"⛔ Bloqueado")&gt;0,"Bloqueado",IF(COUNTIF('E4 — Execução'!$E417:$K417,"✔ Concluído")=7,"Concluído",IF(COUNTIF('E4 — Execução'!$E417:$K417,"✔ Concluído")+COUNTIF('E4 — Execução'!$E417:$K417,"🔄 Em andamento")&gt;0,"Em andamento","Não iniciado")))))))</f>
        <v/>
      </c>
      <c r="I435" s="229" t="str">
        <f>IF($B435="","",IF($H435&lt;&gt;"Concluído","Não iniciado",IF(COUNTIF(Lançamentos!$B$3:$B$1001,$B435)=0,"Bloqueado",IF('E5 — Validação'!$D417="","Bloqueado",IF(COUNTIF('E5 — Validação'!$E417:$I417,"⛔ Bloqueado")&gt;0,"Bloqueado",IF('E5 — Validação'!$I417="N/A","Bloqueado",IF(AND('E5 — Validação'!$E417="✔ Concluído",'E5 — Validação'!$F417="✔ Concluído",OR('E5 — Validação'!$G417="✔ Concluído",'E5 — Validação'!$G417="N/A"),'E5 — Validação'!$H417="✔ Concluído",'E5 — Validação'!$I417="✔ Concluído"),"Concluído",IF(COUNTIF('E5 — Validação'!$E417:$I417,"✔ Concluído")+COUNTIF('E5 — Validação'!$E417:$I417,"🔄 Em andamento")&gt;0,"Em andamento","Não iniciado"))))))))</f>
        <v/>
      </c>
      <c r="J435" s="229" t="str">
        <f>IF($B435="","",IF($I435&lt;&gt;"Concluído","Não iniciado",IF('E6 — Ajustes'!$N417="Não","N/A",IF(COUNTIF(Lançamentos!$B$3:$B$1001,$B435)=0,"Bloqueado",IF('E6 — Ajustes'!$D417="","Bloqueado",IF(COUNTIF('E6 — Ajustes'!$E417:$J417,"⛔ Bloqueado")&gt;0,"Bloqueado",IF(AND('E6 — Ajustes'!$E417="✔ Concluído",'E6 — Ajustes'!$F417="✔ Concluído",'E6 — Ajustes'!$G417="✔ Concluído",'E6 — Ajustes'!$H417="✔ Concluído",OR('E6 — Ajustes'!$I417="✔ Concluído",'E6 — Ajustes'!$I417="N/A"),'E6 — Ajustes'!$J417="✔ Concluído"),"Concluído",IF(COUNTIF('E6 — Ajustes'!$E417:$J417,"✔ Concluído")+COUNTIF('E6 — Ajustes'!$E417:$J417,"🔄 Em andamento")&gt;0,"Em andamento","Não iniciado"))))))))</f>
        <v/>
      </c>
      <c r="K435" s="229" t="str">
        <f>IF($B435="","",IF($I435&lt;&gt;"Concluído","Não iniciado",IF(AND($J435&lt;&gt;"Concluído",$J435&lt;&gt;"N/A"),"Não iniciado",IF(COUNTIF(Lançamentos!$B$3:$B$1001,$B435)=0,"Bloqueado",IF('E7 — Entrega'!$D417="","Bloqueado",IF(COUNTIF('E7 — Entrega'!$E417:$H417,"⛔ Bloqueado")&gt;0,"Bloqueado",IF(COUNTIF('E7 — Entrega'!$E417:$H417,"✔ Concluído")=4,"Concluído",IF(COUNTIF('E7 — Entrega'!$E417:$H417,"✔ Concluído")+COUNTIF('E7 — Entrega'!$E417:$H417,"🔄 Em andamento")&gt;0,"Em andamento","Não iniciado"))))))))</f>
        <v/>
      </c>
      <c r="L435" s="229" t="str">
        <f>IF($B435="","",IF($K435&lt;&gt;"Concluído","Não iniciado",IF(OR(COUNTIF('E08 — Estabilização Hypercare'!$E417:$J417,"⛔ Bloqueado")&gt;0,'E08 — Estabilização Hypercare'!$N417="⛔ Incidente Crítico — Encerramento Bloqueado",AND('E08 — Estabilização Hypercare'!$N417="🆕 Evolução Identificada — Nova Demanda Aberta",'E08 — Estabilização Hypercare'!$U417="")),"Bloqueado",IF(AND('E08 — Estabilização Hypercare'!$E417="✔ Concluído",'E08 — Estabilização Hypercare'!$F417="✔ Concluído",'E08 — Estabilização Hypercare'!$G417="✔ Concluído",OR('E08 — Estabilização Hypercare'!$H417="✔ Concluído",'E08 — Estabilização Hypercare'!$H417="N/A"),'E08 — Estabilização Hypercare'!$I417="✔ Concluído",'E08 — Estabilização Hypercare'!$J417="✔ Concluído",OR('E08 — Estabilização Hypercare'!$N417="✅ Estável — Demanda Encerrada",AND('E08 — Estabilização Hypercare'!$N417="🆕 Evolução Identificada — Nova Demanda Aberta",'E08 — Estabilização Hypercare'!$U417&lt;&gt;""))),"Concluído",IF(OR(COUNTIF('E08 — Estabilização Hypercare'!$E417:$J417,"✔ Concluído")&gt;0,COUNTIF('E08 — Estabilização Hypercare'!$E417:$J417,"🔄 Em andamento")&gt;0,'E08 — Estabilização Hypercare'!$N417&lt;&gt;""),"Em andamento","Não iniciado")))))</f>
        <v/>
      </c>
      <c r="M435" s="232" t="str" cm="1">
        <f t="array" ref="M435">IF(B435="","",_xlfn.IFS(E435&lt;&gt;"Concluído","E1 — Solicitação",F435&lt;&gt;"Concluído","E2 — Triagem",G435&lt;&gt;"Concluído","E3 — Levantamento ⚠",H435&lt;&gt;"Concluído","E4 — Execução",I435&lt;&gt;"Concluído","E5 — Validação ⚠",AND(J435&lt;&gt;"Concluído",J435&lt;&gt;"N/A"),"E6 — Ajustes",K435&lt;&gt;"Concluído","E7 — Entrega",L435&lt;&gt;"Concluído","E08 — Estabilização / Hypercare",TRUE,"✔ Fluxo concluído"))</f>
        <v/>
      </c>
      <c r="N435" s="233" t="str">
        <f t="shared" si="7"/>
        <v/>
      </c>
      <c r="O435" s="230"/>
    </row>
    <row r="436" spans="2:15" x14ac:dyDescent="0.35">
      <c r="B436" s="229" t="str">
        <f>IF(Lançamentos!$B413="","",Lançamentos!$B413)</f>
        <v/>
      </c>
      <c r="C436" s="231" t="str">
        <f>IF($B436="","",Lançamentos!$J413)</f>
        <v/>
      </c>
      <c r="D436" s="231" t="str">
        <f>IF($B436="","",Lançamentos!$H413)</f>
        <v/>
      </c>
      <c r="E436" s="229" t="str">
        <f>IF($B436="","",IF(COUNTIF(Lançamentos!$B$3:$B$1001,$B436)=0,"Bloqueado",IF(COUNTIF('E1 — Solicitação'!$E418:$L418,"⛔ Bloqueado")&gt;0,"Bloqueado",IF(COUNTIF('E1 — Solicitação'!$E418:$L418,"N/A")=8,"Bloqueado",IF(COUNTIF('E1 — Solicitação'!$E418:$L418,"✔ Concluído")+COUNTIF('E1 — Solicitação'!$E418:$L418,"N/A")=8,"Concluído",IF(COUNTIF('E1 — Solicitação'!$E418:$L418,"✔ Concluído")+COUNTIF('E1 — Solicitação'!$E418:$L418,"🔄 Em andamento")&gt;0,"Em andamento","Não iniciado"))))))</f>
        <v/>
      </c>
      <c r="F436" s="229" t="str">
        <f>IF($B436="","",IF($E436&lt;&gt;"Concluído","Não iniciado",IF(COUNTIF(Lançamentos!$B$3:$B$1001,$B436)=0,"Bloqueado",IF('E2 — Triagem'!$D418="","Bloqueado",IF(COUNTIF('E2 — Triagem'!$E418:$L418,"N/A")=8,"Bloqueado",IF(COUNTIF('E2 — Triagem'!$E418:$L418,"⛔ Bloqueado")&gt;0,"Bloqueado",IF(COUNTIF('E2 — Triagem'!$E418:$L418,"✔ Concluído")+COUNTIF('E2 — Triagem'!$E418:$L418,"N/A")=8,"Concluído",IF(COUNTIF('E2 — Triagem'!$E418:$L418,"✔ Concluído")+COUNTIF('E2 — Triagem'!$E418:$L418,"🔄 Em andamento")&gt;0,"Em andamento","Não iniciado"))))))))</f>
        <v/>
      </c>
      <c r="G436" s="229" t="str">
        <f>IF($B436="","",IF($F436&lt;&gt;"Concluído","Não iniciado",IF(COUNTIF(Lançamentos!$B$3:$B$1001,$B436)=0,"Bloqueado",IF('E3 — Levantamento'!$D418="","Bloqueado",IF(COUNTIF('E3 — Levantamento'!$E418:$I418,"⛔ Bloqueado")&gt;0,"Bloqueado",IF('E3 — Levantamento'!$I418="N/A","Bloqueado",IF(COUNTIF('E3 — Levantamento'!$E418:$I418,"✔ Concluído")=5,"Concluído",IF(COUNTIF('E3 — Levantamento'!$E418:$I418,"✔ Concluído")+COUNTIF('E3 — Levantamento'!$E418:$I418,"🔄 Em andamento")&gt;0,"Em andamento","Não iniciado"))))))))</f>
        <v/>
      </c>
      <c r="H436" s="229" t="str">
        <f>IF($B436="","",IF($G436&lt;&gt;"Concluído","Não iniciado",IF(COUNTIF(Lançamentos!$B$3:$B$1001,$B436)=0,"Bloqueado",IF('E4 — Execução'!$D418="","Bloqueado",IF(COUNTIF('E4 — Execução'!$E418:$K418,"⛔ Bloqueado")&gt;0,"Bloqueado",IF(COUNTIF('E4 — Execução'!$E418:$K418,"✔ Concluído")=7,"Concluído",IF(COUNTIF('E4 — Execução'!$E418:$K418,"✔ Concluído")+COUNTIF('E4 — Execução'!$E418:$K418,"🔄 Em andamento")&gt;0,"Em andamento","Não iniciado")))))))</f>
        <v/>
      </c>
      <c r="I436" s="229" t="str">
        <f>IF($B436="","",IF($H436&lt;&gt;"Concluído","Não iniciado",IF(COUNTIF(Lançamentos!$B$3:$B$1001,$B436)=0,"Bloqueado",IF('E5 — Validação'!$D418="","Bloqueado",IF(COUNTIF('E5 — Validação'!$E418:$I418,"⛔ Bloqueado")&gt;0,"Bloqueado",IF('E5 — Validação'!$I418="N/A","Bloqueado",IF(AND('E5 — Validação'!$E418="✔ Concluído",'E5 — Validação'!$F418="✔ Concluído",OR('E5 — Validação'!$G418="✔ Concluído",'E5 — Validação'!$G418="N/A"),'E5 — Validação'!$H418="✔ Concluído",'E5 — Validação'!$I418="✔ Concluído"),"Concluído",IF(COUNTIF('E5 — Validação'!$E418:$I418,"✔ Concluído")+COUNTIF('E5 — Validação'!$E418:$I418,"🔄 Em andamento")&gt;0,"Em andamento","Não iniciado"))))))))</f>
        <v/>
      </c>
      <c r="J436" s="229" t="str">
        <f>IF($B436="","",IF($I436&lt;&gt;"Concluído","Não iniciado",IF('E6 — Ajustes'!$N418="Não","N/A",IF(COUNTIF(Lançamentos!$B$3:$B$1001,$B436)=0,"Bloqueado",IF('E6 — Ajustes'!$D418="","Bloqueado",IF(COUNTIF('E6 — Ajustes'!$E418:$J418,"⛔ Bloqueado")&gt;0,"Bloqueado",IF(AND('E6 — Ajustes'!$E418="✔ Concluído",'E6 — Ajustes'!$F418="✔ Concluído",'E6 — Ajustes'!$G418="✔ Concluído",'E6 — Ajustes'!$H418="✔ Concluído",OR('E6 — Ajustes'!$I418="✔ Concluído",'E6 — Ajustes'!$I418="N/A"),'E6 — Ajustes'!$J418="✔ Concluído"),"Concluído",IF(COUNTIF('E6 — Ajustes'!$E418:$J418,"✔ Concluído")+COUNTIF('E6 — Ajustes'!$E418:$J418,"🔄 Em andamento")&gt;0,"Em andamento","Não iniciado"))))))))</f>
        <v/>
      </c>
      <c r="K436" s="229" t="str">
        <f>IF($B436="","",IF($I436&lt;&gt;"Concluído","Não iniciado",IF(AND($J436&lt;&gt;"Concluído",$J436&lt;&gt;"N/A"),"Não iniciado",IF(COUNTIF(Lançamentos!$B$3:$B$1001,$B436)=0,"Bloqueado",IF('E7 — Entrega'!$D418="","Bloqueado",IF(COUNTIF('E7 — Entrega'!$E418:$H418,"⛔ Bloqueado")&gt;0,"Bloqueado",IF(COUNTIF('E7 — Entrega'!$E418:$H418,"✔ Concluído")=4,"Concluído",IF(COUNTIF('E7 — Entrega'!$E418:$H418,"✔ Concluído")+COUNTIF('E7 — Entrega'!$E418:$H418,"🔄 Em andamento")&gt;0,"Em andamento","Não iniciado"))))))))</f>
        <v/>
      </c>
      <c r="L436" s="229" t="str">
        <f>IF($B436="","",IF($K436&lt;&gt;"Concluído","Não iniciado",IF(OR(COUNTIF('E08 — Estabilização Hypercare'!$E418:$J418,"⛔ Bloqueado")&gt;0,'E08 — Estabilização Hypercare'!$N418="⛔ Incidente Crítico — Encerramento Bloqueado",AND('E08 — Estabilização Hypercare'!$N418="🆕 Evolução Identificada — Nova Demanda Aberta",'E08 — Estabilização Hypercare'!$U418="")),"Bloqueado",IF(AND('E08 — Estabilização Hypercare'!$E418="✔ Concluído",'E08 — Estabilização Hypercare'!$F418="✔ Concluído",'E08 — Estabilização Hypercare'!$G418="✔ Concluído",OR('E08 — Estabilização Hypercare'!$H418="✔ Concluído",'E08 — Estabilização Hypercare'!$H418="N/A"),'E08 — Estabilização Hypercare'!$I418="✔ Concluído",'E08 — Estabilização Hypercare'!$J418="✔ Concluído",OR('E08 — Estabilização Hypercare'!$N418="✅ Estável — Demanda Encerrada",AND('E08 — Estabilização Hypercare'!$N418="🆕 Evolução Identificada — Nova Demanda Aberta",'E08 — Estabilização Hypercare'!$U418&lt;&gt;""))),"Concluído",IF(OR(COUNTIF('E08 — Estabilização Hypercare'!$E418:$J418,"✔ Concluído")&gt;0,COUNTIF('E08 — Estabilização Hypercare'!$E418:$J418,"🔄 Em andamento")&gt;0,'E08 — Estabilização Hypercare'!$N418&lt;&gt;""),"Em andamento","Não iniciado")))))</f>
        <v/>
      </c>
      <c r="M436" s="232" t="str" cm="1">
        <f t="array" ref="M436">IF(B436="","",_xlfn.IFS(E436&lt;&gt;"Concluído","E1 — Solicitação",F436&lt;&gt;"Concluído","E2 — Triagem",G436&lt;&gt;"Concluído","E3 — Levantamento ⚠",H436&lt;&gt;"Concluído","E4 — Execução",I436&lt;&gt;"Concluído","E5 — Validação ⚠",AND(J436&lt;&gt;"Concluído",J436&lt;&gt;"N/A"),"E6 — Ajustes",K436&lt;&gt;"Concluído","E7 — Entrega",L436&lt;&gt;"Concluído","E08 — Estabilização / Hypercare",TRUE,"✔ Fluxo concluído"))</f>
        <v/>
      </c>
      <c r="N436" s="233" t="str">
        <f t="shared" si="7"/>
        <v/>
      </c>
      <c r="O436" s="230"/>
    </row>
    <row r="437" spans="2:15" x14ac:dyDescent="0.35">
      <c r="B437" s="229" t="str">
        <f>IF(Lançamentos!$B414="","",Lançamentos!$B414)</f>
        <v/>
      </c>
      <c r="C437" s="231" t="str">
        <f>IF($B437="","",Lançamentos!$J414)</f>
        <v/>
      </c>
      <c r="D437" s="231" t="str">
        <f>IF($B437="","",Lançamentos!$H414)</f>
        <v/>
      </c>
      <c r="E437" s="229" t="str">
        <f>IF($B437="","",IF(COUNTIF(Lançamentos!$B$3:$B$1001,$B437)=0,"Bloqueado",IF(COUNTIF('E1 — Solicitação'!$E419:$L419,"⛔ Bloqueado")&gt;0,"Bloqueado",IF(COUNTIF('E1 — Solicitação'!$E419:$L419,"N/A")=8,"Bloqueado",IF(COUNTIF('E1 — Solicitação'!$E419:$L419,"✔ Concluído")+COUNTIF('E1 — Solicitação'!$E419:$L419,"N/A")=8,"Concluído",IF(COUNTIF('E1 — Solicitação'!$E419:$L419,"✔ Concluído")+COUNTIF('E1 — Solicitação'!$E419:$L419,"🔄 Em andamento")&gt;0,"Em andamento","Não iniciado"))))))</f>
        <v/>
      </c>
      <c r="F437" s="229" t="str">
        <f>IF($B437="","",IF($E437&lt;&gt;"Concluído","Não iniciado",IF(COUNTIF(Lançamentos!$B$3:$B$1001,$B437)=0,"Bloqueado",IF('E2 — Triagem'!$D419="","Bloqueado",IF(COUNTIF('E2 — Triagem'!$E419:$L419,"N/A")=8,"Bloqueado",IF(COUNTIF('E2 — Triagem'!$E419:$L419,"⛔ Bloqueado")&gt;0,"Bloqueado",IF(COUNTIF('E2 — Triagem'!$E419:$L419,"✔ Concluído")+COUNTIF('E2 — Triagem'!$E419:$L419,"N/A")=8,"Concluído",IF(COUNTIF('E2 — Triagem'!$E419:$L419,"✔ Concluído")+COUNTIF('E2 — Triagem'!$E419:$L419,"🔄 Em andamento")&gt;0,"Em andamento","Não iniciado"))))))))</f>
        <v/>
      </c>
      <c r="G437" s="229" t="str">
        <f>IF($B437="","",IF($F437&lt;&gt;"Concluído","Não iniciado",IF(COUNTIF(Lançamentos!$B$3:$B$1001,$B437)=0,"Bloqueado",IF('E3 — Levantamento'!$D419="","Bloqueado",IF(COUNTIF('E3 — Levantamento'!$E419:$I419,"⛔ Bloqueado")&gt;0,"Bloqueado",IF('E3 — Levantamento'!$I419="N/A","Bloqueado",IF(COUNTIF('E3 — Levantamento'!$E419:$I419,"✔ Concluído")=5,"Concluído",IF(COUNTIF('E3 — Levantamento'!$E419:$I419,"✔ Concluído")+COUNTIF('E3 — Levantamento'!$E419:$I419,"🔄 Em andamento")&gt;0,"Em andamento","Não iniciado"))))))))</f>
        <v/>
      </c>
      <c r="H437" s="229" t="str">
        <f>IF($B437="","",IF($G437&lt;&gt;"Concluído","Não iniciado",IF(COUNTIF(Lançamentos!$B$3:$B$1001,$B437)=0,"Bloqueado",IF('E4 — Execução'!$D419="","Bloqueado",IF(COUNTIF('E4 — Execução'!$E419:$K419,"⛔ Bloqueado")&gt;0,"Bloqueado",IF(COUNTIF('E4 — Execução'!$E419:$K419,"✔ Concluído")=7,"Concluído",IF(COUNTIF('E4 — Execução'!$E419:$K419,"✔ Concluído")+COUNTIF('E4 — Execução'!$E419:$K419,"🔄 Em andamento")&gt;0,"Em andamento","Não iniciado")))))))</f>
        <v/>
      </c>
      <c r="I437" s="229" t="str">
        <f>IF($B437="","",IF($H437&lt;&gt;"Concluído","Não iniciado",IF(COUNTIF(Lançamentos!$B$3:$B$1001,$B437)=0,"Bloqueado",IF('E5 — Validação'!$D419="","Bloqueado",IF(COUNTIF('E5 — Validação'!$E419:$I419,"⛔ Bloqueado")&gt;0,"Bloqueado",IF('E5 — Validação'!$I419="N/A","Bloqueado",IF(AND('E5 — Validação'!$E419="✔ Concluído",'E5 — Validação'!$F419="✔ Concluído",OR('E5 — Validação'!$G419="✔ Concluído",'E5 — Validação'!$G419="N/A"),'E5 — Validação'!$H419="✔ Concluído",'E5 — Validação'!$I419="✔ Concluído"),"Concluído",IF(COUNTIF('E5 — Validação'!$E419:$I419,"✔ Concluído")+COUNTIF('E5 — Validação'!$E419:$I419,"🔄 Em andamento")&gt;0,"Em andamento","Não iniciado"))))))))</f>
        <v/>
      </c>
      <c r="J437" s="229" t="str">
        <f>IF($B437="","",IF($I437&lt;&gt;"Concluído","Não iniciado",IF('E6 — Ajustes'!$N419="Não","N/A",IF(COUNTIF(Lançamentos!$B$3:$B$1001,$B437)=0,"Bloqueado",IF('E6 — Ajustes'!$D419="","Bloqueado",IF(COUNTIF('E6 — Ajustes'!$E419:$J419,"⛔ Bloqueado")&gt;0,"Bloqueado",IF(AND('E6 — Ajustes'!$E419="✔ Concluído",'E6 — Ajustes'!$F419="✔ Concluído",'E6 — Ajustes'!$G419="✔ Concluído",'E6 — Ajustes'!$H419="✔ Concluído",OR('E6 — Ajustes'!$I419="✔ Concluído",'E6 — Ajustes'!$I419="N/A"),'E6 — Ajustes'!$J419="✔ Concluído"),"Concluído",IF(COUNTIF('E6 — Ajustes'!$E419:$J419,"✔ Concluído")+COUNTIF('E6 — Ajustes'!$E419:$J419,"🔄 Em andamento")&gt;0,"Em andamento","Não iniciado"))))))))</f>
        <v/>
      </c>
      <c r="K437" s="229" t="str">
        <f>IF($B437="","",IF($I437&lt;&gt;"Concluído","Não iniciado",IF(AND($J437&lt;&gt;"Concluído",$J437&lt;&gt;"N/A"),"Não iniciado",IF(COUNTIF(Lançamentos!$B$3:$B$1001,$B437)=0,"Bloqueado",IF('E7 — Entrega'!$D419="","Bloqueado",IF(COUNTIF('E7 — Entrega'!$E419:$H419,"⛔ Bloqueado")&gt;0,"Bloqueado",IF(COUNTIF('E7 — Entrega'!$E419:$H419,"✔ Concluído")=4,"Concluído",IF(COUNTIF('E7 — Entrega'!$E419:$H419,"✔ Concluído")+COUNTIF('E7 — Entrega'!$E419:$H419,"🔄 Em andamento")&gt;0,"Em andamento","Não iniciado"))))))))</f>
        <v/>
      </c>
      <c r="L437" s="229" t="str">
        <f>IF($B437="","",IF($K437&lt;&gt;"Concluído","Não iniciado",IF(OR(COUNTIF('E08 — Estabilização Hypercare'!$E419:$J419,"⛔ Bloqueado")&gt;0,'E08 — Estabilização Hypercare'!$N419="⛔ Incidente Crítico — Encerramento Bloqueado",AND('E08 — Estabilização Hypercare'!$N419="🆕 Evolução Identificada — Nova Demanda Aberta",'E08 — Estabilização Hypercare'!$U419="")),"Bloqueado",IF(AND('E08 — Estabilização Hypercare'!$E419="✔ Concluído",'E08 — Estabilização Hypercare'!$F419="✔ Concluído",'E08 — Estabilização Hypercare'!$G419="✔ Concluído",OR('E08 — Estabilização Hypercare'!$H419="✔ Concluído",'E08 — Estabilização Hypercare'!$H419="N/A"),'E08 — Estabilização Hypercare'!$I419="✔ Concluído",'E08 — Estabilização Hypercare'!$J419="✔ Concluído",OR('E08 — Estabilização Hypercare'!$N419="✅ Estável — Demanda Encerrada",AND('E08 — Estabilização Hypercare'!$N419="🆕 Evolução Identificada — Nova Demanda Aberta",'E08 — Estabilização Hypercare'!$U419&lt;&gt;""))),"Concluído",IF(OR(COUNTIF('E08 — Estabilização Hypercare'!$E419:$J419,"✔ Concluído")&gt;0,COUNTIF('E08 — Estabilização Hypercare'!$E419:$J419,"🔄 Em andamento")&gt;0,'E08 — Estabilização Hypercare'!$N419&lt;&gt;""),"Em andamento","Não iniciado")))))</f>
        <v/>
      </c>
      <c r="M437" s="232" t="str" cm="1">
        <f t="array" ref="M437">IF(B437="","",_xlfn.IFS(E437&lt;&gt;"Concluído","E1 — Solicitação",F437&lt;&gt;"Concluído","E2 — Triagem",G437&lt;&gt;"Concluído","E3 — Levantamento ⚠",H437&lt;&gt;"Concluído","E4 — Execução",I437&lt;&gt;"Concluído","E5 — Validação ⚠",AND(J437&lt;&gt;"Concluído",J437&lt;&gt;"N/A"),"E6 — Ajustes",K437&lt;&gt;"Concluído","E7 — Entrega",L437&lt;&gt;"Concluído","E08 — Estabilização / Hypercare",TRUE,"✔ Fluxo concluído"))</f>
        <v/>
      </c>
      <c r="N437" s="233" t="str">
        <f t="shared" si="7"/>
        <v/>
      </c>
      <c r="O437" s="230"/>
    </row>
    <row r="438" spans="2:15" x14ac:dyDescent="0.35">
      <c r="B438" s="229" t="str">
        <f>IF(Lançamentos!$B415="","",Lançamentos!$B415)</f>
        <v/>
      </c>
      <c r="C438" s="231" t="str">
        <f>IF($B438="","",Lançamentos!$J415)</f>
        <v/>
      </c>
      <c r="D438" s="231" t="str">
        <f>IF($B438="","",Lançamentos!$H415)</f>
        <v/>
      </c>
      <c r="E438" s="229" t="str">
        <f>IF($B438="","",IF(COUNTIF(Lançamentos!$B$3:$B$1001,$B438)=0,"Bloqueado",IF(COUNTIF('E1 — Solicitação'!$E420:$L420,"⛔ Bloqueado")&gt;0,"Bloqueado",IF(COUNTIF('E1 — Solicitação'!$E420:$L420,"N/A")=8,"Bloqueado",IF(COUNTIF('E1 — Solicitação'!$E420:$L420,"✔ Concluído")+COUNTIF('E1 — Solicitação'!$E420:$L420,"N/A")=8,"Concluído",IF(COUNTIF('E1 — Solicitação'!$E420:$L420,"✔ Concluído")+COUNTIF('E1 — Solicitação'!$E420:$L420,"🔄 Em andamento")&gt;0,"Em andamento","Não iniciado"))))))</f>
        <v/>
      </c>
      <c r="F438" s="229" t="str">
        <f>IF($B438="","",IF($E438&lt;&gt;"Concluído","Não iniciado",IF(COUNTIF(Lançamentos!$B$3:$B$1001,$B438)=0,"Bloqueado",IF('E2 — Triagem'!$D420="","Bloqueado",IF(COUNTIF('E2 — Triagem'!$E420:$L420,"N/A")=8,"Bloqueado",IF(COUNTIF('E2 — Triagem'!$E420:$L420,"⛔ Bloqueado")&gt;0,"Bloqueado",IF(COUNTIF('E2 — Triagem'!$E420:$L420,"✔ Concluído")+COUNTIF('E2 — Triagem'!$E420:$L420,"N/A")=8,"Concluído",IF(COUNTIF('E2 — Triagem'!$E420:$L420,"✔ Concluído")+COUNTIF('E2 — Triagem'!$E420:$L420,"🔄 Em andamento")&gt;0,"Em andamento","Não iniciado"))))))))</f>
        <v/>
      </c>
      <c r="G438" s="229" t="str">
        <f>IF($B438="","",IF($F438&lt;&gt;"Concluído","Não iniciado",IF(COUNTIF(Lançamentos!$B$3:$B$1001,$B438)=0,"Bloqueado",IF('E3 — Levantamento'!$D420="","Bloqueado",IF(COUNTIF('E3 — Levantamento'!$E420:$I420,"⛔ Bloqueado")&gt;0,"Bloqueado",IF('E3 — Levantamento'!$I420="N/A","Bloqueado",IF(COUNTIF('E3 — Levantamento'!$E420:$I420,"✔ Concluído")=5,"Concluído",IF(COUNTIF('E3 — Levantamento'!$E420:$I420,"✔ Concluído")+COUNTIF('E3 — Levantamento'!$E420:$I420,"🔄 Em andamento")&gt;0,"Em andamento","Não iniciado"))))))))</f>
        <v/>
      </c>
      <c r="H438" s="229" t="str">
        <f>IF($B438="","",IF($G438&lt;&gt;"Concluído","Não iniciado",IF(COUNTIF(Lançamentos!$B$3:$B$1001,$B438)=0,"Bloqueado",IF('E4 — Execução'!$D420="","Bloqueado",IF(COUNTIF('E4 — Execução'!$E420:$K420,"⛔ Bloqueado")&gt;0,"Bloqueado",IF(COUNTIF('E4 — Execução'!$E420:$K420,"✔ Concluído")=7,"Concluído",IF(COUNTIF('E4 — Execução'!$E420:$K420,"✔ Concluído")+COUNTIF('E4 — Execução'!$E420:$K420,"🔄 Em andamento")&gt;0,"Em andamento","Não iniciado")))))))</f>
        <v/>
      </c>
      <c r="I438" s="229" t="str">
        <f>IF($B438="","",IF($H438&lt;&gt;"Concluído","Não iniciado",IF(COUNTIF(Lançamentos!$B$3:$B$1001,$B438)=0,"Bloqueado",IF('E5 — Validação'!$D420="","Bloqueado",IF(COUNTIF('E5 — Validação'!$E420:$I420,"⛔ Bloqueado")&gt;0,"Bloqueado",IF('E5 — Validação'!$I420="N/A","Bloqueado",IF(AND('E5 — Validação'!$E420="✔ Concluído",'E5 — Validação'!$F420="✔ Concluído",OR('E5 — Validação'!$G420="✔ Concluído",'E5 — Validação'!$G420="N/A"),'E5 — Validação'!$H420="✔ Concluído",'E5 — Validação'!$I420="✔ Concluído"),"Concluído",IF(COUNTIF('E5 — Validação'!$E420:$I420,"✔ Concluído")+COUNTIF('E5 — Validação'!$E420:$I420,"🔄 Em andamento")&gt;0,"Em andamento","Não iniciado"))))))))</f>
        <v/>
      </c>
      <c r="J438" s="229" t="str">
        <f>IF($B438="","",IF($I438&lt;&gt;"Concluído","Não iniciado",IF('E6 — Ajustes'!$N420="Não","N/A",IF(COUNTIF(Lançamentos!$B$3:$B$1001,$B438)=0,"Bloqueado",IF('E6 — Ajustes'!$D420="","Bloqueado",IF(COUNTIF('E6 — Ajustes'!$E420:$J420,"⛔ Bloqueado")&gt;0,"Bloqueado",IF(AND('E6 — Ajustes'!$E420="✔ Concluído",'E6 — Ajustes'!$F420="✔ Concluído",'E6 — Ajustes'!$G420="✔ Concluído",'E6 — Ajustes'!$H420="✔ Concluído",OR('E6 — Ajustes'!$I420="✔ Concluído",'E6 — Ajustes'!$I420="N/A"),'E6 — Ajustes'!$J420="✔ Concluído"),"Concluído",IF(COUNTIF('E6 — Ajustes'!$E420:$J420,"✔ Concluído")+COUNTIF('E6 — Ajustes'!$E420:$J420,"🔄 Em andamento")&gt;0,"Em andamento","Não iniciado"))))))))</f>
        <v/>
      </c>
      <c r="K438" s="229" t="str">
        <f>IF($B438="","",IF($I438&lt;&gt;"Concluído","Não iniciado",IF(AND($J438&lt;&gt;"Concluído",$J438&lt;&gt;"N/A"),"Não iniciado",IF(COUNTIF(Lançamentos!$B$3:$B$1001,$B438)=0,"Bloqueado",IF('E7 — Entrega'!$D420="","Bloqueado",IF(COUNTIF('E7 — Entrega'!$E420:$H420,"⛔ Bloqueado")&gt;0,"Bloqueado",IF(COUNTIF('E7 — Entrega'!$E420:$H420,"✔ Concluído")=4,"Concluído",IF(COUNTIF('E7 — Entrega'!$E420:$H420,"✔ Concluído")+COUNTIF('E7 — Entrega'!$E420:$H420,"🔄 Em andamento")&gt;0,"Em andamento","Não iniciado"))))))))</f>
        <v/>
      </c>
      <c r="L438" s="229" t="str">
        <f>IF($B438="","",IF($K438&lt;&gt;"Concluído","Não iniciado",IF(OR(COUNTIF('E08 — Estabilização Hypercare'!$E420:$J420,"⛔ Bloqueado")&gt;0,'E08 — Estabilização Hypercare'!$N420="⛔ Incidente Crítico — Encerramento Bloqueado",AND('E08 — Estabilização Hypercare'!$N420="🆕 Evolução Identificada — Nova Demanda Aberta",'E08 — Estabilização Hypercare'!$U420="")),"Bloqueado",IF(AND('E08 — Estabilização Hypercare'!$E420="✔ Concluído",'E08 — Estabilização Hypercare'!$F420="✔ Concluído",'E08 — Estabilização Hypercare'!$G420="✔ Concluído",OR('E08 — Estabilização Hypercare'!$H420="✔ Concluído",'E08 — Estabilização Hypercare'!$H420="N/A"),'E08 — Estabilização Hypercare'!$I420="✔ Concluído",'E08 — Estabilização Hypercare'!$J420="✔ Concluído",OR('E08 — Estabilização Hypercare'!$N420="✅ Estável — Demanda Encerrada",AND('E08 — Estabilização Hypercare'!$N420="🆕 Evolução Identificada — Nova Demanda Aberta",'E08 — Estabilização Hypercare'!$U420&lt;&gt;""))),"Concluído",IF(OR(COUNTIF('E08 — Estabilização Hypercare'!$E420:$J420,"✔ Concluído")&gt;0,COUNTIF('E08 — Estabilização Hypercare'!$E420:$J420,"🔄 Em andamento")&gt;0,'E08 — Estabilização Hypercare'!$N420&lt;&gt;""),"Em andamento","Não iniciado")))))</f>
        <v/>
      </c>
      <c r="M438" s="232" t="str" cm="1">
        <f t="array" ref="M438">IF(B438="","",_xlfn.IFS(E438&lt;&gt;"Concluído","E1 — Solicitação",F438&lt;&gt;"Concluído","E2 — Triagem",G438&lt;&gt;"Concluído","E3 — Levantamento ⚠",H438&lt;&gt;"Concluído","E4 — Execução",I438&lt;&gt;"Concluído","E5 — Validação ⚠",AND(J438&lt;&gt;"Concluído",J438&lt;&gt;"N/A"),"E6 — Ajustes",K438&lt;&gt;"Concluído","E7 — Entrega",L438&lt;&gt;"Concluído","E08 — Estabilização / Hypercare",TRUE,"✔ Fluxo concluído"))</f>
        <v/>
      </c>
      <c r="N438" s="233" t="str">
        <f t="shared" si="7"/>
        <v/>
      </c>
      <c r="O438" s="230"/>
    </row>
    <row r="439" spans="2:15" x14ac:dyDescent="0.35">
      <c r="B439" s="229" t="str">
        <f>IF(Lançamentos!$B416="","",Lançamentos!$B416)</f>
        <v/>
      </c>
      <c r="C439" s="231" t="str">
        <f>IF($B439="","",Lançamentos!$J416)</f>
        <v/>
      </c>
      <c r="D439" s="231" t="str">
        <f>IF($B439="","",Lançamentos!$H416)</f>
        <v/>
      </c>
      <c r="E439" s="229" t="str">
        <f>IF($B439="","",IF(COUNTIF(Lançamentos!$B$3:$B$1001,$B439)=0,"Bloqueado",IF(COUNTIF('E1 — Solicitação'!$E421:$L421,"⛔ Bloqueado")&gt;0,"Bloqueado",IF(COUNTIF('E1 — Solicitação'!$E421:$L421,"N/A")=8,"Bloqueado",IF(COUNTIF('E1 — Solicitação'!$E421:$L421,"✔ Concluído")+COUNTIF('E1 — Solicitação'!$E421:$L421,"N/A")=8,"Concluído",IF(COUNTIF('E1 — Solicitação'!$E421:$L421,"✔ Concluído")+COUNTIF('E1 — Solicitação'!$E421:$L421,"🔄 Em andamento")&gt;0,"Em andamento","Não iniciado"))))))</f>
        <v/>
      </c>
      <c r="F439" s="229" t="str">
        <f>IF($B439="","",IF($E439&lt;&gt;"Concluído","Não iniciado",IF(COUNTIF(Lançamentos!$B$3:$B$1001,$B439)=0,"Bloqueado",IF('E2 — Triagem'!$D421="","Bloqueado",IF(COUNTIF('E2 — Triagem'!$E421:$L421,"N/A")=8,"Bloqueado",IF(COUNTIF('E2 — Triagem'!$E421:$L421,"⛔ Bloqueado")&gt;0,"Bloqueado",IF(COUNTIF('E2 — Triagem'!$E421:$L421,"✔ Concluído")+COUNTIF('E2 — Triagem'!$E421:$L421,"N/A")=8,"Concluído",IF(COUNTIF('E2 — Triagem'!$E421:$L421,"✔ Concluído")+COUNTIF('E2 — Triagem'!$E421:$L421,"🔄 Em andamento")&gt;0,"Em andamento","Não iniciado"))))))))</f>
        <v/>
      </c>
      <c r="G439" s="229" t="str">
        <f>IF($B439="","",IF($F439&lt;&gt;"Concluído","Não iniciado",IF(COUNTIF(Lançamentos!$B$3:$B$1001,$B439)=0,"Bloqueado",IF('E3 — Levantamento'!$D421="","Bloqueado",IF(COUNTIF('E3 — Levantamento'!$E421:$I421,"⛔ Bloqueado")&gt;0,"Bloqueado",IF('E3 — Levantamento'!$I421="N/A","Bloqueado",IF(COUNTIF('E3 — Levantamento'!$E421:$I421,"✔ Concluído")=5,"Concluído",IF(COUNTIF('E3 — Levantamento'!$E421:$I421,"✔ Concluído")+COUNTIF('E3 — Levantamento'!$E421:$I421,"🔄 Em andamento")&gt;0,"Em andamento","Não iniciado"))))))))</f>
        <v/>
      </c>
      <c r="H439" s="229" t="str">
        <f>IF($B439="","",IF($G439&lt;&gt;"Concluído","Não iniciado",IF(COUNTIF(Lançamentos!$B$3:$B$1001,$B439)=0,"Bloqueado",IF('E4 — Execução'!$D421="","Bloqueado",IF(COUNTIF('E4 — Execução'!$E421:$K421,"⛔ Bloqueado")&gt;0,"Bloqueado",IF(COUNTIF('E4 — Execução'!$E421:$K421,"✔ Concluído")=7,"Concluído",IF(COUNTIF('E4 — Execução'!$E421:$K421,"✔ Concluído")+COUNTIF('E4 — Execução'!$E421:$K421,"🔄 Em andamento")&gt;0,"Em andamento","Não iniciado")))))))</f>
        <v/>
      </c>
      <c r="I439" s="229" t="str">
        <f>IF($B439="","",IF($H439&lt;&gt;"Concluído","Não iniciado",IF(COUNTIF(Lançamentos!$B$3:$B$1001,$B439)=0,"Bloqueado",IF('E5 — Validação'!$D421="","Bloqueado",IF(COUNTIF('E5 — Validação'!$E421:$I421,"⛔ Bloqueado")&gt;0,"Bloqueado",IF('E5 — Validação'!$I421="N/A","Bloqueado",IF(AND('E5 — Validação'!$E421="✔ Concluído",'E5 — Validação'!$F421="✔ Concluído",OR('E5 — Validação'!$G421="✔ Concluído",'E5 — Validação'!$G421="N/A"),'E5 — Validação'!$H421="✔ Concluído",'E5 — Validação'!$I421="✔ Concluído"),"Concluído",IF(COUNTIF('E5 — Validação'!$E421:$I421,"✔ Concluído")+COUNTIF('E5 — Validação'!$E421:$I421,"🔄 Em andamento")&gt;0,"Em andamento","Não iniciado"))))))))</f>
        <v/>
      </c>
      <c r="J439" s="229" t="str">
        <f>IF($B439="","",IF($I439&lt;&gt;"Concluído","Não iniciado",IF('E6 — Ajustes'!$N421="Não","N/A",IF(COUNTIF(Lançamentos!$B$3:$B$1001,$B439)=0,"Bloqueado",IF('E6 — Ajustes'!$D421="","Bloqueado",IF(COUNTIF('E6 — Ajustes'!$E421:$J421,"⛔ Bloqueado")&gt;0,"Bloqueado",IF(AND('E6 — Ajustes'!$E421="✔ Concluído",'E6 — Ajustes'!$F421="✔ Concluído",'E6 — Ajustes'!$G421="✔ Concluído",'E6 — Ajustes'!$H421="✔ Concluído",OR('E6 — Ajustes'!$I421="✔ Concluído",'E6 — Ajustes'!$I421="N/A"),'E6 — Ajustes'!$J421="✔ Concluído"),"Concluído",IF(COUNTIF('E6 — Ajustes'!$E421:$J421,"✔ Concluído")+COUNTIF('E6 — Ajustes'!$E421:$J421,"🔄 Em andamento")&gt;0,"Em andamento","Não iniciado"))))))))</f>
        <v/>
      </c>
      <c r="K439" s="229" t="str">
        <f>IF($B439="","",IF($I439&lt;&gt;"Concluído","Não iniciado",IF(AND($J439&lt;&gt;"Concluído",$J439&lt;&gt;"N/A"),"Não iniciado",IF(COUNTIF(Lançamentos!$B$3:$B$1001,$B439)=0,"Bloqueado",IF('E7 — Entrega'!$D421="","Bloqueado",IF(COUNTIF('E7 — Entrega'!$E421:$H421,"⛔ Bloqueado")&gt;0,"Bloqueado",IF(COUNTIF('E7 — Entrega'!$E421:$H421,"✔ Concluído")=4,"Concluído",IF(COUNTIF('E7 — Entrega'!$E421:$H421,"✔ Concluído")+COUNTIF('E7 — Entrega'!$E421:$H421,"🔄 Em andamento")&gt;0,"Em andamento","Não iniciado"))))))))</f>
        <v/>
      </c>
      <c r="L439" s="229" t="str">
        <f>IF($B439="","",IF($K439&lt;&gt;"Concluído","Não iniciado",IF(OR(COUNTIF('E08 — Estabilização Hypercare'!$E421:$J421,"⛔ Bloqueado")&gt;0,'E08 — Estabilização Hypercare'!$N421="⛔ Incidente Crítico — Encerramento Bloqueado",AND('E08 — Estabilização Hypercare'!$N421="🆕 Evolução Identificada — Nova Demanda Aberta",'E08 — Estabilização Hypercare'!$U421="")),"Bloqueado",IF(AND('E08 — Estabilização Hypercare'!$E421="✔ Concluído",'E08 — Estabilização Hypercare'!$F421="✔ Concluído",'E08 — Estabilização Hypercare'!$G421="✔ Concluído",OR('E08 — Estabilização Hypercare'!$H421="✔ Concluído",'E08 — Estabilização Hypercare'!$H421="N/A"),'E08 — Estabilização Hypercare'!$I421="✔ Concluído",'E08 — Estabilização Hypercare'!$J421="✔ Concluído",OR('E08 — Estabilização Hypercare'!$N421="✅ Estável — Demanda Encerrada",AND('E08 — Estabilização Hypercare'!$N421="🆕 Evolução Identificada — Nova Demanda Aberta",'E08 — Estabilização Hypercare'!$U421&lt;&gt;""))),"Concluído",IF(OR(COUNTIF('E08 — Estabilização Hypercare'!$E421:$J421,"✔ Concluído")&gt;0,COUNTIF('E08 — Estabilização Hypercare'!$E421:$J421,"🔄 Em andamento")&gt;0,'E08 — Estabilização Hypercare'!$N421&lt;&gt;""),"Em andamento","Não iniciado")))))</f>
        <v/>
      </c>
      <c r="M439" s="232" t="str" cm="1">
        <f t="array" ref="M439">IF(B439="","",_xlfn.IFS(E439&lt;&gt;"Concluído","E1 — Solicitação",F439&lt;&gt;"Concluído","E2 — Triagem",G439&lt;&gt;"Concluído","E3 — Levantamento ⚠",H439&lt;&gt;"Concluído","E4 — Execução",I439&lt;&gt;"Concluído","E5 — Validação ⚠",AND(J439&lt;&gt;"Concluído",J439&lt;&gt;"N/A"),"E6 — Ajustes",K439&lt;&gt;"Concluído","E7 — Entrega",L439&lt;&gt;"Concluído","E08 — Estabilização / Hypercare",TRUE,"✔ Fluxo concluído"))</f>
        <v/>
      </c>
      <c r="N439" s="233" t="str">
        <f t="shared" si="7"/>
        <v/>
      </c>
      <c r="O439" s="230"/>
    </row>
    <row r="440" spans="2:15" x14ac:dyDescent="0.35">
      <c r="B440" s="229" t="str">
        <f>IF(Lançamentos!$B417="","",Lançamentos!$B417)</f>
        <v/>
      </c>
      <c r="C440" s="231" t="str">
        <f>IF($B440="","",Lançamentos!$J417)</f>
        <v/>
      </c>
      <c r="D440" s="231" t="str">
        <f>IF($B440="","",Lançamentos!$H417)</f>
        <v/>
      </c>
      <c r="E440" s="229" t="str">
        <f>IF($B440="","",IF(COUNTIF(Lançamentos!$B$3:$B$1001,$B440)=0,"Bloqueado",IF(COUNTIF('E1 — Solicitação'!$E422:$L422,"⛔ Bloqueado")&gt;0,"Bloqueado",IF(COUNTIF('E1 — Solicitação'!$E422:$L422,"N/A")=8,"Bloqueado",IF(COUNTIF('E1 — Solicitação'!$E422:$L422,"✔ Concluído")+COUNTIF('E1 — Solicitação'!$E422:$L422,"N/A")=8,"Concluído",IF(COUNTIF('E1 — Solicitação'!$E422:$L422,"✔ Concluído")+COUNTIF('E1 — Solicitação'!$E422:$L422,"🔄 Em andamento")&gt;0,"Em andamento","Não iniciado"))))))</f>
        <v/>
      </c>
      <c r="F440" s="229" t="str">
        <f>IF($B440="","",IF($E440&lt;&gt;"Concluído","Não iniciado",IF(COUNTIF(Lançamentos!$B$3:$B$1001,$B440)=0,"Bloqueado",IF('E2 — Triagem'!$D422="","Bloqueado",IF(COUNTIF('E2 — Triagem'!$E422:$L422,"N/A")=8,"Bloqueado",IF(COUNTIF('E2 — Triagem'!$E422:$L422,"⛔ Bloqueado")&gt;0,"Bloqueado",IF(COUNTIF('E2 — Triagem'!$E422:$L422,"✔ Concluído")+COUNTIF('E2 — Triagem'!$E422:$L422,"N/A")=8,"Concluído",IF(COUNTIF('E2 — Triagem'!$E422:$L422,"✔ Concluído")+COUNTIF('E2 — Triagem'!$E422:$L422,"🔄 Em andamento")&gt;0,"Em andamento","Não iniciado"))))))))</f>
        <v/>
      </c>
      <c r="G440" s="229" t="str">
        <f>IF($B440="","",IF($F440&lt;&gt;"Concluído","Não iniciado",IF(COUNTIF(Lançamentos!$B$3:$B$1001,$B440)=0,"Bloqueado",IF('E3 — Levantamento'!$D422="","Bloqueado",IF(COUNTIF('E3 — Levantamento'!$E422:$I422,"⛔ Bloqueado")&gt;0,"Bloqueado",IF('E3 — Levantamento'!$I422="N/A","Bloqueado",IF(COUNTIF('E3 — Levantamento'!$E422:$I422,"✔ Concluído")=5,"Concluído",IF(COUNTIF('E3 — Levantamento'!$E422:$I422,"✔ Concluído")+COUNTIF('E3 — Levantamento'!$E422:$I422,"🔄 Em andamento")&gt;0,"Em andamento","Não iniciado"))))))))</f>
        <v/>
      </c>
      <c r="H440" s="229" t="str">
        <f>IF($B440="","",IF($G440&lt;&gt;"Concluído","Não iniciado",IF(COUNTIF(Lançamentos!$B$3:$B$1001,$B440)=0,"Bloqueado",IF('E4 — Execução'!$D422="","Bloqueado",IF(COUNTIF('E4 — Execução'!$E422:$K422,"⛔ Bloqueado")&gt;0,"Bloqueado",IF(COUNTIF('E4 — Execução'!$E422:$K422,"✔ Concluído")=7,"Concluído",IF(COUNTIF('E4 — Execução'!$E422:$K422,"✔ Concluído")+COUNTIF('E4 — Execução'!$E422:$K422,"🔄 Em andamento")&gt;0,"Em andamento","Não iniciado")))))))</f>
        <v/>
      </c>
      <c r="I440" s="229" t="str">
        <f>IF($B440="","",IF($H440&lt;&gt;"Concluído","Não iniciado",IF(COUNTIF(Lançamentos!$B$3:$B$1001,$B440)=0,"Bloqueado",IF('E5 — Validação'!$D422="","Bloqueado",IF(COUNTIF('E5 — Validação'!$E422:$I422,"⛔ Bloqueado")&gt;0,"Bloqueado",IF('E5 — Validação'!$I422="N/A","Bloqueado",IF(AND('E5 — Validação'!$E422="✔ Concluído",'E5 — Validação'!$F422="✔ Concluído",OR('E5 — Validação'!$G422="✔ Concluído",'E5 — Validação'!$G422="N/A"),'E5 — Validação'!$H422="✔ Concluído",'E5 — Validação'!$I422="✔ Concluído"),"Concluído",IF(COUNTIF('E5 — Validação'!$E422:$I422,"✔ Concluído")+COUNTIF('E5 — Validação'!$E422:$I422,"🔄 Em andamento")&gt;0,"Em andamento","Não iniciado"))))))))</f>
        <v/>
      </c>
      <c r="J440" s="229" t="str">
        <f>IF($B440="","",IF($I440&lt;&gt;"Concluído","Não iniciado",IF('E6 — Ajustes'!$N422="Não","N/A",IF(COUNTIF(Lançamentos!$B$3:$B$1001,$B440)=0,"Bloqueado",IF('E6 — Ajustes'!$D422="","Bloqueado",IF(COUNTIF('E6 — Ajustes'!$E422:$J422,"⛔ Bloqueado")&gt;0,"Bloqueado",IF(AND('E6 — Ajustes'!$E422="✔ Concluído",'E6 — Ajustes'!$F422="✔ Concluído",'E6 — Ajustes'!$G422="✔ Concluído",'E6 — Ajustes'!$H422="✔ Concluído",OR('E6 — Ajustes'!$I422="✔ Concluído",'E6 — Ajustes'!$I422="N/A"),'E6 — Ajustes'!$J422="✔ Concluído"),"Concluído",IF(COUNTIF('E6 — Ajustes'!$E422:$J422,"✔ Concluído")+COUNTIF('E6 — Ajustes'!$E422:$J422,"🔄 Em andamento")&gt;0,"Em andamento","Não iniciado"))))))))</f>
        <v/>
      </c>
      <c r="K440" s="229" t="str">
        <f>IF($B440="","",IF($I440&lt;&gt;"Concluído","Não iniciado",IF(AND($J440&lt;&gt;"Concluído",$J440&lt;&gt;"N/A"),"Não iniciado",IF(COUNTIF(Lançamentos!$B$3:$B$1001,$B440)=0,"Bloqueado",IF('E7 — Entrega'!$D422="","Bloqueado",IF(COUNTIF('E7 — Entrega'!$E422:$H422,"⛔ Bloqueado")&gt;0,"Bloqueado",IF(COUNTIF('E7 — Entrega'!$E422:$H422,"✔ Concluído")=4,"Concluído",IF(COUNTIF('E7 — Entrega'!$E422:$H422,"✔ Concluído")+COUNTIF('E7 — Entrega'!$E422:$H422,"🔄 Em andamento")&gt;0,"Em andamento","Não iniciado"))))))))</f>
        <v/>
      </c>
      <c r="L440" s="229" t="str">
        <f>IF($B440="","",IF($K440&lt;&gt;"Concluído","Não iniciado",IF(OR(COUNTIF('E08 — Estabilização Hypercare'!$E422:$J422,"⛔ Bloqueado")&gt;0,'E08 — Estabilização Hypercare'!$N422="⛔ Incidente Crítico — Encerramento Bloqueado",AND('E08 — Estabilização Hypercare'!$N422="🆕 Evolução Identificada — Nova Demanda Aberta",'E08 — Estabilização Hypercare'!$U422="")),"Bloqueado",IF(AND('E08 — Estabilização Hypercare'!$E422="✔ Concluído",'E08 — Estabilização Hypercare'!$F422="✔ Concluído",'E08 — Estabilização Hypercare'!$G422="✔ Concluído",OR('E08 — Estabilização Hypercare'!$H422="✔ Concluído",'E08 — Estabilização Hypercare'!$H422="N/A"),'E08 — Estabilização Hypercare'!$I422="✔ Concluído",'E08 — Estabilização Hypercare'!$J422="✔ Concluído",OR('E08 — Estabilização Hypercare'!$N422="✅ Estável — Demanda Encerrada",AND('E08 — Estabilização Hypercare'!$N422="🆕 Evolução Identificada — Nova Demanda Aberta",'E08 — Estabilização Hypercare'!$U422&lt;&gt;""))),"Concluído",IF(OR(COUNTIF('E08 — Estabilização Hypercare'!$E422:$J422,"✔ Concluído")&gt;0,COUNTIF('E08 — Estabilização Hypercare'!$E422:$J422,"🔄 Em andamento")&gt;0,'E08 — Estabilização Hypercare'!$N422&lt;&gt;""),"Em andamento","Não iniciado")))))</f>
        <v/>
      </c>
      <c r="M440" s="232" t="str" cm="1">
        <f t="array" ref="M440">IF(B440="","",_xlfn.IFS(E440&lt;&gt;"Concluído","E1 — Solicitação",F440&lt;&gt;"Concluído","E2 — Triagem",G440&lt;&gt;"Concluído","E3 — Levantamento ⚠",H440&lt;&gt;"Concluído","E4 — Execução",I440&lt;&gt;"Concluído","E5 — Validação ⚠",AND(J440&lt;&gt;"Concluído",J440&lt;&gt;"N/A"),"E6 — Ajustes",K440&lt;&gt;"Concluído","E7 — Entrega",L440&lt;&gt;"Concluído","E08 — Estabilização / Hypercare",TRUE,"✔ Fluxo concluído"))</f>
        <v/>
      </c>
      <c r="N440" s="233" t="str">
        <f t="shared" si="7"/>
        <v/>
      </c>
      <c r="O440" s="230"/>
    </row>
    <row r="441" spans="2:15" x14ac:dyDescent="0.35">
      <c r="B441" s="229" t="str">
        <f>IF(Lançamentos!$B418="","",Lançamentos!$B418)</f>
        <v/>
      </c>
      <c r="C441" s="231" t="str">
        <f>IF($B441="","",Lançamentos!$J418)</f>
        <v/>
      </c>
      <c r="D441" s="231" t="str">
        <f>IF($B441="","",Lançamentos!$H418)</f>
        <v/>
      </c>
      <c r="E441" s="229" t="str">
        <f>IF($B441="","",IF(COUNTIF(Lançamentos!$B$3:$B$1001,$B441)=0,"Bloqueado",IF(COUNTIF('E1 — Solicitação'!$E423:$L423,"⛔ Bloqueado")&gt;0,"Bloqueado",IF(COUNTIF('E1 — Solicitação'!$E423:$L423,"N/A")=8,"Bloqueado",IF(COUNTIF('E1 — Solicitação'!$E423:$L423,"✔ Concluído")+COUNTIF('E1 — Solicitação'!$E423:$L423,"N/A")=8,"Concluído",IF(COUNTIF('E1 — Solicitação'!$E423:$L423,"✔ Concluído")+COUNTIF('E1 — Solicitação'!$E423:$L423,"🔄 Em andamento")&gt;0,"Em andamento","Não iniciado"))))))</f>
        <v/>
      </c>
      <c r="F441" s="229" t="str">
        <f>IF($B441="","",IF($E441&lt;&gt;"Concluído","Não iniciado",IF(COUNTIF(Lançamentos!$B$3:$B$1001,$B441)=0,"Bloqueado",IF('E2 — Triagem'!$D423="","Bloqueado",IF(COUNTIF('E2 — Triagem'!$E423:$L423,"N/A")=8,"Bloqueado",IF(COUNTIF('E2 — Triagem'!$E423:$L423,"⛔ Bloqueado")&gt;0,"Bloqueado",IF(COUNTIF('E2 — Triagem'!$E423:$L423,"✔ Concluído")+COUNTIF('E2 — Triagem'!$E423:$L423,"N/A")=8,"Concluído",IF(COUNTIF('E2 — Triagem'!$E423:$L423,"✔ Concluído")+COUNTIF('E2 — Triagem'!$E423:$L423,"🔄 Em andamento")&gt;0,"Em andamento","Não iniciado"))))))))</f>
        <v/>
      </c>
      <c r="G441" s="229" t="str">
        <f>IF($B441="","",IF($F441&lt;&gt;"Concluído","Não iniciado",IF(COUNTIF(Lançamentos!$B$3:$B$1001,$B441)=0,"Bloqueado",IF('E3 — Levantamento'!$D423="","Bloqueado",IF(COUNTIF('E3 — Levantamento'!$E423:$I423,"⛔ Bloqueado")&gt;0,"Bloqueado",IF('E3 — Levantamento'!$I423="N/A","Bloqueado",IF(COUNTIF('E3 — Levantamento'!$E423:$I423,"✔ Concluído")=5,"Concluído",IF(COUNTIF('E3 — Levantamento'!$E423:$I423,"✔ Concluído")+COUNTIF('E3 — Levantamento'!$E423:$I423,"🔄 Em andamento")&gt;0,"Em andamento","Não iniciado"))))))))</f>
        <v/>
      </c>
      <c r="H441" s="229" t="str">
        <f>IF($B441="","",IF($G441&lt;&gt;"Concluído","Não iniciado",IF(COUNTIF(Lançamentos!$B$3:$B$1001,$B441)=0,"Bloqueado",IF('E4 — Execução'!$D423="","Bloqueado",IF(COUNTIF('E4 — Execução'!$E423:$K423,"⛔ Bloqueado")&gt;0,"Bloqueado",IF(COUNTIF('E4 — Execução'!$E423:$K423,"✔ Concluído")=7,"Concluído",IF(COUNTIF('E4 — Execução'!$E423:$K423,"✔ Concluído")+COUNTIF('E4 — Execução'!$E423:$K423,"🔄 Em andamento")&gt;0,"Em andamento","Não iniciado")))))))</f>
        <v/>
      </c>
      <c r="I441" s="229" t="str">
        <f>IF($B441="","",IF($H441&lt;&gt;"Concluído","Não iniciado",IF(COUNTIF(Lançamentos!$B$3:$B$1001,$B441)=0,"Bloqueado",IF('E5 — Validação'!$D423="","Bloqueado",IF(COUNTIF('E5 — Validação'!$E423:$I423,"⛔ Bloqueado")&gt;0,"Bloqueado",IF('E5 — Validação'!$I423="N/A","Bloqueado",IF(AND('E5 — Validação'!$E423="✔ Concluído",'E5 — Validação'!$F423="✔ Concluído",OR('E5 — Validação'!$G423="✔ Concluído",'E5 — Validação'!$G423="N/A"),'E5 — Validação'!$H423="✔ Concluído",'E5 — Validação'!$I423="✔ Concluído"),"Concluído",IF(COUNTIF('E5 — Validação'!$E423:$I423,"✔ Concluído")+COUNTIF('E5 — Validação'!$E423:$I423,"🔄 Em andamento")&gt;0,"Em andamento","Não iniciado"))))))))</f>
        <v/>
      </c>
      <c r="J441" s="229" t="str">
        <f>IF($B441="","",IF($I441&lt;&gt;"Concluído","Não iniciado",IF('E6 — Ajustes'!$N423="Não","N/A",IF(COUNTIF(Lançamentos!$B$3:$B$1001,$B441)=0,"Bloqueado",IF('E6 — Ajustes'!$D423="","Bloqueado",IF(COUNTIF('E6 — Ajustes'!$E423:$J423,"⛔ Bloqueado")&gt;0,"Bloqueado",IF(AND('E6 — Ajustes'!$E423="✔ Concluído",'E6 — Ajustes'!$F423="✔ Concluído",'E6 — Ajustes'!$G423="✔ Concluído",'E6 — Ajustes'!$H423="✔ Concluído",OR('E6 — Ajustes'!$I423="✔ Concluído",'E6 — Ajustes'!$I423="N/A"),'E6 — Ajustes'!$J423="✔ Concluído"),"Concluído",IF(COUNTIF('E6 — Ajustes'!$E423:$J423,"✔ Concluído")+COUNTIF('E6 — Ajustes'!$E423:$J423,"🔄 Em andamento")&gt;0,"Em andamento","Não iniciado"))))))))</f>
        <v/>
      </c>
      <c r="K441" s="229" t="str">
        <f>IF($B441="","",IF($I441&lt;&gt;"Concluído","Não iniciado",IF(AND($J441&lt;&gt;"Concluído",$J441&lt;&gt;"N/A"),"Não iniciado",IF(COUNTIF(Lançamentos!$B$3:$B$1001,$B441)=0,"Bloqueado",IF('E7 — Entrega'!$D423="","Bloqueado",IF(COUNTIF('E7 — Entrega'!$E423:$H423,"⛔ Bloqueado")&gt;0,"Bloqueado",IF(COUNTIF('E7 — Entrega'!$E423:$H423,"✔ Concluído")=4,"Concluído",IF(COUNTIF('E7 — Entrega'!$E423:$H423,"✔ Concluído")+COUNTIF('E7 — Entrega'!$E423:$H423,"🔄 Em andamento")&gt;0,"Em andamento","Não iniciado"))))))))</f>
        <v/>
      </c>
      <c r="L441" s="229" t="str">
        <f>IF($B441="","",IF($K441&lt;&gt;"Concluído","Não iniciado",IF(OR(COUNTIF('E08 — Estabilização Hypercare'!$E423:$J423,"⛔ Bloqueado")&gt;0,'E08 — Estabilização Hypercare'!$N423="⛔ Incidente Crítico — Encerramento Bloqueado",AND('E08 — Estabilização Hypercare'!$N423="🆕 Evolução Identificada — Nova Demanda Aberta",'E08 — Estabilização Hypercare'!$U423="")),"Bloqueado",IF(AND('E08 — Estabilização Hypercare'!$E423="✔ Concluído",'E08 — Estabilização Hypercare'!$F423="✔ Concluído",'E08 — Estabilização Hypercare'!$G423="✔ Concluído",OR('E08 — Estabilização Hypercare'!$H423="✔ Concluído",'E08 — Estabilização Hypercare'!$H423="N/A"),'E08 — Estabilização Hypercare'!$I423="✔ Concluído",'E08 — Estabilização Hypercare'!$J423="✔ Concluído",OR('E08 — Estabilização Hypercare'!$N423="✅ Estável — Demanda Encerrada",AND('E08 — Estabilização Hypercare'!$N423="🆕 Evolução Identificada — Nova Demanda Aberta",'E08 — Estabilização Hypercare'!$U423&lt;&gt;""))),"Concluído",IF(OR(COUNTIF('E08 — Estabilização Hypercare'!$E423:$J423,"✔ Concluído")&gt;0,COUNTIF('E08 — Estabilização Hypercare'!$E423:$J423,"🔄 Em andamento")&gt;0,'E08 — Estabilização Hypercare'!$N423&lt;&gt;""),"Em andamento","Não iniciado")))))</f>
        <v/>
      </c>
      <c r="M441" s="232" t="str" cm="1">
        <f t="array" ref="M441">IF(B441="","",_xlfn.IFS(E441&lt;&gt;"Concluído","E1 — Solicitação",F441&lt;&gt;"Concluído","E2 — Triagem",G441&lt;&gt;"Concluído","E3 — Levantamento ⚠",H441&lt;&gt;"Concluído","E4 — Execução",I441&lt;&gt;"Concluído","E5 — Validação ⚠",AND(J441&lt;&gt;"Concluído",J441&lt;&gt;"N/A"),"E6 — Ajustes",K441&lt;&gt;"Concluído","E7 — Entrega",L441&lt;&gt;"Concluído","E08 — Estabilização / Hypercare",TRUE,"✔ Fluxo concluído"))</f>
        <v/>
      </c>
      <c r="N441" s="233" t="str">
        <f t="shared" si="7"/>
        <v/>
      </c>
      <c r="O441" s="230"/>
    </row>
    <row r="442" spans="2:15" x14ac:dyDescent="0.35">
      <c r="B442" s="229" t="str">
        <f>IF(Lançamentos!$B419="","",Lançamentos!$B419)</f>
        <v/>
      </c>
      <c r="C442" s="231" t="str">
        <f>IF($B442="","",Lançamentos!$J419)</f>
        <v/>
      </c>
      <c r="D442" s="231" t="str">
        <f>IF($B442="","",Lançamentos!$H419)</f>
        <v/>
      </c>
      <c r="E442" s="229" t="str">
        <f>IF($B442="","",IF(COUNTIF(Lançamentos!$B$3:$B$1001,$B442)=0,"Bloqueado",IF(COUNTIF('E1 — Solicitação'!$E424:$L424,"⛔ Bloqueado")&gt;0,"Bloqueado",IF(COUNTIF('E1 — Solicitação'!$E424:$L424,"N/A")=8,"Bloqueado",IF(COUNTIF('E1 — Solicitação'!$E424:$L424,"✔ Concluído")+COUNTIF('E1 — Solicitação'!$E424:$L424,"N/A")=8,"Concluído",IF(COUNTIF('E1 — Solicitação'!$E424:$L424,"✔ Concluído")+COUNTIF('E1 — Solicitação'!$E424:$L424,"🔄 Em andamento")&gt;0,"Em andamento","Não iniciado"))))))</f>
        <v/>
      </c>
      <c r="F442" s="229" t="str">
        <f>IF($B442="","",IF($E442&lt;&gt;"Concluído","Não iniciado",IF(COUNTIF(Lançamentos!$B$3:$B$1001,$B442)=0,"Bloqueado",IF('E2 — Triagem'!$D424="","Bloqueado",IF(COUNTIF('E2 — Triagem'!$E424:$L424,"N/A")=8,"Bloqueado",IF(COUNTIF('E2 — Triagem'!$E424:$L424,"⛔ Bloqueado")&gt;0,"Bloqueado",IF(COUNTIF('E2 — Triagem'!$E424:$L424,"✔ Concluído")+COUNTIF('E2 — Triagem'!$E424:$L424,"N/A")=8,"Concluído",IF(COUNTIF('E2 — Triagem'!$E424:$L424,"✔ Concluído")+COUNTIF('E2 — Triagem'!$E424:$L424,"🔄 Em andamento")&gt;0,"Em andamento","Não iniciado"))))))))</f>
        <v/>
      </c>
      <c r="G442" s="229" t="str">
        <f>IF($B442="","",IF($F442&lt;&gt;"Concluído","Não iniciado",IF(COUNTIF(Lançamentos!$B$3:$B$1001,$B442)=0,"Bloqueado",IF('E3 — Levantamento'!$D424="","Bloqueado",IF(COUNTIF('E3 — Levantamento'!$E424:$I424,"⛔ Bloqueado")&gt;0,"Bloqueado",IF('E3 — Levantamento'!$I424="N/A","Bloqueado",IF(COUNTIF('E3 — Levantamento'!$E424:$I424,"✔ Concluído")=5,"Concluído",IF(COUNTIF('E3 — Levantamento'!$E424:$I424,"✔ Concluído")+COUNTIF('E3 — Levantamento'!$E424:$I424,"🔄 Em andamento")&gt;0,"Em andamento","Não iniciado"))))))))</f>
        <v/>
      </c>
      <c r="H442" s="229" t="str">
        <f>IF($B442="","",IF($G442&lt;&gt;"Concluído","Não iniciado",IF(COUNTIF(Lançamentos!$B$3:$B$1001,$B442)=0,"Bloqueado",IF('E4 — Execução'!$D424="","Bloqueado",IF(COUNTIF('E4 — Execução'!$E424:$K424,"⛔ Bloqueado")&gt;0,"Bloqueado",IF(COUNTIF('E4 — Execução'!$E424:$K424,"✔ Concluído")=7,"Concluído",IF(COUNTIF('E4 — Execução'!$E424:$K424,"✔ Concluído")+COUNTIF('E4 — Execução'!$E424:$K424,"🔄 Em andamento")&gt;0,"Em andamento","Não iniciado")))))))</f>
        <v/>
      </c>
      <c r="I442" s="229" t="str">
        <f>IF($B442="","",IF($H442&lt;&gt;"Concluído","Não iniciado",IF(COUNTIF(Lançamentos!$B$3:$B$1001,$B442)=0,"Bloqueado",IF('E5 — Validação'!$D424="","Bloqueado",IF(COUNTIF('E5 — Validação'!$E424:$I424,"⛔ Bloqueado")&gt;0,"Bloqueado",IF('E5 — Validação'!$I424="N/A","Bloqueado",IF(AND('E5 — Validação'!$E424="✔ Concluído",'E5 — Validação'!$F424="✔ Concluído",OR('E5 — Validação'!$G424="✔ Concluído",'E5 — Validação'!$G424="N/A"),'E5 — Validação'!$H424="✔ Concluído",'E5 — Validação'!$I424="✔ Concluído"),"Concluído",IF(COUNTIF('E5 — Validação'!$E424:$I424,"✔ Concluído")+COUNTIF('E5 — Validação'!$E424:$I424,"🔄 Em andamento")&gt;0,"Em andamento","Não iniciado"))))))))</f>
        <v/>
      </c>
      <c r="J442" s="229" t="str">
        <f>IF($B442="","",IF($I442&lt;&gt;"Concluído","Não iniciado",IF('E6 — Ajustes'!$N424="Não","N/A",IF(COUNTIF(Lançamentos!$B$3:$B$1001,$B442)=0,"Bloqueado",IF('E6 — Ajustes'!$D424="","Bloqueado",IF(COUNTIF('E6 — Ajustes'!$E424:$J424,"⛔ Bloqueado")&gt;0,"Bloqueado",IF(AND('E6 — Ajustes'!$E424="✔ Concluído",'E6 — Ajustes'!$F424="✔ Concluído",'E6 — Ajustes'!$G424="✔ Concluído",'E6 — Ajustes'!$H424="✔ Concluído",OR('E6 — Ajustes'!$I424="✔ Concluído",'E6 — Ajustes'!$I424="N/A"),'E6 — Ajustes'!$J424="✔ Concluído"),"Concluído",IF(COUNTIF('E6 — Ajustes'!$E424:$J424,"✔ Concluído")+COUNTIF('E6 — Ajustes'!$E424:$J424,"🔄 Em andamento")&gt;0,"Em andamento","Não iniciado"))))))))</f>
        <v/>
      </c>
      <c r="K442" s="229" t="str">
        <f>IF($B442="","",IF($I442&lt;&gt;"Concluído","Não iniciado",IF(AND($J442&lt;&gt;"Concluído",$J442&lt;&gt;"N/A"),"Não iniciado",IF(COUNTIF(Lançamentos!$B$3:$B$1001,$B442)=0,"Bloqueado",IF('E7 — Entrega'!$D424="","Bloqueado",IF(COUNTIF('E7 — Entrega'!$E424:$H424,"⛔ Bloqueado")&gt;0,"Bloqueado",IF(COUNTIF('E7 — Entrega'!$E424:$H424,"✔ Concluído")=4,"Concluído",IF(COUNTIF('E7 — Entrega'!$E424:$H424,"✔ Concluído")+COUNTIF('E7 — Entrega'!$E424:$H424,"🔄 Em andamento")&gt;0,"Em andamento","Não iniciado"))))))))</f>
        <v/>
      </c>
      <c r="L442" s="229" t="str">
        <f>IF($B442="","",IF($K442&lt;&gt;"Concluído","Não iniciado",IF(OR(COUNTIF('E08 — Estabilização Hypercare'!$E424:$J424,"⛔ Bloqueado")&gt;0,'E08 — Estabilização Hypercare'!$N424="⛔ Incidente Crítico — Encerramento Bloqueado",AND('E08 — Estabilização Hypercare'!$N424="🆕 Evolução Identificada — Nova Demanda Aberta",'E08 — Estabilização Hypercare'!$U424="")),"Bloqueado",IF(AND('E08 — Estabilização Hypercare'!$E424="✔ Concluído",'E08 — Estabilização Hypercare'!$F424="✔ Concluído",'E08 — Estabilização Hypercare'!$G424="✔ Concluído",OR('E08 — Estabilização Hypercare'!$H424="✔ Concluído",'E08 — Estabilização Hypercare'!$H424="N/A"),'E08 — Estabilização Hypercare'!$I424="✔ Concluído",'E08 — Estabilização Hypercare'!$J424="✔ Concluído",OR('E08 — Estabilização Hypercare'!$N424="✅ Estável — Demanda Encerrada",AND('E08 — Estabilização Hypercare'!$N424="🆕 Evolução Identificada — Nova Demanda Aberta",'E08 — Estabilização Hypercare'!$U424&lt;&gt;""))),"Concluído",IF(OR(COUNTIF('E08 — Estabilização Hypercare'!$E424:$J424,"✔ Concluído")&gt;0,COUNTIF('E08 — Estabilização Hypercare'!$E424:$J424,"🔄 Em andamento")&gt;0,'E08 — Estabilização Hypercare'!$N424&lt;&gt;""),"Em andamento","Não iniciado")))))</f>
        <v/>
      </c>
      <c r="M442" s="232" t="str" cm="1">
        <f t="array" ref="M442">IF(B442="","",_xlfn.IFS(E442&lt;&gt;"Concluído","E1 — Solicitação",F442&lt;&gt;"Concluído","E2 — Triagem",G442&lt;&gt;"Concluído","E3 — Levantamento ⚠",H442&lt;&gt;"Concluído","E4 — Execução",I442&lt;&gt;"Concluído","E5 — Validação ⚠",AND(J442&lt;&gt;"Concluído",J442&lt;&gt;"N/A"),"E6 — Ajustes",K442&lt;&gt;"Concluído","E7 — Entrega",L442&lt;&gt;"Concluído","E08 — Estabilização / Hypercare",TRUE,"✔ Fluxo concluído"))</f>
        <v/>
      </c>
      <c r="N442" s="233" t="str">
        <f t="shared" si="7"/>
        <v/>
      </c>
      <c r="O442" s="230"/>
    </row>
    <row r="443" spans="2:15" x14ac:dyDescent="0.35">
      <c r="B443" s="229" t="str">
        <f>IF(Lançamentos!$B420="","",Lançamentos!$B420)</f>
        <v/>
      </c>
      <c r="C443" s="231" t="str">
        <f>IF($B443="","",Lançamentos!$J420)</f>
        <v/>
      </c>
      <c r="D443" s="231" t="str">
        <f>IF($B443="","",Lançamentos!$H420)</f>
        <v/>
      </c>
      <c r="E443" s="229" t="str">
        <f>IF($B443="","",IF(COUNTIF(Lançamentos!$B$3:$B$1001,$B443)=0,"Bloqueado",IF(COUNTIF('E1 — Solicitação'!$E425:$L425,"⛔ Bloqueado")&gt;0,"Bloqueado",IF(COUNTIF('E1 — Solicitação'!$E425:$L425,"N/A")=8,"Bloqueado",IF(COUNTIF('E1 — Solicitação'!$E425:$L425,"✔ Concluído")+COUNTIF('E1 — Solicitação'!$E425:$L425,"N/A")=8,"Concluído",IF(COUNTIF('E1 — Solicitação'!$E425:$L425,"✔ Concluído")+COUNTIF('E1 — Solicitação'!$E425:$L425,"🔄 Em andamento")&gt;0,"Em andamento","Não iniciado"))))))</f>
        <v/>
      </c>
      <c r="F443" s="229" t="str">
        <f>IF($B443="","",IF($E443&lt;&gt;"Concluído","Não iniciado",IF(COUNTIF(Lançamentos!$B$3:$B$1001,$B443)=0,"Bloqueado",IF('E2 — Triagem'!$D425="","Bloqueado",IF(COUNTIF('E2 — Triagem'!$E425:$L425,"N/A")=8,"Bloqueado",IF(COUNTIF('E2 — Triagem'!$E425:$L425,"⛔ Bloqueado")&gt;0,"Bloqueado",IF(COUNTIF('E2 — Triagem'!$E425:$L425,"✔ Concluído")+COUNTIF('E2 — Triagem'!$E425:$L425,"N/A")=8,"Concluído",IF(COUNTIF('E2 — Triagem'!$E425:$L425,"✔ Concluído")+COUNTIF('E2 — Triagem'!$E425:$L425,"🔄 Em andamento")&gt;0,"Em andamento","Não iniciado"))))))))</f>
        <v/>
      </c>
      <c r="G443" s="229" t="str">
        <f>IF($B443="","",IF($F443&lt;&gt;"Concluído","Não iniciado",IF(COUNTIF(Lançamentos!$B$3:$B$1001,$B443)=0,"Bloqueado",IF('E3 — Levantamento'!$D425="","Bloqueado",IF(COUNTIF('E3 — Levantamento'!$E425:$I425,"⛔ Bloqueado")&gt;0,"Bloqueado",IF('E3 — Levantamento'!$I425="N/A","Bloqueado",IF(COUNTIF('E3 — Levantamento'!$E425:$I425,"✔ Concluído")=5,"Concluído",IF(COUNTIF('E3 — Levantamento'!$E425:$I425,"✔ Concluído")+COUNTIF('E3 — Levantamento'!$E425:$I425,"🔄 Em andamento")&gt;0,"Em andamento","Não iniciado"))))))))</f>
        <v/>
      </c>
      <c r="H443" s="229" t="str">
        <f>IF($B443="","",IF($G443&lt;&gt;"Concluído","Não iniciado",IF(COUNTIF(Lançamentos!$B$3:$B$1001,$B443)=0,"Bloqueado",IF('E4 — Execução'!$D425="","Bloqueado",IF(COUNTIF('E4 — Execução'!$E425:$K425,"⛔ Bloqueado")&gt;0,"Bloqueado",IF(COUNTIF('E4 — Execução'!$E425:$K425,"✔ Concluído")=7,"Concluído",IF(COUNTIF('E4 — Execução'!$E425:$K425,"✔ Concluído")+COUNTIF('E4 — Execução'!$E425:$K425,"🔄 Em andamento")&gt;0,"Em andamento","Não iniciado")))))))</f>
        <v/>
      </c>
      <c r="I443" s="229" t="str">
        <f>IF($B443="","",IF($H443&lt;&gt;"Concluído","Não iniciado",IF(COUNTIF(Lançamentos!$B$3:$B$1001,$B443)=0,"Bloqueado",IF('E5 — Validação'!$D425="","Bloqueado",IF(COUNTIF('E5 — Validação'!$E425:$I425,"⛔ Bloqueado")&gt;0,"Bloqueado",IF('E5 — Validação'!$I425="N/A","Bloqueado",IF(AND('E5 — Validação'!$E425="✔ Concluído",'E5 — Validação'!$F425="✔ Concluído",OR('E5 — Validação'!$G425="✔ Concluído",'E5 — Validação'!$G425="N/A"),'E5 — Validação'!$H425="✔ Concluído",'E5 — Validação'!$I425="✔ Concluído"),"Concluído",IF(COUNTIF('E5 — Validação'!$E425:$I425,"✔ Concluído")+COUNTIF('E5 — Validação'!$E425:$I425,"🔄 Em andamento")&gt;0,"Em andamento","Não iniciado"))))))))</f>
        <v/>
      </c>
      <c r="J443" s="229" t="str">
        <f>IF($B443="","",IF($I443&lt;&gt;"Concluído","Não iniciado",IF('E6 — Ajustes'!$N425="Não","N/A",IF(COUNTIF(Lançamentos!$B$3:$B$1001,$B443)=0,"Bloqueado",IF('E6 — Ajustes'!$D425="","Bloqueado",IF(COUNTIF('E6 — Ajustes'!$E425:$J425,"⛔ Bloqueado")&gt;0,"Bloqueado",IF(AND('E6 — Ajustes'!$E425="✔ Concluído",'E6 — Ajustes'!$F425="✔ Concluído",'E6 — Ajustes'!$G425="✔ Concluído",'E6 — Ajustes'!$H425="✔ Concluído",OR('E6 — Ajustes'!$I425="✔ Concluído",'E6 — Ajustes'!$I425="N/A"),'E6 — Ajustes'!$J425="✔ Concluído"),"Concluído",IF(COUNTIF('E6 — Ajustes'!$E425:$J425,"✔ Concluído")+COUNTIF('E6 — Ajustes'!$E425:$J425,"🔄 Em andamento")&gt;0,"Em andamento","Não iniciado"))))))))</f>
        <v/>
      </c>
      <c r="K443" s="229" t="str">
        <f>IF($B443="","",IF($I443&lt;&gt;"Concluído","Não iniciado",IF(AND($J443&lt;&gt;"Concluído",$J443&lt;&gt;"N/A"),"Não iniciado",IF(COUNTIF(Lançamentos!$B$3:$B$1001,$B443)=0,"Bloqueado",IF('E7 — Entrega'!$D425="","Bloqueado",IF(COUNTIF('E7 — Entrega'!$E425:$H425,"⛔ Bloqueado")&gt;0,"Bloqueado",IF(COUNTIF('E7 — Entrega'!$E425:$H425,"✔ Concluído")=4,"Concluído",IF(COUNTIF('E7 — Entrega'!$E425:$H425,"✔ Concluído")+COUNTIF('E7 — Entrega'!$E425:$H425,"🔄 Em andamento")&gt;0,"Em andamento","Não iniciado"))))))))</f>
        <v/>
      </c>
      <c r="L443" s="229" t="str">
        <f>IF($B443="","",IF($K443&lt;&gt;"Concluído","Não iniciado",IF(OR(COUNTIF('E08 — Estabilização Hypercare'!$E425:$J425,"⛔ Bloqueado")&gt;0,'E08 — Estabilização Hypercare'!$N425="⛔ Incidente Crítico — Encerramento Bloqueado",AND('E08 — Estabilização Hypercare'!$N425="🆕 Evolução Identificada — Nova Demanda Aberta",'E08 — Estabilização Hypercare'!$U425="")),"Bloqueado",IF(AND('E08 — Estabilização Hypercare'!$E425="✔ Concluído",'E08 — Estabilização Hypercare'!$F425="✔ Concluído",'E08 — Estabilização Hypercare'!$G425="✔ Concluído",OR('E08 — Estabilização Hypercare'!$H425="✔ Concluído",'E08 — Estabilização Hypercare'!$H425="N/A"),'E08 — Estabilização Hypercare'!$I425="✔ Concluído",'E08 — Estabilização Hypercare'!$J425="✔ Concluído",OR('E08 — Estabilização Hypercare'!$N425="✅ Estável — Demanda Encerrada",AND('E08 — Estabilização Hypercare'!$N425="🆕 Evolução Identificada — Nova Demanda Aberta",'E08 — Estabilização Hypercare'!$U425&lt;&gt;""))),"Concluído",IF(OR(COUNTIF('E08 — Estabilização Hypercare'!$E425:$J425,"✔ Concluído")&gt;0,COUNTIF('E08 — Estabilização Hypercare'!$E425:$J425,"🔄 Em andamento")&gt;0,'E08 — Estabilização Hypercare'!$N425&lt;&gt;""),"Em andamento","Não iniciado")))))</f>
        <v/>
      </c>
      <c r="M443" s="232" t="str" cm="1">
        <f t="array" ref="M443">IF(B443="","",_xlfn.IFS(E443&lt;&gt;"Concluído","E1 — Solicitação",F443&lt;&gt;"Concluído","E2 — Triagem",G443&lt;&gt;"Concluído","E3 — Levantamento ⚠",H443&lt;&gt;"Concluído","E4 — Execução",I443&lt;&gt;"Concluído","E5 — Validação ⚠",AND(J443&lt;&gt;"Concluído",J443&lt;&gt;"N/A"),"E6 — Ajustes",K443&lt;&gt;"Concluído","E7 — Entrega",L443&lt;&gt;"Concluído","E08 — Estabilização / Hypercare",TRUE,"✔ Fluxo concluído"))</f>
        <v/>
      </c>
      <c r="N443" s="233" t="str">
        <f t="shared" si="7"/>
        <v/>
      </c>
      <c r="O443" s="230"/>
    </row>
    <row r="444" spans="2:15" x14ac:dyDescent="0.35">
      <c r="B444" s="229" t="str">
        <f>IF(Lançamentos!$B421="","",Lançamentos!$B421)</f>
        <v/>
      </c>
      <c r="C444" s="231" t="str">
        <f>IF($B444="","",Lançamentos!$J421)</f>
        <v/>
      </c>
      <c r="D444" s="231" t="str">
        <f>IF($B444="","",Lançamentos!$H421)</f>
        <v/>
      </c>
      <c r="E444" s="229" t="str">
        <f>IF($B444="","",IF(COUNTIF(Lançamentos!$B$3:$B$1001,$B444)=0,"Bloqueado",IF(COUNTIF('E1 — Solicitação'!$E426:$L426,"⛔ Bloqueado")&gt;0,"Bloqueado",IF(COUNTIF('E1 — Solicitação'!$E426:$L426,"N/A")=8,"Bloqueado",IF(COUNTIF('E1 — Solicitação'!$E426:$L426,"✔ Concluído")+COUNTIF('E1 — Solicitação'!$E426:$L426,"N/A")=8,"Concluído",IF(COUNTIF('E1 — Solicitação'!$E426:$L426,"✔ Concluído")+COUNTIF('E1 — Solicitação'!$E426:$L426,"🔄 Em andamento")&gt;0,"Em andamento","Não iniciado"))))))</f>
        <v/>
      </c>
      <c r="F444" s="229" t="str">
        <f>IF($B444="","",IF($E444&lt;&gt;"Concluído","Não iniciado",IF(COUNTIF(Lançamentos!$B$3:$B$1001,$B444)=0,"Bloqueado",IF('E2 — Triagem'!$D426="","Bloqueado",IF(COUNTIF('E2 — Triagem'!$E426:$L426,"N/A")=8,"Bloqueado",IF(COUNTIF('E2 — Triagem'!$E426:$L426,"⛔ Bloqueado")&gt;0,"Bloqueado",IF(COUNTIF('E2 — Triagem'!$E426:$L426,"✔ Concluído")+COUNTIF('E2 — Triagem'!$E426:$L426,"N/A")=8,"Concluído",IF(COUNTIF('E2 — Triagem'!$E426:$L426,"✔ Concluído")+COUNTIF('E2 — Triagem'!$E426:$L426,"🔄 Em andamento")&gt;0,"Em andamento","Não iniciado"))))))))</f>
        <v/>
      </c>
      <c r="G444" s="229" t="str">
        <f>IF($B444="","",IF($F444&lt;&gt;"Concluído","Não iniciado",IF(COUNTIF(Lançamentos!$B$3:$B$1001,$B444)=0,"Bloqueado",IF('E3 — Levantamento'!$D426="","Bloqueado",IF(COUNTIF('E3 — Levantamento'!$E426:$I426,"⛔ Bloqueado")&gt;0,"Bloqueado",IF('E3 — Levantamento'!$I426="N/A","Bloqueado",IF(COUNTIF('E3 — Levantamento'!$E426:$I426,"✔ Concluído")=5,"Concluído",IF(COUNTIF('E3 — Levantamento'!$E426:$I426,"✔ Concluído")+COUNTIF('E3 — Levantamento'!$E426:$I426,"🔄 Em andamento")&gt;0,"Em andamento","Não iniciado"))))))))</f>
        <v/>
      </c>
      <c r="H444" s="229" t="str">
        <f>IF($B444="","",IF($G444&lt;&gt;"Concluído","Não iniciado",IF(COUNTIF(Lançamentos!$B$3:$B$1001,$B444)=0,"Bloqueado",IF('E4 — Execução'!$D426="","Bloqueado",IF(COUNTIF('E4 — Execução'!$E426:$K426,"⛔ Bloqueado")&gt;0,"Bloqueado",IF(COUNTIF('E4 — Execução'!$E426:$K426,"✔ Concluído")=7,"Concluído",IF(COUNTIF('E4 — Execução'!$E426:$K426,"✔ Concluído")+COUNTIF('E4 — Execução'!$E426:$K426,"🔄 Em andamento")&gt;0,"Em andamento","Não iniciado")))))))</f>
        <v/>
      </c>
      <c r="I444" s="229" t="str">
        <f>IF($B444="","",IF($H444&lt;&gt;"Concluído","Não iniciado",IF(COUNTIF(Lançamentos!$B$3:$B$1001,$B444)=0,"Bloqueado",IF('E5 — Validação'!$D426="","Bloqueado",IF(COUNTIF('E5 — Validação'!$E426:$I426,"⛔ Bloqueado")&gt;0,"Bloqueado",IF('E5 — Validação'!$I426="N/A","Bloqueado",IF(AND('E5 — Validação'!$E426="✔ Concluído",'E5 — Validação'!$F426="✔ Concluído",OR('E5 — Validação'!$G426="✔ Concluído",'E5 — Validação'!$G426="N/A"),'E5 — Validação'!$H426="✔ Concluído",'E5 — Validação'!$I426="✔ Concluído"),"Concluído",IF(COUNTIF('E5 — Validação'!$E426:$I426,"✔ Concluído")+COUNTIF('E5 — Validação'!$E426:$I426,"🔄 Em andamento")&gt;0,"Em andamento","Não iniciado"))))))))</f>
        <v/>
      </c>
      <c r="J444" s="229" t="str">
        <f>IF($B444="","",IF($I444&lt;&gt;"Concluído","Não iniciado",IF('E6 — Ajustes'!$N426="Não","N/A",IF(COUNTIF(Lançamentos!$B$3:$B$1001,$B444)=0,"Bloqueado",IF('E6 — Ajustes'!$D426="","Bloqueado",IF(COUNTIF('E6 — Ajustes'!$E426:$J426,"⛔ Bloqueado")&gt;0,"Bloqueado",IF(AND('E6 — Ajustes'!$E426="✔ Concluído",'E6 — Ajustes'!$F426="✔ Concluído",'E6 — Ajustes'!$G426="✔ Concluído",'E6 — Ajustes'!$H426="✔ Concluído",OR('E6 — Ajustes'!$I426="✔ Concluído",'E6 — Ajustes'!$I426="N/A"),'E6 — Ajustes'!$J426="✔ Concluído"),"Concluído",IF(COUNTIF('E6 — Ajustes'!$E426:$J426,"✔ Concluído")+COUNTIF('E6 — Ajustes'!$E426:$J426,"🔄 Em andamento")&gt;0,"Em andamento","Não iniciado"))))))))</f>
        <v/>
      </c>
      <c r="K444" s="229" t="str">
        <f>IF($B444="","",IF($I444&lt;&gt;"Concluído","Não iniciado",IF(AND($J444&lt;&gt;"Concluído",$J444&lt;&gt;"N/A"),"Não iniciado",IF(COUNTIF(Lançamentos!$B$3:$B$1001,$B444)=0,"Bloqueado",IF('E7 — Entrega'!$D426="","Bloqueado",IF(COUNTIF('E7 — Entrega'!$E426:$H426,"⛔ Bloqueado")&gt;0,"Bloqueado",IF(COUNTIF('E7 — Entrega'!$E426:$H426,"✔ Concluído")=4,"Concluído",IF(COUNTIF('E7 — Entrega'!$E426:$H426,"✔ Concluído")+COUNTIF('E7 — Entrega'!$E426:$H426,"🔄 Em andamento")&gt;0,"Em andamento","Não iniciado"))))))))</f>
        <v/>
      </c>
      <c r="L444" s="229" t="str">
        <f>IF($B444="","",IF($K444&lt;&gt;"Concluído","Não iniciado",IF(OR(COUNTIF('E08 — Estabilização Hypercare'!$E426:$J426,"⛔ Bloqueado")&gt;0,'E08 — Estabilização Hypercare'!$N426="⛔ Incidente Crítico — Encerramento Bloqueado",AND('E08 — Estabilização Hypercare'!$N426="🆕 Evolução Identificada — Nova Demanda Aberta",'E08 — Estabilização Hypercare'!$U426="")),"Bloqueado",IF(AND('E08 — Estabilização Hypercare'!$E426="✔ Concluído",'E08 — Estabilização Hypercare'!$F426="✔ Concluído",'E08 — Estabilização Hypercare'!$G426="✔ Concluído",OR('E08 — Estabilização Hypercare'!$H426="✔ Concluído",'E08 — Estabilização Hypercare'!$H426="N/A"),'E08 — Estabilização Hypercare'!$I426="✔ Concluído",'E08 — Estabilização Hypercare'!$J426="✔ Concluído",OR('E08 — Estabilização Hypercare'!$N426="✅ Estável — Demanda Encerrada",AND('E08 — Estabilização Hypercare'!$N426="🆕 Evolução Identificada — Nova Demanda Aberta",'E08 — Estabilização Hypercare'!$U426&lt;&gt;""))),"Concluído",IF(OR(COUNTIF('E08 — Estabilização Hypercare'!$E426:$J426,"✔ Concluído")&gt;0,COUNTIF('E08 — Estabilização Hypercare'!$E426:$J426,"🔄 Em andamento")&gt;0,'E08 — Estabilização Hypercare'!$N426&lt;&gt;""),"Em andamento","Não iniciado")))))</f>
        <v/>
      </c>
      <c r="M444" s="232" t="str" cm="1">
        <f t="array" ref="M444">IF(B444="","",_xlfn.IFS(E444&lt;&gt;"Concluído","E1 — Solicitação",F444&lt;&gt;"Concluído","E2 — Triagem",G444&lt;&gt;"Concluído","E3 — Levantamento ⚠",H444&lt;&gt;"Concluído","E4 — Execução",I444&lt;&gt;"Concluído","E5 — Validação ⚠",AND(J444&lt;&gt;"Concluído",J444&lt;&gt;"N/A"),"E6 — Ajustes",K444&lt;&gt;"Concluído","E7 — Entrega",L444&lt;&gt;"Concluído","E08 — Estabilização / Hypercare",TRUE,"✔ Fluxo concluído"))</f>
        <v/>
      </c>
      <c r="N444" s="233" t="str">
        <f t="shared" si="7"/>
        <v/>
      </c>
      <c r="O444" s="230"/>
    </row>
    <row r="445" spans="2:15" x14ac:dyDescent="0.35">
      <c r="B445" s="229" t="str">
        <f>IF(Lançamentos!$B422="","",Lançamentos!$B422)</f>
        <v/>
      </c>
      <c r="C445" s="231" t="str">
        <f>IF($B445="","",Lançamentos!$J422)</f>
        <v/>
      </c>
      <c r="D445" s="231" t="str">
        <f>IF($B445="","",Lançamentos!$H422)</f>
        <v/>
      </c>
      <c r="E445" s="229" t="str">
        <f>IF($B445="","",IF(COUNTIF(Lançamentos!$B$3:$B$1001,$B445)=0,"Bloqueado",IF(COUNTIF('E1 — Solicitação'!$E427:$L427,"⛔ Bloqueado")&gt;0,"Bloqueado",IF(COUNTIF('E1 — Solicitação'!$E427:$L427,"N/A")=8,"Bloqueado",IF(COUNTIF('E1 — Solicitação'!$E427:$L427,"✔ Concluído")+COUNTIF('E1 — Solicitação'!$E427:$L427,"N/A")=8,"Concluído",IF(COUNTIF('E1 — Solicitação'!$E427:$L427,"✔ Concluído")+COUNTIF('E1 — Solicitação'!$E427:$L427,"🔄 Em andamento")&gt;0,"Em andamento","Não iniciado"))))))</f>
        <v/>
      </c>
      <c r="F445" s="229" t="str">
        <f>IF($B445="","",IF($E445&lt;&gt;"Concluído","Não iniciado",IF(COUNTIF(Lançamentos!$B$3:$B$1001,$B445)=0,"Bloqueado",IF('E2 — Triagem'!$D427="","Bloqueado",IF(COUNTIF('E2 — Triagem'!$E427:$L427,"N/A")=8,"Bloqueado",IF(COUNTIF('E2 — Triagem'!$E427:$L427,"⛔ Bloqueado")&gt;0,"Bloqueado",IF(COUNTIF('E2 — Triagem'!$E427:$L427,"✔ Concluído")+COUNTIF('E2 — Triagem'!$E427:$L427,"N/A")=8,"Concluído",IF(COUNTIF('E2 — Triagem'!$E427:$L427,"✔ Concluído")+COUNTIF('E2 — Triagem'!$E427:$L427,"🔄 Em andamento")&gt;0,"Em andamento","Não iniciado"))))))))</f>
        <v/>
      </c>
      <c r="G445" s="229" t="str">
        <f>IF($B445="","",IF($F445&lt;&gt;"Concluído","Não iniciado",IF(COUNTIF(Lançamentos!$B$3:$B$1001,$B445)=0,"Bloqueado",IF('E3 — Levantamento'!$D427="","Bloqueado",IF(COUNTIF('E3 — Levantamento'!$E427:$I427,"⛔ Bloqueado")&gt;0,"Bloqueado",IF('E3 — Levantamento'!$I427="N/A","Bloqueado",IF(COUNTIF('E3 — Levantamento'!$E427:$I427,"✔ Concluído")=5,"Concluído",IF(COUNTIF('E3 — Levantamento'!$E427:$I427,"✔ Concluído")+COUNTIF('E3 — Levantamento'!$E427:$I427,"🔄 Em andamento")&gt;0,"Em andamento","Não iniciado"))))))))</f>
        <v/>
      </c>
      <c r="H445" s="229" t="str">
        <f>IF($B445="","",IF($G445&lt;&gt;"Concluído","Não iniciado",IF(COUNTIF(Lançamentos!$B$3:$B$1001,$B445)=0,"Bloqueado",IF('E4 — Execução'!$D427="","Bloqueado",IF(COUNTIF('E4 — Execução'!$E427:$K427,"⛔ Bloqueado")&gt;0,"Bloqueado",IF(COUNTIF('E4 — Execução'!$E427:$K427,"✔ Concluído")=7,"Concluído",IF(COUNTIF('E4 — Execução'!$E427:$K427,"✔ Concluído")+COUNTIF('E4 — Execução'!$E427:$K427,"🔄 Em andamento")&gt;0,"Em andamento","Não iniciado")))))))</f>
        <v/>
      </c>
      <c r="I445" s="229" t="str">
        <f>IF($B445="","",IF($H445&lt;&gt;"Concluído","Não iniciado",IF(COUNTIF(Lançamentos!$B$3:$B$1001,$B445)=0,"Bloqueado",IF('E5 — Validação'!$D427="","Bloqueado",IF(COUNTIF('E5 — Validação'!$E427:$I427,"⛔ Bloqueado")&gt;0,"Bloqueado",IF('E5 — Validação'!$I427="N/A","Bloqueado",IF(AND('E5 — Validação'!$E427="✔ Concluído",'E5 — Validação'!$F427="✔ Concluído",OR('E5 — Validação'!$G427="✔ Concluído",'E5 — Validação'!$G427="N/A"),'E5 — Validação'!$H427="✔ Concluído",'E5 — Validação'!$I427="✔ Concluído"),"Concluído",IF(COUNTIF('E5 — Validação'!$E427:$I427,"✔ Concluído")+COUNTIF('E5 — Validação'!$E427:$I427,"🔄 Em andamento")&gt;0,"Em andamento","Não iniciado"))))))))</f>
        <v/>
      </c>
      <c r="J445" s="229" t="str">
        <f>IF($B445="","",IF($I445&lt;&gt;"Concluído","Não iniciado",IF('E6 — Ajustes'!$N427="Não","N/A",IF(COUNTIF(Lançamentos!$B$3:$B$1001,$B445)=0,"Bloqueado",IF('E6 — Ajustes'!$D427="","Bloqueado",IF(COUNTIF('E6 — Ajustes'!$E427:$J427,"⛔ Bloqueado")&gt;0,"Bloqueado",IF(AND('E6 — Ajustes'!$E427="✔ Concluído",'E6 — Ajustes'!$F427="✔ Concluído",'E6 — Ajustes'!$G427="✔ Concluído",'E6 — Ajustes'!$H427="✔ Concluído",OR('E6 — Ajustes'!$I427="✔ Concluído",'E6 — Ajustes'!$I427="N/A"),'E6 — Ajustes'!$J427="✔ Concluído"),"Concluído",IF(COUNTIF('E6 — Ajustes'!$E427:$J427,"✔ Concluído")+COUNTIF('E6 — Ajustes'!$E427:$J427,"🔄 Em andamento")&gt;0,"Em andamento","Não iniciado"))))))))</f>
        <v/>
      </c>
      <c r="K445" s="229" t="str">
        <f>IF($B445="","",IF($I445&lt;&gt;"Concluído","Não iniciado",IF(AND($J445&lt;&gt;"Concluído",$J445&lt;&gt;"N/A"),"Não iniciado",IF(COUNTIF(Lançamentos!$B$3:$B$1001,$B445)=0,"Bloqueado",IF('E7 — Entrega'!$D427="","Bloqueado",IF(COUNTIF('E7 — Entrega'!$E427:$H427,"⛔ Bloqueado")&gt;0,"Bloqueado",IF(COUNTIF('E7 — Entrega'!$E427:$H427,"✔ Concluído")=4,"Concluído",IF(COUNTIF('E7 — Entrega'!$E427:$H427,"✔ Concluído")+COUNTIF('E7 — Entrega'!$E427:$H427,"🔄 Em andamento")&gt;0,"Em andamento","Não iniciado"))))))))</f>
        <v/>
      </c>
      <c r="L445" s="229" t="str">
        <f>IF($B445="","",IF($K445&lt;&gt;"Concluído","Não iniciado",IF(OR(COUNTIF('E08 — Estabilização Hypercare'!$E427:$J427,"⛔ Bloqueado")&gt;0,'E08 — Estabilização Hypercare'!$N427="⛔ Incidente Crítico — Encerramento Bloqueado",AND('E08 — Estabilização Hypercare'!$N427="🆕 Evolução Identificada — Nova Demanda Aberta",'E08 — Estabilização Hypercare'!$U427="")),"Bloqueado",IF(AND('E08 — Estabilização Hypercare'!$E427="✔ Concluído",'E08 — Estabilização Hypercare'!$F427="✔ Concluído",'E08 — Estabilização Hypercare'!$G427="✔ Concluído",OR('E08 — Estabilização Hypercare'!$H427="✔ Concluído",'E08 — Estabilização Hypercare'!$H427="N/A"),'E08 — Estabilização Hypercare'!$I427="✔ Concluído",'E08 — Estabilização Hypercare'!$J427="✔ Concluído",OR('E08 — Estabilização Hypercare'!$N427="✅ Estável — Demanda Encerrada",AND('E08 — Estabilização Hypercare'!$N427="🆕 Evolução Identificada — Nova Demanda Aberta",'E08 — Estabilização Hypercare'!$U427&lt;&gt;""))),"Concluído",IF(OR(COUNTIF('E08 — Estabilização Hypercare'!$E427:$J427,"✔ Concluído")&gt;0,COUNTIF('E08 — Estabilização Hypercare'!$E427:$J427,"🔄 Em andamento")&gt;0,'E08 — Estabilização Hypercare'!$N427&lt;&gt;""),"Em andamento","Não iniciado")))))</f>
        <v/>
      </c>
      <c r="M445" s="232" t="str" cm="1">
        <f t="array" ref="M445">IF(B445="","",_xlfn.IFS(E445&lt;&gt;"Concluído","E1 — Solicitação",F445&lt;&gt;"Concluído","E2 — Triagem",G445&lt;&gt;"Concluído","E3 — Levantamento ⚠",H445&lt;&gt;"Concluído","E4 — Execução",I445&lt;&gt;"Concluído","E5 — Validação ⚠",AND(J445&lt;&gt;"Concluído",J445&lt;&gt;"N/A"),"E6 — Ajustes",K445&lt;&gt;"Concluído","E7 — Entrega",L445&lt;&gt;"Concluído","E08 — Estabilização / Hypercare",TRUE,"✔ Fluxo concluído"))</f>
        <v/>
      </c>
      <c r="N445" s="233" t="str">
        <f t="shared" si="7"/>
        <v/>
      </c>
      <c r="O445" s="230"/>
    </row>
    <row r="446" spans="2:15" x14ac:dyDescent="0.35">
      <c r="B446" s="229" t="str">
        <f>IF(Lançamentos!$B423="","",Lançamentos!$B423)</f>
        <v/>
      </c>
      <c r="C446" s="231" t="str">
        <f>IF($B446="","",Lançamentos!$J423)</f>
        <v/>
      </c>
      <c r="D446" s="231" t="str">
        <f>IF($B446="","",Lançamentos!$H423)</f>
        <v/>
      </c>
      <c r="E446" s="229" t="str">
        <f>IF($B446="","",IF(COUNTIF(Lançamentos!$B$3:$B$1001,$B446)=0,"Bloqueado",IF(COUNTIF('E1 — Solicitação'!$E428:$L428,"⛔ Bloqueado")&gt;0,"Bloqueado",IF(COUNTIF('E1 — Solicitação'!$E428:$L428,"N/A")=8,"Bloqueado",IF(COUNTIF('E1 — Solicitação'!$E428:$L428,"✔ Concluído")+COUNTIF('E1 — Solicitação'!$E428:$L428,"N/A")=8,"Concluído",IF(COUNTIF('E1 — Solicitação'!$E428:$L428,"✔ Concluído")+COUNTIF('E1 — Solicitação'!$E428:$L428,"🔄 Em andamento")&gt;0,"Em andamento","Não iniciado"))))))</f>
        <v/>
      </c>
      <c r="F446" s="229" t="str">
        <f>IF($B446="","",IF($E446&lt;&gt;"Concluído","Não iniciado",IF(COUNTIF(Lançamentos!$B$3:$B$1001,$B446)=0,"Bloqueado",IF('E2 — Triagem'!$D428="","Bloqueado",IF(COUNTIF('E2 — Triagem'!$E428:$L428,"N/A")=8,"Bloqueado",IF(COUNTIF('E2 — Triagem'!$E428:$L428,"⛔ Bloqueado")&gt;0,"Bloqueado",IF(COUNTIF('E2 — Triagem'!$E428:$L428,"✔ Concluído")+COUNTIF('E2 — Triagem'!$E428:$L428,"N/A")=8,"Concluído",IF(COUNTIF('E2 — Triagem'!$E428:$L428,"✔ Concluído")+COUNTIF('E2 — Triagem'!$E428:$L428,"🔄 Em andamento")&gt;0,"Em andamento","Não iniciado"))))))))</f>
        <v/>
      </c>
      <c r="G446" s="229" t="str">
        <f>IF($B446="","",IF($F446&lt;&gt;"Concluído","Não iniciado",IF(COUNTIF(Lançamentos!$B$3:$B$1001,$B446)=0,"Bloqueado",IF('E3 — Levantamento'!$D428="","Bloqueado",IF(COUNTIF('E3 — Levantamento'!$E428:$I428,"⛔ Bloqueado")&gt;0,"Bloqueado",IF('E3 — Levantamento'!$I428="N/A","Bloqueado",IF(COUNTIF('E3 — Levantamento'!$E428:$I428,"✔ Concluído")=5,"Concluído",IF(COUNTIF('E3 — Levantamento'!$E428:$I428,"✔ Concluído")+COUNTIF('E3 — Levantamento'!$E428:$I428,"🔄 Em andamento")&gt;0,"Em andamento","Não iniciado"))))))))</f>
        <v/>
      </c>
      <c r="H446" s="229" t="str">
        <f>IF($B446="","",IF($G446&lt;&gt;"Concluído","Não iniciado",IF(COUNTIF(Lançamentos!$B$3:$B$1001,$B446)=0,"Bloqueado",IF('E4 — Execução'!$D428="","Bloqueado",IF(COUNTIF('E4 — Execução'!$E428:$K428,"⛔ Bloqueado")&gt;0,"Bloqueado",IF(COUNTIF('E4 — Execução'!$E428:$K428,"✔ Concluído")=7,"Concluído",IF(COUNTIF('E4 — Execução'!$E428:$K428,"✔ Concluído")+COUNTIF('E4 — Execução'!$E428:$K428,"🔄 Em andamento")&gt;0,"Em andamento","Não iniciado")))))))</f>
        <v/>
      </c>
      <c r="I446" s="229" t="str">
        <f>IF($B446="","",IF($H446&lt;&gt;"Concluído","Não iniciado",IF(COUNTIF(Lançamentos!$B$3:$B$1001,$B446)=0,"Bloqueado",IF('E5 — Validação'!$D428="","Bloqueado",IF(COUNTIF('E5 — Validação'!$E428:$I428,"⛔ Bloqueado")&gt;0,"Bloqueado",IF('E5 — Validação'!$I428="N/A","Bloqueado",IF(AND('E5 — Validação'!$E428="✔ Concluído",'E5 — Validação'!$F428="✔ Concluído",OR('E5 — Validação'!$G428="✔ Concluído",'E5 — Validação'!$G428="N/A"),'E5 — Validação'!$H428="✔ Concluído",'E5 — Validação'!$I428="✔ Concluído"),"Concluído",IF(COUNTIF('E5 — Validação'!$E428:$I428,"✔ Concluído")+COUNTIF('E5 — Validação'!$E428:$I428,"🔄 Em andamento")&gt;0,"Em andamento","Não iniciado"))))))))</f>
        <v/>
      </c>
      <c r="J446" s="229" t="str">
        <f>IF($B446="","",IF($I446&lt;&gt;"Concluído","Não iniciado",IF('E6 — Ajustes'!$N428="Não","N/A",IF(COUNTIF(Lançamentos!$B$3:$B$1001,$B446)=0,"Bloqueado",IF('E6 — Ajustes'!$D428="","Bloqueado",IF(COUNTIF('E6 — Ajustes'!$E428:$J428,"⛔ Bloqueado")&gt;0,"Bloqueado",IF(AND('E6 — Ajustes'!$E428="✔ Concluído",'E6 — Ajustes'!$F428="✔ Concluído",'E6 — Ajustes'!$G428="✔ Concluído",'E6 — Ajustes'!$H428="✔ Concluído",OR('E6 — Ajustes'!$I428="✔ Concluído",'E6 — Ajustes'!$I428="N/A"),'E6 — Ajustes'!$J428="✔ Concluído"),"Concluído",IF(COUNTIF('E6 — Ajustes'!$E428:$J428,"✔ Concluído")+COUNTIF('E6 — Ajustes'!$E428:$J428,"🔄 Em andamento")&gt;0,"Em andamento","Não iniciado"))))))))</f>
        <v/>
      </c>
      <c r="K446" s="229" t="str">
        <f>IF($B446="","",IF($I446&lt;&gt;"Concluído","Não iniciado",IF(AND($J446&lt;&gt;"Concluído",$J446&lt;&gt;"N/A"),"Não iniciado",IF(COUNTIF(Lançamentos!$B$3:$B$1001,$B446)=0,"Bloqueado",IF('E7 — Entrega'!$D428="","Bloqueado",IF(COUNTIF('E7 — Entrega'!$E428:$H428,"⛔ Bloqueado")&gt;0,"Bloqueado",IF(COUNTIF('E7 — Entrega'!$E428:$H428,"✔ Concluído")=4,"Concluído",IF(COUNTIF('E7 — Entrega'!$E428:$H428,"✔ Concluído")+COUNTIF('E7 — Entrega'!$E428:$H428,"🔄 Em andamento")&gt;0,"Em andamento","Não iniciado"))))))))</f>
        <v/>
      </c>
      <c r="L446" s="229" t="str">
        <f>IF($B446="","",IF($K446&lt;&gt;"Concluído","Não iniciado",IF(OR(COUNTIF('E08 — Estabilização Hypercare'!$E428:$J428,"⛔ Bloqueado")&gt;0,'E08 — Estabilização Hypercare'!$N428="⛔ Incidente Crítico — Encerramento Bloqueado",AND('E08 — Estabilização Hypercare'!$N428="🆕 Evolução Identificada — Nova Demanda Aberta",'E08 — Estabilização Hypercare'!$U428="")),"Bloqueado",IF(AND('E08 — Estabilização Hypercare'!$E428="✔ Concluído",'E08 — Estabilização Hypercare'!$F428="✔ Concluído",'E08 — Estabilização Hypercare'!$G428="✔ Concluído",OR('E08 — Estabilização Hypercare'!$H428="✔ Concluído",'E08 — Estabilização Hypercare'!$H428="N/A"),'E08 — Estabilização Hypercare'!$I428="✔ Concluído",'E08 — Estabilização Hypercare'!$J428="✔ Concluído",OR('E08 — Estabilização Hypercare'!$N428="✅ Estável — Demanda Encerrada",AND('E08 — Estabilização Hypercare'!$N428="🆕 Evolução Identificada — Nova Demanda Aberta",'E08 — Estabilização Hypercare'!$U428&lt;&gt;""))),"Concluído",IF(OR(COUNTIF('E08 — Estabilização Hypercare'!$E428:$J428,"✔ Concluído")&gt;0,COUNTIF('E08 — Estabilização Hypercare'!$E428:$J428,"🔄 Em andamento")&gt;0,'E08 — Estabilização Hypercare'!$N428&lt;&gt;""),"Em andamento","Não iniciado")))))</f>
        <v/>
      </c>
      <c r="M446" s="232" t="str" cm="1">
        <f t="array" ref="M446">IF(B446="","",_xlfn.IFS(E446&lt;&gt;"Concluído","E1 — Solicitação",F446&lt;&gt;"Concluído","E2 — Triagem",G446&lt;&gt;"Concluído","E3 — Levantamento ⚠",H446&lt;&gt;"Concluído","E4 — Execução",I446&lt;&gt;"Concluído","E5 — Validação ⚠",AND(J446&lt;&gt;"Concluído",J446&lt;&gt;"N/A"),"E6 — Ajustes",K446&lt;&gt;"Concluído","E7 — Entrega",L446&lt;&gt;"Concluído","E08 — Estabilização / Hypercare",TRUE,"✔ Fluxo concluído"))</f>
        <v/>
      </c>
      <c r="N446" s="233" t="str">
        <f t="shared" si="7"/>
        <v/>
      </c>
      <c r="O446" s="230"/>
    </row>
    <row r="447" spans="2:15" x14ac:dyDescent="0.35">
      <c r="B447" s="229" t="str">
        <f>IF(Lançamentos!$B424="","",Lançamentos!$B424)</f>
        <v/>
      </c>
      <c r="C447" s="231" t="str">
        <f>IF($B447="","",Lançamentos!$J424)</f>
        <v/>
      </c>
      <c r="D447" s="231" t="str">
        <f>IF($B447="","",Lançamentos!$H424)</f>
        <v/>
      </c>
      <c r="E447" s="229" t="str">
        <f>IF($B447="","",IF(COUNTIF(Lançamentos!$B$3:$B$1001,$B447)=0,"Bloqueado",IF(COUNTIF('E1 — Solicitação'!$E429:$L429,"⛔ Bloqueado")&gt;0,"Bloqueado",IF(COUNTIF('E1 — Solicitação'!$E429:$L429,"N/A")=8,"Bloqueado",IF(COUNTIF('E1 — Solicitação'!$E429:$L429,"✔ Concluído")+COUNTIF('E1 — Solicitação'!$E429:$L429,"N/A")=8,"Concluído",IF(COUNTIF('E1 — Solicitação'!$E429:$L429,"✔ Concluído")+COUNTIF('E1 — Solicitação'!$E429:$L429,"🔄 Em andamento")&gt;0,"Em andamento","Não iniciado"))))))</f>
        <v/>
      </c>
      <c r="F447" s="229" t="str">
        <f>IF($B447="","",IF($E447&lt;&gt;"Concluído","Não iniciado",IF(COUNTIF(Lançamentos!$B$3:$B$1001,$B447)=0,"Bloqueado",IF('E2 — Triagem'!$D429="","Bloqueado",IF(COUNTIF('E2 — Triagem'!$E429:$L429,"N/A")=8,"Bloqueado",IF(COUNTIF('E2 — Triagem'!$E429:$L429,"⛔ Bloqueado")&gt;0,"Bloqueado",IF(COUNTIF('E2 — Triagem'!$E429:$L429,"✔ Concluído")+COUNTIF('E2 — Triagem'!$E429:$L429,"N/A")=8,"Concluído",IF(COUNTIF('E2 — Triagem'!$E429:$L429,"✔ Concluído")+COUNTIF('E2 — Triagem'!$E429:$L429,"🔄 Em andamento")&gt;0,"Em andamento","Não iniciado"))))))))</f>
        <v/>
      </c>
      <c r="G447" s="229" t="str">
        <f>IF($B447="","",IF($F447&lt;&gt;"Concluído","Não iniciado",IF(COUNTIF(Lançamentos!$B$3:$B$1001,$B447)=0,"Bloqueado",IF('E3 — Levantamento'!$D429="","Bloqueado",IF(COUNTIF('E3 — Levantamento'!$E429:$I429,"⛔ Bloqueado")&gt;0,"Bloqueado",IF('E3 — Levantamento'!$I429="N/A","Bloqueado",IF(COUNTIF('E3 — Levantamento'!$E429:$I429,"✔ Concluído")=5,"Concluído",IF(COUNTIF('E3 — Levantamento'!$E429:$I429,"✔ Concluído")+COUNTIF('E3 — Levantamento'!$E429:$I429,"🔄 Em andamento")&gt;0,"Em andamento","Não iniciado"))))))))</f>
        <v/>
      </c>
      <c r="H447" s="229" t="str">
        <f>IF($B447="","",IF($G447&lt;&gt;"Concluído","Não iniciado",IF(COUNTIF(Lançamentos!$B$3:$B$1001,$B447)=0,"Bloqueado",IF('E4 — Execução'!$D429="","Bloqueado",IF(COUNTIF('E4 — Execução'!$E429:$K429,"⛔ Bloqueado")&gt;0,"Bloqueado",IF(COUNTIF('E4 — Execução'!$E429:$K429,"✔ Concluído")=7,"Concluído",IF(COUNTIF('E4 — Execução'!$E429:$K429,"✔ Concluído")+COUNTIF('E4 — Execução'!$E429:$K429,"🔄 Em andamento")&gt;0,"Em andamento","Não iniciado")))))))</f>
        <v/>
      </c>
      <c r="I447" s="229" t="str">
        <f>IF($B447="","",IF($H447&lt;&gt;"Concluído","Não iniciado",IF(COUNTIF(Lançamentos!$B$3:$B$1001,$B447)=0,"Bloqueado",IF('E5 — Validação'!$D429="","Bloqueado",IF(COUNTIF('E5 — Validação'!$E429:$I429,"⛔ Bloqueado")&gt;0,"Bloqueado",IF('E5 — Validação'!$I429="N/A","Bloqueado",IF(AND('E5 — Validação'!$E429="✔ Concluído",'E5 — Validação'!$F429="✔ Concluído",OR('E5 — Validação'!$G429="✔ Concluído",'E5 — Validação'!$G429="N/A"),'E5 — Validação'!$H429="✔ Concluído",'E5 — Validação'!$I429="✔ Concluído"),"Concluído",IF(COUNTIF('E5 — Validação'!$E429:$I429,"✔ Concluído")+COUNTIF('E5 — Validação'!$E429:$I429,"🔄 Em andamento")&gt;0,"Em andamento","Não iniciado"))))))))</f>
        <v/>
      </c>
      <c r="J447" s="229" t="str">
        <f>IF($B447="","",IF($I447&lt;&gt;"Concluído","Não iniciado",IF('E6 — Ajustes'!$N429="Não","N/A",IF(COUNTIF(Lançamentos!$B$3:$B$1001,$B447)=0,"Bloqueado",IF('E6 — Ajustes'!$D429="","Bloqueado",IF(COUNTIF('E6 — Ajustes'!$E429:$J429,"⛔ Bloqueado")&gt;0,"Bloqueado",IF(AND('E6 — Ajustes'!$E429="✔ Concluído",'E6 — Ajustes'!$F429="✔ Concluído",'E6 — Ajustes'!$G429="✔ Concluído",'E6 — Ajustes'!$H429="✔ Concluído",OR('E6 — Ajustes'!$I429="✔ Concluído",'E6 — Ajustes'!$I429="N/A"),'E6 — Ajustes'!$J429="✔ Concluído"),"Concluído",IF(COUNTIF('E6 — Ajustes'!$E429:$J429,"✔ Concluído")+COUNTIF('E6 — Ajustes'!$E429:$J429,"🔄 Em andamento")&gt;0,"Em andamento","Não iniciado"))))))))</f>
        <v/>
      </c>
      <c r="K447" s="229" t="str">
        <f>IF($B447="","",IF($I447&lt;&gt;"Concluído","Não iniciado",IF(AND($J447&lt;&gt;"Concluído",$J447&lt;&gt;"N/A"),"Não iniciado",IF(COUNTIF(Lançamentos!$B$3:$B$1001,$B447)=0,"Bloqueado",IF('E7 — Entrega'!$D429="","Bloqueado",IF(COUNTIF('E7 — Entrega'!$E429:$H429,"⛔ Bloqueado")&gt;0,"Bloqueado",IF(COUNTIF('E7 — Entrega'!$E429:$H429,"✔ Concluído")=4,"Concluído",IF(COUNTIF('E7 — Entrega'!$E429:$H429,"✔ Concluído")+COUNTIF('E7 — Entrega'!$E429:$H429,"🔄 Em andamento")&gt;0,"Em andamento","Não iniciado"))))))))</f>
        <v/>
      </c>
      <c r="L447" s="229" t="str">
        <f>IF($B447="","",IF($K447&lt;&gt;"Concluído","Não iniciado",IF(OR(COUNTIF('E08 — Estabilização Hypercare'!$E429:$J429,"⛔ Bloqueado")&gt;0,'E08 — Estabilização Hypercare'!$N429="⛔ Incidente Crítico — Encerramento Bloqueado",AND('E08 — Estabilização Hypercare'!$N429="🆕 Evolução Identificada — Nova Demanda Aberta",'E08 — Estabilização Hypercare'!$U429="")),"Bloqueado",IF(AND('E08 — Estabilização Hypercare'!$E429="✔ Concluído",'E08 — Estabilização Hypercare'!$F429="✔ Concluído",'E08 — Estabilização Hypercare'!$G429="✔ Concluído",OR('E08 — Estabilização Hypercare'!$H429="✔ Concluído",'E08 — Estabilização Hypercare'!$H429="N/A"),'E08 — Estabilização Hypercare'!$I429="✔ Concluído",'E08 — Estabilização Hypercare'!$J429="✔ Concluído",OR('E08 — Estabilização Hypercare'!$N429="✅ Estável — Demanda Encerrada",AND('E08 — Estabilização Hypercare'!$N429="🆕 Evolução Identificada — Nova Demanda Aberta",'E08 — Estabilização Hypercare'!$U429&lt;&gt;""))),"Concluído",IF(OR(COUNTIF('E08 — Estabilização Hypercare'!$E429:$J429,"✔ Concluído")&gt;0,COUNTIF('E08 — Estabilização Hypercare'!$E429:$J429,"🔄 Em andamento")&gt;0,'E08 — Estabilização Hypercare'!$N429&lt;&gt;""),"Em andamento","Não iniciado")))))</f>
        <v/>
      </c>
      <c r="M447" s="232" t="str" cm="1">
        <f t="array" ref="M447">IF(B447="","",_xlfn.IFS(E447&lt;&gt;"Concluído","E1 — Solicitação",F447&lt;&gt;"Concluído","E2 — Triagem",G447&lt;&gt;"Concluído","E3 — Levantamento ⚠",H447&lt;&gt;"Concluído","E4 — Execução",I447&lt;&gt;"Concluído","E5 — Validação ⚠",AND(J447&lt;&gt;"Concluído",J447&lt;&gt;"N/A"),"E6 — Ajustes",K447&lt;&gt;"Concluído","E7 — Entrega",L447&lt;&gt;"Concluído","E08 — Estabilização / Hypercare",TRUE,"✔ Fluxo concluído"))</f>
        <v/>
      </c>
      <c r="N447" s="233" t="str">
        <f t="shared" si="7"/>
        <v/>
      </c>
      <c r="O447" s="230"/>
    </row>
    <row r="448" spans="2:15" x14ac:dyDescent="0.35">
      <c r="B448" s="229" t="str">
        <f>IF(Lançamentos!$B425="","",Lançamentos!$B425)</f>
        <v/>
      </c>
      <c r="C448" s="231" t="str">
        <f>IF($B448="","",Lançamentos!$J425)</f>
        <v/>
      </c>
      <c r="D448" s="231" t="str">
        <f>IF($B448="","",Lançamentos!$H425)</f>
        <v/>
      </c>
      <c r="E448" s="229" t="str">
        <f>IF($B448="","",IF(COUNTIF(Lançamentos!$B$3:$B$1001,$B448)=0,"Bloqueado",IF(COUNTIF('E1 — Solicitação'!$E430:$L430,"⛔ Bloqueado")&gt;0,"Bloqueado",IF(COUNTIF('E1 — Solicitação'!$E430:$L430,"N/A")=8,"Bloqueado",IF(COUNTIF('E1 — Solicitação'!$E430:$L430,"✔ Concluído")+COUNTIF('E1 — Solicitação'!$E430:$L430,"N/A")=8,"Concluído",IF(COUNTIF('E1 — Solicitação'!$E430:$L430,"✔ Concluído")+COUNTIF('E1 — Solicitação'!$E430:$L430,"🔄 Em andamento")&gt;0,"Em andamento","Não iniciado"))))))</f>
        <v/>
      </c>
      <c r="F448" s="229" t="str">
        <f>IF($B448="","",IF($E448&lt;&gt;"Concluído","Não iniciado",IF(COUNTIF(Lançamentos!$B$3:$B$1001,$B448)=0,"Bloqueado",IF('E2 — Triagem'!$D430="","Bloqueado",IF(COUNTIF('E2 — Triagem'!$E430:$L430,"N/A")=8,"Bloqueado",IF(COUNTIF('E2 — Triagem'!$E430:$L430,"⛔ Bloqueado")&gt;0,"Bloqueado",IF(COUNTIF('E2 — Triagem'!$E430:$L430,"✔ Concluído")+COUNTIF('E2 — Triagem'!$E430:$L430,"N/A")=8,"Concluído",IF(COUNTIF('E2 — Triagem'!$E430:$L430,"✔ Concluído")+COUNTIF('E2 — Triagem'!$E430:$L430,"🔄 Em andamento")&gt;0,"Em andamento","Não iniciado"))))))))</f>
        <v/>
      </c>
      <c r="G448" s="229" t="str">
        <f>IF($B448="","",IF($F448&lt;&gt;"Concluído","Não iniciado",IF(COUNTIF(Lançamentos!$B$3:$B$1001,$B448)=0,"Bloqueado",IF('E3 — Levantamento'!$D430="","Bloqueado",IF(COUNTIF('E3 — Levantamento'!$E430:$I430,"⛔ Bloqueado")&gt;0,"Bloqueado",IF('E3 — Levantamento'!$I430="N/A","Bloqueado",IF(COUNTIF('E3 — Levantamento'!$E430:$I430,"✔ Concluído")=5,"Concluído",IF(COUNTIF('E3 — Levantamento'!$E430:$I430,"✔ Concluído")+COUNTIF('E3 — Levantamento'!$E430:$I430,"🔄 Em andamento")&gt;0,"Em andamento","Não iniciado"))))))))</f>
        <v/>
      </c>
      <c r="H448" s="229" t="str">
        <f>IF($B448="","",IF($G448&lt;&gt;"Concluído","Não iniciado",IF(COUNTIF(Lançamentos!$B$3:$B$1001,$B448)=0,"Bloqueado",IF('E4 — Execução'!$D430="","Bloqueado",IF(COUNTIF('E4 — Execução'!$E430:$K430,"⛔ Bloqueado")&gt;0,"Bloqueado",IF(COUNTIF('E4 — Execução'!$E430:$K430,"✔ Concluído")=7,"Concluído",IF(COUNTIF('E4 — Execução'!$E430:$K430,"✔ Concluído")+COUNTIF('E4 — Execução'!$E430:$K430,"🔄 Em andamento")&gt;0,"Em andamento","Não iniciado")))))))</f>
        <v/>
      </c>
      <c r="I448" s="229" t="str">
        <f>IF($B448="","",IF($H448&lt;&gt;"Concluído","Não iniciado",IF(COUNTIF(Lançamentos!$B$3:$B$1001,$B448)=0,"Bloqueado",IF('E5 — Validação'!$D430="","Bloqueado",IF(COUNTIF('E5 — Validação'!$E430:$I430,"⛔ Bloqueado")&gt;0,"Bloqueado",IF('E5 — Validação'!$I430="N/A","Bloqueado",IF(AND('E5 — Validação'!$E430="✔ Concluído",'E5 — Validação'!$F430="✔ Concluído",OR('E5 — Validação'!$G430="✔ Concluído",'E5 — Validação'!$G430="N/A"),'E5 — Validação'!$H430="✔ Concluído",'E5 — Validação'!$I430="✔ Concluído"),"Concluído",IF(COUNTIF('E5 — Validação'!$E430:$I430,"✔ Concluído")+COUNTIF('E5 — Validação'!$E430:$I430,"🔄 Em andamento")&gt;0,"Em andamento","Não iniciado"))))))))</f>
        <v/>
      </c>
      <c r="J448" s="229" t="str">
        <f>IF($B448="","",IF($I448&lt;&gt;"Concluído","Não iniciado",IF('E6 — Ajustes'!$N430="Não","N/A",IF(COUNTIF(Lançamentos!$B$3:$B$1001,$B448)=0,"Bloqueado",IF('E6 — Ajustes'!$D430="","Bloqueado",IF(COUNTIF('E6 — Ajustes'!$E430:$J430,"⛔ Bloqueado")&gt;0,"Bloqueado",IF(AND('E6 — Ajustes'!$E430="✔ Concluído",'E6 — Ajustes'!$F430="✔ Concluído",'E6 — Ajustes'!$G430="✔ Concluído",'E6 — Ajustes'!$H430="✔ Concluído",OR('E6 — Ajustes'!$I430="✔ Concluído",'E6 — Ajustes'!$I430="N/A"),'E6 — Ajustes'!$J430="✔ Concluído"),"Concluído",IF(COUNTIF('E6 — Ajustes'!$E430:$J430,"✔ Concluído")+COUNTIF('E6 — Ajustes'!$E430:$J430,"🔄 Em andamento")&gt;0,"Em andamento","Não iniciado"))))))))</f>
        <v/>
      </c>
      <c r="K448" s="229" t="str">
        <f>IF($B448="","",IF($I448&lt;&gt;"Concluído","Não iniciado",IF(AND($J448&lt;&gt;"Concluído",$J448&lt;&gt;"N/A"),"Não iniciado",IF(COUNTIF(Lançamentos!$B$3:$B$1001,$B448)=0,"Bloqueado",IF('E7 — Entrega'!$D430="","Bloqueado",IF(COUNTIF('E7 — Entrega'!$E430:$H430,"⛔ Bloqueado")&gt;0,"Bloqueado",IF(COUNTIF('E7 — Entrega'!$E430:$H430,"✔ Concluído")=4,"Concluído",IF(COUNTIF('E7 — Entrega'!$E430:$H430,"✔ Concluído")+COUNTIF('E7 — Entrega'!$E430:$H430,"🔄 Em andamento")&gt;0,"Em andamento","Não iniciado"))))))))</f>
        <v/>
      </c>
      <c r="L448" s="229" t="str">
        <f>IF($B448="","",IF($K448&lt;&gt;"Concluído","Não iniciado",IF(OR(COUNTIF('E08 — Estabilização Hypercare'!$E430:$J430,"⛔ Bloqueado")&gt;0,'E08 — Estabilização Hypercare'!$N430="⛔ Incidente Crítico — Encerramento Bloqueado",AND('E08 — Estabilização Hypercare'!$N430="🆕 Evolução Identificada — Nova Demanda Aberta",'E08 — Estabilização Hypercare'!$U430="")),"Bloqueado",IF(AND('E08 — Estabilização Hypercare'!$E430="✔ Concluído",'E08 — Estabilização Hypercare'!$F430="✔ Concluído",'E08 — Estabilização Hypercare'!$G430="✔ Concluído",OR('E08 — Estabilização Hypercare'!$H430="✔ Concluído",'E08 — Estabilização Hypercare'!$H430="N/A"),'E08 — Estabilização Hypercare'!$I430="✔ Concluído",'E08 — Estabilização Hypercare'!$J430="✔ Concluído",OR('E08 — Estabilização Hypercare'!$N430="✅ Estável — Demanda Encerrada",AND('E08 — Estabilização Hypercare'!$N430="🆕 Evolução Identificada — Nova Demanda Aberta",'E08 — Estabilização Hypercare'!$U430&lt;&gt;""))),"Concluído",IF(OR(COUNTIF('E08 — Estabilização Hypercare'!$E430:$J430,"✔ Concluído")&gt;0,COUNTIF('E08 — Estabilização Hypercare'!$E430:$J430,"🔄 Em andamento")&gt;0,'E08 — Estabilização Hypercare'!$N430&lt;&gt;""),"Em andamento","Não iniciado")))))</f>
        <v/>
      </c>
      <c r="M448" s="232" t="str" cm="1">
        <f t="array" ref="M448">IF(B448="","",_xlfn.IFS(E448&lt;&gt;"Concluído","E1 — Solicitação",F448&lt;&gt;"Concluído","E2 — Triagem",G448&lt;&gt;"Concluído","E3 — Levantamento ⚠",H448&lt;&gt;"Concluído","E4 — Execução",I448&lt;&gt;"Concluído","E5 — Validação ⚠",AND(J448&lt;&gt;"Concluído",J448&lt;&gt;"N/A"),"E6 — Ajustes",K448&lt;&gt;"Concluído","E7 — Entrega",L448&lt;&gt;"Concluído","E08 — Estabilização / Hypercare",TRUE,"✔ Fluxo concluído"))</f>
        <v/>
      </c>
      <c r="N448" s="233" t="str">
        <f t="shared" si="7"/>
        <v/>
      </c>
      <c r="O448" s="230"/>
    </row>
    <row r="449" spans="2:15" x14ac:dyDescent="0.35">
      <c r="B449" s="229" t="str">
        <f>IF(Lançamentos!$B426="","",Lançamentos!$B426)</f>
        <v/>
      </c>
      <c r="C449" s="231" t="str">
        <f>IF($B449="","",Lançamentos!$J426)</f>
        <v/>
      </c>
      <c r="D449" s="231" t="str">
        <f>IF($B449="","",Lançamentos!$H426)</f>
        <v/>
      </c>
      <c r="E449" s="229" t="str">
        <f>IF($B449="","",IF(COUNTIF(Lançamentos!$B$3:$B$1001,$B449)=0,"Bloqueado",IF(COUNTIF('E1 — Solicitação'!$E431:$L431,"⛔ Bloqueado")&gt;0,"Bloqueado",IF(COUNTIF('E1 — Solicitação'!$E431:$L431,"N/A")=8,"Bloqueado",IF(COUNTIF('E1 — Solicitação'!$E431:$L431,"✔ Concluído")+COUNTIF('E1 — Solicitação'!$E431:$L431,"N/A")=8,"Concluído",IF(COUNTIF('E1 — Solicitação'!$E431:$L431,"✔ Concluído")+COUNTIF('E1 — Solicitação'!$E431:$L431,"🔄 Em andamento")&gt;0,"Em andamento","Não iniciado"))))))</f>
        <v/>
      </c>
      <c r="F449" s="229" t="str">
        <f>IF($B449="","",IF($E449&lt;&gt;"Concluído","Não iniciado",IF(COUNTIF(Lançamentos!$B$3:$B$1001,$B449)=0,"Bloqueado",IF('E2 — Triagem'!$D431="","Bloqueado",IF(COUNTIF('E2 — Triagem'!$E431:$L431,"N/A")=8,"Bloqueado",IF(COUNTIF('E2 — Triagem'!$E431:$L431,"⛔ Bloqueado")&gt;0,"Bloqueado",IF(COUNTIF('E2 — Triagem'!$E431:$L431,"✔ Concluído")+COUNTIF('E2 — Triagem'!$E431:$L431,"N/A")=8,"Concluído",IF(COUNTIF('E2 — Triagem'!$E431:$L431,"✔ Concluído")+COUNTIF('E2 — Triagem'!$E431:$L431,"🔄 Em andamento")&gt;0,"Em andamento","Não iniciado"))))))))</f>
        <v/>
      </c>
      <c r="G449" s="229" t="str">
        <f>IF($B449="","",IF($F449&lt;&gt;"Concluído","Não iniciado",IF(COUNTIF(Lançamentos!$B$3:$B$1001,$B449)=0,"Bloqueado",IF('E3 — Levantamento'!$D431="","Bloqueado",IF(COUNTIF('E3 — Levantamento'!$E431:$I431,"⛔ Bloqueado")&gt;0,"Bloqueado",IF('E3 — Levantamento'!$I431="N/A","Bloqueado",IF(COUNTIF('E3 — Levantamento'!$E431:$I431,"✔ Concluído")=5,"Concluído",IF(COUNTIF('E3 — Levantamento'!$E431:$I431,"✔ Concluído")+COUNTIF('E3 — Levantamento'!$E431:$I431,"🔄 Em andamento")&gt;0,"Em andamento","Não iniciado"))))))))</f>
        <v/>
      </c>
      <c r="H449" s="229" t="str">
        <f>IF($B449="","",IF($G449&lt;&gt;"Concluído","Não iniciado",IF(COUNTIF(Lançamentos!$B$3:$B$1001,$B449)=0,"Bloqueado",IF('E4 — Execução'!$D431="","Bloqueado",IF(COUNTIF('E4 — Execução'!$E431:$K431,"⛔ Bloqueado")&gt;0,"Bloqueado",IF(COUNTIF('E4 — Execução'!$E431:$K431,"✔ Concluído")=7,"Concluído",IF(COUNTIF('E4 — Execução'!$E431:$K431,"✔ Concluído")+COUNTIF('E4 — Execução'!$E431:$K431,"🔄 Em andamento")&gt;0,"Em andamento","Não iniciado")))))))</f>
        <v/>
      </c>
      <c r="I449" s="229" t="str">
        <f>IF($B449="","",IF($H449&lt;&gt;"Concluído","Não iniciado",IF(COUNTIF(Lançamentos!$B$3:$B$1001,$B449)=0,"Bloqueado",IF('E5 — Validação'!$D431="","Bloqueado",IF(COUNTIF('E5 — Validação'!$E431:$I431,"⛔ Bloqueado")&gt;0,"Bloqueado",IF('E5 — Validação'!$I431="N/A","Bloqueado",IF(AND('E5 — Validação'!$E431="✔ Concluído",'E5 — Validação'!$F431="✔ Concluído",OR('E5 — Validação'!$G431="✔ Concluído",'E5 — Validação'!$G431="N/A"),'E5 — Validação'!$H431="✔ Concluído",'E5 — Validação'!$I431="✔ Concluído"),"Concluído",IF(COUNTIF('E5 — Validação'!$E431:$I431,"✔ Concluído")+COUNTIF('E5 — Validação'!$E431:$I431,"🔄 Em andamento")&gt;0,"Em andamento","Não iniciado"))))))))</f>
        <v/>
      </c>
      <c r="J449" s="229" t="str">
        <f>IF($B449="","",IF($I449&lt;&gt;"Concluído","Não iniciado",IF('E6 — Ajustes'!$N431="Não","N/A",IF(COUNTIF(Lançamentos!$B$3:$B$1001,$B449)=0,"Bloqueado",IF('E6 — Ajustes'!$D431="","Bloqueado",IF(COUNTIF('E6 — Ajustes'!$E431:$J431,"⛔ Bloqueado")&gt;0,"Bloqueado",IF(AND('E6 — Ajustes'!$E431="✔ Concluído",'E6 — Ajustes'!$F431="✔ Concluído",'E6 — Ajustes'!$G431="✔ Concluído",'E6 — Ajustes'!$H431="✔ Concluído",OR('E6 — Ajustes'!$I431="✔ Concluído",'E6 — Ajustes'!$I431="N/A"),'E6 — Ajustes'!$J431="✔ Concluído"),"Concluído",IF(COUNTIF('E6 — Ajustes'!$E431:$J431,"✔ Concluído")+COUNTIF('E6 — Ajustes'!$E431:$J431,"🔄 Em andamento")&gt;0,"Em andamento","Não iniciado"))))))))</f>
        <v/>
      </c>
      <c r="K449" s="229" t="str">
        <f>IF($B449="","",IF($I449&lt;&gt;"Concluído","Não iniciado",IF(AND($J449&lt;&gt;"Concluído",$J449&lt;&gt;"N/A"),"Não iniciado",IF(COUNTIF(Lançamentos!$B$3:$B$1001,$B449)=0,"Bloqueado",IF('E7 — Entrega'!$D431="","Bloqueado",IF(COUNTIF('E7 — Entrega'!$E431:$H431,"⛔ Bloqueado")&gt;0,"Bloqueado",IF(COUNTIF('E7 — Entrega'!$E431:$H431,"✔ Concluído")=4,"Concluído",IF(COUNTIF('E7 — Entrega'!$E431:$H431,"✔ Concluído")+COUNTIF('E7 — Entrega'!$E431:$H431,"🔄 Em andamento")&gt;0,"Em andamento","Não iniciado"))))))))</f>
        <v/>
      </c>
      <c r="L449" s="229" t="str">
        <f>IF($B449="","",IF($K449&lt;&gt;"Concluído","Não iniciado",IF(OR(COUNTIF('E08 — Estabilização Hypercare'!$E431:$J431,"⛔ Bloqueado")&gt;0,'E08 — Estabilização Hypercare'!$N431="⛔ Incidente Crítico — Encerramento Bloqueado",AND('E08 — Estabilização Hypercare'!$N431="🆕 Evolução Identificada — Nova Demanda Aberta",'E08 — Estabilização Hypercare'!$U431="")),"Bloqueado",IF(AND('E08 — Estabilização Hypercare'!$E431="✔ Concluído",'E08 — Estabilização Hypercare'!$F431="✔ Concluído",'E08 — Estabilização Hypercare'!$G431="✔ Concluído",OR('E08 — Estabilização Hypercare'!$H431="✔ Concluído",'E08 — Estabilização Hypercare'!$H431="N/A"),'E08 — Estabilização Hypercare'!$I431="✔ Concluído",'E08 — Estabilização Hypercare'!$J431="✔ Concluído",OR('E08 — Estabilização Hypercare'!$N431="✅ Estável — Demanda Encerrada",AND('E08 — Estabilização Hypercare'!$N431="🆕 Evolução Identificada — Nova Demanda Aberta",'E08 — Estabilização Hypercare'!$U431&lt;&gt;""))),"Concluído",IF(OR(COUNTIF('E08 — Estabilização Hypercare'!$E431:$J431,"✔ Concluído")&gt;0,COUNTIF('E08 — Estabilização Hypercare'!$E431:$J431,"🔄 Em andamento")&gt;0,'E08 — Estabilização Hypercare'!$N431&lt;&gt;""),"Em andamento","Não iniciado")))))</f>
        <v/>
      </c>
      <c r="M449" s="232" t="str" cm="1">
        <f t="array" ref="M449">IF(B449="","",_xlfn.IFS(E449&lt;&gt;"Concluído","E1 — Solicitação",F449&lt;&gt;"Concluído","E2 — Triagem",G449&lt;&gt;"Concluído","E3 — Levantamento ⚠",H449&lt;&gt;"Concluído","E4 — Execução",I449&lt;&gt;"Concluído","E5 — Validação ⚠",AND(J449&lt;&gt;"Concluído",J449&lt;&gt;"N/A"),"E6 — Ajustes",K449&lt;&gt;"Concluído","E7 — Entrega",L449&lt;&gt;"Concluído","E08 — Estabilização / Hypercare",TRUE,"✔ Fluxo concluído"))</f>
        <v/>
      </c>
      <c r="N449" s="233" t="str">
        <f t="shared" si="7"/>
        <v/>
      </c>
      <c r="O449" s="230"/>
    </row>
    <row r="450" spans="2:15" x14ac:dyDescent="0.35">
      <c r="B450" s="229" t="str">
        <f>IF(Lançamentos!$B427="","",Lançamentos!$B427)</f>
        <v/>
      </c>
      <c r="C450" s="231" t="str">
        <f>IF($B450="","",Lançamentos!$J427)</f>
        <v/>
      </c>
      <c r="D450" s="231" t="str">
        <f>IF($B450="","",Lançamentos!$H427)</f>
        <v/>
      </c>
      <c r="E450" s="229" t="str">
        <f>IF($B450="","",IF(COUNTIF(Lançamentos!$B$3:$B$1001,$B450)=0,"Bloqueado",IF(COUNTIF('E1 — Solicitação'!$E432:$L432,"⛔ Bloqueado")&gt;0,"Bloqueado",IF(COUNTIF('E1 — Solicitação'!$E432:$L432,"N/A")=8,"Bloqueado",IF(COUNTIF('E1 — Solicitação'!$E432:$L432,"✔ Concluído")+COUNTIF('E1 — Solicitação'!$E432:$L432,"N/A")=8,"Concluído",IF(COUNTIF('E1 — Solicitação'!$E432:$L432,"✔ Concluído")+COUNTIF('E1 — Solicitação'!$E432:$L432,"🔄 Em andamento")&gt;0,"Em andamento","Não iniciado"))))))</f>
        <v/>
      </c>
      <c r="F450" s="229" t="str">
        <f>IF($B450="","",IF($E450&lt;&gt;"Concluído","Não iniciado",IF(COUNTIF(Lançamentos!$B$3:$B$1001,$B450)=0,"Bloqueado",IF('E2 — Triagem'!$D432="","Bloqueado",IF(COUNTIF('E2 — Triagem'!$E432:$L432,"N/A")=8,"Bloqueado",IF(COUNTIF('E2 — Triagem'!$E432:$L432,"⛔ Bloqueado")&gt;0,"Bloqueado",IF(COUNTIF('E2 — Triagem'!$E432:$L432,"✔ Concluído")+COUNTIF('E2 — Triagem'!$E432:$L432,"N/A")=8,"Concluído",IF(COUNTIF('E2 — Triagem'!$E432:$L432,"✔ Concluído")+COUNTIF('E2 — Triagem'!$E432:$L432,"🔄 Em andamento")&gt;0,"Em andamento","Não iniciado"))))))))</f>
        <v/>
      </c>
      <c r="G450" s="229" t="str">
        <f>IF($B450="","",IF($F450&lt;&gt;"Concluído","Não iniciado",IF(COUNTIF(Lançamentos!$B$3:$B$1001,$B450)=0,"Bloqueado",IF('E3 — Levantamento'!$D432="","Bloqueado",IF(COUNTIF('E3 — Levantamento'!$E432:$I432,"⛔ Bloqueado")&gt;0,"Bloqueado",IF('E3 — Levantamento'!$I432="N/A","Bloqueado",IF(COUNTIF('E3 — Levantamento'!$E432:$I432,"✔ Concluído")=5,"Concluído",IF(COUNTIF('E3 — Levantamento'!$E432:$I432,"✔ Concluído")+COUNTIF('E3 — Levantamento'!$E432:$I432,"🔄 Em andamento")&gt;0,"Em andamento","Não iniciado"))))))))</f>
        <v/>
      </c>
      <c r="H450" s="229" t="str">
        <f>IF($B450="","",IF($G450&lt;&gt;"Concluído","Não iniciado",IF(COUNTIF(Lançamentos!$B$3:$B$1001,$B450)=0,"Bloqueado",IF('E4 — Execução'!$D432="","Bloqueado",IF(COUNTIF('E4 — Execução'!$E432:$K432,"⛔ Bloqueado")&gt;0,"Bloqueado",IF(COUNTIF('E4 — Execução'!$E432:$K432,"✔ Concluído")=7,"Concluído",IF(COUNTIF('E4 — Execução'!$E432:$K432,"✔ Concluído")+COUNTIF('E4 — Execução'!$E432:$K432,"🔄 Em andamento")&gt;0,"Em andamento","Não iniciado")))))))</f>
        <v/>
      </c>
      <c r="I450" s="229" t="str">
        <f>IF($B450="","",IF($H450&lt;&gt;"Concluído","Não iniciado",IF(COUNTIF(Lançamentos!$B$3:$B$1001,$B450)=0,"Bloqueado",IF('E5 — Validação'!$D432="","Bloqueado",IF(COUNTIF('E5 — Validação'!$E432:$I432,"⛔ Bloqueado")&gt;0,"Bloqueado",IF('E5 — Validação'!$I432="N/A","Bloqueado",IF(AND('E5 — Validação'!$E432="✔ Concluído",'E5 — Validação'!$F432="✔ Concluído",OR('E5 — Validação'!$G432="✔ Concluído",'E5 — Validação'!$G432="N/A"),'E5 — Validação'!$H432="✔ Concluído",'E5 — Validação'!$I432="✔ Concluído"),"Concluído",IF(COUNTIF('E5 — Validação'!$E432:$I432,"✔ Concluído")+COUNTIF('E5 — Validação'!$E432:$I432,"🔄 Em andamento")&gt;0,"Em andamento","Não iniciado"))))))))</f>
        <v/>
      </c>
      <c r="J450" s="229" t="str">
        <f>IF($B450="","",IF($I450&lt;&gt;"Concluído","Não iniciado",IF('E6 — Ajustes'!$N432="Não","N/A",IF(COUNTIF(Lançamentos!$B$3:$B$1001,$B450)=0,"Bloqueado",IF('E6 — Ajustes'!$D432="","Bloqueado",IF(COUNTIF('E6 — Ajustes'!$E432:$J432,"⛔ Bloqueado")&gt;0,"Bloqueado",IF(AND('E6 — Ajustes'!$E432="✔ Concluído",'E6 — Ajustes'!$F432="✔ Concluído",'E6 — Ajustes'!$G432="✔ Concluído",'E6 — Ajustes'!$H432="✔ Concluído",OR('E6 — Ajustes'!$I432="✔ Concluído",'E6 — Ajustes'!$I432="N/A"),'E6 — Ajustes'!$J432="✔ Concluído"),"Concluído",IF(COUNTIF('E6 — Ajustes'!$E432:$J432,"✔ Concluído")+COUNTIF('E6 — Ajustes'!$E432:$J432,"🔄 Em andamento")&gt;0,"Em andamento","Não iniciado"))))))))</f>
        <v/>
      </c>
      <c r="K450" s="229" t="str">
        <f>IF($B450="","",IF($I450&lt;&gt;"Concluído","Não iniciado",IF(AND($J450&lt;&gt;"Concluído",$J450&lt;&gt;"N/A"),"Não iniciado",IF(COUNTIF(Lançamentos!$B$3:$B$1001,$B450)=0,"Bloqueado",IF('E7 — Entrega'!$D432="","Bloqueado",IF(COUNTIF('E7 — Entrega'!$E432:$H432,"⛔ Bloqueado")&gt;0,"Bloqueado",IF(COUNTIF('E7 — Entrega'!$E432:$H432,"✔ Concluído")=4,"Concluído",IF(COUNTIF('E7 — Entrega'!$E432:$H432,"✔ Concluído")+COUNTIF('E7 — Entrega'!$E432:$H432,"🔄 Em andamento")&gt;0,"Em andamento","Não iniciado"))))))))</f>
        <v/>
      </c>
      <c r="L450" s="229" t="str">
        <f>IF($B450="","",IF($K450&lt;&gt;"Concluído","Não iniciado",IF(OR(COUNTIF('E08 — Estabilização Hypercare'!$E432:$J432,"⛔ Bloqueado")&gt;0,'E08 — Estabilização Hypercare'!$N432="⛔ Incidente Crítico — Encerramento Bloqueado",AND('E08 — Estabilização Hypercare'!$N432="🆕 Evolução Identificada — Nova Demanda Aberta",'E08 — Estabilização Hypercare'!$U432="")),"Bloqueado",IF(AND('E08 — Estabilização Hypercare'!$E432="✔ Concluído",'E08 — Estabilização Hypercare'!$F432="✔ Concluído",'E08 — Estabilização Hypercare'!$G432="✔ Concluído",OR('E08 — Estabilização Hypercare'!$H432="✔ Concluído",'E08 — Estabilização Hypercare'!$H432="N/A"),'E08 — Estabilização Hypercare'!$I432="✔ Concluído",'E08 — Estabilização Hypercare'!$J432="✔ Concluído",OR('E08 — Estabilização Hypercare'!$N432="✅ Estável — Demanda Encerrada",AND('E08 — Estabilização Hypercare'!$N432="🆕 Evolução Identificada — Nova Demanda Aberta",'E08 — Estabilização Hypercare'!$U432&lt;&gt;""))),"Concluído",IF(OR(COUNTIF('E08 — Estabilização Hypercare'!$E432:$J432,"✔ Concluído")&gt;0,COUNTIF('E08 — Estabilização Hypercare'!$E432:$J432,"🔄 Em andamento")&gt;0,'E08 — Estabilização Hypercare'!$N432&lt;&gt;""),"Em andamento","Não iniciado")))))</f>
        <v/>
      </c>
      <c r="M450" s="232" t="str" cm="1">
        <f t="array" ref="M450">IF(B450="","",_xlfn.IFS(E450&lt;&gt;"Concluído","E1 — Solicitação",F450&lt;&gt;"Concluído","E2 — Triagem",G450&lt;&gt;"Concluído","E3 — Levantamento ⚠",H450&lt;&gt;"Concluído","E4 — Execução",I450&lt;&gt;"Concluído","E5 — Validação ⚠",AND(J450&lt;&gt;"Concluído",J450&lt;&gt;"N/A"),"E6 — Ajustes",K450&lt;&gt;"Concluído","E7 — Entrega",L450&lt;&gt;"Concluído","E08 — Estabilização / Hypercare",TRUE,"✔ Fluxo concluído"))</f>
        <v/>
      </c>
      <c r="N450" s="233" t="str">
        <f t="shared" si="7"/>
        <v/>
      </c>
      <c r="O450" s="230"/>
    </row>
    <row r="451" spans="2:15" x14ac:dyDescent="0.35">
      <c r="B451" s="229" t="str">
        <f>IF(Lançamentos!$B428="","",Lançamentos!$B428)</f>
        <v/>
      </c>
      <c r="C451" s="231" t="str">
        <f>IF($B451="","",Lançamentos!$J428)</f>
        <v/>
      </c>
      <c r="D451" s="231" t="str">
        <f>IF($B451="","",Lançamentos!$H428)</f>
        <v/>
      </c>
      <c r="E451" s="229" t="str">
        <f>IF($B451="","",IF(COUNTIF(Lançamentos!$B$3:$B$1001,$B451)=0,"Bloqueado",IF(COUNTIF('E1 — Solicitação'!$E433:$L433,"⛔ Bloqueado")&gt;0,"Bloqueado",IF(COUNTIF('E1 — Solicitação'!$E433:$L433,"N/A")=8,"Bloqueado",IF(COUNTIF('E1 — Solicitação'!$E433:$L433,"✔ Concluído")+COUNTIF('E1 — Solicitação'!$E433:$L433,"N/A")=8,"Concluído",IF(COUNTIF('E1 — Solicitação'!$E433:$L433,"✔ Concluído")+COUNTIF('E1 — Solicitação'!$E433:$L433,"🔄 Em andamento")&gt;0,"Em andamento","Não iniciado"))))))</f>
        <v/>
      </c>
      <c r="F451" s="229" t="str">
        <f>IF($B451="","",IF($E451&lt;&gt;"Concluído","Não iniciado",IF(COUNTIF(Lançamentos!$B$3:$B$1001,$B451)=0,"Bloqueado",IF('E2 — Triagem'!$D433="","Bloqueado",IF(COUNTIF('E2 — Triagem'!$E433:$L433,"N/A")=8,"Bloqueado",IF(COUNTIF('E2 — Triagem'!$E433:$L433,"⛔ Bloqueado")&gt;0,"Bloqueado",IF(COUNTIF('E2 — Triagem'!$E433:$L433,"✔ Concluído")+COUNTIF('E2 — Triagem'!$E433:$L433,"N/A")=8,"Concluído",IF(COUNTIF('E2 — Triagem'!$E433:$L433,"✔ Concluído")+COUNTIF('E2 — Triagem'!$E433:$L433,"🔄 Em andamento")&gt;0,"Em andamento","Não iniciado"))))))))</f>
        <v/>
      </c>
      <c r="G451" s="229" t="str">
        <f>IF($B451="","",IF($F451&lt;&gt;"Concluído","Não iniciado",IF(COUNTIF(Lançamentos!$B$3:$B$1001,$B451)=0,"Bloqueado",IF('E3 — Levantamento'!$D433="","Bloqueado",IF(COUNTIF('E3 — Levantamento'!$E433:$I433,"⛔ Bloqueado")&gt;0,"Bloqueado",IF('E3 — Levantamento'!$I433="N/A","Bloqueado",IF(COUNTIF('E3 — Levantamento'!$E433:$I433,"✔ Concluído")=5,"Concluído",IF(COUNTIF('E3 — Levantamento'!$E433:$I433,"✔ Concluído")+COUNTIF('E3 — Levantamento'!$E433:$I433,"🔄 Em andamento")&gt;0,"Em andamento","Não iniciado"))))))))</f>
        <v/>
      </c>
      <c r="H451" s="229" t="str">
        <f>IF($B451="","",IF($G451&lt;&gt;"Concluído","Não iniciado",IF(COUNTIF(Lançamentos!$B$3:$B$1001,$B451)=0,"Bloqueado",IF('E4 — Execução'!$D433="","Bloqueado",IF(COUNTIF('E4 — Execução'!$E433:$K433,"⛔ Bloqueado")&gt;0,"Bloqueado",IF(COUNTIF('E4 — Execução'!$E433:$K433,"✔ Concluído")=7,"Concluído",IF(COUNTIF('E4 — Execução'!$E433:$K433,"✔ Concluído")+COUNTIF('E4 — Execução'!$E433:$K433,"🔄 Em andamento")&gt;0,"Em andamento","Não iniciado")))))))</f>
        <v/>
      </c>
      <c r="I451" s="229" t="str">
        <f>IF($B451="","",IF($H451&lt;&gt;"Concluído","Não iniciado",IF(COUNTIF(Lançamentos!$B$3:$B$1001,$B451)=0,"Bloqueado",IF('E5 — Validação'!$D433="","Bloqueado",IF(COUNTIF('E5 — Validação'!$E433:$I433,"⛔ Bloqueado")&gt;0,"Bloqueado",IF('E5 — Validação'!$I433="N/A","Bloqueado",IF(AND('E5 — Validação'!$E433="✔ Concluído",'E5 — Validação'!$F433="✔ Concluído",OR('E5 — Validação'!$G433="✔ Concluído",'E5 — Validação'!$G433="N/A"),'E5 — Validação'!$H433="✔ Concluído",'E5 — Validação'!$I433="✔ Concluído"),"Concluído",IF(COUNTIF('E5 — Validação'!$E433:$I433,"✔ Concluído")+COUNTIF('E5 — Validação'!$E433:$I433,"🔄 Em andamento")&gt;0,"Em andamento","Não iniciado"))))))))</f>
        <v/>
      </c>
      <c r="J451" s="229" t="str">
        <f>IF($B451="","",IF($I451&lt;&gt;"Concluído","Não iniciado",IF('E6 — Ajustes'!$N433="Não","N/A",IF(COUNTIF(Lançamentos!$B$3:$B$1001,$B451)=0,"Bloqueado",IF('E6 — Ajustes'!$D433="","Bloqueado",IF(COUNTIF('E6 — Ajustes'!$E433:$J433,"⛔ Bloqueado")&gt;0,"Bloqueado",IF(AND('E6 — Ajustes'!$E433="✔ Concluído",'E6 — Ajustes'!$F433="✔ Concluído",'E6 — Ajustes'!$G433="✔ Concluído",'E6 — Ajustes'!$H433="✔ Concluído",OR('E6 — Ajustes'!$I433="✔ Concluído",'E6 — Ajustes'!$I433="N/A"),'E6 — Ajustes'!$J433="✔ Concluído"),"Concluído",IF(COUNTIF('E6 — Ajustes'!$E433:$J433,"✔ Concluído")+COUNTIF('E6 — Ajustes'!$E433:$J433,"🔄 Em andamento")&gt;0,"Em andamento","Não iniciado"))))))))</f>
        <v/>
      </c>
      <c r="K451" s="229" t="str">
        <f>IF($B451="","",IF($I451&lt;&gt;"Concluído","Não iniciado",IF(AND($J451&lt;&gt;"Concluído",$J451&lt;&gt;"N/A"),"Não iniciado",IF(COUNTIF(Lançamentos!$B$3:$B$1001,$B451)=0,"Bloqueado",IF('E7 — Entrega'!$D433="","Bloqueado",IF(COUNTIF('E7 — Entrega'!$E433:$H433,"⛔ Bloqueado")&gt;0,"Bloqueado",IF(COUNTIF('E7 — Entrega'!$E433:$H433,"✔ Concluído")=4,"Concluído",IF(COUNTIF('E7 — Entrega'!$E433:$H433,"✔ Concluído")+COUNTIF('E7 — Entrega'!$E433:$H433,"🔄 Em andamento")&gt;0,"Em andamento","Não iniciado"))))))))</f>
        <v/>
      </c>
      <c r="L451" s="229" t="str">
        <f>IF($B451="","",IF($K451&lt;&gt;"Concluído","Não iniciado",IF(OR(COUNTIF('E08 — Estabilização Hypercare'!$E433:$J433,"⛔ Bloqueado")&gt;0,'E08 — Estabilização Hypercare'!$N433="⛔ Incidente Crítico — Encerramento Bloqueado",AND('E08 — Estabilização Hypercare'!$N433="🆕 Evolução Identificada — Nova Demanda Aberta",'E08 — Estabilização Hypercare'!$U433="")),"Bloqueado",IF(AND('E08 — Estabilização Hypercare'!$E433="✔ Concluído",'E08 — Estabilização Hypercare'!$F433="✔ Concluído",'E08 — Estabilização Hypercare'!$G433="✔ Concluído",OR('E08 — Estabilização Hypercare'!$H433="✔ Concluído",'E08 — Estabilização Hypercare'!$H433="N/A"),'E08 — Estabilização Hypercare'!$I433="✔ Concluído",'E08 — Estabilização Hypercare'!$J433="✔ Concluído",OR('E08 — Estabilização Hypercare'!$N433="✅ Estável — Demanda Encerrada",AND('E08 — Estabilização Hypercare'!$N433="🆕 Evolução Identificada — Nova Demanda Aberta",'E08 — Estabilização Hypercare'!$U433&lt;&gt;""))),"Concluído",IF(OR(COUNTIF('E08 — Estabilização Hypercare'!$E433:$J433,"✔ Concluído")&gt;0,COUNTIF('E08 — Estabilização Hypercare'!$E433:$J433,"🔄 Em andamento")&gt;0,'E08 — Estabilização Hypercare'!$N433&lt;&gt;""),"Em andamento","Não iniciado")))))</f>
        <v/>
      </c>
      <c r="M451" s="232" t="str" cm="1">
        <f t="array" ref="M451">IF(B451="","",_xlfn.IFS(E451&lt;&gt;"Concluído","E1 — Solicitação",F451&lt;&gt;"Concluído","E2 — Triagem",G451&lt;&gt;"Concluído","E3 — Levantamento ⚠",H451&lt;&gt;"Concluído","E4 — Execução",I451&lt;&gt;"Concluído","E5 — Validação ⚠",AND(J451&lt;&gt;"Concluído",J451&lt;&gt;"N/A"),"E6 — Ajustes",K451&lt;&gt;"Concluído","E7 — Entrega",L451&lt;&gt;"Concluído","E08 — Estabilização / Hypercare",TRUE,"✔ Fluxo concluído"))</f>
        <v/>
      </c>
      <c r="N451" s="233" t="str">
        <f t="shared" si="7"/>
        <v/>
      </c>
      <c r="O451" s="230"/>
    </row>
    <row r="452" spans="2:15" x14ac:dyDescent="0.35">
      <c r="B452" s="229" t="str">
        <f>IF(Lançamentos!$B429="","",Lançamentos!$B429)</f>
        <v/>
      </c>
      <c r="C452" s="231" t="str">
        <f>IF($B452="","",Lançamentos!$J429)</f>
        <v/>
      </c>
      <c r="D452" s="231" t="str">
        <f>IF($B452="","",Lançamentos!$H429)</f>
        <v/>
      </c>
      <c r="E452" s="229" t="str">
        <f>IF($B452="","",IF(COUNTIF(Lançamentos!$B$3:$B$1001,$B452)=0,"Bloqueado",IF(COUNTIF('E1 — Solicitação'!$E434:$L434,"⛔ Bloqueado")&gt;0,"Bloqueado",IF(COUNTIF('E1 — Solicitação'!$E434:$L434,"N/A")=8,"Bloqueado",IF(COUNTIF('E1 — Solicitação'!$E434:$L434,"✔ Concluído")+COUNTIF('E1 — Solicitação'!$E434:$L434,"N/A")=8,"Concluído",IF(COUNTIF('E1 — Solicitação'!$E434:$L434,"✔ Concluído")+COUNTIF('E1 — Solicitação'!$E434:$L434,"🔄 Em andamento")&gt;0,"Em andamento","Não iniciado"))))))</f>
        <v/>
      </c>
      <c r="F452" s="229" t="str">
        <f>IF($B452="","",IF($E452&lt;&gt;"Concluído","Não iniciado",IF(COUNTIF(Lançamentos!$B$3:$B$1001,$B452)=0,"Bloqueado",IF('E2 — Triagem'!$D434="","Bloqueado",IF(COUNTIF('E2 — Triagem'!$E434:$L434,"N/A")=8,"Bloqueado",IF(COUNTIF('E2 — Triagem'!$E434:$L434,"⛔ Bloqueado")&gt;0,"Bloqueado",IF(COUNTIF('E2 — Triagem'!$E434:$L434,"✔ Concluído")+COUNTIF('E2 — Triagem'!$E434:$L434,"N/A")=8,"Concluído",IF(COUNTIF('E2 — Triagem'!$E434:$L434,"✔ Concluído")+COUNTIF('E2 — Triagem'!$E434:$L434,"🔄 Em andamento")&gt;0,"Em andamento","Não iniciado"))))))))</f>
        <v/>
      </c>
      <c r="G452" s="229" t="str">
        <f>IF($B452="","",IF($F452&lt;&gt;"Concluído","Não iniciado",IF(COUNTIF(Lançamentos!$B$3:$B$1001,$B452)=0,"Bloqueado",IF('E3 — Levantamento'!$D434="","Bloqueado",IF(COUNTIF('E3 — Levantamento'!$E434:$I434,"⛔ Bloqueado")&gt;0,"Bloqueado",IF('E3 — Levantamento'!$I434="N/A","Bloqueado",IF(COUNTIF('E3 — Levantamento'!$E434:$I434,"✔ Concluído")=5,"Concluído",IF(COUNTIF('E3 — Levantamento'!$E434:$I434,"✔ Concluído")+COUNTIF('E3 — Levantamento'!$E434:$I434,"🔄 Em andamento")&gt;0,"Em andamento","Não iniciado"))))))))</f>
        <v/>
      </c>
      <c r="H452" s="229" t="str">
        <f>IF($B452="","",IF($G452&lt;&gt;"Concluído","Não iniciado",IF(COUNTIF(Lançamentos!$B$3:$B$1001,$B452)=0,"Bloqueado",IF('E4 — Execução'!$D434="","Bloqueado",IF(COUNTIF('E4 — Execução'!$E434:$K434,"⛔ Bloqueado")&gt;0,"Bloqueado",IF(COUNTIF('E4 — Execução'!$E434:$K434,"✔ Concluído")=7,"Concluído",IF(COUNTIF('E4 — Execução'!$E434:$K434,"✔ Concluído")+COUNTIF('E4 — Execução'!$E434:$K434,"🔄 Em andamento")&gt;0,"Em andamento","Não iniciado")))))))</f>
        <v/>
      </c>
      <c r="I452" s="229" t="str">
        <f>IF($B452="","",IF($H452&lt;&gt;"Concluído","Não iniciado",IF(COUNTIF(Lançamentos!$B$3:$B$1001,$B452)=0,"Bloqueado",IF('E5 — Validação'!$D434="","Bloqueado",IF(COUNTIF('E5 — Validação'!$E434:$I434,"⛔ Bloqueado")&gt;0,"Bloqueado",IF('E5 — Validação'!$I434="N/A","Bloqueado",IF(AND('E5 — Validação'!$E434="✔ Concluído",'E5 — Validação'!$F434="✔ Concluído",OR('E5 — Validação'!$G434="✔ Concluído",'E5 — Validação'!$G434="N/A"),'E5 — Validação'!$H434="✔ Concluído",'E5 — Validação'!$I434="✔ Concluído"),"Concluído",IF(COUNTIF('E5 — Validação'!$E434:$I434,"✔ Concluído")+COUNTIF('E5 — Validação'!$E434:$I434,"🔄 Em andamento")&gt;0,"Em andamento","Não iniciado"))))))))</f>
        <v/>
      </c>
      <c r="J452" s="229" t="str">
        <f>IF($B452="","",IF($I452&lt;&gt;"Concluído","Não iniciado",IF('E6 — Ajustes'!$N434="Não","N/A",IF(COUNTIF(Lançamentos!$B$3:$B$1001,$B452)=0,"Bloqueado",IF('E6 — Ajustes'!$D434="","Bloqueado",IF(COUNTIF('E6 — Ajustes'!$E434:$J434,"⛔ Bloqueado")&gt;0,"Bloqueado",IF(AND('E6 — Ajustes'!$E434="✔ Concluído",'E6 — Ajustes'!$F434="✔ Concluído",'E6 — Ajustes'!$G434="✔ Concluído",'E6 — Ajustes'!$H434="✔ Concluído",OR('E6 — Ajustes'!$I434="✔ Concluído",'E6 — Ajustes'!$I434="N/A"),'E6 — Ajustes'!$J434="✔ Concluído"),"Concluído",IF(COUNTIF('E6 — Ajustes'!$E434:$J434,"✔ Concluído")+COUNTIF('E6 — Ajustes'!$E434:$J434,"🔄 Em andamento")&gt;0,"Em andamento","Não iniciado"))))))))</f>
        <v/>
      </c>
      <c r="K452" s="229" t="str">
        <f>IF($B452="","",IF($I452&lt;&gt;"Concluído","Não iniciado",IF(AND($J452&lt;&gt;"Concluído",$J452&lt;&gt;"N/A"),"Não iniciado",IF(COUNTIF(Lançamentos!$B$3:$B$1001,$B452)=0,"Bloqueado",IF('E7 — Entrega'!$D434="","Bloqueado",IF(COUNTIF('E7 — Entrega'!$E434:$H434,"⛔ Bloqueado")&gt;0,"Bloqueado",IF(COUNTIF('E7 — Entrega'!$E434:$H434,"✔ Concluído")=4,"Concluído",IF(COUNTIF('E7 — Entrega'!$E434:$H434,"✔ Concluído")+COUNTIF('E7 — Entrega'!$E434:$H434,"🔄 Em andamento")&gt;0,"Em andamento","Não iniciado"))))))))</f>
        <v/>
      </c>
      <c r="L452" s="229" t="str">
        <f>IF($B452="","",IF($K452&lt;&gt;"Concluído","Não iniciado",IF(OR(COUNTIF('E08 — Estabilização Hypercare'!$E434:$J434,"⛔ Bloqueado")&gt;0,'E08 — Estabilização Hypercare'!$N434="⛔ Incidente Crítico — Encerramento Bloqueado",AND('E08 — Estabilização Hypercare'!$N434="🆕 Evolução Identificada — Nova Demanda Aberta",'E08 — Estabilização Hypercare'!$U434="")),"Bloqueado",IF(AND('E08 — Estabilização Hypercare'!$E434="✔ Concluído",'E08 — Estabilização Hypercare'!$F434="✔ Concluído",'E08 — Estabilização Hypercare'!$G434="✔ Concluído",OR('E08 — Estabilização Hypercare'!$H434="✔ Concluído",'E08 — Estabilização Hypercare'!$H434="N/A"),'E08 — Estabilização Hypercare'!$I434="✔ Concluído",'E08 — Estabilização Hypercare'!$J434="✔ Concluído",OR('E08 — Estabilização Hypercare'!$N434="✅ Estável — Demanda Encerrada",AND('E08 — Estabilização Hypercare'!$N434="🆕 Evolução Identificada — Nova Demanda Aberta",'E08 — Estabilização Hypercare'!$U434&lt;&gt;""))),"Concluído",IF(OR(COUNTIF('E08 — Estabilização Hypercare'!$E434:$J434,"✔ Concluído")&gt;0,COUNTIF('E08 — Estabilização Hypercare'!$E434:$J434,"🔄 Em andamento")&gt;0,'E08 — Estabilização Hypercare'!$N434&lt;&gt;""),"Em andamento","Não iniciado")))))</f>
        <v/>
      </c>
      <c r="M452" s="232" t="str" cm="1">
        <f t="array" ref="M452">IF(B452="","",_xlfn.IFS(E452&lt;&gt;"Concluído","E1 — Solicitação",F452&lt;&gt;"Concluído","E2 — Triagem",G452&lt;&gt;"Concluído","E3 — Levantamento ⚠",H452&lt;&gt;"Concluído","E4 — Execução",I452&lt;&gt;"Concluído","E5 — Validação ⚠",AND(J452&lt;&gt;"Concluído",J452&lt;&gt;"N/A"),"E6 — Ajustes",K452&lt;&gt;"Concluído","E7 — Entrega",L452&lt;&gt;"Concluído","E08 — Estabilização / Hypercare",TRUE,"✔ Fluxo concluído"))</f>
        <v/>
      </c>
      <c r="N452" s="233" t="str">
        <f t="shared" si="7"/>
        <v/>
      </c>
      <c r="O452" s="230"/>
    </row>
    <row r="453" spans="2:15" x14ac:dyDescent="0.35">
      <c r="B453" s="229" t="str">
        <f>IF(Lançamentos!$B430="","",Lançamentos!$B430)</f>
        <v/>
      </c>
      <c r="C453" s="231" t="str">
        <f>IF($B453="","",Lançamentos!$J430)</f>
        <v/>
      </c>
      <c r="D453" s="231" t="str">
        <f>IF($B453="","",Lançamentos!$H430)</f>
        <v/>
      </c>
      <c r="E453" s="229" t="str">
        <f>IF($B453="","",IF(COUNTIF(Lançamentos!$B$3:$B$1001,$B453)=0,"Bloqueado",IF(COUNTIF('E1 — Solicitação'!$E435:$L435,"⛔ Bloqueado")&gt;0,"Bloqueado",IF(COUNTIF('E1 — Solicitação'!$E435:$L435,"N/A")=8,"Bloqueado",IF(COUNTIF('E1 — Solicitação'!$E435:$L435,"✔ Concluído")+COUNTIF('E1 — Solicitação'!$E435:$L435,"N/A")=8,"Concluído",IF(COUNTIF('E1 — Solicitação'!$E435:$L435,"✔ Concluído")+COUNTIF('E1 — Solicitação'!$E435:$L435,"🔄 Em andamento")&gt;0,"Em andamento","Não iniciado"))))))</f>
        <v/>
      </c>
      <c r="F453" s="229" t="str">
        <f>IF($B453="","",IF($E453&lt;&gt;"Concluído","Não iniciado",IF(COUNTIF(Lançamentos!$B$3:$B$1001,$B453)=0,"Bloqueado",IF('E2 — Triagem'!$D435="","Bloqueado",IF(COUNTIF('E2 — Triagem'!$E435:$L435,"N/A")=8,"Bloqueado",IF(COUNTIF('E2 — Triagem'!$E435:$L435,"⛔ Bloqueado")&gt;0,"Bloqueado",IF(COUNTIF('E2 — Triagem'!$E435:$L435,"✔ Concluído")+COUNTIF('E2 — Triagem'!$E435:$L435,"N/A")=8,"Concluído",IF(COUNTIF('E2 — Triagem'!$E435:$L435,"✔ Concluído")+COUNTIF('E2 — Triagem'!$E435:$L435,"🔄 Em andamento")&gt;0,"Em andamento","Não iniciado"))))))))</f>
        <v/>
      </c>
      <c r="G453" s="229" t="str">
        <f>IF($B453="","",IF($F453&lt;&gt;"Concluído","Não iniciado",IF(COUNTIF(Lançamentos!$B$3:$B$1001,$B453)=0,"Bloqueado",IF('E3 — Levantamento'!$D435="","Bloqueado",IF(COUNTIF('E3 — Levantamento'!$E435:$I435,"⛔ Bloqueado")&gt;0,"Bloqueado",IF('E3 — Levantamento'!$I435="N/A","Bloqueado",IF(COUNTIF('E3 — Levantamento'!$E435:$I435,"✔ Concluído")=5,"Concluído",IF(COUNTIF('E3 — Levantamento'!$E435:$I435,"✔ Concluído")+COUNTIF('E3 — Levantamento'!$E435:$I435,"🔄 Em andamento")&gt;0,"Em andamento","Não iniciado"))))))))</f>
        <v/>
      </c>
      <c r="H453" s="229" t="str">
        <f>IF($B453="","",IF($G453&lt;&gt;"Concluído","Não iniciado",IF(COUNTIF(Lançamentos!$B$3:$B$1001,$B453)=0,"Bloqueado",IF('E4 — Execução'!$D435="","Bloqueado",IF(COUNTIF('E4 — Execução'!$E435:$K435,"⛔ Bloqueado")&gt;0,"Bloqueado",IF(COUNTIF('E4 — Execução'!$E435:$K435,"✔ Concluído")=7,"Concluído",IF(COUNTIF('E4 — Execução'!$E435:$K435,"✔ Concluído")+COUNTIF('E4 — Execução'!$E435:$K435,"🔄 Em andamento")&gt;0,"Em andamento","Não iniciado")))))))</f>
        <v/>
      </c>
      <c r="I453" s="229" t="str">
        <f>IF($B453="","",IF($H453&lt;&gt;"Concluído","Não iniciado",IF(COUNTIF(Lançamentos!$B$3:$B$1001,$B453)=0,"Bloqueado",IF('E5 — Validação'!$D435="","Bloqueado",IF(COUNTIF('E5 — Validação'!$E435:$I435,"⛔ Bloqueado")&gt;0,"Bloqueado",IF('E5 — Validação'!$I435="N/A","Bloqueado",IF(AND('E5 — Validação'!$E435="✔ Concluído",'E5 — Validação'!$F435="✔ Concluído",OR('E5 — Validação'!$G435="✔ Concluído",'E5 — Validação'!$G435="N/A"),'E5 — Validação'!$H435="✔ Concluído",'E5 — Validação'!$I435="✔ Concluído"),"Concluído",IF(COUNTIF('E5 — Validação'!$E435:$I435,"✔ Concluído")+COUNTIF('E5 — Validação'!$E435:$I435,"🔄 Em andamento")&gt;0,"Em andamento","Não iniciado"))))))))</f>
        <v/>
      </c>
      <c r="J453" s="229" t="str">
        <f>IF($B453="","",IF($I453&lt;&gt;"Concluído","Não iniciado",IF('E6 — Ajustes'!$N435="Não","N/A",IF(COUNTIF(Lançamentos!$B$3:$B$1001,$B453)=0,"Bloqueado",IF('E6 — Ajustes'!$D435="","Bloqueado",IF(COUNTIF('E6 — Ajustes'!$E435:$J435,"⛔ Bloqueado")&gt;0,"Bloqueado",IF(AND('E6 — Ajustes'!$E435="✔ Concluído",'E6 — Ajustes'!$F435="✔ Concluído",'E6 — Ajustes'!$G435="✔ Concluído",'E6 — Ajustes'!$H435="✔ Concluído",OR('E6 — Ajustes'!$I435="✔ Concluído",'E6 — Ajustes'!$I435="N/A"),'E6 — Ajustes'!$J435="✔ Concluído"),"Concluído",IF(COUNTIF('E6 — Ajustes'!$E435:$J435,"✔ Concluído")+COUNTIF('E6 — Ajustes'!$E435:$J435,"🔄 Em andamento")&gt;0,"Em andamento","Não iniciado"))))))))</f>
        <v/>
      </c>
      <c r="K453" s="229" t="str">
        <f>IF($B453="","",IF($I453&lt;&gt;"Concluído","Não iniciado",IF(AND($J453&lt;&gt;"Concluído",$J453&lt;&gt;"N/A"),"Não iniciado",IF(COUNTIF(Lançamentos!$B$3:$B$1001,$B453)=0,"Bloqueado",IF('E7 — Entrega'!$D435="","Bloqueado",IF(COUNTIF('E7 — Entrega'!$E435:$H435,"⛔ Bloqueado")&gt;0,"Bloqueado",IF(COUNTIF('E7 — Entrega'!$E435:$H435,"✔ Concluído")=4,"Concluído",IF(COUNTIF('E7 — Entrega'!$E435:$H435,"✔ Concluído")+COUNTIF('E7 — Entrega'!$E435:$H435,"🔄 Em andamento")&gt;0,"Em andamento","Não iniciado"))))))))</f>
        <v/>
      </c>
      <c r="L453" s="229" t="str">
        <f>IF($B453="","",IF($K453&lt;&gt;"Concluído","Não iniciado",IF(OR(COUNTIF('E08 — Estabilização Hypercare'!$E435:$J435,"⛔ Bloqueado")&gt;0,'E08 — Estabilização Hypercare'!$N435="⛔ Incidente Crítico — Encerramento Bloqueado",AND('E08 — Estabilização Hypercare'!$N435="🆕 Evolução Identificada — Nova Demanda Aberta",'E08 — Estabilização Hypercare'!$U435="")),"Bloqueado",IF(AND('E08 — Estabilização Hypercare'!$E435="✔ Concluído",'E08 — Estabilização Hypercare'!$F435="✔ Concluído",'E08 — Estabilização Hypercare'!$G435="✔ Concluído",OR('E08 — Estabilização Hypercare'!$H435="✔ Concluído",'E08 — Estabilização Hypercare'!$H435="N/A"),'E08 — Estabilização Hypercare'!$I435="✔ Concluído",'E08 — Estabilização Hypercare'!$J435="✔ Concluído",OR('E08 — Estabilização Hypercare'!$N435="✅ Estável — Demanda Encerrada",AND('E08 — Estabilização Hypercare'!$N435="🆕 Evolução Identificada — Nova Demanda Aberta",'E08 — Estabilização Hypercare'!$U435&lt;&gt;""))),"Concluído",IF(OR(COUNTIF('E08 — Estabilização Hypercare'!$E435:$J435,"✔ Concluído")&gt;0,COUNTIF('E08 — Estabilização Hypercare'!$E435:$J435,"🔄 Em andamento")&gt;0,'E08 — Estabilização Hypercare'!$N435&lt;&gt;""),"Em andamento","Não iniciado")))))</f>
        <v/>
      </c>
      <c r="M453" s="232" t="str" cm="1">
        <f t="array" ref="M453">IF(B453="","",_xlfn.IFS(E453&lt;&gt;"Concluído","E1 — Solicitação",F453&lt;&gt;"Concluído","E2 — Triagem",G453&lt;&gt;"Concluído","E3 — Levantamento ⚠",H453&lt;&gt;"Concluído","E4 — Execução",I453&lt;&gt;"Concluído","E5 — Validação ⚠",AND(J453&lt;&gt;"Concluído",J453&lt;&gt;"N/A"),"E6 — Ajustes",K453&lt;&gt;"Concluído","E7 — Entrega",L453&lt;&gt;"Concluído","E08 — Estabilização / Hypercare",TRUE,"✔ Fluxo concluído"))</f>
        <v/>
      </c>
      <c r="N453" s="233" t="str">
        <f t="shared" si="7"/>
        <v/>
      </c>
      <c r="O453" s="230"/>
    </row>
    <row r="454" spans="2:15" x14ac:dyDescent="0.35">
      <c r="B454" s="229" t="str">
        <f>IF(Lançamentos!$B431="","",Lançamentos!$B431)</f>
        <v/>
      </c>
      <c r="C454" s="231" t="str">
        <f>IF($B454="","",Lançamentos!$J431)</f>
        <v/>
      </c>
      <c r="D454" s="231" t="str">
        <f>IF($B454="","",Lançamentos!$H431)</f>
        <v/>
      </c>
      <c r="E454" s="229" t="str">
        <f>IF($B454="","",IF(COUNTIF(Lançamentos!$B$3:$B$1001,$B454)=0,"Bloqueado",IF(COUNTIF('E1 — Solicitação'!$E436:$L436,"⛔ Bloqueado")&gt;0,"Bloqueado",IF(COUNTIF('E1 — Solicitação'!$E436:$L436,"N/A")=8,"Bloqueado",IF(COUNTIF('E1 — Solicitação'!$E436:$L436,"✔ Concluído")+COUNTIF('E1 — Solicitação'!$E436:$L436,"N/A")=8,"Concluído",IF(COUNTIF('E1 — Solicitação'!$E436:$L436,"✔ Concluído")+COUNTIF('E1 — Solicitação'!$E436:$L436,"🔄 Em andamento")&gt;0,"Em andamento","Não iniciado"))))))</f>
        <v/>
      </c>
      <c r="F454" s="229" t="str">
        <f>IF($B454="","",IF($E454&lt;&gt;"Concluído","Não iniciado",IF(COUNTIF(Lançamentos!$B$3:$B$1001,$B454)=0,"Bloqueado",IF('E2 — Triagem'!$D436="","Bloqueado",IF(COUNTIF('E2 — Triagem'!$E436:$L436,"N/A")=8,"Bloqueado",IF(COUNTIF('E2 — Triagem'!$E436:$L436,"⛔ Bloqueado")&gt;0,"Bloqueado",IF(COUNTIF('E2 — Triagem'!$E436:$L436,"✔ Concluído")+COUNTIF('E2 — Triagem'!$E436:$L436,"N/A")=8,"Concluído",IF(COUNTIF('E2 — Triagem'!$E436:$L436,"✔ Concluído")+COUNTIF('E2 — Triagem'!$E436:$L436,"🔄 Em andamento")&gt;0,"Em andamento","Não iniciado"))))))))</f>
        <v/>
      </c>
      <c r="G454" s="229" t="str">
        <f>IF($B454="","",IF($F454&lt;&gt;"Concluído","Não iniciado",IF(COUNTIF(Lançamentos!$B$3:$B$1001,$B454)=0,"Bloqueado",IF('E3 — Levantamento'!$D436="","Bloqueado",IF(COUNTIF('E3 — Levantamento'!$E436:$I436,"⛔ Bloqueado")&gt;0,"Bloqueado",IF('E3 — Levantamento'!$I436="N/A","Bloqueado",IF(COUNTIF('E3 — Levantamento'!$E436:$I436,"✔ Concluído")=5,"Concluído",IF(COUNTIF('E3 — Levantamento'!$E436:$I436,"✔ Concluído")+COUNTIF('E3 — Levantamento'!$E436:$I436,"🔄 Em andamento")&gt;0,"Em andamento","Não iniciado"))))))))</f>
        <v/>
      </c>
      <c r="H454" s="229" t="str">
        <f>IF($B454="","",IF($G454&lt;&gt;"Concluído","Não iniciado",IF(COUNTIF(Lançamentos!$B$3:$B$1001,$B454)=0,"Bloqueado",IF('E4 — Execução'!$D436="","Bloqueado",IF(COUNTIF('E4 — Execução'!$E436:$K436,"⛔ Bloqueado")&gt;0,"Bloqueado",IF(COUNTIF('E4 — Execução'!$E436:$K436,"✔ Concluído")=7,"Concluído",IF(COUNTIF('E4 — Execução'!$E436:$K436,"✔ Concluído")+COUNTIF('E4 — Execução'!$E436:$K436,"🔄 Em andamento")&gt;0,"Em andamento","Não iniciado")))))))</f>
        <v/>
      </c>
      <c r="I454" s="229" t="str">
        <f>IF($B454="","",IF($H454&lt;&gt;"Concluído","Não iniciado",IF(COUNTIF(Lançamentos!$B$3:$B$1001,$B454)=0,"Bloqueado",IF('E5 — Validação'!$D436="","Bloqueado",IF(COUNTIF('E5 — Validação'!$E436:$I436,"⛔ Bloqueado")&gt;0,"Bloqueado",IF('E5 — Validação'!$I436="N/A","Bloqueado",IF(AND('E5 — Validação'!$E436="✔ Concluído",'E5 — Validação'!$F436="✔ Concluído",OR('E5 — Validação'!$G436="✔ Concluído",'E5 — Validação'!$G436="N/A"),'E5 — Validação'!$H436="✔ Concluído",'E5 — Validação'!$I436="✔ Concluído"),"Concluído",IF(COUNTIF('E5 — Validação'!$E436:$I436,"✔ Concluído")+COUNTIF('E5 — Validação'!$E436:$I436,"🔄 Em andamento")&gt;0,"Em andamento","Não iniciado"))))))))</f>
        <v/>
      </c>
      <c r="J454" s="229" t="str">
        <f>IF($B454="","",IF($I454&lt;&gt;"Concluído","Não iniciado",IF('E6 — Ajustes'!$N436="Não","N/A",IF(COUNTIF(Lançamentos!$B$3:$B$1001,$B454)=0,"Bloqueado",IF('E6 — Ajustes'!$D436="","Bloqueado",IF(COUNTIF('E6 — Ajustes'!$E436:$J436,"⛔ Bloqueado")&gt;0,"Bloqueado",IF(AND('E6 — Ajustes'!$E436="✔ Concluído",'E6 — Ajustes'!$F436="✔ Concluído",'E6 — Ajustes'!$G436="✔ Concluído",'E6 — Ajustes'!$H436="✔ Concluído",OR('E6 — Ajustes'!$I436="✔ Concluído",'E6 — Ajustes'!$I436="N/A"),'E6 — Ajustes'!$J436="✔ Concluído"),"Concluído",IF(COUNTIF('E6 — Ajustes'!$E436:$J436,"✔ Concluído")+COUNTIF('E6 — Ajustes'!$E436:$J436,"🔄 Em andamento")&gt;0,"Em andamento","Não iniciado"))))))))</f>
        <v/>
      </c>
      <c r="K454" s="229" t="str">
        <f>IF($B454="","",IF($I454&lt;&gt;"Concluído","Não iniciado",IF(AND($J454&lt;&gt;"Concluído",$J454&lt;&gt;"N/A"),"Não iniciado",IF(COUNTIF(Lançamentos!$B$3:$B$1001,$B454)=0,"Bloqueado",IF('E7 — Entrega'!$D436="","Bloqueado",IF(COUNTIF('E7 — Entrega'!$E436:$H436,"⛔ Bloqueado")&gt;0,"Bloqueado",IF(COUNTIF('E7 — Entrega'!$E436:$H436,"✔ Concluído")=4,"Concluído",IF(COUNTIF('E7 — Entrega'!$E436:$H436,"✔ Concluído")+COUNTIF('E7 — Entrega'!$E436:$H436,"🔄 Em andamento")&gt;0,"Em andamento","Não iniciado"))))))))</f>
        <v/>
      </c>
      <c r="L454" s="229" t="str">
        <f>IF($B454="","",IF($K454&lt;&gt;"Concluído","Não iniciado",IF(OR(COUNTIF('E08 — Estabilização Hypercare'!$E436:$J436,"⛔ Bloqueado")&gt;0,'E08 — Estabilização Hypercare'!$N436="⛔ Incidente Crítico — Encerramento Bloqueado",AND('E08 — Estabilização Hypercare'!$N436="🆕 Evolução Identificada — Nova Demanda Aberta",'E08 — Estabilização Hypercare'!$U436="")),"Bloqueado",IF(AND('E08 — Estabilização Hypercare'!$E436="✔ Concluído",'E08 — Estabilização Hypercare'!$F436="✔ Concluído",'E08 — Estabilização Hypercare'!$G436="✔ Concluído",OR('E08 — Estabilização Hypercare'!$H436="✔ Concluído",'E08 — Estabilização Hypercare'!$H436="N/A"),'E08 — Estabilização Hypercare'!$I436="✔ Concluído",'E08 — Estabilização Hypercare'!$J436="✔ Concluído",OR('E08 — Estabilização Hypercare'!$N436="✅ Estável — Demanda Encerrada",AND('E08 — Estabilização Hypercare'!$N436="🆕 Evolução Identificada — Nova Demanda Aberta",'E08 — Estabilização Hypercare'!$U436&lt;&gt;""))),"Concluído",IF(OR(COUNTIF('E08 — Estabilização Hypercare'!$E436:$J436,"✔ Concluído")&gt;0,COUNTIF('E08 — Estabilização Hypercare'!$E436:$J436,"🔄 Em andamento")&gt;0,'E08 — Estabilização Hypercare'!$N436&lt;&gt;""),"Em andamento","Não iniciado")))))</f>
        <v/>
      </c>
      <c r="M454" s="232" t="str" cm="1">
        <f t="array" ref="M454">IF(B454="","",_xlfn.IFS(E454&lt;&gt;"Concluído","E1 — Solicitação",F454&lt;&gt;"Concluído","E2 — Triagem",G454&lt;&gt;"Concluído","E3 — Levantamento ⚠",H454&lt;&gt;"Concluído","E4 — Execução",I454&lt;&gt;"Concluído","E5 — Validação ⚠",AND(J454&lt;&gt;"Concluído",J454&lt;&gt;"N/A"),"E6 — Ajustes",K454&lt;&gt;"Concluído","E7 — Entrega",L454&lt;&gt;"Concluído","E08 — Estabilização / Hypercare",TRUE,"✔ Fluxo concluído"))</f>
        <v/>
      </c>
      <c r="N454" s="233" t="str">
        <f t="shared" si="7"/>
        <v/>
      </c>
      <c r="O454" s="230"/>
    </row>
    <row r="455" spans="2:15" x14ac:dyDescent="0.35">
      <c r="B455" s="229" t="str">
        <f>IF(Lançamentos!$B432="","",Lançamentos!$B432)</f>
        <v/>
      </c>
      <c r="C455" s="231" t="str">
        <f>IF($B455="","",Lançamentos!$J432)</f>
        <v/>
      </c>
      <c r="D455" s="231" t="str">
        <f>IF($B455="","",Lançamentos!$H432)</f>
        <v/>
      </c>
      <c r="E455" s="229" t="str">
        <f>IF($B455="","",IF(COUNTIF(Lançamentos!$B$3:$B$1001,$B455)=0,"Bloqueado",IF(COUNTIF('E1 — Solicitação'!$E437:$L437,"⛔ Bloqueado")&gt;0,"Bloqueado",IF(COUNTIF('E1 — Solicitação'!$E437:$L437,"N/A")=8,"Bloqueado",IF(COUNTIF('E1 — Solicitação'!$E437:$L437,"✔ Concluído")+COUNTIF('E1 — Solicitação'!$E437:$L437,"N/A")=8,"Concluído",IF(COUNTIF('E1 — Solicitação'!$E437:$L437,"✔ Concluído")+COUNTIF('E1 — Solicitação'!$E437:$L437,"🔄 Em andamento")&gt;0,"Em andamento","Não iniciado"))))))</f>
        <v/>
      </c>
      <c r="F455" s="229" t="str">
        <f>IF($B455="","",IF($E455&lt;&gt;"Concluído","Não iniciado",IF(COUNTIF(Lançamentos!$B$3:$B$1001,$B455)=0,"Bloqueado",IF('E2 — Triagem'!$D437="","Bloqueado",IF(COUNTIF('E2 — Triagem'!$E437:$L437,"N/A")=8,"Bloqueado",IF(COUNTIF('E2 — Triagem'!$E437:$L437,"⛔ Bloqueado")&gt;0,"Bloqueado",IF(COUNTIF('E2 — Triagem'!$E437:$L437,"✔ Concluído")+COUNTIF('E2 — Triagem'!$E437:$L437,"N/A")=8,"Concluído",IF(COUNTIF('E2 — Triagem'!$E437:$L437,"✔ Concluído")+COUNTIF('E2 — Triagem'!$E437:$L437,"🔄 Em andamento")&gt;0,"Em andamento","Não iniciado"))))))))</f>
        <v/>
      </c>
      <c r="G455" s="229" t="str">
        <f>IF($B455="","",IF($F455&lt;&gt;"Concluído","Não iniciado",IF(COUNTIF(Lançamentos!$B$3:$B$1001,$B455)=0,"Bloqueado",IF('E3 — Levantamento'!$D437="","Bloqueado",IF(COUNTIF('E3 — Levantamento'!$E437:$I437,"⛔ Bloqueado")&gt;0,"Bloqueado",IF('E3 — Levantamento'!$I437="N/A","Bloqueado",IF(COUNTIF('E3 — Levantamento'!$E437:$I437,"✔ Concluído")=5,"Concluído",IF(COUNTIF('E3 — Levantamento'!$E437:$I437,"✔ Concluído")+COUNTIF('E3 — Levantamento'!$E437:$I437,"🔄 Em andamento")&gt;0,"Em andamento","Não iniciado"))))))))</f>
        <v/>
      </c>
      <c r="H455" s="229" t="str">
        <f>IF($B455="","",IF($G455&lt;&gt;"Concluído","Não iniciado",IF(COUNTIF(Lançamentos!$B$3:$B$1001,$B455)=0,"Bloqueado",IF('E4 — Execução'!$D437="","Bloqueado",IF(COUNTIF('E4 — Execução'!$E437:$K437,"⛔ Bloqueado")&gt;0,"Bloqueado",IF(COUNTIF('E4 — Execução'!$E437:$K437,"✔ Concluído")=7,"Concluído",IF(COUNTIF('E4 — Execução'!$E437:$K437,"✔ Concluído")+COUNTIF('E4 — Execução'!$E437:$K437,"🔄 Em andamento")&gt;0,"Em andamento","Não iniciado")))))))</f>
        <v/>
      </c>
      <c r="I455" s="229" t="str">
        <f>IF($B455="","",IF($H455&lt;&gt;"Concluído","Não iniciado",IF(COUNTIF(Lançamentos!$B$3:$B$1001,$B455)=0,"Bloqueado",IF('E5 — Validação'!$D437="","Bloqueado",IF(COUNTIF('E5 — Validação'!$E437:$I437,"⛔ Bloqueado")&gt;0,"Bloqueado",IF('E5 — Validação'!$I437="N/A","Bloqueado",IF(AND('E5 — Validação'!$E437="✔ Concluído",'E5 — Validação'!$F437="✔ Concluído",OR('E5 — Validação'!$G437="✔ Concluído",'E5 — Validação'!$G437="N/A"),'E5 — Validação'!$H437="✔ Concluído",'E5 — Validação'!$I437="✔ Concluído"),"Concluído",IF(COUNTIF('E5 — Validação'!$E437:$I437,"✔ Concluído")+COUNTIF('E5 — Validação'!$E437:$I437,"🔄 Em andamento")&gt;0,"Em andamento","Não iniciado"))))))))</f>
        <v/>
      </c>
      <c r="J455" s="229" t="str">
        <f>IF($B455="","",IF($I455&lt;&gt;"Concluído","Não iniciado",IF('E6 — Ajustes'!$N437="Não","N/A",IF(COUNTIF(Lançamentos!$B$3:$B$1001,$B455)=0,"Bloqueado",IF('E6 — Ajustes'!$D437="","Bloqueado",IF(COUNTIF('E6 — Ajustes'!$E437:$J437,"⛔ Bloqueado")&gt;0,"Bloqueado",IF(AND('E6 — Ajustes'!$E437="✔ Concluído",'E6 — Ajustes'!$F437="✔ Concluído",'E6 — Ajustes'!$G437="✔ Concluído",'E6 — Ajustes'!$H437="✔ Concluído",OR('E6 — Ajustes'!$I437="✔ Concluído",'E6 — Ajustes'!$I437="N/A"),'E6 — Ajustes'!$J437="✔ Concluído"),"Concluído",IF(COUNTIF('E6 — Ajustes'!$E437:$J437,"✔ Concluído")+COUNTIF('E6 — Ajustes'!$E437:$J437,"🔄 Em andamento")&gt;0,"Em andamento","Não iniciado"))))))))</f>
        <v/>
      </c>
      <c r="K455" s="229" t="str">
        <f>IF($B455="","",IF($I455&lt;&gt;"Concluído","Não iniciado",IF(AND($J455&lt;&gt;"Concluído",$J455&lt;&gt;"N/A"),"Não iniciado",IF(COUNTIF(Lançamentos!$B$3:$B$1001,$B455)=0,"Bloqueado",IF('E7 — Entrega'!$D437="","Bloqueado",IF(COUNTIF('E7 — Entrega'!$E437:$H437,"⛔ Bloqueado")&gt;0,"Bloqueado",IF(COUNTIF('E7 — Entrega'!$E437:$H437,"✔ Concluído")=4,"Concluído",IF(COUNTIF('E7 — Entrega'!$E437:$H437,"✔ Concluído")+COUNTIF('E7 — Entrega'!$E437:$H437,"🔄 Em andamento")&gt;0,"Em andamento","Não iniciado"))))))))</f>
        <v/>
      </c>
      <c r="L455" s="229" t="str">
        <f>IF($B455="","",IF($K455&lt;&gt;"Concluído","Não iniciado",IF(OR(COUNTIF('E08 — Estabilização Hypercare'!$E437:$J437,"⛔ Bloqueado")&gt;0,'E08 — Estabilização Hypercare'!$N437="⛔ Incidente Crítico — Encerramento Bloqueado",AND('E08 — Estabilização Hypercare'!$N437="🆕 Evolução Identificada — Nova Demanda Aberta",'E08 — Estabilização Hypercare'!$U437="")),"Bloqueado",IF(AND('E08 — Estabilização Hypercare'!$E437="✔ Concluído",'E08 — Estabilização Hypercare'!$F437="✔ Concluído",'E08 — Estabilização Hypercare'!$G437="✔ Concluído",OR('E08 — Estabilização Hypercare'!$H437="✔ Concluído",'E08 — Estabilização Hypercare'!$H437="N/A"),'E08 — Estabilização Hypercare'!$I437="✔ Concluído",'E08 — Estabilização Hypercare'!$J437="✔ Concluído",OR('E08 — Estabilização Hypercare'!$N437="✅ Estável — Demanda Encerrada",AND('E08 — Estabilização Hypercare'!$N437="🆕 Evolução Identificada — Nova Demanda Aberta",'E08 — Estabilização Hypercare'!$U437&lt;&gt;""))),"Concluído",IF(OR(COUNTIF('E08 — Estabilização Hypercare'!$E437:$J437,"✔ Concluído")&gt;0,COUNTIF('E08 — Estabilização Hypercare'!$E437:$J437,"🔄 Em andamento")&gt;0,'E08 — Estabilização Hypercare'!$N437&lt;&gt;""),"Em andamento","Não iniciado")))))</f>
        <v/>
      </c>
      <c r="M455" s="232" t="str" cm="1">
        <f t="array" ref="M455">IF(B455="","",_xlfn.IFS(E455&lt;&gt;"Concluído","E1 — Solicitação",F455&lt;&gt;"Concluído","E2 — Triagem",G455&lt;&gt;"Concluído","E3 — Levantamento ⚠",H455&lt;&gt;"Concluído","E4 — Execução",I455&lt;&gt;"Concluído","E5 — Validação ⚠",AND(J455&lt;&gt;"Concluído",J455&lt;&gt;"N/A"),"E6 — Ajustes",K455&lt;&gt;"Concluído","E7 — Entrega",L455&lt;&gt;"Concluído","E08 — Estabilização / Hypercare",TRUE,"✔ Fluxo concluído"))</f>
        <v/>
      </c>
      <c r="N455" s="233" t="str">
        <f t="shared" si="7"/>
        <v/>
      </c>
      <c r="O455" s="230"/>
    </row>
    <row r="456" spans="2:15" x14ac:dyDescent="0.35">
      <c r="B456" s="229" t="str">
        <f>IF(Lançamentos!$B433="","",Lançamentos!$B433)</f>
        <v/>
      </c>
      <c r="C456" s="231" t="str">
        <f>IF($B456="","",Lançamentos!$J433)</f>
        <v/>
      </c>
      <c r="D456" s="231" t="str">
        <f>IF($B456="","",Lançamentos!$H433)</f>
        <v/>
      </c>
      <c r="E456" s="229" t="str">
        <f>IF($B456="","",IF(COUNTIF(Lançamentos!$B$3:$B$1001,$B456)=0,"Bloqueado",IF(COUNTIF('E1 — Solicitação'!$E438:$L438,"⛔ Bloqueado")&gt;0,"Bloqueado",IF(COUNTIF('E1 — Solicitação'!$E438:$L438,"N/A")=8,"Bloqueado",IF(COUNTIF('E1 — Solicitação'!$E438:$L438,"✔ Concluído")+COUNTIF('E1 — Solicitação'!$E438:$L438,"N/A")=8,"Concluído",IF(COUNTIF('E1 — Solicitação'!$E438:$L438,"✔ Concluído")+COUNTIF('E1 — Solicitação'!$E438:$L438,"🔄 Em andamento")&gt;0,"Em andamento","Não iniciado"))))))</f>
        <v/>
      </c>
      <c r="F456" s="229" t="str">
        <f>IF($B456="","",IF($E456&lt;&gt;"Concluído","Não iniciado",IF(COUNTIF(Lançamentos!$B$3:$B$1001,$B456)=0,"Bloqueado",IF('E2 — Triagem'!$D438="","Bloqueado",IF(COUNTIF('E2 — Triagem'!$E438:$L438,"N/A")=8,"Bloqueado",IF(COUNTIF('E2 — Triagem'!$E438:$L438,"⛔ Bloqueado")&gt;0,"Bloqueado",IF(COUNTIF('E2 — Triagem'!$E438:$L438,"✔ Concluído")+COUNTIF('E2 — Triagem'!$E438:$L438,"N/A")=8,"Concluído",IF(COUNTIF('E2 — Triagem'!$E438:$L438,"✔ Concluído")+COUNTIF('E2 — Triagem'!$E438:$L438,"🔄 Em andamento")&gt;0,"Em andamento","Não iniciado"))))))))</f>
        <v/>
      </c>
      <c r="G456" s="229" t="str">
        <f>IF($B456="","",IF($F456&lt;&gt;"Concluído","Não iniciado",IF(COUNTIF(Lançamentos!$B$3:$B$1001,$B456)=0,"Bloqueado",IF('E3 — Levantamento'!$D438="","Bloqueado",IF(COUNTIF('E3 — Levantamento'!$E438:$I438,"⛔ Bloqueado")&gt;0,"Bloqueado",IF('E3 — Levantamento'!$I438="N/A","Bloqueado",IF(COUNTIF('E3 — Levantamento'!$E438:$I438,"✔ Concluído")=5,"Concluído",IF(COUNTIF('E3 — Levantamento'!$E438:$I438,"✔ Concluído")+COUNTIF('E3 — Levantamento'!$E438:$I438,"🔄 Em andamento")&gt;0,"Em andamento","Não iniciado"))))))))</f>
        <v/>
      </c>
      <c r="H456" s="229" t="str">
        <f>IF($B456="","",IF($G456&lt;&gt;"Concluído","Não iniciado",IF(COUNTIF(Lançamentos!$B$3:$B$1001,$B456)=0,"Bloqueado",IF('E4 — Execução'!$D438="","Bloqueado",IF(COUNTIF('E4 — Execução'!$E438:$K438,"⛔ Bloqueado")&gt;0,"Bloqueado",IF(COUNTIF('E4 — Execução'!$E438:$K438,"✔ Concluído")=7,"Concluído",IF(COUNTIF('E4 — Execução'!$E438:$K438,"✔ Concluído")+COUNTIF('E4 — Execução'!$E438:$K438,"🔄 Em andamento")&gt;0,"Em andamento","Não iniciado")))))))</f>
        <v/>
      </c>
      <c r="I456" s="229" t="str">
        <f>IF($B456="","",IF($H456&lt;&gt;"Concluído","Não iniciado",IF(COUNTIF(Lançamentos!$B$3:$B$1001,$B456)=0,"Bloqueado",IF('E5 — Validação'!$D438="","Bloqueado",IF(COUNTIF('E5 — Validação'!$E438:$I438,"⛔ Bloqueado")&gt;0,"Bloqueado",IF('E5 — Validação'!$I438="N/A","Bloqueado",IF(AND('E5 — Validação'!$E438="✔ Concluído",'E5 — Validação'!$F438="✔ Concluído",OR('E5 — Validação'!$G438="✔ Concluído",'E5 — Validação'!$G438="N/A"),'E5 — Validação'!$H438="✔ Concluído",'E5 — Validação'!$I438="✔ Concluído"),"Concluído",IF(COUNTIF('E5 — Validação'!$E438:$I438,"✔ Concluído")+COUNTIF('E5 — Validação'!$E438:$I438,"🔄 Em andamento")&gt;0,"Em andamento","Não iniciado"))))))))</f>
        <v/>
      </c>
      <c r="J456" s="229" t="str">
        <f>IF($B456="","",IF($I456&lt;&gt;"Concluído","Não iniciado",IF('E6 — Ajustes'!$N438="Não","N/A",IF(COUNTIF(Lançamentos!$B$3:$B$1001,$B456)=0,"Bloqueado",IF('E6 — Ajustes'!$D438="","Bloqueado",IF(COUNTIF('E6 — Ajustes'!$E438:$J438,"⛔ Bloqueado")&gt;0,"Bloqueado",IF(AND('E6 — Ajustes'!$E438="✔ Concluído",'E6 — Ajustes'!$F438="✔ Concluído",'E6 — Ajustes'!$G438="✔ Concluído",'E6 — Ajustes'!$H438="✔ Concluído",OR('E6 — Ajustes'!$I438="✔ Concluído",'E6 — Ajustes'!$I438="N/A"),'E6 — Ajustes'!$J438="✔ Concluído"),"Concluído",IF(COUNTIF('E6 — Ajustes'!$E438:$J438,"✔ Concluído")+COUNTIF('E6 — Ajustes'!$E438:$J438,"🔄 Em andamento")&gt;0,"Em andamento","Não iniciado"))))))))</f>
        <v/>
      </c>
      <c r="K456" s="229" t="str">
        <f>IF($B456="","",IF($I456&lt;&gt;"Concluído","Não iniciado",IF(AND($J456&lt;&gt;"Concluído",$J456&lt;&gt;"N/A"),"Não iniciado",IF(COUNTIF(Lançamentos!$B$3:$B$1001,$B456)=0,"Bloqueado",IF('E7 — Entrega'!$D438="","Bloqueado",IF(COUNTIF('E7 — Entrega'!$E438:$H438,"⛔ Bloqueado")&gt;0,"Bloqueado",IF(COUNTIF('E7 — Entrega'!$E438:$H438,"✔ Concluído")=4,"Concluído",IF(COUNTIF('E7 — Entrega'!$E438:$H438,"✔ Concluído")+COUNTIF('E7 — Entrega'!$E438:$H438,"🔄 Em andamento")&gt;0,"Em andamento","Não iniciado"))))))))</f>
        <v/>
      </c>
      <c r="L456" s="229" t="str">
        <f>IF($B456="","",IF($K456&lt;&gt;"Concluído","Não iniciado",IF(OR(COUNTIF('E08 — Estabilização Hypercare'!$E438:$J438,"⛔ Bloqueado")&gt;0,'E08 — Estabilização Hypercare'!$N438="⛔ Incidente Crítico — Encerramento Bloqueado",AND('E08 — Estabilização Hypercare'!$N438="🆕 Evolução Identificada — Nova Demanda Aberta",'E08 — Estabilização Hypercare'!$U438="")),"Bloqueado",IF(AND('E08 — Estabilização Hypercare'!$E438="✔ Concluído",'E08 — Estabilização Hypercare'!$F438="✔ Concluído",'E08 — Estabilização Hypercare'!$G438="✔ Concluído",OR('E08 — Estabilização Hypercare'!$H438="✔ Concluído",'E08 — Estabilização Hypercare'!$H438="N/A"),'E08 — Estabilização Hypercare'!$I438="✔ Concluído",'E08 — Estabilização Hypercare'!$J438="✔ Concluído",OR('E08 — Estabilização Hypercare'!$N438="✅ Estável — Demanda Encerrada",AND('E08 — Estabilização Hypercare'!$N438="🆕 Evolução Identificada — Nova Demanda Aberta",'E08 — Estabilização Hypercare'!$U438&lt;&gt;""))),"Concluído",IF(OR(COUNTIF('E08 — Estabilização Hypercare'!$E438:$J438,"✔ Concluído")&gt;0,COUNTIF('E08 — Estabilização Hypercare'!$E438:$J438,"🔄 Em andamento")&gt;0,'E08 — Estabilização Hypercare'!$N438&lt;&gt;""),"Em andamento","Não iniciado")))))</f>
        <v/>
      </c>
      <c r="M456" s="232" t="str" cm="1">
        <f t="array" ref="M456">IF(B456="","",_xlfn.IFS(E456&lt;&gt;"Concluído","E1 — Solicitação",F456&lt;&gt;"Concluído","E2 — Triagem",G456&lt;&gt;"Concluído","E3 — Levantamento ⚠",H456&lt;&gt;"Concluído","E4 — Execução",I456&lt;&gt;"Concluído","E5 — Validação ⚠",AND(J456&lt;&gt;"Concluído",J456&lt;&gt;"N/A"),"E6 — Ajustes",K456&lt;&gt;"Concluído","E7 — Entrega",L456&lt;&gt;"Concluído","E08 — Estabilização / Hypercare",TRUE,"✔ Fluxo concluído"))</f>
        <v/>
      </c>
      <c r="N456" s="233" t="str">
        <f t="shared" si="7"/>
        <v/>
      </c>
      <c r="O456" s="230"/>
    </row>
    <row r="457" spans="2:15" x14ac:dyDescent="0.35">
      <c r="B457" s="229" t="str">
        <f>IF(Lançamentos!$B434="","",Lançamentos!$B434)</f>
        <v/>
      </c>
      <c r="C457" s="231" t="str">
        <f>IF($B457="","",Lançamentos!$J434)</f>
        <v/>
      </c>
      <c r="D457" s="231" t="str">
        <f>IF($B457="","",Lançamentos!$H434)</f>
        <v/>
      </c>
      <c r="E457" s="229" t="str">
        <f>IF($B457="","",IF(COUNTIF(Lançamentos!$B$3:$B$1001,$B457)=0,"Bloqueado",IF(COUNTIF('E1 — Solicitação'!$E439:$L439,"⛔ Bloqueado")&gt;0,"Bloqueado",IF(COUNTIF('E1 — Solicitação'!$E439:$L439,"N/A")=8,"Bloqueado",IF(COUNTIF('E1 — Solicitação'!$E439:$L439,"✔ Concluído")+COUNTIF('E1 — Solicitação'!$E439:$L439,"N/A")=8,"Concluído",IF(COUNTIF('E1 — Solicitação'!$E439:$L439,"✔ Concluído")+COUNTIF('E1 — Solicitação'!$E439:$L439,"🔄 Em andamento")&gt;0,"Em andamento","Não iniciado"))))))</f>
        <v/>
      </c>
      <c r="F457" s="229" t="str">
        <f>IF($B457="","",IF($E457&lt;&gt;"Concluído","Não iniciado",IF(COUNTIF(Lançamentos!$B$3:$B$1001,$B457)=0,"Bloqueado",IF('E2 — Triagem'!$D439="","Bloqueado",IF(COUNTIF('E2 — Triagem'!$E439:$L439,"N/A")=8,"Bloqueado",IF(COUNTIF('E2 — Triagem'!$E439:$L439,"⛔ Bloqueado")&gt;0,"Bloqueado",IF(COUNTIF('E2 — Triagem'!$E439:$L439,"✔ Concluído")+COUNTIF('E2 — Triagem'!$E439:$L439,"N/A")=8,"Concluído",IF(COUNTIF('E2 — Triagem'!$E439:$L439,"✔ Concluído")+COUNTIF('E2 — Triagem'!$E439:$L439,"🔄 Em andamento")&gt;0,"Em andamento","Não iniciado"))))))))</f>
        <v/>
      </c>
      <c r="G457" s="229" t="str">
        <f>IF($B457="","",IF($F457&lt;&gt;"Concluído","Não iniciado",IF(COUNTIF(Lançamentos!$B$3:$B$1001,$B457)=0,"Bloqueado",IF('E3 — Levantamento'!$D439="","Bloqueado",IF(COUNTIF('E3 — Levantamento'!$E439:$I439,"⛔ Bloqueado")&gt;0,"Bloqueado",IF('E3 — Levantamento'!$I439="N/A","Bloqueado",IF(COUNTIF('E3 — Levantamento'!$E439:$I439,"✔ Concluído")=5,"Concluído",IF(COUNTIF('E3 — Levantamento'!$E439:$I439,"✔ Concluído")+COUNTIF('E3 — Levantamento'!$E439:$I439,"🔄 Em andamento")&gt;0,"Em andamento","Não iniciado"))))))))</f>
        <v/>
      </c>
      <c r="H457" s="229" t="str">
        <f>IF($B457="","",IF($G457&lt;&gt;"Concluído","Não iniciado",IF(COUNTIF(Lançamentos!$B$3:$B$1001,$B457)=0,"Bloqueado",IF('E4 — Execução'!$D439="","Bloqueado",IF(COUNTIF('E4 — Execução'!$E439:$K439,"⛔ Bloqueado")&gt;0,"Bloqueado",IF(COUNTIF('E4 — Execução'!$E439:$K439,"✔ Concluído")=7,"Concluído",IF(COUNTIF('E4 — Execução'!$E439:$K439,"✔ Concluído")+COUNTIF('E4 — Execução'!$E439:$K439,"🔄 Em andamento")&gt;0,"Em andamento","Não iniciado")))))))</f>
        <v/>
      </c>
      <c r="I457" s="229" t="str">
        <f>IF($B457="","",IF($H457&lt;&gt;"Concluído","Não iniciado",IF(COUNTIF(Lançamentos!$B$3:$B$1001,$B457)=0,"Bloqueado",IF('E5 — Validação'!$D439="","Bloqueado",IF(COUNTIF('E5 — Validação'!$E439:$I439,"⛔ Bloqueado")&gt;0,"Bloqueado",IF('E5 — Validação'!$I439="N/A","Bloqueado",IF(AND('E5 — Validação'!$E439="✔ Concluído",'E5 — Validação'!$F439="✔ Concluído",OR('E5 — Validação'!$G439="✔ Concluído",'E5 — Validação'!$G439="N/A"),'E5 — Validação'!$H439="✔ Concluído",'E5 — Validação'!$I439="✔ Concluído"),"Concluído",IF(COUNTIF('E5 — Validação'!$E439:$I439,"✔ Concluído")+COUNTIF('E5 — Validação'!$E439:$I439,"🔄 Em andamento")&gt;0,"Em andamento","Não iniciado"))))))))</f>
        <v/>
      </c>
      <c r="J457" s="229" t="str">
        <f>IF($B457="","",IF($I457&lt;&gt;"Concluído","Não iniciado",IF('E6 — Ajustes'!$N439="Não","N/A",IF(COUNTIF(Lançamentos!$B$3:$B$1001,$B457)=0,"Bloqueado",IF('E6 — Ajustes'!$D439="","Bloqueado",IF(COUNTIF('E6 — Ajustes'!$E439:$J439,"⛔ Bloqueado")&gt;0,"Bloqueado",IF(AND('E6 — Ajustes'!$E439="✔ Concluído",'E6 — Ajustes'!$F439="✔ Concluído",'E6 — Ajustes'!$G439="✔ Concluído",'E6 — Ajustes'!$H439="✔ Concluído",OR('E6 — Ajustes'!$I439="✔ Concluído",'E6 — Ajustes'!$I439="N/A"),'E6 — Ajustes'!$J439="✔ Concluído"),"Concluído",IF(COUNTIF('E6 — Ajustes'!$E439:$J439,"✔ Concluído")+COUNTIF('E6 — Ajustes'!$E439:$J439,"🔄 Em andamento")&gt;0,"Em andamento","Não iniciado"))))))))</f>
        <v/>
      </c>
      <c r="K457" s="229" t="str">
        <f>IF($B457="","",IF($I457&lt;&gt;"Concluído","Não iniciado",IF(AND($J457&lt;&gt;"Concluído",$J457&lt;&gt;"N/A"),"Não iniciado",IF(COUNTIF(Lançamentos!$B$3:$B$1001,$B457)=0,"Bloqueado",IF('E7 — Entrega'!$D439="","Bloqueado",IF(COUNTIF('E7 — Entrega'!$E439:$H439,"⛔ Bloqueado")&gt;0,"Bloqueado",IF(COUNTIF('E7 — Entrega'!$E439:$H439,"✔ Concluído")=4,"Concluído",IF(COUNTIF('E7 — Entrega'!$E439:$H439,"✔ Concluído")+COUNTIF('E7 — Entrega'!$E439:$H439,"🔄 Em andamento")&gt;0,"Em andamento","Não iniciado"))))))))</f>
        <v/>
      </c>
      <c r="L457" s="229" t="str">
        <f>IF($B457="","",IF($K457&lt;&gt;"Concluído","Não iniciado",IF(OR(COUNTIF('E08 — Estabilização Hypercare'!$E439:$J439,"⛔ Bloqueado")&gt;0,'E08 — Estabilização Hypercare'!$N439="⛔ Incidente Crítico — Encerramento Bloqueado",AND('E08 — Estabilização Hypercare'!$N439="🆕 Evolução Identificada — Nova Demanda Aberta",'E08 — Estabilização Hypercare'!$U439="")),"Bloqueado",IF(AND('E08 — Estabilização Hypercare'!$E439="✔ Concluído",'E08 — Estabilização Hypercare'!$F439="✔ Concluído",'E08 — Estabilização Hypercare'!$G439="✔ Concluído",OR('E08 — Estabilização Hypercare'!$H439="✔ Concluído",'E08 — Estabilização Hypercare'!$H439="N/A"),'E08 — Estabilização Hypercare'!$I439="✔ Concluído",'E08 — Estabilização Hypercare'!$J439="✔ Concluído",OR('E08 — Estabilização Hypercare'!$N439="✅ Estável — Demanda Encerrada",AND('E08 — Estabilização Hypercare'!$N439="🆕 Evolução Identificada — Nova Demanda Aberta",'E08 — Estabilização Hypercare'!$U439&lt;&gt;""))),"Concluído",IF(OR(COUNTIF('E08 — Estabilização Hypercare'!$E439:$J439,"✔ Concluído")&gt;0,COUNTIF('E08 — Estabilização Hypercare'!$E439:$J439,"🔄 Em andamento")&gt;0,'E08 — Estabilização Hypercare'!$N439&lt;&gt;""),"Em andamento","Não iniciado")))))</f>
        <v/>
      </c>
      <c r="M457" s="232" t="str" cm="1">
        <f t="array" ref="M457">IF(B457="","",_xlfn.IFS(E457&lt;&gt;"Concluído","E1 — Solicitação",F457&lt;&gt;"Concluído","E2 — Triagem",G457&lt;&gt;"Concluído","E3 — Levantamento ⚠",H457&lt;&gt;"Concluído","E4 — Execução",I457&lt;&gt;"Concluído","E5 — Validação ⚠",AND(J457&lt;&gt;"Concluído",J457&lt;&gt;"N/A"),"E6 — Ajustes",K457&lt;&gt;"Concluído","E7 — Entrega",L457&lt;&gt;"Concluído","E08 — Estabilização / Hypercare",TRUE,"✔ Fluxo concluído"))</f>
        <v/>
      </c>
      <c r="N457" s="233" t="str">
        <f t="shared" si="7"/>
        <v/>
      </c>
      <c r="O457" s="230"/>
    </row>
    <row r="458" spans="2:15" x14ac:dyDescent="0.35">
      <c r="B458" s="229" t="str">
        <f>IF(Lançamentos!$B435="","",Lançamentos!$B435)</f>
        <v/>
      </c>
      <c r="C458" s="231" t="str">
        <f>IF($B458="","",Lançamentos!$J435)</f>
        <v/>
      </c>
      <c r="D458" s="231" t="str">
        <f>IF($B458="","",Lançamentos!$H435)</f>
        <v/>
      </c>
      <c r="E458" s="229" t="str">
        <f>IF($B458="","",IF(COUNTIF(Lançamentos!$B$3:$B$1001,$B458)=0,"Bloqueado",IF(COUNTIF('E1 — Solicitação'!$E440:$L440,"⛔ Bloqueado")&gt;0,"Bloqueado",IF(COUNTIF('E1 — Solicitação'!$E440:$L440,"N/A")=8,"Bloqueado",IF(COUNTIF('E1 — Solicitação'!$E440:$L440,"✔ Concluído")+COUNTIF('E1 — Solicitação'!$E440:$L440,"N/A")=8,"Concluído",IF(COUNTIF('E1 — Solicitação'!$E440:$L440,"✔ Concluído")+COUNTIF('E1 — Solicitação'!$E440:$L440,"🔄 Em andamento")&gt;0,"Em andamento","Não iniciado"))))))</f>
        <v/>
      </c>
      <c r="F458" s="229" t="str">
        <f>IF($B458="","",IF($E458&lt;&gt;"Concluído","Não iniciado",IF(COUNTIF(Lançamentos!$B$3:$B$1001,$B458)=0,"Bloqueado",IF('E2 — Triagem'!$D440="","Bloqueado",IF(COUNTIF('E2 — Triagem'!$E440:$L440,"N/A")=8,"Bloqueado",IF(COUNTIF('E2 — Triagem'!$E440:$L440,"⛔ Bloqueado")&gt;0,"Bloqueado",IF(COUNTIF('E2 — Triagem'!$E440:$L440,"✔ Concluído")+COUNTIF('E2 — Triagem'!$E440:$L440,"N/A")=8,"Concluído",IF(COUNTIF('E2 — Triagem'!$E440:$L440,"✔ Concluído")+COUNTIF('E2 — Triagem'!$E440:$L440,"🔄 Em andamento")&gt;0,"Em andamento","Não iniciado"))))))))</f>
        <v/>
      </c>
      <c r="G458" s="229" t="str">
        <f>IF($B458="","",IF($F458&lt;&gt;"Concluído","Não iniciado",IF(COUNTIF(Lançamentos!$B$3:$B$1001,$B458)=0,"Bloqueado",IF('E3 — Levantamento'!$D440="","Bloqueado",IF(COUNTIF('E3 — Levantamento'!$E440:$I440,"⛔ Bloqueado")&gt;0,"Bloqueado",IF('E3 — Levantamento'!$I440="N/A","Bloqueado",IF(COUNTIF('E3 — Levantamento'!$E440:$I440,"✔ Concluído")=5,"Concluído",IF(COUNTIF('E3 — Levantamento'!$E440:$I440,"✔ Concluído")+COUNTIF('E3 — Levantamento'!$E440:$I440,"🔄 Em andamento")&gt;0,"Em andamento","Não iniciado"))))))))</f>
        <v/>
      </c>
      <c r="H458" s="229" t="str">
        <f>IF($B458="","",IF($G458&lt;&gt;"Concluído","Não iniciado",IF(COUNTIF(Lançamentos!$B$3:$B$1001,$B458)=0,"Bloqueado",IF('E4 — Execução'!$D440="","Bloqueado",IF(COUNTIF('E4 — Execução'!$E440:$K440,"⛔ Bloqueado")&gt;0,"Bloqueado",IF(COUNTIF('E4 — Execução'!$E440:$K440,"✔ Concluído")=7,"Concluído",IF(COUNTIF('E4 — Execução'!$E440:$K440,"✔ Concluído")+COUNTIF('E4 — Execução'!$E440:$K440,"🔄 Em andamento")&gt;0,"Em andamento","Não iniciado")))))))</f>
        <v/>
      </c>
      <c r="I458" s="229" t="str">
        <f>IF($B458="","",IF($H458&lt;&gt;"Concluído","Não iniciado",IF(COUNTIF(Lançamentos!$B$3:$B$1001,$B458)=0,"Bloqueado",IF('E5 — Validação'!$D440="","Bloqueado",IF(COUNTIF('E5 — Validação'!$E440:$I440,"⛔ Bloqueado")&gt;0,"Bloqueado",IF('E5 — Validação'!$I440="N/A","Bloqueado",IF(AND('E5 — Validação'!$E440="✔ Concluído",'E5 — Validação'!$F440="✔ Concluído",OR('E5 — Validação'!$G440="✔ Concluído",'E5 — Validação'!$G440="N/A"),'E5 — Validação'!$H440="✔ Concluído",'E5 — Validação'!$I440="✔ Concluído"),"Concluído",IF(COUNTIF('E5 — Validação'!$E440:$I440,"✔ Concluído")+COUNTIF('E5 — Validação'!$E440:$I440,"🔄 Em andamento")&gt;0,"Em andamento","Não iniciado"))))))))</f>
        <v/>
      </c>
      <c r="J458" s="229" t="str">
        <f>IF($B458="","",IF($I458&lt;&gt;"Concluído","Não iniciado",IF('E6 — Ajustes'!$N440="Não","N/A",IF(COUNTIF(Lançamentos!$B$3:$B$1001,$B458)=0,"Bloqueado",IF('E6 — Ajustes'!$D440="","Bloqueado",IF(COUNTIF('E6 — Ajustes'!$E440:$J440,"⛔ Bloqueado")&gt;0,"Bloqueado",IF(AND('E6 — Ajustes'!$E440="✔ Concluído",'E6 — Ajustes'!$F440="✔ Concluído",'E6 — Ajustes'!$G440="✔ Concluído",'E6 — Ajustes'!$H440="✔ Concluído",OR('E6 — Ajustes'!$I440="✔ Concluído",'E6 — Ajustes'!$I440="N/A"),'E6 — Ajustes'!$J440="✔ Concluído"),"Concluído",IF(COUNTIF('E6 — Ajustes'!$E440:$J440,"✔ Concluído")+COUNTIF('E6 — Ajustes'!$E440:$J440,"🔄 Em andamento")&gt;0,"Em andamento","Não iniciado"))))))))</f>
        <v/>
      </c>
      <c r="K458" s="229" t="str">
        <f>IF($B458="","",IF($I458&lt;&gt;"Concluído","Não iniciado",IF(AND($J458&lt;&gt;"Concluído",$J458&lt;&gt;"N/A"),"Não iniciado",IF(COUNTIF(Lançamentos!$B$3:$B$1001,$B458)=0,"Bloqueado",IF('E7 — Entrega'!$D440="","Bloqueado",IF(COUNTIF('E7 — Entrega'!$E440:$H440,"⛔ Bloqueado")&gt;0,"Bloqueado",IF(COUNTIF('E7 — Entrega'!$E440:$H440,"✔ Concluído")=4,"Concluído",IF(COUNTIF('E7 — Entrega'!$E440:$H440,"✔ Concluído")+COUNTIF('E7 — Entrega'!$E440:$H440,"🔄 Em andamento")&gt;0,"Em andamento","Não iniciado"))))))))</f>
        <v/>
      </c>
      <c r="L458" s="229" t="str">
        <f>IF($B458="","",IF($K458&lt;&gt;"Concluído","Não iniciado",IF(OR(COUNTIF('E08 — Estabilização Hypercare'!$E440:$J440,"⛔ Bloqueado")&gt;0,'E08 — Estabilização Hypercare'!$N440="⛔ Incidente Crítico — Encerramento Bloqueado",AND('E08 — Estabilização Hypercare'!$N440="🆕 Evolução Identificada — Nova Demanda Aberta",'E08 — Estabilização Hypercare'!$U440="")),"Bloqueado",IF(AND('E08 — Estabilização Hypercare'!$E440="✔ Concluído",'E08 — Estabilização Hypercare'!$F440="✔ Concluído",'E08 — Estabilização Hypercare'!$G440="✔ Concluído",OR('E08 — Estabilização Hypercare'!$H440="✔ Concluído",'E08 — Estabilização Hypercare'!$H440="N/A"),'E08 — Estabilização Hypercare'!$I440="✔ Concluído",'E08 — Estabilização Hypercare'!$J440="✔ Concluído",OR('E08 — Estabilização Hypercare'!$N440="✅ Estável — Demanda Encerrada",AND('E08 — Estabilização Hypercare'!$N440="🆕 Evolução Identificada — Nova Demanda Aberta",'E08 — Estabilização Hypercare'!$U440&lt;&gt;""))),"Concluído",IF(OR(COUNTIF('E08 — Estabilização Hypercare'!$E440:$J440,"✔ Concluído")&gt;0,COUNTIF('E08 — Estabilização Hypercare'!$E440:$J440,"🔄 Em andamento")&gt;0,'E08 — Estabilização Hypercare'!$N440&lt;&gt;""),"Em andamento","Não iniciado")))))</f>
        <v/>
      </c>
      <c r="M458" s="232" t="str" cm="1">
        <f t="array" ref="M458">IF(B458="","",_xlfn.IFS(E458&lt;&gt;"Concluído","E1 — Solicitação",F458&lt;&gt;"Concluído","E2 — Triagem",G458&lt;&gt;"Concluído","E3 — Levantamento ⚠",H458&lt;&gt;"Concluído","E4 — Execução",I458&lt;&gt;"Concluído","E5 — Validação ⚠",AND(J458&lt;&gt;"Concluído",J458&lt;&gt;"N/A"),"E6 — Ajustes",K458&lt;&gt;"Concluído","E7 — Entrega",L458&lt;&gt;"Concluído","E08 — Estabilização / Hypercare",TRUE,"✔ Fluxo concluído"))</f>
        <v/>
      </c>
      <c r="N458" s="233" t="str">
        <f t="shared" si="7"/>
        <v/>
      </c>
      <c r="O458" s="230"/>
    </row>
    <row r="459" spans="2:15" x14ac:dyDescent="0.35">
      <c r="B459" s="229" t="str">
        <f>IF(Lançamentos!$B436="","",Lançamentos!$B436)</f>
        <v/>
      </c>
      <c r="C459" s="231" t="str">
        <f>IF($B459="","",Lançamentos!$J436)</f>
        <v/>
      </c>
      <c r="D459" s="231" t="str">
        <f>IF($B459="","",Lançamentos!$H436)</f>
        <v/>
      </c>
      <c r="E459" s="229" t="str">
        <f>IF($B459="","",IF(COUNTIF(Lançamentos!$B$3:$B$1001,$B459)=0,"Bloqueado",IF(COUNTIF('E1 — Solicitação'!$E441:$L441,"⛔ Bloqueado")&gt;0,"Bloqueado",IF(COUNTIF('E1 — Solicitação'!$E441:$L441,"N/A")=8,"Bloqueado",IF(COUNTIF('E1 — Solicitação'!$E441:$L441,"✔ Concluído")+COUNTIF('E1 — Solicitação'!$E441:$L441,"N/A")=8,"Concluído",IF(COUNTIF('E1 — Solicitação'!$E441:$L441,"✔ Concluído")+COUNTIF('E1 — Solicitação'!$E441:$L441,"🔄 Em andamento")&gt;0,"Em andamento","Não iniciado"))))))</f>
        <v/>
      </c>
      <c r="F459" s="229" t="str">
        <f>IF($B459="","",IF($E459&lt;&gt;"Concluído","Não iniciado",IF(COUNTIF(Lançamentos!$B$3:$B$1001,$B459)=0,"Bloqueado",IF('E2 — Triagem'!$D441="","Bloqueado",IF(COUNTIF('E2 — Triagem'!$E441:$L441,"N/A")=8,"Bloqueado",IF(COUNTIF('E2 — Triagem'!$E441:$L441,"⛔ Bloqueado")&gt;0,"Bloqueado",IF(COUNTIF('E2 — Triagem'!$E441:$L441,"✔ Concluído")+COUNTIF('E2 — Triagem'!$E441:$L441,"N/A")=8,"Concluído",IF(COUNTIF('E2 — Triagem'!$E441:$L441,"✔ Concluído")+COUNTIF('E2 — Triagem'!$E441:$L441,"🔄 Em andamento")&gt;0,"Em andamento","Não iniciado"))))))))</f>
        <v/>
      </c>
      <c r="G459" s="229" t="str">
        <f>IF($B459="","",IF($F459&lt;&gt;"Concluído","Não iniciado",IF(COUNTIF(Lançamentos!$B$3:$B$1001,$B459)=0,"Bloqueado",IF('E3 — Levantamento'!$D441="","Bloqueado",IF(COUNTIF('E3 — Levantamento'!$E441:$I441,"⛔ Bloqueado")&gt;0,"Bloqueado",IF('E3 — Levantamento'!$I441="N/A","Bloqueado",IF(COUNTIF('E3 — Levantamento'!$E441:$I441,"✔ Concluído")=5,"Concluído",IF(COUNTIF('E3 — Levantamento'!$E441:$I441,"✔ Concluído")+COUNTIF('E3 — Levantamento'!$E441:$I441,"🔄 Em andamento")&gt;0,"Em andamento","Não iniciado"))))))))</f>
        <v/>
      </c>
      <c r="H459" s="229" t="str">
        <f>IF($B459="","",IF($G459&lt;&gt;"Concluído","Não iniciado",IF(COUNTIF(Lançamentos!$B$3:$B$1001,$B459)=0,"Bloqueado",IF('E4 — Execução'!$D441="","Bloqueado",IF(COUNTIF('E4 — Execução'!$E441:$K441,"⛔ Bloqueado")&gt;0,"Bloqueado",IF(COUNTIF('E4 — Execução'!$E441:$K441,"✔ Concluído")=7,"Concluído",IF(COUNTIF('E4 — Execução'!$E441:$K441,"✔ Concluído")+COUNTIF('E4 — Execução'!$E441:$K441,"🔄 Em andamento")&gt;0,"Em andamento","Não iniciado")))))))</f>
        <v/>
      </c>
      <c r="I459" s="229" t="str">
        <f>IF($B459="","",IF($H459&lt;&gt;"Concluído","Não iniciado",IF(COUNTIF(Lançamentos!$B$3:$B$1001,$B459)=0,"Bloqueado",IF('E5 — Validação'!$D441="","Bloqueado",IF(COUNTIF('E5 — Validação'!$E441:$I441,"⛔ Bloqueado")&gt;0,"Bloqueado",IF('E5 — Validação'!$I441="N/A","Bloqueado",IF(AND('E5 — Validação'!$E441="✔ Concluído",'E5 — Validação'!$F441="✔ Concluído",OR('E5 — Validação'!$G441="✔ Concluído",'E5 — Validação'!$G441="N/A"),'E5 — Validação'!$H441="✔ Concluído",'E5 — Validação'!$I441="✔ Concluído"),"Concluído",IF(COUNTIF('E5 — Validação'!$E441:$I441,"✔ Concluído")+COUNTIF('E5 — Validação'!$E441:$I441,"🔄 Em andamento")&gt;0,"Em andamento","Não iniciado"))))))))</f>
        <v/>
      </c>
      <c r="J459" s="229" t="str">
        <f>IF($B459="","",IF($I459&lt;&gt;"Concluído","Não iniciado",IF('E6 — Ajustes'!$N441="Não","N/A",IF(COUNTIF(Lançamentos!$B$3:$B$1001,$B459)=0,"Bloqueado",IF('E6 — Ajustes'!$D441="","Bloqueado",IF(COUNTIF('E6 — Ajustes'!$E441:$J441,"⛔ Bloqueado")&gt;0,"Bloqueado",IF(AND('E6 — Ajustes'!$E441="✔ Concluído",'E6 — Ajustes'!$F441="✔ Concluído",'E6 — Ajustes'!$G441="✔ Concluído",'E6 — Ajustes'!$H441="✔ Concluído",OR('E6 — Ajustes'!$I441="✔ Concluído",'E6 — Ajustes'!$I441="N/A"),'E6 — Ajustes'!$J441="✔ Concluído"),"Concluído",IF(COUNTIF('E6 — Ajustes'!$E441:$J441,"✔ Concluído")+COUNTIF('E6 — Ajustes'!$E441:$J441,"🔄 Em andamento")&gt;0,"Em andamento","Não iniciado"))))))))</f>
        <v/>
      </c>
      <c r="K459" s="229" t="str">
        <f>IF($B459="","",IF($I459&lt;&gt;"Concluído","Não iniciado",IF(AND($J459&lt;&gt;"Concluído",$J459&lt;&gt;"N/A"),"Não iniciado",IF(COUNTIF(Lançamentos!$B$3:$B$1001,$B459)=0,"Bloqueado",IF('E7 — Entrega'!$D441="","Bloqueado",IF(COUNTIF('E7 — Entrega'!$E441:$H441,"⛔ Bloqueado")&gt;0,"Bloqueado",IF(COUNTIF('E7 — Entrega'!$E441:$H441,"✔ Concluído")=4,"Concluído",IF(COUNTIF('E7 — Entrega'!$E441:$H441,"✔ Concluído")+COUNTIF('E7 — Entrega'!$E441:$H441,"🔄 Em andamento")&gt;0,"Em andamento","Não iniciado"))))))))</f>
        <v/>
      </c>
      <c r="L459" s="229" t="str">
        <f>IF($B459="","",IF($K459&lt;&gt;"Concluído","Não iniciado",IF(OR(COUNTIF('E08 — Estabilização Hypercare'!$E441:$J441,"⛔ Bloqueado")&gt;0,'E08 — Estabilização Hypercare'!$N441="⛔ Incidente Crítico — Encerramento Bloqueado",AND('E08 — Estabilização Hypercare'!$N441="🆕 Evolução Identificada — Nova Demanda Aberta",'E08 — Estabilização Hypercare'!$U441="")),"Bloqueado",IF(AND('E08 — Estabilização Hypercare'!$E441="✔ Concluído",'E08 — Estabilização Hypercare'!$F441="✔ Concluído",'E08 — Estabilização Hypercare'!$G441="✔ Concluído",OR('E08 — Estabilização Hypercare'!$H441="✔ Concluído",'E08 — Estabilização Hypercare'!$H441="N/A"),'E08 — Estabilização Hypercare'!$I441="✔ Concluído",'E08 — Estabilização Hypercare'!$J441="✔ Concluído",OR('E08 — Estabilização Hypercare'!$N441="✅ Estável — Demanda Encerrada",AND('E08 — Estabilização Hypercare'!$N441="🆕 Evolução Identificada — Nova Demanda Aberta",'E08 — Estabilização Hypercare'!$U441&lt;&gt;""))),"Concluído",IF(OR(COUNTIF('E08 — Estabilização Hypercare'!$E441:$J441,"✔ Concluído")&gt;0,COUNTIF('E08 — Estabilização Hypercare'!$E441:$J441,"🔄 Em andamento")&gt;0,'E08 — Estabilização Hypercare'!$N441&lt;&gt;""),"Em andamento","Não iniciado")))))</f>
        <v/>
      </c>
      <c r="M459" s="232" t="str" cm="1">
        <f t="array" ref="M459">IF(B459="","",_xlfn.IFS(E459&lt;&gt;"Concluído","E1 — Solicitação",F459&lt;&gt;"Concluído","E2 — Triagem",G459&lt;&gt;"Concluído","E3 — Levantamento ⚠",H459&lt;&gt;"Concluído","E4 — Execução",I459&lt;&gt;"Concluído","E5 — Validação ⚠",AND(J459&lt;&gt;"Concluído",J459&lt;&gt;"N/A"),"E6 — Ajustes",K459&lt;&gt;"Concluído","E7 — Entrega",L459&lt;&gt;"Concluído","E08 — Estabilização / Hypercare",TRUE,"✔ Fluxo concluído"))</f>
        <v/>
      </c>
      <c r="N459" s="233" t="str">
        <f t="shared" si="7"/>
        <v/>
      </c>
      <c r="O459" s="230"/>
    </row>
    <row r="460" spans="2:15" x14ac:dyDescent="0.35">
      <c r="B460" s="229" t="str">
        <f>IF(Lançamentos!$B437="","",Lançamentos!$B437)</f>
        <v/>
      </c>
      <c r="C460" s="231" t="str">
        <f>IF($B460="","",Lançamentos!$J437)</f>
        <v/>
      </c>
      <c r="D460" s="231" t="str">
        <f>IF($B460="","",Lançamentos!$H437)</f>
        <v/>
      </c>
      <c r="E460" s="229" t="str">
        <f>IF($B460="","",IF(COUNTIF(Lançamentos!$B$3:$B$1001,$B460)=0,"Bloqueado",IF(COUNTIF('E1 — Solicitação'!$E442:$L442,"⛔ Bloqueado")&gt;0,"Bloqueado",IF(COUNTIF('E1 — Solicitação'!$E442:$L442,"N/A")=8,"Bloqueado",IF(COUNTIF('E1 — Solicitação'!$E442:$L442,"✔ Concluído")+COUNTIF('E1 — Solicitação'!$E442:$L442,"N/A")=8,"Concluído",IF(COUNTIF('E1 — Solicitação'!$E442:$L442,"✔ Concluído")+COUNTIF('E1 — Solicitação'!$E442:$L442,"🔄 Em andamento")&gt;0,"Em andamento","Não iniciado"))))))</f>
        <v/>
      </c>
      <c r="F460" s="229" t="str">
        <f>IF($B460="","",IF($E460&lt;&gt;"Concluído","Não iniciado",IF(COUNTIF(Lançamentos!$B$3:$B$1001,$B460)=0,"Bloqueado",IF('E2 — Triagem'!$D442="","Bloqueado",IF(COUNTIF('E2 — Triagem'!$E442:$L442,"N/A")=8,"Bloqueado",IF(COUNTIF('E2 — Triagem'!$E442:$L442,"⛔ Bloqueado")&gt;0,"Bloqueado",IF(COUNTIF('E2 — Triagem'!$E442:$L442,"✔ Concluído")+COUNTIF('E2 — Triagem'!$E442:$L442,"N/A")=8,"Concluído",IF(COUNTIF('E2 — Triagem'!$E442:$L442,"✔ Concluído")+COUNTIF('E2 — Triagem'!$E442:$L442,"🔄 Em andamento")&gt;0,"Em andamento","Não iniciado"))))))))</f>
        <v/>
      </c>
      <c r="G460" s="229" t="str">
        <f>IF($B460="","",IF($F460&lt;&gt;"Concluído","Não iniciado",IF(COUNTIF(Lançamentos!$B$3:$B$1001,$B460)=0,"Bloqueado",IF('E3 — Levantamento'!$D442="","Bloqueado",IF(COUNTIF('E3 — Levantamento'!$E442:$I442,"⛔ Bloqueado")&gt;0,"Bloqueado",IF('E3 — Levantamento'!$I442="N/A","Bloqueado",IF(COUNTIF('E3 — Levantamento'!$E442:$I442,"✔ Concluído")=5,"Concluído",IF(COUNTIF('E3 — Levantamento'!$E442:$I442,"✔ Concluído")+COUNTIF('E3 — Levantamento'!$E442:$I442,"🔄 Em andamento")&gt;0,"Em andamento","Não iniciado"))))))))</f>
        <v/>
      </c>
      <c r="H460" s="229" t="str">
        <f>IF($B460="","",IF($G460&lt;&gt;"Concluído","Não iniciado",IF(COUNTIF(Lançamentos!$B$3:$B$1001,$B460)=0,"Bloqueado",IF('E4 — Execução'!$D442="","Bloqueado",IF(COUNTIF('E4 — Execução'!$E442:$K442,"⛔ Bloqueado")&gt;0,"Bloqueado",IF(COUNTIF('E4 — Execução'!$E442:$K442,"✔ Concluído")=7,"Concluído",IF(COUNTIF('E4 — Execução'!$E442:$K442,"✔ Concluído")+COUNTIF('E4 — Execução'!$E442:$K442,"🔄 Em andamento")&gt;0,"Em andamento","Não iniciado")))))))</f>
        <v/>
      </c>
      <c r="I460" s="229" t="str">
        <f>IF($B460="","",IF($H460&lt;&gt;"Concluído","Não iniciado",IF(COUNTIF(Lançamentos!$B$3:$B$1001,$B460)=0,"Bloqueado",IF('E5 — Validação'!$D442="","Bloqueado",IF(COUNTIF('E5 — Validação'!$E442:$I442,"⛔ Bloqueado")&gt;0,"Bloqueado",IF('E5 — Validação'!$I442="N/A","Bloqueado",IF(AND('E5 — Validação'!$E442="✔ Concluído",'E5 — Validação'!$F442="✔ Concluído",OR('E5 — Validação'!$G442="✔ Concluído",'E5 — Validação'!$G442="N/A"),'E5 — Validação'!$H442="✔ Concluído",'E5 — Validação'!$I442="✔ Concluído"),"Concluído",IF(COUNTIF('E5 — Validação'!$E442:$I442,"✔ Concluído")+COUNTIF('E5 — Validação'!$E442:$I442,"🔄 Em andamento")&gt;0,"Em andamento","Não iniciado"))))))))</f>
        <v/>
      </c>
      <c r="J460" s="229" t="str">
        <f>IF($B460="","",IF($I460&lt;&gt;"Concluído","Não iniciado",IF('E6 — Ajustes'!$N442="Não","N/A",IF(COUNTIF(Lançamentos!$B$3:$B$1001,$B460)=0,"Bloqueado",IF('E6 — Ajustes'!$D442="","Bloqueado",IF(COUNTIF('E6 — Ajustes'!$E442:$J442,"⛔ Bloqueado")&gt;0,"Bloqueado",IF(AND('E6 — Ajustes'!$E442="✔ Concluído",'E6 — Ajustes'!$F442="✔ Concluído",'E6 — Ajustes'!$G442="✔ Concluído",'E6 — Ajustes'!$H442="✔ Concluído",OR('E6 — Ajustes'!$I442="✔ Concluído",'E6 — Ajustes'!$I442="N/A"),'E6 — Ajustes'!$J442="✔ Concluído"),"Concluído",IF(COUNTIF('E6 — Ajustes'!$E442:$J442,"✔ Concluído")+COUNTIF('E6 — Ajustes'!$E442:$J442,"🔄 Em andamento")&gt;0,"Em andamento","Não iniciado"))))))))</f>
        <v/>
      </c>
      <c r="K460" s="229" t="str">
        <f>IF($B460="","",IF($I460&lt;&gt;"Concluído","Não iniciado",IF(AND($J460&lt;&gt;"Concluído",$J460&lt;&gt;"N/A"),"Não iniciado",IF(COUNTIF(Lançamentos!$B$3:$B$1001,$B460)=0,"Bloqueado",IF('E7 — Entrega'!$D442="","Bloqueado",IF(COUNTIF('E7 — Entrega'!$E442:$H442,"⛔ Bloqueado")&gt;0,"Bloqueado",IF(COUNTIF('E7 — Entrega'!$E442:$H442,"✔ Concluído")=4,"Concluído",IF(COUNTIF('E7 — Entrega'!$E442:$H442,"✔ Concluído")+COUNTIF('E7 — Entrega'!$E442:$H442,"🔄 Em andamento")&gt;0,"Em andamento","Não iniciado"))))))))</f>
        <v/>
      </c>
      <c r="L460" s="229" t="str">
        <f>IF($B460="","",IF($K460&lt;&gt;"Concluído","Não iniciado",IF(OR(COUNTIF('E08 — Estabilização Hypercare'!$E442:$J442,"⛔ Bloqueado")&gt;0,'E08 — Estabilização Hypercare'!$N442="⛔ Incidente Crítico — Encerramento Bloqueado",AND('E08 — Estabilização Hypercare'!$N442="🆕 Evolução Identificada — Nova Demanda Aberta",'E08 — Estabilização Hypercare'!$U442="")),"Bloqueado",IF(AND('E08 — Estabilização Hypercare'!$E442="✔ Concluído",'E08 — Estabilização Hypercare'!$F442="✔ Concluído",'E08 — Estabilização Hypercare'!$G442="✔ Concluído",OR('E08 — Estabilização Hypercare'!$H442="✔ Concluído",'E08 — Estabilização Hypercare'!$H442="N/A"),'E08 — Estabilização Hypercare'!$I442="✔ Concluído",'E08 — Estabilização Hypercare'!$J442="✔ Concluído",OR('E08 — Estabilização Hypercare'!$N442="✅ Estável — Demanda Encerrada",AND('E08 — Estabilização Hypercare'!$N442="🆕 Evolução Identificada — Nova Demanda Aberta",'E08 — Estabilização Hypercare'!$U442&lt;&gt;""))),"Concluído",IF(OR(COUNTIF('E08 — Estabilização Hypercare'!$E442:$J442,"✔ Concluído")&gt;0,COUNTIF('E08 — Estabilização Hypercare'!$E442:$J442,"🔄 Em andamento")&gt;0,'E08 — Estabilização Hypercare'!$N442&lt;&gt;""),"Em andamento","Não iniciado")))))</f>
        <v/>
      </c>
      <c r="M460" s="232" t="str" cm="1">
        <f t="array" ref="M460">IF(B460="","",_xlfn.IFS(E460&lt;&gt;"Concluído","E1 — Solicitação",F460&lt;&gt;"Concluído","E2 — Triagem",G460&lt;&gt;"Concluído","E3 — Levantamento ⚠",H460&lt;&gt;"Concluído","E4 — Execução",I460&lt;&gt;"Concluído","E5 — Validação ⚠",AND(J460&lt;&gt;"Concluído",J460&lt;&gt;"N/A"),"E6 — Ajustes",K460&lt;&gt;"Concluído","E7 — Entrega",L460&lt;&gt;"Concluído","E08 — Estabilização / Hypercare",TRUE,"✔ Fluxo concluído"))</f>
        <v/>
      </c>
      <c r="N460" s="233" t="str">
        <f t="shared" si="7"/>
        <v/>
      </c>
      <c r="O460" s="230"/>
    </row>
    <row r="461" spans="2:15" x14ac:dyDescent="0.35">
      <c r="B461" s="229" t="str">
        <f>IF(Lançamentos!$B438="","",Lançamentos!$B438)</f>
        <v/>
      </c>
      <c r="C461" s="231" t="str">
        <f>IF($B461="","",Lançamentos!$J438)</f>
        <v/>
      </c>
      <c r="D461" s="231" t="str">
        <f>IF($B461="","",Lançamentos!$H438)</f>
        <v/>
      </c>
      <c r="E461" s="229" t="str">
        <f>IF($B461="","",IF(COUNTIF(Lançamentos!$B$3:$B$1001,$B461)=0,"Bloqueado",IF(COUNTIF('E1 — Solicitação'!$E443:$L443,"⛔ Bloqueado")&gt;0,"Bloqueado",IF(COUNTIF('E1 — Solicitação'!$E443:$L443,"N/A")=8,"Bloqueado",IF(COUNTIF('E1 — Solicitação'!$E443:$L443,"✔ Concluído")+COUNTIF('E1 — Solicitação'!$E443:$L443,"N/A")=8,"Concluído",IF(COUNTIF('E1 — Solicitação'!$E443:$L443,"✔ Concluído")+COUNTIF('E1 — Solicitação'!$E443:$L443,"🔄 Em andamento")&gt;0,"Em andamento","Não iniciado"))))))</f>
        <v/>
      </c>
      <c r="F461" s="229" t="str">
        <f>IF($B461="","",IF($E461&lt;&gt;"Concluído","Não iniciado",IF(COUNTIF(Lançamentos!$B$3:$B$1001,$B461)=0,"Bloqueado",IF('E2 — Triagem'!$D443="","Bloqueado",IF(COUNTIF('E2 — Triagem'!$E443:$L443,"N/A")=8,"Bloqueado",IF(COUNTIF('E2 — Triagem'!$E443:$L443,"⛔ Bloqueado")&gt;0,"Bloqueado",IF(COUNTIF('E2 — Triagem'!$E443:$L443,"✔ Concluído")+COUNTIF('E2 — Triagem'!$E443:$L443,"N/A")=8,"Concluído",IF(COUNTIF('E2 — Triagem'!$E443:$L443,"✔ Concluído")+COUNTIF('E2 — Triagem'!$E443:$L443,"🔄 Em andamento")&gt;0,"Em andamento","Não iniciado"))))))))</f>
        <v/>
      </c>
      <c r="G461" s="229" t="str">
        <f>IF($B461="","",IF($F461&lt;&gt;"Concluído","Não iniciado",IF(COUNTIF(Lançamentos!$B$3:$B$1001,$B461)=0,"Bloqueado",IF('E3 — Levantamento'!$D443="","Bloqueado",IF(COUNTIF('E3 — Levantamento'!$E443:$I443,"⛔ Bloqueado")&gt;0,"Bloqueado",IF('E3 — Levantamento'!$I443="N/A","Bloqueado",IF(COUNTIF('E3 — Levantamento'!$E443:$I443,"✔ Concluído")=5,"Concluído",IF(COUNTIF('E3 — Levantamento'!$E443:$I443,"✔ Concluído")+COUNTIF('E3 — Levantamento'!$E443:$I443,"🔄 Em andamento")&gt;0,"Em andamento","Não iniciado"))))))))</f>
        <v/>
      </c>
      <c r="H461" s="229" t="str">
        <f>IF($B461="","",IF($G461&lt;&gt;"Concluído","Não iniciado",IF(COUNTIF(Lançamentos!$B$3:$B$1001,$B461)=0,"Bloqueado",IF('E4 — Execução'!$D443="","Bloqueado",IF(COUNTIF('E4 — Execução'!$E443:$K443,"⛔ Bloqueado")&gt;0,"Bloqueado",IF(COUNTIF('E4 — Execução'!$E443:$K443,"✔ Concluído")=7,"Concluído",IF(COUNTIF('E4 — Execução'!$E443:$K443,"✔ Concluído")+COUNTIF('E4 — Execução'!$E443:$K443,"🔄 Em andamento")&gt;0,"Em andamento","Não iniciado")))))))</f>
        <v/>
      </c>
      <c r="I461" s="229" t="str">
        <f>IF($B461="","",IF($H461&lt;&gt;"Concluído","Não iniciado",IF(COUNTIF(Lançamentos!$B$3:$B$1001,$B461)=0,"Bloqueado",IF('E5 — Validação'!$D443="","Bloqueado",IF(COUNTIF('E5 — Validação'!$E443:$I443,"⛔ Bloqueado")&gt;0,"Bloqueado",IF('E5 — Validação'!$I443="N/A","Bloqueado",IF(AND('E5 — Validação'!$E443="✔ Concluído",'E5 — Validação'!$F443="✔ Concluído",OR('E5 — Validação'!$G443="✔ Concluído",'E5 — Validação'!$G443="N/A"),'E5 — Validação'!$H443="✔ Concluído",'E5 — Validação'!$I443="✔ Concluído"),"Concluído",IF(COUNTIF('E5 — Validação'!$E443:$I443,"✔ Concluído")+COUNTIF('E5 — Validação'!$E443:$I443,"🔄 Em andamento")&gt;0,"Em andamento","Não iniciado"))))))))</f>
        <v/>
      </c>
      <c r="J461" s="229" t="str">
        <f>IF($B461="","",IF($I461&lt;&gt;"Concluído","Não iniciado",IF('E6 — Ajustes'!$N443="Não","N/A",IF(COUNTIF(Lançamentos!$B$3:$B$1001,$B461)=0,"Bloqueado",IF('E6 — Ajustes'!$D443="","Bloqueado",IF(COUNTIF('E6 — Ajustes'!$E443:$J443,"⛔ Bloqueado")&gt;0,"Bloqueado",IF(AND('E6 — Ajustes'!$E443="✔ Concluído",'E6 — Ajustes'!$F443="✔ Concluído",'E6 — Ajustes'!$G443="✔ Concluído",'E6 — Ajustes'!$H443="✔ Concluído",OR('E6 — Ajustes'!$I443="✔ Concluído",'E6 — Ajustes'!$I443="N/A"),'E6 — Ajustes'!$J443="✔ Concluído"),"Concluído",IF(COUNTIF('E6 — Ajustes'!$E443:$J443,"✔ Concluído")+COUNTIF('E6 — Ajustes'!$E443:$J443,"🔄 Em andamento")&gt;0,"Em andamento","Não iniciado"))))))))</f>
        <v/>
      </c>
      <c r="K461" s="229" t="str">
        <f>IF($B461="","",IF($I461&lt;&gt;"Concluído","Não iniciado",IF(AND($J461&lt;&gt;"Concluído",$J461&lt;&gt;"N/A"),"Não iniciado",IF(COUNTIF(Lançamentos!$B$3:$B$1001,$B461)=0,"Bloqueado",IF('E7 — Entrega'!$D443="","Bloqueado",IF(COUNTIF('E7 — Entrega'!$E443:$H443,"⛔ Bloqueado")&gt;0,"Bloqueado",IF(COUNTIF('E7 — Entrega'!$E443:$H443,"✔ Concluído")=4,"Concluído",IF(COUNTIF('E7 — Entrega'!$E443:$H443,"✔ Concluído")+COUNTIF('E7 — Entrega'!$E443:$H443,"🔄 Em andamento")&gt;0,"Em andamento","Não iniciado"))))))))</f>
        <v/>
      </c>
      <c r="L461" s="229" t="str">
        <f>IF($B461="","",IF($K461&lt;&gt;"Concluído","Não iniciado",IF(OR(COUNTIF('E08 — Estabilização Hypercare'!$E443:$J443,"⛔ Bloqueado")&gt;0,'E08 — Estabilização Hypercare'!$N443="⛔ Incidente Crítico — Encerramento Bloqueado",AND('E08 — Estabilização Hypercare'!$N443="🆕 Evolução Identificada — Nova Demanda Aberta",'E08 — Estabilização Hypercare'!$U443="")),"Bloqueado",IF(AND('E08 — Estabilização Hypercare'!$E443="✔ Concluído",'E08 — Estabilização Hypercare'!$F443="✔ Concluído",'E08 — Estabilização Hypercare'!$G443="✔ Concluído",OR('E08 — Estabilização Hypercare'!$H443="✔ Concluído",'E08 — Estabilização Hypercare'!$H443="N/A"),'E08 — Estabilização Hypercare'!$I443="✔ Concluído",'E08 — Estabilização Hypercare'!$J443="✔ Concluído",OR('E08 — Estabilização Hypercare'!$N443="✅ Estável — Demanda Encerrada",AND('E08 — Estabilização Hypercare'!$N443="🆕 Evolução Identificada — Nova Demanda Aberta",'E08 — Estabilização Hypercare'!$U443&lt;&gt;""))),"Concluído",IF(OR(COUNTIF('E08 — Estabilização Hypercare'!$E443:$J443,"✔ Concluído")&gt;0,COUNTIF('E08 — Estabilização Hypercare'!$E443:$J443,"🔄 Em andamento")&gt;0,'E08 — Estabilização Hypercare'!$N443&lt;&gt;""),"Em andamento","Não iniciado")))))</f>
        <v/>
      </c>
      <c r="M461" s="232" t="str" cm="1">
        <f t="array" ref="M461">IF(B461="","",_xlfn.IFS(E461&lt;&gt;"Concluído","E1 — Solicitação",F461&lt;&gt;"Concluído","E2 — Triagem",G461&lt;&gt;"Concluído","E3 — Levantamento ⚠",H461&lt;&gt;"Concluído","E4 — Execução",I461&lt;&gt;"Concluído","E5 — Validação ⚠",AND(J461&lt;&gt;"Concluído",J461&lt;&gt;"N/A"),"E6 — Ajustes",K461&lt;&gt;"Concluído","E7 — Entrega",L461&lt;&gt;"Concluído","E08 — Estabilização / Hypercare",TRUE,"✔ Fluxo concluído"))</f>
        <v/>
      </c>
      <c r="N461" s="233" t="str">
        <f t="shared" si="7"/>
        <v/>
      </c>
      <c r="O461" s="230"/>
    </row>
    <row r="462" spans="2:15" x14ac:dyDescent="0.35">
      <c r="B462" s="229" t="str">
        <f>IF(Lançamentos!$B439="","",Lançamentos!$B439)</f>
        <v/>
      </c>
      <c r="C462" s="231" t="str">
        <f>IF($B462="","",Lançamentos!$J439)</f>
        <v/>
      </c>
      <c r="D462" s="231" t="str">
        <f>IF($B462="","",Lançamentos!$H439)</f>
        <v/>
      </c>
      <c r="E462" s="229" t="str">
        <f>IF($B462="","",IF(COUNTIF(Lançamentos!$B$3:$B$1001,$B462)=0,"Bloqueado",IF(COUNTIF('E1 — Solicitação'!$E444:$L444,"⛔ Bloqueado")&gt;0,"Bloqueado",IF(COUNTIF('E1 — Solicitação'!$E444:$L444,"N/A")=8,"Bloqueado",IF(COUNTIF('E1 — Solicitação'!$E444:$L444,"✔ Concluído")+COUNTIF('E1 — Solicitação'!$E444:$L444,"N/A")=8,"Concluído",IF(COUNTIF('E1 — Solicitação'!$E444:$L444,"✔ Concluído")+COUNTIF('E1 — Solicitação'!$E444:$L444,"🔄 Em andamento")&gt;0,"Em andamento","Não iniciado"))))))</f>
        <v/>
      </c>
      <c r="F462" s="229" t="str">
        <f>IF($B462="","",IF($E462&lt;&gt;"Concluído","Não iniciado",IF(COUNTIF(Lançamentos!$B$3:$B$1001,$B462)=0,"Bloqueado",IF('E2 — Triagem'!$D444="","Bloqueado",IF(COUNTIF('E2 — Triagem'!$E444:$L444,"N/A")=8,"Bloqueado",IF(COUNTIF('E2 — Triagem'!$E444:$L444,"⛔ Bloqueado")&gt;0,"Bloqueado",IF(COUNTIF('E2 — Triagem'!$E444:$L444,"✔ Concluído")+COUNTIF('E2 — Triagem'!$E444:$L444,"N/A")=8,"Concluído",IF(COUNTIF('E2 — Triagem'!$E444:$L444,"✔ Concluído")+COUNTIF('E2 — Triagem'!$E444:$L444,"🔄 Em andamento")&gt;0,"Em andamento","Não iniciado"))))))))</f>
        <v/>
      </c>
      <c r="G462" s="229" t="str">
        <f>IF($B462="","",IF($F462&lt;&gt;"Concluído","Não iniciado",IF(COUNTIF(Lançamentos!$B$3:$B$1001,$B462)=0,"Bloqueado",IF('E3 — Levantamento'!$D444="","Bloqueado",IF(COUNTIF('E3 — Levantamento'!$E444:$I444,"⛔ Bloqueado")&gt;0,"Bloqueado",IF('E3 — Levantamento'!$I444="N/A","Bloqueado",IF(COUNTIF('E3 — Levantamento'!$E444:$I444,"✔ Concluído")=5,"Concluído",IF(COUNTIF('E3 — Levantamento'!$E444:$I444,"✔ Concluído")+COUNTIF('E3 — Levantamento'!$E444:$I444,"🔄 Em andamento")&gt;0,"Em andamento","Não iniciado"))))))))</f>
        <v/>
      </c>
      <c r="H462" s="229" t="str">
        <f>IF($B462="","",IF($G462&lt;&gt;"Concluído","Não iniciado",IF(COUNTIF(Lançamentos!$B$3:$B$1001,$B462)=0,"Bloqueado",IF('E4 — Execução'!$D444="","Bloqueado",IF(COUNTIF('E4 — Execução'!$E444:$K444,"⛔ Bloqueado")&gt;0,"Bloqueado",IF(COUNTIF('E4 — Execução'!$E444:$K444,"✔ Concluído")=7,"Concluído",IF(COUNTIF('E4 — Execução'!$E444:$K444,"✔ Concluído")+COUNTIF('E4 — Execução'!$E444:$K444,"🔄 Em andamento")&gt;0,"Em andamento","Não iniciado")))))))</f>
        <v/>
      </c>
      <c r="I462" s="229" t="str">
        <f>IF($B462="","",IF($H462&lt;&gt;"Concluído","Não iniciado",IF(COUNTIF(Lançamentos!$B$3:$B$1001,$B462)=0,"Bloqueado",IF('E5 — Validação'!$D444="","Bloqueado",IF(COUNTIF('E5 — Validação'!$E444:$I444,"⛔ Bloqueado")&gt;0,"Bloqueado",IF('E5 — Validação'!$I444="N/A","Bloqueado",IF(AND('E5 — Validação'!$E444="✔ Concluído",'E5 — Validação'!$F444="✔ Concluído",OR('E5 — Validação'!$G444="✔ Concluído",'E5 — Validação'!$G444="N/A"),'E5 — Validação'!$H444="✔ Concluído",'E5 — Validação'!$I444="✔ Concluído"),"Concluído",IF(COUNTIF('E5 — Validação'!$E444:$I444,"✔ Concluído")+COUNTIF('E5 — Validação'!$E444:$I444,"🔄 Em andamento")&gt;0,"Em andamento","Não iniciado"))))))))</f>
        <v/>
      </c>
      <c r="J462" s="229" t="str">
        <f>IF($B462="","",IF($I462&lt;&gt;"Concluído","Não iniciado",IF('E6 — Ajustes'!$N444="Não","N/A",IF(COUNTIF(Lançamentos!$B$3:$B$1001,$B462)=0,"Bloqueado",IF('E6 — Ajustes'!$D444="","Bloqueado",IF(COUNTIF('E6 — Ajustes'!$E444:$J444,"⛔ Bloqueado")&gt;0,"Bloqueado",IF(AND('E6 — Ajustes'!$E444="✔ Concluído",'E6 — Ajustes'!$F444="✔ Concluído",'E6 — Ajustes'!$G444="✔ Concluído",'E6 — Ajustes'!$H444="✔ Concluído",OR('E6 — Ajustes'!$I444="✔ Concluído",'E6 — Ajustes'!$I444="N/A"),'E6 — Ajustes'!$J444="✔ Concluído"),"Concluído",IF(COUNTIF('E6 — Ajustes'!$E444:$J444,"✔ Concluído")+COUNTIF('E6 — Ajustes'!$E444:$J444,"🔄 Em andamento")&gt;0,"Em andamento","Não iniciado"))))))))</f>
        <v/>
      </c>
      <c r="K462" s="229" t="str">
        <f>IF($B462="","",IF($I462&lt;&gt;"Concluído","Não iniciado",IF(AND($J462&lt;&gt;"Concluído",$J462&lt;&gt;"N/A"),"Não iniciado",IF(COUNTIF(Lançamentos!$B$3:$B$1001,$B462)=0,"Bloqueado",IF('E7 — Entrega'!$D444="","Bloqueado",IF(COUNTIF('E7 — Entrega'!$E444:$H444,"⛔ Bloqueado")&gt;0,"Bloqueado",IF(COUNTIF('E7 — Entrega'!$E444:$H444,"✔ Concluído")=4,"Concluído",IF(COUNTIF('E7 — Entrega'!$E444:$H444,"✔ Concluído")+COUNTIF('E7 — Entrega'!$E444:$H444,"🔄 Em andamento")&gt;0,"Em andamento","Não iniciado"))))))))</f>
        <v/>
      </c>
      <c r="L462" s="229" t="str">
        <f>IF($B462="","",IF($K462&lt;&gt;"Concluído","Não iniciado",IF(OR(COUNTIF('E08 — Estabilização Hypercare'!$E444:$J444,"⛔ Bloqueado")&gt;0,'E08 — Estabilização Hypercare'!$N444="⛔ Incidente Crítico — Encerramento Bloqueado",AND('E08 — Estabilização Hypercare'!$N444="🆕 Evolução Identificada — Nova Demanda Aberta",'E08 — Estabilização Hypercare'!$U444="")),"Bloqueado",IF(AND('E08 — Estabilização Hypercare'!$E444="✔ Concluído",'E08 — Estabilização Hypercare'!$F444="✔ Concluído",'E08 — Estabilização Hypercare'!$G444="✔ Concluído",OR('E08 — Estabilização Hypercare'!$H444="✔ Concluído",'E08 — Estabilização Hypercare'!$H444="N/A"),'E08 — Estabilização Hypercare'!$I444="✔ Concluído",'E08 — Estabilização Hypercare'!$J444="✔ Concluído",OR('E08 — Estabilização Hypercare'!$N444="✅ Estável — Demanda Encerrada",AND('E08 — Estabilização Hypercare'!$N444="🆕 Evolução Identificada — Nova Demanda Aberta",'E08 — Estabilização Hypercare'!$U444&lt;&gt;""))),"Concluído",IF(OR(COUNTIF('E08 — Estabilização Hypercare'!$E444:$J444,"✔ Concluído")&gt;0,COUNTIF('E08 — Estabilização Hypercare'!$E444:$J444,"🔄 Em andamento")&gt;0,'E08 — Estabilização Hypercare'!$N444&lt;&gt;""),"Em andamento","Não iniciado")))))</f>
        <v/>
      </c>
      <c r="M462" s="232" t="str" cm="1">
        <f t="array" ref="M462">IF(B462="","",_xlfn.IFS(E462&lt;&gt;"Concluído","E1 — Solicitação",F462&lt;&gt;"Concluído","E2 — Triagem",G462&lt;&gt;"Concluído","E3 — Levantamento ⚠",H462&lt;&gt;"Concluído","E4 — Execução",I462&lt;&gt;"Concluído","E5 — Validação ⚠",AND(J462&lt;&gt;"Concluído",J462&lt;&gt;"N/A"),"E6 — Ajustes",K462&lt;&gt;"Concluído","E7 — Entrega",L462&lt;&gt;"Concluído","E08 — Estabilização / Hypercare",TRUE,"✔ Fluxo concluído"))</f>
        <v/>
      </c>
      <c r="N462" s="233" t="str">
        <f t="shared" si="7"/>
        <v/>
      </c>
      <c r="O462" s="230"/>
    </row>
    <row r="463" spans="2:15" x14ac:dyDescent="0.35">
      <c r="B463" s="229" t="str">
        <f>IF(Lançamentos!$B440="","",Lançamentos!$B440)</f>
        <v/>
      </c>
      <c r="C463" s="231" t="str">
        <f>IF($B463="","",Lançamentos!$J440)</f>
        <v/>
      </c>
      <c r="D463" s="231" t="str">
        <f>IF($B463="","",Lançamentos!$H440)</f>
        <v/>
      </c>
      <c r="E463" s="229" t="str">
        <f>IF($B463="","",IF(COUNTIF(Lançamentos!$B$3:$B$1001,$B463)=0,"Bloqueado",IF(COUNTIF('E1 — Solicitação'!$E445:$L445,"⛔ Bloqueado")&gt;0,"Bloqueado",IF(COUNTIF('E1 — Solicitação'!$E445:$L445,"N/A")=8,"Bloqueado",IF(COUNTIF('E1 — Solicitação'!$E445:$L445,"✔ Concluído")+COUNTIF('E1 — Solicitação'!$E445:$L445,"N/A")=8,"Concluído",IF(COUNTIF('E1 — Solicitação'!$E445:$L445,"✔ Concluído")+COUNTIF('E1 — Solicitação'!$E445:$L445,"🔄 Em andamento")&gt;0,"Em andamento","Não iniciado"))))))</f>
        <v/>
      </c>
      <c r="F463" s="229" t="str">
        <f>IF($B463="","",IF($E463&lt;&gt;"Concluído","Não iniciado",IF(COUNTIF(Lançamentos!$B$3:$B$1001,$B463)=0,"Bloqueado",IF('E2 — Triagem'!$D445="","Bloqueado",IF(COUNTIF('E2 — Triagem'!$E445:$L445,"N/A")=8,"Bloqueado",IF(COUNTIF('E2 — Triagem'!$E445:$L445,"⛔ Bloqueado")&gt;0,"Bloqueado",IF(COUNTIF('E2 — Triagem'!$E445:$L445,"✔ Concluído")+COUNTIF('E2 — Triagem'!$E445:$L445,"N/A")=8,"Concluído",IF(COUNTIF('E2 — Triagem'!$E445:$L445,"✔ Concluído")+COUNTIF('E2 — Triagem'!$E445:$L445,"🔄 Em andamento")&gt;0,"Em andamento","Não iniciado"))))))))</f>
        <v/>
      </c>
      <c r="G463" s="229" t="str">
        <f>IF($B463="","",IF($F463&lt;&gt;"Concluído","Não iniciado",IF(COUNTIF(Lançamentos!$B$3:$B$1001,$B463)=0,"Bloqueado",IF('E3 — Levantamento'!$D445="","Bloqueado",IF(COUNTIF('E3 — Levantamento'!$E445:$I445,"⛔ Bloqueado")&gt;0,"Bloqueado",IF('E3 — Levantamento'!$I445="N/A","Bloqueado",IF(COUNTIF('E3 — Levantamento'!$E445:$I445,"✔ Concluído")=5,"Concluído",IF(COUNTIF('E3 — Levantamento'!$E445:$I445,"✔ Concluído")+COUNTIF('E3 — Levantamento'!$E445:$I445,"🔄 Em andamento")&gt;0,"Em andamento","Não iniciado"))))))))</f>
        <v/>
      </c>
      <c r="H463" s="229" t="str">
        <f>IF($B463="","",IF($G463&lt;&gt;"Concluído","Não iniciado",IF(COUNTIF(Lançamentos!$B$3:$B$1001,$B463)=0,"Bloqueado",IF('E4 — Execução'!$D445="","Bloqueado",IF(COUNTIF('E4 — Execução'!$E445:$K445,"⛔ Bloqueado")&gt;0,"Bloqueado",IF(COUNTIF('E4 — Execução'!$E445:$K445,"✔ Concluído")=7,"Concluído",IF(COUNTIF('E4 — Execução'!$E445:$K445,"✔ Concluído")+COUNTIF('E4 — Execução'!$E445:$K445,"🔄 Em andamento")&gt;0,"Em andamento","Não iniciado")))))))</f>
        <v/>
      </c>
      <c r="I463" s="229" t="str">
        <f>IF($B463="","",IF($H463&lt;&gt;"Concluído","Não iniciado",IF(COUNTIF(Lançamentos!$B$3:$B$1001,$B463)=0,"Bloqueado",IF('E5 — Validação'!$D445="","Bloqueado",IF(COUNTIF('E5 — Validação'!$E445:$I445,"⛔ Bloqueado")&gt;0,"Bloqueado",IF('E5 — Validação'!$I445="N/A","Bloqueado",IF(AND('E5 — Validação'!$E445="✔ Concluído",'E5 — Validação'!$F445="✔ Concluído",OR('E5 — Validação'!$G445="✔ Concluído",'E5 — Validação'!$G445="N/A"),'E5 — Validação'!$H445="✔ Concluído",'E5 — Validação'!$I445="✔ Concluído"),"Concluído",IF(COUNTIF('E5 — Validação'!$E445:$I445,"✔ Concluído")+COUNTIF('E5 — Validação'!$E445:$I445,"🔄 Em andamento")&gt;0,"Em andamento","Não iniciado"))))))))</f>
        <v/>
      </c>
      <c r="J463" s="229" t="str">
        <f>IF($B463="","",IF($I463&lt;&gt;"Concluído","Não iniciado",IF('E6 — Ajustes'!$N445="Não","N/A",IF(COUNTIF(Lançamentos!$B$3:$B$1001,$B463)=0,"Bloqueado",IF('E6 — Ajustes'!$D445="","Bloqueado",IF(COUNTIF('E6 — Ajustes'!$E445:$J445,"⛔ Bloqueado")&gt;0,"Bloqueado",IF(AND('E6 — Ajustes'!$E445="✔ Concluído",'E6 — Ajustes'!$F445="✔ Concluído",'E6 — Ajustes'!$G445="✔ Concluído",'E6 — Ajustes'!$H445="✔ Concluído",OR('E6 — Ajustes'!$I445="✔ Concluído",'E6 — Ajustes'!$I445="N/A"),'E6 — Ajustes'!$J445="✔ Concluído"),"Concluído",IF(COUNTIF('E6 — Ajustes'!$E445:$J445,"✔ Concluído")+COUNTIF('E6 — Ajustes'!$E445:$J445,"🔄 Em andamento")&gt;0,"Em andamento","Não iniciado"))))))))</f>
        <v/>
      </c>
      <c r="K463" s="229" t="str">
        <f>IF($B463="","",IF($I463&lt;&gt;"Concluído","Não iniciado",IF(AND($J463&lt;&gt;"Concluído",$J463&lt;&gt;"N/A"),"Não iniciado",IF(COUNTIF(Lançamentos!$B$3:$B$1001,$B463)=0,"Bloqueado",IF('E7 — Entrega'!$D445="","Bloqueado",IF(COUNTIF('E7 — Entrega'!$E445:$H445,"⛔ Bloqueado")&gt;0,"Bloqueado",IF(COUNTIF('E7 — Entrega'!$E445:$H445,"✔ Concluído")=4,"Concluído",IF(COUNTIF('E7 — Entrega'!$E445:$H445,"✔ Concluído")+COUNTIF('E7 — Entrega'!$E445:$H445,"🔄 Em andamento")&gt;0,"Em andamento","Não iniciado"))))))))</f>
        <v/>
      </c>
      <c r="L463" s="229" t="str">
        <f>IF($B463="","",IF($K463&lt;&gt;"Concluído","Não iniciado",IF(OR(COUNTIF('E08 — Estabilização Hypercare'!$E445:$J445,"⛔ Bloqueado")&gt;0,'E08 — Estabilização Hypercare'!$N445="⛔ Incidente Crítico — Encerramento Bloqueado",AND('E08 — Estabilização Hypercare'!$N445="🆕 Evolução Identificada — Nova Demanda Aberta",'E08 — Estabilização Hypercare'!$U445="")),"Bloqueado",IF(AND('E08 — Estabilização Hypercare'!$E445="✔ Concluído",'E08 — Estabilização Hypercare'!$F445="✔ Concluído",'E08 — Estabilização Hypercare'!$G445="✔ Concluído",OR('E08 — Estabilização Hypercare'!$H445="✔ Concluído",'E08 — Estabilização Hypercare'!$H445="N/A"),'E08 — Estabilização Hypercare'!$I445="✔ Concluído",'E08 — Estabilização Hypercare'!$J445="✔ Concluído",OR('E08 — Estabilização Hypercare'!$N445="✅ Estável — Demanda Encerrada",AND('E08 — Estabilização Hypercare'!$N445="🆕 Evolução Identificada — Nova Demanda Aberta",'E08 — Estabilização Hypercare'!$U445&lt;&gt;""))),"Concluído",IF(OR(COUNTIF('E08 — Estabilização Hypercare'!$E445:$J445,"✔ Concluído")&gt;0,COUNTIF('E08 — Estabilização Hypercare'!$E445:$J445,"🔄 Em andamento")&gt;0,'E08 — Estabilização Hypercare'!$N445&lt;&gt;""),"Em andamento","Não iniciado")))))</f>
        <v/>
      </c>
      <c r="M463" s="232" t="str" cm="1">
        <f t="array" ref="M463">IF(B463="","",_xlfn.IFS(E463&lt;&gt;"Concluído","E1 — Solicitação",F463&lt;&gt;"Concluído","E2 — Triagem",G463&lt;&gt;"Concluído","E3 — Levantamento ⚠",H463&lt;&gt;"Concluído","E4 — Execução",I463&lt;&gt;"Concluído","E5 — Validação ⚠",AND(J463&lt;&gt;"Concluído",J463&lt;&gt;"N/A"),"E6 — Ajustes",K463&lt;&gt;"Concluído","E7 — Entrega",L463&lt;&gt;"Concluído","E08 — Estabilização / Hypercare",TRUE,"✔ Fluxo concluído"))</f>
        <v/>
      </c>
      <c r="N463" s="233" t="str">
        <f t="shared" si="7"/>
        <v/>
      </c>
      <c r="O463" s="230"/>
    </row>
    <row r="464" spans="2:15" x14ac:dyDescent="0.35">
      <c r="B464" s="229" t="str">
        <f>IF(Lançamentos!$B441="","",Lançamentos!$B441)</f>
        <v/>
      </c>
      <c r="C464" s="231" t="str">
        <f>IF($B464="","",Lançamentos!$J441)</f>
        <v/>
      </c>
      <c r="D464" s="231" t="str">
        <f>IF($B464="","",Lançamentos!$H441)</f>
        <v/>
      </c>
      <c r="E464" s="229" t="str">
        <f>IF($B464="","",IF(COUNTIF(Lançamentos!$B$3:$B$1001,$B464)=0,"Bloqueado",IF(COUNTIF('E1 — Solicitação'!$E446:$L446,"⛔ Bloqueado")&gt;0,"Bloqueado",IF(COUNTIF('E1 — Solicitação'!$E446:$L446,"N/A")=8,"Bloqueado",IF(COUNTIF('E1 — Solicitação'!$E446:$L446,"✔ Concluído")+COUNTIF('E1 — Solicitação'!$E446:$L446,"N/A")=8,"Concluído",IF(COUNTIF('E1 — Solicitação'!$E446:$L446,"✔ Concluído")+COUNTIF('E1 — Solicitação'!$E446:$L446,"🔄 Em andamento")&gt;0,"Em andamento","Não iniciado"))))))</f>
        <v/>
      </c>
      <c r="F464" s="229" t="str">
        <f>IF($B464="","",IF($E464&lt;&gt;"Concluído","Não iniciado",IF(COUNTIF(Lançamentos!$B$3:$B$1001,$B464)=0,"Bloqueado",IF('E2 — Triagem'!$D446="","Bloqueado",IF(COUNTIF('E2 — Triagem'!$E446:$L446,"N/A")=8,"Bloqueado",IF(COUNTIF('E2 — Triagem'!$E446:$L446,"⛔ Bloqueado")&gt;0,"Bloqueado",IF(COUNTIF('E2 — Triagem'!$E446:$L446,"✔ Concluído")+COUNTIF('E2 — Triagem'!$E446:$L446,"N/A")=8,"Concluído",IF(COUNTIF('E2 — Triagem'!$E446:$L446,"✔ Concluído")+COUNTIF('E2 — Triagem'!$E446:$L446,"🔄 Em andamento")&gt;0,"Em andamento","Não iniciado"))))))))</f>
        <v/>
      </c>
      <c r="G464" s="229" t="str">
        <f>IF($B464="","",IF($F464&lt;&gt;"Concluído","Não iniciado",IF(COUNTIF(Lançamentos!$B$3:$B$1001,$B464)=0,"Bloqueado",IF('E3 — Levantamento'!$D446="","Bloqueado",IF(COUNTIF('E3 — Levantamento'!$E446:$I446,"⛔ Bloqueado")&gt;0,"Bloqueado",IF('E3 — Levantamento'!$I446="N/A","Bloqueado",IF(COUNTIF('E3 — Levantamento'!$E446:$I446,"✔ Concluído")=5,"Concluído",IF(COUNTIF('E3 — Levantamento'!$E446:$I446,"✔ Concluído")+COUNTIF('E3 — Levantamento'!$E446:$I446,"🔄 Em andamento")&gt;0,"Em andamento","Não iniciado"))))))))</f>
        <v/>
      </c>
      <c r="H464" s="229" t="str">
        <f>IF($B464="","",IF($G464&lt;&gt;"Concluído","Não iniciado",IF(COUNTIF(Lançamentos!$B$3:$B$1001,$B464)=0,"Bloqueado",IF('E4 — Execução'!$D446="","Bloqueado",IF(COUNTIF('E4 — Execução'!$E446:$K446,"⛔ Bloqueado")&gt;0,"Bloqueado",IF(COUNTIF('E4 — Execução'!$E446:$K446,"✔ Concluído")=7,"Concluído",IF(COUNTIF('E4 — Execução'!$E446:$K446,"✔ Concluído")+COUNTIF('E4 — Execução'!$E446:$K446,"🔄 Em andamento")&gt;0,"Em andamento","Não iniciado")))))))</f>
        <v/>
      </c>
      <c r="I464" s="229" t="str">
        <f>IF($B464="","",IF($H464&lt;&gt;"Concluído","Não iniciado",IF(COUNTIF(Lançamentos!$B$3:$B$1001,$B464)=0,"Bloqueado",IF('E5 — Validação'!$D446="","Bloqueado",IF(COUNTIF('E5 — Validação'!$E446:$I446,"⛔ Bloqueado")&gt;0,"Bloqueado",IF('E5 — Validação'!$I446="N/A","Bloqueado",IF(AND('E5 — Validação'!$E446="✔ Concluído",'E5 — Validação'!$F446="✔ Concluído",OR('E5 — Validação'!$G446="✔ Concluído",'E5 — Validação'!$G446="N/A"),'E5 — Validação'!$H446="✔ Concluído",'E5 — Validação'!$I446="✔ Concluído"),"Concluído",IF(COUNTIF('E5 — Validação'!$E446:$I446,"✔ Concluído")+COUNTIF('E5 — Validação'!$E446:$I446,"🔄 Em andamento")&gt;0,"Em andamento","Não iniciado"))))))))</f>
        <v/>
      </c>
      <c r="J464" s="229" t="str">
        <f>IF($B464="","",IF($I464&lt;&gt;"Concluído","Não iniciado",IF('E6 — Ajustes'!$N446="Não","N/A",IF(COUNTIF(Lançamentos!$B$3:$B$1001,$B464)=0,"Bloqueado",IF('E6 — Ajustes'!$D446="","Bloqueado",IF(COUNTIF('E6 — Ajustes'!$E446:$J446,"⛔ Bloqueado")&gt;0,"Bloqueado",IF(AND('E6 — Ajustes'!$E446="✔ Concluído",'E6 — Ajustes'!$F446="✔ Concluído",'E6 — Ajustes'!$G446="✔ Concluído",'E6 — Ajustes'!$H446="✔ Concluído",OR('E6 — Ajustes'!$I446="✔ Concluído",'E6 — Ajustes'!$I446="N/A"),'E6 — Ajustes'!$J446="✔ Concluído"),"Concluído",IF(COUNTIF('E6 — Ajustes'!$E446:$J446,"✔ Concluído")+COUNTIF('E6 — Ajustes'!$E446:$J446,"🔄 Em andamento")&gt;0,"Em andamento","Não iniciado"))))))))</f>
        <v/>
      </c>
      <c r="K464" s="229" t="str">
        <f>IF($B464="","",IF($I464&lt;&gt;"Concluído","Não iniciado",IF(AND($J464&lt;&gt;"Concluído",$J464&lt;&gt;"N/A"),"Não iniciado",IF(COUNTIF(Lançamentos!$B$3:$B$1001,$B464)=0,"Bloqueado",IF('E7 — Entrega'!$D446="","Bloqueado",IF(COUNTIF('E7 — Entrega'!$E446:$H446,"⛔ Bloqueado")&gt;0,"Bloqueado",IF(COUNTIF('E7 — Entrega'!$E446:$H446,"✔ Concluído")=4,"Concluído",IF(COUNTIF('E7 — Entrega'!$E446:$H446,"✔ Concluído")+COUNTIF('E7 — Entrega'!$E446:$H446,"🔄 Em andamento")&gt;0,"Em andamento","Não iniciado"))))))))</f>
        <v/>
      </c>
      <c r="L464" s="229" t="str">
        <f>IF($B464="","",IF($K464&lt;&gt;"Concluído","Não iniciado",IF(OR(COUNTIF('E08 — Estabilização Hypercare'!$E446:$J446,"⛔ Bloqueado")&gt;0,'E08 — Estabilização Hypercare'!$N446="⛔ Incidente Crítico — Encerramento Bloqueado",AND('E08 — Estabilização Hypercare'!$N446="🆕 Evolução Identificada — Nova Demanda Aberta",'E08 — Estabilização Hypercare'!$U446="")),"Bloqueado",IF(AND('E08 — Estabilização Hypercare'!$E446="✔ Concluído",'E08 — Estabilização Hypercare'!$F446="✔ Concluído",'E08 — Estabilização Hypercare'!$G446="✔ Concluído",OR('E08 — Estabilização Hypercare'!$H446="✔ Concluído",'E08 — Estabilização Hypercare'!$H446="N/A"),'E08 — Estabilização Hypercare'!$I446="✔ Concluído",'E08 — Estabilização Hypercare'!$J446="✔ Concluído",OR('E08 — Estabilização Hypercare'!$N446="✅ Estável — Demanda Encerrada",AND('E08 — Estabilização Hypercare'!$N446="🆕 Evolução Identificada — Nova Demanda Aberta",'E08 — Estabilização Hypercare'!$U446&lt;&gt;""))),"Concluído",IF(OR(COUNTIF('E08 — Estabilização Hypercare'!$E446:$J446,"✔ Concluído")&gt;0,COUNTIF('E08 — Estabilização Hypercare'!$E446:$J446,"🔄 Em andamento")&gt;0,'E08 — Estabilização Hypercare'!$N446&lt;&gt;""),"Em andamento","Não iniciado")))))</f>
        <v/>
      </c>
      <c r="M464" s="232" t="str" cm="1">
        <f t="array" ref="M464">IF(B464="","",_xlfn.IFS(E464&lt;&gt;"Concluído","E1 — Solicitação",F464&lt;&gt;"Concluído","E2 — Triagem",G464&lt;&gt;"Concluído","E3 — Levantamento ⚠",H464&lt;&gt;"Concluído","E4 — Execução",I464&lt;&gt;"Concluído","E5 — Validação ⚠",AND(J464&lt;&gt;"Concluído",J464&lt;&gt;"N/A"),"E6 — Ajustes",K464&lt;&gt;"Concluído","E7 — Entrega",L464&lt;&gt;"Concluído","E08 — Estabilização / Hypercare",TRUE,"✔ Fluxo concluído"))</f>
        <v/>
      </c>
      <c r="N464" s="233" t="str">
        <f t="shared" si="7"/>
        <v/>
      </c>
      <c r="O464" s="230"/>
    </row>
    <row r="465" spans="2:15" x14ac:dyDescent="0.35">
      <c r="B465" s="229" t="str">
        <f>IF(Lançamentos!$B442="","",Lançamentos!$B442)</f>
        <v/>
      </c>
      <c r="C465" s="231" t="str">
        <f>IF($B465="","",Lançamentos!$J442)</f>
        <v/>
      </c>
      <c r="D465" s="231" t="str">
        <f>IF($B465="","",Lançamentos!$H442)</f>
        <v/>
      </c>
      <c r="E465" s="229" t="str">
        <f>IF($B465="","",IF(COUNTIF(Lançamentos!$B$3:$B$1001,$B465)=0,"Bloqueado",IF(COUNTIF('E1 — Solicitação'!$E447:$L447,"⛔ Bloqueado")&gt;0,"Bloqueado",IF(COUNTIF('E1 — Solicitação'!$E447:$L447,"N/A")=8,"Bloqueado",IF(COUNTIF('E1 — Solicitação'!$E447:$L447,"✔ Concluído")+COUNTIF('E1 — Solicitação'!$E447:$L447,"N/A")=8,"Concluído",IF(COUNTIF('E1 — Solicitação'!$E447:$L447,"✔ Concluído")+COUNTIF('E1 — Solicitação'!$E447:$L447,"🔄 Em andamento")&gt;0,"Em andamento","Não iniciado"))))))</f>
        <v/>
      </c>
      <c r="F465" s="229" t="str">
        <f>IF($B465="","",IF($E465&lt;&gt;"Concluído","Não iniciado",IF(COUNTIF(Lançamentos!$B$3:$B$1001,$B465)=0,"Bloqueado",IF('E2 — Triagem'!$D447="","Bloqueado",IF(COUNTIF('E2 — Triagem'!$E447:$L447,"N/A")=8,"Bloqueado",IF(COUNTIF('E2 — Triagem'!$E447:$L447,"⛔ Bloqueado")&gt;0,"Bloqueado",IF(COUNTIF('E2 — Triagem'!$E447:$L447,"✔ Concluído")+COUNTIF('E2 — Triagem'!$E447:$L447,"N/A")=8,"Concluído",IF(COUNTIF('E2 — Triagem'!$E447:$L447,"✔ Concluído")+COUNTIF('E2 — Triagem'!$E447:$L447,"🔄 Em andamento")&gt;0,"Em andamento","Não iniciado"))))))))</f>
        <v/>
      </c>
      <c r="G465" s="229" t="str">
        <f>IF($B465="","",IF($F465&lt;&gt;"Concluído","Não iniciado",IF(COUNTIF(Lançamentos!$B$3:$B$1001,$B465)=0,"Bloqueado",IF('E3 — Levantamento'!$D447="","Bloqueado",IF(COUNTIF('E3 — Levantamento'!$E447:$I447,"⛔ Bloqueado")&gt;0,"Bloqueado",IF('E3 — Levantamento'!$I447="N/A","Bloqueado",IF(COUNTIF('E3 — Levantamento'!$E447:$I447,"✔ Concluído")=5,"Concluído",IF(COUNTIF('E3 — Levantamento'!$E447:$I447,"✔ Concluído")+COUNTIF('E3 — Levantamento'!$E447:$I447,"🔄 Em andamento")&gt;0,"Em andamento","Não iniciado"))))))))</f>
        <v/>
      </c>
      <c r="H465" s="229" t="str">
        <f>IF($B465="","",IF($G465&lt;&gt;"Concluído","Não iniciado",IF(COUNTIF(Lançamentos!$B$3:$B$1001,$B465)=0,"Bloqueado",IF('E4 — Execução'!$D447="","Bloqueado",IF(COUNTIF('E4 — Execução'!$E447:$K447,"⛔ Bloqueado")&gt;0,"Bloqueado",IF(COUNTIF('E4 — Execução'!$E447:$K447,"✔ Concluído")=7,"Concluído",IF(COUNTIF('E4 — Execução'!$E447:$K447,"✔ Concluído")+COUNTIF('E4 — Execução'!$E447:$K447,"🔄 Em andamento")&gt;0,"Em andamento","Não iniciado")))))))</f>
        <v/>
      </c>
      <c r="I465" s="229" t="str">
        <f>IF($B465="","",IF($H465&lt;&gt;"Concluído","Não iniciado",IF(COUNTIF(Lançamentos!$B$3:$B$1001,$B465)=0,"Bloqueado",IF('E5 — Validação'!$D447="","Bloqueado",IF(COUNTIF('E5 — Validação'!$E447:$I447,"⛔ Bloqueado")&gt;0,"Bloqueado",IF('E5 — Validação'!$I447="N/A","Bloqueado",IF(AND('E5 — Validação'!$E447="✔ Concluído",'E5 — Validação'!$F447="✔ Concluído",OR('E5 — Validação'!$G447="✔ Concluído",'E5 — Validação'!$G447="N/A"),'E5 — Validação'!$H447="✔ Concluído",'E5 — Validação'!$I447="✔ Concluído"),"Concluído",IF(COUNTIF('E5 — Validação'!$E447:$I447,"✔ Concluído")+COUNTIF('E5 — Validação'!$E447:$I447,"🔄 Em andamento")&gt;0,"Em andamento","Não iniciado"))))))))</f>
        <v/>
      </c>
      <c r="J465" s="229" t="str">
        <f>IF($B465="","",IF($I465&lt;&gt;"Concluído","Não iniciado",IF('E6 — Ajustes'!$N447="Não","N/A",IF(COUNTIF(Lançamentos!$B$3:$B$1001,$B465)=0,"Bloqueado",IF('E6 — Ajustes'!$D447="","Bloqueado",IF(COUNTIF('E6 — Ajustes'!$E447:$J447,"⛔ Bloqueado")&gt;0,"Bloqueado",IF(AND('E6 — Ajustes'!$E447="✔ Concluído",'E6 — Ajustes'!$F447="✔ Concluído",'E6 — Ajustes'!$G447="✔ Concluído",'E6 — Ajustes'!$H447="✔ Concluído",OR('E6 — Ajustes'!$I447="✔ Concluído",'E6 — Ajustes'!$I447="N/A"),'E6 — Ajustes'!$J447="✔ Concluído"),"Concluído",IF(COUNTIF('E6 — Ajustes'!$E447:$J447,"✔ Concluído")+COUNTIF('E6 — Ajustes'!$E447:$J447,"🔄 Em andamento")&gt;0,"Em andamento","Não iniciado"))))))))</f>
        <v/>
      </c>
      <c r="K465" s="229" t="str">
        <f>IF($B465="","",IF($I465&lt;&gt;"Concluído","Não iniciado",IF(AND($J465&lt;&gt;"Concluído",$J465&lt;&gt;"N/A"),"Não iniciado",IF(COUNTIF(Lançamentos!$B$3:$B$1001,$B465)=0,"Bloqueado",IF('E7 — Entrega'!$D447="","Bloqueado",IF(COUNTIF('E7 — Entrega'!$E447:$H447,"⛔ Bloqueado")&gt;0,"Bloqueado",IF(COUNTIF('E7 — Entrega'!$E447:$H447,"✔ Concluído")=4,"Concluído",IF(COUNTIF('E7 — Entrega'!$E447:$H447,"✔ Concluído")+COUNTIF('E7 — Entrega'!$E447:$H447,"🔄 Em andamento")&gt;0,"Em andamento","Não iniciado"))))))))</f>
        <v/>
      </c>
      <c r="L465" s="229" t="str">
        <f>IF($B465="","",IF($K465&lt;&gt;"Concluído","Não iniciado",IF(OR(COUNTIF('E08 — Estabilização Hypercare'!$E447:$J447,"⛔ Bloqueado")&gt;0,'E08 — Estabilização Hypercare'!$N447="⛔ Incidente Crítico — Encerramento Bloqueado",AND('E08 — Estabilização Hypercare'!$N447="🆕 Evolução Identificada — Nova Demanda Aberta",'E08 — Estabilização Hypercare'!$U447="")),"Bloqueado",IF(AND('E08 — Estabilização Hypercare'!$E447="✔ Concluído",'E08 — Estabilização Hypercare'!$F447="✔ Concluído",'E08 — Estabilização Hypercare'!$G447="✔ Concluído",OR('E08 — Estabilização Hypercare'!$H447="✔ Concluído",'E08 — Estabilização Hypercare'!$H447="N/A"),'E08 — Estabilização Hypercare'!$I447="✔ Concluído",'E08 — Estabilização Hypercare'!$J447="✔ Concluído",OR('E08 — Estabilização Hypercare'!$N447="✅ Estável — Demanda Encerrada",AND('E08 — Estabilização Hypercare'!$N447="🆕 Evolução Identificada — Nova Demanda Aberta",'E08 — Estabilização Hypercare'!$U447&lt;&gt;""))),"Concluído",IF(OR(COUNTIF('E08 — Estabilização Hypercare'!$E447:$J447,"✔ Concluído")&gt;0,COUNTIF('E08 — Estabilização Hypercare'!$E447:$J447,"🔄 Em andamento")&gt;0,'E08 — Estabilização Hypercare'!$N447&lt;&gt;""),"Em andamento","Não iniciado")))))</f>
        <v/>
      </c>
      <c r="M465" s="232" t="str" cm="1">
        <f t="array" ref="M465">IF(B465="","",_xlfn.IFS(E465&lt;&gt;"Concluído","E1 — Solicitação",F465&lt;&gt;"Concluído","E2 — Triagem",G465&lt;&gt;"Concluído","E3 — Levantamento ⚠",H465&lt;&gt;"Concluído","E4 — Execução",I465&lt;&gt;"Concluído","E5 — Validação ⚠",AND(J465&lt;&gt;"Concluído",J465&lt;&gt;"N/A"),"E6 — Ajustes",K465&lt;&gt;"Concluído","E7 — Entrega",L465&lt;&gt;"Concluído","E08 — Estabilização / Hypercare",TRUE,"✔ Fluxo concluído"))</f>
        <v/>
      </c>
      <c r="N465" s="233" t="str">
        <f t="shared" si="7"/>
        <v/>
      </c>
      <c r="O465" s="230"/>
    </row>
    <row r="466" spans="2:15" x14ac:dyDescent="0.35">
      <c r="B466" s="229" t="str">
        <f>IF(Lançamentos!$B443="","",Lançamentos!$B443)</f>
        <v/>
      </c>
      <c r="C466" s="231" t="str">
        <f>IF($B466="","",Lançamentos!$J443)</f>
        <v/>
      </c>
      <c r="D466" s="231" t="str">
        <f>IF($B466="","",Lançamentos!$H443)</f>
        <v/>
      </c>
      <c r="E466" s="229" t="str">
        <f>IF($B466="","",IF(COUNTIF(Lançamentos!$B$3:$B$1001,$B466)=0,"Bloqueado",IF(COUNTIF('E1 — Solicitação'!$E448:$L448,"⛔ Bloqueado")&gt;0,"Bloqueado",IF(COUNTIF('E1 — Solicitação'!$E448:$L448,"N/A")=8,"Bloqueado",IF(COUNTIF('E1 — Solicitação'!$E448:$L448,"✔ Concluído")+COUNTIF('E1 — Solicitação'!$E448:$L448,"N/A")=8,"Concluído",IF(COUNTIF('E1 — Solicitação'!$E448:$L448,"✔ Concluído")+COUNTIF('E1 — Solicitação'!$E448:$L448,"🔄 Em andamento")&gt;0,"Em andamento","Não iniciado"))))))</f>
        <v/>
      </c>
      <c r="F466" s="229" t="str">
        <f>IF($B466="","",IF($E466&lt;&gt;"Concluído","Não iniciado",IF(COUNTIF(Lançamentos!$B$3:$B$1001,$B466)=0,"Bloqueado",IF('E2 — Triagem'!$D448="","Bloqueado",IF(COUNTIF('E2 — Triagem'!$E448:$L448,"N/A")=8,"Bloqueado",IF(COUNTIF('E2 — Triagem'!$E448:$L448,"⛔ Bloqueado")&gt;0,"Bloqueado",IF(COUNTIF('E2 — Triagem'!$E448:$L448,"✔ Concluído")+COUNTIF('E2 — Triagem'!$E448:$L448,"N/A")=8,"Concluído",IF(COUNTIF('E2 — Triagem'!$E448:$L448,"✔ Concluído")+COUNTIF('E2 — Triagem'!$E448:$L448,"🔄 Em andamento")&gt;0,"Em andamento","Não iniciado"))))))))</f>
        <v/>
      </c>
      <c r="G466" s="229" t="str">
        <f>IF($B466="","",IF($F466&lt;&gt;"Concluído","Não iniciado",IF(COUNTIF(Lançamentos!$B$3:$B$1001,$B466)=0,"Bloqueado",IF('E3 — Levantamento'!$D448="","Bloqueado",IF(COUNTIF('E3 — Levantamento'!$E448:$I448,"⛔ Bloqueado")&gt;0,"Bloqueado",IF('E3 — Levantamento'!$I448="N/A","Bloqueado",IF(COUNTIF('E3 — Levantamento'!$E448:$I448,"✔ Concluído")=5,"Concluído",IF(COUNTIF('E3 — Levantamento'!$E448:$I448,"✔ Concluído")+COUNTIF('E3 — Levantamento'!$E448:$I448,"🔄 Em andamento")&gt;0,"Em andamento","Não iniciado"))))))))</f>
        <v/>
      </c>
      <c r="H466" s="229" t="str">
        <f>IF($B466="","",IF($G466&lt;&gt;"Concluído","Não iniciado",IF(COUNTIF(Lançamentos!$B$3:$B$1001,$B466)=0,"Bloqueado",IF('E4 — Execução'!$D448="","Bloqueado",IF(COUNTIF('E4 — Execução'!$E448:$K448,"⛔ Bloqueado")&gt;0,"Bloqueado",IF(COUNTIF('E4 — Execução'!$E448:$K448,"✔ Concluído")=7,"Concluído",IF(COUNTIF('E4 — Execução'!$E448:$K448,"✔ Concluído")+COUNTIF('E4 — Execução'!$E448:$K448,"🔄 Em andamento")&gt;0,"Em andamento","Não iniciado")))))))</f>
        <v/>
      </c>
      <c r="I466" s="229" t="str">
        <f>IF($B466="","",IF($H466&lt;&gt;"Concluído","Não iniciado",IF(COUNTIF(Lançamentos!$B$3:$B$1001,$B466)=0,"Bloqueado",IF('E5 — Validação'!$D448="","Bloqueado",IF(COUNTIF('E5 — Validação'!$E448:$I448,"⛔ Bloqueado")&gt;0,"Bloqueado",IF('E5 — Validação'!$I448="N/A","Bloqueado",IF(AND('E5 — Validação'!$E448="✔ Concluído",'E5 — Validação'!$F448="✔ Concluído",OR('E5 — Validação'!$G448="✔ Concluído",'E5 — Validação'!$G448="N/A"),'E5 — Validação'!$H448="✔ Concluído",'E5 — Validação'!$I448="✔ Concluído"),"Concluído",IF(COUNTIF('E5 — Validação'!$E448:$I448,"✔ Concluído")+COUNTIF('E5 — Validação'!$E448:$I448,"🔄 Em andamento")&gt;0,"Em andamento","Não iniciado"))))))))</f>
        <v/>
      </c>
      <c r="J466" s="229" t="str">
        <f>IF($B466="","",IF($I466&lt;&gt;"Concluído","Não iniciado",IF('E6 — Ajustes'!$N448="Não","N/A",IF(COUNTIF(Lançamentos!$B$3:$B$1001,$B466)=0,"Bloqueado",IF('E6 — Ajustes'!$D448="","Bloqueado",IF(COUNTIF('E6 — Ajustes'!$E448:$J448,"⛔ Bloqueado")&gt;0,"Bloqueado",IF(AND('E6 — Ajustes'!$E448="✔ Concluído",'E6 — Ajustes'!$F448="✔ Concluído",'E6 — Ajustes'!$G448="✔ Concluído",'E6 — Ajustes'!$H448="✔ Concluído",OR('E6 — Ajustes'!$I448="✔ Concluído",'E6 — Ajustes'!$I448="N/A"),'E6 — Ajustes'!$J448="✔ Concluído"),"Concluído",IF(COUNTIF('E6 — Ajustes'!$E448:$J448,"✔ Concluído")+COUNTIF('E6 — Ajustes'!$E448:$J448,"🔄 Em andamento")&gt;0,"Em andamento","Não iniciado"))))))))</f>
        <v/>
      </c>
      <c r="K466" s="229" t="str">
        <f>IF($B466="","",IF($I466&lt;&gt;"Concluído","Não iniciado",IF(AND($J466&lt;&gt;"Concluído",$J466&lt;&gt;"N/A"),"Não iniciado",IF(COUNTIF(Lançamentos!$B$3:$B$1001,$B466)=0,"Bloqueado",IF('E7 — Entrega'!$D448="","Bloqueado",IF(COUNTIF('E7 — Entrega'!$E448:$H448,"⛔ Bloqueado")&gt;0,"Bloqueado",IF(COUNTIF('E7 — Entrega'!$E448:$H448,"✔ Concluído")=4,"Concluído",IF(COUNTIF('E7 — Entrega'!$E448:$H448,"✔ Concluído")+COUNTIF('E7 — Entrega'!$E448:$H448,"🔄 Em andamento")&gt;0,"Em andamento","Não iniciado"))))))))</f>
        <v/>
      </c>
      <c r="L466" s="229" t="str">
        <f>IF($B466="","",IF($K466&lt;&gt;"Concluído","Não iniciado",IF(OR(COUNTIF('E08 — Estabilização Hypercare'!$E448:$J448,"⛔ Bloqueado")&gt;0,'E08 — Estabilização Hypercare'!$N448="⛔ Incidente Crítico — Encerramento Bloqueado",AND('E08 — Estabilização Hypercare'!$N448="🆕 Evolução Identificada — Nova Demanda Aberta",'E08 — Estabilização Hypercare'!$U448="")),"Bloqueado",IF(AND('E08 — Estabilização Hypercare'!$E448="✔ Concluído",'E08 — Estabilização Hypercare'!$F448="✔ Concluído",'E08 — Estabilização Hypercare'!$G448="✔ Concluído",OR('E08 — Estabilização Hypercare'!$H448="✔ Concluído",'E08 — Estabilização Hypercare'!$H448="N/A"),'E08 — Estabilização Hypercare'!$I448="✔ Concluído",'E08 — Estabilização Hypercare'!$J448="✔ Concluído",OR('E08 — Estabilização Hypercare'!$N448="✅ Estável — Demanda Encerrada",AND('E08 — Estabilização Hypercare'!$N448="🆕 Evolução Identificada — Nova Demanda Aberta",'E08 — Estabilização Hypercare'!$U448&lt;&gt;""))),"Concluído",IF(OR(COUNTIF('E08 — Estabilização Hypercare'!$E448:$J448,"✔ Concluído")&gt;0,COUNTIF('E08 — Estabilização Hypercare'!$E448:$J448,"🔄 Em andamento")&gt;0,'E08 — Estabilização Hypercare'!$N448&lt;&gt;""),"Em andamento","Não iniciado")))))</f>
        <v/>
      </c>
      <c r="M466" s="232" t="str" cm="1">
        <f t="array" ref="M466">IF(B466="","",_xlfn.IFS(E466&lt;&gt;"Concluído","E1 — Solicitação",F466&lt;&gt;"Concluído","E2 — Triagem",G466&lt;&gt;"Concluído","E3 — Levantamento ⚠",H466&lt;&gt;"Concluído","E4 — Execução",I466&lt;&gt;"Concluído","E5 — Validação ⚠",AND(J466&lt;&gt;"Concluído",J466&lt;&gt;"N/A"),"E6 — Ajustes",K466&lt;&gt;"Concluído","E7 — Entrega",L466&lt;&gt;"Concluído","E08 — Estabilização / Hypercare",TRUE,"✔ Fluxo concluído"))</f>
        <v/>
      </c>
      <c r="N466" s="233" t="str">
        <f t="shared" si="7"/>
        <v/>
      </c>
      <c r="O466" s="230"/>
    </row>
    <row r="467" spans="2:15" x14ac:dyDescent="0.35">
      <c r="B467" s="229" t="str">
        <f>IF(Lançamentos!$B444="","",Lançamentos!$B444)</f>
        <v/>
      </c>
      <c r="C467" s="231" t="str">
        <f>IF($B467="","",Lançamentos!$J444)</f>
        <v/>
      </c>
      <c r="D467" s="231" t="str">
        <f>IF($B467="","",Lançamentos!$H444)</f>
        <v/>
      </c>
      <c r="E467" s="229" t="str">
        <f>IF($B467="","",IF(COUNTIF(Lançamentos!$B$3:$B$1001,$B467)=0,"Bloqueado",IF(COUNTIF('E1 — Solicitação'!$E449:$L449,"⛔ Bloqueado")&gt;0,"Bloqueado",IF(COUNTIF('E1 — Solicitação'!$E449:$L449,"N/A")=8,"Bloqueado",IF(COUNTIF('E1 — Solicitação'!$E449:$L449,"✔ Concluído")+COUNTIF('E1 — Solicitação'!$E449:$L449,"N/A")=8,"Concluído",IF(COUNTIF('E1 — Solicitação'!$E449:$L449,"✔ Concluído")+COUNTIF('E1 — Solicitação'!$E449:$L449,"🔄 Em andamento")&gt;0,"Em andamento","Não iniciado"))))))</f>
        <v/>
      </c>
      <c r="F467" s="229" t="str">
        <f>IF($B467="","",IF($E467&lt;&gt;"Concluído","Não iniciado",IF(COUNTIF(Lançamentos!$B$3:$B$1001,$B467)=0,"Bloqueado",IF('E2 — Triagem'!$D449="","Bloqueado",IF(COUNTIF('E2 — Triagem'!$E449:$L449,"N/A")=8,"Bloqueado",IF(COUNTIF('E2 — Triagem'!$E449:$L449,"⛔ Bloqueado")&gt;0,"Bloqueado",IF(COUNTIF('E2 — Triagem'!$E449:$L449,"✔ Concluído")+COUNTIF('E2 — Triagem'!$E449:$L449,"N/A")=8,"Concluído",IF(COUNTIF('E2 — Triagem'!$E449:$L449,"✔ Concluído")+COUNTIF('E2 — Triagem'!$E449:$L449,"🔄 Em andamento")&gt;0,"Em andamento","Não iniciado"))))))))</f>
        <v/>
      </c>
      <c r="G467" s="229" t="str">
        <f>IF($B467="","",IF($F467&lt;&gt;"Concluído","Não iniciado",IF(COUNTIF(Lançamentos!$B$3:$B$1001,$B467)=0,"Bloqueado",IF('E3 — Levantamento'!$D449="","Bloqueado",IF(COUNTIF('E3 — Levantamento'!$E449:$I449,"⛔ Bloqueado")&gt;0,"Bloqueado",IF('E3 — Levantamento'!$I449="N/A","Bloqueado",IF(COUNTIF('E3 — Levantamento'!$E449:$I449,"✔ Concluído")=5,"Concluído",IF(COUNTIF('E3 — Levantamento'!$E449:$I449,"✔ Concluído")+COUNTIF('E3 — Levantamento'!$E449:$I449,"🔄 Em andamento")&gt;0,"Em andamento","Não iniciado"))))))))</f>
        <v/>
      </c>
      <c r="H467" s="229" t="str">
        <f>IF($B467="","",IF($G467&lt;&gt;"Concluído","Não iniciado",IF(COUNTIF(Lançamentos!$B$3:$B$1001,$B467)=0,"Bloqueado",IF('E4 — Execução'!$D449="","Bloqueado",IF(COUNTIF('E4 — Execução'!$E449:$K449,"⛔ Bloqueado")&gt;0,"Bloqueado",IF(COUNTIF('E4 — Execução'!$E449:$K449,"✔ Concluído")=7,"Concluído",IF(COUNTIF('E4 — Execução'!$E449:$K449,"✔ Concluído")+COUNTIF('E4 — Execução'!$E449:$K449,"🔄 Em andamento")&gt;0,"Em andamento","Não iniciado")))))))</f>
        <v/>
      </c>
      <c r="I467" s="229" t="str">
        <f>IF($B467="","",IF($H467&lt;&gt;"Concluído","Não iniciado",IF(COUNTIF(Lançamentos!$B$3:$B$1001,$B467)=0,"Bloqueado",IF('E5 — Validação'!$D449="","Bloqueado",IF(COUNTIF('E5 — Validação'!$E449:$I449,"⛔ Bloqueado")&gt;0,"Bloqueado",IF('E5 — Validação'!$I449="N/A","Bloqueado",IF(AND('E5 — Validação'!$E449="✔ Concluído",'E5 — Validação'!$F449="✔ Concluído",OR('E5 — Validação'!$G449="✔ Concluído",'E5 — Validação'!$G449="N/A"),'E5 — Validação'!$H449="✔ Concluído",'E5 — Validação'!$I449="✔ Concluído"),"Concluído",IF(COUNTIF('E5 — Validação'!$E449:$I449,"✔ Concluído")+COUNTIF('E5 — Validação'!$E449:$I449,"🔄 Em andamento")&gt;0,"Em andamento","Não iniciado"))))))))</f>
        <v/>
      </c>
      <c r="J467" s="229" t="str">
        <f>IF($B467="","",IF($I467&lt;&gt;"Concluído","Não iniciado",IF('E6 — Ajustes'!$N449="Não","N/A",IF(COUNTIF(Lançamentos!$B$3:$B$1001,$B467)=0,"Bloqueado",IF('E6 — Ajustes'!$D449="","Bloqueado",IF(COUNTIF('E6 — Ajustes'!$E449:$J449,"⛔ Bloqueado")&gt;0,"Bloqueado",IF(AND('E6 — Ajustes'!$E449="✔ Concluído",'E6 — Ajustes'!$F449="✔ Concluído",'E6 — Ajustes'!$G449="✔ Concluído",'E6 — Ajustes'!$H449="✔ Concluído",OR('E6 — Ajustes'!$I449="✔ Concluído",'E6 — Ajustes'!$I449="N/A"),'E6 — Ajustes'!$J449="✔ Concluído"),"Concluído",IF(COUNTIF('E6 — Ajustes'!$E449:$J449,"✔ Concluído")+COUNTIF('E6 — Ajustes'!$E449:$J449,"🔄 Em andamento")&gt;0,"Em andamento","Não iniciado"))))))))</f>
        <v/>
      </c>
      <c r="K467" s="229" t="str">
        <f>IF($B467="","",IF($I467&lt;&gt;"Concluído","Não iniciado",IF(AND($J467&lt;&gt;"Concluído",$J467&lt;&gt;"N/A"),"Não iniciado",IF(COUNTIF(Lançamentos!$B$3:$B$1001,$B467)=0,"Bloqueado",IF('E7 — Entrega'!$D449="","Bloqueado",IF(COUNTIF('E7 — Entrega'!$E449:$H449,"⛔ Bloqueado")&gt;0,"Bloqueado",IF(COUNTIF('E7 — Entrega'!$E449:$H449,"✔ Concluído")=4,"Concluído",IF(COUNTIF('E7 — Entrega'!$E449:$H449,"✔ Concluído")+COUNTIF('E7 — Entrega'!$E449:$H449,"🔄 Em andamento")&gt;0,"Em andamento","Não iniciado"))))))))</f>
        <v/>
      </c>
      <c r="L467" s="229" t="str">
        <f>IF($B467="","",IF($K467&lt;&gt;"Concluído","Não iniciado",IF(OR(COUNTIF('E08 — Estabilização Hypercare'!$E449:$J449,"⛔ Bloqueado")&gt;0,'E08 — Estabilização Hypercare'!$N449="⛔ Incidente Crítico — Encerramento Bloqueado",AND('E08 — Estabilização Hypercare'!$N449="🆕 Evolução Identificada — Nova Demanda Aberta",'E08 — Estabilização Hypercare'!$U449="")),"Bloqueado",IF(AND('E08 — Estabilização Hypercare'!$E449="✔ Concluído",'E08 — Estabilização Hypercare'!$F449="✔ Concluído",'E08 — Estabilização Hypercare'!$G449="✔ Concluído",OR('E08 — Estabilização Hypercare'!$H449="✔ Concluído",'E08 — Estabilização Hypercare'!$H449="N/A"),'E08 — Estabilização Hypercare'!$I449="✔ Concluído",'E08 — Estabilização Hypercare'!$J449="✔ Concluído",OR('E08 — Estabilização Hypercare'!$N449="✅ Estável — Demanda Encerrada",AND('E08 — Estabilização Hypercare'!$N449="🆕 Evolução Identificada — Nova Demanda Aberta",'E08 — Estabilização Hypercare'!$U449&lt;&gt;""))),"Concluído",IF(OR(COUNTIF('E08 — Estabilização Hypercare'!$E449:$J449,"✔ Concluído")&gt;0,COUNTIF('E08 — Estabilização Hypercare'!$E449:$J449,"🔄 Em andamento")&gt;0,'E08 — Estabilização Hypercare'!$N449&lt;&gt;""),"Em andamento","Não iniciado")))))</f>
        <v/>
      </c>
      <c r="M467" s="232" t="str" cm="1">
        <f t="array" ref="M467">IF(B467="","",_xlfn.IFS(E467&lt;&gt;"Concluído","E1 — Solicitação",F467&lt;&gt;"Concluído","E2 — Triagem",G467&lt;&gt;"Concluído","E3 — Levantamento ⚠",H467&lt;&gt;"Concluído","E4 — Execução",I467&lt;&gt;"Concluído","E5 — Validação ⚠",AND(J467&lt;&gt;"Concluído",J467&lt;&gt;"N/A"),"E6 — Ajustes",K467&lt;&gt;"Concluído","E7 — Entrega",L467&lt;&gt;"Concluído","E08 — Estabilização / Hypercare",TRUE,"✔ Fluxo concluído"))</f>
        <v/>
      </c>
      <c r="N467" s="233" t="str">
        <f t="shared" si="7"/>
        <v/>
      </c>
      <c r="O467" s="230"/>
    </row>
    <row r="468" spans="2:15" x14ac:dyDescent="0.35">
      <c r="B468" s="229" t="str">
        <f>IF(Lançamentos!$B445="","",Lançamentos!$B445)</f>
        <v/>
      </c>
      <c r="C468" s="231" t="str">
        <f>IF($B468="","",Lançamentos!$J445)</f>
        <v/>
      </c>
      <c r="D468" s="231" t="str">
        <f>IF($B468="","",Lançamentos!$H445)</f>
        <v/>
      </c>
      <c r="E468" s="229" t="str">
        <f>IF($B468="","",IF(COUNTIF(Lançamentos!$B$3:$B$1001,$B468)=0,"Bloqueado",IF(COUNTIF('E1 — Solicitação'!$E450:$L450,"⛔ Bloqueado")&gt;0,"Bloqueado",IF(COUNTIF('E1 — Solicitação'!$E450:$L450,"N/A")=8,"Bloqueado",IF(COUNTIF('E1 — Solicitação'!$E450:$L450,"✔ Concluído")+COUNTIF('E1 — Solicitação'!$E450:$L450,"N/A")=8,"Concluído",IF(COUNTIF('E1 — Solicitação'!$E450:$L450,"✔ Concluído")+COUNTIF('E1 — Solicitação'!$E450:$L450,"🔄 Em andamento")&gt;0,"Em andamento","Não iniciado"))))))</f>
        <v/>
      </c>
      <c r="F468" s="229" t="str">
        <f>IF($B468="","",IF($E468&lt;&gt;"Concluído","Não iniciado",IF(COUNTIF(Lançamentos!$B$3:$B$1001,$B468)=0,"Bloqueado",IF('E2 — Triagem'!$D450="","Bloqueado",IF(COUNTIF('E2 — Triagem'!$E450:$L450,"N/A")=8,"Bloqueado",IF(COUNTIF('E2 — Triagem'!$E450:$L450,"⛔ Bloqueado")&gt;0,"Bloqueado",IF(COUNTIF('E2 — Triagem'!$E450:$L450,"✔ Concluído")+COUNTIF('E2 — Triagem'!$E450:$L450,"N/A")=8,"Concluído",IF(COUNTIF('E2 — Triagem'!$E450:$L450,"✔ Concluído")+COUNTIF('E2 — Triagem'!$E450:$L450,"🔄 Em andamento")&gt;0,"Em andamento","Não iniciado"))))))))</f>
        <v/>
      </c>
      <c r="G468" s="229" t="str">
        <f>IF($B468="","",IF($F468&lt;&gt;"Concluído","Não iniciado",IF(COUNTIF(Lançamentos!$B$3:$B$1001,$B468)=0,"Bloqueado",IF('E3 — Levantamento'!$D450="","Bloqueado",IF(COUNTIF('E3 — Levantamento'!$E450:$I450,"⛔ Bloqueado")&gt;0,"Bloqueado",IF('E3 — Levantamento'!$I450="N/A","Bloqueado",IF(COUNTIF('E3 — Levantamento'!$E450:$I450,"✔ Concluído")=5,"Concluído",IF(COUNTIF('E3 — Levantamento'!$E450:$I450,"✔ Concluído")+COUNTIF('E3 — Levantamento'!$E450:$I450,"🔄 Em andamento")&gt;0,"Em andamento","Não iniciado"))))))))</f>
        <v/>
      </c>
      <c r="H468" s="229" t="str">
        <f>IF($B468="","",IF($G468&lt;&gt;"Concluído","Não iniciado",IF(COUNTIF(Lançamentos!$B$3:$B$1001,$B468)=0,"Bloqueado",IF('E4 — Execução'!$D450="","Bloqueado",IF(COUNTIF('E4 — Execução'!$E450:$K450,"⛔ Bloqueado")&gt;0,"Bloqueado",IF(COUNTIF('E4 — Execução'!$E450:$K450,"✔ Concluído")=7,"Concluído",IF(COUNTIF('E4 — Execução'!$E450:$K450,"✔ Concluído")+COUNTIF('E4 — Execução'!$E450:$K450,"🔄 Em andamento")&gt;0,"Em andamento","Não iniciado")))))))</f>
        <v/>
      </c>
      <c r="I468" s="229" t="str">
        <f>IF($B468="","",IF($H468&lt;&gt;"Concluído","Não iniciado",IF(COUNTIF(Lançamentos!$B$3:$B$1001,$B468)=0,"Bloqueado",IF('E5 — Validação'!$D450="","Bloqueado",IF(COUNTIF('E5 — Validação'!$E450:$I450,"⛔ Bloqueado")&gt;0,"Bloqueado",IF('E5 — Validação'!$I450="N/A","Bloqueado",IF(AND('E5 — Validação'!$E450="✔ Concluído",'E5 — Validação'!$F450="✔ Concluído",OR('E5 — Validação'!$G450="✔ Concluído",'E5 — Validação'!$G450="N/A"),'E5 — Validação'!$H450="✔ Concluído",'E5 — Validação'!$I450="✔ Concluído"),"Concluído",IF(COUNTIF('E5 — Validação'!$E450:$I450,"✔ Concluído")+COUNTIF('E5 — Validação'!$E450:$I450,"🔄 Em andamento")&gt;0,"Em andamento","Não iniciado"))))))))</f>
        <v/>
      </c>
      <c r="J468" s="229" t="str">
        <f>IF($B468="","",IF($I468&lt;&gt;"Concluído","Não iniciado",IF('E6 — Ajustes'!$N450="Não","N/A",IF(COUNTIF(Lançamentos!$B$3:$B$1001,$B468)=0,"Bloqueado",IF('E6 — Ajustes'!$D450="","Bloqueado",IF(COUNTIF('E6 — Ajustes'!$E450:$J450,"⛔ Bloqueado")&gt;0,"Bloqueado",IF(AND('E6 — Ajustes'!$E450="✔ Concluído",'E6 — Ajustes'!$F450="✔ Concluído",'E6 — Ajustes'!$G450="✔ Concluído",'E6 — Ajustes'!$H450="✔ Concluído",OR('E6 — Ajustes'!$I450="✔ Concluído",'E6 — Ajustes'!$I450="N/A"),'E6 — Ajustes'!$J450="✔ Concluído"),"Concluído",IF(COUNTIF('E6 — Ajustes'!$E450:$J450,"✔ Concluído")+COUNTIF('E6 — Ajustes'!$E450:$J450,"🔄 Em andamento")&gt;0,"Em andamento","Não iniciado"))))))))</f>
        <v/>
      </c>
      <c r="K468" s="229" t="str">
        <f>IF($B468="","",IF($I468&lt;&gt;"Concluído","Não iniciado",IF(AND($J468&lt;&gt;"Concluído",$J468&lt;&gt;"N/A"),"Não iniciado",IF(COUNTIF(Lançamentos!$B$3:$B$1001,$B468)=0,"Bloqueado",IF('E7 — Entrega'!$D450="","Bloqueado",IF(COUNTIF('E7 — Entrega'!$E450:$H450,"⛔ Bloqueado")&gt;0,"Bloqueado",IF(COUNTIF('E7 — Entrega'!$E450:$H450,"✔ Concluído")=4,"Concluído",IF(COUNTIF('E7 — Entrega'!$E450:$H450,"✔ Concluído")+COUNTIF('E7 — Entrega'!$E450:$H450,"🔄 Em andamento")&gt;0,"Em andamento","Não iniciado"))))))))</f>
        <v/>
      </c>
      <c r="L468" s="229" t="str">
        <f>IF($B468="","",IF($K468&lt;&gt;"Concluído","Não iniciado",IF(OR(COUNTIF('E08 — Estabilização Hypercare'!$E450:$J450,"⛔ Bloqueado")&gt;0,'E08 — Estabilização Hypercare'!$N450="⛔ Incidente Crítico — Encerramento Bloqueado",AND('E08 — Estabilização Hypercare'!$N450="🆕 Evolução Identificada — Nova Demanda Aberta",'E08 — Estabilização Hypercare'!$U450="")),"Bloqueado",IF(AND('E08 — Estabilização Hypercare'!$E450="✔ Concluído",'E08 — Estabilização Hypercare'!$F450="✔ Concluído",'E08 — Estabilização Hypercare'!$G450="✔ Concluído",OR('E08 — Estabilização Hypercare'!$H450="✔ Concluído",'E08 — Estabilização Hypercare'!$H450="N/A"),'E08 — Estabilização Hypercare'!$I450="✔ Concluído",'E08 — Estabilização Hypercare'!$J450="✔ Concluído",OR('E08 — Estabilização Hypercare'!$N450="✅ Estável — Demanda Encerrada",AND('E08 — Estabilização Hypercare'!$N450="🆕 Evolução Identificada — Nova Demanda Aberta",'E08 — Estabilização Hypercare'!$U450&lt;&gt;""))),"Concluído",IF(OR(COUNTIF('E08 — Estabilização Hypercare'!$E450:$J450,"✔ Concluído")&gt;0,COUNTIF('E08 — Estabilização Hypercare'!$E450:$J450,"🔄 Em andamento")&gt;0,'E08 — Estabilização Hypercare'!$N450&lt;&gt;""),"Em andamento","Não iniciado")))))</f>
        <v/>
      </c>
      <c r="M468" s="232" t="str" cm="1">
        <f t="array" ref="M468">IF(B468="","",_xlfn.IFS(E468&lt;&gt;"Concluído","E1 — Solicitação",F468&lt;&gt;"Concluído","E2 — Triagem",G468&lt;&gt;"Concluído","E3 — Levantamento ⚠",H468&lt;&gt;"Concluído","E4 — Execução",I468&lt;&gt;"Concluído","E5 — Validação ⚠",AND(J468&lt;&gt;"Concluído",J468&lt;&gt;"N/A"),"E6 — Ajustes",K468&lt;&gt;"Concluído","E7 — Entrega",L468&lt;&gt;"Concluído","E08 — Estabilização / Hypercare",TRUE,"✔ Fluxo concluído"))</f>
        <v/>
      </c>
      <c r="N468" s="233" t="str">
        <f t="shared" si="7"/>
        <v/>
      </c>
      <c r="O468" s="230"/>
    </row>
    <row r="469" spans="2:15" x14ac:dyDescent="0.35">
      <c r="B469" s="229" t="str">
        <f>IF(Lançamentos!$B446="","",Lançamentos!$B446)</f>
        <v/>
      </c>
      <c r="C469" s="231" t="str">
        <f>IF($B469="","",Lançamentos!$J446)</f>
        <v/>
      </c>
      <c r="D469" s="231" t="str">
        <f>IF($B469="","",Lançamentos!$H446)</f>
        <v/>
      </c>
      <c r="E469" s="229" t="str">
        <f>IF($B469="","",IF(COUNTIF(Lançamentos!$B$3:$B$1001,$B469)=0,"Bloqueado",IF(COUNTIF('E1 — Solicitação'!$E451:$L451,"⛔ Bloqueado")&gt;0,"Bloqueado",IF(COUNTIF('E1 — Solicitação'!$E451:$L451,"N/A")=8,"Bloqueado",IF(COUNTIF('E1 — Solicitação'!$E451:$L451,"✔ Concluído")+COUNTIF('E1 — Solicitação'!$E451:$L451,"N/A")=8,"Concluído",IF(COUNTIF('E1 — Solicitação'!$E451:$L451,"✔ Concluído")+COUNTIF('E1 — Solicitação'!$E451:$L451,"🔄 Em andamento")&gt;0,"Em andamento","Não iniciado"))))))</f>
        <v/>
      </c>
      <c r="F469" s="229" t="str">
        <f>IF($B469="","",IF($E469&lt;&gt;"Concluído","Não iniciado",IF(COUNTIF(Lançamentos!$B$3:$B$1001,$B469)=0,"Bloqueado",IF('E2 — Triagem'!$D451="","Bloqueado",IF(COUNTIF('E2 — Triagem'!$E451:$L451,"N/A")=8,"Bloqueado",IF(COUNTIF('E2 — Triagem'!$E451:$L451,"⛔ Bloqueado")&gt;0,"Bloqueado",IF(COUNTIF('E2 — Triagem'!$E451:$L451,"✔ Concluído")+COUNTIF('E2 — Triagem'!$E451:$L451,"N/A")=8,"Concluído",IF(COUNTIF('E2 — Triagem'!$E451:$L451,"✔ Concluído")+COUNTIF('E2 — Triagem'!$E451:$L451,"🔄 Em andamento")&gt;0,"Em andamento","Não iniciado"))))))))</f>
        <v/>
      </c>
      <c r="G469" s="229" t="str">
        <f>IF($B469="","",IF($F469&lt;&gt;"Concluído","Não iniciado",IF(COUNTIF(Lançamentos!$B$3:$B$1001,$B469)=0,"Bloqueado",IF('E3 — Levantamento'!$D451="","Bloqueado",IF(COUNTIF('E3 — Levantamento'!$E451:$I451,"⛔ Bloqueado")&gt;0,"Bloqueado",IF('E3 — Levantamento'!$I451="N/A","Bloqueado",IF(COUNTIF('E3 — Levantamento'!$E451:$I451,"✔ Concluído")=5,"Concluído",IF(COUNTIF('E3 — Levantamento'!$E451:$I451,"✔ Concluído")+COUNTIF('E3 — Levantamento'!$E451:$I451,"🔄 Em andamento")&gt;0,"Em andamento","Não iniciado"))))))))</f>
        <v/>
      </c>
      <c r="H469" s="229" t="str">
        <f>IF($B469="","",IF($G469&lt;&gt;"Concluído","Não iniciado",IF(COUNTIF(Lançamentos!$B$3:$B$1001,$B469)=0,"Bloqueado",IF('E4 — Execução'!$D451="","Bloqueado",IF(COUNTIF('E4 — Execução'!$E451:$K451,"⛔ Bloqueado")&gt;0,"Bloqueado",IF(COUNTIF('E4 — Execução'!$E451:$K451,"✔ Concluído")=7,"Concluído",IF(COUNTIF('E4 — Execução'!$E451:$K451,"✔ Concluído")+COUNTIF('E4 — Execução'!$E451:$K451,"🔄 Em andamento")&gt;0,"Em andamento","Não iniciado")))))))</f>
        <v/>
      </c>
      <c r="I469" s="229" t="str">
        <f>IF($B469="","",IF($H469&lt;&gt;"Concluído","Não iniciado",IF(COUNTIF(Lançamentos!$B$3:$B$1001,$B469)=0,"Bloqueado",IF('E5 — Validação'!$D451="","Bloqueado",IF(COUNTIF('E5 — Validação'!$E451:$I451,"⛔ Bloqueado")&gt;0,"Bloqueado",IF('E5 — Validação'!$I451="N/A","Bloqueado",IF(AND('E5 — Validação'!$E451="✔ Concluído",'E5 — Validação'!$F451="✔ Concluído",OR('E5 — Validação'!$G451="✔ Concluído",'E5 — Validação'!$G451="N/A"),'E5 — Validação'!$H451="✔ Concluído",'E5 — Validação'!$I451="✔ Concluído"),"Concluído",IF(COUNTIF('E5 — Validação'!$E451:$I451,"✔ Concluído")+COUNTIF('E5 — Validação'!$E451:$I451,"🔄 Em andamento")&gt;0,"Em andamento","Não iniciado"))))))))</f>
        <v/>
      </c>
      <c r="J469" s="229" t="str">
        <f>IF($B469="","",IF($I469&lt;&gt;"Concluído","Não iniciado",IF('E6 — Ajustes'!$N451="Não","N/A",IF(COUNTIF(Lançamentos!$B$3:$B$1001,$B469)=0,"Bloqueado",IF('E6 — Ajustes'!$D451="","Bloqueado",IF(COUNTIF('E6 — Ajustes'!$E451:$J451,"⛔ Bloqueado")&gt;0,"Bloqueado",IF(AND('E6 — Ajustes'!$E451="✔ Concluído",'E6 — Ajustes'!$F451="✔ Concluído",'E6 — Ajustes'!$G451="✔ Concluído",'E6 — Ajustes'!$H451="✔ Concluído",OR('E6 — Ajustes'!$I451="✔ Concluído",'E6 — Ajustes'!$I451="N/A"),'E6 — Ajustes'!$J451="✔ Concluído"),"Concluído",IF(COUNTIF('E6 — Ajustes'!$E451:$J451,"✔ Concluído")+COUNTIF('E6 — Ajustes'!$E451:$J451,"🔄 Em andamento")&gt;0,"Em andamento","Não iniciado"))))))))</f>
        <v/>
      </c>
      <c r="K469" s="229" t="str">
        <f>IF($B469="","",IF($I469&lt;&gt;"Concluído","Não iniciado",IF(AND($J469&lt;&gt;"Concluído",$J469&lt;&gt;"N/A"),"Não iniciado",IF(COUNTIF(Lançamentos!$B$3:$B$1001,$B469)=0,"Bloqueado",IF('E7 — Entrega'!$D451="","Bloqueado",IF(COUNTIF('E7 — Entrega'!$E451:$H451,"⛔ Bloqueado")&gt;0,"Bloqueado",IF(COUNTIF('E7 — Entrega'!$E451:$H451,"✔ Concluído")=4,"Concluído",IF(COUNTIF('E7 — Entrega'!$E451:$H451,"✔ Concluído")+COUNTIF('E7 — Entrega'!$E451:$H451,"🔄 Em andamento")&gt;0,"Em andamento","Não iniciado"))))))))</f>
        <v/>
      </c>
      <c r="L469" s="229" t="str">
        <f>IF($B469="","",IF($K469&lt;&gt;"Concluído","Não iniciado",IF(OR(COUNTIF('E08 — Estabilização Hypercare'!$E451:$J451,"⛔ Bloqueado")&gt;0,'E08 — Estabilização Hypercare'!$N451="⛔ Incidente Crítico — Encerramento Bloqueado",AND('E08 — Estabilização Hypercare'!$N451="🆕 Evolução Identificada — Nova Demanda Aberta",'E08 — Estabilização Hypercare'!$U451="")),"Bloqueado",IF(AND('E08 — Estabilização Hypercare'!$E451="✔ Concluído",'E08 — Estabilização Hypercare'!$F451="✔ Concluído",'E08 — Estabilização Hypercare'!$G451="✔ Concluído",OR('E08 — Estabilização Hypercare'!$H451="✔ Concluído",'E08 — Estabilização Hypercare'!$H451="N/A"),'E08 — Estabilização Hypercare'!$I451="✔ Concluído",'E08 — Estabilização Hypercare'!$J451="✔ Concluído",OR('E08 — Estabilização Hypercare'!$N451="✅ Estável — Demanda Encerrada",AND('E08 — Estabilização Hypercare'!$N451="🆕 Evolução Identificada — Nova Demanda Aberta",'E08 — Estabilização Hypercare'!$U451&lt;&gt;""))),"Concluído",IF(OR(COUNTIF('E08 — Estabilização Hypercare'!$E451:$J451,"✔ Concluído")&gt;0,COUNTIF('E08 — Estabilização Hypercare'!$E451:$J451,"🔄 Em andamento")&gt;0,'E08 — Estabilização Hypercare'!$N451&lt;&gt;""),"Em andamento","Não iniciado")))))</f>
        <v/>
      </c>
      <c r="M469" s="232" t="str" cm="1">
        <f t="array" ref="M469">IF(B469="","",_xlfn.IFS(E469&lt;&gt;"Concluído","E1 — Solicitação",F469&lt;&gt;"Concluído","E2 — Triagem",G469&lt;&gt;"Concluído","E3 — Levantamento ⚠",H469&lt;&gt;"Concluído","E4 — Execução",I469&lt;&gt;"Concluído","E5 — Validação ⚠",AND(J469&lt;&gt;"Concluído",J469&lt;&gt;"N/A"),"E6 — Ajustes",K469&lt;&gt;"Concluído","E7 — Entrega",L469&lt;&gt;"Concluído","E08 — Estabilização / Hypercare",TRUE,"✔ Fluxo concluído"))</f>
        <v/>
      </c>
      <c r="N469" s="233" t="str">
        <f t="shared" si="7"/>
        <v/>
      </c>
      <c r="O469" s="230"/>
    </row>
    <row r="470" spans="2:15" x14ac:dyDescent="0.35">
      <c r="B470" s="229" t="str">
        <f>IF(Lançamentos!$B447="","",Lançamentos!$B447)</f>
        <v/>
      </c>
      <c r="C470" s="231" t="str">
        <f>IF($B470="","",Lançamentos!$J447)</f>
        <v/>
      </c>
      <c r="D470" s="231" t="str">
        <f>IF($B470="","",Lançamentos!$H447)</f>
        <v/>
      </c>
      <c r="E470" s="229" t="str">
        <f>IF($B470="","",IF(COUNTIF(Lançamentos!$B$3:$B$1001,$B470)=0,"Bloqueado",IF(COUNTIF('E1 — Solicitação'!$E452:$L452,"⛔ Bloqueado")&gt;0,"Bloqueado",IF(COUNTIF('E1 — Solicitação'!$E452:$L452,"N/A")=8,"Bloqueado",IF(COUNTIF('E1 — Solicitação'!$E452:$L452,"✔ Concluído")+COUNTIF('E1 — Solicitação'!$E452:$L452,"N/A")=8,"Concluído",IF(COUNTIF('E1 — Solicitação'!$E452:$L452,"✔ Concluído")+COUNTIF('E1 — Solicitação'!$E452:$L452,"🔄 Em andamento")&gt;0,"Em andamento","Não iniciado"))))))</f>
        <v/>
      </c>
      <c r="F470" s="229" t="str">
        <f>IF($B470="","",IF($E470&lt;&gt;"Concluído","Não iniciado",IF(COUNTIF(Lançamentos!$B$3:$B$1001,$B470)=0,"Bloqueado",IF('E2 — Triagem'!$D452="","Bloqueado",IF(COUNTIF('E2 — Triagem'!$E452:$L452,"N/A")=8,"Bloqueado",IF(COUNTIF('E2 — Triagem'!$E452:$L452,"⛔ Bloqueado")&gt;0,"Bloqueado",IF(COUNTIF('E2 — Triagem'!$E452:$L452,"✔ Concluído")+COUNTIF('E2 — Triagem'!$E452:$L452,"N/A")=8,"Concluído",IF(COUNTIF('E2 — Triagem'!$E452:$L452,"✔ Concluído")+COUNTIF('E2 — Triagem'!$E452:$L452,"🔄 Em andamento")&gt;0,"Em andamento","Não iniciado"))))))))</f>
        <v/>
      </c>
      <c r="G470" s="229" t="str">
        <f>IF($B470="","",IF($F470&lt;&gt;"Concluído","Não iniciado",IF(COUNTIF(Lançamentos!$B$3:$B$1001,$B470)=0,"Bloqueado",IF('E3 — Levantamento'!$D452="","Bloqueado",IF(COUNTIF('E3 — Levantamento'!$E452:$I452,"⛔ Bloqueado")&gt;0,"Bloqueado",IF('E3 — Levantamento'!$I452="N/A","Bloqueado",IF(COUNTIF('E3 — Levantamento'!$E452:$I452,"✔ Concluído")=5,"Concluído",IF(COUNTIF('E3 — Levantamento'!$E452:$I452,"✔ Concluído")+COUNTIF('E3 — Levantamento'!$E452:$I452,"🔄 Em andamento")&gt;0,"Em andamento","Não iniciado"))))))))</f>
        <v/>
      </c>
      <c r="H470" s="229" t="str">
        <f>IF($B470="","",IF($G470&lt;&gt;"Concluído","Não iniciado",IF(COUNTIF(Lançamentos!$B$3:$B$1001,$B470)=0,"Bloqueado",IF('E4 — Execução'!$D452="","Bloqueado",IF(COUNTIF('E4 — Execução'!$E452:$K452,"⛔ Bloqueado")&gt;0,"Bloqueado",IF(COUNTIF('E4 — Execução'!$E452:$K452,"✔ Concluído")=7,"Concluído",IF(COUNTIF('E4 — Execução'!$E452:$K452,"✔ Concluído")+COUNTIF('E4 — Execução'!$E452:$K452,"🔄 Em andamento")&gt;0,"Em andamento","Não iniciado")))))))</f>
        <v/>
      </c>
      <c r="I470" s="229" t="str">
        <f>IF($B470="","",IF($H470&lt;&gt;"Concluído","Não iniciado",IF(COUNTIF(Lançamentos!$B$3:$B$1001,$B470)=0,"Bloqueado",IF('E5 — Validação'!$D452="","Bloqueado",IF(COUNTIF('E5 — Validação'!$E452:$I452,"⛔ Bloqueado")&gt;0,"Bloqueado",IF('E5 — Validação'!$I452="N/A","Bloqueado",IF(AND('E5 — Validação'!$E452="✔ Concluído",'E5 — Validação'!$F452="✔ Concluído",OR('E5 — Validação'!$G452="✔ Concluído",'E5 — Validação'!$G452="N/A"),'E5 — Validação'!$H452="✔ Concluído",'E5 — Validação'!$I452="✔ Concluído"),"Concluído",IF(COUNTIF('E5 — Validação'!$E452:$I452,"✔ Concluído")+COUNTIF('E5 — Validação'!$E452:$I452,"🔄 Em andamento")&gt;0,"Em andamento","Não iniciado"))))))))</f>
        <v/>
      </c>
      <c r="J470" s="229" t="str">
        <f>IF($B470="","",IF($I470&lt;&gt;"Concluído","Não iniciado",IF('E6 — Ajustes'!$N452="Não","N/A",IF(COUNTIF(Lançamentos!$B$3:$B$1001,$B470)=0,"Bloqueado",IF('E6 — Ajustes'!$D452="","Bloqueado",IF(COUNTIF('E6 — Ajustes'!$E452:$J452,"⛔ Bloqueado")&gt;0,"Bloqueado",IF(AND('E6 — Ajustes'!$E452="✔ Concluído",'E6 — Ajustes'!$F452="✔ Concluído",'E6 — Ajustes'!$G452="✔ Concluído",'E6 — Ajustes'!$H452="✔ Concluído",OR('E6 — Ajustes'!$I452="✔ Concluído",'E6 — Ajustes'!$I452="N/A"),'E6 — Ajustes'!$J452="✔ Concluído"),"Concluído",IF(COUNTIF('E6 — Ajustes'!$E452:$J452,"✔ Concluído")+COUNTIF('E6 — Ajustes'!$E452:$J452,"🔄 Em andamento")&gt;0,"Em andamento","Não iniciado"))))))))</f>
        <v/>
      </c>
      <c r="K470" s="229" t="str">
        <f>IF($B470="","",IF($I470&lt;&gt;"Concluído","Não iniciado",IF(AND($J470&lt;&gt;"Concluído",$J470&lt;&gt;"N/A"),"Não iniciado",IF(COUNTIF(Lançamentos!$B$3:$B$1001,$B470)=0,"Bloqueado",IF('E7 — Entrega'!$D452="","Bloqueado",IF(COUNTIF('E7 — Entrega'!$E452:$H452,"⛔ Bloqueado")&gt;0,"Bloqueado",IF(COUNTIF('E7 — Entrega'!$E452:$H452,"✔ Concluído")=4,"Concluído",IF(COUNTIF('E7 — Entrega'!$E452:$H452,"✔ Concluído")+COUNTIF('E7 — Entrega'!$E452:$H452,"🔄 Em andamento")&gt;0,"Em andamento","Não iniciado"))))))))</f>
        <v/>
      </c>
      <c r="L470" s="229" t="str">
        <f>IF($B470="","",IF($K470&lt;&gt;"Concluído","Não iniciado",IF(OR(COUNTIF('E08 — Estabilização Hypercare'!$E452:$J452,"⛔ Bloqueado")&gt;0,'E08 — Estabilização Hypercare'!$N452="⛔ Incidente Crítico — Encerramento Bloqueado",AND('E08 — Estabilização Hypercare'!$N452="🆕 Evolução Identificada — Nova Demanda Aberta",'E08 — Estabilização Hypercare'!$U452="")),"Bloqueado",IF(AND('E08 — Estabilização Hypercare'!$E452="✔ Concluído",'E08 — Estabilização Hypercare'!$F452="✔ Concluído",'E08 — Estabilização Hypercare'!$G452="✔ Concluído",OR('E08 — Estabilização Hypercare'!$H452="✔ Concluído",'E08 — Estabilização Hypercare'!$H452="N/A"),'E08 — Estabilização Hypercare'!$I452="✔ Concluído",'E08 — Estabilização Hypercare'!$J452="✔ Concluído",OR('E08 — Estabilização Hypercare'!$N452="✅ Estável — Demanda Encerrada",AND('E08 — Estabilização Hypercare'!$N452="🆕 Evolução Identificada — Nova Demanda Aberta",'E08 — Estabilização Hypercare'!$U452&lt;&gt;""))),"Concluído",IF(OR(COUNTIF('E08 — Estabilização Hypercare'!$E452:$J452,"✔ Concluído")&gt;0,COUNTIF('E08 — Estabilização Hypercare'!$E452:$J452,"🔄 Em andamento")&gt;0,'E08 — Estabilização Hypercare'!$N452&lt;&gt;""),"Em andamento","Não iniciado")))))</f>
        <v/>
      </c>
      <c r="M470" s="232" t="str" cm="1">
        <f t="array" ref="M470">IF(B470="","",_xlfn.IFS(E470&lt;&gt;"Concluído","E1 — Solicitação",F470&lt;&gt;"Concluído","E2 — Triagem",G470&lt;&gt;"Concluído","E3 — Levantamento ⚠",H470&lt;&gt;"Concluído","E4 — Execução",I470&lt;&gt;"Concluído","E5 — Validação ⚠",AND(J470&lt;&gt;"Concluído",J470&lt;&gt;"N/A"),"E6 — Ajustes",K470&lt;&gt;"Concluído","E7 — Entrega",L470&lt;&gt;"Concluído","E08 — Estabilização / Hypercare",TRUE,"✔ Fluxo concluído"))</f>
        <v/>
      </c>
      <c r="N470" s="233" t="str">
        <f t="shared" si="7"/>
        <v/>
      </c>
      <c r="O470" s="230"/>
    </row>
    <row r="471" spans="2:15" x14ac:dyDescent="0.35">
      <c r="B471" s="229" t="str">
        <f>IF(Lançamentos!$B448="","",Lançamentos!$B448)</f>
        <v/>
      </c>
      <c r="C471" s="231" t="str">
        <f>IF($B471="","",Lançamentos!$J448)</f>
        <v/>
      </c>
      <c r="D471" s="231" t="str">
        <f>IF($B471="","",Lançamentos!$H448)</f>
        <v/>
      </c>
      <c r="E471" s="229" t="str">
        <f>IF($B471="","",IF(COUNTIF(Lançamentos!$B$3:$B$1001,$B471)=0,"Bloqueado",IF(COUNTIF('E1 — Solicitação'!$E453:$L453,"⛔ Bloqueado")&gt;0,"Bloqueado",IF(COUNTIF('E1 — Solicitação'!$E453:$L453,"N/A")=8,"Bloqueado",IF(COUNTIF('E1 — Solicitação'!$E453:$L453,"✔ Concluído")+COUNTIF('E1 — Solicitação'!$E453:$L453,"N/A")=8,"Concluído",IF(COUNTIF('E1 — Solicitação'!$E453:$L453,"✔ Concluído")+COUNTIF('E1 — Solicitação'!$E453:$L453,"🔄 Em andamento")&gt;0,"Em andamento","Não iniciado"))))))</f>
        <v/>
      </c>
      <c r="F471" s="229" t="str">
        <f>IF($B471="","",IF($E471&lt;&gt;"Concluído","Não iniciado",IF(COUNTIF(Lançamentos!$B$3:$B$1001,$B471)=0,"Bloqueado",IF('E2 — Triagem'!$D453="","Bloqueado",IF(COUNTIF('E2 — Triagem'!$E453:$L453,"N/A")=8,"Bloqueado",IF(COUNTIF('E2 — Triagem'!$E453:$L453,"⛔ Bloqueado")&gt;0,"Bloqueado",IF(COUNTIF('E2 — Triagem'!$E453:$L453,"✔ Concluído")+COUNTIF('E2 — Triagem'!$E453:$L453,"N/A")=8,"Concluído",IF(COUNTIF('E2 — Triagem'!$E453:$L453,"✔ Concluído")+COUNTIF('E2 — Triagem'!$E453:$L453,"🔄 Em andamento")&gt;0,"Em andamento","Não iniciado"))))))))</f>
        <v/>
      </c>
      <c r="G471" s="229" t="str">
        <f>IF($B471="","",IF($F471&lt;&gt;"Concluído","Não iniciado",IF(COUNTIF(Lançamentos!$B$3:$B$1001,$B471)=0,"Bloqueado",IF('E3 — Levantamento'!$D453="","Bloqueado",IF(COUNTIF('E3 — Levantamento'!$E453:$I453,"⛔ Bloqueado")&gt;0,"Bloqueado",IF('E3 — Levantamento'!$I453="N/A","Bloqueado",IF(COUNTIF('E3 — Levantamento'!$E453:$I453,"✔ Concluído")=5,"Concluído",IF(COUNTIF('E3 — Levantamento'!$E453:$I453,"✔ Concluído")+COUNTIF('E3 — Levantamento'!$E453:$I453,"🔄 Em andamento")&gt;0,"Em andamento","Não iniciado"))))))))</f>
        <v/>
      </c>
      <c r="H471" s="229" t="str">
        <f>IF($B471="","",IF($G471&lt;&gt;"Concluído","Não iniciado",IF(COUNTIF(Lançamentos!$B$3:$B$1001,$B471)=0,"Bloqueado",IF('E4 — Execução'!$D453="","Bloqueado",IF(COUNTIF('E4 — Execução'!$E453:$K453,"⛔ Bloqueado")&gt;0,"Bloqueado",IF(COUNTIF('E4 — Execução'!$E453:$K453,"✔ Concluído")=7,"Concluído",IF(COUNTIF('E4 — Execução'!$E453:$K453,"✔ Concluído")+COUNTIF('E4 — Execução'!$E453:$K453,"🔄 Em andamento")&gt;0,"Em andamento","Não iniciado")))))))</f>
        <v/>
      </c>
      <c r="I471" s="229" t="str">
        <f>IF($B471="","",IF($H471&lt;&gt;"Concluído","Não iniciado",IF(COUNTIF(Lançamentos!$B$3:$B$1001,$B471)=0,"Bloqueado",IF('E5 — Validação'!$D453="","Bloqueado",IF(COUNTIF('E5 — Validação'!$E453:$I453,"⛔ Bloqueado")&gt;0,"Bloqueado",IF('E5 — Validação'!$I453="N/A","Bloqueado",IF(AND('E5 — Validação'!$E453="✔ Concluído",'E5 — Validação'!$F453="✔ Concluído",OR('E5 — Validação'!$G453="✔ Concluído",'E5 — Validação'!$G453="N/A"),'E5 — Validação'!$H453="✔ Concluído",'E5 — Validação'!$I453="✔ Concluído"),"Concluído",IF(COUNTIF('E5 — Validação'!$E453:$I453,"✔ Concluído")+COUNTIF('E5 — Validação'!$E453:$I453,"🔄 Em andamento")&gt;0,"Em andamento","Não iniciado"))))))))</f>
        <v/>
      </c>
      <c r="J471" s="229" t="str">
        <f>IF($B471="","",IF($I471&lt;&gt;"Concluído","Não iniciado",IF('E6 — Ajustes'!$N453="Não","N/A",IF(COUNTIF(Lançamentos!$B$3:$B$1001,$B471)=0,"Bloqueado",IF('E6 — Ajustes'!$D453="","Bloqueado",IF(COUNTIF('E6 — Ajustes'!$E453:$J453,"⛔ Bloqueado")&gt;0,"Bloqueado",IF(AND('E6 — Ajustes'!$E453="✔ Concluído",'E6 — Ajustes'!$F453="✔ Concluído",'E6 — Ajustes'!$G453="✔ Concluído",'E6 — Ajustes'!$H453="✔ Concluído",OR('E6 — Ajustes'!$I453="✔ Concluído",'E6 — Ajustes'!$I453="N/A"),'E6 — Ajustes'!$J453="✔ Concluído"),"Concluído",IF(COUNTIF('E6 — Ajustes'!$E453:$J453,"✔ Concluído")+COUNTIF('E6 — Ajustes'!$E453:$J453,"🔄 Em andamento")&gt;0,"Em andamento","Não iniciado"))))))))</f>
        <v/>
      </c>
      <c r="K471" s="229" t="str">
        <f>IF($B471="","",IF($I471&lt;&gt;"Concluído","Não iniciado",IF(AND($J471&lt;&gt;"Concluído",$J471&lt;&gt;"N/A"),"Não iniciado",IF(COUNTIF(Lançamentos!$B$3:$B$1001,$B471)=0,"Bloqueado",IF('E7 — Entrega'!$D453="","Bloqueado",IF(COUNTIF('E7 — Entrega'!$E453:$H453,"⛔ Bloqueado")&gt;0,"Bloqueado",IF(COUNTIF('E7 — Entrega'!$E453:$H453,"✔ Concluído")=4,"Concluído",IF(COUNTIF('E7 — Entrega'!$E453:$H453,"✔ Concluído")+COUNTIF('E7 — Entrega'!$E453:$H453,"🔄 Em andamento")&gt;0,"Em andamento","Não iniciado"))))))))</f>
        <v/>
      </c>
      <c r="L471" s="229" t="str">
        <f>IF($B471="","",IF($K471&lt;&gt;"Concluído","Não iniciado",IF(OR(COUNTIF('E08 — Estabilização Hypercare'!$E453:$J453,"⛔ Bloqueado")&gt;0,'E08 — Estabilização Hypercare'!$N453="⛔ Incidente Crítico — Encerramento Bloqueado",AND('E08 — Estabilização Hypercare'!$N453="🆕 Evolução Identificada — Nova Demanda Aberta",'E08 — Estabilização Hypercare'!$U453="")),"Bloqueado",IF(AND('E08 — Estabilização Hypercare'!$E453="✔ Concluído",'E08 — Estabilização Hypercare'!$F453="✔ Concluído",'E08 — Estabilização Hypercare'!$G453="✔ Concluído",OR('E08 — Estabilização Hypercare'!$H453="✔ Concluído",'E08 — Estabilização Hypercare'!$H453="N/A"),'E08 — Estabilização Hypercare'!$I453="✔ Concluído",'E08 — Estabilização Hypercare'!$J453="✔ Concluído",OR('E08 — Estabilização Hypercare'!$N453="✅ Estável — Demanda Encerrada",AND('E08 — Estabilização Hypercare'!$N453="🆕 Evolução Identificada — Nova Demanda Aberta",'E08 — Estabilização Hypercare'!$U453&lt;&gt;""))),"Concluído",IF(OR(COUNTIF('E08 — Estabilização Hypercare'!$E453:$J453,"✔ Concluído")&gt;0,COUNTIF('E08 — Estabilização Hypercare'!$E453:$J453,"🔄 Em andamento")&gt;0,'E08 — Estabilização Hypercare'!$N453&lt;&gt;""),"Em andamento","Não iniciado")))))</f>
        <v/>
      </c>
      <c r="M471" s="232" t="str" cm="1">
        <f t="array" ref="M471">IF(B471="","",_xlfn.IFS(E471&lt;&gt;"Concluído","E1 — Solicitação",F471&lt;&gt;"Concluído","E2 — Triagem",G471&lt;&gt;"Concluído","E3 — Levantamento ⚠",H471&lt;&gt;"Concluído","E4 — Execução",I471&lt;&gt;"Concluído","E5 — Validação ⚠",AND(J471&lt;&gt;"Concluído",J471&lt;&gt;"N/A"),"E6 — Ajustes",K471&lt;&gt;"Concluído","E7 — Entrega",L471&lt;&gt;"Concluído","E08 — Estabilização / Hypercare",TRUE,"✔ Fluxo concluído"))</f>
        <v/>
      </c>
      <c r="N471" s="233" t="str">
        <f t="shared" si="7"/>
        <v/>
      </c>
      <c r="O471" s="230"/>
    </row>
    <row r="472" spans="2:15" x14ac:dyDescent="0.35">
      <c r="B472" s="229" t="str">
        <f>IF(Lançamentos!$B449="","",Lançamentos!$B449)</f>
        <v/>
      </c>
      <c r="C472" s="231" t="str">
        <f>IF($B472="","",Lançamentos!$J449)</f>
        <v/>
      </c>
      <c r="D472" s="231" t="str">
        <f>IF($B472="","",Lançamentos!$H449)</f>
        <v/>
      </c>
      <c r="E472" s="229" t="str">
        <f>IF($B472="","",IF(COUNTIF(Lançamentos!$B$3:$B$1001,$B472)=0,"Bloqueado",IF(COUNTIF('E1 — Solicitação'!$E454:$L454,"⛔ Bloqueado")&gt;0,"Bloqueado",IF(COUNTIF('E1 — Solicitação'!$E454:$L454,"N/A")=8,"Bloqueado",IF(COUNTIF('E1 — Solicitação'!$E454:$L454,"✔ Concluído")+COUNTIF('E1 — Solicitação'!$E454:$L454,"N/A")=8,"Concluído",IF(COUNTIF('E1 — Solicitação'!$E454:$L454,"✔ Concluído")+COUNTIF('E1 — Solicitação'!$E454:$L454,"🔄 Em andamento")&gt;0,"Em andamento","Não iniciado"))))))</f>
        <v/>
      </c>
      <c r="F472" s="229" t="str">
        <f>IF($B472="","",IF($E472&lt;&gt;"Concluído","Não iniciado",IF(COUNTIF(Lançamentos!$B$3:$B$1001,$B472)=0,"Bloqueado",IF('E2 — Triagem'!$D454="","Bloqueado",IF(COUNTIF('E2 — Triagem'!$E454:$L454,"N/A")=8,"Bloqueado",IF(COUNTIF('E2 — Triagem'!$E454:$L454,"⛔ Bloqueado")&gt;0,"Bloqueado",IF(COUNTIF('E2 — Triagem'!$E454:$L454,"✔ Concluído")+COUNTIF('E2 — Triagem'!$E454:$L454,"N/A")=8,"Concluído",IF(COUNTIF('E2 — Triagem'!$E454:$L454,"✔ Concluído")+COUNTIF('E2 — Triagem'!$E454:$L454,"🔄 Em andamento")&gt;0,"Em andamento","Não iniciado"))))))))</f>
        <v/>
      </c>
      <c r="G472" s="229" t="str">
        <f>IF($B472="","",IF($F472&lt;&gt;"Concluído","Não iniciado",IF(COUNTIF(Lançamentos!$B$3:$B$1001,$B472)=0,"Bloqueado",IF('E3 — Levantamento'!$D454="","Bloqueado",IF(COUNTIF('E3 — Levantamento'!$E454:$I454,"⛔ Bloqueado")&gt;0,"Bloqueado",IF('E3 — Levantamento'!$I454="N/A","Bloqueado",IF(COUNTIF('E3 — Levantamento'!$E454:$I454,"✔ Concluído")=5,"Concluído",IF(COUNTIF('E3 — Levantamento'!$E454:$I454,"✔ Concluído")+COUNTIF('E3 — Levantamento'!$E454:$I454,"🔄 Em andamento")&gt;0,"Em andamento","Não iniciado"))))))))</f>
        <v/>
      </c>
      <c r="H472" s="229" t="str">
        <f>IF($B472="","",IF($G472&lt;&gt;"Concluído","Não iniciado",IF(COUNTIF(Lançamentos!$B$3:$B$1001,$B472)=0,"Bloqueado",IF('E4 — Execução'!$D454="","Bloqueado",IF(COUNTIF('E4 — Execução'!$E454:$K454,"⛔ Bloqueado")&gt;0,"Bloqueado",IF(COUNTIF('E4 — Execução'!$E454:$K454,"✔ Concluído")=7,"Concluído",IF(COUNTIF('E4 — Execução'!$E454:$K454,"✔ Concluído")+COUNTIF('E4 — Execução'!$E454:$K454,"🔄 Em andamento")&gt;0,"Em andamento","Não iniciado")))))))</f>
        <v/>
      </c>
      <c r="I472" s="229" t="str">
        <f>IF($B472="","",IF($H472&lt;&gt;"Concluído","Não iniciado",IF(COUNTIF(Lançamentos!$B$3:$B$1001,$B472)=0,"Bloqueado",IF('E5 — Validação'!$D454="","Bloqueado",IF(COUNTIF('E5 — Validação'!$E454:$I454,"⛔ Bloqueado")&gt;0,"Bloqueado",IF('E5 — Validação'!$I454="N/A","Bloqueado",IF(AND('E5 — Validação'!$E454="✔ Concluído",'E5 — Validação'!$F454="✔ Concluído",OR('E5 — Validação'!$G454="✔ Concluído",'E5 — Validação'!$G454="N/A"),'E5 — Validação'!$H454="✔ Concluído",'E5 — Validação'!$I454="✔ Concluído"),"Concluído",IF(COUNTIF('E5 — Validação'!$E454:$I454,"✔ Concluído")+COUNTIF('E5 — Validação'!$E454:$I454,"🔄 Em andamento")&gt;0,"Em andamento","Não iniciado"))))))))</f>
        <v/>
      </c>
      <c r="J472" s="229" t="str">
        <f>IF($B472="","",IF($I472&lt;&gt;"Concluído","Não iniciado",IF('E6 — Ajustes'!$N454="Não","N/A",IF(COUNTIF(Lançamentos!$B$3:$B$1001,$B472)=0,"Bloqueado",IF('E6 — Ajustes'!$D454="","Bloqueado",IF(COUNTIF('E6 — Ajustes'!$E454:$J454,"⛔ Bloqueado")&gt;0,"Bloqueado",IF(AND('E6 — Ajustes'!$E454="✔ Concluído",'E6 — Ajustes'!$F454="✔ Concluído",'E6 — Ajustes'!$G454="✔ Concluído",'E6 — Ajustes'!$H454="✔ Concluído",OR('E6 — Ajustes'!$I454="✔ Concluído",'E6 — Ajustes'!$I454="N/A"),'E6 — Ajustes'!$J454="✔ Concluído"),"Concluído",IF(COUNTIF('E6 — Ajustes'!$E454:$J454,"✔ Concluído")+COUNTIF('E6 — Ajustes'!$E454:$J454,"🔄 Em andamento")&gt;0,"Em andamento","Não iniciado"))))))))</f>
        <v/>
      </c>
      <c r="K472" s="229" t="str">
        <f>IF($B472="","",IF($I472&lt;&gt;"Concluído","Não iniciado",IF(AND($J472&lt;&gt;"Concluído",$J472&lt;&gt;"N/A"),"Não iniciado",IF(COUNTIF(Lançamentos!$B$3:$B$1001,$B472)=0,"Bloqueado",IF('E7 — Entrega'!$D454="","Bloqueado",IF(COUNTIF('E7 — Entrega'!$E454:$H454,"⛔ Bloqueado")&gt;0,"Bloqueado",IF(COUNTIF('E7 — Entrega'!$E454:$H454,"✔ Concluído")=4,"Concluído",IF(COUNTIF('E7 — Entrega'!$E454:$H454,"✔ Concluído")+COUNTIF('E7 — Entrega'!$E454:$H454,"🔄 Em andamento")&gt;0,"Em andamento","Não iniciado"))))))))</f>
        <v/>
      </c>
      <c r="L472" s="229" t="str">
        <f>IF($B472="","",IF($K472&lt;&gt;"Concluído","Não iniciado",IF(OR(COUNTIF('E08 — Estabilização Hypercare'!$E454:$J454,"⛔ Bloqueado")&gt;0,'E08 — Estabilização Hypercare'!$N454="⛔ Incidente Crítico — Encerramento Bloqueado",AND('E08 — Estabilização Hypercare'!$N454="🆕 Evolução Identificada — Nova Demanda Aberta",'E08 — Estabilização Hypercare'!$U454="")),"Bloqueado",IF(AND('E08 — Estabilização Hypercare'!$E454="✔ Concluído",'E08 — Estabilização Hypercare'!$F454="✔ Concluído",'E08 — Estabilização Hypercare'!$G454="✔ Concluído",OR('E08 — Estabilização Hypercare'!$H454="✔ Concluído",'E08 — Estabilização Hypercare'!$H454="N/A"),'E08 — Estabilização Hypercare'!$I454="✔ Concluído",'E08 — Estabilização Hypercare'!$J454="✔ Concluído",OR('E08 — Estabilização Hypercare'!$N454="✅ Estável — Demanda Encerrada",AND('E08 — Estabilização Hypercare'!$N454="🆕 Evolução Identificada — Nova Demanda Aberta",'E08 — Estabilização Hypercare'!$U454&lt;&gt;""))),"Concluído",IF(OR(COUNTIF('E08 — Estabilização Hypercare'!$E454:$J454,"✔ Concluído")&gt;0,COUNTIF('E08 — Estabilização Hypercare'!$E454:$J454,"🔄 Em andamento")&gt;0,'E08 — Estabilização Hypercare'!$N454&lt;&gt;""),"Em andamento","Não iniciado")))))</f>
        <v/>
      </c>
      <c r="M472" s="232" t="str" cm="1">
        <f t="array" ref="M472">IF(B472="","",_xlfn.IFS(E472&lt;&gt;"Concluído","E1 — Solicitação",F472&lt;&gt;"Concluído","E2 — Triagem",G472&lt;&gt;"Concluído","E3 — Levantamento ⚠",H472&lt;&gt;"Concluído","E4 — Execução",I472&lt;&gt;"Concluído","E5 — Validação ⚠",AND(J472&lt;&gt;"Concluído",J472&lt;&gt;"N/A"),"E6 — Ajustes",K472&lt;&gt;"Concluído","E7 — Entrega",L472&lt;&gt;"Concluído","E08 — Estabilização / Hypercare",TRUE,"✔ Fluxo concluído"))</f>
        <v/>
      </c>
      <c r="N472" s="233" t="str">
        <f t="shared" si="7"/>
        <v/>
      </c>
      <c r="O472" s="230"/>
    </row>
    <row r="473" spans="2:15" x14ac:dyDescent="0.35">
      <c r="B473" s="229" t="str">
        <f>IF(Lançamentos!$B450="","",Lançamentos!$B450)</f>
        <v/>
      </c>
      <c r="C473" s="231" t="str">
        <f>IF($B473="","",Lançamentos!$J450)</f>
        <v/>
      </c>
      <c r="D473" s="231" t="str">
        <f>IF($B473="","",Lançamentos!$H450)</f>
        <v/>
      </c>
      <c r="E473" s="229" t="str">
        <f>IF($B473="","",IF(COUNTIF(Lançamentos!$B$3:$B$1001,$B473)=0,"Bloqueado",IF(COUNTIF('E1 — Solicitação'!$E455:$L455,"⛔ Bloqueado")&gt;0,"Bloqueado",IF(COUNTIF('E1 — Solicitação'!$E455:$L455,"N/A")=8,"Bloqueado",IF(COUNTIF('E1 — Solicitação'!$E455:$L455,"✔ Concluído")+COUNTIF('E1 — Solicitação'!$E455:$L455,"N/A")=8,"Concluído",IF(COUNTIF('E1 — Solicitação'!$E455:$L455,"✔ Concluído")+COUNTIF('E1 — Solicitação'!$E455:$L455,"🔄 Em andamento")&gt;0,"Em andamento","Não iniciado"))))))</f>
        <v/>
      </c>
      <c r="F473" s="229" t="str">
        <f>IF($B473="","",IF($E473&lt;&gt;"Concluído","Não iniciado",IF(COUNTIF(Lançamentos!$B$3:$B$1001,$B473)=0,"Bloqueado",IF('E2 — Triagem'!$D455="","Bloqueado",IF(COUNTIF('E2 — Triagem'!$E455:$L455,"N/A")=8,"Bloqueado",IF(COUNTIF('E2 — Triagem'!$E455:$L455,"⛔ Bloqueado")&gt;0,"Bloqueado",IF(COUNTIF('E2 — Triagem'!$E455:$L455,"✔ Concluído")+COUNTIF('E2 — Triagem'!$E455:$L455,"N/A")=8,"Concluído",IF(COUNTIF('E2 — Triagem'!$E455:$L455,"✔ Concluído")+COUNTIF('E2 — Triagem'!$E455:$L455,"🔄 Em andamento")&gt;0,"Em andamento","Não iniciado"))))))))</f>
        <v/>
      </c>
      <c r="G473" s="229" t="str">
        <f>IF($B473="","",IF($F473&lt;&gt;"Concluído","Não iniciado",IF(COUNTIF(Lançamentos!$B$3:$B$1001,$B473)=0,"Bloqueado",IF('E3 — Levantamento'!$D455="","Bloqueado",IF(COUNTIF('E3 — Levantamento'!$E455:$I455,"⛔ Bloqueado")&gt;0,"Bloqueado",IF('E3 — Levantamento'!$I455="N/A","Bloqueado",IF(COUNTIF('E3 — Levantamento'!$E455:$I455,"✔ Concluído")=5,"Concluído",IF(COUNTIF('E3 — Levantamento'!$E455:$I455,"✔ Concluído")+COUNTIF('E3 — Levantamento'!$E455:$I455,"🔄 Em andamento")&gt;0,"Em andamento","Não iniciado"))))))))</f>
        <v/>
      </c>
      <c r="H473" s="229" t="str">
        <f>IF($B473="","",IF($G473&lt;&gt;"Concluído","Não iniciado",IF(COUNTIF(Lançamentos!$B$3:$B$1001,$B473)=0,"Bloqueado",IF('E4 — Execução'!$D455="","Bloqueado",IF(COUNTIF('E4 — Execução'!$E455:$K455,"⛔ Bloqueado")&gt;0,"Bloqueado",IF(COUNTIF('E4 — Execução'!$E455:$K455,"✔ Concluído")=7,"Concluído",IF(COUNTIF('E4 — Execução'!$E455:$K455,"✔ Concluído")+COUNTIF('E4 — Execução'!$E455:$K455,"🔄 Em andamento")&gt;0,"Em andamento","Não iniciado")))))))</f>
        <v/>
      </c>
      <c r="I473" s="229" t="str">
        <f>IF($B473="","",IF($H473&lt;&gt;"Concluído","Não iniciado",IF(COUNTIF(Lançamentos!$B$3:$B$1001,$B473)=0,"Bloqueado",IF('E5 — Validação'!$D455="","Bloqueado",IF(COUNTIF('E5 — Validação'!$E455:$I455,"⛔ Bloqueado")&gt;0,"Bloqueado",IF('E5 — Validação'!$I455="N/A","Bloqueado",IF(AND('E5 — Validação'!$E455="✔ Concluído",'E5 — Validação'!$F455="✔ Concluído",OR('E5 — Validação'!$G455="✔ Concluído",'E5 — Validação'!$G455="N/A"),'E5 — Validação'!$H455="✔ Concluído",'E5 — Validação'!$I455="✔ Concluído"),"Concluído",IF(COUNTIF('E5 — Validação'!$E455:$I455,"✔ Concluído")+COUNTIF('E5 — Validação'!$E455:$I455,"🔄 Em andamento")&gt;0,"Em andamento","Não iniciado"))))))))</f>
        <v/>
      </c>
      <c r="J473" s="229" t="str">
        <f>IF($B473="","",IF($I473&lt;&gt;"Concluído","Não iniciado",IF('E6 — Ajustes'!$N455="Não","N/A",IF(COUNTIF(Lançamentos!$B$3:$B$1001,$B473)=0,"Bloqueado",IF('E6 — Ajustes'!$D455="","Bloqueado",IF(COUNTIF('E6 — Ajustes'!$E455:$J455,"⛔ Bloqueado")&gt;0,"Bloqueado",IF(AND('E6 — Ajustes'!$E455="✔ Concluído",'E6 — Ajustes'!$F455="✔ Concluído",'E6 — Ajustes'!$G455="✔ Concluído",'E6 — Ajustes'!$H455="✔ Concluído",OR('E6 — Ajustes'!$I455="✔ Concluído",'E6 — Ajustes'!$I455="N/A"),'E6 — Ajustes'!$J455="✔ Concluído"),"Concluído",IF(COUNTIF('E6 — Ajustes'!$E455:$J455,"✔ Concluído")+COUNTIF('E6 — Ajustes'!$E455:$J455,"🔄 Em andamento")&gt;0,"Em andamento","Não iniciado"))))))))</f>
        <v/>
      </c>
      <c r="K473" s="229" t="str">
        <f>IF($B473="","",IF($I473&lt;&gt;"Concluído","Não iniciado",IF(AND($J473&lt;&gt;"Concluído",$J473&lt;&gt;"N/A"),"Não iniciado",IF(COUNTIF(Lançamentos!$B$3:$B$1001,$B473)=0,"Bloqueado",IF('E7 — Entrega'!$D455="","Bloqueado",IF(COUNTIF('E7 — Entrega'!$E455:$H455,"⛔ Bloqueado")&gt;0,"Bloqueado",IF(COUNTIF('E7 — Entrega'!$E455:$H455,"✔ Concluído")=4,"Concluído",IF(COUNTIF('E7 — Entrega'!$E455:$H455,"✔ Concluído")+COUNTIF('E7 — Entrega'!$E455:$H455,"🔄 Em andamento")&gt;0,"Em andamento","Não iniciado"))))))))</f>
        <v/>
      </c>
      <c r="L473" s="229" t="str">
        <f>IF($B473="","",IF($K473&lt;&gt;"Concluído","Não iniciado",IF(OR(COUNTIF('E08 — Estabilização Hypercare'!$E455:$J455,"⛔ Bloqueado")&gt;0,'E08 — Estabilização Hypercare'!$N455="⛔ Incidente Crítico — Encerramento Bloqueado",AND('E08 — Estabilização Hypercare'!$N455="🆕 Evolução Identificada — Nova Demanda Aberta",'E08 — Estabilização Hypercare'!$U455="")),"Bloqueado",IF(AND('E08 — Estabilização Hypercare'!$E455="✔ Concluído",'E08 — Estabilização Hypercare'!$F455="✔ Concluído",'E08 — Estabilização Hypercare'!$G455="✔ Concluído",OR('E08 — Estabilização Hypercare'!$H455="✔ Concluído",'E08 — Estabilização Hypercare'!$H455="N/A"),'E08 — Estabilização Hypercare'!$I455="✔ Concluído",'E08 — Estabilização Hypercare'!$J455="✔ Concluído",OR('E08 — Estabilização Hypercare'!$N455="✅ Estável — Demanda Encerrada",AND('E08 — Estabilização Hypercare'!$N455="🆕 Evolução Identificada — Nova Demanda Aberta",'E08 — Estabilização Hypercare'!$U455&lt;&gt;""))),"Concluído",IF(OR(COUNTIF('E08 — Estabilização Hypercare'!$E455:$J455,"✔ Concluído")&gt;0,COUNTIF('E08 — Estabilização Hypercare'!$E455:$J455,"🔄 Em andamento")&gt;0,'E08 — Estabilização Hypercare'!$N455&lt;&gt;""),"Em andamento","Não iniciado")))))</f>
        <v/>
      </c>
      <c r="M473" s="232" t="str" cm="1">
        <f t="array" ref="M473">IF(B473="","",_xlfn.IFS(E473&lt;&gt;"Concluído","E1 — Solicitação",F473&lt;&gt;"Concluído","E2 — Triagem",G473&lt;&gt;"Concluído","E3 — Levantamento ⚠",H473&lt;&gt;"Concluído","E4 — Execução",I473&lt;&gt;"Concluído","E5 — Validação ⚠",AND(J473&lt;&gt;"Concluído",J473&lt;&gt;"N/A"),"E6 — Ajustes",K473&lt;&gt;"Concluído","E7 — Entrega",L473&lt;&gt;"Concluído","E08 — Estabilização / Hypercare",TRUE,"✔ Fluxo concluído"))</f>
        <v/>
      </c>
      <c r="N473" s="233" t="str">
        <f t="shared" si="7"/>
        <v/>
      </c>
      <c r="O473" s="230"/>
    </row>
    <row r="474" spans="2:15" x14ac:dyDescent="0.35">
      <c r="B474" s="229" t="str">
        <f>IF(Lançamentos!$B451="","",Lançamentos!$B451)</f>
        <v/>
      </c>
      <c r="C474" s="231" t="str">
        <f>IF($B474="","",Lançamentos!$J451)</f>
        <v/>
      </c>
      <c r="D474" s="231" t="str">
        <f>IF($B474="","",Lançamentos!$H451)</f>
        <v/>
      </c>
      <c r="E474" s="229" t="str">
        <f>IF($B474="","",IF(COUNTIF(Lançamentos!$B$3:$B$1001,$B474)=0,"Bloqueado",IF(COUNTIF('E1 — Solicitação'!$E456:$L456,"⛔ Bloqueado")&gt;0,"Bloqueado",IF(COUNTIF('E1 — Solicitação'!$E456:$L456,"N/A")=8,"Bloqueado",IF(COUNTIF('E1 — Solicitação'!$E456:$L456,"✔ Concluído")+COUNTIF('E1 — Solicitação'!$E456:$L456,"N/A")=8,"Concluído",IF(COUNTIF('E1 — Solicitação'!$E456:$L456,"✔ Concluído")+COUNTIF('E1 — Solicitação'!$E456:$L456,"🔄 Em andamento")&gt;0,"Em andamento","Não iniciado"))))))</f>
        <v/>
      </c>
      <c r="F474" s="229" t="str">
        <f>IF($B474="","",IF($E474&lt;&gt;"Concluído","Não iniciado",IF(COUNTIF(Lançamentos!$B$3:$B$1001,$B474)=0,"Bloqueado",IF('E2 — Triagem'!$D456="","Bloqueado",IF(COUNTIF('E2 — Triagem'!$E456:$L456,"N/A")=8,"Bloqueado",IF(COUNTIF('E2 — Triagem'!$E456:$L456,"⛔ Bloqueado")&gt;0,"Bloqueado",IF(COUNTIF('E2 — Triagem'!$E456:$L456,"✔ Concluído")+COUNTIF('E2 — Triagem'!$E456:$L456,"N/A")=8,"Concluído",IF(COUNTIF('E2 — Triagem'!$E456:$L456,"✔ Concluído")+COUNTIF('E2 — Triagem'!$E456:$L456,"🔄 Em andamento")&gt;0,"Em andamento","Não iniciado"))))))))</f>
        <v/>
      </c>
      <c r="G474" s="229" t="str">
        <f>IF($B474="","",IF($F474&lt;&gt;"Concluído","Não iniciado",IF(COUNTIF(Lançamentos!$B$3:$B$1001,$B474)=0,"Bloqueado",IF('E3 — Levantamento'!$D456="","Bloqueado",IF(COUNTIF('E3 — Levantamento'!$E456:$I456,"⛔ Bloqueado")&gt;0,"Bloqueado",IF('E3 — Levantamento'!$I456="N/A","Bloqueado",IF(COUNTIF('E3 — Levantamento'!$E456:$I456,"✔ Concluído")=5,"Concluído",IF(COUNTIF('E3 — Levantamento'!$E456:$I456,"✔ Concluído")+COUNTIF('E3 — Levantamento'!$E456:$I456,"🔄 Em andamento")&gt;0,"Em andamento","Não iniciado"))))))))</f>
        <v/>
      </c>
      <c r="H474" s="229" t="str">
        <f>IF($B474="","",IF($G474&lt;&gt;"Concluído","Não iniciado",IF(COUNTIF(Lançamentos!$B$3:$B$1001,$B474)=0,"Bloqueado",IF('E4 — Execução'!$D456="","Bloqueado",IF(COUNTIF('E4 — Execução'!$E456:$K456,"⛔ Bloqueado")&gt;0,"Bloqueado",IF(COUNTIF('E4 — Execução'!$E456:$K456,"✔ Concluído")=7,"Concluído",IF(COUNTIF('E4 — Execução'!$E456:$K456,"✔ Concluído")+COUNTIF('E4 — Execução'!$E456:$K456,"🔄 Em andamento")&gt;0,"Em andamento","Não iniciado")))))))</f>
        <v/>
      </c>
      <c r="I474" s="229" t="str">
        <f>IF($B474="","",IF($H474&lt;&gt;"Concluído","Não iniciado",IF(COUNTIF(Lançamentos!$B$3:$B$1001,$B474)=0,"Bloqueado",IF('E5 — Validação'!$D456="","Bloqueado",IF(COUNTIF('E5 — Validação'!$E456:$I456,"⛔ Bloqueado")&gt;0,"Bloqueado",IF('E5 — Validação'!$I456="N/A","Bloqueado",IF(AND('E5 — Validação'!$E456="✔ Concluído",'E5 — Validação'!$F456="✔ Concluído",OR('E5 — Validação'!$G456="✔ Concluído",'E5 — Validação'!$G456="N/A"),'E5 — Validação'!$H456="✔ Concluído",'E5 — Validação'!$I456="✔ Concluído"),"Concluído",IF(COUNTIF('E5 — Validação'!$E456:$I456,"✔ Concluído")+COUNTIF('E5 — Validação'!$E456:$I456,"🔄 Em andamento")&gt;0,"Em andamento","Não iniciado"))))))))</f>
        <v/>
      </c>
      <c r="J474" s="229" t="str">
        <f>IF($B474="","",IF($I474&lt;&gt;"Concluído","Não iniciado",IF('E6 — Ajustes'!$N456="Não","N/A",IF(COUNTIF(Lançamentos!$B$3:$B$1001,$B474)=0,"Bloqueado",IF('E6 — Ajustes'!$D456="","Bloqueado",IF(COUNTIF('E6 — Ajustes'!$E456:$J456,"⛔ Bloqueado")&gt;0,"Bloqueado",IF(AND('E6 — Ajustes'!$E456="✔ Concluído",'E6 — Ajustes'!$F456="✔ Concluído",'E6 — Ajustes'!$G456="✔ Concluído",'E6 — Ajustes'!$H456="✔ Concluído",OR('E6 — Ajustes'!$I456="✔ Concluído",'E6 — Ajustes'!$I456="N/A"),'E6 — Ajustes'!$J456="✔ Concluído"),"Concluído",IF(COUNTIF('E6 — Ajustes'!$E456:$J456,"✔ Concluído")+COUNTIF('E6 — Ajustes'!$E456:$J456,"🔄 Em andamento")&gt;0,"Em andamento","Não iniciado"))))))))</f>
        <v/>
      </c>
      <c r="K474" s="229" t="str">
        <f>IF($B474="","",IF($I474&lt;&gt;"Concluído","Não iniciado",IF(AND($J474&lt;&gt;"Concluído",$J474&lt;&gt;"N/A"),"Não iniciado",IF(COUNTIF(Lançamentos!$B$3:$B$1001,$B474)=0,"Bloqueado",IF('E7 — Entrega'!$D456="","Bloqueado",IF(COUNTIF('E7 — Entrega'!$E456:$H456,"⛔ Bloqueado")&gt;0,"Bloqueado",IF(COUNTIF('E7 — Entrega'!$E456:$H456,"✔ Concluído")=4,"Concluído",IF(COUNTIF('E7 — Entrega'!$E456:$H456,"✔ Concluído")+COUNTIF('E7 — Entrega'!$E456:$H456,"🔄 Em andamento")&gt;0,"Em andamento","Não iniciado"))))))))</f>
        <v/>
      </c>
      <c r="L474" s="229" t="str">
        <f>IF($B474="","",IF($K474&lt;&gt;"Concluído","Não iniciado",IF(OR(COUNTIF('E08 — Estabilização Hypercare'!$E456:$J456,"⛔ Bloqueado")&gt;0,'E08 — Estabilização Hypercare'!$N456="⛔ Incidente Crítico — Encerramento Bloqueado",AND('E08 — Estabilização Hypercare'!$N456="🆕 Evolução Identificada — Nova Demanda Aberta",'E08 — Estabilização Hypercare'!$U456="")),"Bloqueado",IF(AND('E08 — Estabilização Hypercare'!$E456="✔ Concluído",'E08 — Estabilização Hypercare'!$F456="✔ Concluído",'E08 — Estabilização Hypercare'!$G456="✔ Concluído",OR('E08 — Estabilização Hypercare'!$H456="✔ Concluído",'E08 — Estabilização Hypercare'!$H456="N/A"),'E08 — Estabilização Hypercare'!$I456="✔ Concluído",'E08 — Estabilização Hypercare'!$J456="✔ Concluído",OR('E08 — Estabilização Hypercare'!$N456="✅ Estável — Demanda Encerrada",AND('E08 — Estabilização Hypercare'!$N456="🆕 Evolução Identificada — Nova Demanda Aberta",'E08 — Estabilização Hypercare'!$U456&lt;&gt;""))),"Concluído",IF(OR(COUNTIF('E08 — Estabilização Hypercare'!$E456:$J456,"✔ Concluído")&gt;0,COUNTIF('E08 — Estabilização Hypercare'!$E456:$J456,"🔄 Em andamento")&gt;0,'E08 — Estabilização Hypercare'!$N456&lt;&gt;""),"Em andamento","Não iniciado")))))</f>
        <v/>
      </c>
      <c r="M474" s="232" t="str" cm="1">
        <f t="array" ref="M474">IF(B474="","",_xlfn.IFS(E474&lt;&gt;"Concluído","E1 — Solicitação",F474&lt;&gt;"Concluído","E2 — Triagem",G474&lt;&gt;"Concluído","E3 — Levantamento ⚠",H474&lt;&gt;"Concluído","E4 — Execução",I474&lt;&gt;"Concluído","E5 — Validação ⚠",AND(J474&lt;&gt;"Concluído",J474&lt;&gt;"N/A"),"E6 — Ajustes",K474&lt;&gt;"Concluído","E7 — Entrega",L474&lt;&gt;"Concluído","E08 — Estabilização / Hypercare",TRUE,"✔ Fluxo concluído"))</f>
        <v/>
      </c>
      <c r="N474" s="233" t="str">
        <f t="shared" si="7"/>
        <v/>
      </c>
      <c r="O474" s="230"/>
    </row>
    <row r="475" spans="2:15" x14ac:dyDescent="0.35">
      <c r="B475" s="229" t="str">
        <f>IF(Lançamentos!$B452="","",Lançamentos!$B452)</f>
        <v/>
      </c>
      <c r="C475" s="231" t="str">
        <f>IF($B475="","",Lançamentos!$J452)</f>
        <v/>
      </c>
      <c r="D475" s="231" t="str">
        <f>IF($B475="","",Lançamentos!$H452)</f>
        <v/>
      </c>
      <c r="E475" s="229" t="str">
        <f>IF($B475="","",IF(COUNTIF(Lançamentos!$B$3:$B$1001,$B475)=0,"Bloqueado",IF(COUNTIF('E1 — Solicitação'!$E457:$L457,"⛔ Bloqueado")&gt;0,"Bloqueado",IF(COUNTIF('E1 — Solicitação'!$E457:$L457,"N/A")=8,"Bloqueado",IF(COUNTIF('E1 — Solicitação'!$E457:$L457,"✔ Concluído")+COUNTIF('E1 — Solicitação'!$E457:$L457,"N/A")=8,"Concluído",IF(COUNTIF('E1 — Solicitação'!$E457:$L457,"✔ Concluído")+COUNTIF('E1 — Solicitação'!$E457:$L457,"🔄 Em andamento")&gt;0,"Em andamento","Não iniciado"))))))</f>
        <v/>
      </c>
      <c r="F475" s="229" t="str">
        <f>IF($B475="","",IF($E475&lt;&gt;"Concluído","Não iniciado",IF(COUNTIF(Lançamentos!$B$3:$B$1001,$B475)=0,"Bloqueado",IF('E2 — Triagem'!$D457="","Bloqueado",IF(COUNTIF('E2 — Triagem'!$E457:$L457,"N/A")=8,"Bloqueado",IF(COUNTIF('E2 — Triagem'!$E457:$L457,"⛔ Bloqueado")&gt;0,"Bloqueado",IF(COUNTIF('E2 — Triagem'!$E457:$L457,"✔ Concluído")+COUNTIF('E2 — Triagem'!$E457:$L457,"N/A")=8,"Concluído",IF(COUNTIF('E2 — Triagem'!$E457:$L457,"✔ Concluído")+COUNTIF('E2 — Triagem'!$E457:$L457,"🔄 Em andamento")&gt;0,"Em andamento","Não iniciado"))))))))</f>
        <v/>
      </c>
      <c r="G475" s="229" t="str">
        <f>IF($B475="","",IF($F475&lt;&gt;"Concluído","Não iniciado",IF(COUNTIF(Lançamentos!$B$3:$B$1001,$B475)=0,"Bloqueado",IF('E3 — Levantamento'!$D457="","Bloqueado",IF(COUNTIF('E3 — Levantamento'!$E457:$I457,"⛔ Bloqueado")&gt;0,"Bloqueado",IF('E3 — Levantamento'!$I457="N/A","Bloqueado",IF(COUNTIF('E3 — Levantamento'!$E457:$I457,"✔ Concluído")=5,"Concluído",IF(COUNTIF('E3 — Levantamento'!$E457:$I457,"✔ Concluído")+COUNTIF('E3 — Levantamento'!$E457:$I457,"🔄 Em andamento")&gt;0,"Em andamento","Não iniciado"))))))))</f>
        <v/>
      </c>
      <c r="H475" s="229" t="str">
        <f>IF($B475="","",IF($G475&lt;&gt;"Concluído","Não iniciado",IF(COUNTIF(Lançamentos!$B$3:$B$1001,$B475)=0,"Bloqueado",IF('E4 — Execução'!$D457="","Bloqueado",IF(COUNTIF('E4 — Execução'!$E457:$K457,"⛔ Bloqueado")&gt;0,"Bloqueado",IF(COUNTIF('E4 — Execução'!$E457:$K457,"✔ Concluído")=7,"Concluído",IF(COUNTIF('E4 — Execução'!$E457:$K457,"✔ Concluído")+COUNTIF('E4 — Execução'!$E457:$K457,"🔄 Em andamento")&gt;0,"Em andamento","Não iniciado")))))))</f>
        <v/>
      </c>
      <c r="I475" s="229" t="str">
        <f>IF($B475="","",IF($H475&lt;&gt;"Concluído","Não iniciado",IF(COUNTIF(Lançamentos!$B$3:$B$1001,$B475)=0,"Bloqueado",IF('E5 — Validação'!$D457="","Bloqueado",IF(COUNTIF('E5 — Validação'!$E457:$I457,"⛔ Bloqueado")&gt;0,"Bloqueado",IF('E5 — Validação'!$I457="N/A","Bloqueado",IF(AND('E5 — Validação'!$E457="✔ Concluído",'E5 — Validação'!$F457="✔ Concluído",OR('E5 — Validação'!$G457="✔ Concluído",'E5 — Validação'!$G457="N/A"),'E5 — Validação'!$H457="✔ Concluído",'E5 — Validação'!$I457="✔ Concluído"),"Concluído",IF(COUNTIF('E5 — Validação'!$E457:$I457,"✔ Concluído")+COUNTIF('E5 — Validação'!$E457:$I457,"🔄 Em andamento")&gt;0,"Em andamento","Não iniciado"))))))))</f>
        <v/>
      </c>
      <c r="J475" s="229" t="str">
        <f>IF($B475="","",IF($I475&lt;&gt;"Concluído","Não iniciado",IF('E6 — Ajustes'!$N457="Não","N/A",IF(COUNTIF(Lançamentos!$B$3:$B$1001,$B475)=0,"Bloqueado",IF('E6 — Ajustes'!$D457="","Bloqueado",IF(COUNTIF('E6 — Ajustes'!$E457:$J457,"⛔ Bloqueado")&gt;0,"Bloqueado",IF(AND('E6 — Ajustes'!$E457="✔ Concluído",'E6 — Ajustes'!$F457="✔ Concluído",'E6 — Ajustes'!$G457="✔ Concluído",'E6 — Ajustes'!$H457="✔ Concluído",OR('E6 — Ajustes'!$I457="✔ Concluído",'E6 — Ajustes'!$I457="N/A"),'E6 — Ajustes'!$J457="✔ Concluído"),"Concluído",IF(COUNTIF('E6 — Ajustes'!$E457:$J457,"✔ Concluído")+COUNTIF('E6 — Ajustes'!$E457:$J457,"🔄 Em andamento")&gt;0,"Em andamento","Não iniciado"))))))))</f>
        <v/>
      </c>
      <c r="K475" s="229" t="str">
        <f>IF($B475="","",IF($I475&lt;&gt;"Concluído","Não iniciado",IF(AND($J475&lt;&gt;"Concluído",$J475&lt;&gt;"N/A"),"Não iniciado",IF(COUNTIF(Lançamentos!$B$3:$B$1001,$B475)=0,"Bloqueado",IF('E7 — Entrega'!$D457="","Bloqueado",IF(COUNTIF('E7 — Entrega'!$E457:$H457,"⛔ Bloqueado")&gt;0,"Bloqueado",IF(COUNTIF('E7 — Entrega'!$E457:$H457,"✔ Concluído")=4,"Concluído",IF(COUNTIF('E7 — Entrega'!$E457:$H457,"✔ Concluído")+COUNTIF('E7 — Entrega'!$E457:$H457,"🔄 Em andamento")&gt;0,"Em andamento","Não iniciado"))))))))</f>
        <v/>
      </c>
      <c r="L475" s="229" t="str">
        <f>IF($B475="","",IF($K475&lt;&gt;"Concluído","Não iniciado",IF(OR(COUNTIF('E08 — Estabilização Hypercare'!$E457:$J457,"⛔ Bloqueado")&gt;0,'E08 — Estabilização Hypercare'!$N457="⛔ Incidente Crítico — Encerramento Bloqueado",AND('E08 — Estabilização Hypercare'!$N457="🆕 Evolução Identificada — Nova Demanda Aberta",'E08 — Estabilização Hypercare'!$U457="")),"Bloqueado",IF(AND('E08 — Estabilização Hypercare'!$E457="✔ Concluído",'E08 — Estabilização Hypercare'!$F457="✔ Concluído",'E08 — Estabilização Hypercare'!$G457="✔ Concluído",OR('E08 — Estabilização Hypercare'!$H457="✔ Concluído",'E08 — Estabilização Hypercare'!$H457="N/A"),'E08 — Estabilização Hypercare'!$I457="✔ Concluído",'E08 — Estabilização Hypercare'!$J457="✔ Concluído",OR('E08 — Estabilização Hypercare'!$N457="✅ Estável — Demanda Encerrada",AND('E08 — Estabilização Hypercare'!$N457="🆕 Evolução Identificada — Nova Demanda Aberta",'E08 — Estabilização Hypercare'!$U457&lt;&gt;""))),"Concluído",IF(OR(COUNTIF('E08 — Estabilização Hypercare'!$E457:$J457,"✔ Concluído")&gt;0,COUNTIF('E08 — Estabilização Hypercare'!$E457:$J457,"🔄 Em andamento")&gt;0,'E08 — Estabilização Hypercare'!$N457&lt;&gt;""),"Em andamento","Não iniciado")))))</f>
        <v/>
      </c>
      <c r="M475" s="232" t="str" cm="1">
        <f t="array" ref="M475">IF(B475="","",_xlfn.IFS(E475&lt;&gt;"Concluído","E1 — Solicitação",F475&lt;&gt;"Concluído","E2 — Triagem",G475&lt;&gt;"Concluído","E3 — Levantamento ⚠",H475&lt;&gt;"Concluído","E4 — Execução",I475&lt;&gt;"Concluído","E5 — Validação ⚠",AND(J475&lt;&gt;"Concluído",J475&lt;&gt;"N/A"),"E6 — Ajustes",K475&lt;&gt;"Concluído","E7 — Entrega",L475&lt;&gt;"Concluído","E08 — Estabilização / Hypercare",TRUE,"✔ Fluxo concluído"))</f>
        <v/>
      </c>
      <c r="N475" s="233" t="str">
        <f t="shared" si="7"/>
        <v/>
      </c>
      <c r="O475" s="230"/>
    </row>
    <row r="476" spans="2:15" x14ac:dyDescent="0.35">
      <c r="B476" s="229" t="str">
        <f>IF(Lançamentos!$B453="","",Lançamentos!$B453)</f>
        <v/>
      </c>
      <c r="C476" s="231" t="str">
        <f>IF($B476="","",Lançamentos!$J453)</f>
        <v/>
      </c>
      <c r="D476" s="231" t="str">
        <f>IF($B476="","",Lançamentos!$H453)</f>
        <v/>
      </c>
      <c r="E476" s="229" t="str">
        <f>IF($B476="","",IF(COUNTIF(Lançamentos!$B$3:$B$1001,$B476)=0,"Bloqueado",IF(COUNTIF('E1 — Solicitação'!$E458:$L458,"⛔ Bloqueado")&gt;0,"Bloqueado",IF(COUNTIF('E1 — Solicitação'!$E458:$L458,"N/A")=8,"Bloqueado",IF(COUNTIF('E1 — Solicitação'!$E458:$L458,"✔ Concluído")+COUNTIF('E1 — Solicitação'!$E458:$L458,"N/A")=8,"Concluído",IF(COUNTIF('E1 — Solicitação'!$E458:$L458,"✔ Concluído")+COUNTIF('E1 — Solicitação'!$E458:$L458,"🔄 Em andamento")&gt;0,"Em andamento","Não iniciado"))))))</f>
        <v/>
      </c>
      <c r="F476" s="229" t="str">
        <f>IF($B476="","",IF($E476&lt;&gt;"Concluído","Não iniciado",IF(COUNTIF(Lançamentos!$B$3:$B$1001,$B476)=0,"Bloqueado",IF('E2 — Triagem'!$D458="","Bloqueado",IF(COUNTIF('E2 — Triagem'!$E458:$L458,"N/A")=8,"Bloqueado",IF(COUNTIF('E2 — Triagem'!$E458:$L458,"⛔ Bloqueado")&gt;0,"Bloqueado",IF(COUNTIF('E2 — Triagem'!$E458:$L458,"✔ Concluído")+COUNTIF('E2 — Triagem'!$E458:$L458,"N/A")=8,"Concluído",IF(COUNTIF('E2 — Triagem'!$E458:$L458,"✔ Concluído")+COUNTIF('E2 — Triagem'!$E458:$L458,"🔄 Em andamento")&gt;0,"Em andamento","Não iniciado"))))))))</f>
        <v/>
      </c>
      <c r="G476" s="229" t="str">
        <f>IF($B476="","",IF($F476&lt;&gt;"Concluído","Não iniciado",IF(COUNTIF(Lançamentos!$B$3:$B$1001,$B476)=0,"Bloqueado",IF('E3 — Levantamento'!$D458="","Bloqueado",IF(COUNTIF('E3 — Levantamento'!$E458:$I458,"⛔ Bloqueado")&gt;0,"Bloqueado",IF('E3 — Levantamento'!$I458="N/A","Bloqueado",IF(COUNTIF('E3 — Levantamento'!$E458:$I458,"✔ Concluído")=5,"Concluído",IF(COUNTIF('E3 — Levantamento'!$E458:$I458,"✔ Concluído")+COUNTIF('E3 — Levantamento'!$E458:$I458,"🔄 Em andamento")&gt;0,"Em andamento","Não iniciado"))))))))</f>
        <v/>
      </c>
      <c r="H476" s="229" t="str">
        <f>IF($B476="","",IF($G476&lt;&gt;"Concluído","Não iniciado",IF(COUNTIF(Lançamentos!$B$3:$B$1001,$B476)=0,"Bloqueado",IF('E4 — Execução'!$D458="","Bloqueado",IF(COUNTIF('E4 — Execução'!$E458:$K458,"⛔ Bloqueado")&gt;0,"Bloqueado",IF(COUNTIF('E4 — Execução'!$E458:$K458,"✔ Concluído")=7,"Concluído",IF(COUNTIF('E4 — Execução'!$E458:$K458,"✔ Concluído")+COUNTIF('E4 — Execução'!$E458:$K458,"🔄 Em andamento")&gt;0,"Em andamento","Não iniciado")))))))</f>
        <v/>
      </c>
      <c r="I476" s="229" t="str">
        <f>IF($B476="","",IF($H476&lt;&gt;"Concluído","Não iniciado",IF(COUNTIF(Lançamentos!$B$3:$B$1001,$B476)=0,"Bloqueado",IF('E5 — Validação'!$D458="","Bloqueado",IF(COUNTIF('E5 — Validação'!$E458:$I458,"⛔ Bloqueado")&gt;0,"Bloqueado",IF('E5 — Validação'!$I458="N/A","Bloqueado",IF(AND('E5 — Validação'!$E458="✔ Concluído",'E5 — Validação'!$F458="✔ Concluído",OR('E5 — Validação'!$G458="✔ Concluído",'E5 — Validação'!$G458="N/A"),'E5 — Validação'!$H458="✔ Concluído",'E5 — Validação'!$I458="✔ Concluído"),"Concluído",IF(COUNTIF('E5 — Validação'!$E458:$I458,"✔ Concluído")+COUNTIF('E5 — Validação'!$E458:$I458,"🔄 Em andamento")&gt;0,"Em andamento","Não iniciado"))))))))</f>
        <v/>
      </c>
      <c r="J476" s="229" t="str">
        <f>IF($B476="","",IF($I476&lt;&gt;"Concluído","Não iniciado",IF('E6 — Ajustes'!$N458="Não","N/A",IF(COUNTIF(Lançamentos!$B$3:$B$1001,$B476)=0,"Bloqueado",IF('E6 — Ajustes'!$D458="","Bloqueado",IF(COUNTIF('E6 — Ajustes'!$E458:$J458,"⛔ Bloqueado")&gt;0,"Bloqueado",IF(AND('E6 — Ajustes'!$E458="✔ Concluído",'E6 — Ajustes'!$F458="✔ Concluído",'E6 — Ajustes'!$G458="✔ Concluído",'E6 — Ajustes'!$H458="✔ Concluído",OR('E6 — Ajustes'!$I458="✔ Concluído",'E6 — Ajustes'!$I458="N/A"),'E6 — Ajustes'!$J458="✔ Concluído"),"Concluído",IF(COUNTIF('E6 — Ajustes'!$E458:$J458,"✔ Concluído")+COUNTIF('E6 — Ajustes'!$E458:$J458,"🔄 Em andamento")&gt;0,"Em andamento","Não iniciado"))))))))</f>
        <v/>
      </c>
      <c r="K476" s="229" t="str">
        <f>IF($B476="","",IF($I476&lt;&gt;"Concluído","Não iniciado",IF(AND($J476&lt;&gt;"Concluído",$J476&lt;&gt;"N/A"),"Não iniciado",IF(COUNTIF(Lançamentos!$B$3:$B$1001,$B476)=0,"Bloqueado",IF('E7 — Entrega'!$D458="","Bloqueado",IF(COUNTIF('E7 — Entrega'!$E458:$H458,"⛔ Bloqueado")&gt;0,"Bloqueado",IF(COUNTIF('E7 — Entrega'!$E458:$H458,"✔ Concluído")=4,"Concluído",IF(COUNTIF('E7 — Entrega'!$E458:$H458,"✔ Concluído")+COUNTIF('E7 — Entrega'!$E458:$H458,"🔄 Em andamento")&gt;0,"Em andamento","Não iniciado"))))))))</f>
        <v/>
      </c>
      <c r="L476" s="229" t="str">
        <f>IF($B476="","",IF($K476&lt;&gt;"Concluído","Não iniciado",IF(OR(COUNTIF('E08 — Estabilização Hypercare'!$E458:$J458,"⛔ Bloqueado")&gt;0,'E08 — Estabilização Hypercare'!$N458="⛔ Incidente Crítico — Encerramento Bloqueado",AND('E08 — Estabilização Hypercare'!$N458="🆕 Evolução Identificada — Nova Demanda Aberta",'E08 — Estabilização Hypercare'!$U458="")),"Bloqueado",IF(AND('E08 — Estabilização Hypercare'!$E458="✔ Concluído",'E08 — Estabilização Hypercare'!$F458="✔ Concluído",'E08 — Estabilização Hypercare'!$G458="✔ Concluído",OR('E08 — Estabilização Hypercare'!$H458="✔ Concluído",'E08 — Estabilização Hypercare'!$H458="N/A"),'E08 — Estabilização Hypercare'!$I458="✔ Concluído",'E08 — Estabilização Hypercare'!$J458="✔ Concluído",OR('E08 — Estabilização Hypercare'!$N458="✅ Estável — Demanda Encerrada",AND('E08 — Estabilização Hypercare'!$N458="🆕 Evolução Identificada — Nova Demanda Aberta",'E08 — Estabilização Hypercare'!$U458&lt;&gt;""))),"Concluído",IF(OR(COUNTIF('E08 — Estabilização Hypercare'!$E458:$J458,"✔ Concluído")&gt;0,COUNTIF('E08 — Estabilização Hypercare'!$E458:$J458,"🔄 Em andamento")&gt;0,'E08 — Estabilização Hypercare'!$N458&lt;&gt;""),"Em andamento","Não iniciado")))))</f>
        <v/>
      </c>
      <c r="M476" s="232" t="str" cm="1">
        <f t="array" ref="M476">IF(B476="","",_xlfn.IFS(E476&lt;&gt;"Concluído","E1 — Solicitação",F476&lt;&gt;"Concluído","E2 — Triagem",G476&lt;&gt;"Concluído","E3 — Levantamento ⚠",H476&lt;&gt;"Concluído","E4 — Execução",I476&lt;&gt;"Concluído","E5 — Validação ⚠",AND(J476&lt;&gt;"Concluído",J476&lt;&gt;"N/A"),"E6 — Ajustes",K476&lt;&gt;"Concluído","E7 — Entrega",L476&lt;&gt;"Concluído","E08 — Estabilização / Hypercare",TRUE,"✔ Fluxo concluído"))</f>
        <v/>
      </c>
      <c r="N476" s="233" t="str">
        <f t="shared" si="7"/>
        <v/>
      </c>
      <c r="O476" s="230"/>
    </row>
    <row r="477" spans="2:15" x14ac:dyDescent="0.35">
      <c r="B477" s="229" t="str">
        <f>IF(Lançamentos!$B454="","",Lançamentos!$B454)</f>
        <v/>
      </c>
      <c r="C477" s="231" t="str">
        <f>IF($B477="","",Lançamentos!$J454)</f>
        <v/>
      </c>
      <c r="D477" s="231" t="str">
        <f>IF($B477="","",Lançamentos!$H454)</f>
        <v/>
      </c>
      <c r="E477" s="229" t="str">
        <f>IF($B477="","",IF(COUNTIF(Lançamentos!$B$3:$B$1001,$B477)=0,"Bloqueado",IF(COUNTIF('E1 — Solicitação'!$E459:$L459,"⛔ Bloqueado")&gt;0,"Bloqueado",IF(COUNTIF('E1 — Solicitação'!$E459:$L459,"N/A")=8,"Bloqueado",IF(COUNTIF('E1 — Solicitação'!$E459:$L459,"✔ Concluído")+COUNTIF('E1 — Solicitação'!$E459:$L459,"N/A")=8,"Concluído",IF(COUNTIF('E1 — Solicitação'!$E459:$L459,"✔ Concluído")+COUNTIF('E1 — Solicitação'!$E459:$L459,"🔄 Em andamento")&gt;0,"Em andamento","Não iniciado"))))))</f>
        <v/>
      </c>
      <c r="F477" s="229" t="str">
        <f>IF($B477="","",IF($E477&lt;&gt;"Concluído","Não iniciado",IF(COUNTIF(Lançamentos!$B$3:$B$1001,$B477)=0,"Bloqueado",IF('E2 — Triagem'!$D459="","Bloqueado",IF(COUNTIF('E2 — Triagem'!$E459:$L459,"N/A")=8,"Bloqueado",IF(COUNTIF('E2 — Triagem'!$E459:$L459,"⛔ Bloqueado")&gt;0,"Bloqueado",IF(COUNTIF('E2 — Triagem'!$E459:$L459,"✔ Concluído")+COUNTIF('E2 — Triagem'!$E459:$L459,"N/A")=8,"Concluído",IF(COUNTIF('E2 — Triagem'!$E459:$L459,"✔ Concluído")+COUNTIF('E2 — Triagem'!$E459:$L459,"🔄 Em andamento")&gt;0,"Em andamento","Não iniciado"))))))))</f>
        <v/>
      </c>
      <c r="G477" s="229" t="str">
        <f>IF($B477="","",IF($F477&lt;&gt;"Concluído","Não iniciado",IF(COUNTIF(Lançamentos!$B$3:$B$1001,$B477)=0,"Bloqueado",IF('E3 — Levantamento'!$D459="","Bloqueado",IF(COUNTIF('E3 — Levantamento'!$E459:$I459,"⛔ Bloqueado")&gt;0,"Bloqueado",IF('E3 — Levantamento'!$I459="N/A","Bloqueado",IF(COUNTIF('E3 — Levantamento'!$E459:$I459,"✔ Concluído")=5,"Concluído",IF(COUNTIF('E3 — Levantamento'!$E459:$I459,"✔ Concluído")+COUNTIF('E3 — Levantamento'!$E459:$I459,"🔄 Em andamento")&gt;0,"Em andamento","Não iniciado"))))))))</f>
        <v/>
      </c>
      <c r="H477" s="229" t="str">
        <f>IF($B477="","",IF($G477&lt;&gt;"Concluído","Não iniciado",IF(COUNTIF(Lançamentos!$B$3:$B$1001,$B477)=0,"Bloqueado",IF('E4 — Execução'!$D459="","Bloqueado",IF(COUNTIF('E4 — Execução'!$E459:$K459,"⛔ Bloqueado")&gt;0,"Bloqueado",IF(COUNTIF('E4 — Execução'!$E459:$K459,"✔ Concluído")=7,"Concluído",IF(COUNTIF('E4 — Execução'!$E459:$K459,"✔ Concluído")+COUNTIF('E4 — Execução'!$E459:$K459,"🔄 Em andamento")&gt;0,"Em andamento","Não iniciado")))))))</f>
        <v/>
      </c>
      <c r="I477" s="229" t="str">
        <f>IF($B477="","",IF($H477&lt;&gt;"Concluído","Não iniciado",IF(COUNTIF(Lançamentos!$B$3:$B$1001,$B477)=0,"Bloqueado",IF('E5 — Validação'!$D459="","Bloqueado",IF(COUNTIF('E5 — Validação'!$E459:$I459,"⛔ Bloqueado")&gt;0,"Bloqueado",IF('E5 — Validação'!$I459="N/A","Bloqueado",IF(AND('E5 — Validação'!$E459="✔ Concluído",'E5 — Validação'!$F459="✔ Concluído",OR('E5 — Validação'!$G459="✔ Concluído",'E5 — Validação'!$G459="N/A"),'E5 — Validação'!$H459="✔ Concluído",'E5 — Validação'!$I459="✔ Concluído"),"Concluído",IF(COUNTIF('E5 — Validação'!$E459:$I459,"✔ Concluído")+COUNTIF('E5 — Validação'!$E459:$I459,"🔄 Em andamento")&gt;0,"Em andamento","Não iniciado"))))))))</f>
        <v/>
      </c>
      <c r="J477" s="229" t="str">
        <f>IF($B477="","",IF($I477&lt;&gt;"Concluído","Não iniciado",IF('E6 — Ajustes'!$N459="Não","N/A",IF(COUNTIF(Lançamentos!$B$3:$B$1001,$B477)=0,"Bloqueado",IF('E6 — Ajustes'!$D459="","Bloqueado",IF(COUNTIF('E6 — Ajustes'!$E459:$J459,"⛔ Bloqueado")&gt;0,"Bloqueado",IF(AND('E6 — Ajustes'!$E459="✔ Concluído",'E6 — Ajustes'!$F459="✔ Concluído",'E6 — Ajustes'!$G459="✔ Concluído",'E6 — Ajustes'!$H459="✔ Concluído",OR('E6 — Ajustes'!$I459="✔ Concluído",'E6 — Ajustes'!$I459="N/A"),'E6 — Ajustes'!$J459="✔ Concluído"),"Concluído",IF(COUNTIF('E6 — Ajustes'!$E459:$J459,"✔ Concluído")+COUNTIF('E6 — Ajustes'!$E459:$J459,"🔄 Em andamento")&gt;0,"Em andamento","Não iniciado"))))))))</f>
        <v/>
      </c>
      <c r="K477" s="229" t="str">
        <f>IF($B477="","",IF($I477&lt;&gt;"Concluído","Não iniciado",IF(AND($J477&lt;&gt;"Concluído",$J477&lt;&gt;"N/A"),"Não iniciado",IF(COUNTIF(Lançamentos!$B$3:$B$1001,$B477)=0,"Bloqueado",IF('E7 — Entrega'!$D459="","Bloqueado",IF(COUNTIF('E7 — Entrega'!$E459:$H459,"⛔ Bloqueado")&gt;0,"Bloqueado",IF(COUNTIF('E7 — Entrega'!$E459:$H459,"✔ Concluído")=4,"Concluído",IF(COUNTIF('E7 — Entrega'!$E459:$H459,"✔ Concluído")+COUNTIF('E7 — Entrega'!$E459:$H459,"🔄 Em andamento")&gt;0,"Em andamento","Não iniciado"))))))))</f>
        <v/>
      </c>
      <c r="L477" s="229" t="str">
        <f>IF($B477="","",IF($K477&lt;&gt;"Concluído","Não iniciado",IF(OR(COUNTIF('E08 — Estabilização Hypercare'!$E459:$J459,"⛔ Bloqueado")&gt;0,'E08 — Estabilização Hypercare'!$N459="⛔ Incidente Crítico — Encerramento Bloqueado",AND('E08 — Estabilização Hypercare'!$N459="🆕 Evolução Identificada — Nova Demanda Aberta",'E08 — Estabilização Hypercare'!$U459="")),"Bloqueado",IF(AND('E08 — Estabilização Hypercare'!$E459="✔ Concluído",'E08 — Estabilização Hypercare'!$F459="✔ Concluído",'E08 — Estabilização Hypercare'!$G459="✔ Concluído",OR('E08 — Estabilização Hypercare'!$H459="✔ Concluído",'E08 — Estabilização Hypercare'!$H459="N/A"),'E08 — Estabilização Hypercare'!$I459="✔ Concluído",'E08 — Estabilização Hypercare'!$J459="✔ Concluído",OR('E08 — Estabilização Hypercare'!$N459="✅ Estável — Demanda Encerrada",AND('E08 — Estabilização Hypercare'!$N459="🆕 Evolução Identificada — Nova Demanda Aberta",'E08 — Estabilização Hypercare'!$U459&lt;&gt;""))),"Concluído",IF(OR(COUNTIF('E08 — Estabilização Hypercare'!$E459:$J459,"✔ Concluído")&gt;0,COUNTIF('E08 — Estabilização Hypercare'!$E459:$J459,"🔄 Em andamento")&gt;0,'E08 — Estabilização Hypercare'!$N459&lt;&gt;""),"Em andamento","Não iniciado")))))</f>
        <v/>
      </c>
      <c r="M477" s="232" t="str" cm="1">
        <f t="array" ref="M477">IF(B477="","",_xlfn.IFS(E477&lt;&gt;"Concluído","E1 — Solicitação",F477&lt;&gt;"Concluído","E2 — Triagem",G477&lt;&gt;"Concluído","E3 — Levantamento ⚠",H477&lt;&gt;"Concluído","E4 — Execução",I477&lt;&gt;"Concluído","E5 — Validação ⚠",AND(J477&lt;&gt;"Concluído",J477&lt;&gt;"N/A"),"E6 — Ajustes",K477&lt;&gt;"Concluído","E7 — Entrega",L477&lt;&gt;"Concluído","E08 — Estabilização / Hypercare",TRUE,"✔ Fluxo concluído"))</f>
        <v/>
      </c>
      <c r="N477" s="233" t="str">
        <f t="shared" si="7"/>
        <v/>
      </c>
      <c r="O477" s="230"/>
    </row>
    <row r="478" spans="2:15" x14ac:dyDescent="0.35">
      <c r="B478" s="229" t="str">
        <f>IF(Lançamentos!$B455="","",Lançamentos!$B455)</f>
        <v/>
      </c>
      <c r="C478" s="231" t="str">
        <f>IF($B478="","",Lançamentos!$J455)</f>
        <v/>
      </c>
      <c r="D478" s="231" t="str">
        <f>IF($B478="","",Lançamentos!$H455)</f>
        <v/>
      </c>
      <c r="E478" s="229" t="str">
        <f>IF($B478="","",IF(COUNTIF(Lançamentos!$B$3:$B$1001,$B478)=0,"Bloqueado",IF(COUNTIF('E1 — Solicitação'!$E460:$L460,"⛔ Bloqueado")&gt;0,"Bloqueado",IF(COUNTIF('E1 — Solicitação'!$E460:$L460,"N/A")=8,"Bloqueado",IF(COUNTIF('E1 — Solicitação'!$E460:$L460,"✔ Concluído")+COUNTIF('E1 — Solicitação'!$E460:$L460,"N/A")=8,"Concluído",IF(COUNTIF('E1 — Solicitação'!$E460:$L460,"✔ Concluído")+COUNTIF('E1 — Solicitação'!$E460:$L460,"🔄 Em andamento")&gt;0,"Em andamento","Não iniciado"))))))</f>
        <v/>
      </c>
      <c r="F478" s="229" t="str">
        <f>IF($B478="","",IF($E478&lt;&gt;"Concluído","Não iniciado",IF(COUNTIF(Lançamentos!$B$3:$B$1001,$B478)=0,"Bloqueado",IF('E2 — Triagem'!$D460="","Bloqueado",IF(COUNTIF('E2 — Triagem'!$E460:$L460,"N/A")=8,"Bloqueado",IF(COUNTIF('E2 — Triagem'!$E460:$L460,"⛔ Bloqueado")&gt;0,"Bloqueado",IF(COUNTIF('E2 — Triagem'!$E460:$L460,"✔ Concluído")+COUNTIF('E2 — Triagem'!$E460:$L460,"N/A")=8,"Concluído",IF(COUNTIF('E2 — Triagem'!$E460:$L460,"✔ Concluído")+COUNTIF('E2 — Triagem'!$E460:$L460,"🔄 Em andamento")&gt;0,"Em andamento","Não iniciado"))))))))</f>
        <v/>
      </c>
      <c r="G478" s="229" t="str">
        <f>IF($B478="","",IF($F478&lt;&gt;"Concluído","Não iniciado",IF(COUNTIF(Lançamentos!$B$3:$B$1001,$B478)=0,"Bloqueado",IF('E3 — Levantamento'!$D460="","Bloqueado",IF(COUNTIF('E3 — Levantamento'!$E460:$I460,"⛔ Bloqueado")&gt;0,"Bloqueado",IF('E3 — Levantamento'!$I460="N/A","Bloqueado",IF(COUNTIF('E3 — Levantamento'!$E460:$I460,"✔ Concluído")=5,"Concluído",IF(COUNTIF('E3 — Levantamento'!$E460:$I460,"✔ Concluído")+COUNTIF('E3 — Levantamento'!$E460:$I460,"🔄 Em andamento")&gt;0,"Em andamento","Não iniciado"))))))))</f>
        <v/>
      </c>
      <c r="H478" s="229" t="str">
        <f>IF($B478="","",IF($G478&lt;&gt;"Concluído","Não iniciado",IF(COUNTIF(Lançamentos!$B$3:$B$1001,$B478)=0,"Bloqueado",IF('E4 — Execução'!$D460="","Bloqueado",IF(COUNTIF('E4 — Execução'!$E460:$K460,"⛔ Bloqueado")&gt;0,"Bloqueado",IF(COUNTIF('E4 — Execução'!$E460:$K460,"✔ Concluído")=7,"Concluído",IF(COUNTIF('E4 — Execução'!$E460:$K460,"✔ Concluído")+COUNTIF('E4 — Execução'!$E460:$K460,"🔄 Em andamento")&gt;0,"Em andamento","Não iniciado")))))))</f>
        <v/>
      </c>
      <c r="I478" s="229" t="str">
        <f>IF($B478="","",IF($H478&lt;&gt;"Concluído","Não iniciado",IF(COUNTIF(Lançamentos!$B$3:$B$1001,$B478)=0,"Bloqueado",IF('E5 — Validação'!$D460="","Bloqueado",IF(COUNTIF('E5 — Validação'!$E460:$I460,"⛔ Bloqueado")&gt;0,"Bloqueado",IF('E5 — Validação'!$I460="N/A","Bloqueado",IF(AND('E5 — Validação'!$E460="✔ Concluído",'E5 — Validação'!$F460="✔ Concluído",OR('E5 — Validação'!$G460="✔ Concluído",'E5 — Validação'!$G460="N/A"),'E5 — Validação'!$H460="✔ Concluído",'E5 — Validação'!$I460="✔ Concluído"),"Concluído",IF(COUNTIF('E5 — Validação'!$E460:$I460,"✔ Concluído")+COUNTIF('E5 — Validação'!$E460:$I460,"🔄 Em andamento")&gt;0,"Em andamento","Não iniciado"))))))))</f>
        <v/>
      </c>
      <c r="J478" s="229" t="str">
        <f>IF($B478="","",IF($I478&lt;&gt;"Concluído","Não iniciado",IF('E6 — Ajustes'!$N460="Não","N/A",IF(COUNTIF(Lançamentos!$B$3:$B$1001,$B478)=0,"Bloqueado",IF('E6 — Ajustes'!$D460="","Bloqueado",IF(COUNTIF('E6 — Ajustes'!$E460:$J460,"⛔ Bloqueado")&gt;0,"Bloqueado",IF(AND('E6 — Ajustes'!$E460="✔ Concluído",'E6 — Ajustes'!$F460="✔ Concluído",'E6 — Ajustes'!$G460="✔ Concluído",'E6 — Ajustes'!$H460="✔ Concluído",OR('E6 — Ajustes'!$I460="✔ Concluído",'E6 — Ajustes'!$I460="N/A"),'E6 — Ajustes'!$J460="✔ Concluído"),"Concluído",IF(COUNTIF('E6 — Ajustes'!$E460:$J460,"✔ Concluído")+COUNTIF('E6 — Ajustes'!$E460:$J460,"🔄 Em andamento")&gt;0,"Em andamento","Não iniciado"))))))))</f>
        <v/>
      </c>
      <c r="K478" s="229" t="str">
        <f>IF($B478="","",IF($I478&lt;&gt;"Concluído","Não iniciado",IF(AND($J478&lt;&gt;"Concluído",$J478&lt;&gt;"N/A"),"Não iniciado",IF(COUNTIF(Lançamentos!$B$3:$B$1001,$B478)=0,"Bloqueado",IF('E7 — Entrega'!$D460="","Bloqueado",IF(COUNTIF('E7 — Entrega'!$E460:$H460,"⛔ Bloqueado")&gt;0,"Bloqueado",IF(COUNTIF('E7 — Entrega'!$E460:$H460,"✔ Concluído")=4,"Concluído",IF(COUNTIF('E7 — Entrega'!$E460:$H460,"✔ Concluído")+COUNTIF('E7 — Entrega'!$E460:$H460,"🔄 Em andamento")&gt;0,"Em andamento","Não iniciado"))))))))</f>
        <v/>
      </c>
      <c r="L478" s="229" t="str">
        <f>IF($B478="","",IF($K478&lt;&gt;"Concluído","Não iniciado",IF(OR(COUNTIF('E08 — Estabilização Hypercare'!$E460:$J460,"⛔ Bloqueado")&gt;0,'E08 — Estabilização Hypercare'!$N460="⛔ Incidente Crítico — Encerramento Bloqueado",AND('E08 — Estabilização Hypercare'!$N460="🆕 Evolução Identificada — Nova Demanda Aberta",'E08 — Estabilização Hypercare'!$U460="")),"Bloqueado",IF(AND('E08 — Estabilização Hypercare'!$E460="✔ Concluído",'E08 — Estabilização Hypercare'!$F460="✔ Concluído",'E08 — Estabilização Hypercare'!$G460="✔ Concluído",OR('E08 — Estabilização Hypercare'!$H460="✔ Concluído",'E08 — Estabilização Hypercare'!$H460="N/A"),'E08 — Estabilização Hypercare'!$I460="✔ Concluído",'E08 — Estabilização Hypercare'!$J460="✔ Concluído",OR('E08 — Estabilização Hypercare'!$N460="✅ Estável — Demanda Encerrada",AND('E08 — Estabilização Hypercare'!$N460="🆕 Evolução Identificada — Nova Demanda Aberta",'E08 — Estabilização Hypercare'!$U460&lt;&gt;""))),"Concluído",IF(OR(COUNTIF('E08 — Estabilização Hypercare'!$E460:$J460,"✔ Concluído")&gt;0,COUNTIF('E08 — Estabilização Hypercare'!$E460:$J460,"🔄 Em andamento")&gt;0,'E08 — Estabilização Hypercare'!$N460&lt;&gt;""),"Em andamento","Não iniciado")))))</f>
        <v/>
      </c>
      <c r="M478" s="232" t="str" cm="1">
        <f t="array" ref="M478">IF(B478="","",_xlfn.IFS(E478&lt;&gt;"Concluído","E1 — Solicitação",F478&lt;&gt;"Concluído","E2 — Triagem",G478&lt;&gt;"Concluído","E3 — Levantamento ⚠",H478&lt;&gt;"Concluído","E4 — Execução",I478&lt;&gt;"Concluído","E5 — Validação ⚠",AND(J478&lt;&gt;"Concluído",J478&lt;&gt;"N/A"),"E6 — Ajustes",K478&lt;&gt;"Concluído","E7 — Entrega",L478&lt;&gt;"Concluído","E08 — Estabilização / Hypercare",TRUE,"✔ Fluxo concluído"))</f>
        <v/>
      </c>
      <c r="N478" s="233" t="str">
        <f t="shared" si="7"/>
        <v/>
      </c>
      <c r="O478" s="230"/>
    </row>
    <row r="479" spans="2:15" x14ac:dyDescent="0.35">
      <c r="B479" s="229" t="str">
        <f>IF(Lançamentos!$B456="","",Lançamentos!$B456)</f>
        <v/>
      </c>
      <c r="C479" s="231" t="str">
        <f>IF($B479="","",Lançamentos!$J456)</f>
        <v/>
      </c>
      <c r="D479" s="231" t="str">
        <f>IF($B479="","",Lançamentos!$H456)</f>
        <v/>
      </c>
      <c r="E479" s="229" t="str">
        <f>IF($B479="","",IF(COUNTIF(Lançamentos!$B$3:$B$1001,$B479)=0,"Bloqueado",IF(COUNTIF('E1 — Solicitação'!$E461:$L461,"⛔ Bloqueado")&gt;0,"Bloqueado",IF(COUNTIF('E1 — Solicitação'!$E461:$L461,"N/A")=8,"Bloqueado",IF(COUNTIF('E1 — Solicitação'!$E461:$L461,"✔ Concluído")+COUNTIF('E1 — Solicitação'!$E461:$L461,"N/A")=8,"Concluído",IF(COUNTIF('E1 — Solicitação'!$E461:$L461,"✔ Concluído")+COUNTIF('E1 — Solicitação'!$E461:$L461,"🔄 Em andamento")&gt;0,"Em andamento","Não iniciado"))))))</f>
        <v/>
      </c>
      <c r="F479" s="229" t="str">
        <f>IF($B479="","",IF($E479&lt;&gt;"Concluído","Não iniciado",IF(COUNTIF(Lançamentos!$B$3:$B$1001,$B479)=0,"Bloqueado",IF('E2 — Triagem'!$D461="","Bloqueado",IF(COUNTIF('E2 — Triagem'!$E461:$L461,"N/A")=8,"Bloqueado",IF(COUNTIF('E2 — Triagem'!$E461:$L461,"⛔ Bloqueado")&gt;0,"Bloqueado",IF(COUNTIF('E2 — Triagem'!$E461:$L461,"✔ Concluído")+COUNTIF('E2 — Triagem'!$E461:$L461,"N/A")=8,"Concluído",IF(COUNTIF('E2 — Triagem'!$E461:$L461,"✔ Concluído")+COUNTIF('E2 — Triagem'!$E461:$L461,"🔄 Em andamento")&gt;0,"Em andamento","Não iniciado"))))))))</f>
        <v/>
      </c>
      <c r="G479" s="229" t="str">
        <f>IF($B479="","",IF($F479&lt;&gt;"Concluído","Não iniciado",IF(COUNTIF(Lançamentos!$B$3:$B$1001,$B479)=0,"Bloqueado",IF('E3 — Levantamento'!$D461="","Bloqueado",IF(COUNTIF('E3 — Levantamento'!$E461:$I461,"⛔ Bloqueado")&gt;0,"Bloqueado",IF('E3 — Levantamento'!$I461="N/A","Bloqueado",IF(COUNTIF('E3 — Levantamento'!$E461:$I461,"✔ Concluído")=5,"Concluído",IF(COUNTIF('E3 — Levantamento'!$E461:$I461,"✔ Concluído")+COUNTIF('E3 — Levantamento'!$E461:$I461,"🔄 Em andamento")&gt;0,"Em andamento","Não iniciado"))))))))</f>
        <v/>
      </c>
      <c r="H479" s="229" t="str">
        <f>IF($B479="","",IF($G479&lt;&gt;"Concluído","Não iniciado",IF(COUNTIF(Lançamentos!$B$3:$B$1001,$B479)=0,"Bloqueado",IF('E4 — Execução'!$D461="","Bloqueado",IF(COUNTIF('E4 — Execução'!$E461:$K461,"⛔ Bloqueado")&gt;0,"Bloqueado",IF(COUNTIF('E4 — Execução'!$E461:$K461,"✔ Concluído")=7,"Concluído",IF(COUNTIF('E4 — Execução'!$E461:$K461,"✔ Concluído")+COUNTIF('E4 — Execução'!$E461:$K461,"🔄 Em andamento")&gt;0,"Em andamento","Não iniciado")))))))</f>
        <v/>
      </c>
      <c r="I479" s="229" t="str">
        <f>IF($B479="","",IF($H479&lt;&gt;"Concluído","Não iniciado",IF(COUNTIF(Lançamentos!$B$3:$B$1001,$B479)=0,"Bloqueado",IF('E5 — Validação'!$D461="","Bloqueado",IF(COUNTIF('E5 — Validação'!$E461:$I461,"⛔ Bloqueado")&gt;0,"Bloqueado",IF('E5 — Validação'!$I461="N/A","Bloqueado",IF(AND('E5 — Validação'!$E461="✔ Concluído",'E5 — Validação'!$F461="✔ Concluído",OR('E5 — Validação'!$G461="✔ Concluído",'E5 — Validação'!$G461="N/A"),'E5 — Validação'!$H461="✔ Concluído",'E5 — Validação'!$I461="✔ Concluído"),"Concluído",IF(COUNTIF('E5 — Validação'!$E461:$I461,"✔ Concluído")+COUNTIF('E5 — Validação'!$E461:$I461,"🔄 Em andamento")&gt;0,"Em andamento","Não iniciado"))))))))</f>
        <v/>
      </c>
      <c r="J479" s="229" t="str">
        <f>IF($B479="","",IF($I479&lt;&gt;"Concluído","Não iniciado",IF('E6 — Ajustes'!$N461="Não","N/A",IF(COUNTIF(Lançamentos!$B$3:$B$1001,$B479)=0,"Bloqueado",IF('E6 — Ajustes'!$D461="","Bloqueado",IF(COUNTIF('E6 — Ajustes'!$E461:$J461,"⛔ Bloqueado")&gt;0,"Bloqueado",IF(AND('E6 — Ajustes'!$E461="✔ Concluído",'E6 — Ajustes'!$F461="✔ Concluído",'E6 — Ajustes'!$G461="✔ Concluído",'E6 — Ajustes'!$H461="✔ Concluído",OR('E6 — Ajustes'!$I461="✔ Concluído",'E6 — Ajustes'!$I461="N/A"),'E6 — Ajustes'!$J461="✔ Concluído"),"Concluído",IF(COUNTIF('E6 — Ajustes'!$E461:$J461,"✔ Concluído")+COUNTIF('E6 — Ajustes'!$E461:$J461,"🔄 Em andamento")&gt;0,"Em andamento","Não iniciado"))))))))</f>
        <v/>
      </c>
      <c r="K479" s="229" t="str">
        <f>IF($B479="","",IF($I479&lt;&gt;"Concluído","Não iniciado",IF(AND($J479&lt;&gt;"Concluído",$J479&lt;&gt;"N/A"),"Não iniciado",IF(COUNTIF(Lançamentos!$B$3:$B$1001,$B479)=0,"Bloqueado",IF('E7 — Entrega'!$D461="","Bloqueado",IF(COUNTIF('E7 — Entrega'!$E461:$H461,"⛔ Bloqueado")&gt;0,"Bloqueado",IF(COUNTIF('E7 — Entrega'!$E461:$H461,"✔ Concluído")=4,"Concluído",IF(COUNTIF('E7 — Entrega'!$E461:$H461,"✔ Concluído")+COUNTIF('E7 — Entrega'!$E461:$H461,"🔄 Em andamento")&gt;0,"Em andamento","Não iniciado"))))))))</f>
        <v/>
      </c>
      <c r="L479" s="229" t="str">
        <f>IF($B479="","",IF($K479&lt;&gt;"Concluído","Não iniciado",IF(OR(COUNTIF('E08 — Estabilização Hypercare'!$E461:$J461,"⛔ Bloqueado")&gt;0,'E08 — Estabilização Hypercare'!$N461="⛔ Incidente Crítico — Encerramento Bloqueado",AND('E08 — Estabilização Hypercare'!$N461="🆕 Evolução Identificada — Nova Demanda Aberta",'E08 — Estabilização Hypercare'!$U461="")),"Bloqueado",IF(AND('E08 — Estabilização Hypercare'!$E461="✔ Concluído",'E08 — Estabilização Hypercare'!$F461="✔ Concluído",'E08 — Estabilização Hypercare'!$G461="✔ Concluído",OR('E08 — Estabilização Hypercare'!$H461="✔ Concluído",'E08 — Estabilização Hypercare'!$H461="N/A"),'E08 — Estabilização Hypercare'!$I461="✔ Concluído",'E08 — Estabilização Hypercare'!$J461="✔ Concluído",OR('E08 — Estabilização Hypercare'!$N461="✅ Estável — Demanda Encerrada",AND('E08 — Estabilização Hypercare'!$N461="🆕 Evolução Identificada — Nova Demanda Aberta",'E08 — Estabilização Hypercare'!$U461&lt;&gt;""))),"Concluído",IF(OR(COUNTIF('E08 — Estabilização Hypercare'!$E461:$J461,"✔ Concluído")&gt;0,COUNTIF('E08 — Estabilização Hypercare'!$E461:$J461,"🔄 Em andamento")&gt;0,'E08 — Estabilização Hypercare'!$N461&lt;&gt;""),"Em andamento","Não iniciado")))))</f>
        <v/>
      </c>
      <c r="M479" s="232" t="str" cm="1">
        <f t="array" ref="M479">IF(B479="","",_xlfn.IFS(E479&lt;&gt;"Concluído","E1 — Solicitação",F479&lt;&gt;"Concluído","E2 — Triagem",G479&lt;&gt;"Concluído","E3 — Levantamento ⚠",H479&lt;&gt;"Concluído","E4 — Execução",I479&lt;&gt;"Concluído","E5 — Validação ⚠",AND(J479&lt;&gt;"Concluído",J479&lt;&gt;"N/A"),"E6 — Ajustes",K479&lt;&gt;"Concluído","E7 — Entrega",L479&lt;&gt;"Concluído","E08 — Estabilização / Hypercare",TRUE,"✔ Fluxo concluído"))</f>
        <v/>
      </c>
      <c r="N479" s="233" t="str">
        <f t="shared" si="7"/>
        <v/>
      </c>
      <c r="O479" s="230"/>
    </row>
    <row r="480" spans="2:15" x14ac:dyDescent="0.35">
      <c r="B480" s="229" t="str">
        <f>IF(Lançamentos!$B457="","",Lançamentos!$B457)</f>
        <v/>
      </c>
      <c r="C480" s="231" t="str">
        <f>IF($B480="","",Lançamentos!$J457)</f>
        <v/>
      </c>
      <c r="D480" s="231" t="str">
        <f>IF($B480="","",Lançamentos!$H457)</f>
        <v/>
      </c>
      <c r="E480" s="229" t="str">
        <f>IF($B480="","",IF(COUNTIF(Lançamentos!$B$3:$B$1001,$B480)=0,"Bloqueado",IF(COUNTIF('E1 — Solicitação'!$E462:$L462,"⛔ Bloqueado")&gt;0,"Bloqueado",IF(COUNTIF('E1 — Solicitação'!$E462:$L462,"N/A")=8,"Bloqueado",IF(COUNTIF('E1 — Solicitação'!$E462:$L462,"✔ Concluído")+COUNTIF('E1 — Solicitação'!$E462:$L462,"N/A")=8,"Concluído",IF(COUNTIF('E1 — Solicitação'!$E462:$L462,"✔ Concluído")+COUNTIF('E1 — Solicitação'!$E462:$L462,"🔄 Em andamento")&gt;0,"Em andamento","Não iniciado"))))))</f>
        <v/>
      </c>
      <c r="F480" s="229" t="str">
        <f>IF($B480="","",IF($E480&lt;&gt;"Concluído","Não iniciado",IF(COUNTIF(Lançamentos!$B$3:$B$1001,$B480)=0,"Bloqueado",IF('E2 — Triagem'!$D462="","Bloqueado",IF(COUNTIF('E2 — Triagem'!$E462:$L462,"N/A")=8,"Bloqueado",IF(COUNTIF('E2 — Triagem'!$E462:$L462,"⛔ Bloqueado")&gt;0,"Bloqueado",IF(COUNTIF('E2 — Triagem'!$E462:$L462,"✔ Concluído")+COUNTIF('E2 — Triagem'!$E462:$L462,"N/A")=8,"Concluído",IF(COUNTIF('E2 — Triagem'!$E462:$L462,"✔ Concluído")+COUNTIF('E2 — Triagem'!$E462:$L462,"🔄 Em andamento")&gt;0,"Em andamento","Não iniciado"))))))))</f>
        <v/>
      </c>
      <c r="G480" s="229" t="str">
        <f>IF($B480="","",IF($F480&lt;&gt;"Concluído","Não iniciado",IF(COUNTIF(Lançamentos!$B$3:$B$1001,$B480)=0,"Bloqueado",IF('E3 — Levantamento'!$D462="","Bloqueado",IF(COUNTIF('E3 — Levantamento'!$E462:$I462,"⛔ Bloqueado")&gt;0,"Bloqueado",IF('E3 — Levantamento'!$I462="N/A","Bloqueado",IF(COUNTIF('E3 — Levantamento'!$E462:$I462,"✔ Concluído")=5,"Concluído",IF(COUNTIF('E3 — Levantamento'!$E462:$I462,"✔ Concluído")+COUNTIF('E3 — Levantamento'!$E462:$I462,"🔄 Em andamento")&gt;0,"Em andamento","Não iniciado"))))))))</f>
        <v/>
      </c>
      <c r="H480" s="229" t="str">
        <f>IF($B480="","",IF($G480&lt;&gt;"Concluído","Não iniciado",IF(COUNTIF(Lançamentos!$B$3:$B$1001,$B480)=0,"Bloqueado",IF('E4 — Execução'!$D462="","Bloqueado",IF(COUNTIF('E4 — Execução'!$E462:$K462,"⛔ Bloqueado")&gt;0,"Bloqueado",IF(COUNTIF('E4 — Execução'!$E462:$K462,"✔ Concluído")=7,"Concluído",IF(COUNTIF('E4 — Execução'!$E462:$K462,"✔ Concluído")+COUNTIF('E4 — Execução'!$E462:$K462,"🔄 Em andamento")&gt;0,"Em andamento","Não iniciado")))))))</f>
        <v/>
      </c>
      <c r="I480" s="229" t="str">
        <f>IF($B480="","",IF($H480&lt;&gt;"Concluído","Não iniciado",IF(COUNTIF(Lançamentos!$B$3:$B$1001,$B480)=0,"Bloqueado",IF('E5 — Validação'!$D462="","Bloqueado",IF(COUNTIF('E5 — Validação'!$E462:$I462,"⛔ Bloqueado")&gt;0,"Bloqueado",IF('E5 — Validação'!$I462="N/A","Bloqueado",IF(AND('E5 — Validação'!$E462="✔ Concluído",'E5 — Validação'!$F462="✔ Concluído",OR('E5 — Validação'!$G462="✔ Concluído",'E5 — Validação'!$G462="N/A"),'E5 — Validação'!$H462="✔ Concluído",'E5 — Validação'!$I462="✔ Concluído"),"Concluído",IF(COUNTIF('E5 — Validação'!$E462:$I462,"✔ Concluído")+COUNTIF('E5 — Validação'!$E462:$I462,"🔄 Em andamento")&gt;0,"Em andamento","Não iniciado"))))))))</f>
        <v/>
      </c>
      <c r="J480" s="229" t="str">
        <f>IF($B480="","",IF($I480&lt;&gt;"Concluído","Não iniciado",IF('E6 — Ajustes'!$N462="Não","N/A",IF(COUNTIF(Lançamentos!$B$3:$B$1001,$B480)=0,"Bloqueado",IF('E6 — Ajustes'!$D462="","Bloqueado",IF(COUNTIF('E6 — Ajustes'!$E462:$J462,"⛔ Bloqueado")&gt;0,"Bloqueado",IF(AND('E6 — Ajustes'!$E462="✔ Concluído",'E6 — Ajustes'!$F462="✔ Concluído",'E6 — Ajustes'!$G462="✔ Concluído",'E6 — Ajustes'!$H462="✔ Concluído",OR('E6 — Ajustes'!$I462="✔ Concluído",'E6 — Ajustes'!$I462="N/A"),'E6 — Ajustes'!$J462="✔ Concluído"),"Concluído",IF(COUNTIF('E6 — Ajustes'!$E462:$J462,"✔ Concluído")+COUNTIF('E6 — Ajustes'!$E462:$J462,"🔄 Em andamento")&gt;0,"Em andamento","Não iniciado"))))))))</f>
        <v/>
      </c>
      <c r="K480" s="229" t="str">
        <f>IF($B480="","",IF($I480&lt;&gt;"Concluído","Não iniciado",IF(AND($J480&lt;&gt;"Concluído",$J480&lt;&gt;"N/A"),"Não iniciado",IF(COUNTIF(Lançamentos!$B$3:$B$1001,$B480)=0,"Bloqueado",IF('E7 — Entrega'!$D462="","Bloqueado",IF(COUNTIF('E7 — Entrega'!$E462:$H462,"⛔ Bloqueado")&gt;0,"Bloqueado",IF(COUNTIF('E7 — Entrega'!$E462:$H462,"✔ Concluído")=4,"Concluído",IF(COUNTIF('E7 — Entrega'!$E462:$H462,"✔ Concluído")+COUNTIF('E7 — Entrega'!$E462:$H462,"🔄 Em andamento")&gt;0,"Em andamento","Não iniciado"))))))))</f>
        <v/>
      </c>
      <c r="L480" s="229" t="str">
        <f>IF($B480="","",IF($K480&lt;&gt;"Concluído","Não iniciado",IF(OR(COUNTIF('E08 — Estabilização Hypercare'!$E462:$J462,"⛔ Bloqueado")&gt;0,'E08 — Estabilização Hypercare'!$N462="⛔ Incidente Crítico — Encerramento Bloqueado",AND('E08 — Estabilização Hypercare'!$N462="🆕 Evolução Identificada — Nova Demanda Aberta",'E08 — Estabilização Hypercare'!$U462="")),"Bloqueado",IF(AND('E08 — Estabilização Hypercare'!$E462="✔ Concluído",'E08 — Estabilização Hypercare'!$F462="✔ Concluído",'E08 — Estabilização Hypercare'!$G462="✔ Concluído",OR('E08 — Estabilização Hypercare'!$H462="✔ Concluído",'E08 — Estabilização Hypercare'!$H462="N/A"),'E08 — Estabilização Hypercare'!$I462="✔ Concluído",'E08 — Estabilização Hypercare'!$J462="✔ Concluído",OR('E08 — Estabilização Hypercare'!$N462="✅ Estável — Demanda Encerrada",AND('E08 — Estabilização Hypercare'!$N462="🆕 Evolução Identificada — Nova Demanda Aberta",'E08 — Estabilização Hypercare'!$U462&lt;&gt;""))),"Concluído",IF(OR(COUNTIF('E08 — Estabilização Hypercare'!$E462:$J462,"✔ Concluído")&gt;0,COUNTIF('E08 — Estabilização Hypercare'!$E462:$J462,"🔄 Em andamento")&gt;0,'E08 — Estabilização Hypercare'!$N462&lt;&gt;""),"Em andamento","Não iniciado")))))</f>
        <v/>
      </c>
      <c r="M480" s="232" t="str" cm="1">
        <f t="array" ref="M480">IF(B480="","",_xlfn.IFS(E480&lt;&gt;"Concluído","E1 — Solicitação",F480&lt;&gt;"Concluído","E2 — Triagem",G480&lt;&gt;"Concluído","E3 — Levantamento ⚠",H480&lt;&gt;"Concluído","E4 — Execução",I480&lt;&gt;"Concluído","E5 — Validação ⚠",AND(J480&lt;&gt;"Concluído",J480&lt;&gt;"N/A"),"E6 — Ajustes",K480&lt;&gt;"Concluído","E7 — Entrega",L480&lt;&gt;"Concluído","E08 — Estabilização / Hypercare",TRUE,"✔ Fluxo concluído"))</f>
        <v/>
      </c>
      <c r="N480" s="233" t="str">
        <f t="shared" si="7"/>
        <v/>
      </c>
      <c r="O480" s="230"/>
    </row>
    <row r="481" spans="2:15" x14ac:dyDescent="0.35">
      <c r="B481" s="229" t="str">
        <f>IF(Lançamentos!$B458="","",Lançamentos!$B458)</f>
        <v/>
      </c>
      <c r="C481" s="231" t="str">
        <f>IF($B481="","",Lançamentos!$J458)</f>
        <v/>
      </c>
      <c r="D481" s="231" t="str">
        <f>IF($B481="","",Lançamentos!$H458)</f>
        <v/>
      </c>
      <c r="E481" s="229" t="str">
        <f>IF($B481="","",IF(COUNTIF(Lançamentos!$B$3:$B$1001,$B481)=0,"Bloqueado",IF(COUNTIF('E1 — Solicitação'!$E463:$L463,"⛔ Bloqueado")&gt;0,"Bloqueado",IF(COUNTIF('E1 — Solicitação'!$E463:$L463,"N/A")=8,"Bloqueado",IF(COUNTIF('E1 — Solicitação'!$E463:$L463,"✔ Concluído")+COUNTIF('E1 — Solicitação'!$E463:$L463,"N/A")=8,"Concluído",IF(COUNTIF('E1 — Solicitação'!$E463:$L463,"✔ Concluído")+COUNTIF('E1 — Solicitação'!$E463:$L463,"🔄 Em andamento")&gt;0,"Em andamento","Não iniciado"))))))</f>
        <v/>
      </c>
      <c r="F481" s="229" t="str">
        <f>IF($B481="","",IF($E481&lt;&gt;"Concluído","Não iniciado",IF(COUNTIF(Lançamentos!$B$3:$B$1001,$B481)=0,"Bloqueado",IF('E2 — Triagem'!$D463="","Bloqueado",IF(COUNTIF('E2 — Triagem'!$E463:$L463,"N/A")=8,"Bloqueado",IF(COUNTIF('E2 — Triagem'!$E463:$L463,"⛔ Bloqueado")&gt;0,"Bloqueado",IF(COUNTIF('E2 — Triagem'!$E463:$L463,"✔ Concluído")+COUNTIF('E2 — Triagem'!$E463:$L463,"N/A")=8,"Concluído",IF(COUNTIF('E2 — Triagem'!$E463:$L463,"✔ Concluído")+COUNTIF('E2 — Triagem'!$E463:$L463,"🔄 Em andamento")&gt;0,"Em andamento","Não iniciado"))))))))</f>
        <v/>
      </c>
      <c r="G481" s="229" t="str">
        <f>IF($B481="","",IF($F481&lt;&gt;"Concluído","Não iniciado",IF(COUNTIF(Lançamentos!$B$3:$B$1001,$B481)=0,"Bloqueado",IF('E3 — Levantamento'!$D463="","Bloqueado",IF(COUNTIF('E3 — Levantamento'!$E463:$I463,"⛔ Bloqueado")&gt;0,"Bloqueado",IF('E3 — Levantamento'!$I463="N/A","Bloqueado",IF(COUNTIF('E3 — Levantamento'!$E463:$I463,"✔ Concluído")=5,"Concluído",IF(COUNTIF('E3 — Levantamento'!$E463:$I463,"✔ Concluído")+COUNTIF('E3 — Levantamento'!$E463:$I463,"🔄 Em andamento")&gt;0,"Em andamento","Não iniciado"))))))))</f>
        <v/>
      </c>
      <c r="H481" s="229" t="str">
        <f>IF($B481="","",IF($G481&lt;&gt;"Concluído","Não iniciado",IF(COUNTIF(Lançamentos!$B$3:$B$1001,$B481)=0,"Bloqueado",IF('E4 — Execução'!$D463="","Bloqueado",IF(COUNTIF('E4 — Execução'!$E463:$K463,"⛔ Bloqueado")&gt;0,"Bloqueado",IF(COUNTIF('E4 — Execução'!$E463:$K463,"✔ Concluído")=7,"Concluído",IF(COUNTIF('E4 — Execução'!$E463:$K463,"✔ Concluído")+COUNTIF('E4 — Execução'!$E463:$K463,"🔄 Em andamento")&gt;0,"Em andamento","Não iniciado")))))))</f>
        <v/>
      </c>
      <c r="I481" s="229" t="str">
        <f>IF($B481="","",IF($H481&lt;&gt;"Concluído","Não iniciado",IF(COUNTIF(Lançamentos!$B$3:$B$1001,$B481)=0,"Bloqueado",IF('E5 — Validação'!$D463="","Bloqueado",IF(COUNTIF('E5 — Validação'!$E463:$I463,"⛔ Bloqueado")&gt;0,"Bloqueado",IF('E5 — Validação'!$I463="N/A","Bloqueado",IF(AND('E5 — Validação'!$E463="✔ Concluído",'E5 — Validação'!$F463="✔ Concluído",OR('E5 — Validação'!$G463="✔ Concluído",'E5 — Validação'!$G463="N/A"),'E5 — Validação'!$H463="✔ Concluído",'E5 — Validação'!$I463="✔ Concluído"),"Concluído",IF(COUNTIF('E5 — Validação'!$E463:$I463,"✔ Concluído")+COUNTIF('E5 — Validação'!$E463:$I463,"🔄 Em andamento")&gt;0,"Em andamento","Não iniciado"))))))))</f>
        <v/>
      </c>
      <c r="J481" s="229" t="str">
        <f>IF($B481="","",IF($I481&lt;&gt;"Concluído","Não iniciado",IF('E6 — Ajustes'!$N463="Não","N/A",IF(COUNTIF(Lançamentos!$B$3:$B$1001,$B481)=0,"Bloqueado",IF('E6 — Ajustes'!$D463="","Bloqueado",IF(COUNTIF('E6 — Ajustes'!$E463:$J463,"⛔ Bloqueado")&gt;0,"Bloqueado",IF(AND('E6 — Ajustes'!$E463="✔ Concluído",'E6 — Ajustes'!$F463="✔ Concluído",'E6 — Ajustes'!$G463="✔ Concluído",'E6 — Ajustes'!$H463="✔ Concluído",OR('E6 — Ajustes'!$I463="✔ Concluído",'E6 — Ajustes'!$I463="N/A"),'E6 — Ajustes'!$J463="✔ Concluído"),"Concluído",IF(COUNTIF('E6 — Ajustes'!$E463:$J463,"✔ Concluído")+COUNTIF('E6 — Ajustes'!$E463:$J463,"🔄 Em andamento")&gt;0,"Em andamento","Não iniciado"))))))))</f>
        <v/>
      </c>
      <c r="K481" s="229" t="str">
        <f>IF($B481="","",IF($I481&lt;&gt;"Concluído","Não iniciado",IF(AND($J481&lt;&gt;"Concluído",$J481&lt;&gt;"N/A"),"Não iniciado",IF(COUNTIF(Lançamentos!$B$3:$B$1001,$B481)=0,"Bloqueado",IF('E7 — Entrega'!$D463="","Bloqueado",IF(COUNTIF('E7 — Entrega'!$E463:$H463,"⛔ Bloqueado")&gt;0,"Bloqueado",IF(COUNTIF('E7 — Entrega'!$E463:$H463,"✔ Concluído")=4,"Concluído",IF(COUNTIF('E7 — Entrega'!$E463:$H463,"✔ Concluído")+COUNTIF('E7 — Entrega'!$E463:$H463,"🔄 Em andamento")&gt;0,"Em andamento","Não iniciado"))))))))</f>
        <v/>
      </c>
      <c r="L481" s="229" t="str">
        <f>IF($B481="","",IF($K481&lt;&gt;"Concluído","Não iniciado",IF(OR(COUNTIF('E08 — Estabilização Hypercare'!$E463:$J463,"⛔ Bloqueado")&gt;0,'E08 — Estabilização Hypercare'!$N463="⛔ Incidente Crítico — Encerramento Bloqueado",AND('E08 — Estabilização Hypercare'!$N463="🆕 Evolução Identificada — Nova Demanda Aberta",'E08 — Estabilização Hypercare'!$U463="")),"Bloqueado",IF(AND('E08 — Estabilização Hypercare'!$E463="✔ Concluído",'E08 — Estabilização Hypercare'!$F463="✔ Concluído",'E08 — Estabilização Hypercare'!$G463="✔ Concluído",OR('E08 — Estabilização Hypercare'!$H463="✔ Concluído",'E08 — Estabilização Hypercare'!$H463="N/A"),'E08 — Estabilização Hypercare'!$I463="✔ Concluído",'E08 — Estabilização Hypercare'!$J463="✔ Concluído",OR('E08 — Estabilização Hypercare'!$N463="✅ Estável — Demanda Encerrada",AND('E08 — Estabilização Hypercare'!$N463="🆕 Evolução Identificada — Nova Demanda Aberta",'E08 — Estabilização Hypercare'!$U463&lt;&gt;""))),"Concluído",IF(OR(COUNTIF('E08 — Estabilização Hypercare'!$E463:$J463,"✔ Concluído")&gt;0,COUNTIF('E08 — Estabilização Hypercare'!$E463:$J463,"🔄 Em andamento")&gt;0,'E08 — Estabilização Hypercare'!$N463&lt;&gt;""),"Em andamento","Não iniciado")))))</f>
        <v/>
      </c>
      <c r="M481" s="232" t="str" cm="1">
        <f t="array" ref="M481">IF(B481="","",_xlfn.IFS(E481&lt;&gt;"Concluído","E1 — Solicitação",F481&lt;&gt;"Concluído","E2 — Triagem",G481&lt;&gt;"Concluído","E3 — Levantamento ⚠",H481&lt;&gt;"Concluído","E4 — Execução",I481&lt;&gt;"Concluído","E5 — Validação ⚠",AND(J481&lt;&gt;"Concluído",J481&lt;&gt;"N/A"),"E6 — Ajustes",K481&lt;&gt;"Concluído","E7 — Entrega",L481&lt;&gt;"Concluído","E08 — Estabilização / Hypercare",TRUE,"✔ Fluxo concluído"))</f>
        <v/>
      </c>
      <c r="N481" s="233" t="str">
        <f t="shared" si="7"/>
        <v/>
      </c>
      <c r="O481" s="230"/>
    </row>
    <row r="482" spans="2:15" x14ac:dyDescent="0.35">
      <c r="B482" s="229" t="str">
        <f>IF(Lançamentos!$B459="","",Lançamentos!$B459)</f>
        <v/>
      </c>
      <c r="C482" s="231" t="str">
        <f>IF($B482="","",Lançamentos!$J459)</f>
        <v/>
      </c>
      <c r="D482" s="231" t="str">
        <f>IF($B482="","",Lançamentos!$H459)</f>
        <v/>
      </c>
      <c r="E482" s="229" t="str">
        <f>IF($B482="","",IF(COUNTIF(Lançamentos!$B$3:$B$1001,$B482)=0,"Bloqueado",IF(COUNTIF('E1 — Solicitação'!$E464:$L464,"⛔ Bloqueado")&gt;0,"Bloqueado",IF(COUNTIF('E1 — Solicitação'!$E464:$L464,"N/A")=8,"Bloqueado",IF(COUNTIF('E1 — Solicitação'!$E464:$L464,"✔ Concluído")+COUNTIF('E1 — Solicitação'!$E464:$L464,"N/A")=8,"Concluído",IF(COUNTIF('E1 — Solicitação'!$E464:$L464,"✔ Concluído")+COUNTIF('E1 — Solicitação'!$E464:$L464,"🔄 Em andamento")&gt;0,"Em andamento","Não iniciado"))))))</f>
        <v/>
      </c>
      <c r="F482" s="229" t="str">
        <f>IF($B482="","",IF($E482&lt;&gt;"Concluído","Não iniciado",IF(COUNTIF(Lançamentos!$B$3:$B$1001,$B482)=0,"Bloqueado",IF('E2 — Triagem'!$D464="","Bloqueado",IF(COUNTIF('E2 — Triagem'!$E464:$L464,"N/A")=8,"Bloqueado",IF(COUNTIF('E2 — Triagem'!$E464:$L464,"⛔ Bloqueado")&gt;0,"Bloqueado",IF(COUNTIF('E2 — Triagem'!$E464:$L464,"✔ Concluído")+COUNTIF('E2 — Triagem'!$E464:$L464,"N/A")=8,"Concluído",IF(COUNTIF('E2 — Triagem'!$E464:$L464,"✔ Concluído")+COUNTIF('E2 — Triagem'!$E464:$L464,"🔄 Em andamento")&gt;0,"Em andamento","Não iniciado"))))))))</f>
        <v/>
      </c>
      <c r="G482" s="229" t="str">
        <f>IF($B482="","",IF($F482&lt;&gt;"Concluído","Não iniciado",IF(COUNTIF(Lançamentos!$B$3:$B$1001,$B482)=0,"Bloqueado",IF('E3 — Levantamento'!$D464="","Bloqueado",IF(COUNTIF('E3 — Levantamento'!$E464:$I464,"⛔ Bloqueado")&gt;0,"Bloqueado",IF('E3 — Levantamento'!$I464="N/A","Bloqueado",IF(COUNTIF('E3 — Levantamento'!$E464:$I464,"✔ Concluído")=5,"Concluído",IF(COUNTIF('E3 — Levantamento'!$E464:$I464,"✔ Concluído")+COUNTIF('E3 — Levantamento'!$E464:$I464,"🔄 Em andamento")&gt;0,"Em andamento","Não iniciado"))))))))</f>
        <v/>
      </c>
      <c r="H482" s="229" t="str">
        <f>IF($B482="","",IF($G482&lt;&gt;"Concluído","Não iniciado",IF(COUNTIF(Lançamentos!$B$3:$B$1001,$B482)=0,"Bloqueado",IF('E4 — Execução'!$D464="","Bloqueado",IF(COUNTIF('E4 — Execução'!$E464:$K464,"⛔ Bloqueado")&gt;0,"Bloqueado",IF(COUNTIF('E4 — Execução'!$E464:$K464,"✔ Concluído")=7,"Concluído",IF(COUNTIF('E4 — Execução'!$E464:$K464,"✔ Concluído")+COUNTIF('E4 — Execução'!$E464:$K464,"🔄 Em andamento")&gt;0,"Em andamento","Não iniciado")))))))</f>
        <v/>
      </c>
      <c r="I482" s="229" t="str">
        <f>IF($B482="","",IF($H482&lt;&gt;"Concluído","Não iniciado",IF(COUNTIF(Lançamentos!$B$3:$B$1001,$B482)=0,"Bloqueado",IF('E5 — Validação'!$D464="","Bloqueado",IF(COUNTIF('E5 — Validação'!$E464:$I464,"⛔ Bloqueado")&gt;0,"Bloqueado",IF('E5 — Validação'!$I464="N/A","Bloqueado",IF(AND('E5 — Validação'!$E464="✔ Concluído",'E5 — Validação'!$F464="✔ Concluído",OR('E5 — Validação'!$G464="✔ Concluído",'E5 — Validação'!$G464="N/A"),'E5 — Validação'!$H464="✔ Concluído",'E5 — Validação'!$I464="✔ Concluído"),"Concluído",IF(COUNTIF('E5 — Validação'!$E464:$I464,"✔ Concluído")+COUNTIF('E5 — Validação'!$E464:$I464,"🔄 Em andamento")&gt;0,"Em andamento","Não iniciado"))))))))</f>
        <v/>
      </c>
      <c r="J482" s="229" t="str">
        <f>IF($B482="","",IF($I482&lt;&gt;"Concluído","Não iniciado",IF('E6 — Ajustes'!$N464="Não","N/A",IF(COUNTIF(Lançamentos!$B$3:$B$1001,$B482)=0,"Bloqueado",IF('E6 — Ajustes'!$D464="","Bloqueado",IF(COUNTIF('E6 — Ajustes'!$E464:$J464,"⛔ Bloqueado")&gt;0,"Bloqueado",IF(AND('E6 — Ajustes'!$E464="✔ Concluído",'E6 — Ajustes'!$F464="✔ Concluído",'E6 — Ajustes'!$G464="✔ Concluído",'E6 — Ajustes'!$H464="✔ Concluído",OR('E6 — Ajustes'!$I464="✔ Concluído",'E6 — Ajustes'!$I464="N/A"),'E6 — Ajustes'!$J464="✔ Concluído"),"Concluído",IF(COUNTIF('E6 — Ajustes'!$E464:$J464,"✔ Concluído")+COUNTIF('E6 — Ajustes'!$E464:$J464,"🔄 Em andamento")&gt;0,"Em andamento","Não iniciado"))))))))</f>
        <v/>
      </c>
      <c r="K482" s="229" t="str">
        <f>IF($B482="","",IF($I482&lt;&gt;"Concluído","Não iniciado",IF(AND($J482&lt;&gt;"Concluído",$J482&lt;&gt;"N/A"),"Não iniciado",IF(COUNTIF(Lançamentos!$B$3:$B$1001,$B482)=0,"Bloqueado",IF('E7 — Entrega'!$D464="","Bloqueado",IF(COUNTIF('E7 — Entrega'!$E464:$H464,"⛔ Bloqueado")&gt;0,"Bloqueado",IF(COUNTIF('E7 — Entrega'!$E464:$H464,"✔ Concluído")=4,"Concluído",IF(COUNTIF('E7 — Entrega'!$E464:$H464,"✔ Concluído")+COUNTIF('E7 — Entrega'!$E464:$H464,"🔄 Em andamento")&gt;0,"Em andamento","Não iniciado"))))))))</f>
        <v/>
      </c>
      <c r="L482" s="229" t="str">
        <f>IF($B482="","",IF($K482&lt;&gt;"Concluído","Não iniciado",IF(OR(COUNTIF('E08 — Estabilização Hypercare'!$E464:$J464,"⛔ Bloqueado")&gt;0,'E08 — Estabilização Hypercare'!$N464="⛔ Incidente Crítico — Encerramento Bloqueado",AND('E08 — Estabilização Hypercare'!$N464="🆕 Evolução Identificada — Nova Demanda Aberta",'E08 — Estabilização Hypercare'!$U464="")),"Bloqueado",IF(AND('E08 — Estabilização Hypercare'!$E464="✔ Concluído",'E08 — Estabilização Hypercare'!$F464="✔ Concluído",'E08 — Estabilização Hypercare'!$G464="✔ Concluído",OR('E08 — Estabilização Hypercare'!$H464="✔ Concluído",'E08 — Estabilização Hypercare'!$H464="N/A"),'E08 — Estabilização Hypercare'!$I464="✔ Concluído",'E08 — Estabilização Hypercare'!$J464="✔ Concluído",OR('E08 — Estabilização Hypercare'!$N464="✅ Estável — Demanda Encerrada",AND('E08 — Estabilização Hypercare'!$N464="🆕 Evolução Identificada — Nova Demanda Aberta",'E08 — Estabilização Hypercare'!$U464&lt;&gt;""))),"Concluído",IF(OR(COUNTIF('E08 — Estabilização Hypercare'!$E464:$J464,"✔ Concluído")&gt;0,COUNTIF('E08 — Estabilização Hypercare'!$E464:$J464,"🔄 Em andamento")&gt;0,'E08 — Estabilização Hypercare'!$N464&lt;&gt;""),"Em andamento","Não iniciado")))))</f>
        <v/>
      </c>
      <c r="M482" s="232" t="str" cm="1">
        <f t="array" ref="M482">IF(B482="","",_xlfn.IFS(E482&lt;&gt;"Concluído","E1 — Solicitação",F482&lt;&gt;"Concluído","E2 — Triagem",G482&lt;&gt;"Concluído","E3 — Levantamento ⚠",H482&lt;&gt;"Concluído","E4 — Execução",I482&lt;&gt;"Concluído","E5 — Validação ⚠",AND(J482&lt;&gt;"Concluído",J482&lt;&gt;"N/A"),"E6 — Ajustes",K482&lt;&gt;"Concluído","E7 — Entrega",L482&lt;&gt;"Concluído","E08 — Estabilização / Hypercare",TRUE,"✔ Fluxo concluído"))</f>
        <v/>
      </c>
      <c r="N482" s="233" t="str">
        <f t="shared" ref="N482:N525" si="8">IF(B482="","",(COUNTIF(E482:L482,"Concluído")+COUNTIF(E482:L482,"N/A"))/8)</f>
        <v/>
      </c>
      <c r="O482" s="230"/>
    </row>
    <row r="483" spans="2:15" x14ac:dyDescent="0.35">
      <c r="B483" s="229" t="str">
        <f>IF(Lançamentos!$B460="","",Lançamentos!$B460)</f>
        <v/>
      </c>
      <c r="C483" s="231" t="str">
        <f>IF($B483="","",Lançamentos!$J460)</f>
        <v/>
      </c>
      <c r="D483" s="231" t="str">
        <f>IF($B483="","",Lançamentos!$H460)</f>
        <v/>
      </c>
      <c r="E483" s="229" t="str">
        <f>IF($B483="","",IF(COUNTIF(Lançamentos!$B$3:$B$1001,$B483)=0,"Bloqueado",IF(COUNTIF('E1 — Solicitação'!$E465:$L465,"⛔ Bloqueado")&gt;0,"Bloqueado",IF(COUNTIF('E1 — Solicitação'!$E465:$L465,"N/A")=8,"Bloqueado",IF(COUNTIF('E1 — Solicitação'!$E465:$L465,"✔ Concluído")+COUNTIF('E1 — Solicitação'!$E465:$L465,"N/A")=8,"Concluído",IF(COUNTIF('E1 — Solicitação'!$E465:$L465,"✔ Concluído")+COUNTIF('E1 — Solicitação'!$E465:$L465,"🔄 Em andamento")&gt;0,"Em andamento","Não iniciado"))))))</f>
        <v/>
      </c>
      <c r="F483" s="229" t="str">
        <f>IF($B483="","",IF($E483&lt;&gt;"Concluído","Não iniciado",IF(COUNTIF(Lançamentos!$B$3:$B$1001,$B483)=0,"Bloqueado",IF('E2 — Triagem'!$D465="","Bloqueado",IF(COUNTIF('E2 — Triagem'!$E465:$L465,"N/A")=8,"Bloqueado",IF(COUNTIF('E2 — Triagem'!$E465:$L465,"⛔ Bloqueado")&gt;0,"Bloqueado",IF(COUNTIF('E2 — Triagem'!$E465:$L465,"✔ Concluído")+COUNTIF('E2 — Triagem'!$E465:$L465,"N/A")=8,"Concluído",IF(COUNTIF('E2 — Triagem'!$E465:$L465,"✔ Concluído")+COUNTIF('E2 — Triagem'!$E465:$L465,"🔄 Em andamento")&gt;0,"Em andamento","Não iniciado"))))))))</f>
        <v/>
      </c>
      <c r="G483" s="229" t="str">
        <f>IF($B483="","",IF($F483&lt;&gt;"Concluído","Não iniciado",IF(COUNTIF(Lançamentos!$B$3:$B$1001,$B483)=0,"Bloqueado",IF('E3 — Levantamento'!$D465="","Bloqueado",IF(COUNTIF('E3 — Levantamento'!$E465:$I465,"⛔ Bloqueado")&gt;0,"Bloqueado",IF('E3 — Levantamento'!$I465="N/A","Bloqueado",IF(COUNTIF('E3 — Levantamento'!$E465:$I465,"✔ Concluído")=5,"Concluído",IF(COUNTIF('E3 — Levantamento'!$E465:$I465,"✔ Concluído")+COUNTIF('E3 — Levantamento'!$E465:$I465,"🔄 Em andamento")&gt;0,"Em andamento","Não iniciado"))))))))</f>
        <v/>
      </c>
      <c r="H483" s="229" t="str">
        <f>IF($B483="","",IF($G483&lt;&gt;"Concluído","Não iniciado",IF(COUNTIF(Lançamentos!$B$3:$B$1001,$B483)=0,"Bloqueado",IF('E4 — Execução'!$D465="","Bloqueado",IF(COUNTIF('E4 — Execução'!$E465:$K465,"⛔ Bloqueado")&gt;0,"Bloqueado",IF(COUNTIF('E4 — Execução'!$E465:$K465,"✔ Concluído")=7,"Concluído",IF(COUNTIF('E4 — Execução'!$E465:$K465,"✔ Concluído")+COUNTIF('E4 — Execução'!$E465:$K465,"🔄 Em andamento")&gt;0,"Em andamento","Não iniciado")))))))</f>
        <v/>
      </c>
      <c r="I483" s="229" t="str">
        <f>IF($B483="","",IF($H483&lt;&gt;"Concluído","Não iniciado",IF(COUNTIF(Lançamentos!$B$3:$B$1001,$B483)=0,"Bloqueado",IF('E5 — Validação'!$D465="","Bloqueado",IF(COUNTIF('E5 — Validação'!$E465:$I465,"⛔ Bloqueado")&gt;0,"Bloqueado",IF('E5 — Validação'!$I465="N/A","Bloqueado",IF(AND('E5 — Validação'!$E465="✔ Concluído",'E5 — Validação'!$F465="✔ Concluído",OR('E5 — Validação'!$G465="✔ Concluído",'E5 — Validação'!$G465="N/A"),'E5 — Validação'!$H465="✔ Concluído",'E5 — Validação'!$I465="✔ Concluído"),"Concluído",IF(COUNTIF('E5 — Validação'!$E465:$I465,"✔ Concluído")+COUNTIF('E5 — Validação'!$E465:$I465,"🔄 Em andamento")&gt;0,"Em andamento","Não iniciado"))))))))</f>
        <v/>
      </c>
      <c r="J483" s="229" t="str">
        <f>IF($B483="","",IF($I483&lt;&gt;"Concluído","Não iniciado",IF('E6 — Ajustes'!$N465="Não","N/A",IF(COUNTIF(Lançamentos!$B$3:$B$1001,$B483)=0,"Bloqueado",IF('E6 — Ajustes'!$D465="","Bloqueado",IF(COUNTIF('E6 — Ajustes'!$E465:$J465,"⛔ Bloqueado")&gt;0,"Bloqueado",IF(AND('E6 — Ajustes'!$E465="✔ Concluído",'E6 — Ajustes'!$F465="✔ Concluído",'E6 — Ajustes'!$G465="✔ Concluído",'E6 — Ajustes'!$H465="✔ Concluído",OR('E6 — Ajustes'!$I465="✔ Concluído",'E6 — Ajustes'!$I465="N/A"),'E6 — Ajustes'!$J465="✔ Concluído"),"Concluído",IF(COUNTIF('E6 — Ajustes'!$E465:$J465,"✔ Concluído")+COUNTIF('E6 — Ajustes'!$E465:$J465,"🔄 Em andamento")&gt;0,"Em andamento","Não iniciado"))))))))</f>
        <v/>
      </c>
      <c r="K483" s="229" t="str">
        <f>IF($B483="","",IF($I483&lt;&gt;"Concluído","Não iniciado",IF(AND($J483&lt;&gt;"Concluído",$J483&lt;&gt;"N/A"),"Não iniciado",IF(COUNTIF(Lançamentos!$B$3:$B$1001,$B483)=0,"Bloqueado",IF('E7 — Entrega'!$D465="","Bloqueado",IF(COUNTIF('E7 — Entrega'!$E465:$H465,"⛔ Bloqueado")&gt;0,"Bloqueado",IF(COUNTIF('E7 — Entrega'!$E465:$H465,"✔ Concluído")=4,"Concluído",IF(COUNTIF('E7 — Entrega'!$E465:$H465,"✔ Concluído")+COUNTIF('E7 — Entrega'!$E465:$H465,"🔄 Em andamento")&gt;0,"Em andamento","Não iniciado"))))))))</f>
        <v/>
      </c>
      <c r="L483" s="229" t="str">
        <f>IF($B483="","",IF($K483&lt;&gt;"Concluído","Não iniciado",IF(OR(COUNTIF('E08 — Estabilização Hypercare'!$E465:$J465,"⛔ Bloqueado")&gt;0,'E08 — Estabilização Hypercare'!$N465="⛔ Incidente Crítico — Encerramento Bloqueado",AND('E08 — Estabilização Hypercare'!$N465="🆕 Evolução Identificada — Nova Demanda Aberta",'E08 — Estabilização Hypercare'!$U465="")),"Bloqueado",IF(AND('E08 — Estabilização Hypercare'!$E465="✔ Concluído",'E08 — Estabilização Hypercare'!$F465="✔ Concluído",'E08 — Estabilização Hypercare'!$G465="✔ Concluído",OR('E08 — Estabilização Hypercare'!$H465="✔ Concluído",'E08 — Estabilização Hypercare'!$H465="N/A"),'E08 — Estabilização Hypercare'!$I465="✔ Concluído",'E08 — Estabilização Hypercare'!$J465="✔ Concluído",OR('E08 — Estabilização Hypercare'!$N465="✅ Estável — Demanda Encerrada",AND('E08 — Estabilização Hypercare'!$N465="🆕 Evolução Identificada — Nova Demanda Aberta",'E08 — Estabilização Hypercare'!$U465&lt;&gt;""))),"Concluído",IF(OR(COUNTIF('E08 — Estabilização Hypercare'!$E465:$J465,"✔ Concluído")&gt;0,COUNTIF('E08 — Estabilização Hypercare'!$E465:$J465,"🔄 Em andamento")&gt;0,'E08 — Estabilização Hypercare'!$N465&lt;&gt;""),"Em andamento","Não iniciado")))))</f>
        <v/>
      </c>
      <c r="M483" s="232" t="str" cm="1">
        <f t="array" ref="M483">IF(B483="","",_xlfn.IFS(E483&lt;&gt;"Concluído","E1 — Solicitação",F483&lt;&gt;"Concluído","E2 — Triagem",G483&lt;&gt;"Concluído","E3 — Levantamento ⚠",H483&lt;&gt;"Concluído","E4 — Execução",I483&lt;&gt;"Concluído","E5 — Validação ⚠",AND(J483&lt;&gt;"Concluído",J483&lt;&gt;"N/A"),"E6 — Ajustes",K483&lt;&gt;"Concluído","E7 — Entrega",L483&lt;&gt;"Concluído","E08 — Estabilização / Hypercare",TRUE,"✔ Fluxo concluído"))</f>
        <v/>
      </c>
      <c r="N483" s="233" t="str">
        <f t="shared" si="8"/>
        <v/>
      </c>
      <c r="O483" s="230"/>
    </row>
    <row r="484" spans="2:15" x14ac:dyDescent="0.35">
      <c r="B484" s="229" t="str">
        <f>IF(Lançamentos!$B461="","",Lançamentos!$B461)</f>
        <v/>
      </c>
      <c r="C484" s="231" t="str">
        <f>IF($B484="","",Lançamentos!$J461)</f>
        <v/>
      </c>
      <c r="D484" s="231" t="str">
        <f>IF($B484="","",Lançamentos!$H461)</f>
        <v/>
      </c>
      <c r="E484" s="229" t="str">
        <f>IF($B484="","",IF(COUNTIF(Lançamentos!$B$3:$B$1001,$B484)=0,"Bloqueado",IF(COUNTIF('E1 — Solicitação'!$E466:$L466,"⛔ Bloqueado")&gt;0,"Bloqueado",IF(COUNTIF('E1 — Solicitação'!$E466:$L466,"N/A")=8,"Bloqueado",IF(COUNTIF('E1 — Solicitação'!$E466:$L466,"✔ Concluído")+COUNTIF('E1 — Solicitação'!$E466:$L466,"N/A")=8,"Concluído",IF(COUNTIF('E1 — Solicitação'!$E466:$L466,"✔ Concluído")+COUNTIF('E1 — Solicitação'!$E466:$L466,"🔄 Em andamento")&gt;0,"Em andamento","Não iniciado"))))))</f>
        <v/>
      </c>
      <c r="F484" s="229" t="str">
        <f>IF($B484="","",IF($E484&lt;&gt;"Concluído","Não iniciado",IF(COUNTIF(Lançamentos!$B$3:$B$1001,$B484)=0,"Bloqueado",IF('E2 — Triagem'!$D466="","Bloqueado",IF(COUNTIF('E2 — Triagem'!$E466:$L466,"N/A")=8,"Bloqueado",IF(COUNTIF('E2 — Triagem'!$E466:$L466,"⛔ Bloqueado")&gt;0,"Bloqueado",IF(COUNTIF('E2 — Triagem'!$E466:$L466,"✔ Concluído")+COUNTIF('E2 — Triagem'!$E466:$L466,"N/A")=8,"Concluído",IF(COUNTIF('E2 — Triagem'!$E466:$L466,"✔ Concluído")+COUNTIF('E2 — Triagem'!$E466:$L466,"🔄 Em andamento")&gt;0,"Em andamento","Não iniciado"))))))))</f>
        <v/>
      </c>
      <c r="G484" s="229" t="str">
        <f>IF($B484="","",IF($F484&lt;&gt;"Concluído","Não iniciado",IF(COUNTIF(Lançamentos!$B$3:$B$1001,$B484)=0,"Bloqueado",IF('E3 — Levantamento'!$D466="","Bloqueado",IF(COUNTIF('E3 — Levantamento'!$E466:$I466,"⛔ Bloqueado")&gt;0,"Bloqueado",IF('E3 — Levantamento'!$I466="N/A","Bloqueado",IF(COUNTIF('E3 — Levantamento'!$E466:$I466,"✔ Concluído")=5,"Concluído",IF(COUNTIF('E3 — Levantamento'!$E466:$I466,"✔ Concluído")+COUNTIF('E3 — Levantamento'!$E466:$I466,"🔄 Em andamento")&gt;0,"Em andamento","Não iniciado"))))))))</f>
        <v/>
      </c>
      <c r="H484" s="229" t="str">
        <f>IF($B484="","",IF($G484&lt;&gt;"Concluído","Não iniciado",IF(COUNTIF(Lançamentos!$B$3:$B$1001,$B484)=0,"Bloqueado",IF('E4 — Execução'!$D466="","Bloqueado",IF(COUNTIF('E4 — Execução'!$E466:$K466,"⛔ Bloqueado")&gt;0,"Bloqueado",IF(COUNTIF('E4 — Execução'!$E466:$K466,"✔ Concluído")=7,"Concluído",IF(COUNTIF('E4 — Execução'!$E466:$K466,"✔ Concluído")+COUNTIF('E4 — Execução'!$E466:$K466,"🔄 Em andamento")&gt;0,"Em andamento","Não iniciado")))))))</f>
        <v/>
      </c>
      <c r="I484" s="229" t="str">
        <f>IF($B484="","",IF($H484&lt;&gt;"Concluído","Não iniciado",IF(COUNTIF(Lançamentos!$B$3:$B$1001,$B484)=0,"Bloqueado",IF('E5 — Validação'!$D466="","Bloqueado",IF(COUNTIF('E5 — Validação'!$E466:$I466,"⛔ Bloqueado")&gt;0,"Bloqueado",IF('E5 — Validação'!$I466="N/A","Bloqueado",IF(AND('E5 — Validação'!$E466="✔ Concluído",'E5 — Validação'!$F466="✔ Concluído",OR('E5 — Validação'!$G466="✔ Concluído",'E5 — Validação'!$G466="N/A"),'E5 — Validação'!$H466="✔ Concluído",'E5 — Validação'!$I466="✔ Concluído"),"Concluído",IF(COUNTIF('E5 — Validação'!$E466:$I466,"✔ Concluído")+COUNTIF('E5 — Validação'!$E466:$I466,"🔄 Em andamento")&gt;0,"Em andamento","Não iniciado"))))))))</f>
        <v/>
      </c>
      <c r="J484" s="229" t="str">
        <f>IF($B484="","",IF($I484&lt;&gt;"Concluído","Não iniciado",IF('E6 — Ajustes'!$N466="Não","N/A",IF(COUNTIF(Lançamentos!$B$3:$B$1001,$B484)=0,"Bloqueado",IF('E6 — Ajustes'!$D466="","Bloqueado",IF(COUNTIF('E6 — Ajustes'!$E466:$J466,"⛔ Bloqueado")&gt;0,"Bloqueado",IF(AND('E6 — Ajustes'!$E466="✔ Concluído",'E6 — Ajustes'!$F466="✔ Concluído",'E6 — Ajustes'!$G466="✔ Concluído",'E6 — Ajustes'!$H466="✔ Concluído",OR('E6 — Ajustes'!$I466="✔ Concluído",'E6 — Ajustes'!$I466="N/A"),'E6 — Ajustes'!$J466="✔ Concluído"),"Concluído",IF(COUNTIF('E6 — Ajustes'!$E466:$J466,"✔ Concluído")+COUNTIF('E6 — Ajustes'!$E466:$J466,"🔄 Em andamento")&gt;0,"Em andamento","Não iniciado"))))))))</f>
        <v/>
      </c>
      <c r="K484" s="229" t="str">
        <f>IF($B484="","",IF($I484&lt;&gt;"Concluído","Não iniciado",IF(AND($J484&lt;&gt;"Concluído",$J484&lt;&gt;"N/A"),"Não iniciado",IF(COUNTIF(Lançamentos!$B$3:$B$1001,$B484)=0,"Bloqueado",IF('E7 — Entrega'!$D466="","Bloqueado",IF(COUNTIF('E7 — Entrega'!$E466:$H466,"⛔ Bloqueado")&gt;0,"Bloqueado",IF(COUNTIF('E7 — Entrega'!$E466:$H466,"✔ Concluído")=4,"Concluído",IF(COUNTIF('E7 — Entrega'!$E466:$H466,"✔ Concluído")+COUNTIF('E7 — Entrega'!$E466:$H466,"🔄 Em andamento")&gt;0,"Em andamento","Não iniciado"))))))))</f>
        <v/>
      </c>
      <c r="L484" s="229" t="str">
        <f>IF($B484="","",IF($K484&lt;&gt;"Concluído","Não iniciado",IF(OR(COUNTIF('E08 — Estabilização Hypercare'!$E466:$J466,"⛔ Bloqueado")&gt;0,'E08 — Estabilização Hypercare'!$N466="⛔ Incidente Crítico — Encerramento Bloqueado",AND('E08 — Estabilização Hypercare'!$N466="🆕 Evolução Identificada — Nova Demanda Aberta",'E08 — Estabilização Hypercare'!$U466="")),"Bloqueado",IF(AND('E08 — Estabilização Hypercare'!$E466="✔ Concluído",'E08 — Estabilização Hypercare'!$F466="✔ Concluído",'E08 — Estabilização Hypercare'!$G466="✔ Concluído",OR('E08 — Estabilização Hypercare'!$H466="✔ Concluído",'E08 — Estabilização Hypercare'!$H466="N/A"),'E08 — Estabilização Hypercare'!$I466="✔ Concluído",'E08 — Estabilização Hypercare'!$J466="✔ Concluído",OR('E08 — Estabilização Hypercare'!$N466="✅ Estável — Demanda Encerrada",AND('E08 — Estabilização Hypercare'!$N466="🆕 Evolução Identificada — Nova Demanda Aberta",'E08 — Estabilização Hypercare'!$U466&lt;&gt;""))),"Concluído",IF(OR(COUNTIF('E08 — Estabilização Hypercare'!$E466:$J466,"✔ Concluído")&gt;0,COUNTIF('E08 — Estabilização Hypercare'!$E466:$J466,"🔄 Em andamento")&gt;0,'E08 — Estabilização Hypercare'!$N466&lt;&gt;""),"Em andamento","Não iniciado")))))</f>
        <v/>
      </c>
      <c r="M484" s="232" t="str" cm="1">
        <f t="array" ref="M484">IF(B484="","",_xlfn.IFS(E484&lt;&gt;"Concluído","E1 — Solicitação",F484&lt;&gt;"Concluído","E2 — Triagem",G484&lt;&gt;"Concluído","E3 — Levantamento ⚠",H484&lt;&gt;"Concluído","E4 — Execução",I484&lt;&gt;"Concluído","E5 — Validação ⚠",AND(J484&lt;&gt;"Concluído",J484&lt;&gt;"N/A"),"E6 — Ajustes",K484&lt;&gt;"Concluído","E7 — Entrega",L484&lt;&gt;"Concluído","E08 — Estabilização / Hypercare",TRUE,"✔ Fluxo concluído"))</f>
        <v/>
      </c>
      <c r="N484" s="233" t="str">
        <f t="shared" si="8"/>
        <v/>
      </c>
      <c r="O484" s="230"/>
    </row>
    <row r="485" spans="2:15" x14ac:dyDescent="0.35">
      <c r="B485" s="229" t="str">
        <f>IF(Lançamentos!$B462="","",Lançamentos!$B462)</f>
        <v/>
      </c>
      <c r="C485" s="231" t="str">
        <f>IF($B485="","",Lançamentos!$J462)</f>
        <v/>
      </c>
      <c r="D485" s="231" t="str">
        <f>IF($B485="","",Lançamentos!$H462)</f>
        <v/>
      </c>
      <c r="E485" s="229" t="str">
        <f>IF($B485="","",IF(COUNTIF(Lançamentos!$B$3:$B$1001,$B485)=0,"Bloqueado",IF(COUNTIF('E1 — Solicitação'!$E467:$L467,"⛔ Bloqueado")&gt;0,"Bloqueado",IF(COUNTIF('E1 — Solicitação'!$E467:$L467,"N/A")=8,"Bloqueado",IF(COUNTIF('E1 — Solicitação'!$E467:$L467,"✔ Concluído")+COUNTIF('E1 — Solicitação'!$E467:$L467,"N/A")=8,"Concluído",IF(COUNTIF('E1 — Solicitação'!$E467:$L467,"✔ Concluído")+COUNTIF('E1 — Solicitação'!$E467:$L467,"🔄 Em andamento")&gt;0,"Em andamento","Não iniciado"))))))</f>
        <v/>
      </c>
      <c r="F485" s="229" t="str">
        <f>IF($B485="","",IF($E485&lt;&gt;"Concluído","Não iniciado",IF(COUNTIF(Lançamentos!$B$3:$B$1001,$B485)=0,"Bloqueado",IF('E2 — Triagem'!$D467="","Bloqueado",IF(COUNTIF('E2 — Triagem'!$E467:$L467,"N/A")=8,"Bloqueado",IF(COUNTIF('E2 — Triagem'!$E467:$L467,"⛔ Bloqueado")&gt;0,"Bloqueado",IF(COUNTIF('E2 — Triagem'!$E467:$L467,"✔ Concluído")+COUNTIF('E2 — Triagem'!$E467:$L467,"N/A")=8,"Concluído",IF(COUNTIF('E2 — Triagem'!$E467:$L467,"✔ Concluído")+COUNTIF('E2 — Triagem'!$E467:$L467,"🔄 Em andamento")&gt;0,"Em andamento","Não iniciado"))))))))</f>
        <v/>
      </c>
      <c r="G485" s="229" t="str">
        <f>IF($B485="","",IF($F485&lt;&gt;"Concluído","Não iniciado",IF(COUNTIF(Lançamentos!$B$3:$B$1001,$B485)=0,"Bloqueado",IF('E3 — Levantamento'!$D467="","Bloqueado",IF(COUNTIF('E3 — Levantamento'!$E467:$I467,"⛔ Bloqueado")&gt;0,"Bloqueado",IF('E3 — Levantamento'!$I467="N/A","Bloqueado",IF(COUNTIF('E3 — Levantamento'!$E467:$I467,"✔ Concluído")=5,"Concluído",IF(COUNTIF('E3 — Levantamento'!$E467:$I467,"✔ Concluído")+COUNTIF('E3 — Levantamento'!$E467:$I467,"🔄 Em andamento")&gt;0,"Em andamento","Não iniciado"))))))))</f>
        <v/>
      </c>
      <c r="H485" s="229" t="str">
        <f>IF($B485="","",IF($G485&lt;&gt;"Concluído","Não iniciado",IF(COUNTIF(Lançamentos!$B$3:$B$1001,$B485)=0,"Bloqueado",IF('E4 — Execução'!$D467="","Bloqueado",IF(COUNTIF('E4 — Execução'!$E467:$K467,"⛔ Bloqueado")&gt;0,"Bloqueado",IF(COUNTIF('E4 — Execução'!$E467:$K467,"✔ Concluído")=7,"Concluído",IF(COUNTIF('E4 — Execução'!$E467:$K467,"✔ Concluído")+COUNTIF('E4 — Execução'!$E467:$K467,"🔄 Em andamento")&gt;0,"Em andamento","Não iniciado")))))))</f>
        <v/>
      </c>
      <c r="I485" s="229" t="str">
        <f>IF($B485="","",IF($H485&lt;&gt;"Concluído","Não iniciado",IF(COUNTIF(Lançamentos!$B$3:$B$1001,$B485)=0,"Bloqueado",IF('E5 — Validação'!$D467="","Bloqueado",IF(COUNTIF('E5 — Validação'!$E467:$I467,"⛔ Bloqueado")&gt;0,"Bloqueado",IF('E5 — Validação'!$I467="N/A","Bloqueado",IF(AND('E5 — Validação'!$E467="✔ Concluído",'E5 — Validação'!$F467="✔ Concluído",OR('E5 — Validação'!$G467="✔ Concluído",'E5 — Validação'!$G467="N/A"),'E5 — Validação'!$H467="✔ Concluído",'E5 — Validação'!$I467="✔ Concluído"),"Concluído",IF(COUNTIF('E5 — Validação'!$E467:$I467,"✔ Concluído")+COUNTIF('E5 — Validação'!$E467:$I467,"🔄 Em andamento")&gt;0,"Em andamento","Não iniciado"))))))))</f>
        <v/>
      </c>
      <c r="J485" s="229" t="str">
        <f>IF($B485="","",IF($I485&lt;&gt;"Concluído","Não iniciado",IF('E6 — Ajustes'!$N467="Não","N/A",IF(COUNTIF(Lançamentos!$B$3:$B$1001,$B485)=0,"Bloqueado",IF('E6 — Ajustes'!$D467="","Bloqueado",IF(COUNTIF('E6 — Ajustes'!$E467:$J467,"⛔ Bloqueado")&gt;0,"Bloqueado",IF(AND('E6 — Ajustes'!$E467="✔ Concluído",'E6 — Ajustes'!$F467="✔ Concluído",'E6 — Ajustes'!$G467="✔ Concluído",'E6 — Ajustes'!$H467="✔ Concluído",OR('E6 — Ajustes'!$I467="✔ Concluído",'E6 — Ajustes'!$I467="N/A"),'E6 — Ajustes'!$J467="✔ Concluído"),"Concluído",IF(COUNTIF('E6 — Ajustes'!$E467:$J467,"✔ Concluído")+COUNTIF('E6 — Ajustes'!$E467:$J467,"🔄 Em andamento")&gt;0,"Em andamento","Não iniciado"))))))))</f>
        <v/>
      </c>
      <c r="K485" s="229" t="str">
        <f>IF($B485="","",IF($I485&lt;&gt;"Concluído","Não iniciado",IF(AND($J485&lt;&gt;"Concluído",$J485&lt;&gt;"N/A"),"Não iniciado",IF(COUNTIF(Lançamentos!$B$3:$B$1001,$B485)=0,"Bloqueado",IF('E7 — Entrega'!$D467="","Bloqueado",IF(COUNTIF('E7 — Entrega'!$E467:$H467,"⛔ Bloqueado")&gt;0,"Bloqueado",IF(COUNTIF('E7 — Entrega'!$E467:$H467,"✔ Concluído")=4,"Concluído",IF(COUNTIF('E7 — Entrega'!$E467:$H467,"✔ Concluído")+COUNTIF('E7 — Entrega'!$E467:$H467,"🔄 Em andamento")&gt;0,"Em andamento","Não iniciado"))))))))</f>
        <v/>
      </c>
      <c r="L485" s="229" t="str">
        <f>IF($B485="","",IF($K485&lt;&gt;"Concluído","Não iniciado",IF(OR(COUNTIF('E08 — Estabilização Hypercare'!$E467:$J467,"⛔ Bloqueado")&gt;0,'E08 — Estabilização Hypercare'!$N467="⛔ Incidente Crítico — Encerramento Bloqueado",AND('E08 — Estabilização Hypercare'!$N467="🆕 Evolução Identificada — Nova Demanda Aberta",'E08 — Estabilização Hypercare'!$U467="")),"Bloqueado",IF(AND('E08 — Estabilização Hypercare'!$E467="✔ Concluído",'E08 — Estabilização Hypercare'!$F467="✔ Concluído",'E08 — Estabilização Hypercare'!$G467="✔ Concluído",OR('E08 — Estabilização Hypercare'!$H467="✔ Concluído",'E08 — Estabilização Hypercare'!$H467="N/A"),'E08 — Estabilização Hypercare'!$I467="✔ Concluído",'E08 — Estabilização Hypercare'!$J467="✔ Concluído",OR('E08 — Estabilização Hypercare'!$N467="✅ Estável — Demanda Encerrada",AND('E08 — Estabilização Hypercare'!$N467="🆕 Evolução Identificada — Nova Demanda Aberta",'E08 — Estabilização Hypercare'!$U467&lt;&gt;""))),"Concluído",IF(OR(COUNTIF('E08 — Estabilização Hypercare'!$E467:$J467,"✔ Concluído")&gt;0,COUNTIF('E08 — Estabilização Hypercare'!$E467:$J467,"🔄 Em andamento")&gt;0,'E08 — Estabilização Hypercare'!$N467&lt;&gt;""),"Em andamento","Não iniciado")))))</f>
        <v/>
      </c>
      <c r="M485" s="232" t="str" cm="1">
        <f t="array" ref="M485">IF(B485="","",_xlfn.IFS(E485&lt;&gt;"Concluído","E1 — Solicitação",F485&lt;&gt;"Concluído","E2 — Triagem",G485&lt;&gt;"Concluído","E3 — Levantamento ⚠",H485&lt;&gt;"Concluído","E4 — Execução",I485&lt;&gt;"Concluído","E5 — Validação ⚠",AND(J485&lt;&gt;"Concluído",J485&lt;&gt;"N/A"),"E6 — Ajustes",K485&lt;&gt;"Concluído","E7 — Entrega",L485&lt;&gt;"Concluído","E08 — Estabilização / Hypercare",TRUE,"✔ Fluxo concluído"))</f>
        <v/>
      </c>
      <c r="N485" s="233" t="str">
        <f t="shared" si="8"/>
        <v/>
      </c>
      <c r="O485" s="230"/>
    </row>
    <row r="486" spans="2:15" x14ac:dyDescent="0.35">
      <c r="B486" s="229" t="str">
        <f>IF(Lançamentos!$B463="","",Lançamentos!$B463)</f>
        <v/>
      </c>
      <c r="C486" s="231" t="str">
        <f>IF($B486="","",Lançamentos!$J463)</f>
        <v/>
      </c>
      <c r="D486" s="231" t="str">
        <f>IF($B486="","",Lançamentos!$H463)</f>
        <v/>
      </c>
      <c r="E486" s="229" t="str">
        <f>IF($B486="","",IF(COUNTIF(Lançamentos!$B$3:$B$1001,$B486)=0,"Bloqueado",IF(COUNTIF('E1 — Solicitação'!$E468:$L468,"⛔ Bloqueado")&gt;0,"Bloqueado",IF(COUNTIF('E1 — Solicitação'!$E468:$L468,"N/A")=8,"Bloqueado",IF(COUNTIF('E1 — Solicitação'!$E468:$L468,"✔ Concluído")+COUNTIF('E1 — Solicitação'!$E468:$L468,"N/A")=8,"Concluído",IF(COUNTIF('E1 — Solicitação'!$E468:$L468,"✔ Concluído")+COUNTIF('E1 — Solicitação'!$E468:$L468,"🔄 Em andamento")&gt;0,"Em andamento","Não iniciado"))))))</f>
        <v/>
      </c>
      <c r="F486" s="229" t="str">
        <f>IF($B486="","",IF($E486&lt;&gt;"Concluído","Não iniciado",IF(COUNTIF(Lançamentos!$B$3:$B$1001,$B486)=0,"Bloqueado",IF('E2 — Triagem'!$D468="","Bloqueado",IF(COUNTIF('E2 — Triagem'!$E468:$L468,"N/A")=8,"Bloqueado",IF(COUNTIF('E2 — Triagem'!$E468:$L468,"⛔ Bloqueado")&gt;0,"Bloqueado",IF(COUNTIF('E2 — Triagem'!$E468:$L468,"✔ Concluído")+COUNTIF('E2 — Triagem'!$E468:$L468,"N/A")=8,"Concluído",IF(COUNTIF('E2 — Triagem'!$E468:$L468,"✔ Concluído")+COUNTIF('E2 — Triagem'!$E468:$L468,"🔄 Em andamento")&gt;0,"Em andamento","Não iniciado"))))))))</f>
        <v/>
      </c>
      <c r="G486" s="229" t="str">
        <f>IF($B486="","",IF($F486&lt;&gt;"Concluído","Não iniciado",IF(COUNTIF(Lançamentos!$B$3:$B$1001,$B486)=0,"Bloqueado",IF('E3 — Levantamento'!$D468="","Bloqueado",IF(COUNTIF('E3 — Levantamento'!$E468:$I468,"⛔ Bloqueado")&gt;0,"Bloqueado",IF('E3 — Levantamento'!$I468="N/A","Bloqueado",IF(COUNTIF('E3 — Levantamento'!$E468:$I468,"✔ Concluído")=5,"Concluído",IF(COUNTIF('E3 — Levantamento'!$E468:$I468,"✔ Concluído")+COUNTIF('E3 — Levantamento'!$E468:$I468,"🔄 Em andamento")&gt;0,"Em andamento","Não iniciado"))))))))</f>
        <v/>
      </c>
      <c r="H486" s="229" t="str">
        <f>IF($B486="","",IF($G486&lt;&gt;"Concluído","Não iniciado",IF(COUNTIF(Lançamentos!$B$3:$B$1001,$B486)=0,"Bloqueado",IF('E4 — Execução'!$D468="","Bloqueado",IF(COUNTIF('E4 — Execução'!$E468:$K468,"⛔ Bloqueado")&gt;0,"Bloqueado",IF(COUNTIF('E4 — Execução'!$E468:$K468,"✔ Concluído")=7,"Concluído",IF(COUNTIF('E4 — Execução'!$E468:$K468,"✔ Concluído")+COUNTIF('E4 — Execução'!$E468:$K468,"🔄 Em andamento")&gt;0,"Em andamento","Não iniciado")))))))</f>
        <v/>
      </c>
      <c r="I486" s="229" t="str">
        <f>IF($B486="","",IF($H486&lt;&gt;"Concluído","Não iniciado",IF(COUNTIF(Lançamentos!$B$3:$B$1001,$B486)=0,"Bloqueado",IF('E5 — Validação'!$D468="","Bloqueado",IF(COUNTIF('E5 — Validação'!$E468:$I468,"⛔ Bloqueado")&gt;0,"Bloqueado",IF('E5 — Validação'!$I468="N/A","Bloqueado",IF(AND('E5 — Validação'!$E468="✔ Concluído",'E5 — Validação'!$F468="✔ Concluído",OR('E5 — Validação'!$G468="✔ Concluído",'E5 — Validação'!$G468="N/A"),'E5 — Validação'!$H468="✔ Concluído",'E5 — Validação'!$I468="✔ Concluído"),"Concluído",IF(COUNTIF('E5 — Validação'!$E468:$I468,"✔ Concluído")+COUNTIF('E5 — Validação'!$E468:$I468,"🔄 Em andamento")&gt;0,"Em andamento","Não iniciado"))))))))</f>
        <v/>
      </c>
      <c r="J486" s="229" t="str">
        <f>IF($B486="","",IF($I486&lt;&gt;"Concluído","Não iniciado",IF('E6 — Ajustes'!$N468="Não","N/A",IF(COUNTIF(Lançamentos!$B$3:$B$1001,$B486)=0,"Bloqueado",IF('E6 — Ajustes'!$D468="","Bloqueado",IF(COUNTIF('E6 — Ajustes'!$E468:$J468,"⛔ Bloqueado")&gt;0,"Bloqueado",IF(AND('E6 — Ajustes'!$E468="✔ Concluído",'E6 — Ajustes'!$F468="✔ Concluído",'E6 — Ajustes'!$G468="✔ Concluído",'E6 — Ajustes'!$H468="✔ Concluído",OR('E6 — Ajustes'!$I468="✔ Concluído",'E6 — Ajustes'!$I468="N/A"),'E6 — Ajustes'!$J468="✔ Concluído"),"Concluído",IF(COUNTIF('E6 — Ajustes'!$E468:$J468,"✔ Concluído")+COUNTIF('E6 — Ajustes'!$E468:$J468,"🔄 Em andamento")&gt;0,"Em andamento","Não iniciado"))))))))</f>
        <v/>
      </c>
      <c r="K486" s="229" t="str">
        <f>IF($B486="","",IF($I486&lt;&gt;"Concluído","Não iniciado",IF(AND($J486&lt;&gt;"Concluído",$J486&lt;&gt;"N/A"),"Não iniciado",IF(COUNTIF(Lançamentos!$B$3:$B$1001,$B486)=0,"Bloqueado",IF('E7 — Entrega'!$D468="","Bloqueado",IF(COUNTIF('E7 — Entrega'!$E468:$H468,"⛔ Bloqueado")&gt;0,"Bloqueado",IF(COUNTIF('E7 — Entrega'!$E468:$H468,"✔ Concluído")=4,"Concluído",IF(COUNTIF('E7 — Entrega'!$E468:$H468,"✔ Concluído")+COUNTIF('E7 — Entrega'!$E468:$H468,"🔄 Em andamento")&gt;0,"Em andamento","Não iniciado"))))))))</f>
        <v/>
      </c>
      <c r="L486" s="229" t="str">
        <f>IF($B486="","",IF($K486&lt;&gt;"Concluído","Não iniciado",IF(OR(COUNTIF('E08 — Estabilização Hypercare'!$E468:$J468,"⛔ Bloqueado")&gt;0,'E08 — Estabilização Hypercare'!$N468="⛔ Incidente Crítico — Encerramento Bloqueado",AND('E08 — Estabilização Hypercare'!$N468="🆕 Evolução Identificada — Nova Demanda Aberta",'E08 — Estabilização Hypercare'!$U468="")),"Bloqueado",IF(AND('E08 — Estabilização Hypercare'!$E468="✔ Concluído",'E08 — Estabilização Hypercare'!$F468="✔ Concluído",'E08 — Estabilização Hypercare'!$G468="✔ Concluído",OR('E08 — Estabilização Hypercare'!$H468="✔ Concluído",'E08 — Estabilização Hypercare'!$H468="N/A"),'E08 — Estabilização Hypercare'!$I468="✔ Concluído",'E08 — Estabilização Hypercare'!$J468="✔ Concluído",OR('E08 — Estabilização Hypercare'!$N468="✅ Estável — Demanda Encerrada",AND('E08 — Estabilização Hypercare'!$N468="🆕 Evolução Identificada — Nova Demanda Aberta",'E08 — Estabilização Hypercare'!$U468&lt;&gt;""))),"Concluído",IF(OR(COUNTIF('E08 — Estabilização Hypercare'!$E468:$J468,"✔ Concluído")&gt;0,COUNTIF('E08 — Estabilização Hypercare'!$E468:$J468,"🔄 Em andamento")&gt;0,'E08 — Estabilização Hypercare'!$N468&lt;&gt;""),"Em andamento","Não iniciado")))))</f>
        <v/>
      </c>
      <c r="M486" s="232" t="str" cm="1">
        <f t="array" ref="M486">IF(B486="","",_xlfn.IFS(E486&lt;&gt;"Concluído","E1 — Solicitação",F486&lt;&gt;"Concluído","E2 — Triagem",G486&lt;&gt;"Concluído","E3 — Levantamento ⚠",H486&lt;&gt;"Concluído","E4 — Execução",I486&lt;&gt;"Concluído","E5 — Validação ⚠",AND(J486&lt;&gt;"Concluído",J486&lt;&gt;"N/A"),"E6 — Ajustes",K486&lt;&gt;"Concluído","E7 — Entrega",L486&lt;&gt;"Concluído","E08 — Estabilização / Hypercare",TRUE,"✔ Fluxo concluído"))</f>
        <v/>
      </c>
      <c r="N486" s="233" t="str">
        <f t="shared" si="8"/>
        <v/>
      </c>
      <c r="O486" s="230"/>
    </row>
    <row r="487" spans="2:15" x14ac:dyDescent="0.35">
      <c r="B487" s="229" t="str">
        <f>IF(Lançamentos!$B464="","",Lançamentos!$B464)</f>
        <v/>
      </c>
      <c r="C487" s="231" t="str">
        <f>IF($B487="","",Lançamentos!$J464)</f>
        <v/>
      </c>
      <c r="D487" s="231" t="str">
        <f>IF($B487="","",Lançamentos!$H464)</f>
        <v/>
      </c>
      <c r="E487" s="229" t="str">
        <f>IF($B487="","",IF(COUNTIF(Lançamentos!$B$3:$B$1001,$B487)=0,"Bloqueado",IF(COUNTIF('E1 — Solicitação'!$E469:$L469,"⛔ Bloqueado")&gt;0,"Bloqueado",IF(COUNTIF('E1 — Solicitação'!$E469:$L469,"N/A")=8,"Bloqueado",IF(COUNTIF('E1 — Solicitação'!$E469:$L469,"✔ Concluído")+COUNTIF('E1 — Solicitação'!$E469:$L469,"N/A")=8,"Concluído",IF(COUNTIF('E1 — Solicitação'!$E469:$L469,"✔ Concluído")+COUNTIF('E1 — Solicitação'!$E469:$L469,"🔄 Em andamento")&gt;0,"Em andamento","Não iniciado"))))))</f>
        <v/>
      </c>
      <c r="F487" s="229" t="str">
        <f>IF($B487="","",IF($E487&lt;&gt;"Concluído","Não iniciado",IF(COUNTIF(Lançamentos!$B$3:$B$1001,$B487)=0,"Bloqueado",IF('E2 — Triagem'!$D469="","Bloqueado",IF(COUNTIF('E2 — Triagem'!$E469:$L469,"N/A")=8,"Bloqueado",IF(COUNTIF('E2 — Triagem'!$E469:$L469,"⛔ Bloqueado")&gt;0,"Bloqueado",IF(COUNTIF('E2 — Triagem'!$E469:$L469,"✔ Concluído")+COUNTIF('E2 — Triagem'!$E469:$L469,"N/A")=8,"Concluído",IF(COUNTIF('E2 — Triagem'!$E469:$L469,"✔ Concluído")+COUNTIF('E2 — Triagem'!$E469:$L469,"🔄 Em andamento")&gt;0,"Em andamento","Não iniciado"))))))))</f>
        <v/>
      </c>
      <c r="G487" s="229" t="str">
        <f>IF($B487="","",IF($F487&lt;&gt;"Concluído","Não iniciado",IF(COUNTIF(Lançamentos!$B$3:$B$1001,$B487)=0,"Bloqueado",IF('E3 — Levantamento'!$D469="","Bloqueado",IF(COUNTIF('E3 — Levantamento'!$E469:$I469,"⛔ Bloqueado")&gt;0,"Bloqueado",IF('E3 — Levantamento'!$I469="N/A","Bloqueado",IF(COUNTIF('E3 — Levantamento'!$E469:$I469,"✔ Concluído")=5,"Concluído",IF(COUNTIF('E3 — Levantamento'!$E469:$I469,"✔ Concluído")+COUNTIF('E3 — Levantamento'!$E469:$I469,"🔄 Em andamento")&gt;0,"Em andamento","Não iniciado"))))))))</f>
        <v/>
      </c>
      <c r="H487" s="229" t="str">
        <f>IF($B487="","",IF($G487&lt;&gt;"Concluído","Não iniciado",IF(COUNTIF(Lançamentos!$B$3:$B$1001,$B487)=0,"Bloqueado",IF('E4 — Execução'!$D469="","Bloqueado",IF(COUNTIF('E4 — Execução'!$E469:$K469,"⛔ Bloqueado")&gt;0,"Bloqueado",IF(COUNTIF('E4 — Execução'!$E469:$K469,"✔ Concluído")=7,"Concluído",IF(COUNTIF('E4 — Execução'!$E469:$K469,"✔ Concluído")+COUNTIF('E4 — Execução'!$E469:$K469,"🔄 Em andamento")&gt;0,"Em andamento","Não iniciado")))))))</f>
        <v/>
      </c>
      <c r="I487" s="229" t="str">
        <f>IF($B487="","",IF($H487&lt;&gt;"Concluído","Não iniciado",IF(COUNTIF(Lançamentos!$B$3:$B$1001,$B487)=0,"Bloqueado",IF('E5 — Validação'!$D469="","Bloqueado",IF(COUNTIF('E5 — Validação'!$E469:$I469,"⛔ Bloqueado")&gt;0,"Bloqueado",IF('E5 — Validação'!$I469="N/A","Bloqueado",IF(AND('E5 — Validação'!$E469="✔ Concluído",'E5 — Validação'!$F469="✔ Concluído",OR('E5 — Validação'!$G469="✔ Concluído",'E5 — Validação'!$G469="N/A"),'E5 — Validação'!$H469="✔ Concluído",'E5 — Validação'!$I469="✔ Concluído"),"Concluído",IF(COUNTIF('E5 — Validação'!$E469:$I469,"✔ Concluído")+COUNTIF('E5 — Validação'!$E469:$I469,"🔄 Em andamento")&gt;0,"Em andamento","Não iniciado"))))))))</f>
        <v/>
      </c>
      <c r="J487" s="229" t="str">
        <f>IF($B487="","",IF($I487&lt;&gt;"Concluído","Não iniciado",IF('E6 — Ajustes'!$N469="Não","N/A",IF(COUNTIF(Lançamentos!$B$3:$B$1001,$B487)=0,"Bloqueado",IF('E6 — Ajustes'!$D469="","Bloqueado",IF(COUNTIF('E6 — Ajustes'!$E469:$J469,"⛔ Bloqueado")&gt;0,"Bloqueado",IF(AND('E6 — Ajustes'!$E469="✔ Concluído",'E6 — Ajustes'!$F469="✔ Concluído",'E6 — Ajustes'!$G469="✔ Concluído",'E6 — Ajustes'!$H469="✔ Concluído",OR('E6 — Ajustes'!$I469="✔ Concluído",'E6 — Ajustes'!$I469="N/A"),'E6 — Ajustes'!$J469="✔ Concluído"),"Concluído",IF(COUNTIF('E6 — Ajustes'!$E469:$J469,"✔ Concluído")+COUNTIF('E6 — Ajustes'!$E469:$J469,"🔄 Em andamento")&gt;0,"Em andamento","Não iniciado"))))))))</f>
        <v/>
      </c>
      <c r="K487" s="229" t="str">
        <f>IF($B487="","",IF($I487&lt;&gt;"Concluído","Não iniciado",IF(AND($J487&lt;&gt;"Concluído",$J487&lt;&gt;"N/A"),"Não iniciado",IF(COUNTIF(Lançamentos!$B$3:$B$1001,$B487)=0,"Bloqueado",IF('E7 — Entrega'!$D469="","Bloqueado",IF(COUNTIF('E7 — Entrega'!$E469:$H469,"⛔ Bloqueado")&gt;0,"Bloqueado",IF(COUNTIF('E7 — Entrega'!$E469:$H469,"✔ Concluído")=4,"Concluído",IF(COUNTIF('E7 — Entrega'!$E469:$H469,"✔ Concluído")+COUNTIF('E7 — Entrega'!$E469:$H469,"🔄 Em andamento")&gt;0,"Em andamento","Não iniciado"))))))))</f>
        <v/>
      </c>
      <c r="L487" s="229" t="str">
        <f>IF($B487="","",IF($K487&lt;&gt;"Concluído","Não iniciado",IF(OR(COUNTIF('E08 — Estabilização Hypercare'!$E469:$J469,"⛔ Bloqueado")&gt;0,'E08 — Estabilização Hypercare'!$N469="⛔ Incidente Crítico — Encerramento Bloqueado",AND('E08 — Estabilização Hypercare'!$N469="🆕 Evolução Identificada — Nova Demanda Aberta",'E08 — Estabilização Hypercare'!$U469="")),"Bloqueado",IF(AND('E08 — Estabilização Hypercare'!$E469="✔ Concluído",'E08 — Estabilização Hypercare'!$F469="✔ Concluído",'E08 — Estabilização Hypercare'!$G469="✔ Concluído",OR('E08 — Estabilização Hypercare'!$H469="✔ Concluído",'E08 — Estabilização Hypercare'!$H469="N/A"),'E08 — Estabilização Hypercare'!$I469="✔ Concluído",'E08 — Estabilização Hypercare'!$J469="✔ Concluído",OR('E08 — Estabilização Hypercare'!$N469="✅ Estável — Demanda Encerrada",AND('E08 — Estabilização Hypercare'!$N469="🆕 Evolução Identificada — Nova Demanda Aberta",'E08 — Estabilização Hypercare'!$U469&lt;&gt;""))),"Concluído",IF(OR(COUNTIF('E08 — Estabilização Hypercare'!$E469:$J469,"✔ Concluído")&gt;0,COUNTIF('E08 — Estabilização Hypercare'!$E469:$J469,"🔄 Em andamento")&gt;0,'E08 — Estabilização Hypercare'!$N469&lt;&gt;""),"Em andamento","Não iniciado")))))</f>
        <v/>
      </c>
      <c r="M487" s="232" t="str" cm="1">
        <f t="array" ref="M487">IF(B487="","",_xlfn.IFS(E487&lt;&gt;"Concluído","E1 — Solicitação",F487&lt;&gt;"Concluído","E2 — Triagem",G487&lt;&gt;"Concluído","E3 — Levantamento ⚠",H487&lt;&gt;"Concluído","E4 — Execução",I487&lt;&gt;"Concluído","E5 — Validação ⚠",AND(J487&lt;&gt;"Concluído",J487&lt;&gt;"N/A"),"E6 — Ajustes",K487&lt;&gt;"Concluído","E7 — Entrega",L487&lt;&gt;"Concluído","E08 — Estabilização / Hypercare",TRUE,"✔ Fluxo concluído"))</f>
        <v/>
      </c>
      <c r="N487" s="233" t="str">
        <f t="shared" si="8"/>
        <v/>
      </c>
      <c r="O487" s="230"/>
    </row>
    <row r="488" spans="2:15" x14ac:dyDescent="0.35">
      <c r="B488" s="229" t="str">
        <f>IF(Lançamentos!$B465="","",Lançamentos!$B465)</f>
        <v/>
      </c>
      <c r="C488" s="231" t="str">
        <f>IF($B488="","",Lançamentos!$J465)</f>
        <v/>
      </c>
      <c r="D488" s="231" t="str">
        <f>IF($B488="","",Lançamentos!$H465)</f>
        <v/>
      </c>
      <c r="E488" s="229" t="str">
        <f>IF($B488="","",IF(COUNTIF(Lançamentos!$B$3:$B$1001,$B488)=0,"Bloqueado",IF(COUNTIF('E1 — Solicitação'!$E470:$L470,"⛔ Bloqueado")&gt;0,"Bloqueado",IF(COUNTIF('E1 — Solicitação'!$E470:$L470,"N/A")=8,"Bloqueado",IF(COUNTIF('E1 — Solicitação'!$E470:$L470,"✔ Concluído")+COUNTIF('E1 — Solicitação'!$E470:$L470,"N/A")=8,"Concluído",IF(COUNTIF('E1 — Solicitação'!$E470:$L470,"✔ Concluído")+COUNTIF('E1 — Solicitação'!$E470:$L470,"🔄 Em andamento")&gt;0,"Em andamento","Não iniciado"))))))</f>
        <v/>
      </c>
      <c r="F488" s="229" t="str">
        <f>IF($B488="","",IF($E488&lt;&gt;"Concluído","Não iniciado",IF(COUNTIF(Lançamentos!$B$3:$B$1001,$B488)=0,"Bloqueado",IF('E2 — Triagem'!$D470="","Bloqueado",IF(COUNTIF('E2 — Triagem'!$E470:$L470,"N/A")=8,"Bloqueado",IF(COUNTIF('E2 — Triagem'!$E470:$L470,"⛔ Bloqueado")&gt;0,"Bloqueado",IF(COUNTIF('E2 — Triagem'!$E470:$L470,"✔ Concluído")+COUNTIF('E2 — Triagem'!$E470:$L470,"N/A")=8,"Concluído",IF(COUNTIF('E2 — Triagem'!$E470:$L470,"✔ Concluído")+COUNTIF('E2 — Triagem'!$E470:$L470,"🔄 Em andamento")&gt;0,"Em andamento","Não iniciado"))))))))</f>
        <v/>
      </c>
      <c r="G488" s="229" t="str">
        <f>IF($B488="","",IF($F488&lt;&gt;"Concluído","Não iniciado",IF(COUNTIF(Lançamentos!$B$3:$B$1001,$B488)=0,"Bloqueado",IF('E3 — Levantamento'!$D470="","Bloqueado",IF(COUNTIF('E3 — Levantamento'!$E470:$I470,"⛔ Bloqueado")&gt;0,"Bloqueado",IF('E3 — Levantamento'!$I470="N/A","Bloqueado",IF(COUNTIF('E3 — Levantamento'!$E470:$I470,"✔ Concluído")=5,"Concluído",IF(COUNTIF('E3 — Levantamento'!$E470:$I470,"✔ Concluído")+COUNTIF('E3 — Levantamento'!$E470:$I470,"🔄 Em andamento")&gt;0,"Em andamento","Não iniciado"))))))))</f>
        <v/>
      </c>
      <c r="H488" s="229" t="str">
        <f>IF($B488="","",IF($G488&lt;&gt;"Concluído","Não iniciado",IF(COUNTIF(Lançamentos!$B$3:$B$1001,$B488)=0,"Bloqueado",IF('E4 — Execução'!$D470="","Bloqueado",IF(COUNTIF('E4 — Execução'!$E470:$K470,"⛔ Bloqueado")&gt;0,"Bloqueado",IF(COUNTIF('E4 — Execução'!$E470:$K470,"✔ Concluído")=7,"Concluído",IF(COUNTIF('E4 — Execução'!$E470:$K470,"✔ Concluído")+COUNTIF('E4 — Execução'!$E470:$K470,"🔄 Em andamento")&gt;0,"Em andamento","Não iniciado")))))))</f>
        <v/>
      </c>
      <c r="I488" s="229" t="str">
        <f>IF($B488="","",IF($H488&lt;&gt;"Concluído","Não iniciado",IF(COUNTIF(Lançamentos!$B$3:$B$1001,$B488)=0,"Bloqueado",IF('E5 — Validação'!$D470="","Bloqueado",IF(COUNTIF('E5 — Validação'!$E470:$I470,"⛔ Bloqueado")&gt;0,"Bloqueado",IF('E5 — Validação'!$I470="N/A","Bloqueado",IF(AND('E5 — Validação'!$E470="✔ Concluído",'E5 — Validação'!$F470="✔ Concluído",OR('E5 — Validação'!$G470="✔ Concluído",'E5 — Validação'!$G470="N/A"),'E5 — Validação'!$H470="✔ Concluído",'E5 — Validação'!$I470="✔ Concluído"),"Concluído",IF(COUNTIF('E5 — Validação'!$E470:$I470,"✔ Concluído")+COUNTIF('E5 — Validação'!$E470:$I470,"🔄 Em andamento")&gt;0,"Em andamento","Não iniciado"))))))))</f>
        <v/>
      </c>
      <c r="J488" s="229" t="str">
        <f>IF($B488="","",IF($I488&lt;&gt;"Concluído","Não iniciado",IF('E6 — Ajustes'!$N470="Não","N/A",IF(COUNTIF(Lançamentos!$B$3:$B$1001,$B488)=0,"Bloqueado",IF('E6 — Ajustes'!$D470="","Bloqueado",IF(COUNTIF('E6 — Ajustes'!$E470:$J470,"⛔ Bloqueado")&gt;0,"Bloqueado",IF(AND('E6 — Ajustes'!$E470="✔ Concluído",'E6 — Ajustes'!$F470="✔ Concluído",'E6 — Ajustes'!$G470="✔ Concluído",'E6 — Ajustes'!$H470="✔ Concluído",OR('E6 — Ajustes'!$I470="✔ Concluído",'E6 — Ajustes'!$I470="N/A"),'E6 — Ajustes'!$J470="✔ Concluído"),"Concluído",IF(COUNTIF('E6 — Ajustes'!$E470:$J470,"✔ Concluído")+COUNTIF('E6 — Ajustes'!$E470:$J470,"🔄 Em andamento")&gt;0,"Em andamento","Não iniciado"))))))))</f>
        <v/>
      </c>
      <c r="K488" s="229" t="str">
        <f>IF($B488="","",IF($I488&lt;&gt;"Concluído","Não iniciado",IF(AND($J488&lt;&gt;"Concluído",$J488&lt;&gt;"N/A"),"Não iniciado",IF(COUNTIF(Lançamentos!$B$3:$B$1001,$B488)=0,"Bloqueado",IF('E7 — Entrega'!$D470="","Bloqueado",IF(COUNTIF('E7 — Entrega'!$E470:$H470,"⛔ Bloqueado")&gt;0,"Bloqueado",IF(COUNTIF('E7 — Entrega'!$E470:$H470,"✔ Concluído")=4,"Concluído",IF(COUNTIF('E7 — Entrega'!$E470:$H470,"✔ Concluído")+COUNTIF('E7 — Entrega'!$E470:$H470,"🔄 Em andamento")&gt;0,"Em andamento","Não iniciado"))))))))</f>
        <v/>
      </c>
      <c r="L488" s="229" t="str">
        <f>IF($B488="","",IF($K488&lt;&gt;"Concluído","Não iniciado",IF(OR(COUNTIF('E08 — Estabilização Hypercare'!$E470:$J470,"⛔ Bloqueado")&gt;0,'E08 — Estabilização Hypercare'!$N470="⛔ Incidente Crítico — Encerramento Bloqueado",AND('E08 — Estabilização Hypercare'!$N470="🆕 Evolução Identificada — Nova Demanda Aberta",'E08 — Estabilização Hypercare'!$U470="")),"Bloqueado",IF(AND('E08 — Estabilização Hypercare'!$E470="✔ Concluído",'E08 — Estabilização Hypercare'!$F470="✔ Concluído",'E08 — Estabilização Hypercare'!$G470="✔ Concluído",OR('E08 — Estabilização Hypercare'!$H470="✔ Concluído",'E08 — Estabilização Hypercare'!$H470="N/A"),'E08 — Estabilização Hypercare'!$I470="✔ Concluído",'E08 — Estabilização Hypercare'!$J470="✔ Concluído",OR('E08 — Estabilização Hypercare'!$N470="✅ Estável — Demanda Encerrada",AND('E08 — Estabilização Hypercare'!$N470="🆕 Evolução Identificada — Nova Demanda Aberta",'E08 — Estabilização Hypercare'!$U470&lt;&gt;""))),"Concluído",IF(OR(COUNTIF('E08 — Estabilização Hypercare'!$E470:$J470,"✔ Concluído")&gt;0,COUNTIF('E08 — Estabilização Hypercare'!$E470:$J470,"🔄 Em andamento")&gt;0,'E08 — Estabilização Hypercare'!$N470&lt;&gt;""),"Em andamento","Não iniciado")))))</f>
        <v/>
      </c>
      <c r="M488" s="232" t="str" cm="1">
        <f t="array" ref="M488">IF(B488="","",_xlfn.IFS(E488&lt;&gt;"Concluído","E1 — Solicitação",F488&lt;&gt;"Concluído","E2 — Triagem",G488&lt;&gt;"Concluído","E3 — Levantamento ⚠",H488&lt;&gt;"Concluído","E4 — Execução",I488&lt;&gt;"Concluído","E5 — Validação ⚠",AND(J488&lt;&gt;"Concluído",J488&lt;&gt;"N/A"),"E6 — Ajustes",K488&lt;&gt;"Concluído","E7 — Entrega",L488&lt;&gt;"Concluído","E08 — Estabilização / Hypercare",TRUE,"✔ Fluxo concluído"))</f>
        <v/>
      </c>
      <c r="N488" s="233" t="str">
        <f t="shared" si="8"/>
        <v/>
      </c>
      <c r="O488" s="230"/>
    </row>
    <row r="489" spans="2:15" x14ac:dyDescent="0.35">
      <c r="B489" s="229" t="str">
        <f>IF(Lançamentos!$B466="","",Lançamentos!$B466)</f>
        <v/>
      </c>
      <c r="C489" s="231" t="str">
        <f>IF($B489="","",Lançamentos!$J466)</f>
        <v/>
      </c>
      <c r="D489" s="231" t="str">
        <f>IF($B489="","",Lançamentos!$H466)</f>
        <v/>
      </c>
      <c r="E489" s="229" t="str">
        <f>IF($B489="","",IF(COUNTIF(Lançamentos!$B$3:$B$1001,$B489)=0,"Bloqueado",IF(COUNTIF('E1 — Solicitação'!$E471:$L471,"⛔ Bloqueado")&gt;0,"Bloqueado",IF(COUNTIF('E1 — Solicitação'!$E471:$L471,"N/A")=8,"Bloqueado",IF(COUNTIF('E1 — Solicitação'!$E471:$L471,"✔ Concluído")+COUNTIF('E1 — Solicitação'!$E471:$L471,"N/A")=8,"Concluído",IF(COUNTIF('E1 — Solicitação'!$E471:$L471,"✔ Concluído")+COUNTIF('E1 — Solicitação'!$E471:$L471,"🔄 Em andamento")&gt;0,"Em andamento","Não iniciado"))))))</f>
        <v/>
      </c>
      <c r="F489" s="229" t="str">
        <f>IF($B489="","",IF($E489&lt;&gt;"Concluído","Não iniciado",IF(COUNTIF(Lançamentos!$B$3:$B$1001,$B489)=0,"Bloqueado",IF('E2 — Triagem'!$D471="","Bloqueado",IF(COUNTIF('E2 — Triagem'!$E471:$L471,"N/A")=8,"Bloqueado",IF(COUNTIF('E2 — Triagem'!$E471:$L471,"⛔ Bloqueado")&gt;0,"Bloqueado",IF(COUNTIF('E2 — Triagem'!$E471:$L471,"✔ Concluído")+COUNTIF('E2 — Triagem'!$E471:$L471,"N/A")=8,"Concluído",IF(COUNTIF('E2 — Triagem'!$E471:$L471,"✔ Concluído")+COUNTIF('E2 — Triagem'!$E471:$L471,"🔄 Em andamento")&gt;0,"Em andamento","Não iniciado"))))))))</f>
        <v/>
      </c>
      <c r="G489" s="229" t="str">
        <f>IF($B489="","",IF($F489&lt;&gt;"Concluído","Não iniciado",IF(COUNTIF(Lançamentos!$B$3:$B$1001,$B489)=0,"Bloqueado",IF('E3 — Levantamento'!$D471="","Bloqueado",IF(COUNTIF('E3 — Levantamento'!$E471:$I471,"⛔ Bloqueado")&gt;0,"Bloqueado",IF('E3 — Levantamento'!$I471="N/A","Bloqueado",IF(COUNTIF('E3 — Levantamento'!$E471:$I471,"✔ Concluído")=5,"Concluído",IF(COUNTIF('E3 — Levantamento'!$E471:$I471,"✔ Concluído")+COUNTIF('E3 — Levantamento'!$E471:$I471,"🔄 Em andamento")&gt;0,"Em andamento","Não iniciado"))))))))</f>
        <v/>
      </c>
      <c r="H489" s="229" t="str">
        <f>IF($B489="","",IF($G489&lt;&gt;"Concluído","Não iniciado",IF(COUNTIF(Lançamentos!$B$3:$B$1001,$B489)=0,"Bloqueado",IF('E4 — Execução'!$D471="","Bloqueado",IF(COUNTIF('E4 — Execução'!$E471:$K471,"⛔ Bloqueado")&gt;0,"Bloqueado",IF(COUNTIF('E4 — Execução'!$E471:$K471,"✔ Concluído")=7,"Concluído",IF(COUNTIF('E4 — Execução'!$E471:$K471,"✔ Concluído")+COUNTIF('E4 — Execução'!$E471:$K471,"🔄 Em andamento")&gt;0,"Em andamento","Não iniciado")))))))</f>
        <v/>
      </c>
      <c r="I489" s="229" t="str">
        <f>IF($B489="","",IF($H489&lt;&gt;"Concluído","Não iniciado",IF(COUNTIF(Lançamentos!$B$3:$B$1001,$B489)=0,"Bloqueado",IF('E5 — Validação'!$D471="","Bloqueado",IF(COUNTIF('E5 — Validação'!$E471:$I471,"⛔ Bloqueado")&gt;0,"Bloqueado",IF('E5 — Validação'!$I471="N/A","Bloqueado",IF(AND('E5 — Validação'!$E471="✔ Concluído",'E5 — Validação'!$F471="✔ Concluído",OR('E5 — Validação'!$G471="✔ Concluído",'E5 — Validação'!$G471="N/A"),'E5 — Validação'!$H471="✔ Concluído",'E5 — Validação'!$I471="✔ Concluído"),"Concluído",IF(COUNTIF('E5 — Validação'!$E471:$I471,"✔ Concluído")+COUNTIF('E5 — Validação'!$E471:$I471,"🔄 Em andamento")&gt;0,"Em andamento","Não iniciado"))))))))</f>
        <v/>
      </c>
      <c r="J489" s="229" t="str">
        <f>IF($B489="","",IF($I489&lt;&gt;"Concluído","Não iniciado",IF('E6 — Ajustes'!$N471="Não","N/A",IF(COUNTIF(Lançamentos!$B$3:$B$1001,$B489)=0,"Bloqueado",IF('E6 — Ajustes'!$D471="","Bloqueado",IF(COUNTIF('E6 — Ajustes'!$E471:$J471,"⛔ Bloqueado")&gt;0,"Bloqueado",IF(AND('E6 — Ajustes'!$E471="✔ Concluído",'E6 — Ajustes'!$F471="✔ Concluído",'E6 — Ajustes'!$G471="✔ Concluído",'E6 — Ajustes'!$H471="✔ Concluído",OR('E6 — Ajustes'!$I471="✔ Concluído",'E6 — Ajustes'!$I471="N/A"),'E6 — Ajustes'!$J471="✔ Concluído"),"Concluído",IF(COUNTIF('E6 — Ajustes'!$E471:$J471,"✔ Concluído")+COUNTIF('E6 — Ajustes'!$E471:$J471,"🔄 Em andamento")&gt;0,"Em andamento","Não iniciado"))))))))</f>
        <v/>
      </c>
      <c r="K489" s="229" t="str">
        <f>IF($B489="","",IF($I489&lt;&gt;"Concluído","Não iniciado",IF(AND($J489&lt;&gt;"Concluído",$J489&lt;&gt;"N/A"),"Não iniciado",IF(COUNTIF(Lançamentos!$B$3:$B$1001,$B489)=0,"Bloqueado",IF('E7 — Entrega'!$D471="","Bloqueado",IF(COUNTIF('E7 — Entrega'!$E471:$H471,"⛔ Bloqueado")&gt;0,"Bloqueado",IF(COUNTIF('E7 — Entrega'!$E471:$H471,"✔ Concluído")=4,"Concluído",IF(COUNTIF('E7 — Entrega'!$E471:$H471,"✔ Concluído")+COUNTIF('E7 — Entrega'!$E471:$H471,"🔄 Em andamento")&gt;0,"Em andamento","Não iniciado"))))))))</f>
        <v/>
      </c>
      <c r="L489" s="229" t="str">
        <f>IF($B489="","",IF($K489&lt;&gt;"Concluído","Não iniciado",IF(OR(COUNTIF('E08 — Estabilização Hypercare'!$E471:$J471,"⛔ Bloqueado")&gt;0,'E08 — Estabilização Hypercare'!$N471="⛔ Incidente Crítico — Encerramento Bloqueado",AND('E08 — Estabilização Hypercare'!$N471="🆕 Evolução Identificada — Nova Demanda Aberta",'E08 — Estabilização Hypercare'!$U471="")),"Bloqueado",IF(AND('E08 — Estabilização Hypercare'!$E471="✔ Concluído",'E08 — Estabilização Hypercare'!$F471="✔ Concluído",'E08 — Estabilização Hypercare'!$G471="✔ Concluído",OR('E08 — Estabilização Hypercare'!$H471="✔ Concluído",'E08 — Estabilização Hypercare'!$H471="N/A"),'E08 — Estabilização Hypercare'!$I471="✔ Concluído",'E08 — Estabilização Hypercare'!$J471="✔ Concluído",OR('E08 — Estabilização Hypercare'!$N471="✅ Estável — Demanda Encerrada",AND('E08 — Estabilização Hypercare'!$N471="🆕 Evolução Identificada — Nova Demanda Aberta",'E08 — Estabilização Hypercare'!$U471&lt;&gt;""))),"Concluído",IF(OR(COUNTIF('E08 — Estabilização Hypercare'!$E471:$J471,"✔ Concluído")&gt;0,COUNTIF('E08 — Estabilização Hypercare'!$E471:$J471,"🔄 Em andamento")&gt;0,'E08 — Estabilização Hypercare'!$N471&lt;&gt;""),"Em andamento","Não iniciado")))))</f>
        <v/>
      </c>
      <c r="M489" s="232" t="str" cm="1">
        <f t="array" ref="M489">IF(B489="","",_xlfn.IFS(E489&lt;&gt;"Concluído","E1 — Solicitação",F489&lt;&gt;"Concluído","E2 — Triagem",G489&lt;&gt;"Concluído","E3 — Levantamento ⚠",H489&lt;&gt;"Concluído","E4 — Execução",I489&lt;&gt;"Concluído","E5 — Validação ⚠",AND(J489&lt;&gt;"Concluído",J489&lt;&gt;"N/A"),"E6 — Ajustes",K489&lt;&gt;"Concluído","E7 — Entrega",L489&lt;&gt;"Concluído","E08 — Estabilização / Hypercare",TRUE,"✔ Fluxo concluído"))</f>
        <v/>
      </c>
      <c r="N489" s="233" t="str">
        <f t="shared" si="8"/>
        <v/>
      </c>
      <c r="O489" s="230"/>
    </row>
    <row r="490" spans="2:15" x14ac:dyDescent="0.35">
      <c r="B490" s="229" t="str">
        <f>IF(Lançamentos!$B467="","",Lançamentos!$B467)</f>
        <v/>
      </c>
      <c r="C490" s="231" t="str">
        <f>IF($B490="","",Lançamentos!$J467)</f>
        <v/>
      </c>
      <c r="D490" s="231" t="str">
        <f>IF($B490="","",Lançamentos!$H467)</f>
        <v/>
      </c>
      <c r="E490" s="229" t="str">
        <f>IF($B490="","",IF(COUNTIF(Lançamentos!$B$3:$B$1001,$B490)=0,"Bloqueado",IF(COUNTIF('E1 — Solicitação'!$E472:$L472,"⛔ Bloqueado")&gt;0,"Bloqueado",IF(COUNTIF('E1 — Solicitação'!$E472:$L472,"N/A")=8,"Bloqueado",IF(COUNTIF('E1 — Solicitação'!$E472:$L472,"✔ Concluído")+COUNTIF('E1 — Solicitação'!$E472:$L472,"N/A")=8,"Concluído",IF(COUNTIF('E1 — Solicitação'!$E472:$L472,"✔ Concluído")+COUNTIF('E1 — Solicitação'!$E472:$L472,"🔄 Em andamento")&gt;0,"Em andamento","Não iniciado"))))))</f>
        <v/>
      </c>
      <c r="F490" s="229" t="str">
        <f>IF($B490="","",IF($E490&lt;&gt;"Concluído","Não iniciado",IF(COUNTIF(Lançamentos!$B$3:$B$1001,$B490)=0,"Bloqueado",IF('E2 — Triagem'!$D472="","Bloqueado",IF(COUNTIF('E2 — Triagem'!$E472:$L472,"N/A")=8,"Bloqueado",IF(COUNTIF('E2 — Triagem'!$E472:$L472,"⛔ Bloqueado")&gt;0,"Bloqueado",IF(COUNTIF('E2 — Triagem'!$E472:$L472,"✔ Concluído")+COUNTIF('E2 — Triagem'!$E472:$L472,"N/A")=8,"Concluído",IF(COUNTIF('E2 — Triagem'!$E472:$L472,"✔ Concluído")+COUNTIF('E2 — Triagem'!$E472:$L472,"🔄 Em andamento")&gt;0,"Em andamento","Não iniciado"))))))))</f>
        <v/>
      </c>
      <c r="G490" s="229" t="str">
        <f>IF($B490="","",IF($F490&lt;&gt;"Concluído","Não iniciado",IF(COUNTIF(Lançamentos!$B$3:$B$1001,$B490)=0,"Bloqueado",IF('E3 — Levantamento'!$D472="","Bloqueado",IF(COUNTIF('E3 — Levantamento'!$E472:$I472,"⛔ Bloqueado")&gt;0,"Bloqueado",IF('E3 — Levantamento'!$I472="N/A","Bloqueado",IF(COUNTIF('E3 — Levantamento'!$E472:$I472,"✔ Concluído")=5,"Concluído",IF(COUNTIF('E3 — Levantamento'!$E472:$I472,"✔ Concluído")+COUNTIF('E3 — Levantamento'!$E472:$I472,"🔄 Em andamento")&gt;0,"Em andamento","Não iniciado"))))))))</f>
        <v/>
      </c>
      <c r="H490" s="229" t="str">
        <f>IF($B490="","",IF($G490&lt;&gt;"Concluído","Não iniciado",IF(COUNTIF(Lançamentos!$B$3:$B$1001,$B490)=0,"Bloqueado",IF('E4 — Execução'!$D472="","Bloqueado",IF(COUNTIF('E4 — Execução'!$E472:$K472,"⛔ Bloqueado")&gt;0,"Bloqueado",IF(COUNTIF('E4 — Execução'!$E472:$K472,"✔ Concluído")=7,"Concluído",IF(COUNTIF('E4 — Execução'!$E472:$K472,"✔ Concluído")+COUNTIF('E4 — Execução'!$E472:$K472,"🔄 Em andamento")&gt;0,"Em andamento","Não iniciado")))))))</f>
        <v/>
      </c>
      <c r="I490" s="229" t="str">
        <f>IF($B490="","",IF($H490&lt;&gt;"Concluído","Não iniciado",IF(COUNTIF(Lançamentos!$B$3:$B$1001,$B490)=0,"Bloqueado",IF('E5 — Validação'!$D472="","Bloqueado",IF(COUNTIF('E5 — Validação'!$E472:$I472,"⛔ Bloqueado")&gt;0,"Bloqueado",IF('E5 — Validação'!$I472="N/A","Bloqueado",IF(AND('E5 — Validação'!$E472="✔ Concluído",'E5 — Validação'!$F472="✔ Concluído",OR('E5 — Validação'!$G472="✔ Concluído",'E5 — Validação'!$G472="N/A"),'E5 — Validação'!$H472="✔ Concluído",'E5 — Validação'!$I472="✔ Concluído"),"Concluído",IF(COUNTIF('E5 — Validação'!$E472:$I472,"✔ Concluído")+COUNTIF('E5 — Validação'!$E472:$I472,"🔄 Em andamento")&gt;0,"Em andamento","Não iniciado"))))))))</f>
        <v/>
      </c>
      <c r="J490" s="229" t="str">
        <f>IF($B490="","",IF($I490&lt;&gt;"Concluído","Não iniciado",IF('E6 — Ajustes'!$N472="Não","N/A",IF(COUNTIF(Lançamentos!$B$3:$B$1001,$B490)=0,"Bloqueado",IF('E6 — Ajustes'!$D472="","Bloqueado",IF(COUNTIF('E6 — Ajustes'!$E472:$J472,"⛔ Bloqueado")&gt;0,"Bloqueado",IF(AND('E6 — Ajustes'!$E472="✔ Concluído",'E6 — Ajustes'!$F472="✔ Concluído",'E6 — Ajustes'!$G472="✔ Concluído",'E6 — Ajustes'!$H472="✔ Concluído",OR('E6 — Ajustes'!$I472="✔ Concluído",'E6 — Ajustes'!$I472="N/A"),'E6 — Ajustes'!$J472="✔ Concluído"),"Concluído",IF(COUNTIF('E6 — Ajustes'!$E472:$J472,"✔ Concluído")+COUNTIF('E6 — Ajustes'!$E472:$J472,"🔄 Em andamento")&gt;0,"Em andamento","Não iniciado"))))))))</f>
        <v/>
      </c>
      <c r="K490" s="229" t="str">
        <f>IF($B490="","",IF($I490&lt;&gt;"Concluído","Não iniciado",IF(AND($J490&lt;&gt;"Concluído",$J490&lt;&gt;"N/A"),"Não iniciado",IF(COUNTIF(Lançamentos!$B$3:$B$1001,$B490)=0,"Bloqueado",IF('E7 — Entrega'!$D472="","Bloqueado",IF(COUNTIF('E7 — Entrega'!$E472:$H472,"⛔ Bloqueado")&gt;0,"Bloqueado",IF(COUNTIF('E7 — Entrega'!$E472:$H472,"✔ Concluído")=4,"Concluído",IF(COUNTIF('E7 — Entrega'!$E472:$H472,"✔ Concluído")+COUNTIF('E7 — Entrega'!$E472:$H472,"🔄 Em andamento")&gt;0,"Em andamento","Não iniciado"))))))))</f>
        <v/>
      </c>
      <c r="L490" s="229" t="str">
        <f>IF($B490="","",IF($K490&lt;&gt;"Concluído","Não iniciado",IF(OR(COUNTIF('E08 — Estabilização Hypercare'!$E472:$J472,"⛔ Bloqueado")&gt;0,'E08 — Estabilização Hypercare'!$N472="⛔ Incidente Crítico — Encerramento Bloqueado",AND('E08 — Estabilização Hypercare'!$N472="🆕 Evolução Identificada — Nova Demanda Aberta",'E08 — Estabilização Hypercare'!$U472="")),"Bloqueado",IF(AND('E08 — Estabilização Hypercare'!$E472="✔ Concluído",'E08 — Estabilização Hypercare'!$F472="✔ Concluído",'E08 — Estabilização Hypercare'!$G472="✔ Concluído",OR('E08 — Estabilização Hypercare'!$H472="✔ Concluído",'E08 — Estabilização Hypercare'!$H472="N/A"),'E08 — Estabilização Hypercare'!$I472="✔ Concluído",'E08 — Estabilização Hypercare'!$J472="✔ Concluído",OR('E08 — Estabilização Hypercare'!$N472="✅ Estável — Demanda Encerrada",AND('E08 — Estabilização Hypercare'!$N472="🆕 Evolução Identificada — Nova Demanda Aberta",'E08 — Estabilização Hypercare'!$U472&lt;&gt;""))),"Concluído",IF(OR(COUNTIF('E08 — Estabilização Hypercare'!$E472:$J472,"✔ Concluído")&gt;0,COUNTIF('E08 — Estabilização Hypercare'!$E472:$J472,"🔄 Em andamento")&gt;0,'E08 — Estabilização Hypercare'!$N472&lt;&gt;""),"Em andamento","Não iniciado")))))</f>
        <v/>
      </c>
      <c r="M490" s="232" t="str" cm="1">
        <f t="array" ref="M490">IF(B490="","",_xlfn.IFS(E490&lt;&gt;"Concluído","E1 — Solicitação",F490&lt;&gt;"Concluído","E2 — Triagem",G490&lt;&gt;"Concluído","E3 — Levantamento ⚠",H490&lt;&gt;"Concluído","E4 — Execução",I490&lt;&gt;"Concluído","E5 — Validação ⚠",AND(J490&lt;&gt;"Concluído",J490&lt;&gt;"N/A"),"E6 — Ajustes",K490&lt;&gt;"Concluído","E7 — Entrega",L490&lt;&gt;"Concluído","E08 — Estabilização / Hypercare",TRUE,"✔ Fluxo concluído"))</f>
        <v/>
      </c>
      <c r="N490" s="233" t="str">
        <f t="shared" si="8"/>
        <v/>
      </c>
      <c r="O490" s="230"/>
    </row>
    <row r="491" spans="2:15" x14ac:dyDescent="0.35">
      <c r="B491" s="229" t="str">
        <f>IF(Lançamentos!$B468="","",Lançamentos!$B468)</f>
        <v/>
      </c>
      <c r="C491" s="231" t="str">
        <f>IF($B491="","",Lançamentos!$J468)</f>
        <v/>
      </c>
      <c r="D491" s="231" t="str">
        <f>IF($B491="","",Lançamentos!$H468)</f>
        <v/>
      </c>
      <c r="E491" s="229" t="str">
        <f>IF($B491="","",IF(COUNTIF(Lançamentos!$B$3:$B$1001,$B491)=0,"Bloqueado",IF(COUNTIF('E1 — Solicitação'!$E473:$L473,"⛔ Bloqueado")&gt;0,"Bloqueado",IF(COUNTIF('E1 — Solicitação'!$E473:$L473,"N/A")=8,"Bloqueado",IF(COUNTIF('E1 — Solicitação'!$E473:$L473,"✔ Concluído")+COUNTIF('E1 — Solicitação'!$E473:$L473,"N/A")=8,"Concluído",IF(COUNTIF('E1 — Solicitação'!$E473:$L473,"✔ Concluído")+COUNTIF('E1 — Solicitação'!$E473:$L473,"🔄 Em andamento")&gt;0,"Em andamento","Não iniciado"))))))</f>
        <v/>
      </c>
      <c r="F491" s="229" t="str">
        <f>IF($B491="","",IF($E491&lt;&gt;"Concluído","Não iniciado",IF(COUNTIF(Lançamentos!$B$3:$B$1001,$B491)=0,"Bloqueado",IF('E2 — Triagem'!$D473="","Bloqueado",IF(COUNTIF('E2 — Triagem'!$E473:$L473,"N/A")=8,"Bloqueado",IF(COUNTIF('E2 — Triagem'!$E473:$L473,"⛔ Bloqueado")&gt;0,"Bloqueado",IF(COUNTIF('E2 — Triagem'!$E473:$L473,"✔ Concluído")+COUNTIF('E2 — Triagem'!$E473:$L473,"N/A")=8,"Concluído",IF(COUNTIF('E2 — Triagem'!$E473:$L473,"✔ Concluído")+COUNTIF('E2 — Triagem'!$E473:$L473,"🔄 Em andamento")&gt;0,"Em andamento","Não iniciado"))))))))</f>
        <v/>
      </c>
      <c r="G491" s="229" t="str">
        <f>IF($B491="","",IF($F491&lt;&gt;"Concluído","Não iniciado",IF(COUNTIF(Lançamentos!$B$3:$B$1001,$B491)=0,"Bloqueado",IF('E3 — Levantamento'!$D473="","Bloqueado",IF(COUNTIF('E3 — Levantamento'!$E473:$I473,"⛔ Bloqueado")&gt;0,"Bloqueado",IF('E3 — Levantamento'!$I473="N/A","Bloqueado",IF(COUNTIF('E3 — Levantamento'!$E473:$I473,"✔ Concluído")=5,"Concluído",IF(COUNTIF('E3 — Levantamento'!$E473:$I473,"✔ Concluído")+COUNTIF('E3 — Levantamento'!$E473:$I473,"🔄 Em andamento")&gt;0,"Em andamento","Não iniciado"))))))))</f>
        <v/>
      </c>
      <c r="H491" s="229" t="str">
        <f>IF($B491="","",IF($G491&lt;&gt;"Concluído","Não iniciado",IF(COUNTIF(Lançamentos!$B$3:$B$1001,$B491)=0,"Bloqueado",IF('E4 — Execução'!$D473="","Bloqueado",IF(COUNTIF('E4 — Execução'!$E473:$K473,"⛔ Bloqueado")&gt;0,"Bloqueado",IF(COUNTIF('E4 — Execução'!$E473:$K473,"✔ Concluído")=7,"Concluído",IF(COUNTIF('E4 — Execução'!$E473:$K473,"✔ Concluído")+COUNTIF('E4 — Execução'!$E473:$K473,"🔄 Em andamento")&gt;0,"Em andamento","Não iniciado")))))))</f>
        <v/>
      </c>
      <c r="I491" s="229" t="str">
        <f>IF($B491="","",IF($H491&lt;&gt;"Concluído","Não iniciado",IF(COUNTIF(Lançamentos!$B$3:$B$1001,$B491)=0,"Bloqueado",IF('E5 — Validação'!$D473="","Bloqueado",IF(COUNTIF('E5 — Validação'!$E473:$I473,"⛔ Bloqueado")&gt;0,"Bloqueado",IF('E5 — Validação'!$I473="N/A","Bloqueado",IF(AND('E5 — Validação'!$E473="✔ Concluído",'E5 — Validação'!$F473="✔ Concluído",OR('E5 — Validação'!$G473="✔ Concluído",'E5 — Validação'!$G473="N/A"),'E5 — Validação'!$H473="✔ Concluído",'E5 — Validação'!$I473="✔ Concluído"),"Concluído",IF(COUNTIF('E5 — Validação'!$E473:$I473,"✔ Concluído")+COUNTIF('E5 — Validação'!$E473:$I473,"🔄 Em andamento")&gt;0,"Em andamento","Não iniciado"))))))))</f>
        <v/>
      </c>
      <c r="J491" s="229" t="str">
        <f>IF($B491="","",IF($I491&lt;&gt;"Concluído","Não iniciado",IF('E6 — Ajustes'!$N473="Não","N/A",IF(COUNTIF(Lançamentos!$B$3:$B$1001,$B491)=0,"Bloqueado",IF('E6 — Ajustes'!$D473="","Bloqueado",IF(COUNTIF('E6 — Ajustes'!$E473:$J473,"⛔ Bloqueado")&gt;0,"Bloqueado",IF(AND('E6 — Ajustes'!$E473="✔ Concluído",'E6 — Ajustes'!$F473="✔ Concluído",'E6 — Ajustes'!$G473="✔ Concluído",'E6 — Ajustes'!$H473="✔ Concluído",OR('E6 — Ajustes'!$I473="✔ Concluído",'E6 — Ajustes'!$I473="N/A"),'E6 — Ajustes'!$J473="✔ Concluído"),"Concluído",IF(COUNTIF('E6 — Ajustes'!$E473:$J473,"✔ Concluído")+COUNTIF('E6 — Ajustes'!$E473:$J473,"🔄 Em andamento")&gt;0,"Em andamento","Não iniciado"))))))))</f>
        <v/>
      </c>
      <c r="K491" s="229" t="str">
        <f>IF($B491="","",IF($I491&lt;&gt;"Concluído","Não iniciado",IF(AND($J491&lt;&gt;"Concluído",$J491&lt;&gt;"N/A"),"Não iniciado",IF(COUNTIF(Lançamentos!$B$3:$B$1001,$B491)=0,"Bloqueado",IF('E7 — Entrega'!$D473="","Bloqueado",IF(COUNTIF('E7 — Entrega'!$E473:$H473,"⛔ Bloqueado")&gt;0,"Bloqueado",IF(COUNTIF('E7 — Entrega'!$E473:$H473,"✔ Concluído")=4,"Concluído",IF(COUNTIF('E7 — Entrega'!$E473:$H473,"✔ Concluído")+COUNTIF('E7 — Entrega'!$E473:$H473,"🔄 Em andamento")&gt;0,"Em andamento","Não iniciado"))))))))</f>
        <v/>
      </c>
      <c r="L491" s="229" t="str">
        <f>IF($B491="","",IF($K491&lt;&gt;"Concluído","Não iniciado",IF(OR(COUNTIF('E08 — Estabilização Hypercare'!$E473:$J473,"⛔ Bloqueado")&gt;0,'E08 — Estabilização Hypercare'!$N473="⛔ Incidente Crítico — Encerramento Bloqueado",AND('E08 — Estabilização Hypercare'!$N473="🆕 Evolução Identificada — Nova Demanda Aberta",'E08 — Estabilização Hypercare'!$U473="")),"Bloqueado",IF(AND('E08 — Estabilização Hypercare'!$E473="✔ Concluído",'E08 — Estabilização Hypercare'!$F473="✔ Concluído",'E08 — Estabilização Hypercare'!$G473="✔ Concluído",OR('E08 — Estabilização Hypercare'!$H473="✔ Concluído",'E08 — Estabilização Hypercare'!$H473="N/A"),'E08 — Estabilização Hypercare'!$I473="✔ Concluído",'E08 — Estabilização Hypercare'!$J473="✔ Concluído",OR('E08 — Estabilização Hypercare'!$N473="✅ Estável — Demanda Encerrada",AND('E08 — Estabilização Hypercare'!$N473="🆕 Evolução Identificada — Nova Demanda Aberta",'E08 — Estabilização Hypercare'!$U473&lt;&gt;""))),"Concluído",IF(OR(COUNTIF('E08 — Estabilização Hypercare'!$E473:$J473,"✔ Concluído")&gt;0,COUNTIF('E08 — Estabilização Hypercare'!$E473:$J473,"🔄 Em andamento")&gt;0,'E08 — Estabilização Hypercare'!$N473&lt;&gt;""),"Em andamento","Não iniciado")))))</f>
        <v/>
      </c>
      <c r="M491" s="232" t="str" cm="1">
        <f t="array" ref="M491">IF(B491="","",_xlfn.IFS(E491&lt;&gt;"Concluído","E1 — Solicitação",F491&lt;&gt;"Concluído","E2 — Triagem",G491&lt;&gt;"Concluído","E3 — Levantamento ⚠",H491&lt;&gt;"Concluído","E4 — Execução",I491&lt;&gt;"Concluído","E5 — Validação ⚠",AND(J491&lt;&gt;"Concluído",J491&lt;&gt;"N/A"),"E6 — Ajustes",K491&lt;&gt;"Concluído","E7 — Entrega",L491&lt;&gt;"Concluído","E08 — Estabilização / Hypercare",TRUE,"✔ Fluxo concluído"))</f>
        <v/>
      </c>
      <c r="N491" s="233" t="str">
        <f t="shared" si="8"/>
        <v/>
      </c>
      <c r="O491" s="230"/>
    </row>
    <row r="492" spans="2:15" x14ac:dyDescent="0.35">
      <c r="B492" s="229" t="str">
        <f>IF(Lançamentos!$B469="","",Lançamentos!$B469)</f>
        <v/>
      </c>
      <c r="C492" s="231" t="str">
        <f>IF($B492="","",Lançamentos!$J469)</f>
        <v/>
      </c>
      <c r="D492" s="231" t="str">
        <f>IF($B492="","",Lançamentos!$H469)</f>
        <v/>
      </c>
      <c r="E492" s="229" t="str">
        <f>IF($B492="","",IF(COUNTIF(Lançamentos!$B$3:$B$1001,$B492)=0,"Bloqueado",IF(COUNTIF('E1 — Solicitação'!$E474:$L474,"⛔ Bloqueado")&gt;0,"Bloqueado",IF(COUNTIF('E1 — Solicitação'!$E474:$L474,"N/A")=8,"Bloqueado",IF(COUNTIF('E1 — Solicitação'!$E474:$L474,"✔ Concluído")+COUNTIF('E1 — Solicitação'!$E474:$L474,"N/A")=8,"Concluído",IF(COUNTIF('E1 — Solicitação'!$E474:$L474,"✔ Concluído")+COUNTIF('E1 — Solicitação'!$E474:$L474,"🔄 Em andamento")&gt;0,"Em andamento","Não iniciado"))))))</f>
        <v/>
      </c>
      <c r="F492" s="229" t="str">
        <f>IF($B492="","",IF($E492&lt;&gt;"Concluído","Não iniciado",IF(COUNTIF(Lançamentos!$B$3:$B$1001,$B492)=0,"Bloqueado",IF('E2 — Triagem'!$D474="","Bloqueado",IF(COUNTIF('E2 — Triagem'!$E474:$L474,"N/A")=8,"Bloqueado",IF(COUNTIF('E2 — Triagem'!$E474:$L474,"⛔ Bloqueado")&gt;0,"Bloqueado",IF(COUNTIF('E2 — Triagem'!$E474:$L474,"✔ Concluído")+COUNTIF('E2 — Triagem'!$E474:$L474,"N/A")=8,"Concluído",IF(COUNTIF('E2 — Triagem'!$E474:$L474,"✔ Concluído")+COUNTIF('E2 — Triagem'!$E474:$L474,"🔄 Em andamento")&gt;0,"Em andamento","Não iniciado"))))))))</f>
        <v/>
      </c>
      <c r="G492" s="229" t="str">
        <f>IF($B492="","",IF($F492&lt;&gt;"Concluído","Não iniciado",IF(COUNTIF(Lançamentos!$B$3:$B$1001,$B492)=0,"Bloqueado",IF('E3 — Levantamento'!$D474="","Bloqueado",IF(COUNTIF('E3 — Levantamento'!$E474:$I474,"⛔ Bloqueado")&gt;0,"Bloqueado",IF('E3 — Levantamento'!$I474="N/A","Bloqueado",IF(COUNTIF('E3 — Levantamento'!$E474:$I474,"✔ Concluído")=5,"Concluído",IF(COUNTIF('E3 — Levantamento'!$E474:$I474,"✔ Concluído")+COUNTIF('E3 — Levantamento'!$E474:$I474,"🔄 Em andamento")&gt;0,"Em andamento","Não iniciado"))))))))</f>
        <v/>
      </c>
      <c r="H492" s="229" t="str">
        <f>IF($B492="","",IF($G492&lt;&gt;"Concluído","Não iniciado",IF(COUNTIF(Lançamentos!$B$3:$B$1001,$B492)=0,"Bloqueado",IF('E4 — Execução'!$D474="","Bloqueado",IF(COUNTIF('E4 — Execução'!$E474:$K474,"⛔ Bloqueado")&gt;0,"Bloqueado",IF(COUNTIF('E4 — Execução'!$E474:$K474,"✔ Concluído")=7,"Concluído",IF(COUNTIF('E4 — Execução'!$E474:$K474,"✔ Concluído")+COUNTIF('E4 — Execução'!$E474:$K474,"🔄 Em andamento")&gt;0,"Em andamento","Não iniciado")))))))</f>
        <v/>
      </c>
      <c r="I492" s="229" t="str">
        <f>IF($B492="","",IF($H492&lt;&gt;"Concluído","Não iniciado",IF(COUNTIF(Lançamentos!$B$3:$B$1001,$B492)=0,"Bloqueado",IF('E5 — Validação'!$D474="","Bloqueado",IF(COUNTIF('E5 — Validação'!$E474:$I474,"⛔ Bloqueado")&gt;0,"Bloqueado",IF('E5 — Validação'!$I474="N/A","Bloqueado",IF(AND('E5 — Validação'!$E474="✔ Concluído",'E5 — Validação'!$F474="✔ Concluído",OR('E5 — Validação'!$G474="✔ Concluído",'E5 — Validação'!$G474="N/A"),'E5 — Validação'!$H474="✔ Concluído",'E5 — Validação'!$I474="✔ Concluído"),"Concluído",IF(COUNTIF('E5 — Validação'!$E474:$I474,"✔ Concluído")+COUNTIF('E5 — Validação'!$E474:$I474,"🔄 Em andamento")&gt;0,"Em andamento","Não iniciado"))))))))</f>
        <v/>
      </c>
      <c r="J492" s="229" t="str">
        <f>IF($B492="","",IF($I492&lt;&gt;"Concluído","Não iniciado",IF('E6 — Ajustes'!$N474="Não","N/A",IF(COUNTIF(Lançamentos!$B$3:$B$1001,$B492)=0,"Bloqueado",IF('E6 — Ajustes'!$D474="","Bloqueado",IF(COUNTIF('E6 — Ajustes'!$E474:$J474,"⛔ Bloqueado")&gt;0,"Bloqueado",IF(AND('E6 — Ajustes'!$E474="✔ Concluído",'E6 — Ajustes'!$F474="✔ Concluído",'E6 — Ajustes'!$G474="✔ Concluído",'E6 — Ajustes'!$H474="✔ Concluído",OR('E6 — Ajustes'!$I474="✔ Concluído",'E6 — Ajustes'!$I474="N/A"),'E6 — Ajustes'!$J474="✔ Concluído"),"Concluído",IF(COUNTIF('E6 — Ajustes'!$E474:$J474,"✔ Concluído")+COUNTIF('E6 — Ajustes'!$E474:$J474,"🔄 Em andamento")&gt;0,"Em andamento","Não iniciado"))))))))</f>
        <v/>
      </c>
      <c r="K492" s="229" t="str">
        <f>IF($B492="","",IF($I492&lt;&gt;"Concluído","Não iniciado",IF(AND($J492&lt;&gt;"Concluído",$J492&lt;&gt;"N/A"),"Não iniciado",IF(COUNTIF(Lançamentos!$B$3:$B$1001,$B492)=0,"Bloqueado",IF('E7 — Entrega'!$D474="","Bloqueado",IF(COUNTIF('E7 — Entrega'!$E474:$H474,"⛔ Bloqueado")&gt;0,"Bloqueado",IF(COUNTIF('E7 — Entrega'!$E474:$H474,"✔ Concluído")=4,"Concluído",IF(COUNTIF('E7 — Entrega'!$E474:$H474,"✔ Concluído")+COUNTIF('E7 — Entrega'!$E474:$H474,"🔄 Em andamento")&gt;0,"Em andamento","Não iniciado"))))))))</f>
        <v/>
      </c>
      <c r="L492" s="229" t="str">
        <f>IF($B492="","",IF($K492&lt;&gt;"Concluído","Não iniciado",IF(OR(COUNTIF('E08 — Estabilização Hypercare'!$E474:$J474,"⛔ Bloqueado")&gt;0,'E08 — Estabilização Hypercare'!$N474="⛔ Incidente Crítico — Encerramento Bloqueado",AND('E08 — Estabilização Hypercare'!$N474="🆕 Evolução Identificada — Nova Demanda Aberta",'E08 — Estabilização Hypercare'!$U474="")),"Bloqueado",IF(AND('E08 — Estabilização Hypercare'!$E474="✔ Concluído",'E08 — Estabilização Hypercare'!$F474="✔ Concluído",'E08 — Estabilização Hypercare'!$G474="✔ Concluído",OR('E08 — Estabilização Hypercare'!$H474="✔ Concluído",'E08 — Estabilização Hypercare'!$H474="N/A"),'E08 — Estabilização Hypercare'!$I474="✔ Concluído",'E08 — Estabilização Hypercare'!$J474="✔ Concluído",OR('E08 — Estabilização Hypercare'!$N474="✅ Estável — Demanda Encerrada",AND('E08 — Estabilização Hypercare'!$N474="🆕 Evolução Identificada — Nova Demanda Aberta",'E08 — Estabilização Hypercare'!$U474&lt;&gt;""))),"Concluído",IF(OR(COUNTIF('E08 — Estabilização Hypercare'!$E474:$J474,"✔ Concluído")&gt;0,COUNTIF('E08 — Estabilização Hypercare'!$E474:$J474,"🔄 Em andamento")&gt;0,'E08 — Estabilização Hypercare'!$N474&lt;&gt;""),"Em andamento","Não iniciado")))))</f>
        <v/>
      </c>
      <c r="M492" s="232" t="str" cm="1">
        <f t="array" ref="M492">IF(B492="","",_xlfn.IFS(E492&lt;&gt;"Concluído","E1 — Solicitação",F492&lt;&gt;"Concluído","E2 — Triagem",G492&lt;&gt;"Concluído","E3 — Levantamento ⚠",H492&lt;&gt;"Concluído","E4 — Execução",I492&lt;&gt;"Concluído","E5 — Validação ⚠",AND(J492&lt;&gt;"Concluído",J492&lt;&gt;"N/A"),"E6 — Ajustes",K492&lt;&gt;"Concluído","E7 — Entrega",L492&lt;&gt;"Concluído","E08 — Estabilização / Hypercare",TRUE,"✔ Fluxo concluído"))</f>
        <v/>
      </c>
      <c r="N492" s="233" t="str">
        <f t="shared" si="8"/>
        <v/>
      </c>
      <c r="O492" s="230"/>
    </row>
    <row r="493" spans="2:15" x14ac:dyDescent="0.35">
      <c r="B493" s="229" t="str">
        <f>IF(Lançamentos!$B470="","",Lançamentos!$B470)</f>
        <v/>
      </c>
      <c r="C493" s="231" t="str">
        <f>IF($B493="","",Lançamentos!$J470)</f>
        <v/>
      </c>
      <c r="D493" s="231" t="str">
        <f>IF($B493="","",Lançamentos!$H470)</f>
        <v/>
      </c>
      <c r="E493" s="229" t="str">
        <f>IF($B493="","",IF(COUNTIF(Lançamentos!$B$3:$B$1001,$B493)=0,"Bloqueado",IF(COUNTIF('E1 — Solicitação'!$E475:$L475,"⛔ Bloqueado")&gt;0,"Bloqueado",IF(COUNTIF('E1 — Solicitação'!$E475:$L475,"N/A")=8,"Bloqueado",IF(COUNTIF('E1 — Solicitação'!$E475:$L475,"✔ Concluído")+COUNTIF('E1 — Solicitação'!$E475:$L475,"N/A")=8,"Concluído",IF(COUNTIF('E1 — Solicitação'!$E475:$L475,"✔ Concluído")+COUNTIF('E1 — Solicitação'!$E475:$L475,"🔄 Em andamento")&gt;0,"Em andamento","Não iniciado"))))))</f>
        <v/>
      </c>
      <c r="F493" s="229" t="str">
        <f>IF($B493="","",IF($E493&lt;&gt;"Concluído","Não iniciado",IF(COUNTIF(Lançamentos!$B$3:$B$1001,$B493)=0,"Bloqueado",IF('E2 — Triagem'!$D475="","Bloqueado",IF(COUNTIF('E2 — Triagem'!$E475:$L475,"N/A")=8,"Bloqueado",IF(COUNTIF('E2 — Triagem'!$E475:$L475,"⛔ Bloqueado")&gt;0,"Bloqueado",IF(COUNTIF('E2 — Triagem'!$E475:$L475,"✔ Concluído")+COUNTIF('E2 — Triagem'!$E475:$L475,"N/A")=8,"Concluído",IF(COUNTIF('E2 — Triagem'!$E475:$L475,"✔ Concluído")+COUNTIF('E2 — Triagem'!$E475:$L475,"🔄 Em andamento")&gt;0,"Em andamento","Não iniciado"))))))))</f>
        <v/>
      </c>
      <c r="G493" s="229" t="str">
        <f>IF($B493="","",IF($F493&lt;&gt;"Concluído","Não iniciado",IF(COUNTIF(Lançamentos!$B$3:$B$1001,$B493)=0,"Bloqueado",IF('E3 — Levantamento'!$D475="","Bloqueado",IF(COUNTIF('E3 — Levantamento'!$E475:$I475,"⛔ Bloqueado")&gt;0,"Bloqueado",IF('E3 — Levantamento'!$I475="N/A","Bloqueado",IF(COUNTIF('E3 — Levantamento'!$E475:$I475,"✔ Concluído")=5,"Concluído",IF(COUNTIF('E3 — Levantamento'!$E475:$I475,"✔ Concluído")+COUNTIF('E3 — Levantamento'!$E475:$I475,"🔄 Em andamento")&gt;0,"Em andamento","Não iniciado"))))))))</f>
        <v/>
      </c>
      <c r="H493" s="229" t="str">
        <f>IF($B493="","",IF($G493&lt;&gt;"Concluído","Não iniciado",IF(COUNTIF(Lançamentos!$B$3:$B$1001,$B493)=0,"Bloqueado",IF('E4 — Execução'!$D475="","Bloqueado",IF(COUNTIF('E4 — Execução'!$E475:$K475,"⛔ Bloqueado")&gt;0,"Bloqueado",IF(COUNTIF('E4 — Execução'!$E475:$K475,"✔ Concluído")=7,"Concluído",IF(COUNTIF('E4 — Execução'!$E475:$K475,"✔ Concluído")+COUNTIF('E4 — Execução'!$E475:$K475,"🔄 Em andamento")&gt;0,"Em andamento","Não iniciado")))))))</f>
        <v/>
      </c>
      <c r="I493" s="229" t="str">
        <f>IF($B493="","",IF($H493&lt;&gt;"Concluído","Não iniciado",IF(COUNTIF(Lançamentos!$B$3:$B$1001,$B493)=0,"Bloqueado",IF('E5 — Validação'!$D475="","Bloqueado",IF(COUNTIF('E5 — Validação'!$E475:$I475,"⛔ Bloqueado")&gt;0,"Bloqueado",IF('E5 — Validação'!$I475="N/A","Bloqueado",IF(AND('E5 — Validação'!$E475="✔ Concluído",'E5 — Validação'!$F475="✔ Concluído",OR('E5 — Validação'!$G475="✔ Concluído",'E5 — Validação'!$G475="N/A"),'E5 — Validação'!$H475="✔ Concluído",'E5 — Validação'!$I475="✔ Concluído"),"Concluído",IF(COUNTIF('E5 — Validação'!$E475:$I475,"✔ Concluído")+COUNTIF('E5 — Validação'!$E475:$I475,"🔄 Em andamento")&gt;0,"Em andamento","Não iniciado"))))))))</f>
        <v/>
      </c>
      <c r="J493" s="229" t="str">
        <f>IF($B493="","",IF($I493&lt;&gt;"Concluído","Não iniciado",IF('E6 — Ajustes'!$N475="Não","N/A",IF(COUNTIF(Lançamentos!$B$3:$B$1001,$B493)=0,"Bloqueado",IF('E6 — Ajustes'!$D475="","Bloqueado",IF(COUNTIF('E6 — Ajustes'!$E475:$J475,"⛔ Bloqueado")&gt;0,"Bloqueado",IF(AND('E6 — Ajustes'!$E475="✔ Concluído",'E6 — Ajustes'!$F475="✔ Concluído",'E6 — Ajustes'!$G475="✔ Concluído",'E6 — Ajustes'!$H475="✔ Concluído",OR('E6 — Ajustes'!$I475="✔ Concluído",'E6 — Ajustes'!$I475="N/A"),'E6 — Ajustes'!$J475="✔ Concluído"),"Concluído",IF(COUNTIF('E6 — Ajustes'!$E475:$J475,"✔ Concluído")+COUNTIF('E6 — Ajustes'!$E475:$J475,"🔄 Em andamento")&gt;0,"Em andamento","Não iniciado"))))))))</f>
        <v/>
      </c>
      <c r="K493" s="229" t="str">
        <f>IF($B493="","",IF($I493&lt;&gt;"Concluído","Não iniciado",IF(AND($J493&lt;&gt;"Concluído",$J493&lt;&gt;"N/A"),"Não iniciado",IF(COUNTIF(Lançamentos!$B$3:$B$1001,$B493)=0,"Bloqueado",IF('E7 — Entrega'!$D475="","Bloqueado",IF(COUNTIF('E7 — Entrega'!$E475:$H475,"⛔ Bloqueado")&gt;0,"Bloqueado",IF(COUNTIF('E7 — Entrega'!$E475:$H475,"✔ Concluído")=4,"Concluído",IF(COUNTIF('E7 — Entrega'!$E475:$H475,"✔ Concluído")+COUNTIF('E7 — Entrega'!$E475:$H475,"🔄 Em andamento")&gt;0,"Em andamento","Não iniciado"))))))))</f>
        <v/>
      </c>
      <c r="L493" s="229" t="str">
        <f>IF($B493="","",IF($K493&lt;&gt;"Concluído","Não iniciado",IF(OR(COUNTIF('E08 — Estabilização Hypercare'!$E475:$J475,"⛔ Bloqueado")&gt;0,'E08 — Estabilização Hypercare'!$N475="⛔ Incidente Crítico — Encerramento Bloqueado",AND('E08 — Estabilização Hypercare'!$N475="🆕 Evolução Identificada — Nova Demanda Aberta",'E08 — Estabilização Hypercare'!$U475="")),"Bloqueado",IF(AND('E08 — Estabilização Hypercare'!$E475="✔ Concluído",'E08 — Estabilização Hypercare'!$F475="✔ Concluído",'E08 — Estabilização Hypercare'!$G475="✔ Concluído",OR('E08 — Estabilização Hypercare'!$H475="✔ Concluído",'E08 — Estabilização Hypercare'!$H475="N/A"),'E08 — Estabilização Hypercare'!$I475="✔ Concluído",'E08 — Estabilização Hypercare'!$J475="✔ Concluído",OR('E08 — Estabilização Hypercare'!$N475="✅ Estável — Demanda Encerrada",AND('E08 — Estabilização Hypercare'!$N475="🆕 Evolução Identificada — Nova Demanda Aberta",'E08 — Estabilização Hypercare'!$U475&lt;&gt;""))),"Concluído",IF(OR(COUNTIF('E08 — Estabilização Hypercare'!$E475:$J475,"✔ Concluído")&gt;0,COUNTIF('E08 — Estabilização Hypercare'!$E475:$J475,"🔄 Em andamento")&gt;0,'E08 — Estabilização Hypercare'!$N475&lt;&gt;""),"Em andamento","Não iniciado")))))</f>
        <v/>
      </c>
      <c r="M493" s="232" t="str" cm="1">
        <f t="array" ref="M493">IF(B493="","",_xlfn.IFS(E493&lt;&gt;"Concluído","E1 — Solicitação",F493&lt;&gt;"Concluído","E2 — Triagem",G493&lt;&gt;"Concluído","E3 — Levantamento ⚠",H493&lt;&gt;"Concluído","E4 — Execução",I493&lt;&gt;"Concluído","E5 — Validação ⚠",AND(J493&lt;&gt;"Concluído",J493&lt;&gt;"N/A"),"E6 — Ajustes",K493&lt;&gt;"Concluído","E7 — Entrega",L493&lt;&gt;"Concluído","E08 — Estabilização / Hypercare",TRUE,"✔ Fluxo concluído"))</f>
        <v/>
      </c>
      <c r="N493" s="233" t="str">
        <f t="shared" si="8"/>
        <v/>
      </c>
      <c r="O493" s="230"/>
    </row>
    <row r="494" spans="2:15" x14ac:dyDescent="0.35">
      <c r="B494" s="229" t="str">
        <f>IF(Lançamentos!$B471="","",Lançamentos!$B471)</f>
        <v/>
      </c>
      <c r="C494" s="231" t="str">
        <f>IF($B494="","",Lançamentos!$J471)</f>
        <v/>
      </c>
      <c r="D494" s="231" t="str">
        <f>IF($B494="","",Lançamentos!$H471)</f>
        <v/>
      </c>
      <c r="E494" s="229" t="str">
        <f>IF($B494="","",IF(COUNTIF(Lançamentos!$B$3:$B$1001,$B494)=0,"Bloqueado",IF(COUNTIF('E1 — Solicitação'!$E476:$L476,"⛔ Bloqueado")&gt;0,"Bloqueado",IF(COUNTIF('E1 — Solicitação'!$E476:$L476,"N/A")=8,"Bloqueado",IF(COUNTIF('E1 — Solicitação'!$E476:$L476,"✔ Concluído")+COUNTIF('E1 — Solicitação'!$E476:$L476,"N/A")=8,"Concluído",IF(COUNTIF('E1 — Solicitação'!$E476:$L476,"✔ Concluído")+COUNTIF('E1 — Solicitação'!$E476:$L476,"🔄 Em andamento")&gt;0,"Em andamento","Não iniciado"))))))</f>
        <v/>
      </c>
      <c r="F494" s="229" t="str">
        <f>IF($B494="","",IF($E494&lt;&gt;"Concluído","Não iniciado",IF(COUNTIF(Lançamentos!$B$3:$B$1001,$B494)=0,"Bloqueado",IF('E2 — Triagem'!$D476="","Bloqueado",IF(COUNTIF('E2 — Triagem'!$E476:$L476,"N/A")=8,"Bloqueado",IF(COUNTIF('E2 — Triagem'!$E476:$L476,"⛔ Bloqueado")&gt;0,"Bloqueado",IF(COUNTIF('E2 — Triagem'!$E476:$L476,"✔ Concluído")+COUNTIF('E2 — Triagem'!$E476:$L476,"N/A")=8,"Concluído",IF(COUNTIF('E2 — Triagem'!$E476:$L476,"✔ Concluído")+COUNTIF('E2 — Triagem'!$E476:$L476,"🔄 Em andamento")&gt;0,"Em andamento","Não iniciado"))))))))</f>
        <v/>
      </c>
      <c r="G494" s="229" t="str">
        <f>IF($B494="","",IF($F494&lt;&gt;"Concluído","Não iniciado",IF(COUNTIF(Lançamentos!$B$3:$B$1001,$B494)=0,"Bloqueado",IF('E3 — Levantamento'!$D476="","Bloqueado",IF(COUNTIF('E3 — Levantamento'!$E476:$I476,"⛔ Bloqueado")&gt;0,"Bloqueado",IF('E3 — Levantamento'!$I476="N/A","Bloqueado",IF(COUNTIF('E3 — Levantamento'!$E476:$I476,"✔ Concluído")=5,"Concluído",IF(COUNTIF('E3 — Levantamento'!$E476:$I476,"✔ Concluído")+COUNTIF('E3 — Levantamento'!$E476:$I476,"🔄 Em andamento")&gt;0,"Em andamento","Não iniciado"))))))))</f>
        <v/>
      </c>
      <c r="H494" s="229" t="str">
        <f>IF($B494="","",IF($G494&lt;&gt;"Concluído","Não iniciado",IF(COUNTIF(Lançamentos!$B$3:$B$1001,$B494)=0,"Bloqueado",IF('E4 — Execução'!$D476="","Bloqueado",IF(COUNTIF('E4 — Execução'!$E476:$K476,"⛔ Bloqueado")&gt;0,"Bloqueado",IF(COUNTIF('E4 — Execução'!$E476:$K476,"✔ Concluído")=7,"Concluído",IF(COUNTIF('E4 — Execução'!$E476:$K476,"✔ Concluído")+COUNTIF('E4 — Execução'!$E476:$K476,"🔄 Em andamento")&gt;0,"Em andamento","Não iniciado")))))))</f>
        <v/>
      </c>
      <c r="I494" s="229" t="str">
        <f>IF($B494="","",IF($H494&lt;&gt;"Concluído","Não iniciado",IF(COUNTIF(Lançamentos!$B$3:$B$1001,$B494)=0,"Bloqueado",IF('E5 — Validação'!$D476="","Bloqueado",IF(COUNTIF('E5 — Validação'!$E476:$I476,"⛔ Bloqueado")&gt;0,"Bloqueado",IF('E5 — Validação'!$I476="N/A","Bloqueado",IF(AND('E5 — Validação'!$E476="✔ Concluído",'E5 — Validação'!$F476="✔ Concluído",OR('E5 — Validação'!$G476="✔ Concluído",'E5 — Validação'!$G476="N/A"),'E5 — Validação'!$H476="✔ Concluído",'E5 — Validação'!$I476="✔ Concluído"),"Concluído",IF(COUNTIF('E5 — Validação'!$E476:$I476,"✔ Concluído")+COUNTIF('E5 — Validação'!$E476:$I476,"🔄 Em andamento")&gt;0,"Em andamento","Não iniciado"))))))))</f>
        <v/>
      </c>
      <c r="J494" s="229" t="str">
        <f>IF($B494="","",IF($I494&lt;&gt;"Concluído","Não iniciado",IF('E6 — Ajustes'!$N476="Não","N/A",IF(COUNTIF(Lançamentos!$B$3:$B$1001,$B494)=0,"Bloqueado",IF('E6 — Ajustes'!$D476="","Bloqueado",IF(COUNTIF('E6 — Ajustes'!$E476:$J476,"⛔ Bloqueado")&gt;0,"Bloqueado",IF(AND('E6 — Ajustes'!$E476="✔ Concluído",'E6 — Ajustes'!$F476="✔ Concluído",'E6 — Ajustes'!$G476="✔ Concluído",'E6 — Ajustes'!$H476="✔ Concluído",OR('E6 — Ajustes'!$I476="✔ Concluído",'E6 — Ajustes'!$I476="N/A"),'E6 — Ajustes'!$J476="✔ Concluído"),"Concluído",IF(COUNTIF('E6 — Ajustes'!$E476:$J476,"✔ Concluído")+COUNTIF('E6 — Ajustes'!$E476:$J476,"🔄 Em andamento")&gt;0,"Em andamento","Não iniciado"))))))))</f>
        <v/>
      </c>
      <c r="K494" s="229" t="str">
        <f>IF($B494="","",IF($I494&lt;&gt;"Concluído","Não iniciado",IF(AND($J494&lt;&gt;"Concluído",$J494&lt;&gt;"N/A"),"Não iniciado",IF(COUNTIF(Lançamentos!$B$3:$B$1001,$B494)=0,"Bloqueado",IF('E7 — Entrega'!$D476="","Bloqueado",IF(COUNTIF('E7 — Entrega'!$E476:$H476,"⛔ Bloqueado")&gt;0,"Bloqueado",IF(COUNTIF('E7 — Entrega'!$E476:$H476,"✔ Concluído")=4,"Concluído",IF(COUNTIF('E7 — Entrega'!$E476:$H476,"✔ Concluído")+COUNTIF('E7 — Entrega'!$E476:$H476,"🔄 Em andamento")&gt;0,"Em andamento","Não iniciado"))))))))</f>
        <v/>
      </c>
      <c r="L494" s="229" t="str">
        <f>IF($B494="","",IF($K494&lt;&gt;"Concluído","Não iniciado",IF(OR(COUNTIF('E08 — Estabilização Hypercare'!$E476:$J476,"⛔ Bloqueado")&gt;0,'E08 — Estabilização Hypercare'!$N476="⛔ Incidente Crítico — Encerramento Bloqueado",AND('E08 — Estabilização Hypercare'!$N476="🆕 Evolução Identificada — Nova Demanda Aberta",'E08 — Estabilização Hypercare'!$U476="")),"Bloqueado",IF(AND('E08 — Estabilização Hypercare'!$E476="✔ Concluído",'E08 — Estabilização Hypercare'!$F476="✔ Concluído",'E08 — Estabilização Hypercare'!$G476="✔ Concluído",OR('E08 — Estabilização Hypercare'!$H476="✔ Concluído",'E08 — Estabilização Hypercare'!$H476="N/A"),'E08 — Estabilização Hypercare'!$I476="✔ Concluído",'E08 — Estabilização Hypercare'!$J476="✔ Concluído",OR('E08 — Estabilização Hypercare'!$N476="✅ Estável — Demanda Encerrada",AND('E08 — Estabilização Hypercare'!$N476="🆕 Evolução Identificada — Nova Demanda Aberta",'E08 — Estabilização Hypercare'!$U476&lt;&gt;""))),"Concluído",IF(OR(COUNTIF('E08 — Estabilização Hypercare'!$E476:$J476,"✔ Concluído")&gt;0,COUNTIF('E08 — Estabilização Hypercare'!$E476:$J476,"🔄 Em andamento")&gt;0,'E08 — Estabilização Hypercare'!$N476&lt;&gt;""),"Em andamento","Não iniciado")))))</f>
        <v/>
      </c>
      <c r="M494" s="232" t="str" cm="1">
        <f t="array" ref="M494">IF(B494="","",_xlfn.IFS(E494&lt;&gt;"Concluído","E1 — Solicitação",F494&lt;&gt;"Concluído","E2 — Triagem",G494&lt;&gt;"Concluído","E3 — Levantamento ⚠",H494&lt;&gt;"Concluído","E4 — Execução",I494&lt;&gt;"Concluído","E5 — Validação ⚠",AND(J494&lt;&gt;"Concluído",J494&lt;&gt;"N/A"),"E6 — Ajustes",K494&lt;&gt;"Concluído","E7 — Entrega",L494&lt;&gt;"Concluído","E08 — Estabilização / Hypercare",TRUE,"✔ Fluxo concluído"))</f>
        <v/>
      </c>
      <c r="N494" s="233" t="str">
        <f t="shared" si="8"/>
        <v/>
      </c>
      <c r="O494" s="230"/>
    </row>
    <row r="495" spans="2:15" x14ac:dyDescent="0.35">
      <c r="B495" s="229" t="str">
        <f>IF(Lançamentos!$B472="","",Lançamentos!$B472)</f>
        <v/>
      </c>
      <c r="C495" s="231" t="str">
        <f>IF($B495="","",Lançamentos!$J472)</f>
        <v/>
      </c>
      <c r="D495" s="231" t="str">
        <f>IF($B495="","",Lançamentos!$H472)</f>
        <v/>
      </c>
      <c r="E495" s="229" t="str">
        <f>IF($B495="","",IF(COUNTIF(Lançamentos!$B$3:$B$1001,$B495)=0,"Bloqueado",IF(COUNTIF('E1 — Solicitação'!$E477:$L477,"⛔ Bloqueado")&gt;0,"Bloqueado",IF(COUNTIF('E1 — Solicitação'!$E477:$L477,"N/A")=8,"Bloqueado",IF(COUNTIF('E1 — Solicitação'!$E477:$L477,"✔ Concluído")+COUNTIF('E1 — Solicitação'!$E477:$L477,"N/A")=8,"Concluído",IF(COUNTIF('E1 — Solicitação'!$E477:$L477,"✔ Concluído")+COUNTIF('E1 — Solicitação'!$E477:$L477,"🔄 Em andamento")&gt;0,"Em andamento","Não iniciado"))))))</f>
        <v/>
      </c>
      <c r="F495" s="229" t="str">
        <f>IF($B495="","",IF($E495&lt;&gt;"Concluído","Não iniciado",IF(COUNTIF(Lançamentos!$B$3:$B$1001,$B495)=0,"Bloqueado",IF('E2 — Triagem'!$D477="","Bloqueado",IF(COUNTIF('E2 — Triagem'!$E477:$L477,"N/A")=8,"Bloqueado",IF(COUNTIF('E2 — Triagem'!$E477:$L477,"⛔ Bloqueado")&gt;0,"Bloqueado",IF(COUNTIF('E2 — Triagem'!$E477:$L477,"✔ Concluído")+COUNTIF('E2 — Triagem'!$E477:$L477,"N/A")=8,"Concluído",IF(COUNTIF('E2 — Triagem'!$E477:$L477,"✔ Concluído")+COUNTIF('E2 — Triagem'!$E477:$L477,"🔄 Em andamento")&gt;0,"Em andamento","Não iniciado"))))))))</f>
        <v/>
      </c>
      <c r="G495" s="229" t="str">
        <f>IF($B495="","",IF($F495&lt;&gt;"Concluído","Não iniciado",IF(COUNTIF(Lançamentos!$B$3:$B$1001,$B495)=0,"Bloqueado",IF('E3 — Levantamento'!$D477="","Bloqueado",IF(COUNTIF('E3 — Levantamento'!$E477:$I477,"⛔ Bloqueado")&gt;0,"Bloqueado",IF('E3 — Levantamento'!$I477="N/A","Bloqueado",IF(COUNTIF('E3 — Levantamento'!$E477:$I477,"✔ Concluído")=5,"Concluído",IF(COUNTIF('E3 — Levantamento'!$E477:$I477,"✔ Concluído")+COUNTIF('E3 — Levantamento'!$E477:$I477,"🔄 Em andamento")&gt;0,"Em andamento","Não iniciado"))))))))</f>
        <v/>
      </c>
      <c r="H495" s="229" t="str">
        <f>IF($B495="","",IF($G495&lt;&gt;"Concluído","Não iniciado",IF(COUNTIF(Lançamentos!$B$3:$B$1001,$B495)=0,"Bloqueado",IF('E4 — Execução'!$D477="","Bloqueado",IF(COUNTIF('E4 — Execução'!$E477:$K477,"⛔ Bloqueado")&gt;0,"Bloqueado",IF(COUNTIF('E4 — Execução'!$E477:$K477,"✔ Concluído")=7,"Concluído",IF(COUNTIF('E4 — Execução'!$E477:$K477,"✔ Concluído")+COUNTIF('E4 — Execução'!$E477:$K477,"🔄 Em andamento")&gt;0,"Em andamento","Não iniciado")))))))</f>
        <v/>
      </c>
      <c r="I495" s="229" t="str">
        <f>IF($B495="","",IF($H495&lt;&gt;"Concluído","Não iniciado",IF(COUNTIF(Lançamentos!$B$3:$B$1001,$B495)=0,"Bloqueado",IF('E5 — Validação'!$D477="","Bloqueado",IF(COUNTIF('E5 — Validação'!$E477:$I477,"⛔ Bloqueado")&gt;0,"Bloqueado",IF('E5 — Validação'!$I477="N/A","Bloqueado",IF(AND('E5 — Validação'!$E477="✔ Concluído",'E5 — Validação'!$F477="✔ Concluído",OR('E5 — Validação'!$G477="✔ Concluído",'E5 — Validação'!$G477="N/A"),'E5 — Validação'!$H477="✔ Concluído",'E5 — Validação'!$I477="✔ Concluído"),"Concluído",IF(COUNTIF('E5 — Validação'!$E477:$I477,"✔ Concluído")+COUNTIF('E5 — Validação'!$E477:$I477,"🔄 Em andamento")&gt;0,"Em andamento","Não iniciado"))))))))</f>
        <v/>
      </c>
      <c r="J495" s="229" t="str">
        <f>IF($B495="","",IF($I495&lt;&gt;"Concluído","Não iniciado",IF('E6 — Ajustes'!$N477="Não","N/A",IF(COUNTIF(Lançamentos!$B$3:$B$1001,$B495)=0,"Bloqueado",IF('E6 — Ajustes'!$D477="","Bloqueado",IF(COUNTIF('E6 — Ajustes'!$E477:$J477,"⛔ Bloqueado")&gt;0,"Bloqueado",IF(AND('E6 — Ajustes'!$E477="✔ Concluído",'E6 — Ajustes'!$F477="✔ Concluído",'E6 — Ajustes'!$G477="✔ Concluído",'E6 — Ajustes'!$H477="✔ Concluído",OR('E6 — Ajustes'!$I477="✔ Concluído",'E6 — Ajustes'!$I477="N/A"),'E6 — Ajustes'!$J477="✔ Concluído"),"Concluído",IF(COUNTIF('E6 — Ajustes'!$E477:$J477,"✔ Concluído")+COUNTIF('E6 — Ajustes'!$E477:$J477,"🔄 Em andamento")&gt;0,"Em andamento","Não iniciado"))))))))</f>
        <v/>
      </c>
      <c r="K495" s="229" t="str">
        <f>IF($B495="","",IF($I495&lt;&gt;"Concluído","Não iniciado",IF(AND($J495&lt;&gt;"Concluído",$J495&lt;&gt;"N/A"),"Não iniciado",IF(COUNTIF(Lançamentos!$B$3:$B$1001,$B495)=0,"Bloqueado",IF('E7 — Entrega'!$D477="","Bloqueado",IF(COUNTIF('E7 — Entrega'!$E477:$H477,"⛔ Bloqueado")&gt;0,"Bloqueado",IF(COUNTIF('E7 — Entrega'!$E477:$H477,"✔ Concluído")=4,"Concluído",IF(COUNTIF('E7 — Entrega'!$E477:$H477,"✔ Concluído")+COUNTIF('E7 — Entrega'!$E477:$H477,"🔄 Em andamento")&gt;0,"Em andamento","Não iniciado"))))))))</f>
        <v/>
      </c>
      <c r="L495" s="229" t="str">
        <f>IF($B495="","",IF($K495&lt;&gt;"Concluído","Não iniciado",IF(OR(COUNTIF('E08 — Estabilização Hypercare'!$E477:$J477,"⛔ Bloqueado")&gt;0,'E08 — Estabilização Hypercare'!$N477="⛔ Incidente Crítico — Encerramento Bloqueado",AND('E08 — Estabilização Hypercare'!$N477="🆕 Evolução Identificada — Nova Demanda Aberta",'E08 — Estabilização Hypercare'!$U477="")),"Bloqueado",IF(AND('E08 — Estabilização Hypercare'!$E477="✔ Concluído",'E08 — Estabilização Hypercare'!$F477="✔ Concluído",'E08 — Estabilização Hypercare'!$G477="✔ Concluído",OR('E08 — Estabilização Hypercare'!$H477="✔ Concluído",'E08 — Estabilização Hypercare'!$H477="N/A"),'E08 — Estabilização Hypercare'!$I477="✔ Concluído",'E08 — Estabilização Hypercare'!$J477="✔ Concluído",OR('E08 — Estabilização Hypercare'!$N477="✅ Estável — Demanda Encerrada",AND('E08 — Estabilização Hypercare'!$N477="🆕 Evolução Identificada — Nova Demanda Aberta",'E08 — Estabilização Hypercare'!$U477&lt;&gt;""))),"Concluído",IF(OR(COUNTIF('E08 — Estabilização Hypercare'!$E477:$J477,"✔ Concluído")&gt;0,COUNTIF('E08 — Estabilização Hypercare'!$E477:$J477,"🔄 Em andamento")&gt;0,'E08 — Estabilização Hypercare'!$N477&lt;&gt;""),"Em andamento","Não iniciado")))))</f>
        <v/>
      </c>
      <c r="M495" s="232" t="str" cm="1">
        <f t="array" ref="M495">IF(B495="","",_xlfn.IFS(E495&lt;&gt;"Concluído","E1 — Solicitação",F495&lt;&gt;"Concluído","E2 — Triagem",G495&lt;&gt;"Concluído","E3 — Levantamento ⚠",H495&lt;&gt;"Concluído","E4 — Execução",I495&lt;&gt;"Concluído","E5 — Validação ⚠",AND(J495&lt;&gt;"Concluído",J495&lt;&gt;"N/A"),"E6 — Ajustes",K495&lt;&gt;"Concluído","E7 — Entrega",L495&lt;&gt;"Concluído","E08 — Estabilização / Hypercare",TRUE,"✔ Fluxo concluído"))</f>
        <v/>
      </c>
      <c r="N495" s="233" t="str">
        <f t="shared" si="8"/>
        <v/>
      </c>
      <c r="O495" s="230"/>
    </row>
    <row r="496" spans="2:15" x14ac:dyDescent="0.35">
      <c r="B496" s="229" t="str">
        <f>IF(Lançamentos!$B473="","",Lançamentos!$B473)</f>
        <v/>
      </c>
      <c r="C496" s="231" t="str">
        <f>IF($B496="","",Lançamentos!$J473)</f>
        <v/>
      </c>
      <c r="D496" s="231" t="str">
        <f>IF($B496="","",Lançamentos!$H473)</f>
        <v/>
      </c>
      <c r="E496" s="229" t="str">
        <f>IF($B496="","",IF(COUNTIF(Lançamentos!$B$3:$B$1001,$B496)=0,"Bloqueado",IF(COUNTIF('E1 — Solicitação'!$E478:$L478,"⛔ Bloqueado")&gt;0,"Bloqueado",IF(COUNTIF('E1 — Solicitação'!$E478:$L478,"N/A")=8,"Bloqueado",IF(COUNTIF('E1 — Solicitação'!$E478:$L478,"✔ Concluído")+COUNTIF('E1 — Solicitação'!$E478:$L478,"N/A")=8,"Concluído",IF(COUNTIF('E1 — Solicitação'!$E478:$L478,"✔ Concluído")+COUNTIF('E1 — Solicitação'!$E478:$L478,"🔄 Em andamento")&gt;0,"Em andamento","Não iniciado"))))))</f>
        <v/>
      </c>
      <c r="F496" s="229" t="str">
        <f>IF($B496="","",IF($E496&lt;&gt;"Concluído","Não iniciado",IF(COUNTIF(Lançamentos!$B$3:$B$1001,$B496)=0,"Bloqueado",IF('E2 — Triagem'!$D478="","Bloqueado",IF(COUNTIF('E2 — Triagem'!$E478:$L478,"N/A")=8,"Bloqueado",IF(COUNTIF('E2 — Triagem'!$E478:$L478,"⛔ Bloqueado")&gt;0,"Bloqueado",IF(COUNTIF('E2 — Triagem'!$E478:$L478,"✔ Concluído")+COUNTIF('E2 — Triagem'!$E478:$L478,"N/A")=8,"Concluído",IF(COUNTIF('E2 — Triagem'!$E478:$L478,"✔ Concluído")+COUNTIF('E2 — Triagem'!$E478:$L478,"🔄 Em andamento")&gt;0,"Em andamento","Não iniciado"))))))))</f>
        <v/>
      </c>
      <c r="G496" s="229" t="str">
        <f>IF($B496="","",IF($F496&lt;&gt;"Concluído","Não iniciado",IF(COUNTIF(Lançamentos!$B$3:$B$1001,$B496)=0,"Bloqueado",IF('E3 — Levantamento'!$D478="","Bloqueado",IF(COUNTIF('E3 — Levantamento'!$E478:$I478,"⛔ Bloqueado")&gt;0,"Bloqueado",IF('E3 — Levantamento'!$I478="N/A","Bloqueado",IF(COUNTIF('E3 — Levantamento'!$E478:$I478,"✔ Concluído")=5,"Concluído",IF(COUNTIF('E3 — Levantamento'!$E478:$I478,"✔ Concluído")+COUNTIF('E3 — Levantamento'!$E478:$I478,"🔄 Em andamento")&gt;0,"Em andamento","Não iniciado"))))))))</f>
        <v/>
      </c>
      <c r="H496" s="229" t="str">
        <f>IF($B496="","",IF($G496&lt;&gt;"Concluído","Não iniciado",IF(COUNTIF(Lançamentos!$B$3:$B$1001,$B496)=0,"Bloqueado",IF('E4 — Execução'!$D478="","Bloqueado",IF(COUNTIF('E4 — Execução'!$E478:$K478,"⛔ Bloqueado")&gt;0,"Bloqueado",IF(COUNTIF('E4 — Execução'!$E478:$K478,"✔ Concluído")=7,"Concluído",IF(COUNTIF('E4 — Execução'!$E478:$K478,"✔ Concluído")+COUNTIF('E4 — Execução'!$E478:$K478,"🔄 Em andamento")&gt;0,"Em andamento","Não iniciado")))))))</f>
        <v/>
      </c>
      <c r="I496" s="229" t="str">
        <f>IF($B496="","",IF($H496&lt;&gt;"Concluído","Não iniciado",IF(COUNTIF(Lançamentos!$B$3:$B$1001,$B496)=0,"Bloqueado",IF('E5 — Validação'!$D478="","Bloqueado",IF(COUNTIF('E5 — Validação'!$E478:$I478,"⛔ Bloqueado")&gt;0,"Bloqueado",IF('E5 — Validação'!$I478="N/A","Bloqueado",IF(AND('E5 — Validação'!$E478="✔ Concluído",'E5 — Validação'!$F478="✔ Concluído",OR('E5 — Validação'!$G478="✔ Concluído",'E5 — Validação'!$G478="N/A"),'E5 — Validação'!$H478="✔ Concluído",'E5 — Validação'!$I478="✔ Concluído"),"Concluído",IF(COUNTIF('E5 — Validação'!$E478:$I478,"✔ Concluído")+COUNTIF('E5 — Validação'!$E478:$I478,"🔄 Em andamento")&gt;0,"Em andamento","Não iniciado"))))))))</f>
        <v/>
      </c>
      <c r="J496" s="229" t="str">
        <f>IF($B496="","",IF($I496&lt;&gt;"Concluído","Não iniciado",IF('E6 — Ajustes'!$N478="Não","N/A",IF(COUNTIF(Lançamentos!$B$3:$B$1001,$B496)=0,"Bloqueado",IF('E6 — Ajustes'!$D478="","Bloqueado",IF(COUNTIF('E6 — Ajustes'!$E478:$J478,"⛔ Bloqueado")&gt;0,"Bloqueado",IF(AND('E6 — Ajustes'!$E478="✔ Concluído",'E6 — Ajustes'!$F478="✔ Concluído",'E6 — Ajustes'!$G478="✔ Concluído",'E6 — Ajustes'!$H478="✔ Concluído",OR('E6 — Ajustes'!$I478="✔ Concluído",'E6 — Ajustes'!$I478="N/A"),'E6 — Ajustes'!$J478="✔ Concluído"),"Concluído",IF(COUNTIF('E6 — Ajustes'!$E478:$J478,"✔ Concluído")+COUNTIF('E6 — Ajustes'!$E478:$J478,"🔄 Em andamento")&gt;0,"Em andamento","Não iniciado"))))))))</f>
        <v/>
      </c>
      <c r="K496" s="229" t="str">
        <f>IF($B496="","",IF($I496&lt;&gt;"Concluído","Não iniciado",IF(AND($J496&lt;&gt;"Concluído",$J496&lt;&gt;"N/A"),"Não iniciado",IF(COUNTIF(Lançamentos!$B$3:$B$1001,$B496)=0,"Bloqueado",IF('E7 — Entrega'!$D478="","Bloqueado",IF(COUNTIF('E7 — Entrega'!$E478:$H478,"⛔ Bloqueado")&gt;0,"Bloqueado",IF(COUNTIF('E7 — Entrega'!$E478:$H478,"✔ Concluído")=4,"Concluído",IF(COUNTIF('E7 — Entrega'!$E478:$H478,"✔ Concluído")+COUNTIF('E7 — Entrega'!$E478:$H478,"🔄 Em andamento")&gt;0,"Em andamento","Não iniciado"))))))))</f>
        <v/>
      </c>
      <c r="L496" s="229" t="str">
        <f>IF($B496="","",IF($K496&lt;&gt;"Concluído","Não iniciado",IF(OR(COUNTIF('E08 — Estabilização Hypercare'!$E478:$J478,"⛔ Bloqueado")&gt;0,'E08 — Estabilização Hypercare'!$N478="⛔ Incidente Crítico — Encerramento Bloqueado",AND('E08 — Estabilização Hypercare'!$N478="🆕 Evolução Identificada — Nova Demanda Aberta",'E08 — Estabilização Hypercare'!$U478="")),"Bloqueado",IF(AND('E08 — Estabilização Hypercare'!$E478="✔ Concluído",'E08 — Estabilização Hypercare'!$F478="✔ Concluído",'E08 — Estabilização Hypercare'!$G478="✔ Concluído",OR('E08 — Estabilização Hypercare'!$H478="✔ Concluído",'E08 — Estabilização Hypercare'!$H478="N/A"),'E08 — Estabilização Hypercare'!$I478="✔ Concluído",'E08 — Estabilização Hypercare'!$J478="✔ Concluído",OR('E08 — Estabilização Hypercare'!$N478="✅ Estável — Demanda Encerrada",AND('E08 — Estabilização Hypercare'!$N478="🆕 Evolução Identificada — Nova Demanda Aberta",'E08 — Estabilização Hypercare'!$U478&lt;&gt;""))),"Concluído",IF(OR(COUNTIF('E08 — Estabilização Hypercare'!$E478:$J478,"✔ Concluído")&gt;0,COUNTIF('E08 — Estabilização Hypercare'!$E478:$J478,"🔄 Em andamento")&gt;0,'E08 — Estabilização Hypercare'!$N478&lt;&gt;""),"Em andamento","Não iniciado")))))</f>
        <v/>
      </c>
      <c r="M496" s="232" t="str" cm="1">
        <f t="array" ref="M496">IF(B496="","",_xlfn.IFS(E496&lt;&gt;"Concluído","E1 — Solicitação",F496&lt;&gt;"Concluído","E2 — Triagem",G496&lt;&gt;"Concluído","E3 — Levantamento ⚠",H496&lt;&gt;"Concluído","E4 — Execução",I496&lt;&gt;"Concluído","E5 — Validação ⚠",AND(J496&lt;&gt;"Concluído",J496&lt;&gt;"N/A"),"E6 — Ajustes",K496&lt;&gt;"Concluído","E7 — Entrega",L496&lt;&gt;"Concluído","E08 — Estabilização / Hypercare",TRUE,"✔ Fluxo concluído"))</f>
        <v/>
      </c>
      <c r="N496" s="233" t="str">
        <f t="shared" si="8"/>
        <v/>
      </c>
      <c r="O496" s="230"/>
    </row>
    <row r="497" spans="2:15" x14ac:dyDescent="0.35">
      <c r="B497" s="229" t="str">
        <f>IF(Lançamentos!$B474="","",Lançamentos!$B474)</f>
        <v/>
      </c>
      <c r="C497" s="231" t="str">
        <f>IF($B497="","",Lançamentos!$J474)</f>
        <v/>
      </c>
      <c r="D497" s="231" t="str">
        <f>IF($B497="","",Lançamentos!$H474)</f>
        <v/>
      </c>
      <c r="E497" s="229" t="str">
        <f>IF($B497="","",IF(COUNTIF(Lançamentos!$B$3:$B$1001,$B497)=0,"Bloqueado",IF(COUNTIF('E1 — Solicitação'!$E479:$L479,"⛔ Bloqueado")&gt;0,"Bloqueado",IF(COUNTIF('E1 — Solicitação'!$E479:$L479,"N/A")=8,"Bloqueado",IF(COUNTIF('E1 — Solicitação'!$E479:$L479,"✔ Concluído")+COUNTIF('E1 — Solicitação'!$E479:$L479,"N/A")=8,"Concluído",IF(COUNTIF('E1 — Solicitação'!$E479:$L479,"✔ Concluído")+COUNTIF('E1 — Solicitação'!$E479:$L479,"🔄 Em andamento")&gt;0,"Em andamento","Não iniciado"))))))</f>
        <v/>
      </c>
      <c r="F497" s="229" t="str">
        <f>IF($B497="","",IF($E497&lt;&gt;"Concluído","Não iniciado",IF(COUNTIF(Lançamentos!$B$3:$B$1001,$B497)=0,"Bloqueado",IF('E2 — Triagem'!$D479="","Bloqueado",IF(COUNTIF('E2 — Triagem'!$E479:$L479,"N/A")=8,"Bloqueado",IF(COUNTIF('E2 — Triagem'!$E479:$L479,"⛔ Bloqueado")&gt;0,"Bloqueado",IF(COUNTIF('E2 — Triagem'!$E479:$L479,"✔ Concluído")+COUNTIF('E2 — Triagem'!$E479:$L479,"N/A")=8,"Concluído",IF(COUNTIF('E2 — Triagem'!$E479:$L479,"✔ Concluído")+COUNTIF('E2 — Triagem'!$E479:$L479,"🔄 Em andamento")&gt;0,"Em andamento","Não iniciado"))))))))</f>
        <v/>
      </c>
      <c r="G497" s="229" t="str">
        <f>IF($B497="","",IF($F497&lt;&gt;"Concluído","Não iniciado",IF(COUNTIF(Lançamentos!$B$3:$B$1001,$B497)=0,"Bloqueado",IF('E3 — Levantamento'!$D479="","Bloqueado",IF(COUNTIF('E3 — Levantamento'!$E479:$I479,"⛔ Bloqueado")&gt;0,"Bloqueado",IF('E3 — Levantamento'!$I479="N/A","Bloqueado",IF(COUNTIF('E3 — Levantamento'!$E479:$I479,"✔ Concluído")=5,"Concluído",IF(COUNTIF('E3 — Levantamento'!$E479:$I479,"✔ Concluído")+COUNTIF('E3 — Levantamento'!$E479:$I479,"🔄 Em andamento")&gt;0,"Em andamento","Não iniciado"))))))))</f>
        <v/>
      </c>
      <c r="H497" s="229" t="str">
        <f>IF($B497="","",IF($G497&lt;&gt;"Concluído","Não iniciado",IF(COUNTIF(Lançamentos!$B$3:$B$1001,$B497)=0,"Bloqueado",IF('E4 — Execução'!$D479="","Bloqueado",IF(COUNTIF('E4 — Execução'!$E479:$K479,"⛔ Bloqueado")&gt;0,"Bloqueado",IF(COUNTIF('E4 — Execução'!$E479:$K479,"✔ Concluído")=7,"Concluído",IF(COUNTIF('E4 — Execução'!$E479:$K479,"✔ Concluído")+COUNTIF('E4 — Execução'!$E479:$K479,"🔄 Em andamento")&gt;0,"Em andamento","Não iniciado")))))))</f>
        <v/>
      </c>
      <c r="I497" s="229" t="str">
        <f>IF($B497="","",IF($H497&lt;&gt;"Concluído","Não iniciado",IF(COUNTIF(Lançamentos!$B$3:$B$1001,$B497)=0,"Bloqueado",IF('E5 — Validação'!$D479="","Bloqueado",IF(COUNTIF('E5 — Validação'!$E479:$I479,"⛔ Bloqueado")&gt;0,"Bloqueado",IF('E5 — Validação'!$I479="N/A","Bloqueado",IF(AND('E5 — Validação'!$E479="✔ Concluído",'E5 — Validação'!$F479="✔ Concluído",OR('E5 — Validação'!$G479="✔ Concluído",'E5 — Validação'!$G479="N/A"),'E5 — Validação'!$H479="✔ Concluído",'E5 — Validação'!$I479="✔ Concluído"),"Concluído",IF(COUNTIF('E5 — Validação'!$E479:$I479,"✔ Concluído")+COUNTIF('E5 — Validação'!$E479:$I479,"🔄 Em andamento")&gt;0,"Em andamento","Não iniciado"))))))))</f>
        <v/>
      </c>
      <c r="J497" s="229" t="str">
        <f>IF($B497="","",IF($I497&lt;&gt;"Concluído","Não iniciado",IF('E6 — Ajustes'!$N479="Não","N/A",IF(COUNTIF(Lançamentos!$B$3:$B$1001,$B497)=0,"Bloqueado",IF('E6 — Ajustes'!$D479="","Bloqueado",IF(COUNTIF('E6 — Ajustes'!$E479:$J479,"⛔ Bloqueado")&gt;0,"Bloqueado",IF(AND('E6 — Ajustes'!$E479="✔ Concluído",'E6 — Ajustes'!$F479="✔ Concluído",'E6 — Ajustes'!$G479="✔ Concluído",'E6 — Ajustes'!$H479="✔ Concluído",OR('E6 — Ajustes'!$I479="✔ Concluído",'E6 — Ajustes'!$I479="N/A"),'E6 — Ajustes'!$J479="✔ Concluído"),"Concluído",IF(COUNTIF('E6 — Ajustes'!$E479:$J479,"✔ Concluído")+COUNTIF('E6 — Ajustes'!$E479:$J479,"🔄 Em andamento")&gt;0,"Em andamento","Não iniciado"))))))))</f>
        <v/>
      </c>
      <c r="K497" s="229" t="str">
        <f>IF($B497="","",IF($I497&lt;&gt;"Concluído","Não iniciado",IF(AND($J497&lt;&gt;"Concluído",$J497&lt;&gt;"N/A"),"Não iniciado",IF(COUNTIF(Lançamentos!$B$3:$B$1001,$B497)=0,"Bloqueado",IF('E7 — Entrega'!$D479="","Bloqueado",IF(COUNTIF('E7 — Entrega'!$E479:$H479,"⛔ Bloqueado")&gt;0,"Bloqueado",IF(COUNTIF('E7 — Entrega'!$E479:$H479,"✔ Concluído")=4,"Concluído",IF(COUNTIF('E7 — Entrega'!$E479:$H479,"✔ Concluído")+COUNTIF('E7 — Entrega'!$E479:$H479,"🔄 Em andamento")&gt;0,"Em andamento","Não iniciado"))))))))</f>
        <v/>
      </c>
      <c r="L497" s="229" t="str">
        <f>IF($B497="","",IF($K497&lt;&gt;"Concluído","Não iniciado",IF(OR(COUNTIF('E08 — Estabilização Hypercare'!$E479:$J479,"⛔ Bloqueado")&gt;0,'E08 — Estabilização Hypercare'!$N479="⛔ Incidente Crítico — Encerramento Bloqueado",AND('E08 — Estabilização Hypercare'!$N479="🆕 Evolução Identificada — Nova Demanda Aberta",'E08 — Estabilização Hypercare'!$U479="")),"Bloqueado",IF(AND('E08 — Estabilização Hypercare'!$E479="✔ Concluído",'E08 — Estabilização Hypercare'!$F479="✔ Concluído",'E08 — Estabilização Hypercare'!$G479="✔ Concluído",OR('E08 — Estabilização Hypercare'!$H479="✔ Concluído",'E08 — Estabilização Hypercare'!$H479="N/A"),'E08 — Estabilização Hypercare'!$I479="✔ Concluído",'E08 — Estabilização Hypercare'!$J479="✔ Concluído",OR('E08 — Estabilização Hypercare'!$N479="✅ Estável — Demanda Encerrada",AND('E08 — Estabilização Hypercare'!$N479="🆕 Evolução Identificada — Nova Demanda Aberta",'E08 — Estabilização Hypercare'!$U479&lt;&gt;""))),"Concluído",IF(OR(COUNTIF('E08 — Estabilização Hypercare'!$E479:$J479,"✔ Concluído")&gt;0,COUNTIF('E08 — Estabilização Hypercare'!$E479:$J479,"🔄 Em andamento")&gt;0,'E08 — Estabilização Hypercare'!$N479&lt;&gt;""),"Em andamento","Não iniciado")))))</f>
        <v/>
      </c>
      <c r="M497" s="232" t="str" cm="1">
        <f t="array" ref="M497">IF(B497="","",_xlfn.IFS(E497&lt;&gt;"Concluído","E1 — Solicitação",F497&lt;&gt;"Concluído","E2 — Triagem",G497&lt;&gt;"Concluído","E3 — Levantamento ⚠",H497&lt;&gt;"Concluído","E4 — Execução",I497&lt;&gt;"Concluído","E5 — Validação ⚠",AND(J497&lt;&gt;"Concluído",J497&lt;&gt;"N/A"),"E6 — Ajustes",K497&lt;&gt;"Concluído","E7 — Entrega",L497&lt;&gt;"Concluído","E08 — Estabilização / Hypercare",TRUE,"✔ Fluxo concluído"))</f>
        <v/>
      </c>
      <c r="N497" s="233" t="str">
        <f t="shared" si="8"/>
        <v/>
      </c>
      <c r="O497" s="230"/>
    </row>
    <row r="498" spans="2:15" x14ac:dyDescent="0.35">
      <c r="B498" s="229" t="str">
        <f>IF(Lançamentos!$B475="","",Lançamentos!$B475)</f>
        <v/>
      </c>
      <c r="C498" s="231" t="str">
        <f>IF($B498="","",Lançamentos!$J475)</f>
        <v/>
      </c>
      <c r="D498" s="231" t="str">
        <f>IF($B498="","",Lançamentos!$H475)</f>
        <v/>
      </c>
      <c r="E498" s="229" t="str">
        <f>IF($B498="","",IF(COUNTIF(Lançamentos!$B$3:$B$1001,$B498)=0,"Bloqueado",IF(COUNTIF('E1 — Solicitação'!$E480:$L480,"⛔ Bloqueado")&gt;0,"Bloqueado",IF(COUNTIF('E1 — Solicitação'!$E480:$L480,"N/A")=8,"Bloqueado",IF(COUNTIF('E1 — Solicitação'!$E480:$L480,"✔ Concluído")+COUNTIF('E1 — Solicitação'!$E480:$L480,"N/A")=8,"Concluído",IF(COUNTIF('E1 — Solicitação'!$E480:$L480,"✔ Concluído")+COUNTIF('E1 — Solicitação'!$E480:$L480,"🔄 Em andamento")&gt;0,"Em andamento","Não iniciado"))))))</f>
        <v/>
      </c>
      <c r="F498" s="229" t="str">
        <f>IF($B498="","",IF($E498&lt;&gt;"Concluído","Não iniciado",IF(COUNTIF(Lançamentos!$B$3:$B$1001,$B498)=0,"Bloqueado",IF('E2 — Triagem'!$D480="","Bloqueado",IF(COUNTIF('E2 — Triagem'!$E480:$L480,"N/A")=8,"Bloqueado",IF(COUNTIF('E2 — Triagem'!$E480:$L480,"⛔ Bloqueado")&gt;0,"Bloqueado",IF(COUNTIF('E2 — Triagem'!$E480:$L480,"✔ Concluído")+COUNTIF('E2 — Triagem'!$E480:$L480,"N/A")=8,"Concluído",IF(COUNTIF('E2 — Triagem'!$E480:$L480,"✔ Concluído")+COUNTIF('E2 — Triagem'!$E480:$L480,"🔄 Em andamento")&gt;0,"Em andamento","Não iniciado"))))))))</f>
        <v/>
      </c>
      <c r="G498" s="229" t="str">
        <f>IF($B498="","",IF($F498&lt;&gt;"Concluído","Não iniciado",IF(COUNTIF(Lançamentos!$B$3:$B$1001,$B498)=0,"Bloqueado",IF('E3 — Levantamento'!$D480="","Bloqueado",IF(COUNTIF('E3 — Levantamento'!$E480:$I480,"⛔ Bloqueado")&gt;0,"Bloqueado",IF('E3 — Levantamento'!$I480="N/A","Bloqueado",IF(COUNTIF('E3 — Levantamento'!$E480:$I480,"✔ Concluído")=5,"Concluído",IF(COUNTIF('E3 — Levantamento'!$E480:$I480,"✔ Concluído")+COUNTIF('E3 — Levantamento'!$E480:$I480,"🔄 Em andamento")&gt;0,"Em andamento","Não iniciado"))))))))</f>
        <v/>
      </c>
      <c r="H498" s="229" t="str">
        <f>IF($B498="","",IF($G498&lt;&gt;"Concluído","Não iniciado",IF(COUNTIF(Lançamentos!$B$3:$B$1001,$B498)=0,"Bloqueado",IF('E4 — Execução'!$D480="","Bloqueado",IF(COUNTIF('E4 — Execução'!$E480:$K480,"⛔ Bloqueado")&gt;0,"Bloqueado",IF(COUNTIF('E4 — Execução'!$E480:$K480,"✔ Concluído")=7,"Concluído",IF(COUNTIF('E4 — Execução'!$E480:$K480,"✔ Concluído")+COUNTIF('E4 — Execução'!$E480:$K480,"🔄 Em andamento")&gt;0,"Em andamento","Não iniciado")))))))</f>
        <v/>
      </c>
      <c r="I498" s="229" t="str">
        <f>IF($B498="","",IF($H498&lt;&gt;"Concluído","Não iniciado",IF(COUNTIF(Lançamentos!$B$3:$B$1001,$B498)=0,"Bloqueado",IF('E5 — Validação'!$D480="","Bloqueado",IF(COUNTIF('E5 — Validação'!$E480:$I480,"⛔ Bloqueado")&gt;0,"Bloqueado",IF('E5 — Validação'!$I480="N/A","Bloqueado",IF(AND('E5 — Validação'!$E480="✔ Concluído",'E5 — Validação'!$F480="✔ Concluído",OR('E5 — Validação'!$G480="✔ Concluído",'E5 — Validação'!$G480="N/A"),'E5 — Validação'!$H480="✔ Concluído",'E5 — Validação'!$I480="✔ Concluído"),"Concluído",IF(COUNTIF('E5 — Validação'!$E480:$I480,"✔ Concluído")+COUNTIF('E5 — Validação'!$E480:$I480,"🔄 Em andamento")&gt;0,"Em andamento","Não iniciado"))))))))</f>
        <v/>
      </c>
      <c r="J498" s="229" t="str">
        <f>IF($B498="","",IF($I498&lt;&gt;"Concluído","Não iniciado",IF('E6 — Ajustes'!$N480="Não","N/A",IF(COUNTIF(Lançamentos!$B$3:$B$1001,$B498)=0,"Bloqueado",IF('E6 — Ajustes'!$D480="","Bloqueado",IF(COUNTIF('E6 — Ajustes'!$E480:$J480,"⛔ Bloqueado")&gt;0,"Bloqueado",IF(AND('E6 — Ajustes'!$E480="✔ Concluído",'E6 — Ajustes'!$F480="✔ Concluído",'E6 — Ajustes'!$G480="✔ Concluído",'E6 — Ajustes'!$H480="✔ Concluído",OR('E6 — Ajustes'!$I480="✔ Concluído",'E6 — Ajustes'!$I480="N/A"),'E6 — Ajustes'!$J480="✔ Concluído"),"Concluído",IF(COUNTIF('E6 — Ajustes'!$E480:$J480,"✔ Concluído")+COUNTIF('E6 — Ajustes'!$E480:$J480,"🔄 Em andamento")&gt;0,"Em andamento","Não iniciado"))))))))</f>
        <v/>
      </c>
      <c r="K498" s="229" t="str">
        <f>IF($B498="","",IF($I498&lt;&gt;"Concluído","Não iniciado",IF(AND($J498&lt;&gt;"Concluído",$J498&lt;&gt;"N/A"),"Não iniciado",IF(COUNTIF(Lançamentos!$B$3:$B$1001,$B498)=0,"Bloqueado",IF('E7 — Entrega'!$D480="","Bloqueado",IF(COUNTIF('E7 — Entrega'!$E480:$H480,"⛔ Bloqueado")&gt;0,"Bloqueado",IF(COUNTIF('E7 — Entrega'!$E480:$H480,"✔ Concluído")=4,"Concluído",IF(COUNTIF('E7 — Entrega'!$E480:$H480,"✔ Concluído")+COUNTIF('E7 — Entrega'!$E480:$H480,"🔄 Em andamento")&gt;0,"Em andamento","Não iniciado"))))))))</f>
        <v/>
      </c>
      <c r="L498" s="229" t="str">
        <f>IF($B498="","",IF($K498&lt;&gt;"Concluído","Não iniciado",IF(OR(COUNTIF('E08 — Estabilização Hypercare'!$E480:$J480,"⛔ Bloqueado")&gt;0,'E08 — Estabilização Hypercare'!$N480="⛔ Incidente Crítico — Encerramento Bloqueado",AND('E08 — Estabilização Hypercare'!$N480="🆕 Evolução Identificada — Nova Demanda Aberta",'E08 — Estabilização Hypercare'!$U480="")),"Bloqueado",IF(AND('E08 — Estabilização Hypercare'!$E480="✔ Concluído",'E08 — Estabilização Hypercare'!$F480="✔ Concluído",'E08 — Estabilização Hypercare'!$G480="✔ Concluído",OR('E08 — Estabilização Hypercare'!$H480="✔ Concluído",'E08 — Estabilização Hypercare'!$H480="N/A"),'E08 — Estabilização Hypercare'!$I480="✔ Concluído",'E08 — Estabilização Hypercare'!$J480="✔ Concluído",OR('E08 — Estabilização Hypercare'!$N480="✅ Estável — Demanda Encerrada",AND('E08 — Estabilização Hypercare'!$N480="🆕 Evolução Identificada — Nova Demanda Aberta",'E08 — Estabilização Hypercare'!$U480&lt;&gt;""))),"Concluído",IF(OR(COUNTIF('E08 — Estabilização Hypercare'!$E480:$J480,"✔ Concluído")&gt;0,COUNTIF('E08 — Estabilização Hypercare'!$E480:$J480,"🔄 Em andamento")&gt;0,'E08 — Estabilização Hypercare'!$N480&lt;&gt;""),"Em andamento","Não iniciado")))))</f>
        <v/>
      </c>
      <c r="M498" s="232" t="str" cm="1">
        <f t="array" ref="M498">IF(B498="","",_xlfn.IFS(E498&lt;&gt;"Concluído","E1 — Solicitação",F498&lt;&gt;"Concluído","E2 — Triagem",G498&lt;&gt;"Concluído","E3 — Levantamento ⚠",H498&lt;&gt;"Concluído","E4 — Execução",I498&lt;&gt;"Concluído","E5 — Validação ⚠",AND(J498&lt;&gt;"Concluído",J498&lt;&gt;"N/A"),"E6 — Ajustes",K498&lt;&gt;"Concluído","E7 — Entrega",L498&lt;&gt;"Concluído","E08 — Estabilização / Hypercare",TRUE,"✔ Fluxo concluído"))</f>
        <v/>
      </c>
      <c r="N498" s="233" t="str">
        <f t="shared" si="8"/>
        <v/>
      </c>
      <c r="O498" s="230"/>
    </row>
    <row r="499" spans="2:15" x14ac:dyDescent="0.35">
      <c r="B499" s="229" t="str">
        <f>IF(Lançamentos!$B476="","",Lançamentos!$B476)</f>
        <v/>
      </c>
      <c r="C499" s="231" t="str">
        <f>IF($B499="","",Lançamentos!$J476)</f>
        <v/>
      </c>
      <c r="D499" s="231" t="str">
        <f>IF($B499="","",Lançamentos!$H476)</f>
        <v/>
      </c>
      <c r="E499" s="229" t="str">
        <f>IF($B499="","",IF(COUNTIF(Lançamentos!$B$3:$B$1001,$B499)=0,"Bloqueado",IF(COUNTIF('E1 — Solicitação'!$E481:$L481,"⛔ Bloqueado")&gt;0,"Bloqueado",IF(COUNTIF('E1 — Solicitação'!$E481:$L481,"N/A")=8,"Bloqueado",IF(COUNTIF('E1 — Solicitação'!$E481:$L481,"✔ Concluído")+COUNTIF('E1 — Solicitação'!$E481:$L481,"N/A")=8,"Concluído",IF(COUNTIF('E1 — Solicitação'!$E481:$L481,"✔ Concluído")+COUNTIF('E1 — Solicitação'!$E481:$L481,"🔄 Em andamento")&gt;0,"Em andamento","Não iniciado"))))))</f>
        <v/>
      </c>
      <c r="F499" s="229" t="str">
        <f>IF($B499="","",IF($E499&lt;&gt;"Concluído","Não iniciado",IF(COUNTIF(Lançamentos!$B$3:$B$1001,$B499)=0,"Bloqueado",IF('E2 — Triagem'!$D481="","Bloqueado",IF(COUNTIF('E2 — Triagem'!$E481:$L481,"N/A")=8,"Bloqueado",IF(COUNTIF('E2 — Triagem'!$E481:$L481,"⛔ Bloqueado")&gt;0,"Bloqueado",IF(COUNTIF('E2 — Triagem'!$E481:$L481,"✔ Concluído")+COUNTIF('E2 — Triagem'!$E481:$L481,"N/A")=8,"Concluído",IF(COUNTIF('E2 — Triagem'!$E481:$L481,"✔ Concluído")+COUNTIF('E2 — Triagem'!$E481:$L481,"🔄 Em andamento")&gt;0,"Em andamento","Não iniciado"))))))))</f>
        <v/>
      </c>
      <c r="G499" s="229" t="str">
        <f>IF($B499="","",IF($F499&lt;&gt;"Concluído","Não iniciado",IF(COUNTIF(Lançamentos!$B$3:$B$1001,$B499)=0,"Bloqueado",IF('E3 — Levantamento'!$D481="","Bloqueado",IF(COUNTIF('E3 — Levantamento'!$E481:$I481,"⛔ Bloqueado")&gt;0,"Bloqueado",IF('E3 — Levantamento'!$I481="N/A","Bloqueado",IF(COUNTIF('E3 — Levantamento'!$E481:$I481,"✔ Concluído")=5,"Concluído",IF(COUNTIF('E3 — Levantamento'!$E481:$I481,"✔ Concluído")+COUNTIF('E3 — Levantamento'!$E481:$I481,"🔄 Em andamento")&gt;0,"Em andamento","Não iniciado"))))))))</f>
        <v/>
      </c>
      <c r="H499" s="229" t="str">
        <f>IF($B499="","",IF($G499&lt;&gt;"Concluído","Não iniciado",IF(COUNTIF(Lançamentos!$B$3:$B$1001,$B499)=0,"Bloqueado",IF('E4 — Execução'!$D481="","Bloqueado",IF(COUNTIF('E4 — Execução'!$E481:$K481,"⛔ Bloqueado")&gt;0,"Bloqueado",IF(COUNTIF('E4 — Execução'!$E481:$K481,"✔ Concluído")=7,"Concluído",IF(COUNTIF('E4 — Execução'!$E481:$K481,"✔ Concluído")+COUNTIF('E4 — Execução'!$E481:$K481,"🔄 Em andamento")&gt;0,"Em andamento","Não iniciado")))))))</f>
        <v/>
      </c>
      <c r="I499" s="229" t="str">
        <f>IF($B499="","",IF($H499&lt;&gt;"Concluído","Não iniciado",IF(COUNTIF(Lançamentos!$B$3:$B$1001,$B499)=0,"Bloqueado",IF('E5 — Validação'!$D481="","Bloqueado",IF(COUNTIF('E5 — Validação'!$E481:$I481,"⛔ Bloqueado")&gt;0,"Bloqueado",IF('E5 — Validação'!$I481="N/A","Bloqueado",IF(AND('E5 — Validação'!$E481="✔ Concluído",'E5 — Validação'!$F481="✔ Concluído",OR('E5 — Validação'!$G481="✔ Concluído",'E5 — Validação'!$G481="N/A"),'E5 — Validação'!$H481="✔ Concluído",'E5 — Validação'!$I481="✔ Concluído"),"Concluído",IF(COUNTIF('E5 — Validação'!$E481:$I481,"✔ Concluído")+COUNTIF('E5 — Validação'!$E481:$I481,"🔄 Em andamento")&gt;0,"Em andamento","Não iniciado"))))))))</f>
        <v/>
      </c>
      <c r="J499" s="229" t="str">
        <f>IF($B499="","",IF($I499&lt;&gt;"Concluído","Não iniciado",IF('E6 — Ajustes'!$N481="Não","N/A",IF(COUNTIF(Lançamentos!$B$3:$B$1001,$B499)=0,"Bloqueado",IF('E6 — Ajustes'!$D481="","Bloqueado",IF(COUNTIF('E6 — Ajustes'!$E481:$J481,"⛔ Bloqueado")&gt;0,"Bloqueado",IF(AND('E6 — Ajustes'!$E481="✔ Concluído",'E6 — Ajustes'!$F481="✔ Concluído",'E6 — Ajustes'!$G481="✔ Concluído",'E6 — Ajustes'!$H481="✔ Concluído",OR('E6 — Ajustes'!$I481="✔ Concluído",'E6 — Ajustes'!$I481="N/A"),'E6 — Ajustes'!$J481="✔ Concluído"),"Concluído",IF(COUNTIF('E6 — Ajustes'!$E481:$J481,"✔ Concluído")+COUNTIF('E6 — Ajustes'!$E481:$J481,"🔄 Em andamento")&gt;0,"Em andamento","Não iniciado"))))))))</f>
        <v/>
      </c>
      <c r="K499" s="229" t="str">
        <f>IF($B499="","",IF($I499&lt;&gt;"Concluído","Não iniciado",IF(AND($J499&lt;&gt;"Concluído",$J499&lt;&gt;"N/A"),"Não iniciado",IF(COUNTIF(Lançamentos!$B$3:$B$1001,$B499)=0,"Bloqueado",IF('E7 — Entrega'!$D481="","Bloqueado",IF(COUNTIF('E7 — Entrega'!$E481:$H481,"⛔ Bloqueado")&gt;0,"Bloqueado",IF(COUNTIF('E7 — Entrega'!$E481:$H481,"✔ Concluído")=4,"Concluído",IF(COUNTIF('E7 — Entrega'!$E481:$H481,"✔ Concluído")+COUNTIF('E7 — Entrega'!$E481:$H481,"🔄 Em andamento")&gt;0,"Em andamento","Não iniciado"))))))))</f>
        <v/>
      </c>
      <c r="L499" s="229" t="str">
        <f>IF($B499="","",IF($K499&lt;&gt;"Concluído","Não iniciado",IF(OR(COUNTIF('E08 — Estabilização Hypercare'!$E481:$J481,"⛔ Bloqueado")&gt;0,'E08 — Estabilização Hypercare'!$N481="⛔ Incidente Crítico — Encerramento Bloqueado",AND('E08 — Estabilização Hypercare'!$N481="🆕 Evolução Identificada — Nova Demanda Aberta",'E08 — Estabilização Hypercare'!$U481="")),"Bloqueado",IF(AND('E08 — Estabilização Hypercare'!$E481="✔ Concluído",'E08 — Estabilização Hypercare'!$F481="✔ Concluído",'E08 — Estabilização Hypercare'!$G481="✔ Concluído",OR('E08 — Estabilização Hypercare'!$H481="✔ Concluído",'E08 — Estabilização Hypercare'!$H481="N/A"),'E08 — Estabilização Hypercare'!$I481="✔ Concluído",'E08 — Estabilização Hypercare'!$J481="✔ Concluído",OR('E08 — Estabilização Hypercare'!$N481="✅ Estável — Demanda Encerrada",AND('E08 — Estabilização Hypercare'!$N481="🆕 Evolução Identificada — Nova Demanda Aberta",'E08 — Estabilização Hypercare'!$U481&lt;&gt;""))),"Concluído",IF(OR(COUNTIF('E08 — Estabilização Hypercare'!$E481:$J481,"✔ Concluído")&gt;0,COUNTIF('E08 — Estabilização Hypercare'!$E481:$J481,"🔄 Em andamento")&gt;0,'E08 — Estabilização Hypercare'!$N481&lt;&gt;""),"Em andamento","Não iniciado")))))</f>
        <v/>
      </c>
      <c r="M499" s="232" t="str" cm="1">
        <f t="array" ref="M499">IF(B499="","",_xlfn.IFS(E499&lt;&gt;"Concluído","E1 — Solicitação",F499&lt;&gt;"Concluído","E2 — Triagem",G499&lt;&gt;"Concluído","E3 — Levantamento ⚠",H499&lt;&gt;"Concluído","E4 — Execução",I499&lt;&gt;"Concluído","E5 — Validação ⚠",AND(J499&lt;&gt;"Concluído",J499&lt;&gt;"N/A"),"E6 — Ajustes",K499&lt;&gt;"Concluído","E7 — Entrega",L499&lt;&gt;"Concluído","E08 — Estabilização / Hypercare",TRUE,"✔ Fluxo concluído"))</f>
        <v/>
      </c>
      <c r="N499" s="233" t="str">
        <f t="shared" si="8"/>
        <v/>
      </c>
      <c r="O499" s="230"/>
    </row>
    <row r="500" spans="2:15" x14ac:dyDescent="0.35">
      <c r="B500" s="229" t="str">
        <f>IF(Lançamentos!$B477="","",Lançamentos!$B477)</f>
        <v/>
      </c>
      <c r="C500" s="231" t="str">
        <f>IF($B500="","",Lançamentos!$J477)</f>
        <v/>
      </c>
      <c r="D500" s="231" t="str">
        <f>IF($B500="","",Lançamentos!$H477)</f>
        <v/>
      </c>
      <c r="E500" s="229" t="str">
        <f>IF($B500="","",IF(COUNTIF(Lançamentos!$B$3:$B$1001,$B500)=0,"Bloqueado",IF(COUNTIF('E1 — Solicitação'!$E482:$L482,"⛔ Bloqueado")&gt;0,"Bloqueado",IF(COUNTIF('E1 — Solicitação'!$E482:$L482,"N/A")=8,"Bloqueado",IF(COUNTIF('E1 — Solicitação'!$E482:$L482,"✔ Concluído")+COUNTIF('E1 — Solicitação'!$E482:$L482,"N/A")=8,"Concluído",IF(COUNTIF('E1 — Solicitação'!$E482:$L482,"✔ Concluído")+COUNTIF('E1 — Solicitação'!$E482:$L482,"🔄 Em andamento")&gt;0,"Em andamento","Não iniciado"))))))</f>
        <v/>
      </c>
      <c r="F500" s="229" t="str">
        <f>IF($B500="","",IF($E500&lt;&gt;"Concluído","Não iniciado",IF(COUNTIF(Lançamentos!$B$3:$B$1001,$B500)=0,"Bloqueado",IF('E2 — Triagem'!$D482="","Bloqueado",IF(COUNTIF('E2 — Triagem'!$E482:$L482,"N/A")=8,"Bloqueado",IF(COUNTIF('E2 — Triagem'!$E482:$L482,"⛔ Bloqueado")&gt;0,"Bloqueado",IF(COUNTIF('E2 — Triagem'!$E482:$L482,"✔ Concluído")+COUNTIF('E2 — Triagem'!$E482:$L482,"N/A")=8,"Concluído",IF(COUNTIF('E2 — Triagem'!$E482:$L482,"✔ Concluído")+COUNTIF('E2 — Triagem'!$E482:$L482,"🔄 Em andamento")&gt;0,"Em andamento","Não iniciado"))))))))</f>
        <v/>
      </c>
      <c r="G500" s="229" t="str">
        <f>IF($B500="","",IF($F500&lt;&gt;"Concluído","Não iniciado",IF(COUNTIF(Lançamentos!$B$3:$B$1001,$B500)=0,"Bloqueado",IF('E3 — Levantamento'!$D482="","Bloqueado",IF(COUNTIF('E3 — Levantamento'!$E482:$I482,"⛔ Bloqueado")&gt;0,"Bloqueado",IF('E3 — Levantamento'!$I482="N/A","Bloqueado",IF(COUNTIF('E3 — Levantamento'!$E482:$I482,"✔ Concluído")=5,"Concluído",IF(COUNTIF('E3 — Levantamento'!$E482:$I482,"✔ Concluído")+COUNTIF('E3 — Levantamento'!$E482:$I482,"🔄 Em andamento")&gt;0,"Em andamento","Não iniciado"))))))))</f>
        <v/>
      </c>
      <c r="H500" s="229" t="str">
        <f>IF($B500="","",IF($G500&lt;&gt;"Concluído","Não iniciado",IF(COUNTIF(Lançamentos!$B$3:$B$1001,$B500)=0,"Bloqueado",IF('E4 — Execução'!$D482="","Bloqueado",IF(COUNTIF('E4 — Execução'!$E482:$K482,"⛔ Bloqueado")&gt;0,"Bloqueado",IF(COUNTIF('E4 — Execução'!$E482:$K482,"✔ Concluído")=7,"Concluído",IF(COUNTIF('E4 — Execução'!$E482:$K482,"✔ Concluído")+COUNTIF('E4 — Execução'!$E482:$K482,"🔄 Em andamento")&gt;0,"Em andamento","Não iniciado")))))))</f>
        <v/>
      </c>
      <c r="I500" s="229" t="str">
        <f>IF($B500="","",IF($H500&lt;&gt;"Concluído","Não iniciado",IF(COUNTIF(Lançamentos!$B$3:$B$1001,$B500)=0,"Bloqueado",IF('E5 — Validação'!$D482="","Bloqueado",IF(COUNTIF('E5 — Validação'!$E482:$I482,"⛔ Bloqueado")&gt;0,"Bloqueado",IF('E5 — Validação'!$I482="N/A","Bloqueado",IF(AND('E5 — Validação'!$E482="✔ Concluído",'E5 — Validação'!$F482="✔ Concluído",OR('E5 — Validação'!$G482="✔ Concluído",'E5 — Validação'!$G482="N/A"),'E5 — Validação'!$H482="✔ Concluído",'E5 — Validação'!$I482="✔ Concluído"),"Concluído",IF(COUNTIF('E5 — Validação'!$E482:$I482,"✔ Concluído")+COUNTIF('E5 — Validação'!$E482:$I482,"🔄 Em andamento")&gt;0,"Em andamento","Não iniciado"))))))))</f>
        <v/>
      </c>
      <c r="J500" s="229" t="str">
        <f>IF($B500="","",IF($I500&lt;&gt;"Concluído","Não iniciado",IF('E6 — Ajustes'!$N482="Não","N/A",IF(COUNTIF(Lançamentos!$B$3:$B$1001,$B500)=0,"Bloqueado",IF('E6 — Ajustes'!$D482="","Bloqueado",IF(COUNTIF('E6 — Ajustes'!$E482:$J482,"⛔ Bloqueado")&gt;0,"Bloqueado",IF(AND('E6 — Ajustes'!$E482="✔ Concluído",'E6 — Ajustes'!$F482="✔ Concluído",'E6 — Ajustes'!$G482="✔ Concluído",'E6 — Ajustes'!$H482="✔ Concluído",OR('E6 — Ajustes'!$I482="✔ Concluído",'E6 — Ajustes'!$I482="N/A"),'E6 — Ajustes'!$J482="✔ Concluído"),"Concluído",IF(COUNTIF('E6 — Ajustes'!$E482:$J482,"✔ Concluído")+COUNTIF('E6 — Ajustes'!$E482:$J482,"🔄 Em andamento")&gt;0,"Em andamento","Não iniciado"))))))))</f>
        <v/>
      </c>
      <c r="K500" s="229" t="str">
        <f>IF($B500="","",IF($I500&lt;&gt;"Concluído","Não iniciado",IF(AND($J500&lt;&gt;"Concluído",$J500&lt;&gt;"N/A"),"Não iniciado",IF(COUNTIF(Lançamentos!$B$3:$B$1001,$B500)=0,"Bloqueado",IF('E7 — Entrega'!$D482="","Bloqueado",IF(COUNTIF('E7 — Entrega'!$E482:$H482,"⛔ Bloqueado")&gt;0,"Bloqueado",IF(COUNTIF('E7 — Entrega'!$E482:$H482,"✔ Concluído")=4,"Concluído",IF(COUNTIF('E7 — Entrega'!$E482:$H482,"✔ Concluído")+COUNTIF('E7 — Entrega'!$E482:$H482,"🔄 Em andamento")&gt;0,"Em andamento","Não iniciado"))))))))</f>
        <v/>
      </c>
      <c r="L500" s="229" t="str">
        <f>IF($B500="","",IF($K500&lt;&gt;"Concluído","Não iniciado",IF(OR(COUNTIF('E08 — Estabilização Hypercare'!$E482:$J482,"⛔ Bloqueado")&gt;0,'E08 — Estabilização Hypercare'!$N482="⛔ Incidente Crítico — Encerramento Bloqueado",AND('E08 — Estabilização Hypercare'!$N482="🆕 Evolução Identificada — Nova Demanda Aberta",'E08 — Estabilização Hypercare'!$U482="")),"Bloqueado",IF(AND('E08 — Estabilização Hypercare'!$E482="✔ Concluído",'E08 — Estabilização Hypercare'!$F482="✔ Concluído",'E08 — Estabilização Hypercare'!$G482="✔ Concluído",OR('E08 — Estabilização Hypercare'!$H482="✔ Concluído",'E08 — Estabilização Hypercare'!$H482="N/A"),'E08 — Estabilização Hypercare'!$I482="✔ Concluído",'E08 — Estabilização Hypercare'!$J482="✔ Concluído",OR('E08 — Estabilização Hypercare'!$N482="✅ Estável — Demanda Encerrada",AND('E08 — Estabilização Hypercare'!$N482="🆕 Evolução Identificada — Nova Demanda Aberta",'E08 — Estabilização Hypercare'!$U482&lt;&gt;""))),"Concluído",IF(OR(COUNTIF('E08 — Estabilização Hypercare'!$E482:$J482,"✔ Concluído")&gt;0,COUNTIF('E08 — Estabilização Hypercare'!$E482:$J482,"🔄 Em andamento")&gt;0,'E08 — Estabilização Hypercare'!$N482&lt;&gt;""),"Em andamento","Não iniciado")))))</f>
        <v/>
      </c>
      <c r="M500" s="232" t="str" cm="1">
        <f t="array" ref="M500">IF(B500="","",_xlfn.IFS(E500&lt;&gt;"Concluído","E1 — Solicitação",F500&lt;&gt;"Concluído","E2 — Triagem",G500&lt;&gt;"Concluído","E3 — Levantamento ⚠",H500&lt;&gt;"Concluído","E4 — Execução",I500&lt;&gt;"Concluído","E5 — Validação ⚠",AND(J500&lt;&gt;"Concluído",J500&lt;&gt;"N/A"),"E6 — Ajustes",K500&lt;&gt;"Concluído","E7 — Entrega",L500&lt;&gt;"Concluído","E08 — Estabilização / Hypercare",TRUE,"✔ Fluxo concluído"))</f>
        <v/>
      </c>
      <c r="N500" s="233" t="str">
        <f t="shared" si="8"/>
        <v/>
      </c>
      <c r="O500" s="230"/>
    </row>
    <row r="501" spans="2:15" x14ac:dyDescent="0.35">
      <c r="B501" s="229" t="str">
        <f>IF(Lançamentos!$B478="","",Lançamentos!$B478)</f>
        <v/>
      </c>
      <c r="C501" s="231" t="str">
        <f>IF($B501="","",Lançamentos!$J478)</f>
        <v/>
      </c>
      <c r="D501" s="231" t="str">
        <f>IF($B501="","",Lançamentos!$H478)</f>
        <v/>
      </c>
      <c r="E501" s="229" t="str">
        <f>IF($B501="","",IF(COUNTIF(Lançamentos!$B$3:$B$1001,$B501)=0,"Bloqueado",IF(COUNTIF('E1 — Solicitação'!$E483:$L483,"⛔ Bloqueado")&gt;0,"Bloqueado",IF(COUNTIF('E1 — Solicitação'!$E483:$L483,"N/A")=8,"Bloqueado",IF(COUNTIF('E1 — Solicitação'!$E483:$L483,"✔ Concluído")+COUNTIF('E1 — Solicitação'!$E483:$L483,"N/A")=8,"Concluído",IF(COUNTIF('E1 — Solicitação'!$E483:$L483,"✔ Concluído")+COUNTIF('E1 — Solicitação'!$E483:$L483,"🔄 Em andamento")&gt;0,"Em andamento","Não iniciado"))))))</f>
        <v/>
      </c>
      <c r="F501" s="229" t="str">
        <f>IF($B501="","",IF($E501&lt;&gt;"Concluído","Não iniciado",IF(COUNTIF(Lançamentos!$B$3:$B$1001,$B501)=0,"Bloqueado",IF('E2 — Triagem'!$D483="","Bloqueado",IF(COUNTIF('E2 — Triagem'!$E483:$L483,"N/A")=8,"Bloqueado",IF(COUNTIF('E2 — Triagem'!$E483:$L483,"⛔ Bloqueado")&gt;0,"Bloqueado",IF(COUNTIF('E2 — Triagem'!$E483:$L483,"✔ Concluído")+COUNTIF('E2 — Triagem'!$E483:$L483,"N/A")=8,"Concluído",IF(COUNTIF('E2 — Triagem'!$E483:$L483,"✔ Concluído")+COUNTIF('E2 — Triagem'!$E483:$L483,"🔄 Em andamento")&gt;0,"Em andamento","Não iniciado"))))))))</f>
        <v/>
      </c>
      <c r="G501" s="229" t="str">
        <f>IF($B501="","",IF($F501&lt;&gt;"Concluído","Não iniciado",IF(COUNTIF(Lançamentos!$B$3:$B$1001,$B501)=0,"Bloqueado",IF('E3 — Levantamento'!$D483="","Bloqueado",IF(COUNTIF('E3 — Levantamento'!$E483:$I483,"⛔ Bloqueado")&gt;0,"Bloqueado",IF('E3 — Levantamento'!$I483="N/A","Bloqueado",IF(COUNTIF('E3 — Levantamento'!$E483:$I483,"✔ Concluído")=5,"Concluído",IF(COUNTIF('E3 — Levantamento'!$E483:$I483,"✔ Concluído")+COUNTIF('E3 — Levantamento'!$E483:$I483,"🔄 Em andamento")&gt;0,"Em andamento","Não iniciado"))))))))</f>
        <v/>
      </c>
      <c r="H501" s="229" t="str">
        <f>IF($B501="","",IF($G501&lt;&gt;"Concluído","Não iniciado",IF(COUNTIF(Lançamentos!$B$3:$B$1001,$B501)=0,"Bloqueado",IF('E4 — Execução'!$D483="","Bloqueado",IF(COUNTIF('E4 — Execução'!$E483:$K483,"⛔ Bloqueado")&gt;0,"Bloqueado",IF(COUNTIF('E4 — Execução'!$E483:$K483,"✔ Concluído")=7,"Concluído",IF(COUNTIF('E4 — Execução'!$E483:$K483,"✔ Concluído")+COUNTIF('E4 — Execução'!$E483:$K483,"🔄 Em andamento")&gt;0,"Em andamento","Não iniciado")))))))</f>
        <v/>
      </c>
      <c r="I501" s="229" t="str">
        <f>IF($B501="","",IF($H501&lt;&gt;"Concluído","Não iniciado",IF(COUNTIF(Lançamentos!$B$3:$B$1001,$B501)=0,"Bloqueado",IF('E5 — Validação'!$D483="","Bloqueado",IF(COUNTIF('E5 — Validação'!$E483:$I483,"⛔ Bloqueado")&gt;0,"Bloqueado",IF('E5 — Validação'!$I483="N/A","Bloqueado",IF(AND('E5 — Validação'!$E483="✔ Concluído",'E5 — Validação'!$F483="✔ Concluído",OR('E5 — Validação'!$G483="✔ Concluído",'E5 — Validação'!$G483="N/A"),'E5 — Validação'!$H483="✔ Concluído",'E5 — Validação'!$I483="✔ Concluído"),"Concluído",IF(COUNTIF('E5 — Validação'!$E483:$I483,"✔ Concluído")+COUNTIF('E5 — Validação'!$E483:$I483,"🔄 Em andamento")&gt;0,"Em andamento","Não iniciado"))))))))</f>
        <v/>
      </c>
      <c r="J501" s="229" t="str">
        <f>IF($B501="","",IF($I501&lt;&gt;"Concluído","Não iniciado",IF('E6 — Ajustes'!$N483="Não","N/A",IF(COUNTIF(Lançamentos!$B$3:$B$1001,$B501)=0,"Bloqueado",IF('E6 — Ajustes'!$D483="","Bloqueado",IF(COUNTIF('E6 — Ajustes'!$E483:$J483,"⛔ Bloqueado")&gt;0,"Bloqueado",IF(AND('E6 — Ajustes'!$E483="✔ Concluído",'E6 — Ajustes'!$F483="✔ Concluído",'E6 — Ajustes'!$G483="✔ Concluído",'E6 — Ajustes'!$H483="✔ Concluído",OR('E6 — Ajustes'!$I483="✔ Concluído",'E6 — Ajustes'!$I483="N/A"),'E6 — Ajustes'!$J483="✔ Concluído"),"Concluído",IF(COUNTIF('E6 — Ajustes'!$E483:$J483,"✔ Concluído")+COUNTIF('E6 — Ajustes'!$E483:$J483,"🔄 Em andamento")&gt;0,"Em andamento","Não iniciado"))))))))</f>
        <v/>
      </c>
      <c r="K501" s="229" t="str">
        <f>IF($B501="","",IF($I501&lt;&gt;"Concluído","Não iniciado",IF(AND($J501&lt;&gt;"Concluído",$J501&lt;&gt;"N/A"),"Não iniciado",IF(COUNTIF(Lançamentos!$B$3:$B$1001,$B501)=0,"Bloqueado",IF('E7 — Entrega'!$D483="","Bloqueado",IF(COUNTIF('E7 — Entrega'!$E483:$H483,"⛔ Bloqueado")&gt;0,"Bloqueado",IF(COUNTIF('E7 — Entrega'!$E483:$H483,"✔ Concluído")=4,"Concluído",IF(COUNTIF('E7 — Entrega'!$E483:$H483,"✔ Concluído")+COUNTIF('E7 — Entrega'!$E483:$H483,"🔄 Em andamento")&gt;0,"Em andamento","Não iniciado"))))))))</f>
        <v/>
      </c>
      <c r="L501" s="229" t="str">
        <f>IF($B501="","",IF($K501&lt;&gt;"Concluído","Não iniciado",IF(OR(COUNTIF('E08 — Estabilização Hypercare'!$E483:$J483,"⛔ Bloqueado")&gt;0,'E08 — Estabilização Hypercare'!$N483="⛔ Incidente Crítico — Encerramento Bloqueado",AND('E08 — Estabilização Hypercare'!$N483="🆕 Evolução Identificada — Nova Demanda Aberta",'E08 — Estabilização Hypercare'!$U483="")),"Bloqueado",IF(AND('E08 — Estabilização Hypercare'!$E483="✔ Concluído",'E08 — Estabilização Hypercare'!$F483="✔ Concluído",'E08 — Estabilização Hypercare'!$G483="✔ Concluído",OR('E08 — Estabilização Hypercare'!$H483="✔ Concluído",'E08 — Estabilização Hypercare'!$H483="N/A"),'E08 — Estabilização Hypercare'!$I483="✔ Concluído",'E08 — Estabilização Hypercare'!$J483="✔ Concluído",OR('E08 — Estabilização Hypercare'!$N483="✅ Estável — Demanda Encerrada",AND('E08 — Estabilização Hypercare'!$N483="🆕 Evolução Identificada — Nova Demanda Aberta",'E08 — Estabilização Hypercare'!$U483&lt;&gt;""))),"Concluído",IF(OR(COUNTIF('E08 — Estabilização Hypercare'!$E483:$J483,"✔ Concluído")&gt;0,COUNTIF('E08 — Estabilização Hypercare'!$E483:$J483,"🔄 Em andamento")&gt;0,'E08 — Estabilização Hypercare'!$N483&lt;&gt;""),"Em andamento","Não iniciado")))))</f>
        <v/>
      </c>
      <c r="M501" s="232" t="str" cm="1">
        <f t="array" ref="M501">IF(B501="","",_xlfn.IFS(E501&lt;&gt;"Concluído","E1 — Solicitação",F501&lt;&gt;"Concluído","E2 — Triagem",G501&lt;&gt;"Concluído","E3 — Levantamento ⚠",H501&lt;&gt;"Concluído","E4 — Execução",I501&lt;&gt;"Concluído","E5 — Validação ⚠",AND(J501&lt;&gt;"Concluído",J501&lt;&gt;"N/A"),"E6 — Ajustes",K501&lt;&gt;"Concluído","E7 — Entrega",L501&lt;&gt;"Concluído","E08 — Estabilização / Hypercare",TRUE,"✔ Fluxo concluído"))</f>
        <v/>
      </c>
      <c r="N501" s="233" t="str">
        <f t="shared" si="8"/>
        <v/>
      </c>
      <c r="O501" s="230"/>
    </row>
    <row r="502" spans="2:15" x14ac:dyDescent="0.35">
      <c r="B502" s="229" t="str">
        <f>IF(Lançamentos!$B479="","",Lançamentos!$B479)</f>
        <v/>
      </c>
      <c r="C502" s="231" t="str">
        <f>IF($B502="","",Lançamentos!$J479)</f>
        <v/>
      </c>
      <c r="D502" s="231" t="str">
        <f>IF($B502="","",Lançamentos!$H479)</f>
        <v/>
      </c>
      <c r="E502" s="229" t="str">
        <f>IF($B502="","",IF(COUNTIF(Lançamentos!$B$3:$B$1001,$B502)=0,"Bloqueado",IF(COUNTIF('E1 — Solicitação'!$E484:$L484,"⛔ Bloqueado")&gt;0,"Bloqueado",IF(COUNTIF('E1 — Solicitação'!$E484:$L484,"N/A")=8,"Bloqueado",IF(COUNTIF('E1 — Solicitação'!$E484:$L484,"✔ Concluído")+COUNTIF('E1 — Solicitação'!$E484:$L484,"N/A")=8,"Concluído",IF(COUNTIF('E1 — Solicitação'!$E484:$L484,"✔ Concluído")+COUNTIF('E1 — Solicitação'!$E484:$L484,"🔄 Em andamento")&gt;0,"Em andamento","Não iniciado"))))))</f>
        <v/>
      </c>
      <c r="F502" s="229" t="str">
        <f>IF($B502="","",IF($E502&lt;&gt;"Concluído","Não iniciado",IF(COUNTIF(Lançamentos!$B$3:$B$1001,$B502)=0,"Bloqueado",IF('E2 — Triagem'!$D484="","Bloqueado",IF(COUNTIF('E2 — Triagem'!$E484:$L484,"N/A")=8,"Bloqueado",IF(COUNTIF('E2 — Triagem'!$E484:$L484,"⛔ Bloqueado")&gt;0,"Bloqueado",IF(COUNTIF('E2 — Triagem'!$E484:$L484,"✔ Concluído")+COUNTIF('E2 — Triagem'!$E484:$L484,"N/A")=8,"Concluído",IF(COUNTIF('E2 — Triagem'!$E484:$L484,"✔ Concluído")+COUNTIF('E2 — Triagem'!$E484:$L484,"🔄 Em andamento")&gt;0,"Em andamento","Não iniciado"))))))))</f>
        <v/>
      </c>
      <c r="G502" s="229" t="str">
        <f>IF($B502="","",IF($F502&lt;&gt;"Concluído","Não iniciado",IF(COUNTIF(Lançamentos!$B$3:$B$1001,$B502)=0,"Bloqueado",IF('E3 — Levantamento'!$D484="","Bloqueado",IF(COUNTIF('E3 — Levantamento'!$E484:$I484,"⛔ Bloqueado")&gt;0,"Bloqueado",IF('E3 — Levantamento'!$I484="N/A","Bloqueado",IF(COUNTIF('E3 — Levantamento'!$E484:$I484,"✔ Concluído")=5,"Concluído",IF(COUNTIF('E3 — Levantamento'!$E484:$I484,"✔ Concluído")+COUNTIF('E3 — Levantamento'!$E484:$I484,"🔄 Em andamento")&gt;0,"Em andamento","Não iniciado"))))))))</f>
        <v/>
      </c>
      <c r="H502" s="229" t="str">
        <f>IF($B502="","",IF($G502&lt;&gt;"Concluído","Não iniciado",IF(COUNTIF(Lançamentos!$B$3:$B$1001,$B502)=0,"Bloqueado",IF('E4 — Execução'!$D484="","Bloqueado",IF(COUNTIF('E4 — Execução'!$E484:$K484,"⛔ Bloqueado")&gt;0,"Bloqueado",IF(COUNTIF('E4 — Execução'!$E484:$K484,"✔ Concluído")=7,"Concluído",IF(COUNTIF('E4 — Execução'!$E484:$K484,"✔ Concluído")+COUNTIF('E4 — Execução'!$E484:$K484,"🔄 Em andamento")&gt;0,"Em andamento","Não iniciado")))))))</f>
        <v/>
      </c>
      <c r="I502" s="229" t="str">
        <f>IF($B502="","",IF($H502&lt;&gt;"Concluído","Não iniciado",IF(COUNTIF(Lançamentos!$B$3:$B$1001,$B502)=0,"Bloqueado",IF('E5 — Validação'!$D484="","Bloqueado",IF(COUNTIF('E5 — Validação'!$E484:$I484,"⛔ Bloqueado")&gt;0,"Bloqueado",IF('E5 — Validação'!$I484="N/A","Bloqueado",IF(AND('E5 — Validação'!$E484="✔ Concluído",'E5 — Validação'!$F484="✔ Concluído",OR('E5 — Validação'!$G484="✔ Concluído",'E5 — Validação'!$G484="N/A"),'E5 — Validação'!$H484="✔ Concluído",'E5 — Validação'!$I484="✔ Concluído"),"Concluído",IF(COUNTIF('E5 — Validação'!$E484:$I484,"✔ Concluído")+COUNTIF('E5 — Validação'!$E484:$I484,"🔄 Em andamento")&gt;0,"Em andamento","Não iniciado"))))))))</f>
        <v/>
      </c>
      <c r="J502" s="229" t="str">
        <f>IF($B502="","",IF($I502&lt;&gt;"Concluído","Não iniciado",IF('E6 — Ajustes'!$N484="Não","N/A",IF(COUNTIF(Lançamentos!$B$3:$B$1001,$B502)=0,"Bloqueado",IF('E6 — Ajustes'!$D484="","Bloqueado",IF(COUNTIF('E6 — Ajustes'!$E484:$J484,"⛔ Bloqueado")&gt;0,"Bloqueado",IF(AND('E6 — Ajustes'!$E484="✔ Concluído",'E6 — Ajustes'!$F484="✔ Concluído",'E6 — Ajustes'!$G484="✔ Concluído",'E6 — Ajustes'!$H484="✔ Concluído",OR('E6 — Ajustes'!$I484="✔ Concluído",'E6 — Ajustes'!$I484="N/A"),'E6 — Ajustes'!$J484="✔ Concluído"),"Concluído",IF(COUNTIF('E6 — Ajustes'!$E484:$J484,"✔ Concluído")+COUNTIF('E6 — Ajustes'!$E484:$J484,"🔄 Em andamento")&gt;0,"Em andamento","Não iniciado"))))))))</f>
        <v/>
      </c>
      <c r="K502" s="229" t="str">
        <f>IF($B502="","",IF($I502&lt;&gt;"Concluído","Não iniciado",IF(AND($J502&lt;&gt;"Concluído",$J502&lt;&gt;"N/A"),"Não iniciado",IF(COUNTIF(Lançamentos!$B$3:$B$1001,$B502)=0,"Bloqueado",IF('E7 — Entrega'!$D484="","Bloqueado",IF(COUNTIF('E7 — Entrega'!$E484:$H484,"⛔ Bloqueado")&gt;0,"Bloqueado",IF(COUNTIF('E7 — Entrega'!$E484:$H484,"✔ Concluído")=4,"Concluído",IF(COUNTIF('E7 — Entrega'!$E484:$H484,"✔ Concluído")+COUNTIF('E7 — Entrega'!$E484:$H484,"🔄 Em andamento")&gt;0,"Em andamento","Não iniciado"))))))))</f>
        <v/>
      </c>
      <c r="L502" s="229" t="str">
        <f>IF($B502="","",IF($K502&lt;&gt;"Concluído","Não iniciado",IF(OR(COUNTIF('E08 — Estabilização Hypercare'!$E484:$J484,"⛔ Bloqueado")&gt;0,'E08 — Estabilização Hypercare'!$N484="⛔ Incidente Crítico — Encerramento Bloqueado",AND('E08 — Estabilização Hypercare'!$N484="🆕 Evolução Identificada — Nova Demanda Aberta",'E08 — Estabilização Hypercare'!$U484="")),"Bloqueado",IF(AND('E08 — Estabilização Hypercare'!$E484="✔ Concluído",'E08 — Estabilização Hypercare'!$F484="✔ Concluído",'E08 — Estabilização Hypercare'!$G484="✔ Concluído",OR('E08 — Estabilização Hypercare'!$H484="✔ Concluído",'E08 — Estabilização Hypercare'!$H484="N/A"),'E08 — Estabilização Hypercare'!$I484="✔ Concluído",'E08 — Estabilização Hypercare'!$J484="✔ Concluído",OR('E08 — Estabilização Hypercare'!$N484="✅ Estável — Demanda Encerrada",AND('E08 — Estabilização Hypercare'!$N484="🆕 Evolução Identificada — Nova Demanda Aberta",'E08 — Estabilização Hypercare'!$U484&lt;&gt;""))),"Concluído",IF(OR(COUNTIF('E08 — Estabilização Hypercare'!$E484:$J484,"✔ Concluído")&gt;0,COUNTIF('E08 — Estabilização Hypercare'!$E484:$J484,"🔄 Em andamento")&gt;0,'E08 — Estabilização Hypercare'!$N484&lt;&gt;""),"Em andamento","Não iniciado")))))</f>
        <v/>
      </c>
      <c r="M502" s="232" t="str" cm="1">
        <f t="array" ref="M502">IF(B502="","",_xlfn.IFS(E502&lt;&gt;"Concluído","E1 — Solicitação",F502&lt;&gt;"Concluído","E2 — Triagem",G502&lt;&gt;"Concluído","E3 — Levantamento ⚠",H502&lt;&gt;"Concluído","E4 — Execução",I502&lt;&gt;"Concluído","E5 — Validação ⚠",AND(J502&lt;&gt;"Concluído",J502&lt;&gt;"N/A"),"E6 — Ajustes",K502&lt;&gt;"Concluído","E7 — Entrega",L502&lt;&gt;"Concluído","E08 — Estabilização / Hypercare",TRUE,"✔ Fluxo concluído"))</f>
        <v/>
      </c>
      <c r="N502" s="233" t="str">
        <f t="shared" si="8"/>
        <v/>
      </c>
      <c r="O502" s="230"/>
    </row>
    <row r="503" spans="2:15" x14ac:dyDescent="0.35">
      <c r="B503" s="229" t="str">
        <f>IF(Lançamentos!$B480="","",Lançamentos!$B480)</f>
        <v/>
      </c>
      <c r="C503" s="231" t="str">
        <f>IF($B503="","",Lançamentos!$J480)</f>
        <v/>
      </c>
      <c r="D503" s="231" t="str">
        <f>IF($B503="","",Lançamentos!$H480)</f>
        <v/>
      </c>
      <c r="E503" s="229" t="str">
        <f>IF($B503="","",IF(COUNTIF(Lançamentos!$B$3:$B$1001,$B503)=0,"Bloqueado",IF(COUNTIF('E1 — Solicitação'!$E485:$L485,"⛔ Bloqueado")&gt;0,"Bloqueado",IF(COUNTIF('E1 — Solicitação'!$E485:$L485,"N/A")=8,"Bloqueado",IF(COUNTIF('E1 — Solicitação'!$E485:$L485,"✔ Concluído")+COUNTIF('E1 — Solicitação'!$E485:$L485,"N/A")=8,"Concluído",IF(COUNTIF('E1 — Solicitação'!$E485:$L485,"✔ Concluído")+COUNTIF('E1 — Solicitação'!$E485:$L485,"🔄 Em andamento")&gt;0,"Em andamento","Não iniciado"))))))</f>
        <v/>
      </c>
      <c r="F503" s="229" t="str">
        <f>IF($B503="","",IF($E503&lt;&gt;"Concluído","Não iniciado",IF(COUNTIF(Lançamentos!$B$3:$B$1001,$B503)=0,"Bloqueado",IF('E2 — Triagem'!$D485="","Bloqueado",IF(COUNTIF('E2 — Triagem'!$E485:$L485,"N/A")=8,"Bloqueado",IF(COUNTIF('E2 — Triagem'!$E485:$L485,"⛔ Bloqueado")&gt;0,"Bloqueado",IF(COUNTIF('E2 — Triagem'!$E485:$L485,"✔ Concluído")+COUNTIF('E2 — Triagem'!$E485:$L485,"N/A")=8,"Concluído",IF(COUNTIF('E2 — Triagem'!$E485:$L485,"✔ Concluído")+COUNTIF('E2 — Triagem'!$E485:$L485,"🔄 Em andamento")&gt;0,"Em andamento","Não iniciado"))))))))</f>
        <v/>
      </c>
      <c r="G503" s="229" t="str">
        <f>IF($B503="","",IF($F503&lt;&gt;"Concluído","Não iniciado",IF(COUNTIF(Lançamentos!$B$3:$B$1001,$B503)=0,"Bloqueado",IF('E3 — Levantamento'!$D485="","Bloqueado",IF(COUNTIF('E3 — Levantamento'!$E485:$I485,"⛔ Bloqueado")&gt;0,"Bloqueado",IF('E3 — Levantamento'!$I485="N/A","Bloqueado",IF(COUNTIF('E3 — Levantamento'!$E485:$I485,"✔ Concluído")=5,"Concluído",IF(COUNTIF('E3 — Levantamento'!$E485:$I485,"✔ Concluído")+COUNTIF('E3 — Levantamento'!$E485:$I485,"🔄 Em andamento")&gt;0,"Em andamento","Não iniciado"))))))))</f>
        <v/>
      </c>
      <c r="H503" s="229" t="str">
        <f>IF($B503="","",IF($G503&lt;&gt;"Concluído","Não iniciado",IF(COUNTIF(Lançamentos!$B$3:$B$1001,$B503)=0,"Bloqueado",IF('E4 — Execução'!$D485="","Bloqueado",IF(COUNTIF('E4 — Execução'!$E485:$K485,"⛔ Bloqueado")&gt;0,"Bloqueado",IF(COUNTIF('E4 — Execução'!$E485:$K485,"✔ Concluído")=7,"Concluído",IF(COUNTIF('E4 — Execução'!$E485:$K485,"✔ Concluído")+COUNTIF('E4 — Execução'!$E485:$K485,"🔄 Em andamento")&gt;0,"Em andamento","Não iniciado")))))))</f>
        <v/>
      </c>
      <c r="I503" s="229" t="str">
        <f>IF($B503="","",IF($H503&lt;&gt;"Concluído","Não iniciado",IF(COUNTIF(Lançamentos!$B$3:$B$1001,$B503)=0,"Bloqueado",IF('E5 — Validação'!$D485="","Bloqueado",IF(COUNTIF('E5 — Validação'!$E485:$I485,"⛔ Bloqueado")&gt;0,"Bloqueado",IF('E5 — Validação'!$I485="N/A","Bloqueado",IF(AND('E5 — Validação'!$E485="✔ Concluído",'E5 — Validação'!$F485="✔ Concluído",OR('E5 — Validação'!$G485="✔ Concluído",'E5 — Validação'!$G485="N/A"),'E5 — Validação'!$H485="✔ Concluído",'E5 — Validação'!$I485="✔ Concluído"),"Concluído",IF(COUNTIF('E5 — Validação'!$E485:$I485,"✔ Concluído")+COUNTIF('E5 — Validação'!$E485:$I485,"🔄 Em andamento")&gt;0,"Em andamento","Não iniciado"))))))))</f>
        <v/>
      </c>
      <c r="J503" s="229" t="str">
        <f>IF($B503="","",IF($I503&lt;&gt;"Concluído","Não iniciado",IF('E6 — Ajustes'!$N485="Não","N/A",IF(COUNTIF(Lançamentos!$B$3:$B$1001,$B503)=0,"Bloqueado",IF('E6 — Ajustes'!$D485="","Bloqueado",IF(COUNTIF('E6 — Ajustes'!$E485:$J485,"⛔ Bloqueado")&gt;0,"Bloqueado",IF(AND('E6 — Ajustes'!$E485="✔ Concluído",'E6 — Ajustes'!$F485="✔ Concluído",'E6 — Ajustes'!$G485="✔ Concluído",'E6 — Ajustes'!$H485="✔ Concluído",OR('E6 — Ajustes'!$I485="✔ Concluído",'E6 — Ajustes'!$I485="N/A"),'E6 — Ajustes'!$J485="✔ Concluído"),"Concluído",IF(COUNTIF('E6 — Ajustes'!$E485:$J485,"✔ Concluído")+COUNTIF('E6 — Ajustes'!$E485:$J485,"🔄 Em andamento")&gt;0,"Em andamento","Não iniciado"))))))))</f>
        <v/>
      </c>
      <c r="K503" s="229" t="str">
        <f>IF($B503="","",IF($I503&lt;&gt;"Concluído","Não iniciado",IF(AND($J503&lt;&gt;"Concluído",$J503&lt;&gt;"N/A"),"Não iniciado",IF(COUNTIF(Lançamentos!$B$3:$B$1001,$B503)=0,"Bloqueado",IF('E7 — Entrega'!$D485="","Bloqueado",IF(COUNTIF('E7 — Entrega'!$E485:$H485,"⛔ Bloqueado")&gt;0,"Bloqueado",IF(COUNTIF('E7 — Entrega'!$E485:$H485,"✔ Concluído")=4,"Concluído",IF(COUNTIF('E7 — Entrega'!$E485:$H485,"✔ Concluído")+COUNTIF('E7 — Entrega'!$E485:$H485,"🔄 Em andamento")&gt;0,"Em andamento","Não iniciado"))))))))</f>
        <v/>
      </c>
      <c r="L503" s="229" t="str">
        <f>IF($B503="","",IF($K503&lt;&gt;"Concluído","Não iniciado",IF(OR(COUNTIF('E08 — Estabilização Hypercare'!$E485:$J485,"⛔ Bloqueado")&gt;0,'E08 — Estabilização Hypercare'!$N485="⛔ Incidente Crítico — Encerramento Bloqueado",AND('E08 — Estabilização Hypercare'!$N485="🆕 Evolução Identificada — Nova Demanda Aberta",'E08 — Estabilização Hypercare'!$U485="")),"Bloqueado",IF(AND('E08 — Estabilização Hypercare'!$E485="✔ Concluído",'E08 — Estabilização Hypercare'!$F485="✔ Concluído",'E08 — Estabilização Hypercare'!$G485="✔ Concluído",OR('E08 — Estabilização Hypercare'!$H485="✔ Concluído",'E08 — Estabilização Hypercare'!$H485="N/A"),'E08 — Estabilização Hypercare'!$I485="✔ Concluído",'E08 — Estabilização Hypercare'!$J485="✔ Concluído",OR('E08 — Estabilização Hypercare'!$N485="✅ Estável — Demanda Encerrada",AND('E08 — Estabilização Hypercare'!$N485="🆕 Evolução Identificada — Nova Demanda Aberta",'E08 — Estabilização Hypercare'!$U485&lt;&gt;""))),"Concluído",IF(OR(COUNTIF('E08 — Estabilização Hypercare'!$E485:$J485,"✔ Concluído")&gt;0,COUNTIF('E08 — Estabilização Hypercare'!$E485:$J485,"🔄 Em andamento")&gt;0,'E08 — Estabilização Hypercare'!$N485&lt;&gt;""),"Em andamento","Não iniciado")))))</f>
        <v/>
      </c>
      <c r="M503" s="232" t="str" cm="1">
        <f t="array" ref="M503">IF(B503="","",_xlfn.IFS(E503&lt;&gt;"Concluído","E1 — Solicitação",F503&lt;&gt;"Concluído","E2 — Triagem",G503&lt;&gt;"Concluído","E3 — Levantamento ⚠",H503&lt;&gt;"Concluído","E4 — Execução",I503&lt;&gt;"Concluído","E5 — Validação ⚠",AND(J503&lt;&gt;"Concluído",J503&lt;&gt;"N/A"),"E6 — Ajustes",K503&lt;&gt;"Concluído","E7 — Entrega",L503&lt;&gt;"Concluído","E08 — Estabilização / Hypercare",TRUE,"✔ Fluxo concluído"))</f>
        <v/>
      </c>
      <c r="N503" s="233" t="str">
        <f t="shared" si="8"/>
        <v/>
      </c>
      <c r="O503" s="230"/>
    </row>
    <row r="504" spans="2:15" x14ac:dyDescent="0.35">
      <c r="B504" s="229" t="str">
        <f>IF(Lançamentos!$B481="","",Lançamentos!$B481)</f>
        <v/>
      </c>
      <c r="C504" s="231" t="str">
        <f>IF($B504="","",Lançamentos!$J481)</f>
        <v/>
      </c>
      <c r="D504" s="231" t="str">
        <f>IF($B504="","",Lançamentos!$H481)</f>
        <v/>
      </c>
      <c r="E504" s="229" t="str">
        <f>IF($B504="","",IF(COUNTIF(Lançamentos!$B$3:$B$1001,$B504)=0,"Bloqueado",IF(COUNTIF('E1 — Solicitação'!$E486:$L486,"⛔ Bloqueado")&gt;0,"Bloqueado",IF(COUNTIF('E1 — Solicitação'!$E486:$L486,"N/A")=8,"Bloqueado",IF(COUNTIF('E1 — Solicitação'!$E486:$L486,"✔ Concluído")+COUNTIF('E1 — Solicitação'!$E486:$L486,"N/A")=8,"Concluído",IF(COUNTIF('E1 — Solicitação'!$E486:$L486,"✔ Concluído")+COUNTIF('E1 — Solicitação'!$E486:$L486,"🔄 Em andamento")&gt;0,"Em andamento","Não iniciado"))))))</f>
        <v/>
      </c>
      <c r="F504" s="229" t="str">
        <f>IF($B504="","",IF($E504&lt;&gt;"Concluído","Não iniciado",IF(COUNTIF(Lançamentos!$B$3:$B$1001,$B504)=0,"Bloqueado",IF('E2 — Triagem'!$D486="","Bloqueado",IF(COUNTIF('E2 — Triagem'!$E486:$L486,"N/A")=8,"Bloqueado",IF(COUNTIF('E2 — Triagem'!$E486:$L486,"⛔ Bloqueado")&gt;0,"Bloqueado",IF(COUNTIF('E2 — Triagem'!$E486:$L486,"✔ Concluído")+COUNTIF('E2 — Triagem'!$E486:$L486,"N/A")=8,"Concluído",IF(COUNTIF('E2 — Triagem'!$E486:$L486,"✔ Concluído")+COUNTIF('E2 — Triagem'!$E486:$L486,"🔄 Em andamento")&gt;0,"Em andamento","Não iniciado"))))))))</f>
        <v/>
      </c>
      <c r="G504" s="229" t="str">
        <f>IF($B504="","",IF($F504&lt;&gt;"Concluído","Não iniciado",IF(COUNTIF(Lançamentos!$B$3:$B$1001,$B504)=0,"Bloqueado",IF('E3 — Levantamento'!$D486="","Bloqueado",IF(COUNTIF('E3 — Levantamento'!$E486:$I486,"⛔ Bloqueado")&gt;0,"Bloqueado",IF('E3 — Levantamento'!$I486="N/A","Bloqueado",IF(COUNTIF('E3 — Levantamento'!$E486:$I486,"✔ Concluído")=5,"Concluído",IF(COUNTIF('E3 — Levantamento'!$E486:$I486,"✔ Concluído")+COUNTIF('E3 — Levantamento'!$E486:$I486,"🔄 Em andamento")&gt;0,"Em andamento","Não iniciado"))))))))</f>
        <v/>
      </c>
      <c r="H504" s="229" t="str">
        <f>IF($B504="","",IF($G504&lt;&gt;"Concluído","Não iniciado",IF(COUNTIF(Lançamentos!$B$3:$B$1001,$B504)=0,"Bloqueado",IF('E4 — Execução'!$D486="","Bloqueado",IF(COUNTIF('E4 — Execução'!$E486:$K486,"⛔ Bloqueado")&gt;0,"Bloqueado",IF(COUNTIF('E4 — Execução'!$E486:$K486,"✔ Concluído")=7,"Concluído",IF(COUNTIF('E4 — Execução'!$E486:$K486,"✔ Concluído")+COUNTIF('E4 — Execução'!$E486:$K486,"🔄 Em andamento")&gt;0,"Em andamento","Não iniciado")))))))</f>
        <v/>
      </c>
      <c r="I504" s="229" t="str">
        <f>IF($B504="","",IF($H504&lt;&gt;"Concluído","Não iniciado",IF(COUNTIF(Lançamentos!$B$3:$B$1001,$B504)=0,"Bloqueado",IF('E5 — Validação'!$D486="","Bloqueado",IF(COUNTIF('E5 — Validação'!$E486:$I486,"⛔ Bloqueado")&gt;0,"Bloqueado",IF('E5 — Validação'!$I486="N/A","Bloqueado",IF(AND('E5 — Validação'!$E486="✔ Concluído",'E5 — Validação'!$F486="✔ Concluído",OR('E5 — Validação'!$G486="✔ Concluído",'E5 — Validação'!$G486="N/A"),'E5 — Validação'!$H486="✔ Concluído",'E5 — Validação'!$I486="✔ Concluído"),"Concluído",IF(COUNTIF('E5 — Validação'!$E486:$I486,"✔ Concluído")+COUNTIF('E5 — Validação'!$E486:$I486,"🔄 Em andamento")&gt;0,"Em andamento","Não iniciado"))))))))</f>
        <v/>
      </c>
      <c r="J504" s="229" t="str">
        <f>IF($B504="","",IF($I504&lt;&gt;"Concluído","Não iniciado",IF('E6 — Ajustes'!$N486="Não","N/A",IF(COUNTIF(Lançamentos!$B$3:$B$1001,$B504)=0,"Bloqueado",IF('E6 — Ajustes'!$D486="","Bloqueado",IF(COUNTIF('E6 — Ajustes'!$E486:$J486,"⛔ Bloqueado")&gt;0,"Bloqueado",IF(AND('E6 — Ajustes'!$E486="✔ Concluído",'E6 — Ajustes'!$F486="✔ Concluído",'E6 — Ajustes'!$G486="✔ Concluído",'E6 — Ajustes'!$H486="✔ Concluído",OR('E6 — Ajustes'!$I486="✔ Concluído",'E6 — Ajustes'!$I486="N/A"),'E6 — Ajustes'!$J486="✔ Concluído"),"Concluído",IF(COUNTIF('E6 — Ajustes'!$E486:$J486,"✔ Concluído")+COUNTIF('E6 — Ajustes'!$E486:$J486,"🔄 Em andamento")&gt;0,"Em andamento","Não iniciado"))))))))</f>
        <v/>
      </c>
      <c r="K504" s="229" t="str">
        <f>IF($B504="","",IF($I504&lt;&gt;"Concluído","Não iniciado",IF(AND($J504&lt;&gt;"Concluído",$J504&lt;&gt;"N/A"),"Não iniciado",IF(COUNTIF(Lançamentos!$B$3:$B$1001,$B504)=0,"Bloqueado",IF('E7 — Entrega'!$D486="","Bloqueado",IF(COUNTIF('E7 — Entrega'!$E486:$H486,"⛔ Bloqueado")&gt;0,"Bloqueado",IF(COUNTIF('E7 — Entrega'!$E486:$H486,"✔ Concluído")=4,"Concluído",IF(COUNTIF('E7 — Entrega'!$E486:$H486,"✔ Concluído")+COUNTIF('E7 — Entrega'!$E486:$H486,"🔄 Em andamento")&gt;0,"Em andamento","Não iniciado"))))))))</f>
        <v/>
      </c>
      <c r="L504" s="229" t="str">
        <f>IF($B504="","",IF($K504&lt;&gt;"Concluído","Não iniciado",IF(OR(COUNTIF('E08 — Estabilização Hypercare'!$E486:$J486,"⛔ Bloqueado")&gt;0,'E08 — Estabilização Hypercare'!$N486="⛔ Incidente Crítico — Encerramento Bloqueado",AND('E08 — Estabilização Hypercare'!$N486="🆕 Evolução Identificada — Nova Demanda Aberta",'E08 — Estabilização Hypercare'!$U486="")),"Bloqueado",IF(AND('E08 — Estabilização Hypercare'!$E486="✔ Concluído",'E08 — Estabilização Hypercare'!$F486="✔ Concluído",'E08 — Estabilização Hypercare'!$G486="✔ Concluído",OR('E08 — Estabilização Hypercare'!$H486="✔ Concluído",'E08 — Estabilização Hypercare'!$H486="N/A"),'E08 — Estabilização Hypercare'!$I486="✔ Concluído",'E08 — Estabilização Hypercare'!$J486="✔ Concluído",OR('E08 — Estabilização Hypercare'!$N486="✅ Estável — Demanda Encerrada",AND('E08 — Estabilização Hypercare'!$N486="🆕 Evolução Identificada — Nova Demanda Aberta",'E08 — Estabilização Hypercare'!$U486&lt;&gt;""))),"Concluído",IF(OR(COUNTIF('E08 — Estabilização Hypercare'!$E486:$J486,"✔ Concluído")&gt;0,COUNTIF('E08 — Estabilização Hypercare'!$E486:$J486,"🔄 Em andamento")&gt;0,'E08 — Estabilização Hypercare'!$N486&lt;&gt;""),"Em andamento","Não iniciado")))))</f>
        <v/>
      </c>
      <c r="M504" s="232" t="str" cm="1">
        <f t="array" ref="M504">IF(B504="","",_xlfn.IFS(E504&lt;&gt;"Concluído","E1 — Solicitação",F504&lt;&gt;"Concluído","E2 — Triagem",G504&lt;&gt;"Concluído","E3 — Levantamento ⚠",H504&lt;&gt;"Concluído","E4 — Execução",I504&lt;&gt;"Concluído","E5 — Validação ⚠",AND(J504&lt;&gt;"Concluído",J504&lt;&gt;"N/A"),"E6 — Ajustes",K504&lt;&gt;"Concluído","E7 — Entrega",L504&lt;&gt;"Concluído","E08 — Estabilização / Hypercare",TRUE,"✔ Fluxo concluído"))</f>
        <v/>
      </c>
      <c r="N504" s="233" t="str">
        <f t="shared" si="8"/>
        <v/>
      </c>
      <c r="O504" s="230"/>
    </row>
    <row r="505" spans="2:15" x14ac:dyDescent="0.35">
      <c r="B505" s="229" t="str">
        <f>IF(Lançamentos!$B482="","",Lançamentos!$B482)</f>
        <v/>
      </c>
      <c r="C505" s="231" t="str">
        <f>IF($B505="","",Lançamentos!$J482)</f>
        <v/>
      </c>
      <c r="D505" s="231" t="str">
        <f>IF($B505="","",Lançamentos!$H482)</f>
        <v/>
      </c>
      <c r="E505" s="229" t="str">
        <f>IF($B505="","",IF(COUNTIF(Lançamentos!$B$3:$B$1001,$B505)=0,"Bloqueado",IF(COUNTIF('E1 — Solicitação'!$E487:$L487,"⛔ Bloqueado")&gt;0,"Bloqueado",IF(COUNTIF('E1 — Solicitação'!$E487:$L487,"N/A")=8,"Bloqueado",IF(COUNTIF('E1 — Solicitação'!$E487:$L487,"✔ Concluído")+COUNTIF('E1 — Solicitação'!$E487:$L487,"N/A")=8,"Concluído",IF(COUNTIF('E1 — Solicitação'!$E487:$L487,"✔ Concluído")+COUNTIF('E1 — Solicitação'!$E487:$L487,"🔄 Em andamento")&gt;0,"Em andamento","Não iniciado"))))))</f>
        <v/>
      </c>
      <c r="F505" s="229" t="str">
        <f>IF($B505="","",IF($E505&lt;&gt;"Concluído","Não iniciado",IF(COUNTIF(Lançamentos!$B$3:$B$1001,$B505)=0,"Bloqueado",IF('E2 — Triagem'!$D487="","Bloqueado",IF(COUNTIF('E2 — Triagem'!$E487:$L487,"N/A")=8,"Bloqueado",IF(COUNTIF('E2 — Triagem'!$E487:$L487,"⛔ Bloqueado")&gt;0,"Bloqueado",IF(COUNTIF('E2 — Triagem'!$E487:$L487,"✔ Concluído")+COUNTIF('E2 — Triagem'!$E487:$L487,"N/A")=8,"Concluído",IF(COUNTIF('E2 — Triagem'!$E487:$L487,"✔ Concluído")+COUNTIF('E2 — Triagem'!$E487:$L487,"🔄 Em andamento")&gt;0,"Em andamento","Não iniciado"))))))))</f>
        <v/>
      </c>
      <c r="G505" s="229" t="str">
        <f>IF($B505="","",IF($F505&lt;&gt;"Concluído","Não iniciado",IF(COUNTIF(Lançamentos!$B$3:$B$1001,$B505)=0,"Bloqueado",IF('E3 — Levantamento'!$D487="","Bloqueado",IF(COUNTIF('E3 — Levantamento'!$E487:$I487,"⛔ Bloqueado")&gt;0,"Bloqueado",IF('E3 — Levantamento'!$I487="N/A","Bloqueado",IF(COUNTIF('E3 — Levantamento'!$E487:$I487,"✔ Concluído")=5,"Concluído",IF(COUNTIF('E3 — Levantamento'!$E487:$I487,"✔ Concluído")+COUNTIF('E3 — Levantamento'!$E487:$I487,"🔄 Em andamento")&gt;0,"Em andamento","Não iniciado"))))))))</f>
        <v/>
      </c>
      <c r="H505" s="229" t="str">
        <f>IF($B505="","",IF($G505&lt;&gt;"Concluído","Não iniciado",IF(COUNTIF(Lançamentos!$B$3:$B$1001,$B505)=0,"Bloqueado",IF('E4 — Execução'!$D487="","Bloqueado",IF(COUNTIF('E4 — Execução'!$E487:$K487,"⛔ Bloqueado")&gt;0,"Bloqueado",IF(COUNTIF('E4 — Execução'!$E487:$K487,"✔ Concluído")=7,"Concluído",IF(COUNTIF('E4 — Execução'!$E487:$K487,"✔ Concluído")+COUNTIF('E4 — Execução'!$E487:$K487,"🔄 Em andamento")&gt;0,"Em andamento","Não iniciado")))))))</f>
        <v/>
      </c>
      <c r="I505" s="229" t="str">
        <f>IF($B505="","",IF($H505&lt;&gt;"Concluído","Não iniciado",IF(COUNTIF(Lançamentos!$B$3:$B$1001,$B505)=0,"Bloqueado",IF('E5 — Validação'!$D487="","Bloqueado",IF(COUNTIF('E5 — Validação'!$E487:$I487,"⛔ Bloqueado")&gt;0,"Bloqueado",IF('E5 — Validação'!$I487="N/A","Bloqueado",IF(AND('E5 — Validação'!$E487="✔ Concluído",'E5 — Validação'!$F487="✔ Concluído",OR('E5 — Validação'!$G487="✔ Concluído",'E5 — Validação'!$G487="N/A"),'E5 — Validação'!$H487="✔ Concluído",'E5 — Validação'!$I487="✔ Concluído"),"Concluído",IF(COUNTIF('E5 — Validação'!$E487:$I487,"✔ Concluído")+COUNTIF('E5 — Validação'!$E487:$I487,"🔄 Em andamento")&gt;0,"Em andamento","Não iniciado"))))))))</f>
        <v/>
      </c>
      <c r="J505" s="229" t="str">
        <f>IF($B505="","",IF($I505&lt;&gt;"Concluído","Não iniciado",IF('E6 — Ajustes'!$N487="Não","N/A",IF(COUNTIF(Lançamentos!$B$3:$B$1001,$B505)=0,"Bloqueado",IF('E6 — Ajustes'!$D487="","Bloqueado",IF(COUNTIF('E6 — Ajustes'!$E487:$J487,"⛔ Bloqueado")&gt;0,"Bloqueado",IF(AND('E6 — Ajustes'!$E487="✔ Concluído",'E6 — Ajustes'!$F487="✔ Concluído",'E6 — Ajustes'!$G487="✔ Concluído",'E6 — Ajustes'!$H487="✔ Concluído",OR('E6 — Ajustes'!$I487="✔ Concluído",'E6 — Ajustes'!$I487="N/A"),'E6 — Ajustes'!$J487="✔ Concluído"),"Concluído",IF(COUNTIF('E6 — Ajustes'!$E487:$J487,"✔ Concluído")+COUNTIF('E6 — Ajustes'!$E487:$J487,"🔄 Em andamento")&gt;0,"Em andamento","Não iniciado"))))))))</f>
        <v/>
      </c>
      <c r="K505" s="229" t="str">
        <f>IF($B505="","",IF($I505&lt;&gt;"Concluído","Não iniciado",IF(AND($J505&lt;&gt;"Concluído",$J505&lt;&gt;"N/A"),"Não iniciado",IF(COUNTIF(Lançamentos!$B$3:$B$1001,$B505)=0,"Bloqueado",IF('E7 — Entrega'!$D487="","Bloqueado",IF(COUNTIF('E7 — Entrega'!$E487:$H487,"⛔ Bloqueado")&gt;0,"Bloqueado",IF(COUNTIF('E7 — Entrega'!$E487:$H487,"✔ Concluído")=4,"Concluído",IF(COUNTIF('E7 — Entrega'!$E487:$H487,"✔ Concluído")+COUNTIF('E7 — Entrega'!$E487:$H487,"🔄 Em andamento")&gt;0,"Em andamento","Não iniciado"))))))))</f>
        <v/>
      </c>
      <c r="L505" s="229" t="str">
        <f>IF($B505="","",IF($K505&lt;&gt;"Concluído","Não iniciado",IF(OR(COUNTIF('E08 — Estabilização Hypercare'!$E487:$J487,"⛔ Bloqueado")&gt;0,'E08 — Estabilização Hypercare'!$N487="⛔ Incidente Crítico — Encerramento Bloqueado",AND('E08 — Estabilização Hypercare'!$N487="🆕 Evolução Identificada — Nova Demanda Aberta",'E08 — Estabilização Hypercare'!$U487="")),"Bloqueado",IF(AND('E08 — Estabilização Hypercare'!$E487="✔ Concluído",'E08 — Estabilização Hypercare'!$F487="✔ Concluído",'E08 — Estabilização Hypercare'!$G487="✔ Concluído",OR('E08 — Estabilização Hypercare'!$H487="✔ Concluído",'E08 — Estabilização Hypercare'!$H487="N/A"),'E08 — Estabilização Hypercare'!$I487="✔ Concluído",'E08 — Estabilização Hypercare'!$J487="✔ Concluído",OR('E08 — Estabilização Hypercare'!$N487="✅ Estável — Demanda Encerrada",AND('E08 — Estabilização Hypercare'!$N487="🆕 Evolução Identificada — Nova Demanda Aberta",'E08 — Estabilização Hypercare'!$U487&lt;&gt;""))),"Concluído",IF(OR(COUNTIF('E08 — Estabilização Hypercare'!$E487:$J487,"✔ Concluído")&gt;0,COUNTIF('E08 — Estabilização Hypercare'!$E487:$J487,"🔄 Em andamento")&gt;0,'E08 — Estabilização Hypercare'!$N487&lt;&gt;""),"Em andamento","Não iniciado")))))</f>
        <v/>
      </c>
      <c r="M505" s="232" t="str" cm="1">
        <f t="array" ref="M505">IF(B505="","",_xlfn.IFS(E505&lt;&gt;"Concluído","E1 — Solicitação",F505&lt;&gt;"Concluído","E2 — Triagem",G505&lt;&gt;"Concluído","E3 — Levantamento ⚠",H505&lt;&gt;"Concluído","E4 — Execução",I505&lt;&gt;"Concluído","E5 — Validação ⚠",AND(J505&lt;&gt;"Concluído",J505&lt;&gt;"N/A"),"E6 — Ajustes",K505&lt;&gt;"Concluído","E7 — Entrega",L505&lt;&gt;"Concluído","E08 — Estabilização / Hypercare",TRUE,"✔ Fluxo concluído"))</f>
        <v/>
      </c>
      <c r="N505" s="233" t="str">
        <f t="shared" si="8"/>
        <v/>
      </c>
      <c r="O505" s="230"/>
    </row>
    <row r="506" spans="2:15" x14ac:dyDescent="0.35">
      <c r="B506" s="229" t="str">
        <f>IF(Lançamentos!$B483="","",Lançamentos!$B483)</f>
        <v/>
      </c>
      <c r="C506" s="231" t="str">
        <f>IF($B506="","",Lançamentos!$J483)</f>
        <v/>
      </c>
      <c r="D506" s="231" t="str">
        <f>IF($B506="","",Lançamentos!$H483)</f>
        <v/>
      </c>
      <c r="E506" s="229" t="str">
        <f>IF($B506="","",IF(COUNTIF(Lançamentos!$B$3:$B$1001,$B506)=0,"Bloqueado",IF(COUNTIF('E1 — Solicitação'!$E488:$L488,"⛔ Bloqueado")&gt;0,"Bloqueado",IF(COUNTIF('E1 — Solicitação'!$E488:$L488,"N/A")=8,"Bloqueado",IF(COUNTIF('E1 — Solicitação'!$E488:$L488,"✔ Concluído")+COUNTIF('E1 — Solicitação'!$E488:$L488,"N/A")=8,"Concluído",IF(COUNTIF('E1 — Solicitação'!$E488:$L488,"✔ Concluído")+COUNTIF('E1 — Solicitação'!$E488:$L488,"🔄 Em andamento")&gt;0,"Em andamento","Não iniciado"))))))</f>
        <v/>
      </c>
      <c r="F506" s="229" t="str">
        <f>IF($B506="","",IF($E506&lt;&gt;"Concluído","Não iniciado",IF(COUNTIF(Lançamentos!$B$3:$B$1001,$B506)=0,"Bloqueado",IF('E2 — Triagem'!$D488="","Bloqueado",IF(COUNTIF('E2 — Triagem'!$E488:$L488,"N/A")=8,"Bloqueado",IF(COUNTIF('E2 — Triagem'!$E488:$L488,"⛔ Bloqueado")&gt;0,"Bloqueado",IF(COUNTIF('E2 — Triagem'!$E488:$L488,"✔ Concluído")+COUNTIF('E2 — Triagem'!$E488:$L488,"N/A")=8,"Concluído",IF(COUNTIF('E2 — Triagem'!$E488:$L488,"✔ Concluído")+COUNTIF('E2 — Triagem'!$E488:$L488,"🔄 Em andamento")&gt;0,"Em andamento","Não iniciado"))))))))</f>
        <v/>
      </c>
      <c r="G506" s="229" t="str">
        <f>IF($B506="","",IF($F506&lt;&gt;"Concluído","Não iniciado",IF(COUNTIF(Lançamentos!$B$3:$B$1001,$B506)=0,"Bloqueado",IF('E3 — Levantamento'!$D488="","Bloqueado",IF(COUNTIF('E3 — Levantamento'!$E488:$I488,"⛔ Bloqueado")&gt;0,"Bloqueado",IF('E3 — Levantamento'!$I488="N/A","Bloqueado",IF(COUNTIF('E3 — Levantamento'!$E488:$I488,"✔ Concluído")=5,"Concluído",IF(COUNTIF('E3 — Levantamento'!$E488:$I488,"✔ Concluído")+COUNTIF('E3 — Levantamento'!$E488:$I488,"🔄 Em andamento")&gt;0,"Em andamento","Não iniciado"))))))))</f>
        <v/>
      </c>
      <c r="H506" s="229" t="str">
        <f>IF($B506="","",IF($G506&lt;&gt;"Concluído","Não iniciado",IF(COUNTIF(Lançamentos!$B$3:$B$1001,$B506)=0,"Bloqueado",IF('E4 — Execução'!$D488="","Bloqueado",IF(COUNTIF('E4 — Execução'!$E488:$K488,"⛔ Bloqueado")&gt;0,"Bloqueado",IF(COUNTIF('E4 — Execução'!$E488:$K488,"✔ Concluído")=7,"Concluído",IF(COUNTIF('E4 — Execução'!$E488:$K488,"✔ Concluído")+COUNTIF('E4 — Execução'!$E488:$K488,"🔄 Em andamento")&gt;0,"Em andamento","Não iniciado")))))))</f>
        <v/>
      </c>
      <c r="I506" s="229" t="str">
        <f>IF($B506="","",IF($H506&lt;&gt;"Concluído","Não iniciado",IF(COUNTIF(Lançamentos!$B$3:$B$1001,$B506)=0,"Bloqueado",IF('E5 — Validação'!$D488="","Bloqueado",IF(COUNTIF('E5 — Validação'!$E488:$I488,"⛔ Bloqueado")&gt;0,"Bloqueado",IF('E5 — Validação'!$I488="N/A","Bloqueado",IF(AND('E5 — Validação'!$E488="✔ Concluído",'E5 — Validação'!$F488="✔ Concluído",OR('E5 — Validação'!$G488="✔ Concluído",'E5 — Validação'!$G488="N/A"),'E5 — Validação'!$H488="✔ Concluído",'E5 — Validação'!$I488="✔ Concluído"),"Concluído",IF(COUNTIF('E5 — Validação'!$E488:$I488,"✔ Concluído")+COUNTIF('E5 — Validação'!$E488:$I488,"🔄 Em andamento")&gt;0,"Em andamento","Não iniciado"))))))))</f>
        <v/>
      </c>
      <c r="J506" s="229" t="str">
        <f>IF($B506="","",IF($I506&lt;&gt;"Concluído","Não iniciado",IF('E6 — Ajustes'!$N488="Não","N/A",IF(COUNTIF(Lançamentos!$B$3:$B$1001,$B506)=0,"Bloqueado",IF('E6 — Ajustes'!$D488="","Bloqueado",IF(COUNTIF('E6 — Ajustes'!$E488:$J488,"⛔ Bloqueado")&gt;0,"Bloqueado",IF(AND('E6 — Ajustes'!$E488="✔ Concluído",'E6 — Ajustes'!$F488="✔ Concluído",'E6 — Ajustes'!$G488="✔ Concluído",'E6 — Ajustes'!$H488="✔ Concluído",OR('E6 — Ajustes'!$I488="✔ Concluído",'E6 — Ajustes'!$I488="N/A"),'E6 — Ajustes'!$J488="✔ Concluído"),"Concluído",IF(COUNTIF('E6 — Ajustes'!$E488:$J488,"✔ Concluído")+COUNTIF('E6 — Ajustes'!$E488:$J488,"🔄 Em andamento")&gt;0,"Em andamento","Não iniciado"))))))))</f>
        <v/>
      </c>
      <c r="K506" s="229" t="str">
        <f>IF($B506="","",IF($I506&lt;&gt;"Concluído","Não iniciado",IF(AND($J506&lt;&gt;"Concluído",$J506&lt;&gt;"N/A"),"Não iniciado",IF(COUNTIF(Lançamentos!$B$3:$B$1001,$B506)=0,"Bloqueado",IF('E7 — Entrega'!$D488="","Bloqueado",IF(COUNTIF('E7 — Entrega'!$E488:$H488,"⛔ Bloqueado")&gt;0,"Bloqueado",IF(COUNTIF('E7 — Entrega'!$E488:$H488,"✔ Concluído")=4,"Concluído",IF(COUNTIF('E7 — Entrega'!$E488:$H488,"✔ Concluído")+COUNTIF('E7 — Entrega'!$E488:$H488,"🔄 Em andamento")&gt;0,"Em andamento","Não iniciado"))))))))</f>
        <v/>
      </c>
      <c r="L506" s="229" t="str">
        <f>IF($B506="","",IF($K506&lt;&gt;"Concluído","Não iniciado",IF(OR(COUNTIF('E08 — Estabilização Hypercare'!$E488:$J488,"⛔ Bloqueado")&gt;0,'E08 — Estabilização Hypercare'!$N488="⛔ Incidente Crítico — Encerramento Bloqueado",AND('E08 — Estabilização Hypercare'!$N488="🆕 Evolução Identificada — Nova Demanda Aberta",'E08 — Estabilização Hypercare'!$U488="")),"Bloqueado",IF(AND('E08 — Estabilização Hypercare'!$E488="✔ Concluído",'E08 — Estabilização Hypercare'!$F488="✔ Concluído",'E08 — Estabilização Hypercare'!$G488="✔ Concluído",OR('E08 — Estabilização Hypercare'!$H488="✔ Concluído",'E08 — Estabilização Hypercare'!$H488="N/A"),'E08 — Estabilização Hypercare'!$I488="✔ Concluído",'E08 — Estabilização Hypercare'!$J488="✔ Concluído",OR('E08 — Estabilização Hypercare'!$N488="✅ Estável — Demanda Encerrada",AND('E08 — Estabilização Hypercare'!$N488="🆕 Evolução Identificada — Nova Demanda Aberta",'E08 — Estabilização Hypercare'!$U488&lt;&gt;""))),"Concluído",IF(OR(COUNTIF('E08 — Estabilização Hypercare'!$E488:$J488,"✔ Concluído")&gt;0,COUNTIF('E08 — Estabilização Hypercare'!$E488:$J488,"🔄 Em andamento")&gt;0,'E08 — Estabilização Hypercare'!$N488&lt;&gt;""),"Em andamento","Não iniciado")))))</f>
        <v/>
      </c>
      <c r="M506" s="232" t="str" cm="1">
        <f t="array" ref="M506">IF(B506="","",_xlfn.IFS(E506&lt;&gt;"Concluído","E1 — Solicitação",F506&lt;&gt;"Concluído","E2 — Triagem",G506&lt;&gt;"Concluído","E3 — Levantamento ⚠",H506&lt;&gt;"Concluído","E4 — Execução",I506&lt;&gt;"Concluído","E5 — Validação ⚠",AND(J506&lt;&gt;"Concluído",J506&lt;&gt;"N/A"),"E6 — Ajustes",K506&lt;&gt;"Concluído","E7 — Entrega",L506&lt;&gt;"Concluído","E08 — Estabilização / Hypercare",TRUE,"✔ Fluxo concluído"))</f>
        <v/>
      </c>
      <c r="N506" s="233" t="str">
        <f t="shared" si="8"/>
        <v/>
      </c>
      <c r="O506" s="230"/>
    </row>
    <row r="507" spans="2:15" x14ac:dyDescent="0.35">
      <c r="B507" s="229" t="str">
        <f>IF(Lançamentos!$B484="","",Lançamentos!$B484)</f>
        <v/>
      </c>
      <c r="C507" s="231" t="str">
        <f>IF($B507="","",Lançamentos!$J484)</f>
        <v/>
      </c>
      <c r="D507" s="231" t="str">
        <f>IF($B507="","",Lançamentos!$H484)</f>
        <v/>
      </c>
      <c r="E507" s="229" t="str">
        <f>IF($B507="","",IF(COUNTIF(Lançamentos!$B$3:$B$1001,$B507)=0,"Bloqueado",IF(COUNTIF('E1 — Solicitação'!$E489:$L489,"⛔ Bloqueado")&gt;0,"Bloqueado",IF(COUNTIF('E1 — Solicitação'!$E489:$L489,"N/A")=8,"Bloqueado",IF(COUNTIF('E1 — Solicitação'!$E489:$L489,"✔ Concluído")+COUNTIF('E1 — Solicitação'!$E489:$L489,"N/A")=8,"Concluído",IF(COUNTIF('E1 — Solicitação'!$E489:$L489,"✔ Concluído")+COUNTIF('E1 — Solicitação'!$E489:$L489,"🔄 Em andamento")&gt;0,"Em andamento","Não iniciado"))))))</f>
        <v/>
      </c>
      <c r="F507" s="229" t="str">
        <f>IF($B507="","",IF($E507&lt;&gt;"Concluído","Não iniciado",IF(COUNTIF(Lançamentos!$B$3:$B$1001,$B507)=0,"Bloqueado",IF('E2 — Triagem'!$D489="","Bloqueado",IF(COUNTIF('E2 — Triagem'!$E489:$L489,"N/A")=8,"Bloqueado",IF(COUNTIF('E2 — Triagem'!$E489:$L489,"⛔ Bloqueado")&gt;0,"Bloqueado",IF(COUNTIF('E2 — Triagem'!$E489:$L489,"✔ Concluído")+COUNTIF('E2 — Triagem'!$E489:$L489,"N/A")=8,"Concluído",IF(COUNTIF('E2 — Triagem'!$E489:$L489,"✔ Concluído")+COUNTIF('E2 — Triagem'!$E489:$L489,"🔄 Em andamento")&gt;0,"Em andamento","Não iniciado"))))))))</f>
        <v/>
      </c>
      <c r="G507" s="229" t="str">
        <f>IF($B507="","",IF($F507&lt;&gt;"Concluído","Não iniciado",IF(COUNTIF(Lançamentos!$B$3:$B$1001,$B507)=0,"Bloqueado",IF('E3 — Levantamento'!$D489="","Bloqueado",IF(COUNTIF('E3 — Levantamento'!$E489:$I489,"⛔ Bloqueado")&gt;0,"Bloqueado",IF('E3 — Levantamento'!$I489="N/A","Bloqueado",IF(COUNTIF('E3 — Levantamento'!$E489:$I489,"✔ Concluído")=5,"Concluído",IF(COUNTIF('E3 — Levantamento'!$E489:$I489,"✔ Concluído")+COUNTIF('E3 — Levantamento'!$E489:$I489,"🔄 Em andamento")&gt;0,"Em andamento","Não iniciado"))))))))</f>
        <v/>
      </c>
      <c r="H507" s="229" t="str">
        <f>IF($B507="","",IF($G507&lt;&gt;"Concluído","Não iniciado",IF(COUNTIF(Lançamentos!$B$3:$B$1001,$B507)=0,"Bloqueado",IF('E4 — Execução'!$D489="","Bloqueado",IF(COUNTIF('E4 — Execução'!$E489:$K489,"⛔ Bloqueado")&gt;0,"Bloqueado",IF(COUNTIF('E4 — Execução'!$E489:$K489,"✔ Concluído")=7,"Concluído",IF(COUNTIF('E4 — Execução'!$E489:$K489,"✔ Concluído")+COUNTIF('E4 — Execução'!$E489:$K489,"🔄 Em andamento")&gt;0,"Em andamento","Não iniciado")))))))</f>
        <v/>
      </c>
      <c r="I507" s="229" t="str">
        <f>IF($B507="","",IF($H507&lt;&gt;"Concluído","Não iniciado",IF(COUNTIF(Lançamentos!$B$3:$B$1001,$B507)=0,"Bloqueado",IF('E5 — Validação'!$D489="","Bloqueado",IF(COUNTIF('E5 — Validação'!$E489:$I489,"⛔ Bloqueado")&gt;0,"Bloqueado",IF('E5 — Validação'!$I489="N/A","Bloqueado",IF(AND('E5 — Validação'!$E489="✔ Concluído",'E5 — Validação'!$F489="✔ Concluído",OR('E5 — Validação'!$G489="✔ Concluído",'E5 — Validação'!$G489="N/A"),'E5 — Validação'!$H489="✔ Concluído",'E5 — Validação'!$I489="✔ Concluído"),"Concluído",IF(COUNTIF('E5 — Validação'!$E489:$I489,"✔ Concluído")+COUNTIF('E5 — Validação'!$E489:$I489,"🔄 Em andamento")&gt;0,"Em andamento","Não iniciado"))))))))</f>
        <v/>
      </c>
      <c r="J507" s="229" t="str">
        <f>IF($B507="","",IF($I507&lt;&gt;"Concluído","Não iniciado",IF('E6 — Ajustes'!$N489="Não","N/A",IF(COUNTIF(Lançamentos!$B$3:$B$1001,$B507)=0,"Bloqueado",IF('E6 — Ajustes'!$D489="","Bloqueado",IF(COUNTIF('E6 — Ajustes'!$E489:$J489,"⛔ Bloqueado")&gt;0,"Bloqueado",IF(AND('E6 — Ajustes'!$E489="✔ Concluído",'E6 — Ajustes'!$F489="✔ Concluído",'E6 — Ajustes'!$G489="✔ Concluído",'E6 — Ajustes'!$H489="✔ Concluído",OR('E6 — Ajustes'!$I489="✔ Concluído",'E6 — Ajustes'!$I489="N/A"),'E6 — Ajustes'!$J489="✔ Concluído"),"Concluído",IF(COUNTIF('E6 — Ajustes'!$E489:$J489,"✔ Concluído")+COUNTIF('E6 — Ajustes'!$E489:$J489,"🔄 Em andamento")&gt;0,"Em andamento","Não iniciado"))))))))</f>
        <v/>
      </c>
      <c r="K507" s="229" t="str">
        <f>IF($B507="","",IF($I507&lt;&gt;"Concluído","Não iniciado",IF(AND($J507&lt;&gt;"Concluído",$J507&lt;&gt;"N/A"),"Não iniciado",IF(COUNTIF(Lançamentos!$B$3:$B$1001,$B507)=0,"Bloqueado",IF('E7 — Entrega'!$D489="","Bloqueado",IF(COUNTIF('E7 — Entrega'!$E489:$H489,"⛔ Bloqueado")&gt;0,"Bloqueado",IF(COUNTIF('E7 — Entrega'!$E489:$H489,"✔ Concluído")=4,"Concluído",IF(COUNTIF('E7 — Entrega'!$E489:$H489,"✔ Concluído")+COUNTIF('E7 — Entrega'!$E489:$H489,"🔄 Em andamento")&gt;0,"Em andamento","Não iniciado"))))))))</f>
        <v/>
      </c>
      <c r="L507" s="229" t="str">
        <f>IF($B507="","",IF($K507&lt;&gt;"Concluído","Não iniciado",IF(OR(COUNTIF('E08 — Estabilização Hypercare'!$E489:$J489,"⛔ Bloqueado")&gt;0,'E08 — Estabilização Hypercare'!$N489="⛔ Incidente Crítico — Encerramento Bloqueado",AND('E08 — Estabilização Hypercare'!$N489="🆕 Evolução Identificada — Nova Demanda Aberta",'E08 — Estabilização Hypercare'!$U489="")),"Bloqueado",IF(AND('E08 — Estabilização Hypercare'!$E489="✔ Concluído",'E08 — Estabilização Hypercare'!$F489="✔ Concluído",'E08 — Estabilização Hypercare'!$G489="✔ Concluído",OR('E08 — Estabilização Hypercare'!$H489="✔ Concluído",'E08 — Estabilização Hypercare'!$H489="N/A"),'E08 — Estabilização Hypercare'!$I489="✔ Concluído",'E08 — Estabilização Hypercare'!$J489="✔ Concluído",OR('E08 — Estabilização Hypercare'!$N489="✅ Estável — Demanda Encerrada",AND('E08 — Estabilização Hypercare'!$N489="🆕 Evolução Identificada — Nova Demanda Aberta",'E08 — Estabilização Hypercare'!$U489&lt;&gt;""))),"Concluído",IF(OR(COUNTIF('E08 — Estabilização Hypercare'!$E489:$J489,"✔ Concluído")&gt;0,COUNTIF('E08 — Estabilização Hypercare'!$E489:$J489,"🔄 Em andamento")&gt;0,'E08 — Estabilização Hypercare'!$N489&lt;&gt;""),"Em andamento","Não iniciado")))))</f>
        <v/>
      </c>
      <c r="M507" s="232" t="str" cm="1">
        <f t="array" ref="M507">IF(B507="","",_xlfn.IFS(E507&lt;&gt;"Concluído","E1 — Solicitação",F507&lt;&gt;"Concluído","E2 — Triagem",G507&lt;&gt;"Concluído","E3 — Levantamento ⚠",H507&lt;&gt;"Concluído","E4 — Execução",I507&lt;&gt;"Concluído","E5 — Validação ⚠",AND(J507&lt;&gt;"Concluído",J507&lt;&gt;"N/A"),"E6 — Ajustes",K507&lt;&gt;"Concluído","E7 — Entrega",L507&lt;&gt;"Concluído","E08 — Estabilização / Hypercare",TRUE,"✔ Fluxo concluído"))</f>
        <v/>
      </c>
      <c r="N507" s="233" t="str">
        <f t="shared" si="8"/>
        <v/>
      </c>
      <c r="O507" s="230"/>
    </row>
    <row r="508" spans="2:15" x14ac:dyDescent="0.35">
      <c r="B508" s="229" t="str">
        <f>IF(Lançamentos!$B485="","",Lançamentos!$B485)</f>
        <v/>
      </c>
      <c r="C508" s="231" t="str">
        <f>IF($B508="","",Lançamentos!$J485)</f>
        <v/>
      </c>
      <c r="D508" s="231" t="str">
        <f>IF($B508="","",Lançamentos!$H485)</f>
        <v/>
      </c>
      <c r="E508" s="229" t="str">
        <f>IF($B508="","",IF(COUNTIF(Lançamentos!$B$3:$B$1001,$B508)=0,"Bloqueado",IF(COUNTIF('E1 — Solicitação'!$E490:$L490,"⛔ Bloqueado")&gt;0,"Bloqueado",IF(COUNTIF('E1 — Solicitação'!$E490:$L490,"N/A")=8,"Bloqueado",IF(COUNTIF('E1 — Solicitação'!$E490:$L490,"✔ Concluído")+COUNTIF('E1 — Solicitação'!$E490:$L490,"N/A")=8,"Concluído",IF(COUNTIF('E1 — Solicitação'!$E490:$L490,"✔ Concluído")+COUNTIF('E1 — Solicitação'!$E490:$L490,"🔄 Em andamento")&gt;0,"Em andamento","Não iniciado"))))))</f>
        <v/>
      </c>
      <c r="F508" s="229" t="str">
        <f>IF($B508="","",IF($E508&lt;&gt;"Concluído","Não iniciado",IF(COUNTIF(Lançamentos!$B$3:$B$1001,$B508)=0,"Bloqueado",IF('E2 — Triagem'!$D490="","Bloqueado",IF(COUNTIF('E2 — Triagem'!$E490:$L490,"N/A")=8,"Bloqueado",IF(COUNTIF('E2 — Triagem'!$E490:$L490,"⛔ Bloqueado")&gt;0,"Bloqueado",IF(COUNTIF('E2 — Triagem'!$E490:$L490,"✔ Concluído")+COUNTIF('E2 — Triagem'!$E490:$L490,"N/A")=8,"Concluído",IF(COUNTIF('E2 — Triagem'!$E490:$L490,"✔ Concluído")+COUNTIF('E2 — Triagem'!$E490:$L490,"🔄 Em andamento")&gt;0,"Em andamento","Não iniciado"))))))))</f>
        <v/>
      </c>
      <c r="G508" s="229" t="str">
        <f>IF($B508="","",IF($F508&lt;&gt;"Concluído","Não iniciado",IF(COUNTIF(Lançamentos!$B$3:$B$1001,$B508)=0,"Bloqueado",IF('E3 — Levantamento'!$D490="","Bloqueado",IF(COUNTIF('E3 — Levantamento'!$E490:$I490,"⛔ Bloqueado")&gt;0,"Bloqueado",IF('E3 — Levantamento'!$I490="N/A","Bloqueado",IF(COUNTIF('E3 — Levantamento'!$E490:$I490,"✔ Concluído")=5,"Concluído",IF(COUNTIF('E3 — Levantamento'!$E490:$I490,"✔ Concluído")+COUNTIF('E3 — Levantamento'!$E490:$I490,"🔄 Em andamento")&gt;0,"Em andamento","Não iniciado"))))))))</f>
        <v/>
      </c>
      <c r="H508" s="229" t="str">
        <f>IF($B508="","",IF($G508&lt;&gt;"Concluído","Não iniciado",IF(COUNTIF(Lançamentos!$B$3:$B$1001,$B508)=0,"Bloqueado",IF('E4 — Execução'!$D490="","Bloqueado",IF(COUNTIF('E4 — Execução'!$E490:$K490,"⛔ Bloqueado")&gt;0,"Bloqueado",IF(COUNTIF('E4 — Execução'!$E490:$K490,"✔ Concluído")=7,"Concluído",IF(COUNTIF('E4 — Execução'!$E490:$K490,"✔ Concluído")+COUNTIF('E4 — Execução'!$E490:$K490,"🔄 Em andamento")&gt;0,"Em andamento","Não iniciado")))))))</f>
        <v/>
      </c>
      <c r="I508" s="229" t="str">
        <f>IF($B508="","",IF($H508&lt;&gt;"Concluído","Não iniciado",IF(COUNTIF(Lançamentos!$B$3:$B$1001,$B508)=0,"Bloqueado",IF('E5 — Validação'!$D490="","Bloqueado",IF(COUNTIF('E5 — Validação'!$E490:$I490,"⛔ Bloqueado")&gt;0,"Bloqueado",IF('E5 — Validação'!$I490="N/A","Bloqueado",IF(AND('E5 — Validação'!$E490="✔ Concluído",'E5 — Validação'!$F490="✔ Concluído",OR('E5 — Validação'!$G490="✔ Concluído",'E5 — Validação'!$G490="N/A"),'E5 — Validação'!$H490="✔ Concluído",'E5 — Validação'!$I490="✔ Concluído"),"Concluído",IF(COUNTIF('E5 — Validação'!$E490:$I490,"✔ Concluído")+COUNTIF('E5 — Validação'!$E490:$I490,"🔄 Em andamento")&gt;0,"Em andamento","Não iniciado"))))))))</f>
        <v/>
      </c>
      <c r="J508" s="229" t="str">
        <f>IF($B508="","",IF($I508&lt;&gt;"Concluído","Não iniciado",IF('E6 — Ajustes'!$N490="Não","N/A",IF(COUNTIF(Lançamentos!$B$3:$B$1001,$B508)=0,"Bloqueado",IF('E6 — Ajustes'!$D490="","Bloqueado",IF(COUNTIF('E6 — Ajustes'!$E490:$J490,"⛔ Bloqueado")&gt;0,"Bloqueado",IF(AND('E6 — Ajustes'!$E490="✔ Concluído",'E6 — Ajustes'!$F490="✔ Concluído",'E6 — Ajustes'!$G490="✔ Concluído",'E6 — Ajustes'!$H490="✔ Concluído",OR('E6 — Ajustes'!$I490="✔ Concluído",'E6 — Ajustes'!$I490="N/A"),'E6 — Ajustes'!$J490="✔ Concluído"),"Concluído",IF(COUNTIF('E6 — Ajustes'!$E490:$J490,"✔ Concluído")+COUNTIF('E6 — Ajustes'!$E490:$J490,"🔄 Em andamento")&gt;0,"Em andamento","Não iniciado"))))))))</f>
        <v/>
      </c>
      <c r="K508" s="229" t="str">
        <f>IF($B508="","",IF($I508&lt;&gt;"Concluído","Não iniciado",IF(AND($J508&lt;&gt;"Concluído",$J508&lt;&gt;"N/A"),"Não iniciado",IF(COUNTIF(Lançamentos!$B$3:$B$1001,$B508)=0,"Bloqueado",IF('E7 — Entrega'!$D490="","Bloqueado",IF(COUNTIF('E7 — Entrega'!$E490:$H490,"⛔ Bloqueado")&gt;0,"Bloqueado",IF(COUNTIF('E7 — Entrega'!$E490:$H490,"✔ Concluído")=4,"Concluído",IF(COUNTIF('E7 — Entrega'!$E490:$H490,"✔ Concluído")+COUNTIF('E7 — Entrega'!$E490:$H490,"🔄 Em andamento")&gt;0,"Em andamento","Não iniciado"))))))))</f>
        <v/>
      </c>
      <c r="L508" s="229" t="str">
        <f>IF($B508="","",IF($K508&lt;&gt;"Concluído","Não iniciado",IF(OR(COUNTIF('E08 — Estabilização Hypercare'!$E490:$J490,"⛔ Bloqueado")&gt;0,'E08 — Estabilização Hypercare'!$N490="⛔ Incidente Crítico — Encerramento Bloqueado",AND('E08 — Estabilização Hypercare'!$N490="🆕 Evolução Identificada — Nova Demanda Aberta",'E08 — Estabilização Hypercare'!$U490="")),"Bloqueado",IF(AND('E08 — Estabilização Hypercare'!$E490="✔ Concluído",'E08 — Estabilização Hypercare'!$F490="✔ Concluído",'E08 — Estabilização Hypercare'!$G490="✔ Concluído",OR('E08 — Estabilização Hypercare'!$H490="✔ Concluído",'E08 — Estabilização Hypercare'!$H490="N/A"),'E08 — Estabilização Hypercare'!$I490="✔ Concluído",'E08 — Estabilização Hypercare'!$J490="✔ Concluído",OR('E08 — Estabilização Hypercare'!$N490="✅ Estável — Demanda Encerrada",AND('E08 — Estabilização Hypercare'!$N490="🆕 Evolução Identificada — Nova Demanda Aberta",'E08 — Estabilização Hypercare'!$U490&lt;&gt;""))),"Concluído",IF(OR(COUNTIF('E08 — Estabilização Hypercare'!$E490:$J490,"✔ Concluído")&gt;0,COUNTIF('E08 — Estabilização Hypercare'!$E490:$J490,"🔄 Em andamento")&gt;0,'E08 — Estabilização Hypercare'!$N490&lt;&gt;""),"Em andamento","Não iniciado")))))</f>
        <v/>
      </c>
      <c r="M508" s="232" t="str" cm="1">
        <f t="array" ref="M508">IF(B508="","",_xlfn.IFS(E508&lt;&gt;"Concluído","E1 — Solicitação",F508&lt;&gt;"Concluído","E2 — Triagem",G508&lt;&gt;"Concluído","E3 — Levantamento ⚠",H508&lt;&gt;"Concluído","E4 — Execução",I508&lt;&gt;"Concluído","E5 — Validação ⚠",AND(J508&lt;&gt;"Concluído",J508&lt;&gt;"N/A"),"E6 — Ajustes",K508&lt;&gt;"Concluído","E7 — Entrega",L508&lt;&gt;"Concluído","E08 — Estabilização / Hypercare",TRUE,"✔ Fluxo concluído"))</f>
        <v/>
      </c>
      <c r="N508" s="233" t="str">
        <f t="shared" si="8"/>
        <v/>
      </c>
      <c r="O508" s="230"/>
    </row>
    <row r="509" spans="2:15" x14ac:dyDescent="0.35">
      <c r="B509" s="229" t="str">
        <f>IF(Lançamentos!$B486="","",Lançamentos!$B486)</f>
        <v/>
      </c>
      <c r="C509" s="231" t="str">
        <f>IF($B509="","",Lançamentos!$J486)</f>
        <v/>
      </c>
      <c r="D509" s="231" t="str">
        <f>IF($B509="","",Lançamentos!$H486)</f>
        <v/>
      </c>
      <c r="E509" s="229" t="str">
        <f>IF($B509="","",IF(COUNTIF(Lançamentos!$B$3:$B$1001,$B509)=0,"Bloqueado",IF(COUNTIF('E1 — Solicitação'!$E491:$L491,"⛔ Bloqueado")&gt;0,"Bloqueado",IF(COUNTIF('E1 — Solicitação'!$E491:$L491,"N/A")=8,"Bloqueado",IF(COUNTIF('E1 — Solicitação'!$E491:$L491,"✔ Concluído")+COUNTIF('E1 — Solicitação'!$E491:$L491,"N/A")=8,"Concluído",IF(COUNTIF('E1 — Solicitação'!$E491:$L491,"✔ Concluído")+COUNTIF('E1 — Solicitação'!$E491:$L491,"🔄 Em andamento")&gt;0,"Em andamento","Não iniciado"))))))</f>
        <v/>
      </c>
      <c r="F509" s="229" t="str">
        <f>IF($B509="","",IF($E509&lt;&gt;"Concluído","Não iniciado",IF(COUNTIF(Lançamentos!$B$3:$B$1001,$B509)=0,"Bloqueado",IF('E2 — Triagem'!$D491="","Bloqueado",IF(COUNTIF('E2 — Triagem'!$E491:$L491,"N/A")=8,"Bloqueado",IF(COUNTIF('E2 — Triagem'!$E491:$L491,"⛔ Bloqueado")&gt;0,"Bloqueado",IF(COUNTIF('E2 — Triagem'!$E491:$L491,"✔ Concluído")+COUNTIF('E2 — Triagem'!$E491:$L491,"N/A")=8,"Concluído",IF(COUNTIF('E2 — Triagem'!$E491:$L491,"✔ Concluído")+COUNTIF('E2 — Triagem'!$E491:$L491,"🔄 Em andamento")&gt;0,"Em andamento","Não iniciado"))))))))</f>
        <v/>
      </c>
      <c r="G509" s="229" t="str">
        <f>IF($B509="","",IF($F509&lt;&gt;"Concluído","Não iniciado",IF(COUNTIF(Lançamentos!$B$3:$B$1001,$B509)=0,"Bloqueado",IF('E3 — Levantamento'!$D491="","Bloqueado",IF(COUNTIF('E3 — Levantamento'!$E491:$I491,"⛔ Bloqueado")&gt;0,"Bloqueado",IF('E3 — Levantamento'!$I491="N/A","Bloqueado",IF(COUNTIF('E3 — Levantamento'!$E491:$I491,"✔ Concluído")=5,"Concluído",IF(COUNTIF('E3 — Levantamento'!$E491:$I491,"✔ Concluído")+COUNTIF('E3 — Levantamento'!$E491:$I491,"🔄 Em andamento")&gt;0,"Em andamento","Não iniciado"))))))))</f>
        <v/>
      </c>
      <c r="H509" s="229" t="str">
        <f>IF($B509="","",IF($G509&lt;&gt;"Concluído","Não iniciado",IF(COUNTIF(Lançamentos!$B$3:$B$1001,$B509)=0,"Bloqueado",IF('E4 — Execução'!$D491="","Bloqueado",IF(COUNTIF('E4 — Execução'!$E491:$K491,"⛔ Bloqueado")&gt;0,"Bloqueado",IF(COUNTIF('E4 — Execução'!$E491:$K491,"✔ Concluído")=7,"Concluído",IF(COUNTIF('E4 — Execução'!$E491:$K491,"✔ Concluído")+COUNTIF('E4 — Execução'!$E491:$K491,"🔄 Em andamento")&gt;0,"Em andamento","Não iniciado")))))))</f>
        <v/>
      </c>
      <c r="I509" s="229" t="str">
        <f>IF($B509="","",IF($H509&lt;&gt;"Concluído","Não iniciado",IF(COUNTIF(Lançamentos!$B$3:$B$1001,$B509)=0,"Bloqueado",IF('E5 — Validação'!$D491="","Bloqueado",IF(COUNTIF('E5 — Validação'!$E491:$I491,"⛔ Bloqueado")&gt;0,"Bloqueado",IF('E5 — Validação'!$I491="N/A","Bloqueado",IF(AND('E5 — Validação'!$E491="✔ Concluído",'E5 — Validação'!$F491="✔ Concluído",OR('E5 — Validação'!$G491="✔ Concluído",'E5 — Validação'!$G491="N/A"),'E5 — Validação'!$H491="✔ Concluído",'E5 — Validação'!$I491="✔ Concluído"),"Concluído",IF(COUNTIF('E5 — Validação'!$E491:$I491,"✔ Concluído")+COUNTIF('E5 — Validação'!$E491:$I491,"🔄 Em andamento")&gt;0,"Em andamento","Não iniciado"))))))))</f>
        <v/>
      </c>
      <c r="J509" s="229" t="str">
        <f>IF($B509="","",IF($I509&lt;&gt;"Concluído","Não iniciado",IF('E6 — Ajustes'!$N491="Não","N/A",IF(COUNTIF(Lançamentos!$B$3:$B$1001,$B509)=0,"Bloqueado",IF('E6 — Ajustes'!$D491="","Bloqueado",IF(COUNTIF('E6 — Ajustes'!$E491:$J491,"⛔ Bloqueado")&gt;0,"Bloqueado",IF(AND('E6 — Ajustes'!$E491="✔ Concluído",'E6 — Ajustes'!$F491="✔ Concluído",'E6 — Ajustes'!$G491="✔ Concluído",'E6 — Ajustes'!$H491="✔ Concluído",OR('E6 — Ajustes'!$I491="✔ Concluído",'E6 — Ajustes'!$I491="N/A"),'E6 — Ajustes'!$J491="✔ Concluído"),"Concluído",IF(COUNTIF('E6 — Ajustes'!$E491:$J491,"✔ Concluído")+COUNTIF('E6 — Ajustes'!$E491:$J491,"🔄 Em andamento")&gt;0,"Em andamento","Não iniciado"))))))))</f>
        <v/>
      </c>
      <c r="K509" s="229" t="str">
        <f>IF($B509="","",IF($I509&lt;&gt;"Concluído","Não iniciado",IF(AND($J509&lt;&gt;"Concluído",$J509&lt;&gt;"N/A"),"Não iniciado",IF(COUNTIF(Lançamentos!$B$3:$B$1001,$B509)=0,"Bloqueado",IF('E7 — Entrega'!$D491="","Bloqueado",IF(COUNTIF('E7 — Entrega'!$E491:$H491,"⛔ Bloqueado")&gt;0,"Bloqueado",IF(COUNTIF('E7 — Entrega'!$E491:$H491,"✔ Concluído")=4,"Concluído",IF(COUNTIF('E7 — Entrega'!$E491:$H491,"✔ Concluído")+COUNTIF('E7 — Entrega'!$E491:$H491,"🔄 Em andamento")&gt;0,"Em andamento","Não iniciado"))))))))</f>
        <v/>
      </c>
      <c r="L509" s="229" t="str">
        <f>IF($B509="","",IF($K509&lt;&gt;"Concluído","Não iniciado",IF(OR(COUNTIF('E08 — Estabilização Hypercare'!$E491:$J491,"⛔ Bloqueado")&gt;0,'E08 — Estabilização Hypercare'!$N491="⛔ Incidente Crítico — Encerramento Bloqueado",AND('E08 — Estabilização Hypercare'!$N491="🆕 Evolução Identificada — Nova Demanda Aberta",'E08 — Estabilização Hypercare'!$U491="")),"Bloqueado",IF(AND('E08 — Estabilização Hypercare'!$E491="✔ Concluído",'E08 — Estabilização Hypercare'!$F491="✔ Concluído",'E08 — Estabilização Hypercare'!$G491="✔ Concluído",OR('E08 — Estabilização Hypercare'!$H491="✔ Concluído",'E08 — Estabilização Hypercare'!$H491="N/A"),'E08 — Estabilização Hypercare'!$I491="✔ Concluído",'E08 — Estabilização Hypercare'!$J491="✔ Concluído",OR('E08 — Estabilização Hypercare'!$N491="✅ Estável — Demanda Encerrada",AND('E08 — Estabilização Hypercare'!$N491="🆕 Evolução Identificada — Nova Demanda Aberta",'E08 — Estabilização Hypercare'!$U491&lt;&gt;""))),"Concluído",IF(OR(COUNTIF('E08 — Estabilização Hypercare'!$E491:$J491,"✔ Concluído")&gt;0,COUNTIF('E08 — Estabilização Hypercare'!$E491:$J491,"🔄 Em andamento")&gt;0,'E08 — Estabilização Hypercare'!$N491&lt;&gt;""),"Em andamento","Não iniciado")))))</f>
        <v/>
      </c>
      <c r="M509" s="232" t="str" cm="1">
        <f t="array" ref="M509">IF(B509="","",_xlfn.IFS(E509&lt;&gt;"Concluído","E1 — Solicitação",F509&lt;&gt;"Concluído","E2 — Triagem",G509&lt;&gt;"Concluído","E3 — Levantamento ⚠",H509&lt;&gt;"Concluído","E4 — Execução",I509&lt;&gt;"Concluído","E5 — Validação ⚠",AND(J509&lt;&gt;"Concluído",J509&lt;&gt;"N/A"),"E6 — Ajustes",K509&lt;&gt;"Concluído","E7 — Entrega",L509&lt;&gt;"Concluído","E08 — Estabilização / Hypercare",TRUE,"✔ Fluxo concluído"))</f>
        <v/>
      </c>
      <c r="N509" s="233" t="str">
        <f t="shared" si="8"/>
        <v/>
      </c>
      <c r="O509" s="230"/>
    </row>
    <row r="510" spans="2:15" x14ac:dyDescent="0.35">
      <c r="B510" s="229" t="str">
        <f>IF(Lançamentos!$B487="","",Lançamentos!$B487)</f>
        <v/>
      </c>
      <c r="C510" s="231" t="str">
        <f>IF($B510="","",Lançamentos!$J487)</f>
        <v/>
      </c>
      <c r="D510" s="231" t="str">
        <f>IF($B510="","",Lançamentos!$H487)</f>
        <v/>
      </c>
      <c r="E510" s="229" t="str">
        <f>IF($B510="","",IF(COUNTIF(Lançamentos!$B$3:$B$1001,$B510)=0,"Bloqueado",IF(COUNTIF('E1 — Solicitação'!$E492:$L492,"⛔ Bloqueado")&gt;0,"Bloqueado",IF(COUNTIF('E1 — Solicitação'!$E492:$L492,"N/A")=8,"Bloqueado",IF(COUNTIF('E1 — Solicitação'!$E492:$L492,"✔ Concluído")+COUNTIF('E1 — Solicitação'!$E492:$L492,"N/A")=8,"Concluído",IF(COUNTIF('E1 — Solicitação'!$E492:$L492,"✔ Concluído")+COUNTIF('E1 — Solicitação'!$E492:$L492,"🔄 Em andamento")&gt;0,"Em andamento","Não iniciado"))))))</f>
        <v/>
      </c>
      <c r="F510" s="229" t="str">
        <f>IF($B510="","",IF($E510&lt;&gt;"Concluído","Não iniciado",IF(COUNTIF(Lançamentos!$B$3:$B$1001,$B510)=0,"Bloqueado",IF('E2 — Triagem'!$D492="","Bloqueado",IF(COUNTIF('E2 — Triagem'!$E492:$L492,"N/A")=8,"Bloqueado",IF(COUNTIF('E2 — Triagem'!$E492:$L492,"⛔ Bloqueado")&gt;0,"Bloqueado",IF(COUNTIF('E2 — Triagem'!$E492:$L492,"✔ Concluído")+COUNTIF('E2 — Triagem'!$E492:$L492,"N/A")=8,"Concluído",IF(COUNTIF('E2 — Triagem'!$E492:$L492,"✔ Concluído")+COUNTIF('E2 — Triagem'!$E492:$L492,"🔄 Em andamento")&gt;0,"Em andamento","Não iniciado"))))))))</f>
        <v/>
      </c>
      <c r="G510" s="229" t="str">
        <f>IF($B510="","",IF($F510&lt;&gt;"Concluído","Não iniciado",IF(COUNTIF(Lançamentos!$B$3:$B$1001,$B510)=0,"Bloqueado",IF('E3 — Levantamento'!$D492="","Bloqueado",IF(COUNTIF('E3 — Levantamento'!$E492:$I492,"⛔ Bloqueado")&gt;0,"Bloqueado",IF('E3 — Levantamento'!$I492="N/A","Bloqueado",IF(COUNTIF('E3 — Levantamento'!$E492:$I492,"✔ Concluído")=5,"Concluído",IF(COUNTIF('E3 — Levantamento'!$E492:$I492,"✔ Concluído")+COUNTIF('E3 — Levantamento'!$E492:$I492,"🔄 Em andamento")&gt;0,"Em andamento","Não iniciado"))))))))</f>
        <v/>
      </c>
      <c r="H510" s="229" t="str">
        <f>IF($B510="","",IF($G510&lt;&gt;"Concluído","Não iniciado",IF(COUNTIF(Lançamentos!$B$3:$B$1001,$B510)=0,"Bloqueado",IF('E4 — Execução'!$D492="","Bloqueado",IF(COUNTIF('E4 — Execução'!$E492:$K492,"⛔ Bloqueado")&gt;0,"Bloqueado",IF(COUNTIF('E4 — Execução'!$E492:$K492,"✔ Concluído")=7,"Concluído",IF(COUNTIF('E4 — Execução'!$E492:$K492,"✔ Concluído")+COUNTIF('E4 — Execução'!$E492:$K492,"🔄 Em andamento")&gt;0,"Em andamento","Não iniciado")))))))</f>
        <v/>
      </c>
      <c r="I510" s="229" t="str">
        <f>IF($B510="","",IF($H510&lt;&gt;"Concluído","Não iniciado",IF(COUNTIF(Lançamentos!$B$3:$B$1001,$B510)=0,"Bloqueado",IF('E5 — Validação'!$D492="","Bloqueado",IF(COUNTIF('E5 — Validação'!$E492:$I492,"⛔ Bloqueado")&gt;0,"Bloqueado",IF('E5 — Validação'!$I492="N/A","Bloqueado",IF(AND('E5 — Validação'!$E492="✔ Concluído",'E5 — Validação'!$F492="✔ Concluído",OR('E5 — Validação'!$G492="✔ Concluído",'E5 — Validação'!$G492="N/A"),'E5 — Validação'!$H492="✔ Concluído",'E5 — Validação'!$I492="✔ Concluído"),"Concluído",IF(COUNTIF('E5 — Validação'!$E492:$I492,"✔ Concluído")+COUNTIF('E5 — Validação'!$E492:$I492,"🔄 Em andamento")&gt;0,"Em andamento","Não iniciado"))))))))</f>
        <v/>
      </c>
      <c r="J510" s="229" t="str">
        <f>IF($B510="","",IF($I510&lt;&gt;"Concluído","Não iniciado",IF('E6 — Ajustes'!$N492="Não","N/A",IF(COUNTIF(Lançamentos!$B$3:$B$1001,$B510)=0,"Bloqueado",IF('E6 — Ajustes'!$D492="","Bloqueado",IF(COUNTIF('E6 — Ajustes'!$E492:$J492,"⛔ Bloqueado")&gt;0,"Bloqueado",IF(AND('E6 — Ajustes'!$E492="✔ Concluído",'E6 — Ajustes'!$F492="✔ Concluído",'E6 — Ajustes'!$G492="✔ Concluído",'E6 — Ajustes'!$H492="✔ Concluído",OR('E6 — Ajustes'!$I492="✔ Concluído",'E6 — Ajustes'!$I492="N/A"),'E6 — Ajustes'!$J492="✔ Concluído"),"Concluído",IF(COUNTIF('E6 — Ajustes'!$E492:$J492,"✔ Concluído")+COUNTIF('E6 — Ajustes'!$E492:$J492,"🔄 Em andamento")&gt;0,"Em andamento","Não iniciado"))))))))</f>
        <v/>
      </c>
      <c r="K510" s="229" t="str">
        <f>IF($B510="","",IF($I510&lt;&gt;"Concluído","Não iniciado",IF(AND($J510&lt;&gt;"Concluído",$J510&lt;&gt;"N/A"),"Não iniciado",IF(COUNTIF(Lançamentos!$B$3:$B$1001,$B510)=0,"Bloqueado",IF('E7 — Entrega'!$D492="","Bloqueado",IF(COUNTIF('E7 — Entrega'!$E492:$H492,"⛔ Bloqueado")&gt;0,"Bloqueado",IF(COUNTIF('E7 — Entrega'!$E492:$H492,"✔ Concluído")=4,"Concluído",IF(COUNTIF('E7 — Entrega'!$E492:$H492,"✔ Concluído")+COUNTIF('E7 — Entrega'!$E492:$H492,"🔄 Em andamento")&gt;0,"Em andamento","Não iniciado"))))))))</f>
        <v/>
      </c>
      <c r="L510" s="229" t="str">
        <f>IF($B510="","",IF($K510&lt;&gt;"Concluído","Não iniciado",IF(OR(COUNTIF('E08 — Estabilização Hypercare'!$E492:$J492,"⛔ Bloqueado")&gt;0,'E08 — Estabilização Hypercare'!$N492="⛔ Incidente Crítico — Encerramento Bloqueado",AND('E08 — Estabilização Hypercare'!$N492="🆕 Evolução Identificada — Nova Demanda Aberta",'E08 — Estabilização Hypercare'!$U492="")),"Bloqueado",IF(AND('E08 — Estabilização Hypercare'!$E492="✔ Concluído",'E08 — Estabilização Hypercare'!$F492="✔ Concluído",'E08 — Estabilização Hypercare'!$G492="✔ Concluído",OR('E08 — Estabilização Hypercare'!$H492="✔ Concluído",'E08 — Estabilização Hypercare'!$H492="N/A"),'E08 — Estabilização Hypercare'!$I492="✔ Concluído",'E08 — Estabilização Hypercare'!$J492="✔ Concluído",OR('E08 — Estabilização Hypercare'!$N492="✅ Estável — Demanda Encerrada",AND('E08 — Estabilização Hypercare'!$N492="🆕 Evolução Identificada — Nova Demanda Aberta",'E08 — Estabilização Hypercare'!$U492&lt;&gt;""))),"Concluído",IF(OR(COUNTIF('E08 — Estabilização Hypercare'!$E492:$J492,"✔ Concluído")&gt;0,COUNTIF('E08 — Estabilização Hypercare'!$E492:$J492,"🔄 Em andamento")&gt;0,'E08 — Estabilização Hypercare'!$N492&lt;&gt;""),"Em andamento","Não iniciado")))))</f>
        <v/>
      </c>
      <c r="M510" s="232" t="str" cm="1">
        <f t="array" ref="M510">IF(B510="","",_xlfn.IFS(E510&lt;&gt;"Concluído","E1 — Solicitação",F510&lt;&gt;"Concluído","E2 — Triagem",G510&lt;&gt;"Concluído","E3 — Levantamento ⚠",H510&lt;&gt;"Concluído","E4 — Execução",I510&lt;&gt;"Concluído","E5 — Validação ⚠",AND(J510&lt;&gt;"Concluído",J510&lt;&gt;"N/A"),"E6 — Ajustes",K510&lt;&gt;"Concluído","E7 — Entrega",L510&lt;&gt;"Concluído","E08 — Estabilização / Hypercare",TRUE,"✔ Fluxo concluído"))</f>
        <v/>
      </c>
      <c r="N510" s="233" t="str">
        <f t="shared" si="8"/>
        <v/>
      </c>
      <c r="O510" s="230"/>
    </row>
    <row r="511" spans="2:15" x14ac:dyDescent="0.35">
      <c r="B511" s="229" t="str">
        <f>IF(Lançamentos!$B488="","",Lançamentos!$B488)</f>
        <v/>
      </c>
      <c r="C511" s="231" t="str">
        <f>IF($B511="","",Lançamentos!$J488)</f>
        <v/>
      </c>
      <c r="D511" s="231" t="str">
        <f>IF($B511="","",Lançamentos!$H488)</f>
        <v/>
      </c>
      <c r="E511" s="229" t="str">
        <f>IF($B511="","",IF(COUNTIF(Lançamentos!$B$3:$B$1001,$B511)=0,"Bloqueado",IF(COUNTIF('E1 — Solicitação'!$E493:$L493,"⛔ Bloqueado")&gt;0,"Bloqueado",IF(COUNTIF('E1 — Solicitação'!$E493:$L493,"N/A")=8,"Bloqueado",IF(COUNTIF('E1 — Solicitação'!$E493:$L493,"✔ Concluído")+COUNTIF('E1 — Solicitação'!$E493:$L493,"N/A")=8,"Concluído",IF(COUNTIF('E1 — Solicitação'!$E493:$L493,"✔ Concluído")+COUNTIF('E1 — Solicitação'!$E493:$L493,"🔄 Em andamento")&gt;0,"Em andamento","Não iniciado"))))))</f>
        <v/>
      </c>
      <c r="F511" s="229" t="str">
        <f>IF($B511="","",IF($E511&lt;&gt;"Concluído","Não iniciado",IF(COUNTIF(Lançamentos!$B$3:$B$1001,$B511)=0,"Bloqueado",IF('E2 — Triagem'!$D493="","Bloqueado",IF(COUNTIF('E2 — Triagem'!$E493:$L493,"N/A")=8,"Bloqueado",IF(COUNTIF('E2 — Triagem'!$E493:$L493,"⛔ Bloqueado")&gt;0,"Bloqueado",IF(COUNTIF('E2 — Triagem'!$E493:$L493,"✔ Concluído")+COUNTIF('E2 — Triagem'!$E493:$L493,"N/A")=8,"Concluído",IF(COUNTIF('E2 — Triagem'!$E493:$L493,"✔ Concluído")+COUNTIF('E2 — Triagem'!$E493:$L493,"🔄 Em andamento")&gt;0,"Em andamento","Não iniciado"))))))))</f>
        <v/>
      </c>
      <c r="G511" s="229" t="str">
        <f>IF($B511="","",IF($F511&lt;&gt;"Concluído","Não iniciado",IF(COUNTIF(Lançamentos!$B$3:$B$1001,$B511)=0,"Bloqueado",IF('E3 — Levantamento'!$D493="","Bloqueado",IF(COUNTIF('E3 — Levantamento'!$E493:$I493,"⛔ Bloqueado")&gt;0,"Bloqueado",IF('E3 — Levantamento'!$I493="N/A","Bloqueado",IF(COUNTIF('E3 — Levantamento'!$E493:$I493,"✔ Concluído")=5,"Concluído",IF(COUNTIF('E3 — Levantamento'!$E493:$I493,"✔ Concluído")+COUNTIF('E3 — Levantamento'!$E493:$I493,"🔄 Em andamento")&gt;0,"Em andamento","Não iniciado"))))))))</f>
        <v/>
      </c>
      <c r="H511" s="229" t="str">
        <f>IF($B511="","",IF($G511&lt;&gt;"Concluído","Não iniciado",IF(COUNTIF(Lançamentos!$B$3:$B$1001,$B511)=0,"Bloqueado",IF('E4 — Execução'!$D493="","Bloqueado",IF(COUNTIF('E4 — Execução'!$E493:$K493,"⛔ Bloqueado")&gt;0,"Bloqueado",IF(COUNTIF('E4 — Execução'!$E493:$K493,"✔ Concluído")=7,"Concluído",IF(COUNTIF('E4 — Execução'!$E493:$K493,"✔ Concluído")+COUNTIF('E4 — Execução'!$E493:$K493,"🔄 Em andamento")&gt;0,"Em andamento","Não iniciado")))))))</f>
        <v/>
      </c>
      <c r="I511" s="229" t="str">
        <f>IF($B511="","",IF($H511&lt;&gt;"Concluído","Não iniciado",IF(COUNTIF(Lançamentos!$B$3:$B$1001,$B511)=0,"Bloqueado",IF('E5 — Validação'!$D493="","Bloqueado",IF(COUNTIF('E5 — Validação'!$E493:$I493,"⛔ Bloqueado")&gt;0,"Bloqueado",IF('E5 — Validação'!$I493="N/A","Bloqueado",IF(AND('E5 — Validação'!$E493="✔ Concluído",'E5 — Validação'!$F493="✔ Concluído",OR('E5 — Validação'!$G493="✔ Concluído",'E5 — Validação'!$G493="N/A"),'E5 — Validação'!$H493="✔ Concluído",'E5 — Validação'!$I493="✔ Concluído"),"Concluído",IF(COUNTIF('E5 — Validação'!$E493:$I493,"✔ Concluído")+COUNTIF('E5 — Validação'!$E493:$I493,"🔄 Em andamento")&gt;0,"Em andamento","Não iniciado"))))))))</f>
        <v/>
      </c>
      <c r="J511" s="229" t="str">
        <f>IF($B511="","",IF($I511&lt;&gt;"Concluído","Não iniciado",IF('E6 — Ajustes'!$N493="Não","N/A",IF(COUNTIF(Lançamentos!$B$3:$B$1001,$B511)=0,"Bloqueado",IF('E6 — Ajustes'!$D493="","Bloqueado",IF(COUNTIF('E6 — Ajustes'!$E493:$J493,"⛔ Bloqueado")&gt;0,"Bloqueado",IF(AND('E6 — Ajustes'!$E493="✔ Concluído",'E6 — Ajustes'!$F493="✔ Concluído",'E6 — Ajustes'!$G493="✔ Concluído",'E6 — Ajustes'!$H493="✔ Concluído",OR('E6 — Ajustes'!$I493="✔ Concluído",'E6 — Ajustes'!$I493="N/A"),'E6 — Ajustes'!$J493="✔ Concluído"),"Concluído",IF(COUNTIF('E6 — Ajustes'!$E493:$J493,"✔ Concluído")+COUNTIF('E6 — Ajustes'!$E493:$J493,"🔄 Em andamento")&gt;0,"Em andamento","Não iniciado"))))))))</f>
        <v/>
      </c>
      <c r="K511" s="229" t="str">
        <f>IF($B511="","",IF($I511&lt;&gt;"Concluído","Não iniciado",IF(AND($J511&lt;&gt;"Concluído",$J511&lt;&gt;"N/A"),"Não iniciado",IF(COUNTIF(Lançamentos!$B$3:$B$1001,$B511)=0,"Bloqueado",IF('E7 — Entrega'!$D493="","Bloqueado",IF(COUNTIF('E7 — Entrega'!$E493:$H493,"⛔ Bloqueado")&gt;0,"Bloqueado",IF(COUNTIF('E7 — Entrega'!$E493:$H493,"✔ Concluído")=4,"Concluído",IF(COUNTIF('E7 — Entrega'!$E493:$H493,"✔ Concluído")+COUNTIF('E7 — Entrega'!$E493:$H493,"🔄 Em andamento")&gt;0,"Em andamento","Não iniciado"))))))))</f>
        <v/>
      </c>
      <c r="L511" s="229" t="str">
        <f>IF($B511="","",IF($K511&lt;&gt;"Concluído","Não iniciado",IF(OR(COUNTIF('E08 — Estabilização Hypercare'!$E493:$J493,"⛔ Bloqueado")&gt;0,'E08 — Estabilização Hypercare'!$N493="⛔ Incidente Crítico — Encerramento Bloqueado",AND('E08 — Estabilização Hypercare'!$N493="🆕 Evolução Identificada — Nova Demanda Aberta",'E08 — Estabilização Hypercare'!$U493="")),"Bloqueado",IF(AND('E08 — Estabilização Hypercare'!$E493="✔ Concluído",'E08 — Estabilização Hypercare'!$F493="✔ Concluído",'E08 — Estabilização Hypercare'!$G493="✔ Concluído",OR('E08 — Estabilização Hypercare'!$H493="✔ Concluído",'E08 — Estabilização Hypercare'!$H493="N/A"),'E08 — Estabilização Hypercare'!$I493="✔ Concluído",'E08 — Estabilização Hypercare'!$J493="✔ Concluído",OR('E08 — Estabilização Hypercare'!$N493="✅ Estável — Demanda Encerrada",AND('E08 — Estabilização Hypercare'!$N493="🆕 Evolução Identificada — Nova Demanda Aberta",'E08 — Estabilização Hypercare'!$U493&lt;&gt;""))),"Concluído",IF(OR(COUNTIF('E08 — Estabilização Hypercare'!$E493:$J493,"✔ Concluído")&gt;0,COUNTIF('E08 — Estabilização Hypercare'!$E493:$J493,"🔄 Em andamento")&gt;0,'E08 — Estabilização Hypercare'!$N493&lt;&gt;""),"Em andamento","Não iniciado")))))</f>
        <v/>
      </c>
      <c r="M511" s="232" t="str" cm="1">
        <f t="array" ref="M511">IF(B511="","",_xlfn.IFS(E511&lt;&gt;"Concluído","E1 — Solicitação",F511&lt;&gt;"Concluído","E2 — Triagem",G511&lt;&gt;"Concluído","E3 — Levantamento ⚠",H511&lt;&gt;"Concluído","E4 — Execução",I511&lt;&gt;"Concluído","E5 — Validação ⚠",AND(J511&lt;&gt;"Concluído",J511&lt;&gt;"N/A"),"E6 — Ajustes",K511&lt;&gt;"Concluído","E7 — Entrega",L511&lt;&gt;"Concluído","E08 — Estabilização / Hypercare",TRUE,"✔ Fluxo concluído"))</f>
        <v/>
      </c>
      <c r="N511" s="233" t="str">
        <f t="shared" si="8"/>
        <v/>
      </c>
      <c r="O511" s="230"/>
    </row>
    <row r="512" spans="2:15" x14ac:dyDescent="0.35">
      <c r="B512" s="229" t="str">
        <f>IF(Lançamentos!$B489="","",Lançamentos!$B489)</f>
        <v/>
      </c>
      <c r="C512" s="231" t="str">
        <f>IF($B512="","",Lançamentos!$J489)</f>
        <v/>
      </c>
      <c r="D512" s="231" t="str">
        <f>IF($B512="","",Lançamentos!$H489)</f>
        <v/>
      </c>
      <c r="E512" s="229" t="str">
        <f>IF($B512="","",IF(COUNTIF(Lançamentos!$B$3:$B$1001,$B512)=0,"Bloqueado",IF(COUNTIF('E1 — Solicitação'!$E494:$L494,"⛔ Bloqueado")&gt;0,"Bloqueado",IF(COUNTIF('E1 — Solicitação'!$E494:$L494,"N/A")=8,"Bloqueado",IF(COUNTIF('E1 — Solicitação'!$E494:$L494,"✔ Concluído")+COUNTIF('E1 — Solicitação'!$E494:$L494,"N/A")=8,"Concluído",IF(COUNTIF('E1 — Solicitação'!$E494:$L494,"✔ Concluído")+COUNTIF('E1 — Solicitação'!$E494:$L494,"🔄 Em andamento")&gt;0,"Em andamento","Não iniciado"))))))</f>
        <v/>
      </c>
      <c r="F512" s="229" t="str">
        <f>IF($B512="","",IF($E512&lt;&gt;"Concluído","Não iniciado",IF(COUNTIF(Lançamentos!$B$3:$B$1001,$B512)=0,"Bloqueado",IF('E2 — Triagem'!$D494="","Bloqueado",IF(COUNTIF('E2 — Triagem'!$E494:$L494,"N/A")=8,"Bloqueado",IF(COUNTIF('E2 — Triagem'!$E494:$L494,"⛔ Bloqueado")&gt;0,"Bloqueado",IF(COUNTIF('E2 — Triagem'!$E494:$L494,"✔ Concluído")+COUNTIF('E2 — Triagem'!$E494:$L494,"N/A")=8,"Concluído",IF(COUNTIF('E2 — Triagem'!$E494:$L494,"✔ Concluído")+COUNTIF('E2 — Triagem'!$E494:$L494,"🔄 Em andamento")&gt;0,"Em andamento","Não iniciado"))))))))</f>
        <v/>
      </c>
      <c r="G512" s="229" t="str">
        <f>IF($B512="","",IF($F512&lt;&gt;"Concluído","Não iniciado",IF(COUNTIF(Lançamentos!$B$3:$B$1001,$B512)=0,"Bloqueado",IF('E3 — Levantamento'!$D494="","Bloqueado",IF(COUNTIF('E3 — Levantamento'!$E494:$I494,"⛔ Bloqueado")&gt;0,"Bloqueado",IF('E3 — Levantamento'!$I494="N/A","Bloqueado",IF(COUNTIF('E3 — Levantamento'!$E494:$I494,"✔ Concluído")=5,"Concluído",IF(COUNTIF('E3 — Levantamento'!$E494:$I494,"✔ Concluído")+COUNTIF('E3 — Levantamento'!$E494:$I494,"🔄 Em andamento")&gt;0,"Em andamento","Não iniciado"))))))))</f>
        <v/>
      </c>
      <c r="H512" s="229" t="str">
        <f>IF($B512="","",IF($G512&lt;&gt;"Concluído","Não iniciado",IF(COUNTIF(Lançamentos!$B$3:$B$1001,$B512)=0,"Bloqueado",IF('E4 — Execução'!$D494="","Bloqueado",IF(COUNTIF('E4 — Execução'!$E494:$K494,"⛔ Bloqueado")&gt;0,"Bloqueado",IF(COUNTIF('E4 — Execução'!$E494:$K494,"✔ Concluído")=7,"Concluído",IF(COUNTIF('E4 — Execução'!$E494:$K494,"✔ Concluído")+COUNTIF('E4 — Execução'!$E494:$K494,"🔄 Em andamento")&gt;0,"Em andamento","Não iniciado")))))))</f>
        <v/>
      </c>
      <c r="I512" s="229" t="str">
        <f>IF($B512="","",IF($H512&lt;&gt;"Concluído","Não iniciado",IF(COUNTIF(Lançamentos!$B$3:$B$1001,$B512)=0,"Bloqueado",IF('E5 — Validação'!$D494="","Bloqueado",IF(COUNTIF('E5 — Validação'!$E494:$I494,"⛔ Bloqueado")&gt;0,"Bloqueado",IF('E5 — Validação'!$I494="N/A","Bloqueado",IF(AND('E5 — Validação'!$E494="✔ Concluído",'E5 — Validação'!$F494="✔ Concluído",OR('E5 — Validação'!$G494="✔ Concluído",'E5 — Validação'!$G494="N/A"),'E5 — Validação'!$H494="✔ Concluído",'E5 — Validação'!$I494="✔ Concluído"),"Concluído",IF(COUNTIF('E5 — Validação'!$E494:$I494,"✔ Concluído")+COUNTIF('E5 — Validação'!$E494:$I494,"🔄 Em andamento")&gt;0,"Em andamento","Não iniciado"))))))))</f>
        <v/>
      </c>
      <c r="J512" s="229" t="str">
        <f>IF($B512="","",IF($I512&lt;&gt;"Concluído","Não iniciado",IF('E6 — Ajustes'!$N494="Não","N/A",IF(COUNTIF(Lançamentos!$B$3:$B$1001,$B512)=0,"Bloqueado",IF('E6 — Ajustes'!$D494="","Bloqueado",IF(COUNTIF('E6 — Ajustes'!$E494:$J494,"⛔ Bloqueado")&gt;0,"Bloqueado",IF(AND('E6 — Ajustes'!$E494="✔ Concluído",'E6 — Ajustes'!$F494="✔ Concluído",'E6 — Ajustes'!$G494="✔ Concluído",'E6 — Ajustes'!$H494="✔ Concluído",OR('E6 — Ajustes'!$I494="✔ Concluído",'E6 — Ajustes'!$I494="N/A"),'E6 — Ajustes'!$J494="✔ Concluído"),"Concluído",IF(COUNTIF('E6 — Ajustes'!$E494:$J494,"✔ Concluído")+COUNTIF('E6 — Ajustes'!$E494:$J494,"🔄 Em andamento")&gt;0,"Em andamento","Não iniciado"))))))))</f>
        <v/>
      </c>
      <c r="K512" s="229" t="str">
        <f>IF($B512="","",IF($I512&lt;&gt;"Concluído","Não iniciado",IF(AND($J512&lt;&gt;"Concluído",$J512&lt;&gt;"N/A"),"Não iniciado",IF(COUNTIF(Lançamentos!$B$3:$B$1001,$B512)=0,"Bloqueado",IF('E7 — Entrega'!$D494="","Bloqueado",IF(COUNTIF('E7 — Entrega'!$E494:$H494,"⛔ Bloqueado")&gt;0,"Bloqueado",IF(COUNTIF('E7 — Entrega'!$E494:$H494,"✔ Concluído")=4,"Concluído",IF(COUNTIF('E7 — Entrega'!$E494:$H494,"✔ Concluído")+COUNTIF('E7 — Entrega'!$E494:$H494,"🔄 Em andamento")&gt;0,"Em andamento","Não iniciado"))))))))</f>
        <v/>
      </c>
      <c r="L512" s="229" t="str">
        <f>IF($B512="","",IF($K512&lt;&gt;"Concluído","Não iniciado",IF(OR(COUNTIF('E08 — Estabilização Hypercare'!$E494:$J494,"⛔ Bloqueado")&gt;0,'E08 — Estabilização Hypercare'!$N494="⛔ Incidente Crítico — Encerramento Bloqueado",AND('E08 — Estabilização Hypercare'!$N494="🆕 Evolução Identificada — Nova Demanda Aberta",'E08 — Estabilização Hypercare'!$U494="")),"Bloqueado",IF(AND('E08 — Estabilização Hypercare'!$E494="✔ Concluído",'E08 — Estabilização Hypercare'!$F494="✔ Concluído",'E08 — Estabilização Hypercare'!$G494="✔ Concluído",OR('E08 — Estabilização Hypercare'!$H494="✔ Concluído",'E08 — Estabilização Hypercare'!$H494="N/A"),'E08 — Estabilização Hypercare'!$I494="✔ Concluído",'E08 — Estabilização Hypercare'!$J494="✔ Concluído",OR('E08 — Estabilização Hypercare'!$N494="✅ Estável — Demanda Encerrada",AND('E08 — Estabilização Hypercare'!$N494="🆕 Evolução Identificada — Nova Demanda Aberta",'E08 — Estabilização Hypercare'!$U494&lt;&gt;""))),"Concluído",IF(OR(COUNTIF('E08 — Estabilização Hypercare'!$E494:$J494,"✔ Concluído")&gt;0,COUNTIF('E08 — Estabilização Hypercare'!$E494:$J494,"🔄 Em andamento")&gt;0,'E08 — Estabilização Hypercare'!$N494&lt;&gt;""),"Em andamento","Não iniciado")))))</f>
        <v/>
      </c>
      <c r="M512" s="232" t="str" cm="1">
        <f t="array" ref="M512">IF(B512="","",_xlfn.IFS(E512&lt;&gt;"Concluído","E1 — Solicitação",F512&lt;&gt;"Concluído","E2 — Triagem",G512&lt;&gt;"Concluído","E3 — Levantamento ⚠",H512&lt;&gt;"Concluído","E4 — Execução",I512&lt;&gt;"Concluído","E5 — Validação ⚠",AND(J512&lt;&gt;"Concluído",J512&lt;&gt;"N/A"),"E6 — Ajustes",K512&lt;&gt;"Concluído","E7 — Entrega",L512&lt;&gt;"Concluído","E08 — Estabilização / Hypercare",TRUE,"✔ Fluxo concluído"))</f>
        <v/>
      </c>
      <c r="N512" s="233" t="str">
        <f t="shared" si="8"/>
        <v/>
      </c>
      <c r="O512" s="230"/>
    </row>
    <row r="513" spans="2:15" x14ac:dyDescent="0.35">
      <c r="B513" s="229" t="str">
        <f>IF(Lançamentos!$B490="","",Lançamentos!$B490)</f>
        <v/>
      </c>
      <c r="C513" s="231" t="str">
        <f>IF($B513="","",Lançamentos!$J490)</f>
        <v/>
      </c>
      <c r="D513" s="231" t="str">
        <f>IF($B513="","",Lançamentos!$H490)</f>
        <v/>
      </c>
      <c r="E513" s="229" t="str">
        <f>IF($B513="","",IF(COUNTIF(Lançamentos!$B$3:$B$1001,$B513)=0,"Bloqueado",IF(COUNTIF('E1 — Solicitação'!$E495:$L495,"⛔ Bloqueado")&gt;0,"Bloqueado",IF(COUNTIF('E1 — Solicitação'!$E495:$L495,"N/A")=8,"Bloqueado",IF(COUNTIF('E1 — Solicitação'!$E495:$L495,"✔ Concluído")+COUNTIF('E1 — Solicitação'!$E495:$L495,"N/A")=8,"Concluído",IF(COUNTIF('E1 — Solicitação'!$E495:$L495,"✔ Concluído")+COUNTIF('E1 — Solicitação'!$E495:$L495,"🔄 Em andamento")&gt;0,"Em andamento","Não iniciado"))))))</f>
        <v/>
      </c>
      <c r="F513" s="229" t="str">
        <f>IF($B513="","",IF($E513&lt;&gt;"Concluído","Não iniciado",IF(COUNTIF(Lançamentos!$B$3:$B$1001,$B513)=0,"Bloqueado",IF('E2 — Triagem'!$D495="","Bloqueado",IF(COUNTIF('E2 — Triagem'!$E495:$L495,"N/A")=8,"Bloqueado",IF(COUNTIF('E2 — Triagem'!$E495:$L495,"⛔ Bloqueado")&gt;0,"Bloqueado",IF(COUNTIF('E2 — Triagem'!$E495:$L495,"✔ Concluído")+COUNTIF('E2 — Triagem'!$E495:$L495,"N/A")=8,"Concluído",IF(COUNTIF('E2 — Triagem'!$E495:$L495,"✔ Concluído")+COUNTIF('E2 — Triagem'!$E495:$L495,"🔄 Em andamento")&gt;0,"Em andamento","Não iniciado"))))))))</f>
        <v/>
      </c>
      <c r="G513" s="229" t="str">
        <f>IF($B513="","",IF($F513&lt;&gt;"Concluído","Não iniciado",IF(COUNTIF(Lançamentos!$B$3:$B$1001,$B513)=0,"Bloqueado",IF('E3 — Levantamento'!$D495="","Bloqueado",IF(COUNTIF('E3 — Levantamento'!$E495:$I495,"⛔ Bloqueado")&gt;0,"Bloqueado",IF('E3 — Levantamento'!$I495="N/A","Bloqueado",IF(COUNTIF('E3 — Levantamento'!$E495:$I495,"✔ Concluído")=5,"Concluído",IF(COUNTIF('E3 — Levantamento'!$E495:$I495,"✔ Concluído")+COUNTIF('E3 — Levantamento'!$E495:$I495,"🔄 Em andamento")&gt;0,"Em andamento","Não iniciado"))))))))</f>
        <v/>
      </c>
      <c r="H513" s="229" t="str">
        <f>IF($B513="","",IF($G513&lt;&gt;"Concluído","Não iniciado",IF(COUNTIF(Lançamentos!$B$3:$B$1001,$B513)=0,"Bloqueado",IF('E4 — Execução'!$D495="","Bloqueado",IF(COUNTIF('E4 — Execução'!$E495:$K495,"⛔ Bloqueado")&gt;0,"Bloqueado",IF(COUNTIF('E4 — Execução'!$E495:$K495,"✔ Concluído")=7,"Concluído",IF(COUNTIF('E4 — Execução'!$E495:$K495,"✔ Concluído")+COUNTIF('E4 — Execução'!$E495:$K495,"🔄 Em andamento")&gt;0,"Em andamento","Não iniciado")))))))</f>
        <v/>
      </c>
      <c r="I513" s="229" t="str">
        <f>IF($B513="","",IF($H513&lt;&gt;"Concluído","Não iniciado",IF(COUNTIF(Lançamentos!$B$3:$B$1001,$B513)=0,"Bloqueado",IF('E5 — Validação'!$D495="","Bloqueado",IF(COUNTIF('E5 — Validação'!$E495:$I495,"⛔ Bloqueado")&gt;0,"Bloqueado",IF('E5 — Validação'!$I495="N/A","Bloqueado",IF(AND('E5 — Validação'!$E495="✔ Concluído",'E5 — Validação'!$F495="✔ Concluído",OR('E5 — Validação'!$G495="✔ Concluído",'E5 — Validação'!$G495="N/A"),'E5 — Validação'!$H495="✔ Concluído",'E5 — Validação'!$I495="✔ Concluído"),"Concluído",IF(COUNTIF('E5 — Validação'!$E495:$I495,"✔ Concluído")+COUNTIF('E5 — Validação'!$E495:$I495,"🔄 Em andamento")&gt;0,"Em andamento","Não iniciado"))))))))</f>
        <v/>
      </c>
      <c r="J513" s="229" t="str">
        <f>IF($B513="","",IF($I513&lt;&gt;"Concluído","Não iniciado",IF('E6 — Ajustes'!$N495="Não","N/A",IF(COUNTIF(Lançamentos!$B$3:$B$1001,$B513)=0,"Bloqueado",IF('E6 — Ajustes'!$D495="","Bloqueado",IF(COUNTIF('E6 — Ajustes'!$E495:$J495,"⛔ Bloqueado")&gt;0,"Bloqueado",IF(AND('E6 — Ajustes'!$E495="✔ Concluído",'E6 — Ajustes'!$F495="✔ Concluído",'E6 — Ajustes'!$G495="✔ Concluído",'E6 — Ajustes'!$H495="✔ Concluído",OR('E6 — Ajustes'!$I495="✔ Concluído",'E6 — Ajustes'!$I495="N/A"),'E6 — Ajustes'!$J495="✔ Concluído"),"Concluído",IF(COUNTIF('E6 — Ajustes'!$E495:$J495,"✔ Concluído")+COUNTIF('E6 — Ajustes'!$E495:$J495,"🔄 Em andamento")&gt;0,"Em andamento","Não iniciado"))))))))</f>
        <v/>
      </c>
      <c r="K513" s="229" t="str">
        <f>IF($B513="","",IF($I513&lt;&gt;"Concluído","Não iniciado",IF(AND($J513&lt;&gt;"Concluído",$J513&lt;&gt;"N/A"),"Não iniciado",IF(COUNTIF(Lançamentos!$B$3:$B$1001,$B513)=0,"Bloqueado",IF('E7 — Entrega'!$D495="","Bloqueado",IF(COUNTIF('E7 — Entrega'!$E495:$H495,"⛔ Bloqueado")&gt;0,"Bloqueado",IF(COUNTIF('E7 — Entrega'!$E495:$H495,"✔ Concluído")=4,"Concluído",IF(COUNTIF('E7 — Entrega'!$E495:$H495,"✔ Concluído")+COUNTIF('E7 — Entrega'!$E495:$H495,"🔄 Em andamento")&gt;0,"Em andamento","Não iniciado"))))))))</f>
        <v/>
      </c>
      <c r="L513" s="229" t="str">
        <f>IF($B513="","",IF($K513&lt;&gt;"Concluído","Não iniciado",IF(OR(COUNTIF('E08 — Estabilização Hypercare'!$E495:$J495,"⛔ Bloqueado")&gt;0,'E08 — Estabilização Hypercare'!$N495="⛔ Incidente Crítico — Encerramento Bloqueado",AND('E08 — Estabilização Hypercare'!$N495="🆕 Evolução Identificada — Nova Demanda Aberta",'E08 — Estabilização Hypercare'!$U495="")),"Bloqueado",IF(AND('E08 — Estabilização Hypercare'!$E495="✔ Concluído",'E08 — Estabilização Hypercare'!$F495="✔ Concluído",'E08 — Estabilização Hypercare'!$G495="✔ Concluído",OR('E08 — Estabilização Hypercare'!$H495="✔ Concluído",'E08 — Estabilização Hypercare'!$H495="N/A"),'E08 — Estabilização Hypercare'!$I495="✔ Concluído",'E08 — Estabilização Hypercare'!$J495="✔ Concluído",OR('E08 — Estabilização Hypercare'!$N495="✅ Estável — Demanda Encerrada",AND('E08 — Estabilização Hypercare'!$N495="🆕 Evolução Identificada — Nova Demanda Aberta",'E08 — Estabilização Hypercare'!$U495&lt;&gt;""))),"Concluído",IF(OR(COUNTIF('E08 — Estabilização Hypercare'!$E495:$J495,"✔ Concluído")&gt;0,COUNTIF('E08 — Estabilização Hypercare'!$E495:$J495,"🔄 Em andamento")&gt;0,'E08 — Estabilização Hypercare'!$N495&lt;&gt;""),"Em andamento","Não iniciado")))))</f>
        <v/>
      </c>
      <c r="M513" s="232" t="str" cm="1">
        <f t="array" ref="M513">IF(B513="","",_xlfn.IFS(E513&lt;&gt;"Concluído","E1 — Solicitação",F513&lt;&gt;"Concluído","E2 — Triagem",G513&lt;&gt;"Concluído","E3 — Levantamento ⚠",H513&lt;&gt;"Concluído","E4 — Execução",I513&lt;&gt;"Concluído","E5 — Validação ⚠",AND(J513&lt;&gt;"Concluído",J513&lt;&gt;"N/A"),"E6 — Ajustes",K513&lt;&gt;"Concluído","E7 — Entrega",L513&lt;&gt;"Concluído","E08 — Estabilização / Hypercare",TRUE,"✔ Fluxo concluído"))</f>
        <v/>
      </c>
      <c r="N513" s="233" t="str">
        <f t="shared" si="8"/>
        <v/>
      </c>
      <c r="O513" s="230"/>
    </row>
    <row r="514" spans="2:15" x14ac:dyDescent="0.35">
      <c r="B514" s="229" t="str">
        <f>IF(Lançamentos!$B491="","",Lançamentos!$B491)</f>
        <v/>
      </c>
      <c r="C514" s="231" t="str">
        <f>IF($B514="","",Lançamentos!$J491)</f>
        <v/>
      </c>
      <c r="D514" s="231" t="str">
        <f>IF($B514="","",Lançamentos!$H491)</f>
        <v/>
      </c>
      <c r="E514" s="229" t="str">
        <f>IF($B514="","",IF(COUNTIF(Lançamentos!$B$3:$B$1001,$B514)=0,"Bloqueado",IF(COUNTIF('E1 — Solicitação'!$E496:$L496,"⛔ Bloqueado")&gt;0,"Bloqueado",IF(COUNTIF('E1 — Solicitação'!$E496:$L496,"N/A")=8,"Bloqueado",IF(COUNTIF('E1 — Solicitação'!$E496:$L496,"✔ Concluído")+COUNTIF('E1 — Solicitação'!$E496:$L496,"N/A")=8,"Concluído",IF(COUNTIF('E1 — Solicitação'!$E496:$L496,"✔ Concluído")+COUNTIF('E1 — Solicitação'!$E496:$L496,"🔄 Em andamento")&gt;0,"Em andamento","Não iniciado"))))))</f>
        <v/>
      </c>
      <c r="F514" s="229" t="str">
        <f>IF($B514="","",IF($E514&lt;&gt;"Concluído","Não iniciado",IF(COUNTIF(Lançamentos!$B$3:$B$1001,$B514)=0,"Bloqueado",IF('E2 — Triagem'!$D496="","Bloqueado",IF(COUNTIF('E2 — Triagem'!$E496:$L496,"N/A")=8,"Bloqueado",IF(COUNTIF('E2 — Triagem'!$E496:$L496,"⛔ Bloqueado")&gt;0,"Bloqueado",IF(COUNTIF('E2 — Triagem'!$E496:$L496,"✔ Concluído")+COUNTIF('E2 — Triagem'!$E496:$L496,"N/A")=8,"Concluído",IF(COUNTIF('E2 — Triagem'!$E496:$L496,"✔ Concluído")+COUNTIF('E2 — Triagem'!$E496:$L496,"🔄 Em andamento")&gt;0,"Em andamento","Não iniciado"))))))))</f>
        <v/>
      </c>
      <c r="G514" s="229" t="str">
        <f>IF($B514="","",IF($F514&lt;&gt;"Concluído","Não iniciado",IF(COUNTIF(Lançamentos!$B$3:$B$1001,$B514)=0,"Bloqueado",IF('E3 — Levantamento'!$D496="","Bloqueado",IF(COUNTIF('E3 — Levantamento'!$E496:$I496,"⛔ Bloqueado")&gt;0,"Bloqueado",IF('E3 — Levantamento'!$I496="N/A","Bloqueado",IF(COUNTIF('E3 — Levantamento'!$E496:$I496,"✔ Concluído")=5,"Concluído",IF(COUNTIF('E3 — Levantamento'!$E496:$I496,"✔ Concluído")+COUNTIF('E3 — Levantamento'!$E496:$I496,"🔄 Em andamento")&gt;0,"Em andamento","Não iniciado"))))))))</f>
        <v/>
      </c>
      <c r="H514" s="229" t="str">
        <f>IF($B514="","",IF($G514&lt;&gt;"Concluído","Não iniciado",IF(COUNTIF(Lançamentos!$B$3:$B$1001,$B514)=0,"Bloqueado",IF('E4 — Execução'!$D496="","Bloqueado",IF(COUNTIF('E4 — Execução'!$E496:$K496,"⛔ Bloqueado")&gt;0,"Bloqueado",IF(COUNTIF('E4 — Execução'!$E496:$K496,"✔ Concluído")=7,"Concluído",IF(COUNTIF('E4 — Execução'!$E496:$K496,"✔ Concluído")+COUNTIF('E4 — Execução'!$E496:$K496,"🔄 Em andamento")&gt;0,"Em andamento","Não iniciado")))))))</f>
        <v/>
      </c>
      <c r="I514" s="229" t="str">
        <f>IF($B514="","",IF($H514&lt;&gt;"Concluído","Não iniciado",IF(COUNTIF(Lançamentos!$B$3:$B$1001,$B514)=0,"Bloqueado",IF('E5 — Validação'!$D496="","Bloqueado",IF(COUNTIF('E5 — Validação'!$E496:$I496,"⛔ Bloqueado")&gt;0,"Bloqueado",IF('E5 — Validação'!$I496="N/A","Bloqueado",IF(AND('E5 — Validação'!$E496="✔ Concluído",'E5 — Validação'!$F496="✔ Concluído",OR('E5 — Validação'!$G496="✔ Concluído",'E5 — Validação'!$G496="N/A"),'E5 — Validação'!$H496="✔ Concluído",'E5 — Validação'!$I496="✔ Concluído"),"Concluído",IF(COUNTIF('E5 — Validação'!$E496:$I496,"✔ Concluído")+COUNTIF('E5 — Validação'!$E496:$I496,"🔄 Em andamento")&gt;0,"Em andamento","Não iniciado"))))))))</f>
        <v/>
      </c>
      <c r="J514" s="229" t="str">
        <f>IF($B514="","",IF($I514&lt;&gt;"Concluído","Não iniciado",IF('E6 — Ajustes'!$N496="Não","N/A",IF(COUNTIF(Lançamentos!$B$3:$B$1001,$B514)=0,"Bloqueado",IF('E6 — Ajustes'!$D496="","Bloqueado",IF(COUNTIF('E6 — Ajustes'!$E496:$J496,"⛔ Bloqueado")&gt;0,"Bloqueado",IF(AND('E6 — Ajustes'!$E496="✔ Concluído",'E6 — Ajustes'!$F496="✔ Concluído",'E6 — Ajustes'!$G496="✔ Concluído",'E6 — Ajustes'!$H496="✔ Concluído",OR('E6 — Ajustes'!$I496="✔ Concluído",'E6 — Ajustes'!$I496="N/A"),'E6 — Ajustes'!$J496="✔ Concluído"),"Concluído",IF(COUNTIF('E6 — Ajustes'!$E496:$J496,"✔ Concluído")+COUNTIF('E6 — Ajustes'!$E496:$J496,"🔄 Em andamento")&gt;0,"Em andamento","Não iniciado"))))))))</f>
        <v/>
      </c>
      <c r="K514" s="229" t="str">
        <f>IF($B514="","",IF($I514&lt;&gt;"Concluído","Não iniciado",IF(AND($J514&lt;&gt;"Concluído",$J514&lt;&gt;"N/A"),"Não iniciado",IF(COUNTIF(Lançamentos!$B$3:$B$1001,$B514)=0,"Bloqueado",IF('E7 — Entrega'!$D496="","Bloqueado",IF(COUNTIF('E7 — Entrega'!$E496:$H496,"⛔ Bloqueado")&gt;0,"Bloqueado",IF(COUNTIF('E7 — Entrega'!$E496:$H496,"✔ Concluído")=4,"Concluído",IF(COUNTIF('E7 — Entrega'!$E496:$H496,"✔ Concluído")+COUNTIF('E7 — Entrega'!$E496:$H496,"🔄 Em andamento")&gt;0,"Em andamento","Não iniciado"))))))))</f>
        <v/>
      </c>
      <c r="L514" s="229" t="str">
        <f>IF($B514="","",IF($K514&lt;&gt;"Concluído","Não iniciado",IF(OR(COUNTIF('E08 — Estabilização Hypercare'!$E496:$J496,"⛔ Bloqueado")&gt;0,'E08 — Estabilização Hypercare'!$N496="⛔ Incidente Crítico — Encerramento Bloqueado",AND('E08 — Estabilização Hypercare'!$N496="🆕 Evolução Identificada — Nova Demanda Aberta",'E08 — Estabilização Hypercare'!$U496="")),"Bloqueado",IF(AND('E08 — Estabilização Hypercare'!$E496="✔ Concluído",'E08 — Estabilização Hypercare'!$F496="✔ Concluído",'E08 — Estabilização Hypercare'!$G496="✔ Concluído",OR('E08 — Estabilização Hypercare'!$H496="✔ Concluído",'E08 — Estabilização Hypercare'!$H496="N/A"),'E08 — Estabilização Hypercare'!$I496="✔ Concluído",'E08 — Estabilização Hypercare'!$J496="✔ Concluído",OR('E08 — Estabilização Hypercare'!$N496="✅ Estável — Demanda Encerrada",AND('E08 — Estabilização Hypercare'!$N496="🆕 Evolução Identificada — Nova Demanda Aberta",'E08 — Estabilização Hypercare'!$U496&lt;&gt;""))),"Concluído",IF(OR(COUNTIF('E08 — Estabilização Hypercare'!$E496:$J496,"✔ Concluído")&gt;0,COUNTIF('E08 — Estabilização Hypercare'!$E496:$J496,"🔄 Em andamento")&gt;0,'E08 — Estabilização Hypercare'!$N496&lt;&gt;""),"Em andamento","Não iniciado")))))</f>
        <v/>
      </c>
      <c r="M514" s="232" t="str" cm="1">
        <f t="array" ref="M514">IF(B514="","",_xlfn.IFS(E514&lt;&gt;"Concluído","E1 — Solicitação",F514&lt;&gt;"Concluído","E2 — Triagem",G514&lt;&gt;"Concluído","E3 — Levantamento ⚠",H514&lt;&gt;"Concluído","E4 — Execução",I514&lt;&gt;"Concluído","E5 — Validação ⚠",AND(J514&lt;&gt;"Concluído",J514&lt;&gt;"N/A"),"E6 — Ajustes",K514&lt;&gt;"Concluído","E7 — Entrega",L514&lt;&gt;"Concluído","E08 — Estabilização / Hypercare",TRUE,"✔ Fluxo concluído"))</f>
        <v/>
      </c>
      <c r="N514" s="233" t="str">
        <f t="shared" si="8"/>
        <v/>
      </c>
      <c r="O514" s="230"/>
    </row>
    <row r="515" spans="2:15" x14ac:dyDescent="0.35">
      <c r="B515" s="229" t="str">
        <f>IF(Lançamentos!$B492="","",Lançamentos!$B492)</f>
        <v/>
      </c>
      <c r="C515" s="231" t="str">
        <f>IF($B515="","",Lançamentos!$J492)</f>
        <v/>
      </c>
      <c r="D515" s="231" t="str">
        <f>IF($B515="","",Lançamentos!$H492)</f>
        <v/>
      </c>
      <c r="E515" s="229" t="str">
        <f>IF($B515="","",IF(COUNTIF(Lançamentos!$B$3:$B$1001,$B515)=0,"Bloqueado",IF(COUNTIF('E1 — Solicitação'!$E497:$L497,"⛔ Bloqueado")&gt;0,"Bloqueado",IF(COUNTIF('E1 — Solicitação'!$E497:$L497,"N/A")=8,"Bloqueado",IF(COUNTIF('E1 — Solicitação'!$E497:$L497,"✔ Concluído")+COUNTIF('E1 — Solicitação'!$E497:$L497,"N/A")=8,"Concluído",IF(COUNTIF('E1 — Solicitação'!$E497:$L497,"✔ Concluído")+COUNTIF('E1 — Solicitação'!$E497:$L497,"🔄 Em andamento")&gt;0,"Em andamento","Não iniciado"))))))</f>
        <v/>
      </c>
      <c r="F515" s="229" t="str">
        <f>IF($B515="","",IF($E515&lt;&gt;"Concluído","Não iniciado",IF(COUNTIF(Lançamentos!$B$3:$B$1001,$B515)=0,"Bloqueado",IF('E2 — Triagem'!$D497="","Bloqueado",IF(COUNTIF('E2 — Triagem'!$E497:$L497,"N/A")=8,"Bloqueado",IF(COUNTIF('E2 — Triagem'!$E497:$L497,"⛔ Bloqueado")&gt;0,"Bloqueado",IF(COUNTIF('E2 — Triagem'!$E497:$L497,"✔ Concluído")+COUNTIF('E2 — Triagem'!$E497:$L497,"N/A")=8,"Concluído",IF(COUNTIF('E2 — Triagem'!$E497:$L497,"✔ Concluído")+COUNTIF('E2 — Triagem'!$E497:$L497,"🔄 Em andamento")&gt;0,"Em andamento","Não iniciado"))))))))</f>
        <v/>
      </c>
      <c r="G515" s="229" t="str">
        <f>IF($B515="","",IF($F515&lt;&gt;"Concluído","Não iniciado",IF(COUNTIF(Lançamentos!$B$3:$B$1001,$B515)=0,"Bloqueado",IF('E3 — Levantamento'!$D497="","Bloqueado",IF(COUNTIF('E3 — Levantamento'!$E497:$I497,"⛔ Bloqueado")&gt;0,"Bloqueado",IF('E3 — Levantamento'!$I497="N/A","Bloqueado",IF(COUNTIF('E3 — Levantamento'!$E497:$I497,"✔ Concluído")=5,"Concluído",IF(COUNTIF('E3 — Levantamento'!$E497:$I497,"✔ Concluído")+COUNTIF('E3 — Levantamento'!$E497:$I497,"🔄 Em andamento")&gt;0,"Em andamento","Não iniciado"))))))))</f>
        <v/>
      </c>
      <c r="H515" s="229" t="str">
        <f>IF($B515="","",IF($G515&lt;&gt;"Concluído","Não iniciado",IF(COUNTIF(Lançamentos!$B$3:$B$1001,$B515)=0,"Bloqueado",IF('E4 — Execução'!$D497="","Bloqueado",IF(COUNTIF('E4 — Execução'!$E497:$K497,"⛔ Bloqueado")&gt;0,"Bloqueado",IF(COUNTIF('E4 — Execução'!$E497:$K497,"✔ Concluído")=7,"Concluído",IF(COUNTIF('E4 — Execução'!$E497:$K497,"✔ Concluído")+COUNTIF('E4 — Execução'!$E497:$K497,"🔄 Em andamento")&gt;0,"Em andamento","Não iniciado")))))))</f>
        <v/>
      </c>
      <c r="I515" s="229" t="str">
        <f>IF($B515="","",IF($H515&lt;&gt;"Concluído","Não iniciado",IF(COUNTIF(Lançamentos!$B$3:$B$1001,$B515)=0,"Bloqueado",IF('E5 — Validação'!$D497="","Bloqueado",IF(COUNTIF('E5 — Validação'!$E497:$I497,"⛔ Bloqueado")&gt;0,"Bloqueado",IF('E5 — Validação'!$I497="N/A","Bloqueado",IF(AND('E5 — Validação'!$E497="✔ Concluído",'E5 — Validação'!$F497="✔ Concluído",OR('E5 — Validação'!$G497="✔ Concluído",'E5 — Validação'!$G497="N/A"),'E5 — Validação'!$H497="✔ Concluído",'E5 — Validação'!$I497="✔ Concluído"),"Concluído",IF(COUNTIF('E5 — Validação'!$E497:$I497,"✔ Concluído")+COUNTIF('E5 — Validação'!$E497:$I497,"🔄 Em andamento")&gt;0,"Em andamento","Não iniciado"))))))))</f>
        <v/>
      </c>
      <c r="J515" s="229" t="str">
        <f>IF($B515="","",IF($I515&lt;&gt;"Concluído","Não iniciado",IF('E6 — Ajustes'!$N497="Não","N/A",IF(COUNTIF(Lançamentos!$B$3:$B$1001,$B515)=0,"Bloqueado",IF('E6 — Ajustes'!$D497="","Bloqueado",IF(COUNTIF('E6 — Ajustes'!$E497:$J497,"⛔ Bloqueado")&gt;0,"Bloqueado",IF(AND('E6 — Ajustes'!$E497="✔ Concluído",'E6 — Ajustes'!$F497="✔ Concluído",'E6 — Ajustes'!$G497="✔ Concluído",'E6 — Ajustes'!$H497="✔ Concluído",OR('E6 — Ajustes'!$I497="✔ Concluído",'E6 — Ajustes'!$I497="N/A"),'E6 — Ajustes'!$J497="✔ Concluído"),"Concluído",IF(COUNTIF('E6 — Ajustes'!$E497:$J497,"✔ Concluído")+COUNTIF('E6 — Ajustes'!$E497:$J497,"🔄 Em andamento")&gt;0,"Em andamento","Não iniciado"))))))))</f>
        <v/>
      </c>
      <c r="K515" s="229" t="str">
        <f>IF($B515="","",IF($I515&lt;&gt;"Concluído","Não iniciado",IF(AND($J515&lt;&gt;"Concluído",$J515&lt;&gt;"N/A"),"Não iniciado",IF(COUNTIF(Lançamentos!$B$3:$B$1001,$B515)=0,"Bloqueado",IF('E7 — Entrega'!$D497="","Bloqueado",IF(COUNTIF('E7 — Entrega'!$E497:$H497,"⛔ Bloqueado")&gt;0,"Bloqueado",IF(COUNTIF('E7 — Entrega'!$E497:$H497,"✔ Concluído")=4,"Concluído",IF(COUNTIF('E7 — Entrega'!$E497:$H497,"✔ Concluído")+COUNTIF('E7 — Entrega'!$E497:$H497,"🔄 Em andamento")&gt;0,"Em andamento","Não iniciado"))))))))</f>
        <v/>
      </c>
      <c r="L515" s="229" t="str">
        <f>IF($B515="","",IF($K515&lt;&gt;"Concluído","Não iniciado",IF(OR(COUNTIF('E08 — Estabilização Hypercare'!$E497:$J497,"⛔ Bloqueado")&gt;0,'E08 — Estabilização Hypercare'!$N497="⛔ Incidente Crítico — Encerramento Bloqueado",AND('E08 — Estabilização Hypercare'!$N497="🆕 Evolução Identificada — Nova Demanda Aberta",'E08 — Estabilização Hypercare'!$U497="")),"Bloqueado",IF(AND('E08 — Estabilização Hypercare'!$E497="✔ Concluído",'E08 — Estabilização Hypercare'!$F497="✔ Concluído",'E08 — Estabilização Hypercare'!$G497="✔ Concluído",OR('E08 — Estabilização Hypercare'!$H497="✔ Concluído",'E08 — Estabilização Hypercare'!$H497="N/A"),'E08 — Estabilização Hypercare'!$I497="✔ Concluído",'E08 — Estabilização Hypercare'!$J497="✔ Concluído",OR('E08 — Estabilização Hypercare'!$N497="✅ Estável — Demanda Encerrada",AND('E08 — Estabilização Hypercare'!$N497="🆕 Evolução Identificada — Nova Demanda Aberta",'E08 — Estabilização Hypercare'!$U497&lt;&gt;""))),"Concluído",IF(OR(COUNTIF('E08 — Estabilização Hypercare'!$E497:$J497,"✔ Concluído")&gt;0,COUNTIF('E08 — Estabilização Hypercare'!$E497:$J497,"🔄 Em andamento")&gt;0,'E08 — Estabilização Hypercare'!$N497&lt;&gt;""),"Em andamento","Não iniciado")))))</f>
        <v/>
      </c>
      <c r="M515" s="232" t="str" cm="1">
        <f t="array" ref="M515">IF(B515="","",_xlfn.IFS(E515&lt;&gt;"Concluído","E1 — Solicitação",F515&lt;&gt;"Concluído","E2 — Triagem",G515&lt;&gt;"Concluído","E3 — Levantamento ⚠",H515&lt;&gt;"Concluído","E4 — Execução",I515&lt;&gt;"Concluído","E5 — Validação ⚠",AND(J515&lt;&gt;"Concluído",J515&lt;&gt;"N/A"),"E6 — Ajustes",K515&lt;&gt;"Concluído","E7 — Entrega",L515&lt;&gt;"Concluído","E08 — Estabilização / Hypercare",TRUE,"✔ Fluxo concluído"))</f>
        <v/>
      </c>
      <c r="N515" s="233" t="str">
        <f t="shared" si="8"/>
        <v/>
      </c>
      <c r="O515" s="230"/>
    </row>
    <row r="516" spans="2:15" x14ac:dyDescent="0.35">
      <c r="B516" s="229" t="str">
        <f>IF(Lançamentos!$B493="","",Lançamentos!$B493)</f>
        <v/>
      </c>
      <c r="C516" s="231" t="str">
        <f>IF($B516="","",Lançamentos!$J493)</f>
        <v/>
      </c>
      <c r="D516" s="231" t="str">
        <f>IF($B516="","",Lançamentos!$H493)</f>
        <v/>
      </c>
      <c r="E516" s="229" t="str">
        <f>IF($B516="","",IF(COUNTIF(Lançamentos!$B$3:$B$1001,$B516)=0,"Bloqueado",IF(COUNTIF('E1 — Solicitação'!$E498:$L498,"⛔ Bloqueado")&gt;0,"Bloqueado",IF(COUNTIF('E1 — Solicitação'!$E498:$L498,"N/A")=8,"Bloqueado",IF(COUNTIF('E1 — Solicitação'!$E498:$L498,"✔ Concluído")+COUNTIF('E1 — Solicitação'!$E498:$L498,"N/A")=8,"Concluído",IF(COUNTIF('E1 — Solicitação'!$E498:$L498,"✔ Concluído")+COUNTIF('E1 — Solicitação'!$E498:$L498,"🔄 Em andamento")&gt;0,"Em andamento","Não iniciado"))))))</f>
        <v/>
      </c>
      <c r="F516" s="229" t="str">
        <f>IF($B516="","",IF($E516&lt;&gt;"Concluído","Não iniciado",IF(COUNTIF(Lançamentos!$B$3:$B$1001,$B516)=0,"Bloqueado",IF('E2 — Triagem'!$D498="","Bloqueado",IF(COUNTIF('E2 — Triagem'!$E498:$L498,"N/A")=8,"Bloqueado",IF(COUNTIF('E2 — Triagem'!$E498:$L498,"⛔ Bloqueado")&gt;0,"Bloqueado",IF(COUNTIF('E2 — Triagem'!$E498:$L498,"✔ Concluído")+COUNTIF('E2 — Triagem'!$E498:$L498,"N/A")=8,"Concluído",IF(COUNTIF('E2 — Triagem'!$E498:$L498,"✔ Concluído")+COUNTIF('E2 — Triagem'!$E498:$L498,"🔄 Em andamento")&gt;0,"Em andamento","Não iniciado"))))))))</f>
        <v/>
      </c>
      <c r="G516" s="229" t="str">
        <f>IF($B516="","",IF($F516&lt;&gt;"Concluído","Não iniciado",IF(COUNTIF(Lançamentos!$B$3:$B$1001,$B516)=0,"Bloqueado",IF('E3 — Levantamento'!$D498="","Bloqueado",IF(COUNTIF('E3 — Levantamento'!$E498:$I498,"⛔ Bloqueado")&gt;0,"Bloqueado",IF('E3 — Levantamento'!$I498="N/A","Bloqueado",IF(COUNTIF('E3 — Levantamento'!$E498:$I498,"✔ Concluído")=5,"Concluído",IF(COUNTIF('E3 — Levantamento'!$E498:$I498,"✔ Concluído")+COUNTIF('E3 — Levantamento'!$E498:$I498,"🔄 Em andamento")&gt;0,"Em andamento","Não iniciado"))))))))</f>
        <v/>
      </c>
      <c r="H516" s="229" t="str">
        <f>IF($B516="","",IF($G516&lt;&gt;"Concluído","Não iniciado",IF(COUNTIF(Lançamentos!$B$3:$B$1001,$B516)=0,"Bloqueado",IF('E4 — Execução'!$D498="","Bloqueado",IF(COUNTIF('E4 — Execução'!$E498:$K498,"⛔ Bloqueado")&gt;0,"Bloqueado",IF(COUNTIF('E4 — Execução'!$E498:$K498,"✔ Concluído")=7,"Concluído",IF(COUNTIF('E4 — Execução'!$E498:$K498,"✔ Concluído")+COUNTIF('E4 — Execução'!$E498:$K498,"🔄 Em andamento")&gt;0,"Em andamento","Não iniciado")))))))</f>
        <v/>
      </c>
      <c r="I516" s="229" t="str">
        <f>IF($B516="","",IF($H516&lt;&gt;"Concluído","Não iniciado",IF(COUNTIF(Lançamentos!$B$3:$B$1001,$B516)=0,"Bloqueado",IF('E5 — Validação'!$D498="","Bloqueado",IF(COUNTIF('E5 — Validação'!$E498:$I498,"⛔ Bloqueado")&gt;0,"Bloqueado",IF('E5 — Validação'!$I498="N/A","Bloqueado",IF(AND('E5 — Validação'!$E498="✔ Concluído",'E5 — Validação'!$F498="✔ Concluído",OR('E5 — Validação'!$G498="✔ Concluído",'E5 — Validação'!$G498="N/A"),'E5 — Validação'!$H498="✔ Concluído",'E5 — Validação'!$I498="✔ Concluído"),"Concluído",IF(COUNTIF('E5 — Validação'!$E498:$I498,"✔ Concluído")+COUNTIF('E5 — Validação'!$E498:$I498,"🔄 Em andamento")&gt;0,"Em andamento","Não iniciado"))))))))</f>
        <v/>
      </c>
      <c r="J516" s="229" t="str">
        <f>IF($B516="","",IF($I516&lt;&gt;"Concluído","Não iniciado",IF('E6 — Ajustes'!$N498="Não","N/A",IF(COUNTIF(Lançamentos!$B$3:$B$1001,$B516)=0,"Bloqueado",IF('E6 — Ajustes'!$D498="","Bloqueado",IF(COUNTIF('E6 — Ajustes'!$E498:$J498,"⛔ Bloqueado")&gt;0,"Bloqueado",IF(AND('E6 — Ajustes'!$E498="✔ Concluído",'E6 — Ajustes'!$F498="✔ Concluído",'E6 — Ajustes'!$G498="✔ Concluído",'E6 — Ajustes'!$H498="✔ Concluído",OR('E6 — Ajustes'!$I498="✔ Concluído",'E6 — Ajustes'!$I498="N/A"),'E6 — Ajustes'!$J498="✔ Concluído"),"Concluído",IF(COUNTIF('E6 — Ajustes'!$E498:$J498,"✔ Concluído")+COUNTIF('E6 — Ajustes'!$E498:$J498,"🔄 Em andamento")&gt;0,"Em andamento","Não iniciado"))))))))</f>
        <v/>
      </c>
      <c r="K516" s="229" t="str">
        <f>IF($B516="","",IF($I516&lt;&gt;"Concluído","Não iniciado",IF(AND($J516&lt;&gt;"Concluído",$J516&lt;&gt;"N/A"),"Não iniciado",IF(COUNTIF(Lançamentos!$B$3:$B$1001,$B516)=0,"Bloqueado",IF('E7 — Entrega'!$D498="","Bloqueado",IF(COUNTIF('E7 — Entrega'!$E498:$H498,"⛔ Bloqueado")&gt;0,"Bloqueado",IF(COUNTIF('E7 — Entrega'!$E498:$H498,"✔ Concluído")=4,"Concluído",IF(COUNTIF('E7 — Entrega'!$E498:$H498,"✔ Concluído")+COUNTIF('E7 — Entrega'!$E498:$H498,"🔄 Em andamento")&gt;0,"Em andamento","Não iniciado"))))))))</f>
        <v/>
      </c>
      <c r="L516" s="229" t="str">
        <f>IF($B516="","",IF($K516&lt;&gt;"Concluído","Não iniciado",IF(OR(COUNTIF('E08 — Estabilização Hypercare'!$E498:$J498,"⛔ Bloqueado")&gt;0,'E08 — Estabilização Hypercare'!$N498="⛔ Incidente Crítico — Encerramento Bloqueado",AND('E08 — Estabilização Hypercare'!$N498="🆕 Evolução Identificada — Nova Demanda Aberta",'E08 — Estabilização Hypercare'!$U498="")),"Bloqueado",IF(AND('E08 — Estabilização Hypercare'!$E498="✔ Concluído",'E08 — Estabilização Hypercare'!$F498="✔ Concluído",'E08 — Estabilização Hypercare'!$G498="✔ Concluído",OR('E08 — Estabilização Hypercare'!$H498="✔ Concluído",'E08 — Estabilização Hypercare'!$H498="N/A"),'E08 — Estabilização Hypercare'!$I498="✔ Concluído",'E08 — Estabilização Hypercare'!$J498="✔ Concluído",OR('E08 — Estabilização Hypercare'!$N498="✅ Estável — Demanda Encerrada",AND('E08 — Estabilização Hypercare'!$N498="🆕 Evolução Identificada — Nova Demanda Aberta",'E08 — Estabilização Hypercare'!$U498&lt;&gt;""))),"Concluído",IF(OR(COUNTIF('E08 — Estabilização Hypercare'!$E498:$J498,"✔ Concluído")&gt;0,COUNTIF('E08 — Estabilização Hypercare'!$E498:$J498,"🔄 Em andamento")&gt;0,'E08 — Estabilização Hypercare'!$N498&lt;&gt;""),"Em andamento","Não iniciado")))))</f>
        <v/>
      </c>
      <c r="M516" s="232" t="str" cm="1">
        <f t="array" ref="M516">IF(B516="","",_xlfn.IFS(E516&lt;&gt;"Concluído","E1 — Solicitação",F516&lt;&gt;"Concluído","E2 — Triagem",G516&lt;&gt;"Concluído","E3 — Levantamento ⚠",H516&lt;&gt;"Concluído","E4 — Execução",I516&lt;&gt;"Concluído","E5 — Validação ⚠",AND(J516&lt;&gt;"Concluído",J516&lt;&gt;"N/A"),"E6 — Ajustes",K516&lt;&gt;"Concluído","E7 — Entrega",L516&lt;&gt;"Concluído","E08 — Estabilização / Hypercare",TRUE,"✔ Fluxo concluído"))</f>
        <v/>
      </c>
      <c r="N516" s="233" t="str">
        <f t="shared" si="8"/>
        <v/>
      </c>
      <c r="O516" s="230"/>
    </row>
    <row r="517" spans="2:15" x14ac:dyDescent="0.35">
      <c r="B517" s="229" t="str">
        <f>IF(Lançamentos!$B494="","",Lançamentos!$B494)</f>
        <v/>
      </c>
      <c r="C517" s="231" t="str">
        <f>IF($B517="","",Lançamentos!$J494)</f>
        <v/>
      </c>
      <c r="D517" s="231" t="str">
        <f>IF($B517="","",Lançamentos!$H494)</f>
        <v/>
      </c>
      <c r="E517" s="229" t="str">
        <f>IF($B517="","",IF(COUNTIF(Lançamentos!$B$3:$B$1001,$B517)=0,"Bloqueado",IF(COUNTIF('E1 — Solicitação'!$E499:$L499,"⛔ Bloqueado")&gt;0,"Bloqueado",IF(COUNTIF('E1 — Solicitação'!$E499:$L499,"N/A")=8,"Bloqueado",IF(COUNTIF('E1 — Solicitação'!$E499:$L499,"✔ Concluído")+COUNTIF('E1 — Solicitação'!$E499:$L499,"N/A")=8,"Concluído",IF(COUNTIF('E1 — Solicitação'!$E499:$L499,"✔ Concluído")+COUNTIF('E1 — Solicitação'!$E499:$L499,"🔄 Em andamento")&gt;0,"Em andamento","Não iniciado"))))))</f>
        <v/>
      </c>
      <c r="F517" s="229" t="str">
        <f>IF($B517="","",IF($E517&lt;&gt;"Concluído","Não iniciado",IF(COUNTIF(Lançamentos!$B$3:$B$1001,$B517)=0,"Bloqueado",IF('E2 — Triagem'!$D499="","Bloqueado",IF(COUNTIF('E2 — Triagem'!$E499:$L499,"N/A")=8,"Bloqueado",IF(COUNTIF('E2 — Triagem'!$E499:$L499,"⛔ Bloqueado")&gt;0,"Bloqueado",IF(COUNTIF('E2 — Triagem'!$E499:$L499,"✔ Concluído")+COUNTIF('E2 — Triagem'!$E499:$L499,"N/A")=8,"Concluído",IF(COUNTIF('E2 — Triagem'!$E499:$L499,"✔ Concluído")+COUNTIF('E2 — Triagem'!$E499:$L499,"🔄 Em andamento")&gt;0,"Em andamento","Não iniciado"))))))))</f>
        <v/>
      </c>
      <c r="G517" s="229" t="str">
        <f>IF($B517="","",IF($F517&lt;&gt;"Concluído","Não iniciado",IF(COUNTIF(Lançamentos!$B$3:$B$1001,$B517)=0,"Bloqueado",IF('E3 — Levantamento'!$D499="","Bloqueado",IF(COUNTIF('E3 — Levantamento'!$E499:$I499,"⛔ Bloqueado")&gt;0,"Bloqueado",IF('E3 — Levantamento'!$I499="N/A","Bloqueado",IF(COUNTIF('E3 — Levantamento'!$E499:$I499,"✔ Concluído")=5,"Concluído",IF(COUNTIF('E3 — Levantamento'!$E499:$I499,"✔ Concluído")+COUNTIF('E3 — Levantamento'!$E499:$I499,"🔄 Em andamento")&gt;0,"Em andamento","Não iniciado"))))))))</f>
        <v/>
      </c>
      <c r="H517" s="229" t="str">
        <f>IF($B517="","",IF($G517&lt;&gt;"Concluído","Não iniciado",IF(COUNTIF(Lançamentos!$B$3:$B$1001,$B517)=0,"Bloqueado",IF('E4 — Execução'!$D499="","Bloqueado",IF(COUNTIF('E4 — Execução'!$E499:$K499,"⛔ Bloqueado")&gt;0,"Bloqueado",IF(COUNTIF('E4 — Execução'!$E499:$K499,"✔ Concluído")=7,"Concluído",IF(COUNTIF('E4 — Execução'!$E499:$K499,"✔ Concluído")+COUNTIF('E4 — Execução'!$E499:$K499,"🔄 Em andamento")&gt;0,"Em andamento","Não iniciado")))))))</f>
        <v/>
      </c>
      <c r="I517" s="229" t="str">
        <f>IF($B517="","",IF($H517&lt;&gt;"Concluído","Não iniciado",IF(COUNTIF(Lançamentos!$B$3:$B$1001,$B517)=0,"Bloqueado",IF('E5 — Validação'!$D499="","Bloqueado",IF(COUNTIF('E5 — Validação'!$E499:$I499,"⛔ Bloqueado")&gt;0,"Bloqueado",IF('E5 — Validação'!$I499="N/A","Bloqueado",IF(AND('E5 — Validação'!$E499="✔ Concluído",'E5 — Validação'!$F499="✔ Concluído",OR('E5 — Validação'!$G499="✔ Concluído",'E5 — Validação'!$G499="N/A"),'E5 — Validação'!$H499="✔ Concluído",'E5 — Validação'!$I499="✔ Concluído"),"Concluído",IF(COUNTIF('E5 — Validação'!$E499:$I499,"✔ Concluído")+COUNTIF('E5 — Validação'!$E499:$I499,"🔄 Em andamento")&gt;0,"Em andamento","Não iniciado"))))))))</f>
        <v/>
      </c>
      <c r="J517" s="229" t="str">
        <f>IF($B517="","",IF($I517&lt;&gt;"Concluído","Não iniciado",IF('E6 — Ajustes'!$N499="Não","N/A",IF(COUNTIF(Lançamentos!$B$3:$B$1001,$B517)=0,"Bloqueado",IF('E6 — Ajustes'!$D499="","Bloqueado",IF(COUNTIF('E6 — Ajustes'!$E499:$J499,"⛔ Bloqueado")&gt;0,"Bloqueado",IF(AND('E6 — Ajustes'!$E499="✔ Concluído",'E6 — Ajustes'!$F499="✔ Concluído",'E6 — Ajustes'!$G499="✔ Concluído",'E6 — Ajustes'!$H499="✔ Concluído",OR('E6 — Ajustes'!$I499="✔ Concluído",'E6 — Ajustes'!$I499="N/A"),'E6 — Ajustes'!$J499="✔ Concluído"),"Concluído",IF(COUNTIF('E6 — Ajustes'!$E499:$J499,"✔ Concluído")+COUNTIF('E6 — Ajustes'!$E499:$J499,"🔄 Em andamento")&gt;0,"Em andamento","Não iniciado"))))))))</f>
        <v/>
      </c>
      <c r="K517" s="229" t="str">
        <f>IF($B517="","",IF($I517&lt;&gt;"Concluído","Não iniciado",IF(AND($J517&lt;&gt;"Concluído",$J517&lt;&gt;"N/A"),"Não iniciado",IF(COUNTIF(Lançamentos!$B$3:$B$1001,$B517)=0,"Bloqueado",IF('E7 — Entrega'!$D499="","Bloqueado",IF(COUNTIF('E7 — Entrega'!$E499:$H499,"⛔ Bloqueado")&gt;0,"Bloqueado",IF(COUNTIF('E7 — Entrega'!$E499:$H499,"✔ Concluído")=4,"Concluído",IF(COUNTIF('E7 — Entrega'!$E499:$H499,"✔ Concluído")+COUNTIF('E7 — Entrega'!$E499:$H499,"🔄 Em andamento")&gt;0,"Em andamento","Não iniciado"))))))))</f>
        <v/>
      </c>
      <c r="L517" s="229" t="str">
        <f>IF($B517="","",IF($K517&lt;&gt;"Concluído","Não iniciado",IF(OR(COUNTIF('E08 — Estabilização Hypercare'!$E499:$J499,"⛔ Bloqueado")&gt;0,'E08 — Estabilização Hypercare'!$N499="⛔ Incidente Crítico — Encerramento Bloqueado",AND('E08 — Estabilização Hypercare'!$N499="🆕 Evolução Identificada — Nova Demanda Aberta",'E08 — Estabilização Hypercare'!$U499="")),"Bloqueado",IF(AND('E08 — Estabilização Hypercare'!$E499="✔ Concluído",'E08 — Estabilização Hypercare'!$F499="✔ Concluído",'E08 — Estabilização Hypercare'!$G499="✔ Concluído",OR('E08 — Estabilização Hypercare'!$H499="✔ Concluído",'E08 — Estabilização Hypercare'!$H499="N/A"),'E08 — Estabilização Hypercare'!$I499="✔ Concluído",'E08 — Estabilização Hypercare'!$J499="✔ Concluído",OR('E08 — Estabilização Hypercare'!$N499="✅ Estável — Demanda Encerrada",AND('E08 — Estabilização Hypercare'!$N499="🆕 Evolução Identificada — Nova Demanda Aberta",'E08 — Estabilização Hypercare'!$U499&lt;&gt;""))),"Concluído",IF(OR(COUNTIF('E08 — Estabilização Hypercare'!$E499:$J499,"✔ Concluído")&gt;0,COUNTIF('E08 — Estabilização Hypercare'!$E499:$J499,"🔄 Em andamento")&gt;0,'E08 — Estabilização Hypercare'!$N499&lt;&gt;""),"Em andamento","Não iniciado")))))</f>
        <v/>
      </c>
      <c r="M517" s="232" t="str" cm="1">
        <f t="array" ref="M517">IF(B517="","",_xlfn.IFS(E517&lt;&gt;"Concluído","E1 — Solicitação",F517&lt;&gt;"Concluído","E2 — Triagem",G517&lt;&gt;"Concluído","E3 — Levantamento ⚠",H517&lt;&gt;"Concluído","E4 — Execução",I517&lt;&gt;"Concluído","E5 — Validação ⚠",AND(J517&lt;&gt;"Concluído",J517&lt;&gt;"N/A"),"E6 — Ajustes",K517&lt;&gt;"Concluído","E7 — Entrega",L517&lt;&gt;"Concluído","E08 — Estabilização / Hypercare",TRUE,"✔ Fluxo concluído"))</f>
        <v/>
      </c>
      <c r="N517" s="233" t="str">
        <f t="shared" si="8"/>
        <v/>
      </c>
      <c r="O517" s="230"/>
    </row>
    <row r="518" spans="2:15" x14ac:dyDescent="0.35">
      <c r="B518" s="229" t="str">
        <f>IF(Lançamentos!$B495="","",Lançamentos!$B495)</f>
        <v/>
      </c>
      <c r="C518" s="231" t="str">
        <f>IF($B518="","",Lançamentos!$J495)</f>
        <v/>
      </c>
      <c r="D518" s="231" t="str">
        <f>IF($B518="","",Lançamentos!$H495)</f>
        <v/>
      </c>
      <c r="E518" s="229" t="str">
        <f>IF($B518="","",IF(COUNTIF(Lançamentos!$B$3:$B$1001,$B518)=0,"Bloqueado",IF(COUNTIF('E1 — Solicitação'!$E500:$L500,"⛔ Bloqueado")&gt;0,"Bloqueado",IF(COUNTIF('E1 — Solicitação'!$E500:$L500,"N/A")=8,"Bloqueado",IF(COUNTIF('E1 — Solicitação'!$E500:$L500,"✔ Concluído")+COUNTIF('E1 — Solicitação'!$E500:$L500,"N/A")=8,"Concluído",IF(COUNTIF('E1 — Solicitação'!$E500:$L500,"✔ Concluído")+COUNTIF('E1 — Solicitação'!$E500:$L500,"🔄 Em andamento")&gt;0,"Em andamento","Não iniciado"))))))</f>
        <v/>
      </c>
      <c r="F518" s="229" t="str">
        <f>IF($B518="","",IF($E518&lt;&gt;"Concluído","Não iniciado",IF(COUNTIF(Lançamentos!$B$3:$B$1001,$B518)=0,"Bloqueado",IF('E2 — Triagem'!$D500="","Bloqueado",IF(COUNTIF('E2 — Triagem'!$E500:$L500,"N/A")=8,"Bloqueado",IF(COUNTIF('E2 — Triagem'!$E500:$L500,"⛔ Bloqueado")&gt;0,"Bloqueado",IF(COUNTIF('E2 — Triagem'!$E500:$L500,"✔ Concluído")+COUNTIF('E2 — Triagem'!$E500:$L500,"N/A")=8,"Concluído",IF(COUNTIF('E2 — Triagem'!$E500:$L500,"✔ Concluído")+COUNTIF('E2 — Triagem'!$E500:$L500,"🔄 Em andamento")&gt;0,"Em andamento","Não iniciado"))))))))</f>
        <v/>
      </c>
      <c r="G518" s="229" t="str">
        <f>IF($B518="","",IF($F518&lt;&gt;"Concluído","Não iniciado",IF(COUNTIF(Lançamentos!$B$3:$B$1001,$B518)=0,"Bloqueado",IF('E3 — Levantamento'!$D500="","Bloqueado",IF(COUNTIF('E3 — Levantamento'!$E500:$I500,"⛔ Bloqueado")&gt;0,"Bloqueado",IF('E3 — Levantamento'!$I500="N/A","Bloqueado",IF(COUNTIF('E3 — Levantamento'!$E500:$I500,"✔ Concluído")=5,"Concluído",IF(COUNTIF('E3 — Levantamento'!$E500:$I500,"✔ Concluído")+COUNTIF('E3 — Levantamento'!$E500:$I500,"🔄 Em andamento")&gt;0,"Em andamento","Não iniciado"))))))))</f>
        <v/>
      </c>
      <c r="H518" s="229" t="str">
        <f>IF($B518="","",IF($G518&lt;&gt;"Concluído","Não iniciado",IF(COUNTIF(Lançamentos!$B$3:$B$1001,$B518)=0,"Bloqueado",IF('E4 — Execução'!$D500="","Bloqueado",IF(COUNTIF('E4 — Execução'!$E500:$K500,"⛔ Bloqueado")&gt;0,"Bloqueado",IF(COUNTIF('E4 — Execução'!$E500:$K500,"✔ Concluído")=7,"Concluído",IF(COUNTIF('E4 — Execução'!$E500:$K500,"✔ Concluído")+COUNTIF('E4 — Execução'!$E500:$K500,"🔄 Em andamento")&gt;0,"Em andamento","Não iniciado")))))))</f>
        <v/>
      </c>
      <c r="I518" s="229" t="str">
        <f>IF($B518="","",IF($H518&lt;&gt;"Concluído","Não iniciado",IF(COUNTIF(Lançamentos!$B$3:$B$1001,$B518)=0,"Bloqueado",IF('E5 — Validação'!$D500="","Bloqueado",IF(COUNTIF('E5 — Validação'!$E500:$I500,"⛔ Bloqueado")&gt;0,"Bloqueado",IF('E5 — Validação'!$I500="N/A","Bloqueado",IF(AND('E5 — Validação'!$E500="✔ Concluído",'E5 — Validação'!$F500="✔ Concluído",OR('E5 — Validação'!$G500="✔ Concluído",'E5 — Validação'!$G500="N/A"),'E5 — Validação'!$H500="✔ Concluído",'E5 — Validação'!$I500="✔ Concluído"),"Concluído",IF(COUNTIF('E5 — Validação'!$E500:$I500,"✔ Concluído")+COUNTIF('E5 — Validação'!$E500:$I500,"🔄 Em andamento")&gt;0,"Em andamento","Não iniciado"))))))))</f>
        <v/>
      </c>
      <c r="J518" s="229" t="str">
        <f>IF($B518="","",IF($I518&lt;&gt;"Concluído","Não iniciado",IF('E6 — Ajustes'!$N500="Não","N/A",IF(COUNTIF(Lançamentos!$B$3:$B$1001,$B518)=0,"Bloqueado",IF('E6 — Ajustes'!$D500="","Bloqueado",IF(COUNTIF('E6 — Ajustes'!$E500:$J500,"⛔ Bloqueado")&gt;0,"Bloqueado",IF(AND('E6 — Ajustes'!$E500="✔ Concluído",'E6 — Ajustes'!$F500="✔ Concluído",'E6 — Ajustes'!$G500="✔ Concluído",'E6 — Ajustes'!$H500="✔ Concluído",OR('E6 — Ajustes'!$I500="✔ Concluído",'E6 — Ajustes'!$I500="N/A"),'E6 — Ajustes'!$J500="✔ Concluído"),"Concluído",IF(COUNTIF('E6 — Ajustes'!$E500:$J500,"✔ Concluído")+COUNTIF('E6 — Ajustes'!$E500:$J500,"🔄 Em andamento")&gt;0,"Em andamento","Não iniciado"))))))))</f>
        <v/>
      </c>
      <c r="K518" s="229" t="str">
        <f>IF($B518="","",IF($I518&lt;&gt;"Concluído","Não iniciado",IF(AND($J518&lt;&gt;"Concluído",$J518&lt;&gt;"N/A"),"Não iniciado",IF(COUNTIF(Lançamentos!$B$3:$B$1001,$B518)=0,"Bloqueado",IF('E7 — Entrega'!$D500="","Bloqueado",IF(COUNTIF('E7 — Entrega'!$E500:$H500,"⛔ Bloqueado")&gt;0,"Bloqueado",IF(COUNTIF('E7 — Entrega'!$E500:$H500,"✔ Concluído")=4,"Concluído",IF(COUNTIF('E7 — Entrega'!$E500:$H500,"✔ Concluído")+COUNTIF('E7 — Entrega'!$E500:$H500,"🔄 Em andamento")&gt;0,"Em andamento","Não iniciado"))))))))</f>
        <v/>
      </c>
      <c r="L518" s="229" t="str">
        <f>IF($B518="","",IF($K518&lt;&gt;"Concluído","Não iniciado",IF(OR(COUNTIF('E08 — Estabilização Hypercare'!$E500:$J500,"⛔ Bloqueado")&gt;0,'E08 — Estabilização Hypercare'!$N500="⛔ Incidente Crítico — Encerramento Bloqueado",AND('E08 — Estabilização Hypercare'!$N500="🆕 Evolução Identificada — Nova Demanda Aberta",'E08 — Estabilização Hypercare'!$U500="")),"Bloqueado",IF(AND('E08 — Estabilização Hypercare'!$E500="✔ Concluído",'E08 — Estabilização Hypercare'!$F500="✔ Concluído",'E08 — Estabilização Hypercare'!$G500="✔ Concluído",OR('E08 — Estabilização Hypercare'!$H500="✔ Concluído",'E08 — Estabilização Hypercare'!$H500="N/A"),'E08 — Estabilização Hypercare'!$I500="✔ Concluído",'E08 — Estabilização Hypercare'!$J500="✔ Concluído",OR('E08 — Estabilização Hypercare'!$N500="✅ Estável — Demanda Encerrada",AND('E08 — Estabilização Hypercare'!$N500="🆕 Evolução Identificada — Nova Demanda Aberta",'E08 — Estabilização Hypercare'!$U500&lt;&gt;""))),"Concluído",IF(OR(COUNTIF('E08 — Estabilização Hypercare'!$E500:$J500,"✔ Concluído")&gt;0,COUNTIF('E08 — Estabilização Hypercare'!$E500:$J500,"🔄 Em andamento")&gt;0,'E08 — Estabilização Hypercare'!$N500&lt;&gt;""),"Em andamento","Não iniciado")))))</f>
        <v/>
      </c>
      <c r="M518" s="232" t="str" cm="1">
        <f t="array" ref="M518">IF(B518="","",_xlfn.IFS(E518&lt;&gt;"Concluído","E1 — Solicitação",F518&lt;&gt;"Concluído","E2 — Triagem",G518&lt;&gt;"Concluído","E3 — Levantamento ⚠",H518&lt;&gt;"Concluído","E4 — Execução",I518&lt;&gt;"Concluído","E5 — Validação ⚠",AND(J518&lt;&gt;"Concluído",J518&lt;&gt;"N/A"),"E6 — Ajustes",K518&lt;&gt;"Concluído","E7 — Entrega",L518&lt;&gt;"Concluído","E08 — Estabilização / Hypercare",TRUE,"✔ Fluxo concluído"))</f>
        <v/>
      </c>
      <c r="N518" s="233" t="str">
        <f t="shared" si="8"/>
        <v/>
      </c>
      <c r="O518" s="230"/>
    </row>
    <row r="519" spans="2:15" x14ac:dyDescent="0.35">
      <c r="B519" s="229" t="str">
        <f>IF(Lançamentos!$B496="","",Lançamentos!$B496)</f>
        <v/>
      </c>
      <c r="C519" s="231" t="str">
        <f>IF($B519="","",Lançamentos!$J496)</f>
        <v/>
      </c>
      <c r="D519" s="231" t="str">
        <f>IF($B519="","",Lançamentos!$H496)</f>
        <v/>
      </c>
      <c r="E519" s="229" t="str">
        <f>IF($B519="","",IF(COUNTIF(Lançamentos!$B$3:$B$1001,$B519)=0,"Bloqueado",IF(COUNTIF('E1 — Solicitação'!$E501:$L501,"⛔ Bloqueado")&gt;0,"Bloqueado",IF(COUNTIF('E1 — Solicitação'!$E501:$L501,"N/A")=8,"Bloqueado",IF(COUNTIF('E1 — Solicitação'!$E501:$L501,"✔ Concluído")+COUNTIF('E1 — Solicitação'!$E501:$L501,"N/A")=8,"Concluído",IF(COUNTIF('E1 — Solicitação'!$E501:$L501,"✔ Concluído")+COUNTIF('E1 — Solicitação'!$E501:$L501,"🔄 Em andamento")&gt;0,"Em andamento","Não iniciado"))))))</f>
        <v/>
      </c>
      <c r="F519" s="229" t="str">
        <f>IF($B519="","",IF($E519&lt;&gt;"Concluído","Não iniciado",IF(COUNTIF(Lançamentos!$B$3:$B$1001,$B519)=0,"Bloqueado",IF('E2 — Triagem'!$D501="","Bloqueado",IF(COUNTIF('E2 — Triagem'!$E501:$L501,"N/A")=8,"Bloqueado",IF(COUNTIF('E2 — Triagem'!$E501:$L501,"⛔ Bloqueado")&gt;0,"Bloqueado",IF(COUNTIF('E2 — Triagem'!$E501:$L501,"✔ Concluído")+COUNTIF('E2 — Triagem'!$E501:$L501,"N/A")=8,"Concluído",IF(COUNTIF('E2 — Triagem'!$E501:$L501,"✔ Concluído")+COUNTIF('E2 — Triagem'!$E501:$L501,"🔄 Em andamento")&gt;0,"Em andamento","Não iniciado"))))))))</f>
        <v/>
      </c>
      <c r="G519" s="229" t="str">
        <f>IF($B519="","",IF($F519&lt;&gt;"Concluído","Não iniciado",IF(COUNTIF(Lançamentos!$B$3:$B$1001,$B519)=0,"Bloqueado",IF('E3 — Levantamento'!$D501="","Bloqueado",IF(COUNTIF('E3 — Levantamento'!$E501:$I501,"⛔ Bloqueado")&gt;0,"Bloqueado",IF('E3 — Levantamento'!$I501="N/A","Bloqueado",IF(COUNTIF('E3 — Levantamento'!$E501:$I501,"✔ Concluído")=5,"Concluído",IF(COUNTIF('E3 — Levantamento'!$E501:$I501,"✔ Concluído")+COUNTIF('E3 — Levantamento'!$E501:$I501,"🔄 Em andamento")&gt;0,"Em andamento","Não iniciado"))))))))</f>
        <v/>
      </c>
      <c r="H519" s="229" t="str">
        <f>IF($B519="","",IF($G519&lt;&gt;"Concluído","Não iniciado",IF(COUNTIF(Lançamentos!$B$3:$B$1001,$B519)=0,"Bloqueado",IF('E4 — Execução'!$D501="","Bloqueado",IF(COUNTIF('E4 — Execução'!$E501:$K501,"⛔ Bloqueado")&gt;0,"Bloqueado",IF(COUNTIF('E4 — Execução'!$E501:$K501,"✔ Concluído")=7,"Concluído",IF(COUNTIF('E4 — Execução'!$E501:$K501,"✔ Concluído")+COUNTIF('E4 — Execução'!$E501:$K501,"🔄 Em andamento")&gt;0,"Em andamento","Não iniciado")))))))</f>
        <v/>
      </c>
      <c r="I519" s="229" t="str">
        <f>IF($B519="","",IF($H519&lt;&gt;"Concluído","Não iniciado",IF(COUNTIF(Lançamentos!$B$3:$B$1001,$B519)=0,"Bloqueado",IF('E5 — Validação'!$D501="","Bloqueado",IF(COUNTIF('E5 — Validação'!$E501:$I501,"⛔ Bloqueado")&gt;0,"Bloqueado",IF('E5 — Validação'!$I501="N/A","Bloqueado",IF(AND('E5 — Validação'!$E501="✔ Concluído",'E5 — Validação'!$F501="✔ Concluído",OR('E5 — Validação'!$G501="✔ Concluído",'E5 — Validação'!$G501="N/A"),'E5 — Validação'!$H501="✔ Concluído",'E5 — Validação'!$I501="✔ Concluído"),"Concluído",IF(COUNTIF('E5 — Validação'!$E501:$I501,"✔ Concluído")+COUNTIF('E5 — Validação'!$E501:$I501,"🔄 Em andamento")&gt;0,"Em andamento","Não iniciado"))))))))</f>
        <v/>
      </c>
      <c r="J519" s="229" t="str">
        <f>IF($B519="","",IF($I519&lt;&gt;"Concluído","Não iniciado",IF('E6 — Ajustes'!$N501="Não","N/A",IF(COUNTIF(Lançamentos!$B$3:$B$1001,$B519)=0,"Bloqueado",IF('E6 — Ajustes'!$D501="","Bloqueado",IF(COUNTIF('E6 — Ajustes'!$E501:$J501,"⛔ Bloqueado")&gt;0,"Bloqueado",IF(AND('E6 — Ajustes'!$E501="✔ Concluído",'E6 — Ajustes'!$F501="✔ Concluído",'E6 — Ajustes'!$G501="✔ Concluído",'E6 — Ajustes'!$H501="✔ Concluído",OR('E6 — Ajustes'!$I501="✔ Concluído",'E6 — Ajustes'!$I501="N/A"),'E6 — Ajustes'!$J501="✔ Concluído"),"Concluído",IF(COUNTIF('E6 — Ajustes'!$E501:$J501,"✔ Concluído")+COUNTIF('E6 — Ajustes'!$E501:$J501,"🔄 Em andamento")&gt;0,"Em andamento","Não iniciado"))))))))</f>
        <v/>
      </c>
      <c r="K519" s="229" t="str">
        <f>IF($B519="","",IF($I519&lt;&gt;"Concluído","Não iniciado",IF(AND($J519&lt;&gt;"Concluído",$J519&lt;&gt;"N/A"),"Não iniciado",IF(COUNTIF(Lançamentos!$B$3:$B$1001,$B519)=0,"Bloqueado",IF('E7 — Entrega'!$D501="","Bloqueado",IF(COUNTIF('E7 — Entrega'!$E501:$H501,"⛔ Bloqueado")&gt;0,"Bloqueado",IF(COUNTIF('E7 — Entrega'!$E501:$H501,"✔ Concluído")=4,"Concluído",IF(COUNTIF('E7 — Entrega'!$E501:$H501,"✔ Concluído")+COUNTIF('E7 — Entrega'!$E501:$H501,"🔄 Em andamento")&gt;0,"Em andamento","Não iniciado"))))))))</f>
        <v/>
      </c>
      <c r="L519" s="229" t="str">
        <f>IF($B519="","",IF($K519&lt;&gt;"Concluído","Não iniciado",IF(OR(COUNTIF('E08 — Estabilização Hypercare'!$E501:$J501,"⛔ Bloqueado")&gt;0,'E08 — Estabilização Hypercare'!$N501="⛔ Incidente Crítico — Encerramento Bloqueado",AND('E08 — Estabilização Hypercare'!$N501="🆕 Evolução Identificada — Nova Demanda Aberta",'E08 — Estabilização Hypercare'!$U501="")),"Bloqueado",IF(AND('E08 — Estabilização Hypercare'!$E501="✔ Concluído",'E08 — Estabilização Hypercare'!$F501="✔ Concluído",'E08 — Estabilização Hypercare'!$G501="✔ Concluído",OR('E08 — Estabilização Hypercare'!$H501="✔ Concluído",'E08 — Estabilização Hypercare'!$H501="N/A"),'E08 — Estabilização Hypercare'!$I501="✔ Concluído",'E08 — Estabilização Hypercare'!$J501="✔ Concluído",OR('E08 — Estabilização Hypercare'!$N501="✅ Estável — Demanda Encerrada",AND('E08 — Estabilização Hypercare'!$N501="🆕 Evolução Identificada — Nova Demanda Aberta",'E08 — Estabilização Hypercare'!$U501&lt;&gt;""))),"Concluído",IF(OR(COUNTIF('E08 — Estabilização Hypercare'!$E501:$J501,"✔ Concluído")&gt;0,COUNTIF('E08 — Estabilização Hypercare'!$E501:$J501,"🔄 Em andamento")&gt;0,'E08 — Estabilização Hypercare'!$N501&lt;&gt;""),"Em andamento","Não iniciado")))))</f>
        <v/>
      </c>
      <c r="M519" s="232" t="str" cm="1">
        <f t="array" ref="M519">IF(B519="","",_xlfn.IFS(E519&lt;&gt;"Concluído","E1 — Solicitação",F519&lt;&gt;"Concluído","E2 — Triagem",G519&lt;&gt;"Concluído","E3 — Levantamento ⚠",H519&lt;&gt;"Concluído","E4 — Execução",I519&lt;&gt;"Concluído","E5 — Validação ⚠",AND(J519&lt;&gt;"Concluído",J519&lt;&gt;"N/A"),"E6 — Ajustes",K519&lt;&gt;"Concluído","E7 — Entrega",L519&lt;&gt;"Concluído","E08 — Estabilização / Hypercare",TRUE,"✔ Fluxo concluído"))</f>
        <v/>
      </c>
      <c r="N519" s="233" t="str">
        <f t="shared" si="8"/>
        <v/>
      </c>
      <c r="O519" s="230"/>
    </row>
    <row r="520" spans="2:15" x14ac:dyDescent="0.35">
      <c r="B520" s="229" t="str">
        <f>IF(Lançamentos!$B497="","",Lançamentos!$B497)</f>
        <v/>
      </c>
      <c r="C520" s="231" t="str">
        <f>IF($B520="","",Lançamentos!$J497)</f>
        <v/>
      </c>
      <c r="D520" s="231" t="str">
        <f>IF($B520="","",Lançamentos!$H497)</f>
        <v/>
      </c>
      <c r="E520" s="229" t="str">
        <f>IF($B520="","",IF(COUNTIF(Lançamentos!$B$3:$B$1001,$B520)=0,"Bloqueado",IF(COUNTIF('E1 — Solicitação'!$E502:$L502,"⛔ Bloqueado")&gt;0,"Bloqueado",IF(COUNTIF('E1 — Solicitação'!$E502:$L502,"N/A")=8,"Bloqueado",IF(COUNTIF('E1 — Solicitação'!$E502:$L502,"✔ Concluído")+COUNTIF('E1 — Solicitação'!$E502:$L502,"N/A")=8,"Concluído",IF(COUNTIF('E1 — Solicitação'!$E502:$L502,"✔ Concluído")+COUNTIF('E1 — Solicitação'!$E502:$L502,"🔄 Em andamento")&gt;0,"Em andamento","Não iniciado"))))))</f>
        <v/>
      </c>
      <c r="F520" s="229" t="str">
        <f>IF($B520="","",IF($E520&lt;&gt;"Concluído","Não iniciado",IF(COUNTIF(Lançamentos!$B$3:$B$1001,$B520)=0,"Bloqueado",IF('E2 — Triagem'!$D502="","Bloqueado",IF(COUNTIF('E2 — Triagem'!$E502:$L502,"N/A")=8,"Bloqueado",IF(COUNTIF('E2 — Triagem'!$E502:$L502,"⛔ Bloqueado")&gt;0,"Bloqueado",IF(COUNTIF('E2 — Triagem'!$E502:$L502,"✔ Concluído")+COUNTIF('E2 — Triagem'!$E502:$L502,"N/A")=8,"Concluído",IF(COUNTIF('E2 — Triagem'!$E502:$L502,"✔ Concluído")+COUNTIF('E2 — Triagem'!$E502:$L502,"🔄 Em andamento")&gt;0,"Em andamento","Não iniciado"))))))))</f>
        <v/>
      </c>
      <c r="G520" s="229" t="str">
        <f>IF($B520="","",IF($F520&lt;&gt;"Concluído","Não iniciado",IF(COUNTIF(Lançamentos!$B$3:$B$1001,$B520)=0,"Bloqueado",IF('E3 — Levantamento'!$D502="","Bloqueado",IF(COUNTIF('E3 — Levantamento'!$E502:$I502,"⛔ Bloqueado")&gt;0,"Bloqueado",IF('E3 — Levantamento'!$I502="N/A","Bloqueado",IF(COUNTIF('E3 — Levantamento'!$E502:$I502,"✔ Concluído")=5,"Concluído",IF(COUNTIF('E3 — Levantamento'!$E502:$I502,"✔ Concluído")+COUNTIF('E3 — Levantamento'!$E502:$I502,"🔄 Em andamento")&gt;0,"Em andamento","Não iniciado"))))))))</f>
        <v/>
      </c>
      <c r="H520" s="229" t="str">
        <f>IF($B520="","",IF($G520&lt;&gt;"Concluído","Não iniciado",IF(COUNTIF(Lançamentos!$B$3:$B$1001,$B520)=0,"Bloqueado",IF('E4 — Execução'!$D502="","Bloqueado",IF(COUNTIF('E4 — Execução'!$E502:$K502,"⛔ Bloqueado")&gt;0,"Bloqueado",IF(COUNTIF('E4 — Execução'!$E502:$K502,"✔ Concluído")=7,"Concluído",IF(COUNTIF('E4 — Execução'!$E502:$K502,"✔ Concluído")+COUNTIF('E4 — Execução'!$E502:$K502,"🔄 Em andamento")&gt;0,"Em andamento","Não iniciado")))))))</f>
        <v/>
      </c>
      <c r="I520" s="229" t="str">
        <f>IF($B520="","",IF($H520&lt;&gt;"Concluído","Não iniciado",IF(COUNTIF(Lançamentos!$B$3:$B$1001,$B520)=0,"Bloqueado",IF('E5 — Validação'!$D502="","Bloqueado",IF(COUNTIF('E5 — Validação'!$E502:$I502,"⛔ Bloqueado")&gt;0,"Bloqueado",IF('E5 — Validação'!$I502="N/A","Bloqueado",IF(AND('E5 — Validação'!$E502="✔ Concluído",'E5 — Validação'!$F502="✔ Concluído",OR('E5 — Validação'!$G502="✔ Concluído",'E5 — Validação'!$G502="N/A"),'E5 — Validação'!$H502="✔ Concluído",'E5 — Validação'!$I502="✔ Concluído"),"Concluído",IF(COUNTIF('E5 — Validação'!$E502:$I502,"✔ Concluído")+COUNTIF('E5 — Validação'!$E502:$I502,"🔄 Em andamento")&gt;0,"Em andamento","Não iniciado"))))))))</f>
        <v/>
      </c>
      <c r="J520" s="229" t="str">
        <f>IF($B520="","",IF($I520&lt;&gt;"Concluído","Não iniciado",IF('E6 — Ajustes'!$N502="Não","N/A",IF(COUNTIF(Lançamentos!$B$3:$B$1001,$B520)=0,"Bloqueado",IF('E6 — Ajustes'!$D502="","Bloqueado",IF(COUNTIF('E6 — Ajustes'!$E502:$J502,"⛔ Bloqueado")&gt;0,"Bloqueado",IF(AND('E6 — Ajustes'!$E502="✔ Concluído",'E6 — Ajustes'!$F502="✔ Concluído",'E6 — Ajustes'!$G502="✔ Concluído",'E6 — Ajustes'!$H502="✔ Concluído",OR('E6 — Ajustes'!$I502="✔ Concluído",'E6 — Ajustes'!$I502="N/A"),'E6 — Ajustes'!$J502="✔ Concluído"),"Concluído",IF(COUNTIF('E6 — Ajustes'!$E502:$J502,"✔ Concluído")+COUNTIF('E6 — Ajustes'!$E502:$J502,"🔄 Em andamento")&gt;0,"Em andamento","Não iniciado"))))))))</f>
        <v/>
      </c>
      <c r="K520" s="229" t="str">
        <f>IF($B520="","",IF($I520&lt;&gt;"Concluído","Não iniciado",IF(AND($J520&lt;&gt;"Concluído",$J520&lt;&gt;"N/A"),"Não iniciado",IF(COUNTIF(Lançamentos!$B$3:$B$1001,$B520)=0,"Bloqueado",IF('E7 — Entrega'!$D502="","Bloqueado",IF(COUNTIF('E7 — Entrega'!$E502:$H502,"⛔ Bloqueado")&gt;0,"Bloqueado",IF(COUNTIF('E7 — Entrega'!$E502:$H502,"✔ Concluído")=4,"Concluído",IF(COUNTIF('E7 — Entrega'!$E502:$H502,"✔ Concluído")+COUNTIF('E7 — Entrega'!$E502:$H502,"🔄 Em andamento")&gt;0,"Em andamento","Não iniciado"))))))))</f>
        <v/>
      </c>
      <c r="L520" s="229" t="str">
        <f>IF($B520="","",IF($K520&lt;&gt;"Concluído","Não iniciado",IF(OR(COUNTIF('E08 — Estabilização Hypercare'!$E502:$J502,"⛔ Bloqueado")&gt;0,'E08 — Estabilização Hypercare'!$N502="⛔ Incidente Crítico — Encerramento Bloqueado",AND('E08 — Estabilização Hypercare'!$N502="🆕 Evolução Identificada — Nova Demanda Aberta",'E08 — Estabilização Hypercare'!$U502="")),"Bloqueado",IF(AND('E08 — Estabilização Hypercare'!$E502="✔ Concluído",'E08 — Estabilização Hypercare'!$F502="✔ Concluído",'E08 — Estabilização Hypercare'!$G502="✔ Concluído",OR('E08 — Estabilização Hypercare'!$H502="✔ Concluído",'E08 — Estabilização Hypercare'!$H502="N/A"),'E08 — Estabilização Hypercare'!$I502="✔ Concluído",'E08 — Estabilização Hypercare'!$J502="✔ Concluído",OR('E08 — Estabilização Hypercare'!$N502="✅ Estável — Demanda Encerrada",AND('E08 — Estabilização Hypercare'!$N502="🆕 Evolução Identificada — Nova Demanda Aberta",'E08 — Estabilização Hypercare'!$U502&lt;&gt;""))),"Concluído",IF(OR(COUNTIF('E08 — Estabilização Hypercare'!$E502:$J502,"✔ Concluído")&gt;0,COUNTIF('E08 — Estabilização Hypercare'!$E502:$J502,"🔄 Em andamento")&gt;0,'E08 — Estabilização Hypercare'!$N502&lt;&gt;""),"Em andamento","Não iniciado")))))</f>
        <v/>
      </c>
      <c r="M520" s="232" t="str" cm="1">
        <f t="array" ref="M520">IF(B520="","",_xlfn.IFS(E520&lt;&gt;"Concluído","E1 — Solicitação",F520&lt;&gt;"Concluído","E2 — Triagem",G520&lt;&gt;"Concluído","E3 — Levantamento ⚠",H520&lt;&gt;"Concluído","E4 — Execução",I520&lt;&gt;"Concluído","E5 — Validação ⚠",AND(J520&lt;&gt;"Concluído",J520&lt;&gt;"N/A"),"E6 — Ajustes",K520&lt;&gt;"Concluído","E7 — Entrega",L520&lt;&gt;"Concluído","E08 — Estabilização / Hypercare",TRUE,"✔ Fluxo concluído"))</f>
        <v/>
      </c>
      <c r="N520" s="233" t="str">
        <f t="shared" si="8"/>
        <v/>
      </c>
      <c r="O520" s="230"/>
    </row>
    <row r="521" spans="2:15" x14ac:dyDescent="0.35">
      <c r="B521" s="229" t="str">
        <f>IF(Lançamentos!$B498="","",Lançamentos!$B498)</f>
        <v/>
      </c>
      <c r="C521" s="231" t="str">
        <f>IF($B521="","",Lançamentos!$J498)</f>
        <v/>
      </c>
      <c r="D521" s="231" t="str">
        <f>IF($B521="","",Lançamentos!$H498)</f>
        <v/>
      </c>
      <c r="E521" s="229" t="str">
        <f>IF($B521="","",IF(COUNTIF(Lançamentos!$B$3:$B$1001,$B521)=0,"Bloqueado",IF(COUNTIF('E1 — Solicitação'!$E503:$L503,"⛔ Bloqueado")&gt;0,"Bloqueado",IF(COUNTIF('E1 — Solicitação'!$E503:$L503,"N/A")=8,"Bloqueado",IF(COUNTIF('E1 — Solicitação'!$E503:$L503,"✔ Concluído")+COUNTIF('E1 — Solicitação'!$E503:$L503,"N/A")=8,"Concluído",IF(COUNTIF('E1 — Solicitação'!$E503:$L503,"✔ Concluído")+COUNTIF('E1 — Solicitação'!$E503:$L503,"🔄 Em andamento")&gt;0,"Em andamento","Não iniciado"))))))</f>
        <v/>
      </c>
      <c r="F521" s="229" t="str">
        <f>IF($B521="","",IF($E521&lt;&gt;"Concluído","Não iniciado",IF(COUNTIF(Lançamentos!$B$3:$B$1001,$B521)=0,"Bloqueado",IF('E2 — Triagem'!$D503="","Bloqueado",IF(COUNTIF('E2 — Triagem'!$E503:$L503,"N/A")=8,"Bloqueado",IF(COUNTIF('E2 — Triagem'!$E503:$L503,"⛔ Bloqueado")&gt;0,"Bloqueado",IF(COUNTIF('E2 — Triagem'!$E503:$L503,"✔ Concluído")+COUNTIF('E2 — Triagem'!$E503:$L503,"N/A")=8,"Concluído",IF(COUNTIF('E2 — Triagem'!$E503:$L503,"✔ Concluído")+COUNTIF('E2 — Triagem'!$E503:$L503,"🔄 Em andamento")&gt;0,"Em andamento","Não iniciado"))))))))</f>
        <v/>
      </c>
      <c r="G521" s="229" t="str">
        <f>IF($B521="","",IF($F521&lt;&gt;"Concluído","Não iniciado",IF(COUNTIF(Lançamentos!$B$3:$B$1001,$B521)=0,"Bloqueado",IF('E3 — Levantamento'!$D503="","Bloqueado",IF(COUNTIF('E3 — Levantamento'!$E503:$I503,"⛔ Bloqueado")&gt;0,"Bloqueado",IF('E3 — Levantamento'!$I503="N/A","Bloqueado",IF(COUNTIF('E3 — Levantamento'!$E503:$I503,"✔ Concluído")=5,"Concluído",IF(COUNTIF('E3 — Levantamento'!$E503:$I503,"✔ Concluído")+COUNTIF('E3 — Levantamento'!$E503:$I503,"🔄 Em andamento")&gt;0,"Em andamento","Não iniciado"))))))))</f>
        <v/>
      </c>
      <c r="H521" s="229" t="str">
        <f>IF($B521="","",IF($G521&lt;&gt;"Concluído","Não iniciado",IF(COUNTIF(Lançamentos!$B$3:$B$1001,$B521)=0,"Bloqueado",IF('E4 — Execução'!$D503="","Bloqueado",IF(COUNTIF('E4 — Execução'!$E503:$K503,"⛔ Bloqueado")&gt;0,"Bloqueado",IF(COUNTIF('E4 — Execução'!$E503:$K503,"✔ Concluído")=7,"Concluído",IF(COUNTIF('E4 — Execução'!$E503:$K503,"✔ Concluído")+COUNTIF('E4 — Execução'!$E503:$K503,"🔄 Em andamento")&gt;0,"Em andamento","Não iniciado")))))))</f>
        <v/>
      </c>
      <c r="I521" s="229" t="str">
        <f>IF($B521="","",IF($H521&lt;&gt;"Concluído","Não iniciado",IF(COUNTIF(Lançamentos!$B$3:$B$1001,$B521)=0,"Bloqueado",IF('E5 — Validação'!$D503="","Bloqueado",IF(COUNTIF('E5 — Validação'!$E503:$I503,"⛔ Bloqueado")&gt;0,"Bloqueado",IF('E5 — Validação'!$I503="N/A","Bloqueado",IF(AND('E5 — Validação'!$E503="✔ Concluído",'E5 — Validação'!$F503="✔ Concluído",OR('E5 — Validação'!$G503="✔ Concluído",'E5 — Validação'!$G503="N/A"),'E5 — Validação'!$H503="✔ Concluído",'E5 — Validação'!$I503="✔ Concluído"),"Concluído",IF(COUNTIF('E5 — Validação'!$E503:$I503,"✔ Concluído")+COUNTIF('E5 — Validação'!$E503:$I503,"🔄 Em andamento")&gt;0,"Em andamento","Não iniciado"))))))))</f>
        <v/>
      </c>
      <c r="J521" s="229" t="str">
        <f>IF($B521="","",IF($I521&lt;&gt;"Concluído","Não iniciado",IF('E6 — Ajustes'!$N503="Não","N/A",IF(COUNTIF(Lançamentos!$B$3:$B$1001,$B521)=0,"Bloqueado",IF('E6 — Ajustes'!$D503="","Bloqueado",IF(COUNTIF('E6 — Ajustes'!$E503:$J503,"⛔ Bloqueado")&gt;0,"Bloqueado",IF(AND('E6 — Ajustes'!$E503="✔ Concluído",'E6 — Ajustes'!$F503="✔ Concluído",'E6 — Ajustes'!$G503="✔ Concluído",'E6 — Ajustes'!$H503="✔ Concluído",OR('E6 — Ajustes'!$I503="✔ Concluído",'E6 — Ajustes'!$I503="N/A"),'E6 — Ajustes'!$J503="✔ Concluído"),"Concluído",IF(COUNTIF('E6 — Ajustes'!$E503:$J503,"✔ Concluído")+COUNTIF('E6 — Ajustes'!$E503:$J503,"🔄 Em andamento")&gt;0,"Em andamento","Não iniciado"))))))))</f>
        <v/>
      </c>
      <c r="K521" s="229" t="str">
        <f>IF($B521="","",IF($I521&lt;&gt;"Concluído","Não iniciado",IF(AND($J521&lt;&gt;"Concluído",$J521&lt;&gt;"N/A"),"Não iniciado",IF(COUNTIF(Lançamentos!$B$3:$B$1001,$B521)=0,"Bloqueado",IF('E7 — Entrega'!$D503="","Bloqueado",IF(COUNTIF('E7 — Entrega'!$E503:$H503,"⛔ Bloqueado")&gt;0,"Bloqueado",IF(COUNTIF('E7 — Entrega'!$E503:$H503,"✔ Concluído")=4,"Concluído",IF(COUNTIF('E7 — Entrega'!$E503:$H503,"✔ Concluído")+COUNTIF('E7 — Entrega'!$E503:$H503,"🔄 Em andamento")&gt;0,"Em andamento","Não iniciado"))))))))</f>
        <v/>
      </c>
      <c r="L521" s="229" t="str">
        <f>IF($B521="","",IF($K521&lt;&gt;"Concluído","Não iniciado",IF(OR(COUNTIF('E08 — Estabilização Hypercare'!$E503:$J503,"⛔ Bloqueado")&gt;0,'E08 — Estabilização Hypercare'!$N503="⛔ Incidente Crítico — Encerramento Bloqueado",AND('E08 — Estabilização Hypercare'!$N503="🆕 Evolução Identificada — Nova Demanda Aberta",'E08 — Estabilização Hypercare'!$U503="")),"Bloqueado",IF(AND('E08 — Estabilização Hypercare'!$E503="✔ Concluído",'E08 — Estabilização Hypercare'!$F503="✔ Concluído",'E08 — Estabilização Hypercare'!$G503="✔ Concluído",OR('E08 — Estabilização Hypercare'!$H503="✔ Concluído",'E08 — Estabilização Hypercare'!$H503="N/A"),'E08 — Estabilização Hypercare'!$I503="✔ Concluído",'E08 — Estabilização Hypercare'!$J503="✔ Concluído",OR('E08 — Estabilização Hypercare'!$N503="✅ Estável — Demanda Encerrada",AND('E08 — Estabilização Hypercare'!$N503="🆕 Evolução Identificada — Nova Demanda Aberta",'E08 — Estabilização Hypercare'!$U503&lt;&gt;""))),"Concluído",IF(OR(COUNTIF('E08 — Estabilização Hypercare'!$E503:$J503,"✔ Concluído")&gt;0,COUNTIF('E08 — Estabilização Hypercare'!$E503:$J503,"🔄 Em andamento")&gt;0,'E08 — Estabilização Hypercare'!$N503&lt;&gt;""),"Em andamento","Não iniciado")))))</f>
        <v/>
      </c>
      <c r="M521" s="232" t="str" cm="1">
        <f t="array" ref="M521">IF(B521="","",_xlfn.IFS(E521&lt;&gt;"Concluído","E1 — Solicitação",F521&lt;&gt;"Concluído","E2 — Triagem",G521&lt;&gt;"Concluído","E3 — Levantamento ⚠",H521&lt;&gt;"Concluído","E4 — Execução",I521&lt;&gt;"Concluído","E5 — Validação ⚠",AND(J521&lt;&gt;"Concluído",J521&lt;&gt;"N/A"),"E6 — Ajustes",K521&lt;&gt;"Concluído","E7 — Entrega",L521&lt;&gt;"Concluído","E08 — Estabilização / Hypercare",TRUE,"✔ Fluxo concluído"))</f>
        <v/>
      </c>
      <c r="N521" s="233" t="str">
        <f t="shared" si="8"/>
        <v/>
      </c>
      <c r="O521" s="230"/>
    </row>
    <row r="522" spans="2:15" x14ac:dyDescent="0.35">
      <c r="B522" s="229" t="str">
        <f>IF(Lançamentos!$B499="","",Lançamentos!$B499)</f>
        <v/>
      </c>
      <c r="C522" s="231" t="str">
        <f>IF($B522="","",Lançamentos!$J499)</f>
        <v/>
      </c>
      <c r="D522" s="231" t="str">
        <f>IF($B522="","",Lançamentos!$H499)</f>
        <v/>
      </c>
      <c r="E522" s="229" t="str">
        <f>IF($B522="","",IF(COUNTIF(Lançamentos!$B$3:$B$1001,$B522)=0,"Bloqueado",IF(COUNTIF('E1 — Solicitação'!$E504:$L504,"⛔ Bloqueado")&gt;0,"Bloqueado",IF(COUNTIF('E1 — Solicitação'!$E504:$L504,"N/A")=8,"Bloqueado",IF(COUNTIF('E1 — Solicitação'!$E504:$L504,"✔ Concluído")+COUNTIF('E1 — Solicitação'!$E504:$L504,"N/A")=8,"Concluído",IF(COUNTIF('E1 — Solicitação'!$E504:$L504,"✔ Concluído")+COUNTIF('E1 — Solicitação'!$E504:$L504,"🔄 Em andamento")&gt;0,"Em andamento","Não iniciado"))))))</f>
        <v/>
      </c>
      <c r="F522" s="229" t="str">
        <f>IF($B522="","",IF($E522&lt;&gt;"Concluído","Não iniciado",IF(COUNTIF(Lançamentos!$B$3:$B$1001,$B522)=0,"Bloqueado",IF('E2 — Triagem'!$D504="","Bloqueado",IF(COUNTIF('E2 — Triagem'!$E504:$L504,"N/A")=8,"Bloqueado",IF(COUNTIF('E2 — Triagem'!$E504:$L504,"⛔ Bloqueado")&gt;0,"Bloqueado",IF(COUNTIF('E2 — Triagem'!$E504:$L504,"✔ Concluído")+COUNTIF('E2 — Triagem'!$E504:$L504,"N/A")=8,"Concluído",IF(COUNTIF('E2 — Triagem'!$E504:$L504,"✔ Concluído")+COUNTIF('E2 — Triagem'!$E504:$L504,"🔄 Em andamento")&gt;0,"Em andamento","Não iniciado"))))))))</f>
        <v/>
      </c>
      <c r="G522" s="229" t="str">
        <f>IF($B522="","",IF($F522&lt;&gt;"Concluído","Não iniciado",IF(COUNTIF(Lançamentos!$B$3:$B$1001,$B522)=0,"Bloqueado",IF('E3 — Levantamento'!$D504="","Bloqueado",IF(COUNTIF('E3 — Levantamento'!$E504:$I504,"⛔ Bloqueado")&gt;0,"Bloqueado",IF('E3 — Levantamento'!$I504="N/A","Bloqueado",IF(COUNTIF('E3 — Levantamento'!$E504:$I504,"✔ Concluído")=5,"Concluído",IF(COUNTIF('E3 — Levantamento'!$E504:$I504,"✔ Concluído")+COUNTIF('E3 — Levantamento'!$E504:$I504,"🔄 Em andamento")&gt;0,"Em andamento","Não iniciado"))))))))</f>
        <v/>
      </c>
      <c r="H522" s="229" t="str">
        <f>IF($B522="","",IF($G522&lt;&gt;"Concluído","Não iniciado",IF(COUNTIF(Lançamentos!$B$3:$B$1001,$B522)=0,"Bloqueado",IF('E4 — Execução'!$D504="","Bloqueado",IF(COUNTIF('E4 — Execução'!$E504:$K504,"⛔ Bloqueado")&gt;0,"Bloqueado",IF(COUNTIF('E4 — Execução'!$E504:$K504,"✔ Concluído")=7,"Concluído",IF(COUNTIF('E4 — Execução'!$E504:$K504,"✔ Concluído")+COUNTIF('E4 — Execução'!$E504:$K504,"🔄 Em andamento")&gt;0,"Em andamento","Não iniciado")))))))</f>
        <v/>
      </c>
      <c r="I522" s="229" t="str">
        <f>IF($B522="","",IF($H522&lt;&gt;"Concluído","Não iniciado",IF(COUNTIF(Lançamentos!$B$3:$B$1001,$B522)=0,"Bloqueado",IF('E5 — Validação'!$D504="","Bloqueado",IF(COUNTIF('E5 — Validação'!$E504:$I504,"⛔ Bloqueado")&gt;0,"Bloqueado",IF('E5 — Validação'!$I504="N/A","Bloqueado",IF(AND('E5 — Validação'!$E504="✔ Concluído",'E5 — Validação'!$F504="✔ Concluído",OR('E5 — Validação'!$G504="✔ Concluído",'E5 — Validação'!$G504="N/A"),'E5 — Validação'!$H504="✔ Concluído",'E5 — Validação'!$I504="✔ Concluído"),"Concluído",IF(COUNTIF('E5 — Validação'!$E504:$I504,"✔ Concluído")+COUNTIF('E5 — Validação'!$E504:$I504,"🔄 Em andamento")&gt;0,"Em andamento","Não iniciado"))))))))</f>
        <v/>
      </c>
      <c r="J522" s="229" t="str">
        <f>IF($B522="","",IF($I522&lt;&gt;"Concluído","Não iniciado",IF('E6 — Ajustes'!$N504="Não","N/A",IF(COUNTIF(Lançamentos!$B$3:$B$1001,$B522)=0,"Bloqueado",IF('E6 — Ajustes'!$D504="","Bloqueado",IF(COUNTIF('E6 — Ajustes'!$E504:$J504,"⛔ Bloqueado")&gt;0,"Bloqueado",IF(AND('E6 — Ajustes'!$E504="✔ Concluído",'E6 — Ajustes'!$F504="✔ Concluído",'E6 — Ajustes'!$G504="✔ Concluído",'E6 — Ajustes'!$H504="✔ Concluído",OR('E6 — Ajustes'!$I504="✔ Concluído",'E6 — Ajustes'!$I504="N/A"),'E6 — Ajustes'!$J504="✔ Concluído"),"Concluído",IF(COUNTIF('E6 — Ajustes'!$E504:$J504,"✔ Concluído")+COUNTIF('E6 — Ajustes'!$E504:$J504,"🔄 Em andamento")&gt;0,"Em andamento","Não iniciado"))))))))</f>
        <v/>
      </c>
      <c r="K522" s="229" t="str">
        <f>IF($B522="","",IF($I522&lt;&gt;"Concluído","Não iniciado",IF(AND($J522&lt;&gt;"Concluído",$J522&lt;&gt;"N/A"),"Não iniciado",IF(COUNTIF(Lançamentos!$B$3:$B$1001,$B522)=0,"Bloqueado",IF('E7 — Entrega'!$D504="","Bloqueado",IF(COUNTIF('E7 — Entrega'!$E504:$H504,"⛔ Bloqueado")&gt;0,"Bloqueado",IF(COUNTIF('E7 — Entrega'!$E504:$H504,"✔ Concluído")=4,"Concluído",IF(COUNTIF('E7 — Entrega'!$E504:$H504,"✔ Concluído")+COUNTIF('E7 — Entrega'!$E504:$H504,"🔄 Em andamento")&gt;0,"Em andamento","Não iniciado"))))))))</f>
        <v/>
      </c>
      <c r="L522" s="229" t="str">
        <f>IF($B522="","",IF($K522&lt;&gt;"Concluído","Não iniciado",IF(OR(COUNTIF('E08 — Estabilização Hypercare'!$E504:$J504,"⛔ Bloqueado")&gt;0,'E08 — Estabilização Hypercare'!$N504="⛔ Incidente Crítico — Encerramento Bloqueado",AND('E08 — Estabilização Hypercare'!$N504="🆕 Evolução Identificada — Nova Demanda Aberta",'E08 — Estabilização Hypercare'!$U504="")),"Bloqueado",IF(AND('E08 — Estabilização Hypercare'!$E504="✔ Concluído",'E08 — Estabilização Hypercare'!$F504="✔ Concluído",'E08 — Estabilização Hypercare'!$G504="✔ Concluído",OR('E08 — Estabilização Hypercare'!$H504="✔ Concluído",'E08 — Estabilização Hypercare'!$H504="N/A"),'E08 — Estabilização Hypercare'!$I504="✔ Concluído",'E08 — Estabilização Hypercare'!$J504="✔ Concluído",OR('E08 — Estabilização Hypercare'!$N504="✅ Estável — Demanda Encerrada",AND('E08 — Estabilização Hypercare'!$N504="🆕 Evolução Identificada — Nova Demanda Aberta",'E08 — Estabilização Hypercare'!$U504&lt;&gt;""))),"Concluído",IF(OR(COUNTIF('E08 — Estabilização Hypercare'!$E504:$J504,"✔ Concluído")&gt;0,COUNTIF('E08 — Estabilização Hypercare'!$E504:$J504,"🔄 Em andamento")&gt;0,'E08 — Estabilização Hypercare'!$N504&lt;&gt;""),"Em andamento","Não iniciado")))))</f>
        <v/>
      </c>
      <c r="M522" s="232" t="str" cm="1">
        <f t="array" ref="M522">IF(B522="","",_xlfn.IFS(E522&lt;&gt;"Concluído","E1 — Solicitação",F522&lt;&gt;"Concluído","E2 — Triagem",G522&lt;&gt;"Concluído","E3 — Levantamento ⚠",H522&lt;&gt;"Concluído","E4 — Execução",I522&lt;&gt;"Concluído","E5 — Validação ⚠",AND(J522&lt;&gt;"Concluído",J522&lt;&gt;"N/A"),"E6 — Ajustes",K522&lt;&gt;"Concluído","E7 — Entrega",L522&lt;&gt;"Concluído","E08 — Estabilização / Hypercare",TRUE,"✔ Fluxo concluído"))</f>
        <v/>
      </c>
      <c r="N522" s="233" t="str">
        <f t="shared" si="8"/>
        <v/>
      </c>
      <c r="O522" s="230"/>
    </row>
    <row r="523" spans="2:15" x14ac:dyDescent="0.35">
      <c r="B523" s="229" t="str">
        <f>IF(Lançamentos!$B500="","",Lançamentos!$B500)</f>
        <v/>
      </c>
      <c r="C523" s="231" t="str">
        <f>IF($B523="","",Lançamentos!$J500)</f>
        <v/>
      </c>
      <c r="D523" s="231" t="str">
        <f>IF($B523="","",Lançamentos!$H500)</f>
        <v/>
      </c>
      <c r="E523" s="229" t="str">
        <f>IF($B523="","",IF(COUNTIF(Lançamentos!$B$3:$B$1001,$B523)=0,"Bloqueado",IF(COUNTIF('E1 — Solicitação'!$E505:$L505,"⛔ Bloqueado")&gt;0,"Bloqueado",IF(COUNTIF('E1 — Solicitação'!$E505:$L505,"N/A")=8,"Bloqueado",IF(COUNTIF('E1 — Solicitação'!$E505:$L505,"✔ Concluído")+COUNTIF('E1 — Solicitação'!$E505:$L505,"N/A")=8,"Concluído",IF(COUNTIF('E1 — Solicitação'!$E505:$L505,"✔ Concluído")+COUNTIF('E1 — Solicitação'!$E505:$L505,"🔄 Em andamento")&gt;0,"Em andamento","Não iniciado"))))))</f>
        <v/>
      </c>
      <c r="F523" s="229" t="str">
        <f>IF($B523="","",IF($E523&lt;&gt;"Concluído","Não iniciado",IF(COUNTIF(Lançamentos!$B$3:$B$1001,$B523)=0,"Bloqueado",IF('E2 — Triagem'!$D505="","Bloqueado",IF(COUNTIF('E2 — Triagem'!$E505:$L505,"N/A")=8,"Bloqueado",IF(COUNTIF('E2 — Triagem'!$E505:$L505,"⛔ Bloqueado")&gt;0,"Bloqueado",IF(COUNTIF('E2 — Triagem'!$E505:$L505,"✔ Concluído")+COUNTIF('E2 — Triagem'!$E505:$L505,"N/A")=8,"Concluído",IF(COUNTIF('E2 — Triagem'!$E505:$L505,"✔ Concluído")+COUNTIF('E2 — Triagem'!$E505:$L505,"🔄 Em andamento")&gt;0,"Em andamento","Não iniciado"))))))))</f>
        <v/>
      </c>
      <c r="G523" s="229" t="str">
        <f>IF($B523="","",IF($F523&lt;&gt;"Concluído","Não iniciado",IF(COUNTIF(Lançamentos!$B$3:$B$1001,$B523)=0,"Bloqueado",IF('E3 — Levantamento'!$D505="","Bloqueado",IF(COUNTIF('E3 — Levantamento'!$E505:$I505,"⛔ Bloqueado")&gt;0,"Bloqueado",IF('E3 — Levantamento'!$I505="N/A","Bloqueado",IF(COUNTIF('E3 — Levantamento'!$E505:$I505,"✔ Concluído")=5,"Concluído",IF(COUNTIF('E3 — Levantamento'!$E505:$I505,"✔ Concluído")+COUNTIF('E3 — Levantamento'!$E505:$I505,"🔄 Em andamento")&gt;0,"Em andamento","Não iniciado"))))))))</f>
        <v/>
      </c>
      <c r="H523" s="229" t="str">
        <f>IF($B523="","",IF($G523&lt;&gt;"Concluído","Não iniciado",IF(COUNTIF(Lançamentos!$B$3:$B$1001,$B523)=0,"Bloqueado",IF('E4 — Execução'!$D505="","Bloqueado",IF(COUNTIF('E4 — Execução'!$E505:$K505,"⛔ Bloqueado")&gt;0,"Bloqueado",IF(COUNTIF('E4 — Execução'!$E505:$K505,"✔ Concluído")=7,"Concluído",IF(COUNTIF('E4 — Execução'!$E505:$K505,"✔ Concluído")+COUNTIF('E4 — Execução'!$E505:$K505,"🔄 Em andamento")&gt;0,"Em andamento","Não iniciado")))))))</f>
        <v/>
      </c>
      <c r="I523" s="229" t="str">
        <f>IF($B523="","",IF($H523&lt;&gt;"Concluído","Não iniciado",IF(COUNTIF(Lançamentos!$B$3:$B$1001,$B523)=0,"Bloqueado",IF('E5 — Validação'!$D505="","Bloqueado",IF(COUNTIF('E5 — Validação'!$E505:$I505,"⛔ Bloqueado")&gt;0,"Bloqueado",IF('E5 — Validação'!$I505="N/A","Bloqueado",IF(AND('E5 — Validação'!$E505="✔ Concluído",'E5 — Validação'!$F505="✔ Concluído",OR('E5 — Validação'!$G505="✔ Concluído",'E5 — Validação'!$G505="N/A"),'E5 — Validação'!$H505="✔ Concluído",'E5 — Validação'!$I505="✔ Concluído"),"Concluído",IF(COUNTIF('E5 — Validação'!$E505:$I505,"✔ Concluído")+COUNTIF('E5 — Validação'!$E505:$I505,"🔄 Em andamento")&gt;0,"Em andamento","Não iniciado"))))))))</f>
        <v/>
      </c>
      <c r="J523" s="229" t="str">
        <f>IF($B523="","",IF($I523&lt;&gt;"Concluído","Não iniciado",IF('E6 — Ajustes'!$N505="Não","N/A",IF(COUNTIF(Lançamentos!$B$3:$B$1001,$B523)=0,"Bloqueado",IF('E6 — Ajustes'!$D505="","Bloqueado",IF(COUNTIF('E6 — Ajustes'!$E505:$J505,"⛔ Bloqueado")&gt;0,"Bloqueado",IF(AND('E6 — Ajustes'!$E505="✔ Concluído",'E6 — Ajustes'!$F505="✔ Concluído",'E6 — Ajustes'!$G505="✔ Concluído",'E6 — Ajustes'!$H505="✔ Concluído",OR('E6 — Ajustes'!$I505="✔ Concluído",'E6 — Ajustes'!$I505="N/A"),'E6 — Ajustes'!$J505="✔ Concluído"),"Concluído",IF(COUNTIF('E6 — Ajustes'!$E505:$J505,"✔ Concluído")+COUNTIF('E6 — Ajustes'!$E505:$J505,"🔄 Em andamento")&gt;0,"Em andamento","Não iniciado"))))))))</f>
        <v/>
      </c>
      <c r="K523" s="229" t="str">
        <f>IF($B523="","",IF($I523&lt;&gt;"Concluído","Não iniciado",IF(AND($J523&lt;&gt;"Concluído",$J523&lt;&gt;"N/A"),"Não iniciado",IF(COUNTIF(Lançamentos!$B$3:$B$1001,$B523)=0,"Bloqueado",IF('E7 — Entrega'!$D505="","Bloqueado",IF(COUNTIF('E7 — Entrega'!$E505:$H505,"⛔ Bloqueado")&gt;0,"Bloqueado",IF(COUNTIF('E7 — Entrega'!$E505:$H505,"✔ Concluído")=4,"Concluído",IF(COUNTIF('E7 — Entrega'!$E505:$H505,"✔ Concluído")+COUNTIF('E7 — Entrega'!$E505:$H505,"🔄 Em andamento")&gt;0,"Em andamento","Não iniciado"))))))))</f>
        <v/>
      </c>
      <c r="L523" s="229" t="str">
        <f>IF($B523="","",IF($K523&lt;&gt;"Concluído","Não iniciado",IF(OR(COUNTIF('E08 — Estabilização Hypercare'!$E505:$J505,"⛔ Bloqueado")&gt;0,'E08 — Estabilização Hypercare'!$N505="⛔ Incidente Crítico — Encerramento Bloqueado",AND('E08 — Estabilização Hypercare'!$N505="🆕 Evolução Identificada — Nova Demanda Aberta",'E08 — Estabilização Hypercare'!$U505="")),"Bloqueado",IF(AND('E08 — Estabilização Hypercare'!$E505="✔ Concluído",'E08 — Estabilização Hypercare'!$F505="✔ Concluído",'E08 — Estabilização Hypercare'!$G505="✔ Concluído",OR('E08 — Estabilização Hypercare'!$H505="✔ Concluído",'E08 — Estabilização Hypercare'!$H505="N/A"),'E08 — Estabilização Hypercare'!$I505="✔ Concluído",'E08 — Estabilização Hypercare'!$J505="✔ Concluído",OR('E08 — Estabilização Hypercare'!$N505="✅ Estável — Demanda Encerrada",AND('E08 — Estabilização Hypercare'!$N505="🆕 Evolução Identificada — Nova Demanda Aberta",'E08 — Estabilização Hypercare'!$U505&lt;&gt;""))),"Concluído",IF(OR(COUNTIF('E08 — Estabilização Hypercare'!$E505:$J505,"✔ Concluído")&gt;0,COUNTIF('E08 — Estabilização Hypercare'!$E505:$J505,"🔄 Em andamento")&gt;0,'E08 — Estabilização Hypercare'!$N505&lt;&gt;""),"Em andamento","Não iniciado")))))</f>
        <v/>
      </c>
      <c r="M523" s="232" t="str" cm="1">
        <f t="array" ref="M523">IF(B523="","",_xlfn.IFS(E523&lt;&gt;"Concluído","E1 — Solicitação",F523&lt;&gt;"Concluído","E2 — Triagem",G523&lt;&gt;"Concluído","E3 — Levantamento ⚠",H523&lt;&gt;"Concluído","E4 — Execução",I523&lt;&gt;"Concluído","E5 — Validação ⚠",AND(J523&lt;&gt;"Concluído",J523&lt;&gt;"N/A"),"E6 — Ajustes",K523&lt;&gt;"Concluído","E7 — Entrega",L523&lt;&gt;"Concluído","E08 — Estabilização / Hypercare",TRUE,"✔ Fluxo concluído"))</f>
        <v/>
      </c>
      <c r="N523" s="233" t="str">
        <f t="shared" si="8"/>
        <v/>
      </c>
      <c r="O523" s="230"/>
    </row>
    <row r="524" spans="2:15" x14ac:dyDescent="0.35">
      <c r="B524" s="229" t="str">
        <f>IF(Lançamentos!$B501="","",Lançamentos!$B501)</f>
        <v/>
      </c>
      <c r="C524" s="231" t="str">
        <f>IF($B524="","",Lançamentos!$J501)</f>
        <v/>
      </c>
      <c r="D524" s="231" t="str">
        <f>IF($B524="","",Lançamentos!$H501)</f>
        <v/>
      </c>
      <c r="E524" s="229" t="str">
        <f>IF($B524="","",IF(COUNTIF(Lançamentos!$B$3:$B$1001,$B524)=0,"Bloqueado",IF(COUNTIF('E1 — Solicitação'!$E506:$L506,"⛔ Bloqueado")&gt;0,"Bloqueado",IF(COUNTIF('E1 — Solicitação'!$E506:$L506,"N/A")=8,"Bloqueado",IF(COUNTIF('E1 — Solicitação'!$E506:$L506,"✔ Concluído")+COUNTIF('E1 — Solicitação'!$E506:$L506,"N/A")=8,"Concluído",IF(COUNTIF('E1 — Solicitação'!$E506:$L506,"✔ Concluído")+COUNTIF('E1 — Solicitação'!$E506:$L506,"🔄 Em andamento")&gt;0,"Em andamento","Não iniciado"))))))</f>
        <v/>
      </c>
      <c r="F524" s="229" t="str">
        <f>IF($B524="","",IF($E524&lt;&gt;"Concluído","Não iniciado",IF(COUNTIF(Lançamentos!$B$3:$B$1001,$B524)=0,"Bloqueado",IF('E2 — Triagem'!$D506="","Bloqueado",IF(COUNTIF('E2 — Triagem'!$E506:$L506,"N/A")=8,"Bloqueado",IF(COUNTIF('E2 — Triagem'!$E506:$L506,"⛔ Bloqueado")&gt;0,"Bloqueado",IF(COUNTIF('E2 — Triagem'!$E506:$L506,"✔ Concluído")+COUNTIF('E2 — Triagem'!$E506:$L506,"N/A")=8,"Concluído",IF(COUNTIF('E2 — Triagem'!$E506:$L506,"✔ Concluído")+COUNTIF('E2 — Triagem'!$E506:$L506,"🔄 Em andamento")&gt;0,"Em andamento","Não iniciado"))))))))</f>
        <v/>
      </c>
      <c r="G524" s="229" t="str">
        <f>IF($B524="","",IF($F524&lt;&gt;"Concluído","Não iniciado",IF(COUNTIF(Lançamentos!$B$3:$B$1001,$B524)=0,"Bloqueado",IF('E3 — Levantamento'!$D506="","Bloqueado",IF(COUNTIF('E3 — Levantamento'!$E506:$I506,"⛔ Bloqueado")&gt;0,"Bloqueado",IF('E3 — Levantamento'!$I506="N/A","Bloqueado",IF(COUNTIF('E3 — Levantamento'!$E506:$I506,"✔ Concluído")=5,"Concluído",IF(COUNTIF('E3 — Levantamento'!$E506:$I506,"✔ Concluído")+COUNTIF('E3 — Levantamento'!$E506:$I506,"🔄 Em andamento")&gt;0,"Em andamento","Não iniciado"))))))))</f>
        <v/>
      </c>
      <c r="H524" s="229" t="str">
        <f>IF($B524="","",IF($G524&lt;&gt;"Concluído","Não iniciado",IF(COUNTIF(Lançamentos!$B$3:$B$1001,$B524)=0,"Bloqueado",IF('E4 — Execução'!$D506="","Bloqueado",IF(COUNTIF('E4 — Execução'!$E506:$K506,"⛔ Bloqueado")&gt;0,"Bloqueado",IF(COUNTIF('E4 — Execução'!$E506:$K506,"✔ Concluído")=7,"Concluído",IF(COUNTIF('E4 — Execução'!$E506:$K506,"✔ Concluído")+COUNTIF('E4 — Execução'!$E506:$K506,"🔄 Em andamento")&gt;0,"Em andamento","Não iniciado")))))))</f>
        <v/>
      </c>
      <c r="I524" s="229" t="str">
        <f>IF($B524="","",IF($H524&lt;&gt;"Concluído","Não iniciado",IF(COUNTIF(Lançamentos!$B$3:$B$1001,$B524)=0,"Bloqueado",IF('E5 — Validação'!$D506="","Bloqueado",IF(COUNTIF('E5 — Validação'!$E506:$I506,"⛔ Bloqueado")&gt;0,"Bloqueado",IF('E5 — Validação'!$I506="N/A","Bloqueado",IF(AND('E5 — Validação'!$E506="✔ Concluído",'E5 — Validação'!$F506="✔ Concluído",OR('E5 — Validação'!$G506="✔ Concluído",'E5 — Validação'!$G506="N/A"),'E5 — Validação'!$H506="✔ Concluído",'E5 — Validação'!$I506="✔ Concluído"),"Concluído",IF(COUNTIF('E5 — Validação'!$E506:$I506,"✔ Concluído")+COUNTIF('E5 — Validação'!$E506:$I506,"🔄 Em andamento")&gt;0,"Em andamento","Não iniciado"))))))))</f>
        <v/>
      </c>
      <c r="J524" s="229" t="str">
        <f>IF($B524="","",IF($I524&lt;&gt;"Concluído","Não iniciado",IF('E6 — Ajustes'!$N506="Não","N/A",IF(COUNTIF(Lançamentos!$B$3:$B$1001,$B524)=0,"Bloqueado",IF('E6 — Ajustes'!$D506="","Bloqueado",IF(COUNTIF('E6 — Ajustes'!$E506:$J506,"⛔ Bloqueado")&gt;0,"Bloqueado",IF(AND('E6 — Ajustes'!$E506="✔ Concluído",'E6 — Ajustes'!$F506="✔ Concluído",'E6 — Ajustes'!$G506="✔ Concluído",'E6 — Ajustes'!$H506="✔ Concluído",OR('E6 — Ajustes'!$I506="✔ Concluído",'E6 — Ajustes'!$I506="N/A"),'E6 — Ajustes'!$J506="✔ Concluído"),"Concluído",IF(COUNTIF('E6 — Ajustes'!$E506:$J506,"✔ Concluído")+COUNTIF('E6 — Ajustes'!$E506:$J506,"🔄 Em andamento")&gt;0,"Em andamento","Não iniciado"))))))))</f>
        <v/>
      </c>
      <c r="K524" s="229" t="str">
        <f>IF($B524="","",IF($I524&lt;&gt;"Concluído","Não iniciado",IF(AND($J524&lt;&gt;"Concluído",$J524&lt;&gt;"N/A"),"Não iniciado",IF(COUNTIF(Lançamentos!$B$3:$B$1001,$B524)=0,"Bloqueado",IF('E7 — Entrega'!$D506="","Bloqueado",IF(COUNTIF('E7 — Entrega'!$E506:$H506,"⛔ Bloqueado")&gt;0,"Bloqueado",IF(COUNTIF('E7 — Entrega'!$E506:$H506,"✔ Concluído")=4,"Concluído",IF(COUNTIF('E7 — Entrega'!$E506:$H506,"✔ Concluído")+COUNTIF('E7 — Entrega'!$E506:$H506,"🔄 Em andamento")&gt;0,"Em andamento","Não iniciado"))))))))</f>
        <v/>
      </c>
      <c r="L524" s="229" t="str">
        <f>IF($B524="","",IF($K524&lt;&gt;"Concluído","Não iniciado",IF(OR(COUNTIF('E08 — Estabilização Hypercare'!$E506:$J506,"⛔ Bloqueado")&gt;0,'E08 — Estabilização Hypercare'!$N506="⛔ Incidente Crítico — Encerramento Bloqueado",AND('E08 — Estabilização Hypercare'!$N506="🆕 Evolução Identificada — Nova Demanda Aberta",'E08 — Estabilização Hypercare'!$U506="")),"Bloqueado",IF(AND('E08 — Estabilização Hypercare'!$E506="✔ Concluído",'E08 — Estabilização Hypercare'!$F506="✔ Concluído",'E08 — Estabilização Hypercare'!$G506="✔ Concluído",OR('E08 — Estabilização Hypercare'!$H506="✔ Concluído",'E08 — Estabilização Hypercare'!$H506="N/A"),'E08 — Estabilização Hypercare'!$I506="✔ Concluído",'E08 — Estabilização Hypercare'!$J506="✔ Concluído",OR('E08 — Estabilização Hypercare'!$N506="✅ Estável — Demanda Encerrada",AND('E08 — Estabilização Hypercare'!$N506="🆕 Evolução Identificada — Nova Demanda Aberta",'E08 — Estabilização Hypercare'!$U506&lt;&gt;""))),"Concluído",IF(OR(COUNTIF('E08 — Estabilização Hypercare'!$E506:$J506,"✔ Concluído")&gt;0,COUNTIF('E08 — Estabilização Hypercare'!$E506:$J506,"🔄 Em andamento")&gt;0,'E08 — Estabilização Hypercare'!$N506&lt;&gt;""),"Em andamento","Não iniciado")))))</f>
        <v/>
      </c>
      <c r="M524" s="232" t="str" cm="1">
        <f t="array" ref="M524">IF(B524="","",_xlfn.IFS(E524&lt;&gt;"Concluído","E1 — Solicitação",F524&lt;&gt;"Concluído","E2 — Triagem",G524&lt;&gt;"Concluído","E3 — Levantamento ⚠",H524&lt;&gt;"Concluído","E4 — Execução",I524&lt;&gt;"Concluído","E5 — Validação ⚠",AND(J524&lt;&gt;"Concluído",J524&lt;&gt;"N/A"),"E6 — Ajustes",K524&lt;&gt;"Concluído","E7 — Entrega",L524&lt;&gt;"Concluído","E08 — Estabilização / Hypercare",TRUE,"✔ Fluxo concluído"))</f>
        <v/>
      </c>
      <c r="N524" s="233" t="str">
        <f t="shared" si="8"/>
        <v/>
      </c>
      <c r="O524" s="230"/>
    </row>
    <row r="525" spans="2:15" x14ac:dyDescent="0.35">
      <c r="B525" s="229" t="str">
        <f>IF(Lançamentos!$B502="","",Lançamentos!$B502)</f>
        <v/>
      </c>
      <c r="C525" s="231" t="str">
        <f>IF($B525="","",Lançamentos!$J502)</f>
        <v/>
      </c>
      <c r="D525" s="231" t="str">
        <f>IF($B525="","",Lançamentos!$H502)</f>
        <v/>
      </c>
      <c r="E525" s="229" t="str">
        <f>IF($B525="","",IF(COUNTIF(Lançamentos!$B$3:$B$1001,$B525)=0,"Bloqueado",IF(COUNTIF('E1 — Solicitação'!$E507:$L507,"⛔ Bloqueado")&gt;0,"Bloqueado",IF(COUNTIF('E1 — Solicitação'!$E507:$L507,"N/A")=8,"Bloqueado",IF(COUNTIF('E1 — Solicitação'!$E507:$L507,"✔ Concluído")+COUNTIF('E1 — Solicitação'!$E507:$L507,"N/A")=8,"Concluído",IF(COUNTIF('E1 — Solicitação'!$E507:$L507,"✔ Concluído")+COUNTIF('E1 — Solicitação'!$E507:$L507,"🔄 Em andamento")&gt;0,"Em andamento","Não iniciado"))))))</f>
        <v/>
      </c>
      <c r="F525" s="229" t="str">
        <f>IF($B525="","",IF($E525&lt;&gt;"Concluído","Não iniciado",IF(COUNTIF(Lançamentos!$B$3:$B$1001,$B525)=0,"Bloqueado",IF('E2 — Triagem'!$D507="","Bloqueado",IF(COUNTIF('E2 — Triagem'!$E507:$L507,"N/A")=8,"Bloqueado",IF(COUNTIF('E2 — Triagem'!$E507:$L507,"⛔ Bloqueado")&gt;0,"Bloqueado",IF(COUNTIF('E2 — Triagem'!$E507:$L507,"✔ Concluído")+COUNTIF('E2 — Triagem'!$E507:$L507,"N/A")=8,"Concluído",IF(COUNTIF('E2 — Triagem'!$E507:$L507,"✔ Concluído")+COUNTIF('E2 — Triagem'!$E507:$L507,"🔄 Em andamento")&gt;0,"Em andamento","Não iniciado"))))))))</f>
        <v/>
      </c>
      <c r="G525" s="229" t="str">
        <f>IF($B525="","",IF($F525&lt;&gt;"Concluído","Não iniciado",IF(COUNTIF(Lançamentos!$B$3:$B$1001,$B525)=0,"Bloqueado",IF('E3 — Levantamento'!$D507="","Bloqueado",IF(COUNTIF('E3 — Levantamento'!$E507:$I507,"⛔ Bloqueado")&gt;0,"Bloqueado",IF('E3 — Levantamento'!$I507="N/A","Bloqueado",IF(COUNTIF('E3 — Levantamento'!$E507:$I507,"✔ Concluído")=5,"Concluído",IF(COUNTIF('E3 — Levantamento'!$E507:$I507,"✔ Concluído")+COUNTIF('E3 — Levantamento'!$E507:$I507,"🔄 Em andamento")&gt;0,"Em andamento","Não iniciado"))))))))</f>
        <v/>
      </c>
      <c r="H525" s="229" t="str">
        <f>IF($B525="","",IF($G525&lt;&gt;"Concluído","Não iniciado",IF(COUNTIF(Lançamentos!$B$3:$B$1001,$B525)=0,"Bloqueado",IF('E4 — Execução'!$D507="","Bloqueado",IF(COUNTIF('E4 — Execução'!$E507:$K507,"⛔ Bloqueado")&gt;0,"Bloqueado",IF(COUNTIF('E4 — Execução'!$E507:$K507,"✔ Concluído")=7,"Concluído",IF(COUNTIF('E4 — Execução'!$E507:$K507,"✔ Concluído")+COUNTIF('E4 — Execução'!$E507:$K507,"🔄 Em andamento")&gt;0,"Em andamento","Não iniciado")))))))</f>
        <v/>
      </c>
      <c r="I525" s="229" t="str">
        <f>IF($B525="","",IF($H525&lt;&gt;"Concluído","Não iniciado",IF(COUNTIF(Lançamentos!$B$3:$B$1001,$B525)=0,"Bloqueado",IF('E5 — Validação'!$D507="","Bloqueado",IF(COUNTIF('E5 — Validação'!$E507:$I507,"⛔ Bloqueado")&gt;0,"Bloqueado",IF('E5 — Validação'!$I507="N/A","Bloqueado",IF(AND('E5 — Validação'!$E507="✔ Concluído",'E5 — Validação'!$F507="✔ Concluído",OR('E5 — Validação'!$G507="✔ Concluído",'E5 — Validação'!$G507="N/A"),'E5 — Validação'!$H507="✔ Concluído",'E5 — Validação'!$I507="✔ Concluído"),"Concluído",IF(COUNTIF('E5 — Validação'!$E507:$I507,"✔ Concluído")+COUNTIF('E5 — Validação'!$E507:$I507,"🔄 Em andamento")&gt;0,"Em andamento","Não iniciado"))))))))</f>
        <v/>
      </c>
      <c r="J525" s="229" t="str">
        <f>IF($B525="","",IF($I525&lt;&gt;"Concluído","Não iniciado",IF('E6 — Ajustes'!$N507="Não","N/A",IF(COUNTIF(Lançamentos!$B$3:$B$1001,$B525)=0,"Bloqueado",IF('E6 — Ajustes'!$D507="","Bloqueado",IF(COUNTIF('E6 — Ajustes'!$E507:$J507,"⛔ Bloqueado")&gt;0,"Bloqueado",IF(AND('E6 — Ajustes'!$E507="✔ Concluído",'E6 — Ajustes'!$F507="✔ Concluído",'E6 — Ajustes'!$G507="✔ Concluído",'E6 — Ajustes'!$H507="✔ Concluído",OR('E6 — Ajustes'!$I507="✔ Concluído",'E6 — Ajustes'!$I507="N/A"),'E6 — Ajustes'!$J507="✔ Concluído"),"Concluído",IF(COUNTIF('E6 — Ajustes'!$E507:$J507,"✔ Concluído")+COUNTIF('E6 — Ajustes'!$E507:$J507,"🔄 Em andamento")&gt;0,"Em andamento","Não iniciado"))))))))</f>
        <v/>
      </c>
      <c r="K525" s="229" t="str">
        <f>IF($B525="","",IF($I525&lt;&gt;"Concluído","Não iniciado",IF(AND($J525&lt;&gt;"Concluído",$J525&lt;&gt;"N/A"),"Não iniciado",IF(COUNTIF(Lançamentos!$B$3:$B$1001,$B525)=0,"Bloqueado",IF('E7 — Entrega'!$D507="","Bloqueado",IF(COUNTIF('E7 — Entrega'!$E507:$H507,"⛔ Bloqueado")&gt;0,"Bloqueado",IF(COUNTIF('E7 — Entrega'!$E507:$H507,"✔ Concluído")=4,"Concluído",IF(COUNTIF('E7 — Entrega'!$E507:$H507,"✔ Concluído")+COUNTIF('E7 — Entrega'!$E507:$H507,"🔄 Em andamento")&gt;0,"Em andamento","Não iniciado"))))))))</f>
        <v/>
      </c>
      <c r="L525" s="229" t="str">
        <f>IF($B525="","",IF($K525&lt;&gt;"Concluído","Não iniciado",IF(OR(COUNTIF('E08 — Estabilização Hypercare'!$E507:$J507,"⛔ Bloqueado")&gt;0,'E08 — Estabilização Hypercare'!$N507="⛔ Incidente Crítico — Encerramento Bloqueado",AND('E08 — Estabilização Hypercare'!$N507="🆕 Evolução Identificada — Nova Demanda Aberta",'E08 — Estabilização Hypercare'!$U507="")),"Bloqueado",IF(AND('E08 — Estabilização Hypercare'!$E507="✔ Concluído",'E08 — Estabilização Hypercare'!$F507="✔ Concluído",'E08 — Estabilização Hypercare'!$G507="✔ Concluído",OR('E08 — Estabilização Hypercare'!$H507="✔ Concluído",'E08 — Estabilização Hypercare'!$H507="N/A"),'E08 — Estabilização Hypercare'!$I507="✔ Concluído",'E08 — Estabilização Hypercare'!$J507="✔ Concluído",OR('E08 — Estabilização Hypercare'!$N507="✅ Estável — Demanda Encerrada",AND('E08 — Estabilização Hypercare'!$N507="🆕 Evolução Identificada — Nova Demanda Aberta",'E08 — Estabilização Hypercare'!$U507&lt;&gt;""))),"Concluído",IF(OR(COUNTIF('E08 — Estabilização Hypercare'!$E507:$J507,"✔ Concluído")&gt;0,COUNTIF('E08 — Estabilização Hypercare'!$E507:$J507,"🔄 Em andamento")&gt;0,'E08 — Estabilização Hypercare'!$N507&lt;&gt;""),"Em andamento","Não iniciado")))))</f>
        <v/>
      </c>
      <c r="M525" s="232" t="str" cm="1">
        <f t="array" ref="M525">IF(B525="","",_xlfn.IFS(E525&lt;&gt;"Concluído","E1 — Solicitação",F525&lt;&gt;"Concluído","E2 — Triagem",G525&lt;&gt;"Concluído","E3 — Levantamento ⚠",H525&lt;&gt;"Concluído","E4 — Execução",I525&lt;&gt;"Concluído","E5 — Validação ⚠",AND(J525&lt;&gt;"Concluído",J525&lt;&gt;"N/A"),"E6 — Ajustes",K525&lt;&gt;"Concluído","E7 — Entrega",L525&lt;&gt;"Concluído","E08 — Estabilização / Hypercare",TRUE,"✔ Fluxo concluído"))</f>
        <v/>
      </c>
      <c r="N525" s="233" t="str">
        <f t="shared" si="8"/>
        <v/>
      </c>
      <c r="O525" s="230"/>
    </row>
  </sheetData>
  <conditionalFormatting sqref="E26:L225">
    <cfRule type="cellIs" dxfId="231" priority="6" operator="equal">
      <formula>"Concluído"</formula>
    </cfRule>
    <cfRule type="cellIs" dxfId="230" priority="7" operator="equal">
      <formula>"Em andamento"</formula>
    </cfRule>
    <cfRule type="cellIs" dxfId="229" priority="8" operator="equal">
      <formula>"Bloqueado"</formula>
    </cfRule>
    <cfRule type="cellIs" dxfId="228" priority="9" operator="equal">
      <formula>"Não iniciado"</formula>
    </cfRule>
  </conditionalFormatting>
  <conditionalFormatting sqref="M26:M525">
    <cfRule type="cellIs" dxfId="227" priority="10" operator="equal">
      <formula>"✔ Fluxo concluído"</formula>
    </cfRule>
    <cfRule type="expression" dxfId="226" priority="11">
      <formula>COUNTIF($E26:$L26,"Bloqueado")&gt;0</formula>
    </cfRule>
  </conditionalFormatting>
  <conditionalFormatting sqref="E226:L525">
    <cfRule type="cellIs" dxfId="225" priority="1" operator="equal">
      <formula>"Concluído"</formula>
    </cfRule>
    <cfRule type="cellIs" dxfId="224" priority="2" operator="equal">
      <formula>"Em andamento"</formula>
    </cfRule>
    <cfRule type="cellIs" dxfId="223" priority="3" operator="equal">
      <formula>"Bloqueado"</formula>
    </cfRule>
    <cfRule type="cellIs" dxfId="222" priority="4" operator="equal">
      <formula>"Não iniciado"</formula>
    </cfRule>
  </conditionalFormatting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507"/>
  <sheetViews>
    <sheetView showGridLines="0" zoomScale="80" zoomScaleNormal="80" workbookViewId="0">
      <pane ySplit="7" topLeftCell="A8" activePane="bottomLeft" state="frozen"/>
      <selection activeCell="H1" sqref="H1"/>
      <selection pane="bottomLeft" activeCell="B4" sqref="B4"/>
    </sheetView>
  </sheetViews>
  <sheetFormatPr defaultColWidth="0" defaultRowHeight="13.5" x14ac:dyDescent="0.35"/>
  <cols>
    <col min="1" max="1" width="1.1796875" style="26" customWidth="1"/>
    <col min="2" max="2" width="15.453125" style="30" customWidth="1"/>
    <col min="3" max="3" width="41.81640625" style="26" customWidth="1"/>
    <col min="4" max="4" width="27.26953125" style="26" customWidth="1"/>
    <col min="5" max="5" width="30.81640625" style="26" customWidth="1"/>
    <col min="6" max="6" width="32.7265625" style="26" customWidth="1"/>
    <col min="7" max="7" width="26.453125" style="26" customWidth="1"/>
    <col min="8" max="8" width="28.1796875" style="26" customWidth="1"/>
    <col min="9" max="9" width="29.1796875" style="26" customWidth="1"/>
    <col min="10" max="10" width="26.453125" style="26" customWidth="1"/>
    <col min="11" max="11" width="33.54296875" style="26" customWidth="1"/>
    <col min="12" max="12" width="34.54296875" style="26" customWidth="1"/>
    <col min="13" max="13" width="14.54296875" style="26" customWidth="1"/>
    <col min="14" max="14" width="36.453125" style="26" customWidth="1"/>
    <col min="15" max="15" width="41.81640625" style="26" customWidth="1"/>
    <col min="16" max="16" width="1.1796875" style="26" customWidth="1"/>
    <col min="17" max="16384" width="8.54296875" style="26" hidden="1"/>
  </cols>
  <sheetData>
    <row r="1" spans="2:15" x14ac:dyDescent="0.35">
      <c r="B1" s="26"/>
    </row>
    <row r="2" spans="2:15" s="48" customFormat="1" ht="25.5" x14ac:dyDescent="0.45">
      <c r="B2" s="309" t="s">
        <v>467</v>
      </c>
      <c r="C2" s="116"/>
      <c r="D2" s="116"/>
      <c r="E2" s="116"/>
      <c r="F2" s="116"/>
      <c r="G2" s="116"/>
      <c r="H2" s="116"/>
      <c r="I2" s="116"/>
      <c r="J2" s="116"/>
      <c r="K2" s="116"/>
      <c r="L2" s="116"/>
      <c r="M2" s="116"/>
      <c r="N2" s="116"/>
      <c r="O2" s="116"/>
    </row>
    <row r="3" spans="2:15" s="23" customFormat="1" ht="14.5" customHeight="1" x14ac:dyDescent="0.35">
      <c r="B3" s="121" t="s">
        <v>468</v>
      </c>
      <c r="C3" s="122"/>
      <c r="D3" s="122"/>
      <c r="E3" s="122"/>
      <c r="F3" s="122"/>
      <c r="G3" s="122"/>
      <c r="H3" s="122"/>
      <c r="I3" s="122"/>
      <c r="J3" s="122"/>
      <c r="K3" s="122"/>
      <c r="L3" s="122"/>
      <c r="M3" s="122"/>
      <c r="N3" s="122"/>
      <c r="O3" s="122"/>
    </row>
    <row r="4" spans="2:15" s="27" customFormat="1" ht="29.15" customHeight="1" x14ac:dyDescent="0.35">
      <c r="B4" s="24" t="s">
        <v>469</v>
      </c>
      <c r="C4" s="123"/>
      <c r="D4" s="123"/>
      <c r="E4" s="123"/>
      <c r="F4" s="123"/>
      <c r="G4" s="123"/>
      <c r="H4" s="123"/>
      <c r="I4" s="123"/>
      <c r="J4" s="123"/>
      <c r="K4" s="123"/>
      <c r="L4" s="123"/>
      <c r="M4" s="123"/>
      <c r="N4" s="123"/>
      <c r="O4" s="123"/>
    </row>
    <row r="5" spans="2:15" s="27" customFormat="1" ht="29.15" customHeight="1" x14ac:dyDescent="0.35">
      <c r="B5" s="25" t="s">
        <v>470</v>
      </c>
      <c r="C5" s="124"/>
      <c r="D5" s="124"/>
      <c r="E5" s="124"/>
      <c r="F5" s="124"/>
      <c r="G5" s="124"/>
      <c r="H5" s="124"/>
      <c r="I5" s="124"/>
      <c r="J5" s="124"/>
      <c r="K5" s="124"/>
      <c r="L5" s="124"/>
      <c r="M5" s="124"/>
      <c r="N5" s="124"/>
      <c r="O5" s="124"/>
    </row>
    <row r="6" spans="2:15" ht="14.5" customHeight="1" x14ac:dyDescent="0.35">
      <c r="B6" s="28"/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</row>
    <row r="7" spans="2:15" s="29" customFormat="1" ht="37" customHeight="1" x14ac:dyDescent="0.35">
      <c r="B7" s="293" t="s">
        <v>8</v>
      </c>
      <c r="C7" s="294" t="s">
        <v>127</v>
      </c>
      <c r="D7" s="294" t="s">
        <v>14</v>
      </c>
      <c r="E7" s="294" t="s">
        <v>471</v>
      </c>
      <c r="F7" s="294" t="s">
        <v>472</v>
      </c>
      <c r="G7" s="294" t="s">
        <v>473</v>
      </c>
      <c r="H7" s="294" t="s">
        <v>474</v>
      </c>
      <c r="I7" s="294" t="s">
        <v>475</v>
      </c>
      <c r="J7" s="294" t="s">
        <v>476</v>
      </c>
      <c r="K7" s="294" t="s">
        <v>477</v>
      </c>
      <c r="L7" s="294" t="s">
        <v>478</v>
      </c>
      <c r="M7" s="294" t="s">
        <v>479</v>
      </c>
      <c r="N7" s="294" t="s">
        <v>109</v>
      </c>
      <c r="O7" s="295" t="s">
        <v>33</v>
      </c>
    </row>
    <row r="8" spans="2:15" x14ac:dyDescent="0.35">
      <c r="B8" s="138" t="str">
        <f>IF(Lançamentos!$B3="","",Lançamentos!$B3)</f>
        <v/>
      </c>
      <c r="C8" s="139" t="str">
        <f>IF($B8="","",Lançamentos!$J3)</f>
        <v/>
      </c>
      <c r="D8" s="140" t="str">
        <f>IF($B8="","",Lançamentos!$H3)</f>
        <v/>
      </c>
      <c r="E8" s="140"/>
      <c r="F8" s="140"/>
      <c r="G8" s="140"/>
      <c r="H8" s="140"/>
      <c r="I8" s="140"/>
      <c r="J8" s="140"/>
      <c r="K8" s="140"/>
      <c r="L8" s="140"/>
      <c r="M8" s="141" t="str">
        <f>IF(B8="","",IF(COUNTIF(E8:L8,"N/A")=8,0,COUNTIF(E8:L8,"✔ Concluído")/(8-COUNTIF(E8:L8,"N/A"))))</f>
        <v/>
      </c>
      <c r="N8" s="142"/>
      <c r="O8" s="143"/>
    </row>
    <row r="9" spans="2:15" x14ac:dyDescent="0.35">
      <c r="B9" s="138" t="str">
        <f>IF(Lançamentos!$B4="","",Lançamentos!$B4)</f>
        <v/>
      </c>
      <c r="C9" s="139" t="str">
        <f>IF($B9="","",Lançamentos!$J4)</f>
        <v/>
      </c>
      <c r="D9" s="140" t="str">
        <f>IF($B9="","",Lançamentos!$H4)</f>
        <v/>
      </c>
      <c r="E9" s="140"/>
      <c r="F9" s="140"/>
      <c r="G9" s="140"/>
      <c r="H9" s="140"/>
      <c r="I9" s="140"/>
      <c r="J9" s="140"/>
      <c r="K9" s="140"/>
      <c r="L9" s="140"/>
      <c r="M9" s="141" t="str">
        <f t="shared" ref="M9:M72" si="0">IF(B9="","",IF(COUNTIF(E9:L9,"N/A")=8,0,COUNTIF(E9:L9,"✔ Concluído")/(8-COUNTIF(E9:L9,"N/A"))))</f>
        <v/>
      </c>
      <c r="N9" s="142"/>
      <c r="O9" s="143"/>
    </row>
    <row r="10" spans="2:15" x14ac:dyDescent="0.35">
      <c r="B10" s="138" t="str">
        <f>IF(Lançamentos!$B5="","",Lançamentos!$B5)</f>
        <v/>
      </c>
      <c r="C10" s="139" t="str">
        <f>IF($B10="","",Lançamentos!$J5)</f>
        <v/>
      </c>
      <c r="D10" s="140" t="str">
        <f>IF($B10="","",Lançamentos!$H5)</f>
        <v/>
      </c>
      <c r="E10" s="140"/>
      <c r="F10" s="140"/>
      <c r="G10" s="140"/>
      <c r="H10" s="140"/>
      <c r="I10" s="140"/>
      <c r="J10" s="140"/>
      <c r="K10" s="140"/>
      <c r="L10" s="140"/>
      <c r="M10" s="141" t="str">
        <f t="shared" si="0"/>
        <v/>
      </c>
      <c r="N10" s="142"/>
      <c r="O10" s="143"/>
    </row>
    <row r="11" spans="2:15" x14ac:dyDescent="0.35">
      <c r="B11" s="138" t="str">
        <f>IF(Lançamentos!$B6="","",Lançamentos!$B6)</f>
        <v/>
      </c>
      <c r="C11" s="139" t="str">
        <f>IF($B11="","",Lançamentos!$J6)</f>
        <v/>
      </c>
      <c r="D11" s="140" t="str">
        <f>IF($B11="","",Lançamentos!$H6)</f>
        <v/>
      </c>
      <c r="E11" s="140"/>
      <c r="F11" s="140"/>
      <c r="G11" s="140"/>
      <c r="H11" s="140"/>
      <c r="I11" s="140"/>
      <c r="J11" s="140"/>
      <c r="K11" s="140"/>
      <c r="L11" s="140"/>
      <c r="M11" s="141" t="str">
        <f t="shared" si="0"/>
        <v/>
      </c>
      <c r="N11" s="142"/>
      <c r="O11" s="143"/>
    </row>
    <row r="12" spans="2:15" x14ac:dyDescent="0.35">
      <c r="B12" s="138" t="str">
        <f>IF(Lançamentos!$B7="","",Lançamentos!$B7)</f>
        <v/>
      </c>
      <c r="C12" s="139" t="str">
        <f>IF($B12="","",Lançamentos!$J7)</f>
        <v/>
      </c>
      <c r="D12" s="140" t="str">
        <f>IF($B12="","",Lançamentos!$H7)</f>
        <v/>
      </c>
      <c r="E12" s="140"/>
      <c r="F12" s="140"/>
      <c r="G12" s="140"/>
      <c r="H12" s="140"/>
      <c r="I12" s="140"/>
      <c r="J12" s="140"/>
      <c r="K12" s="140"/>
      <c r="L12" s="140"/>
      <c r="M12" s="141" t="str">
        <f t="shared" si="0"/>
        <v/>
      </c>
      <c r="N12" s="142"/>
      <c r="O12" s="143"/>
    </row>
    <row r="13" spans="2:15" x14ac:dyDescent="0.35">
      <c r="B13" s="138" t="str">
        <f>IF(Lançamentos!$B8="","",Lançamentos!$B8)</f>
        <v/>
      </c>
      <c r="C13" s="139" t="str">
        <f>IF($B13="","",Lançamentos!$J8)</f>
        <v/>
      </c>
      <c r="D13" s="140" t="str">
        <f>IF($B13="","",Lançamentos!$H8)</f>
        <v/>
      </c>
      <c r="E13" s="140"/>
      <c r="F13" s="140"/>
      <c r="G13" s="140"/>
      <c r="H13" s="140"/>
      <c r="I13" s="140"/>
      <c r="J13" s="140"/>
      <c r="K13" s="140"/>
      <c r="L13" s="140"/>
      <c r="M13" s="141" t="str">
        <f t="shared" si="0"/>
        <v/>
      </c>
      <c r="N13" s="142"/>
      <c r="O13" s="143"/>
    </row>
    <row r="14" spans="2:15" x14ac:dyDescent="0.35">
      <c r="B14" s="138" t="str">
        <f>IF(Lançamentos!$B9="","",Lançamentos!$B9)</f>
        <v/>
      </c>
      <c r="C14" s="139" t="str">
        <f>IF($B14="","",Lançamentos!$J9)</f>
        <v/>
      </c>
      <c r="D14" s="140" t="str">
        <f>IF($B14="","",Lançamentos!$H9)</f>
        <v/>
      </c>
      <c r="E14" s="140"/>
      <c r="F14" s="140"/>
      <c r="G14" s="140"/>
      <c r="H14" s="140"/>
      <c r="I14" s="140"/>
      <c r="J14" s="140"/>
      <c r="K14" s="140"/>
      <c r="L14" s="140"/>
      <c r="M14" s="141" t="str">
        <f t="shared" si="0"/>
        <v/>
      </c>
      <c r="N14" s="142"/>
      <c r="O14" s="143"/>
    </row>
    <row r="15" spans="2:15" x14ac:dyDescent="0.35">
      <c r="B15" s="138" t="str">
        <f>IF(Lançamentos!$B10="","",Lançamentos!$B10)</f>
        <v/>
      </c>
      <c r="C15" s="139" t="str">
        <f>IF($B15="","",Lançamentos!$J10)</f>
        <v/>
      </c>
      <c r="D15" s="140" t="str">
        <f>IF($B15="","",Lançamentos!$H10)</f>
        <v/>
      </c>
      <c r="E15" s="140"/>
      <c r="F15" s="140"/>
      <c r="G15" s="140"/>
      <c r="H15" s="140"/>
      <c r="I15" s="140"/>
      <c r="J15" s="140"/>
      <c r="K15" s="140"/>
      <c r="L15" s="140"/>
      <c r="M15" s="141" t="str">
        <f t="shared" si="0"/>
        <v/>
      </c>
      <c r="N15" s="142"/>
      <c r="O15" s="143"/>
    </row>
    <row r="16" spans="2:15" x14ac:dyDescent="0.35">
      <c r="B16" s="138" t="str">
        <f>IF(Lançamentos!$B11="","",Lançamentos!$B11)</f>
        <v/>
      </c>
      <c r="C16" s="139" t="str">
        <f>IF($B16="","",Lançamentos!$J11)</f>
        <v/>
      </c>
      <c r="D16" s="140" t="str">
        <f>IF($B16="","",Lançamentos!$H11)</f>
        <v/>
      </c>
      <c r="E16" s="140"/>
      <c r="F16" s="140"/>
      <c r="G16" s="140"/>
      <c r="H16" s="140"/>
      <c r="I16" s="140"/>
      <c r="J16" s="140"/>
      <c r="K16" s="140"/>
      <c r="L16" s="140"/>
      <c r="M16" s="141" t="str">
        <f t="shared" si="0"/>
        <v/>
      </c>
      <c r="N16" s="142"/>
      <c r="O16" s="143"/>
    </row>
    <row r="17" spans="2:15" x14ac:dyDescent="0.35">
      <c r="B17" s="138" t="str">
        <f>IF(Lançamentos!$B12="","",Lançamentos!$B12)</f>
        <v/>
      </c>
      <c r="C17" s="139" t="str">
        <f>IF($B17="","",Lançamentos!$J12)</f>
        <v/>
      </c>
      <c r="D17" s="140" t="str">
        <f>IF($B17="","",Lançamentos!$H12)</f>
        <v/>
      </c>
      <c r="E17" s="140"/>
      <c r="F17" s="140"/>
      <c r="G17" s="140"/>
      <c r="H17" s="140"/>
      <c r="I17" s="140"/>
      <c r="J17" s="140"/>
      <c r="K17" s="140"/>
      <c r="L17" s="140"/>
      <c r="M17" s="141" t="str">
        <f t="shared" si="0"/>
        <v/>
      </c>
      <c r="N17" s="142"/>
      <c r="O17" s="143"/>
    </row>
    <row r="18" spans="2:15" x14ac:dyDescent="0.35">
      <c r="B18" s="138" t="str">
        <f>IF(Lançamentos!$B13="","",Lançamentos!$B13)</f>
        <v/>
      </c>
      <c r="C18" s="139" t="str">
        <f>IF($B18="","",Lançamentos!$J13)</f>
        <v/>
      </c>
      <c r="D18" s="140" t="str">
        <f>IF($B18="","",Lançamentos!$H13)</f>
        <v/>
      </c>
      <c r="E18" s="140"/>
      <c r="F18" s="140"/>
      <c r="G18" s="140"/>
      <c r="H18" s="140"/>
      <c r="I18" s="140"/>
      <c r="J18" s="140"/>
      <c r="K18" s="140"/>
      <c r="L18" s="140"/>
      <c r="M18" s="141" t="str">
        <f t="shared" si="0"/>
        <v/>
      </c>
      <c r="N18" s="142"/>
      <c r="O18" s="143"/>
    </row>
    <row r="19" spans="2:15" x14ac:dyDescent="0.35">
      <c r="B19" s="138" t="str">
        <f>IF(Lançamentos!$B14="","",Lançamentos!$B14)</f>
        <v/>
      </c>
      <c r="C19" s="139" t="str">
        <f>IF($B19="","",Lançamentos!$J14)</f>
        <v/>
      </c>
      <c r="D19" s="140" t="str">
        <f>IF($B19="","",Lançamentos!$H14)</f>
        <v/>
      </c>
      <c r="E19" s="140"/>
      <c r="F19" s="140"/>
      <c r="G19" s="140"/>
      <c r="H19" s="140"/>
      <c r="I19" s="140"/>
      <c r="J19" s="140"/>
      <c r="K19" s="140"/>
      <c r="L19" s="140"/>
      <c r="M19" s="141" t="str">
        <f t="shared" si="0"/>
        <v/>
      </c>
      <c r="N19" s="142"/>
      <c r="O19" s="143"/>
    </row>
    <row r="20" spans="2:15" x14ac:dyDescent="0.35">
      <c r="B20" s="138" t="str">
        <f>IF(Lançamentos!$B15="","",Lançamentos!$B15)</f>
        <v/>
      </c>
      <c r="C20" s="139" t="str">
        <f>IF($B20="","",Lançamentos!$J15)</f>
        <v/>
      </c>
      <c r="D20" s="140" t="str">
        <f>IF($B20="","",Lançamentos!$H15)</f>
        <v/>
      </c>
      <c r="E20" s="140"/>
      <c r="F20" s="140"/>
      <c r="G20" s="140"/>
      <c r="H20" s="140"/>
      <c r="I20" s="140"/>
      <c r="J20" s="140"/>
      <c r="K20" s="140"/>
      <c r="L20" s="140"/>
      <c r="M20" s="141" t="str">
        <f t="shared" si="0"/>
        <v/>
      </c>
      <c r="N20" s="142"/>
      <c r="O20" s="143"/>
    </row>
    <row r="21" spans="2:15" x14ac:dyDescent="0.35">
      <c r="B21" s="138" t="str">
        <f>IF(Lançamentos!$B16="","",Lançamentos!$B16)</f>
        <v/>
      </c>
      <c r="C21" s="139" t="str">
        <f>IF($B21="","",Lançamentos!$J16)</f>
        <v/>
      </c>
      <c r="D21" s="140" t="str">
        <f>IF($B21="","",Lançamentos!$H16)</f>
        <v/>
      </c>
      <c r="E21" s="140"/>
      <c r="F21" s="140"/>
      <c r="G21" s="140"/>
      <c r="H21" s="140"/>
      <c r="I21" s="140"/>
      <c r="J21" s="140"/>
      <c r="K21" s="140"/>
      <c r="L21" s="140"/>
      <c r="M21" s="141" t="str">
        <f t="shared" si="0"/>
        <v/>
      </c>
      <c r="N21" s="142"/>
      <c r="O21" s="143"/>
    </row>
    <row r="22" spans="2:15" x14ac:dyDescent="0.35">
      <c r="B22" s="138" t="str">
        <f>IF(Lançamentos!$B17="","",Lançamentos!$B17)</f>
        <v/>
      </c>
      <c r="C22" s="139" t="str">
        <f>IF($B22="","",Lançamentos!$J17)</f>
        <v/>
      </c>
      <c r="D22" s="140" t="str">
        <f>IF($B22="","",Lançamentos!$H17)</f>
        <v/>
      </c>
      <c r="E22" s="140"/>
      <c r="F22" s="140"/>
      <c r="G22" s="140"/>
      <c r="H22" s="140"/>
      <c r="I22" s="140"/>
      <c r="J22" s="140"/>
      <c r="K22" s="140"/>
      <c r="L22" s="140"/>
      <c r="M22" s="141" t="str">
        <f t="shared" si="0"/>
        <v/>
      </c>
      <c r="N22" s="142"/>
      <c r="O22" s="143"/>
    </row>
    <row r="23" spans="2:15" x14ac:dyDescent="0.35">
      <c r="B23" s="138" t="str">
        <f>IF(Lançamentos!$B18="","",Lançamentos!$B18)</f>
        <v/>
      </c>
      <c r="C23" s="139" t="str">
        <f>IF($B23="","",Lançamentos!$J18)</f>
        <v/>
      </c>
      <c r="D23" s="140" t="str">
        <f>IF($B23="","",Lançamentos!$H18)</f>
        <v/>
      </c>
      <c r="E23" s="140"/>
      <c r="F23" s="140"/>
      <c r="G23" s="140"/>
      <c r="H23" s="140"/>
      <c r="I23" s="140"/>
      <c r="J23" s="140"/>
      <c r="K23" s="140"/>
      <c r="L23" s="140"/>
      <c r="M23" s="141" t="str">
        <f t="shared" si="0"/>
        <v/>
      </c>
      <c r="N23" s="142"/>
      <c r="O23" s="143"/>
    </row>
    <row r="24" spans="2:15" x14ac:dyDescent="0.35">
      <c r="B24" s="138" t="str">
        <f>IF(Lançamentos!$B19="","",Lançamentos!$B19)</f>
        <v/>
      </c>
      <c r="C24" s="139" t="str">
        <f>IF($B24="","",Lançamentos!$J19)</f>
        <v/>
      </c>
      <c r="D24" s="140" t="str">
        <f>IF($B24="","",Lançamentos!$H19)</f>
        <v/>
      </c>
      <c r="E24" s="140"/>
      <c r="F24" s="140"/>
      <c r="G24" s="140"/>
      <c r="H24" s="140"/>
      <c r="I24" s="140"/>
      <c r="J24" s="140"/>
      <c r="K24" s="140"/>
      <c r="L24" s="140"/>
      <c r="M24" s="141" t="str">
        <f t="shared" si="0"/>
        <v/>
      </c>
      <c r="N24" s="142"/>
      <c r="O24" s="143"/>
    </row>
    <row r="25" spans="2:15" x14ac:dyDescent="0.35">
      <c r="B25" s="138" t="str">
        <f>IF(Lançamentos!$B20="","",Lançamentos!$B20)</f>
        <v/>
      </c>
      <c r="C25" s="139" t="str">
        <f>IF($B25="","",Lançamentos!$J20)</f>
        <v/>
      </c>
      <c r="D25" s="140" t="str">
        <f>IF($B25="","",Lançamentos!$H20)</f>
        <v/>
      </c>
      <c r="E25" s="140"/>
      <c r="F25" s="140"/>
      <c r="G25" s="140"/>
      <c r="H25" s="140"/>
      <c r="I25" s="140"/>
      <c r="J25" s="140"/>
      <c r="K25" s="140"/>
      <c r="L25" s="140"/>
      <c r="M25" s="141" t="str">
        <f t="shared" si="0"/>
        <v/>
      </c>
      <c r="N25" s="142"/>
      <c r="O25" s="143"/>
    </row>
    <row r="26" spans="2:15" x14ac:dyDescent="0.35">
      <c r="B26" s="138" t="str">
        <f>IF(Lançamentos!$B21="","",Lançamentos!$B21)</f>
        <v/>
      </c>
      <c r="C26" s="139" t="str">
        <f>IF($B26="","",Lançamentos!$J21)</f>
        <v/>
      </c>
      <c r="D26" s="140" t="str">
        <f>IF($B26="","",Lançamentos!$H21)</f>
        <v/>
      </c>
      <c r="E26" s="140"/>
      <c r="F26" s="140"/>
      <c r="G26" s="140"/>
      <c r="H26" s="140"/>
      <c r="I26" s="140"/>
      <c r="J26" s="140"/>
      <c r="K26" s="140"/>
      <c r="L26" s="140"/>
      <c r="M26" s="141" t="str">
        <f t="shared" si="0"/>
        <v/>
      </c>
      <c r="N26" s="142"/>
      <c r="O26" s="143"/>
    </row>
    <row r="27" spans="2:15" x14ac:dyDescent="0.35">
      <c r="B27" s="138" t="str">
        <f>IF(Lançamentos!$B22="","",Lançamentos!$B22)</f>
        <v/>
      </c>
      <c r="C27" s="139" t="str">
        <f>IF($B27="","",Lançamentos!$J22)</f>
        <v/>
      </c>
      <c r="D27" s="140" t="str">
        <f>IF($B27="","",Lançamentos!$H22)</f>
        <v/>
      </c>
      <c r="E27" s="140"/>
      <c r="F27" s="140"/>
      <c r="G27" s="140"/>
      <c r="H27" s="140"/>
      <c r="I27" s="140"/>
      <c r="J27" s="140"/>
      <c r="K27" s="140"/>
      <c r="L27" s="140"/>
      <c r="M27" s="141" t="str">
        <f t="shared" si="0"/>
        <v/>
      </c>
      <c r="N27" s="142"/>
      <c r="O27" s="143"/>
    </row>
    <row r="28" spans="2:15" x14ac:dyDescent="0.35">
      <c r="B28" s="138" t="str">
        <f>IF(Lançamentos!$B23="","",Lançamentos!$B23)</f>
        <v/>
      </c>
      <c r="C28" s="139" t="str">
        <f>IF($B28="","",Lançamentos!$J23)</f>
        <v/>
      </c>
      <c r="D28" s="140" t="str">
        <f>IF($B28="","",Lançamentos!$H23)</f>
        <v/>
      </c>
      <c r="E28" s="140"/>
      <c r="F28" s="140"/>
      <c r="G28" s="140"/>
      <c r="H28" s="140"/>
      <c r="I28" s="140"/>
      <c r="J28" s="140"/>
      <c r="K28" s="140"/>
      <c r="L28" s="140"/>
      <c r="M28" s="141" t="str">
        <f t="shared" si="0"/>
        <v/>
      </c>
      <c r="N28" s="142"/>
      <c r="O28" s="143"/>
    </row>
    <row r="29" spans="2:15" x14ac:dyDescent="0.35">
      <c r="B29" s="138" t="str">
        <f>IF(Lançamentos!$B24="","",Lançamentos!$B24)</f>
        <v/>
      </c>
      <c r="C29" s="139" t="str">
        <f>IF($B29="","",Lançamentos!$J24)</f>
        <v/>
      </c>
      <c r="D29" s="140" t="str">
        <f>IF($B29="","",Lançamentos!$H24)</f>
        <v/>
      </c>
      <c r="E29" s="140"/>
      <c r="F29" s="140"/>
      <c r="G29" s="140"/>
      <c r="H29" s="140"/>
      <c r="I29" s="140"/>
      <c r="J29" s="140"/>
      <c r="K29" s="140"/>
      <c r="L29" s="140"/>
      <c r="M29" s="141" t="str">
        <f t="shared" si="0"/>
        <v/>
      </c>
      <c r="N29" s="142"/>
      <c r="O29" s="143"/>
    </row>
    <row r="30" spans="2:15" x14ac:dyDescent="0.35">
      <c r="B30" s="138" t="str">
        <f>IF(Lançamentos!$B25="","",Lançamentos!$B25)</f>
        <v/>
      </c>
      <c r="C30" s="139" t="str">
        <f>IF($B30="","",Lançamentos!$J25)</f>
        <v/>
      </c>
      <c r="D30" s="140" t="str">
        <f>IF($B30="","",Lançamentos!$H25)</f>
        <v/>
      </c>
      <c r="E30" s="140"/>
      <c r="F30" s="140"/>
      <c r="G30" s="140"/>
      <c r="H30" s="140"/>
      <c r="I30" s="140"/>
      <c r="J30" s="140"/>
      <c r="K30" s="140"/>
      <c r="L30" s="140"/>
      <c r="M30" s="141" t="str">
        <f t="shared" si="0"/>
        <v/>
      </c>
      <c r="N30" s="142"/>
      <c r="O30" s="143"/>
    </row>
    <row r="31" spans="2:15" x14ac:dyDescent="0.35">
      <c r="B31" s="138" t="str">
        <f>IF(Lançamentos!$B26="","",Lançamentos!$B26)</f>
        <v/>
      </c>
      <c r="C31" s="139" t="str">
        <f>IF($B31="","",Lançamentos!$J26)</f>
        <v/>
      </c>
      <c r="D31" s="140" t="str">
        <f>IF($B31="","",Lançamentos!$H26)</f>
        <v/>
      </c>
      <c r="E31" s="140"/>
      <c r="F31" s="140"/>
      <c r="G31" s="140"/>
      <c r="H31" s="140"/>
      <c r="I31" s="140"/>
      <c r="J31" s="140"/>
      <c r="K31" s="140"/>
      <c r="L31" s="140"/>
      <c r="M31" s="141" t="str">
        <f t="shared" si="0"/>
        <v/>
      </c>
      <c r="N31" s="142"/>
      <c r="O31" s="143"/>
    </row>
    <row r="32" spans="2:15" x14ac:dyDescent="0.35">
      <c r="B32" s="138" t="str">
        <f>IF(Lançamentos!$B27="","",Lançamentos!$B27)</f>
        <v/>
      </c>
      <c r="C32" s="139" t="str">
        <f>IF($B32="","",Lançamentos!$J27)</f>
        <v/>
      </c>
      <c r="D32" s="140" t="str">
        <f>IF($B32="","",Lançamentos!$H27)</f>
        <v/>
      </c>
      <c r="E32" s="140"/>
      <c r="F32" s="140"/>
      <c r="G32" s="140"/>
      <c r="H32" s="140"/>
      <c r="I32" s="140"/>
      <c r="J32" s="140"/>
      <c r="K32" s="140"/>
      <c r="L32" s="140"/>
      <c r="M32" s="141" t="str">
        <f t="shared" si="0"/>
        <v/>
      </c>
      <c r="N32" s="142"/>
      <c r="O32" s="143"/>
    </row>
    <row r="33" spans="2:15" x14ac:dyDescent="0.35">
      <c r="B33" s="138" t="str">
        <f>IF(Lançamentos!$B28="","",Lançamentos!$B28)</f>
        <v/>
      </c>
      <c r="C33" s="139" t="str">
        <f>IF($B33="","",Lançamentos!$J28)</f>
        <v/>
      </c>
      <c r="D33" s="140" t="str">
        <f>IF($B33="","",Lançamentos!$H28)</f>
        <v/>
      </c>
      <c r="E33" s="140"/>
      <c r="F33" s="140"/>
      <c r="G33" s="140"/>
      <c r="H33" s="140"/>
      <c r="I33" s="140"/>
      <c r="J33" s="140"/>
      <c r="K33" s="140"/>
      <c r="L33" s="140"/>
      <c r="M33" s="141" t="str">
        <f t="shared" si="0"/>
        <v/>
      </c>
      <c r="N33" s="142"/>
      <c r="O33" s="143"/>
    </row>
    <row r="34" spans="2:15" x14ac:dyDescent="0.35">
      <c r="B34" s="138" t="str">
        <f>IF(Lançamentos!$B29="","",Lançamentos!$B29)</f>
        <v/>
      </c>
      <c r="C34" s="139" t="str">
        <f>IF($B34="","",Lançamentos!$J29)</f>
        <v/>
      </c>
      <c r="D34" s="140" t="str">
        <f>IF($B34="","",Lançamentos!$H29)</f>
        <v/>
      </c>
      <c r="E34" s="140"/>
      <c r="F34" s="140"/>
      <c r="G34" s="140"/>
      <c r="H34" s="140"/>
      <c r="I34" s="140"/>
      <c r="J34" s="140"/>
      <c r="K34" s="140"/>
      <c r="L34" s="140"/>
      <c r="M34" s="141" t="str">
        <f t="shared" si="0"/>
        <v/>
      </c>
      <c r="N34" s="142"/>
      <c r="O34" s="143"/>
    </row>
    <row r="35" spans="2:15" x14ac:dyDescent="0.35">
      <c r="B35" s="138" t="str">
        <f>IF(Lançamentos!$B30="","",Lançamentos!$B30)</f>
        <v/>
      </c>
      <c r="C35" s="139" t="str">
        <f>IF($B35="","",Lançamentos!$J30)</f>
        <v/>
      </c>
      <c r="D35" s="140" t="str">
        <f>IF($B35="","",Lançamentos!$H30)</f>
        <v/>
      </c>
      <c r="E35" s="140"/>
      <c r="F35" s="140"/>
      <c r="G35" s="140"/>
      <c r="H35" s="140"/>
      <c r="I35" s="140"/>
      <c r="J35" s="140"/>
      <c r="K35" s="140"/>
      <c r="L35" s="140"/>
      <c r="M35" s="141" t="str">
        <f t="shared" si="0"/>
        <v/>
      </c>
      <c r="N35" s="142"/>
      <c r="O35" s="143"/>
    </row>
    <row r="36" spans="2:15" x14ac:dyDescent="0.35">
      <c r="B36" s="138" t="str">
        <f>IF(Lançamentos!$B31="","",Lançamentos!$B31)</f>
        <v/>
      </c>
      <c r="C36" s="139" t="str">
        <f>IF($B36="","",Lançamentos!$J31)</f>
        <v/>
      </c>
      <c r="D36" s="140" t="str">
        <f>IF($B36="","",Lançamentos!$H31)</f>
        <v/>
      </c>
      <c r="E36" s="140"/>
      <c r="F36" s="140"/>
      <c r="G36" s="140"/>
      <c r="H36" s="140"/>
      <c r="I36" s="140"/>
      <c r="J36" s="140"/>
      <c r="K36" s="140"/>
      <c r="L36" s="140"/>
      <c r="M36" s="141" t="str">
        <f t="shared" si="0"/>
        <v/>
      </c>
      <c r="N36" s="142"/>
      <c r="O36" s="143"/>
    </row>
    <row r="37" spans="2:15" x14ac:dyDescent="0.35">
      <c r="B37" s="138" t="str">
        <f>IF(Lançamentos!$B32="","",Lançamentos!$B32)</f>
        <v/>
      </c>
      <c r="C37" s="139" t="str">
        <f>IF($B37="","",Lançamentos!$J32)</f>
        <v/>
      </c>
      <c r="D37" s="140" t="str">
        <f>IF($B37="","",Lançamentos!$H32)</f>
        <v/>
      </c>
      <c r="E37" s="140"/>
      <c r="F37" s="140"/>
      <c r="G37" s="140"/>
      <c r="H37" s="140"/>
      <c r="I37" s="140"/>
      <c r="J37" s="140"/>
      <c r="K37" s="140"/>
      <c r="L37" s="140"/>
      <c r="M37" s="141" t="str">
        <f t="shared" si="0"/>
        <v/>
      </c>
      <c r="N37" s="142"/>
      <c r="O37" s="143"/>
    </row>
    <row r="38" spans="2:15" x14ac:dyDescent="0.35">
      <c r="B38" s="138" t="str">
        <f>IF(Lançamentos!$B33="","",Lançamentos!$B33)</f>
        <v/>
      </c>
      <c r="C38" s="139" t="str">
        <f>IF($B38="","",Lançamentos!$J33)</f>
        <v/>
      </c>
      <c r="D38" s="140" t="str">
        <f>IF($B38="","",Lançamentos!$H33)</f>
        <v/>
      </c>
      <c r="E38" s="140"/>
      <c r="F38" s="140"/>
      <c r="G38" s="140"/>
      <c r="H38" s="140"/>
      <c r="I38" s="140"/>
      <c r="J38" s="140"/>
      <c r="K38" s="140"/>
      <c r="L38" s="140"/>
      <c r="M38" s="141" t="str">
        <f t="shared" si="0"/>
        <v/>
      </c>
      <c r="N38" s="142"/>
      <c r="O38" s="143"/>
    </row>
    <row r="39" spans="2:15" x14ac:dyDescent="0.35">
      <c r="B39" s="138" t="str">
        <f>IF(Lançamentos!$B34="","",Lançamentos!$B34)</f>
        <v/>
      </c>
      <c r="C39" s="139" t="str">
        <f>IF($B39="","",Lançamentos!$J34)</f>
        <v/>
      </c>
      <c r="D39" s="140" t="str">
        <f>IF($B39="","",Lançamentos!$H34)</f>
        <v/>
      </c>
      <c r="E39" s="140"/>
      <c r="F39" s="140"/>
      <c r="G39" s="140"/>
      <c r="H39" s="140"/>
      <c r="I39" s="140"/>
      <c r="J39" s="140"/>
      <c r="K39" s="140"/>
      <c r="L39" s="140"/>
      <c r="M39" s="141" t="str">
        <f t="shared" si="0"/>
        <v/>
      </c>
      <c r="N39" s="142"/>
      <c r="O39" s="143"/>
    </row>
    <row r="40" spans="2:15" x14ac:dyDescent="0.35">
      <c r="B40" s="138" t="str">
        <f>IF(Lançamentos!$B35="","",Lançamentos!$B35)</f>
        <v/>
      </c>
      <c r="C40" s="139" t="str">
        <f>IF($B40="","",Lançamentos!$J35)</f>
        <v/>
      </c>
      <c r="D40" s="140" t="str">
        <f>IF($B40="","",Lançamentos!$H35)</f>
        <v/>
      </c>
      <c r="E40" s="140"/>
      <c r="F40" s="140"/>
      <c r="G40" s="140"/>
      <c r="H40" s="140"/>
      <c r="I40" s="140"/>
      <c r="J40" s="140"/>
      <c r="K40" s="140"/>
      <c r="L40" s="140"/>
      <c r="M40" s="141" t="str">
        <f t="shared" si="0"/>
        <v/>
      </c>
      <c r="N40" s="142"/>
      <c r="O40" s="143"/>
    </row>
    <row r="41" spans="2:15" x14ac:dyDescent="0.35">
      <c r="B41" s="138" t="str">
        <f>IF(Lançamentos!$B36="","",Lançamentos!$B36)</f>
        <v/>
      </c>
      <c r="C41" s="139" t="str">
        <f>IF($B41="","",Lançamentos!$J36)</f>
        <v/>
      </c>
      <c r="D41" s="140" t="str">
        <f>IF($B41="","",Lançamentos!$H36)</f>
        <v/>
      </c>
      <c r="E41" s="140"/>
      <c r="F41" s="140"/>
      <c r="G41" s="140"/>
      <c r="H41" s="140"/>
      <c r="I41" s="140"/>
      <c r="J41" s="140"/>
      <c r="K41" s="140"/>
      <c r="L41" s="140"/>
      <c r="M41" s="141" t="str">
        <f t="shared" si="0"/>
        <v/>
      </c>
      <c r="N41" s="142"/>
      <c r="O41" s="143"/>
    </row>
    <row r="42" spans="2:15" x14ac:dyDescent="0.35">
      <c r="B42" s="138" t="str">
        <f>IF(Lançamentos!$B37="","",Lançamentos!$B37)</f>
        <v/>
      </c>
      <c r="C42" s="139" t="str">
        <f>IF($B42="","",Lançamentos!$J37)</f>
        <v/>
      </c>
      <c r="D42" s="140" t="str">
        <f>IF($B42="","",Lançamentos!$H37)</f>
        <v/>
      </c>
      <c r="E42" s="140"/>
      <c r="F42" s="140"/>
      <c r="G42" s="140"/>
      <c r="H42" s="140"/>
      <c r="I42" s="140"/>
      <c r="J42" s="140"/>
      <c r="K42" s="140"/>
      <c r="L42" s="140"/>
      <c r="M42" s="141" t="str">
        <f t="shared" si="0"/>
        <v/>
      </c>
      <c r="N42" s="142"/>
      <c r="O42" s="143"/>
    </row>
    <row r="43" spans="2:15" x14ac:dyDescent="0.35">
      <c r="B43" s="138" t="str">
        <f>IF(Lançamentos!$B38="","",Lançamentos!$B38)</f>
        <v/>
      </c>
      <c r="C43" s="139" t="str">
        <f>IF($B43="","",Lançamentos!$J38)</f>
        <v/>
      </c>
      <c r="D43" s="140" t="str">
        <f>IF($B43="","",Lançamentos!$H38)</f>
        <v/>
      </c>
      <c r="E43" s="140"/>
      <c r="F43" s="140"/>
      <c r="G43" s="140"/>
      <c r="H43" s="140"/>
      <c r="I43" s="140"/>
      <c r="J43" s="140"/>
      <c r="K43" s="140"/>
      <c r="L43" s="140"/>
      <c r="M43" s="141" t="str">
        <f t="shared" si="0"/>
        <v/>
      </c>
      <c r="N43" s="142"/>
      <c r="O43" s="143"/>
    </row>
    <row r="44" spans="2:15" x14ac:dyDescent="0.35">
      <c r="B44" s="138" t="str">
        <f>IF(Lançamentos!$B39="","",Lançamentos!$B39)</f>
        <v/>
      </c>
      <c r="C44" s="139" t="str">
        <f>IF($B44="","",Lançamentos!$J39)</f>
        <v/>
      </c>
      <c r="D44" s="140" t="str">
        <f>IF($B44="","",Lançamentos!$H39)</f>
        <v/>
      </c>
      <c r="E44" s="140"/>
      <c r="F44" s="140"/>
      <c r="G44" s="140"/>
      <c r="H44" s="140"/>
      <c r="I44" s="140"/>
      <c r="J44" s="140"/>
      <c r="K44" s="140"/>
      <c r="L44" s="140"/>
      <c r="M44" s="141" t="str">
        <f t="shared" si="0"/>
        <v/>
      </c>
      <c r="N44" s="142"/>
      <c r="O44" s="143"/>
    </row>
    <row r="45" spans="2:15" x14ac:dyDescent="0.35">
      <c r="B45" s="138" t="str">
        <f>IF(Lançamentos!$B40="","",Lançamentos!$B40)</f>
        <v/>
      </c>
      <c r="C45" s="139" t="str">
        <f>IF($B45="","",Lançamentos!$J40)</f>
        <v/>
      </c>
      <c r="D45" s="140" t="str">
        <f>IF($B45="","",Lançamentos!$H40)</f>
        <v/>
      </c>
      <c r="E45" s="140"/>
      <c r="F45" s="140"/>
      <c r="G45" s="140"/>
      <c r="H45" s="140"/>
      <c r="I45" s="140"/>
      <c r="J45" s="140"/>
      <c r="K45" s="140"/>
      <c r="L45" s="140"/>
      <c r="M45" s="141" t="str">
        <f t="shared" si="0"/>
        <v/>
      </c>
      <c r="N45" s="142"/>
      <c r="O45" s="143"/>
    </row>
    <row r="46" spans="2:15" x14ac:dyDescent="0.35">
      <c r="B46" s="138" t="str">
        <f>IF(Lançamentos!$B41="","",Lançamentos!$B41)</f>
        <v/>
      </c>
      <c r="C46" s="139" t="str">
        <f>IF($B46="","",Lançamentos!$J41)</f>
        <v/>
      </c>
      <c r="D46" s="140" t="str">
        <f>IF($B46="","",Lançamentos!$H41)</f>
        <v/>
      </c>
      <c r="E46" s="140"/>
      <c r="F46" s="140"/>
      <c r="G46" s="140"/>
      <c r="H46" s="140"/>
      <c r="I46" s="140"/>
      <c r="J46" s="140"/>
      <c r="K46" s="140"/>
      <c r="L46" s="140"/>
      <c r="M46" s="141" t="str">
        <f t="shared" si="0"/>
        <v/>
      </c>
      <c r="N46" s="142"/>
      <c r="O46" s="143"/>
    </row>
    <row r="47" spans="2:15" x14ac:dyDescent="0.35">
      <c r="B47" s="138" t="str">
        <f>IF(Lançamentos!$B42="","",Lançamentos!$B42)</f>
        <v/>
      </c>
      <c r="C47" s="139" t="str">
        <f>IF($B47="","",Lançamentos!$J42)</f>
        <v/>
      </c>
      <c r="D47" s="140" t="str">
        <f>IF($B47="","",Lançamentos!$H42)</f>
        <v/>
      </c>
      <c r="E47" s="140"/>
      <c r="F47" s="140"/>
      <c r="G47" s="140"/>
      <c r="H47" s="140"/>
      <c r="I47" s="140"/>
      <c r="J47" s="140"/>
      <c r="K47" s="140"/>
      <c r="L47" s="140"/>
      <c r="M47" s="141" t="str">
        <f t="shared" si="0"/>
        <v/>
      </c>
      <c r="N47" s="142"/>
      <c r="O47" s="143"/>
    </row>
    <row r="48" spans="2:15" x14ac:dyDescent="0.35">
      <c r="B48" s="138" t="str">
        <f>IF(Lançamentos!$B43="","",Lançamentos!$B43)</f>
        <v/>
      </c>
      <c r="C48" s="139" t="str">
        <f>IF($B48="","",Lançamentos!$J43)</f>
        <v/>
      </c>
      <c r="D48" s="140" t="str">
        <f>IF($B48="","",Lançamentos!$H43)</f>
        <v/>
      </c>
      <c r="E48" s="140"/>
      <c r="F48" s="140"/>
      <c r="G48" s="140"/>
      <c r="H48" s="140"/>
      <c r="I48" s="140"/>
      <c r="J48" s="140"/>
      <c r="K48" s="140"/>
      <c r="L48" s="140"/>
      <c r="M48" s="141" t="str">
        <f t="shared" si="0"/>
        <v/>
      </c>
      <c r="N48" s="142"/>
      <c r="O48" s="143"/>
    </row>
    <row r="49" spans="2:15" x14ac:dyDescent="0.35">
      <c r="B49" s="138" t="str">
        <f>IF(Lançamentos!$B44="","",Lançamentos!$B44)</f>
        <v/>
      </c>
      <c r="C49" s="139" t="str">
        <f>IF($B49="","",Lançamentos!$J44)</f>
        <v/>
      </c>
      <c r="D49" s="140" t="str">
        <f>IF($B49="","",Lançamentos!$H44)</f>
        <v/>
      </c>
      <c r="E49" s="140"/>
      <c r="F49" s="140"/>
      <c r="G49" s="140"/>
      <c r="H49" s="140"/>
      <c r="I49" s="140"/>
      <c r="J49" s="140"/>
      <c r="K49" s="140"/>
      <c r="L49" s="140"/>
      <c r="M49" s="141" t="str">
        <f t="shared" si="0"/>
        <v/>
      </c>
      <c r="N49" s="142"/>
      <c r="O49" s="143"/>
    </row>
    <row r="50" spans="2:15" x14ac:dyDescent="0.35">
      <c r="B50" s="138" t="str">
        <f>IF(Lançamentos!$B45="","",Lançamentos!$B45)</f>
        <v/>
      </c>
      <c r="C50" s="139" t="str">
        <f>IF($B50="","",Lançamentos!$J45)</f>
        <v/>
      </c>
      <c r="D50" s="140" t="str">
        <f>IF($B50="","",Lançamentos!$H45)</f>
        <v/>
      </c>
      <c r="E50" s="140"/>
      <c r="F50" s="140"/>
      <c r="G50" s="140"/>
      <c r="H50" s="140"/>
      <c r="I50" s="140"/>
      <c r="J50" s="140"/>
      <c r="K50" s="140"/>
      <c r="L50" s="140"/>
      <c r="M50" s="141" t="str">
        <f t="shared" si="0"/>
        <v/>
      </c>
      <c r="N50" s="142"/>
      <c r="O50" s="143"/>
    </row>
    <row r="51" spans="2:15" x14ac:dyDescent="0.35">
      <c r="B51" s="138" t="str">
        <f>IF(Lançamentos!$B46="","",Lançamentos!$B46)</f>
        <v/>
      </c>
      <c r="C51" s="139" t="str">
        <f>IF($B51="","",Lançamentos!$J46)</f>
        <v/>
      </c>
      <c r="D51" s="140" t="str">
        <f>IF($B51="","",Lançamentos!$H46)</f>
        <v/>
      </c>
      <c r="E51" s="140"/>
      <c r="F51" s="140"/>
      <c r="G51" s="140"/>
      <c r="H51" s="140"/>
      <c r="I51" s="140"/>
      <c r="J51" s="140"/>
      <c r="K51" s="140"/>
      <c r="L51" s="140"/>
      <c r="M51" s="141" t="str">
        <f t="shared" si="0"/>
        <v/>
      </c>
      <c r="N51" s="142"/>
      <c r="O51" s="143"/>
    </row>
    <row r="52" spans="2:15" x14ac:dyDescent="0.35">
      <c r="B52" s="138" t="str">
        <f>IF(Lançamentos!$B47="","",Lançamentos!$B47)</f>
        <v/>
      </c>
      <c r="C52" s="139" t="str">
        <f>IF($B52="","",Lançamentos!$J47)</f>
        <v/>
      </c>
      <c r="D52" s="140" t="str">
        <f>IF($B52="","",Lançamentos!$H47)</f>
        <v/>
      </c>
      <c r="E52" s="140"/>
      <c r="F52" s="140"/>
      <c r="G52" s="140"/>
      <c r="H52" s="140"/>
      <c r="I52" s="140"/>
      <c r="J52" s="140"/>
      <c r="K52" s="140"/>
      <c r="L52" s="140"/>
      <c r="M52" s="141" t="str">
        <f t="shared" si="0"/>
        <v/>
      </c>
      <c r="N52" s="142"/>
      <c r="O52" s="143"/>
    </row>
    <row r="53" spans="2:15" x14ac:dyDescent="0.35">
      <c r="B53" s="138" t="str">
        <f>IF(Lançamentos!$B48="","",Lançamentos!$B48)</f>
        <v/>
      </c>
      <c r="C53" s="139" t="str">
        <f>IF($B53="","",Lançamentos!$J48)</f>
        <v/>
      </c>
      <c r="D53" s="140" t="str">
        <f>IF($B53="","",Lançamentos!$H48)</f>
        <v/>
      </c>
      <c r="E53" s="140"/>
      <c r="F53" s="140"/>
      <c r="G53" s="140"/>
      <c r="H53" s="140"/>
      <c r="I53" s="140"/>
      <c r="J53" s="140"/>
      <c r="K53" s="140"/>
      <c r="L53" s="140"/>
      <c r="M53" s="141" t="str">
        <f t="shared" si="0"/>
        <v/>
      </c>
      <c r="N53" s="142"/>
      <c r="O53" s="143"/>
    </row>
    <row r="54" spans="2:15" x14ac:dyDescent="0.35">
      <c r="B54" s="138" t="str">
        <f>IF(Lançamentos!$B49="","",Lançamentos!$B49)</f>
        <v/>
      </c>
      <c r="C54" s="139" t="str">
        <f>IF($B54="","",Lançamentos!$J49)</f>
        <v/>
      </c>
      <c r="D54" s="140" t="str">
        <f>IF($B54="","",Lançamentos!$H49)</f>
        <v/>
      </c>
      <c r="E54" s="140"/>
      <c r="F54" s="140"/>
      <c r="G54" s="140"/>
      <c r="H54" s="140"/>
      <c r="I54" s="140"/>
      <c r="J54" s="140"/>
      <c r="K54" s="140"/>
      <c r="L54" s="140"/>
      <c r="M54" s="141" t="str">
        <f t="shared" si="0"/>
        <v/>
      </c>
      <c r="N54" s="142"/>
      <c r="O54" s="143"/>
    </row>
    <row r="55" spans="2:15" x14ac:dyDescent="0.35">
      <c r="B55" s="138" t="str">
        <f>IF(Lançamentos!$B50="","",Lançamentos!$B50)</f>
        <v/>
      </c>
      <c r="C55" s="139" t="str">
        <f>IF($B55="","",Lançamentos!$J50)</f>
        <v/>
      </c>
      <c r="D55" s="140" t="str">
        <f>IF($B55="","",Lançamentos!$H50)</f>
        <v/>
      </c>
      <c r="E55" s="140"/>
      <c r="F55" s="140"/>
      <c r="G55" s="140"/>
      <c r="H55" s="140"/>
      <c r="I55" s="140"/>
      <c r="J55" s="140"/>
      <c r="K55" s="140"/>
      <c r="L55" s="140"/>
      <c r="M55" s="141" t="str">
        <f t="shared" si="0"/>
        <v/>
      </c>
      <c r="N55" s="142"/>
      <c r="O55" s="143"/>
    </row>
    <row r="56" spans="2:15" x14ac:dyDescent="0.35">
      <c r="B56" s="138" t="str">
        <f>IF(Lançamentos!$B51="","",Lançamentos!$B51)</f>
        <v/>
      </c>
      <c r="C56" s="139" t="str">
        <f>IF($B56="","",Lançamentos!$J51)</f>
        <v/>
      </c>
      <c r="D56" s="140" t="str">
        <f>IF($B56="","",Lançamentos!$H51)</f>
        <v/>
      </c>
      <c r="E56" s="140"/>
      <c r="F56" s="140"/>
      <c r="G56" s="140"/>
      <c r="H56" s="140"/>
      <c r="I56" s="140"/>
      <c r="J56" s="140"/>
      <c r="K56" s="140"/>
      <c r="L56" s="140"/>
      <c r="M56" s="141" t="str">
        <f t="shared" si="0"/>
        <v/>
      </c>
      <c r="N56" s="142"/>
      <c r="O56" s="143"/>
    </row>
    <row r="57" spans="2:15" x14ac:dyDescent="0.35">
      <c r="B57" s="138" t="str">
        <f>IF(Lançamentos!$B52="","",Lançamentos!$B52)</f>
        <v/>
      </c>
      <c r="C57" s="139" t="str">
        <f>IF($B57="","",Lançamentos!$J52)</f>
        <v/>
      </c>
      <c r="D57" s="140" t="str">
        <f>IF($B57="","",Lançamentos!$H52)</f>
        <v/>
      </c>
      <c r="E57" s="140"/>
      <c r="F57" s="140"/>
      <c r="G57" s="140"/>
      <c r="H57" s="140"/>
      <c r="I57" s="140"/>
      <c r="J57" s="140"/>
      <c r="K57" s="140"/>
      <c r="L57" s="140"/>
      <c r="M57" s="141" t="str">
        <f t="shared" si="0"/>
        <v/>
      </c>
      <c r="N57" s="142"/>
      <c r="O57" s="143"/>
    </row>
    <row r="58" spans="2:15" x14ac:dyDescent="0.35">
      <c r="B58" s="138" t="str">
        <f>IF(Lançamentos!$B53="","",Lançamentos!$B53)</f>
        <v/>
      </c>
      <c r="C58" s="139" t="str">
        <f>IF($B58="","",Lançamentos!$J53)</f>
        <v/>
      </c>
      <c r="D58" s="140" t="str">
        <f>IF($B58="","",Lançamentos!$H53)</f>
        <v/>
      </c>
      <c r="E58" s="140"/>
      <c r="F58" s="140"/>
      <c r="G58" s="140"/>
      <c r="H58" s="140"/>
      <c r="I58" s="140"/>
      <c r="J58" s="140"/>
      <c r="K58" s="140"/>
      <c r="L58" s="140"/>
      <c r="M58" s="141" t="str">
        <f t="shared" si="0"/>
        <v/>
      </c>
      <c r="N58" s="142"/>
      <c r="O58" s="143"/>
    </row>
    <row r="59" spans="2:15" x14ac:dyDescent="0.35">
      <c r="B59" s="138" t="str">
        <f>IF(Lançamentos!$B54="","",Lançamentos!$B54)</f>
        <v/>
      </c>
      <c r="C59" s="139" t="str">
        <f>IF($B59="","",Lançamentos!$J54)</f>
        <v/>
      </c>
      <c r="D59" s="140" t="str">
        <f>IF($B59="","",Lançamentos!$H54)</f>
        <v/>
      </c>
      <c r="E59" s="140"/>
      <c r="F59" s="140"/>
      <c r="G59" s="140"/>
      <c r="H59" s="140"/>
      <c r="I59" s="140"/>
      <c r="J59" s="140"/>
      <c r="K59" s="140"/>
      <c r="L59" s="140"/>
      <c r="M59" s="141" t="str">
        <f t="shared" si="0"/>
        <v/>
      </c>
      <c r="N59" s="142"/>
      <c r="O59" s="143"/>
    </row>
    <row r="60" spans="2:15" x14ac:dyDescent="0.35">
      <c r="B60" s="138" t="str">
        <f>IF(Lançamentos!$B55="","",Lançamentos!$B55)</f>
        <v/>
      </c>
      <c r="C60" s="139" t="str">
        <f>IF($B60="","",Lançamentos!$J55)</f>
        <v/>
      </c>
      <c r="D60" s="140" t="str">
        <f>IF($B60="","",Lançamentos!$H55)</f>
        <v/>
      </c>
      <c r="E60" s="140"/>
      <c r="F60" s="140"/>
      <c r="G60" s="140"/>
      <c r="H60" s="140"/>
      <c r="I60" s="140"/>
      <c r="J60" s="140"/>
      <c r="K60" s="140"/>
      <c r="L60" s="140"/>
      <c r="M60" s="141" t="str">
        <f t="shared" si="0"/>
        <v/>
      </c>
      <c r="N60" s="142"/>
      <c r="O60" s="143"/>
    </row>
    <row r="61" spans="2:15" x14ac:dyDescent="0.35">
      <c r="B61" s="138" t="str">
        <f>IF(Lançamentos!$B56="","",Lançamentos!$B56)</f>
        <v/>
      </c>
      <c r="C61" s="139" t="str">
        <f>IF($B61="","",Lançamentos!$J56)</f>
        <v/>
      </c>
      <c r="D61" s="140" t="str">
        <f>IF($B61="","",Lançamentos!$H56)</f>
        <v/>
      </c>
      <c r="E61" s="140"/>
      <c r="F61" s="140"/>
      <c r="G61" s="140"/>
      <c r="H61" s="140"/>
      <c r="I61" s="140"/>
      <c r="J61" s="140"/>
      <c r="K61" s="140"/>
      <c r="L61" s="140"/>
      <c r="M61" s="141" t="str">
        <f t="shared" si="0"/>
        <v/>
      </c>
      <c r="N61" s="142"/>
      <c r="O61" s="143"/>
    </row>
    <row r="62" spans="2:15" x14ac:dyDescent="0.35">
      <c r="B62" s="138" t="str">
        <f>IF(Lançamentos!$B57="","",Lançamentos!$B57)</f>
        <v/>
      </c>
      <c r="C62" s="139" t="str">
        <f>IF($B62="","",Lançamentos!$J57)</f>
        <v/>
      </c>
      <c r="D62" s="140" t="str">
        <f>IF($B62="","",Lançamentos!$H57)</f>
        <v/>
      </c>
      <c r="E62" s="140"/>
      <c r="F62" s="140"/>
      <c r="G62" s="140"/>
      <c r="H62" s="140"/>
      <c r="I62" s="140"/>
      <c r="J62" s="140"/>
      <c r="K62" s="140"/>
      <c r="L62" s="140"/>
      <c r="M62" s="141" t="str">
        <f t="shared" si="0"/>
        <v/>
      </c>
      <c r="N62" s="142"/>
      <c r="O62" s="143"/>
    </row>
    <row r="63" spans="2:15" x14ac:dyDescent="0.35">
      <c r="B63" s="138" t="str">
        <f>IF(Lançamentos!$B58="","",Lançamentos!$B58)</f>
        <v/>
      </c>
      <c r="C63" s="139" t="str">
        <f>IF($B63="","",Lançamentos!$J58)</f>
        <v/>
      </c>
      <c r="D63" s="140" t="str">
        <f>IF($B63="","",Lançamentos!$H58)</f>
        <v/>
      </c>
      <c r="E63" s="140"/>
      <c r="F63" s="140"/>
      <c r="G63" s="140"/>
      <c r="H63" s="140"/>
      <c r="I63" s="140"/>
      <c r="J63" s="140"/>
      <c r="K63" s="140"/>
      <c r="L63" s="140"/>
      <c r="M63" s="141" t="str">
        <f t="shared" si="0"/>
        <v/>
      </c>
      <c r="N63" s="142"/>
      <c r="O63" s="143"/>
    </row>
    <row r="64" spans="2:15" x14ac:dyDescent="0.35">
      <c r="B64" s="138" t="str">
        <f>IF(Lançamentos!$B59="","",Lançamentos!$B59)</f>
        <v/>
      </c>
      <c r="C64" s="139" t="str">
        <f>IF($B64="","",Lançamentos!$J59)</f>
        <v/>
      </c>
      <c r="D64" s="140" t="str">
        <f>IF($B64="","",Lançamentos!$H59)</f>
        <v/>
      </c>
      <c r="E64" s="140"/>
      <c r="F64" s="140"/>
      <c r="G64" s="140"/>
      <c r="H64" s="140"/>
      <c r="I64" s="140"/>
      <c r="J64" s="140"/>
      <c r="K64" s="140"/>
      <c r="L64" s="140"/>
      <c r="M64" s="141" t="str">
        <f t="shared" si="0"/>
        <v/>
      </c>
      <c r="N64" s="142"/>
      <c r="O64" s="143"/>
    </row>
    <row r="65" spans="2:15" x14ac:dyDescent="0.35">
      <c r="B65" s="138" t="str">
        <f>IF(Lançamentos!$B60="","",Lançamentos!$B60)</f>
        <v/>
      </c>
      <c r="C65" s="139" t="str">
        <f>IF($B65="","",Lançamentos!$J60)</f>
        <v/>
      </c>
      <c r="D65" s="140" t="str">
        <f>IF($B65="","",Lançamentos!$H60)</f>
        <v/>
      </c>
      <c r="E65" s="140"/>
      <c r="F65" s="140"/>
      <c r="G65" s="140"/>
      <c r="H65" s="140"/>
      <c r="I65" s="140"/>
      <c r="J65" s="140"/>
      <c r="K65" s="140"/>
      <c r="L65" s="140"/>
      <c r="M65" s="141" t="str">
        <f t="shared" si="0"/>
        <v/>
      </c>
      <c r="N65" s="142"/>
      <c r="O65" s="143"/>
    </row>
    <row r="66" spans="2:15" x14ac:dyDescent="0.35">
      <c r="B66" s="138" t="str">
        <f>IF(Lançamentos!$B61="","",Lançamentos!$B61)</f>
        <v/>
      </c>
      <c r="C66" s="139" t="str">
        <f>IF($B66="","",Lançamentos!$J61)</f>
        <v/>
      </c>
      <c r="D66" s="140" t="str">
        <f>IF($B66="","",Lançamentos!$H61)</f>
        <v/>
      </c>
      <c r="E66" s="140"/>
      <c r="F66" s="140"/>
      <c r="G66" s="140"/>
      <c r="H66" s="140"/>
      <c r="I66" s="140"/>
      <c r="J66" s="140"/>
      <c r="K66" s="140"/>
      <c r="L66" s="140"/>
      <c r="M66" s="141" t="str">
        <f t="shared" si="0"/>
        <v/>
      </c>
      <c r="N66" s="142"/>
      <c r="O66" s="143"/>
    </row>
    <row r="67" spans="2:15" x14ac:dyDescent="0.35">
      <c r="B67" s="138" t="str">
        <f>IF(Lançamentos!$B62="","",Lançamentos!$B62)</f>
        <v/>
      </c>
      <c r="C67" s="139" t="str">
        <f>IF($B67="","",Lançamentos!$J62)</f>
        <v/>
      </c>
      <c r="D67" s="140" t="str">
        <f>IF($B67="","",Lançamentos!$H62)</f>
        <v/>
      </c>
      <c r="E67" s="140"/>
      <c r="F67" s="140"/>
      <c r="G67" s="140"/>
      <c r="H67" s="140"/>
      <c r="I67" s="140"/>
      <c r="J67" s="140"/>
      <c r="K67" s="140"/>
      <c r="L67" s="140"/>
      <c r="M67" s="141" t="str">
        <f t="shared" si="0"/>
        <v/>
      </c>
      <c r="N67" s="142"/>
      <c r="O67" s="143"/>
    </row>
    <row r="68" spans="2:15" x14ac:dyDescent="0.35">
      <c r="B68" s="138" t="str">
        <f>IF(Lançamentos!$B63="","",Lançamentos!$B63)</f>
        <v/>
      </c>
      <c r="C68" s="139" t="str">
        <f>IF($B68="","",Lançamentos!$J63)</f>
        <v/>
      </c>
      <c r="D68" s="140" t="str">
        <f>IF($B68="","",Lançamentos!$H63)</f>
        <v/>
      </c>
      <c r="E68" s="140"/>
      <c r="F68" s="140"/>
      <c r="G68" s="140"/>
      <c r="H68" s="140"/>
      <c r="I68" s="140"/>
      <c r="J68" s="140"/>
      <c r="K68" s="140"/>
      <c r="L68" s="140"/>
      <c r="M68" s="141" t="str">
        <f t="shared" si="0"/>
        <v/>
      </c>
      <c r="N68" s="142"/>
      <c r="O68" s="143"/>
    </row>
    <row r="69" spans="2:15" x14ac:dyDescent="0.35">
      <c r="B69" s="138" t="str">
        <f>IF(Lançamentos!$B64="","",Lançamentos!$B64)</f>
        <v/>
      </c>
      <c r="C69" s="139" t="str">
        <f>IF($B69="","",Lançamentos!$J64)</f>
        <v/>
      </c>
      <c r="D69" s="140" t="str">
        <f>IF($B69="","",Lançamentos!$H64)</f>
        <v/>
      </c>
      <c r="E69" s="140"/>
      <c r="F69" s="140"/>
      <c r="G69" s="140"/>
      <c r="H69" s="140"/>
      <c r="I69" s="140"/>
      <c r="J69" s="140"/>
      <c r="K69" s="140"/>
      <c r="L69" s="140"/>
      <c r="M69" s="141" t="str">
        <f t="shared" si="0"/>
        <v/>
      </c>
      <c r="N69" s="142"/>
      <c r="O69" s="143"/>
    </row>
    <row r="70" spans="2:15" x14ac:dyDescent="0.35">
      <c r="B70" s="138" t="str">
        <f>IF(Lançamentos!$B65="","",Lançamentos!$B65)</f>
        <v/>
      </c>
      <c r="C70" s="139" t="str">
        <f>IF($B70="","",Lançamentos!$J65)</f>
        <v/>
      </c>
      <c r="D70" s="140" t="str">
        <f>IF($B70="","",Lançamentos!$H65)</f>
        <v/>
      </c>
      <c r="E70" s="140"/>
      <c r="F70" s="140"/>
      <c r="G70" s="140"/>
      <c r="H70" s="140"/>
      <c r="I70" s="140"/>
      <c r="J70" s="140"/>
      <c r="K70" s="140"/>
      <c r="L70" s="140"/>
      <c r="M70" s="141" t="str">
        <f t="shared" si="0"/>
        <v/>
      </c>
      <c r="N70" s="142"/>
      <c r="O70" s="143"/>
    </row>
    <row r="71" spans="2:15" x14ac:dyDescent="0.35">
      <c r="B71" s="138" t="str">
        <f>IF(Lançamentos!$B66="","",Lançamentos!$B66)</f>
        <v/>
      </c>
      <c r="C71" s="139" t="str">
        <f>IF($B71="","",Lançamentos!$J66)</f>
        <v/>
      </c>
      <c r="D71" s="140" t="str">
        <f>IF($B71="","",Lançamentos!$H66)</f>
        <v/>
      </c>
      <c r="E71" s="140"/>
      <c r="F71" s="140"/>
      <c r="G71" s="140"/>
      <c r="H71" s="140"/>
      <c r="I71" s="140"/>
      <c r="J71" s="140"/>
      <c r="K71" s="140"/>
      <c r="L71" s="140"/>
      <c r="M71" s="141" t="str">
        <f t="shared" si="0"/>
        <v/>
      </c>
      <c r="N71" s="142"/>
      <c r="O71" s="143"/>
    </row>
    <row r="72" spans="2:15" x14ac:dyDescent="0.35">
      <c r="B72" s="138" t="str">
        <f>IF(Lançamentos!$B67="","",Lançamentos!$B67)</f>
        <v/>
      </c>
      <c r="C72" s="139" t="str">
        <f>IF($B72="","",Lançamentos!$J67)</f>
        <v/>
      </c>
      <c r="D72" s="140" t="str">
        <f>IF($B72="","",Lançamentos!$H67)</f>
        <v/>
      </c>
      <c r="E72" s="140"/>
      <c r="F72" s="140"/>
      <c r="G72" s="140"/>
      <c r="H72" s="140"/>
      <c r="I72" s="140"/>
      <c r="J72" s="140"/>
      <c r="K72" s="140"/>
      <c r="L72" s="140"/>
      <c r="M72" s="141" t="str">
        <f t="shared" si="0"/>
        <v/>
      </c>
      <c r="N72" s="142"/>
      <c r="O72" s="143"/>
    </row>
    <row r="73" spans="2:15" x14ac:dyDescent="0.35">
      <c r="B73" s="138" t="str">
        <f>IF(Lançamentos!$B68="","",Lançamentos!$B68)</f>
        <v/>
      </c>
      <c r="C73" s="139" t="str">
        <f>IF($B73="","",Lançamentos!$J68)</f>
        <v/>
      </c>
      <c r="D73" s="140" t="str">
        <f>IF($B73="","",Lançamentos!$H68)</f>
        <v/>
      </c>
      <c r="E73" s="140"/>
      <c r="F73" s="140"/>
      <c r="G73" s="140"/>
      <c r="H73" s="140"/>
      <c r="I73" s="140"/>
      <c r="J73" s="140"/>
      <c r="K73" s="140"/>
      <c r="L73" s="140"/>
      <c r="M73" s="141" t="str">
        <f t="shared" ref="M73:M136" si="1">IF(B73="","",IF(COUNTIF(E73:L73,"N/A")=8,0,COUNTIF(E73:L73,"✔ Concluído")/(8-COUNTIF(E73:L73,"N/A"))))</f>
        <v/>
      </c>
      <c r="N73" s="142"/>
      <c r="O73" s="143"/>
    </row>
    <row r="74" spans="2:15" x14ac:dyDescent="0.35">
      <c r="B74" s="138" t="str">
        <f>IF(Lançamentos!$B69="","",Lançamentos!$B69)</f>
        <v/>
      </c>
      <c r="C74" s="139" t="str">
        <f>IF($B74="","",Lançamentos!$J69)</f>
        <v/>
      </c>
      <c r="D74" s="140" t="str">
        <f>IF($B74="","",Lançamentos!$H69)</f>
        <v/>
      </c>
      <c r="E74" s="140"/>
      <c r="F74" s="140"/>
      <c r="G74" s="140"/>
      <c r="H74" s="140"/>
      <c r="I74" s="140"/>
      <c r="J74" s="140"/>
      <c r="K74" s="140"/>
      <c r="L74" s="140"/>
      <c r="M74" s="141" t="str">
        <f t="shared" si="1"/>
        <v/>
      </c>
      <c r="N74" s="142"/>
      <c r="O74" s="143"/>
    </row>
    <row r="75" spans="2:15" x14ac:dyDescent="0.35">
      <c r="B75" s="138" t="str">
        <f>IF(Lançamentos!$B70="","",Lançamentos!$B70)</f>
        <v/>
      </c>
      <c r="C75" s="139" t="str">
        <f>IF($B75="","",Lançamentos!$J70)</f>
        <v/>
      </c>
      <c r="D75" s="140" t="str">
        <f>IF($B75="","",Lançamentos!$H70)</f>
        <v/>
      </c>
      <c r="E75" s="140"/>
      <c r="F75" s="140"/>
      <c r="G75" s="140"/>
      <c r="H75" s="140"/>
      <c r="I75" s="140"/>
      <c r="J75" s="140"/>
      <c r="K75" s="140"/>
      <c r="L75" s="140"/>
      <c r="M75" s="141" t="str">
        <f t="shared" si="1"/>
        <v/>
      </c>
      <c r="N75" s="142"/>
      <c r="O75" s="143"/>
    </row>
    <row r="76" spans="2:15" x14ac:dyDescent="0.35">
      <c r="B76" s="138" t="str">
        <f>IF(Lançamentos!$B71="","",Lançamentos!$B71)</f>
        <v/>
      </c>
      <c r="C76" s="139" t="str">
        <f>IF($B76="","",Lançamentos!$J71)</f>
        <v/>
      </c>
      <c r="D76" s="140" t="str">
        <f>IF($B76="","",Lançamentos!$H71)</f>
        <v/>
      </c>
      <c r="E76" s="140"/>
      <c r="F76" s="140"/>
      <c r="G76" s="140"/>
      <c r="H76" s="140"/>
      <c r="I76" s="140"/>
      <c r="J76" s="140"/>
      <c r="K76" s="140"/>
      <c r="L76" s="140"/>
      <c r="M76" s="141" t="str">
        <f t="shared" si="1"/>
        <v/>
      </c>
      <c r="N76" s="142"/>
      <c r="O76" s="143"/>
    </row>
    <row r="77" spans="2:15" x14ac:dyDescent="0.35">
      <c r="B77" s="138" t="str">
        <f>IF(Lançamentos!$B72="","",Lançamentos!$B72)</f>
        <v/>
      </c>
      <c r="C77" s="139" t="str">
        <f>IF($B77="","",Lançamentos!$J72)</f>
        <v/>
      </c>
      <c r="D77" s="140" t="str">
        <f>IF($B77="","",Lançamentos!$H72)</f>
        <v/>
      </c>
      <c r="E77" s="140"/>
      <c r="F77" s="140"/>
      <c r="G77" s="140"/>
      <c r="H77" s="140"/>
      <c r="I77" s="140"/>
      <c r="J77" s="140"/>
      <c r="K77" s="140"/>
      <c r="L77" s="140"/>
      <c r="M77" s="141" t="str">
        <f t="shared" si="1"/>
        <v/>
      </c>
      <c r="N77" s="142"/>
      <c r="O77" s="143"/>
    </row>
    <row r="78" spans="2:15" x14ac:dyDescent="0.35">
      <c r="B78" s="138" t="str">
        <f>IF(Lançamentos!$B73="","",Lançamentos!$B73)</f>
        <v/>
      </c>
      <c r="C78" s="139" t="str">
        <f>IF($B78="","",Lançamentos!$J73)</f>
        <v/>
      </c>
      <c r="D78" s="140" t="str">
        <f>IF($B78="","",Lançamentos!$H73)</f>
        <v/>
      </c>
      <c r="E78" s="140"/>
      <c r="F78" s="140"/>
      <c r="G78" s="140"/>
      <c r="H78" s="140"/>
      <c r="I78" s="140"/>
      <c r="J78" s="140"/>
      <c r="K78" s="140"/>
      <c r="L78" s="140"/>
      <c r="M78" s="141" t="str">
        <f t="shared" si="1"/>
        <v/>
      </c>
      <c r="N78" s="142"/>
      <c r="O78" s="143"/>
    </row>
    <row r="79" spans="2:15" x14ac:dyDescent="0.35">
      <c r="B79" s="138" t="str">
        <f>IF(Lançamentos!$B74="","",Lançamentos!$B74)</f>
        <v/>
      </c>
      <c r="C79" s="139" t="str">
        <f>IF($B79="","",Lançamentos!$J74)</f>
        <v/>
      </c>
      <c r="D79" s="140" t="str">
        <f>IF($B79="","",Lançamentos!$H74)</f>
        <v/>
      </c>
      <c r="E79" s="140"/>
      <c r="F79" s="140"/>
      <c r="G79" s="140"/>
      <c r="H79" s="140"/>
      <c r="I79" s="140"/>
      <c r="J79" s="140"/>
      <c r="K79" s="140"/>
      <c r="L79" s="140"/>
      <c r="M79" s="141" t="str">
        <f t="shared" si="1"/>
        <v/>
      </c>
      <c r="N79" s="142"/>
      <c r="O79" s="143"/>
    </row>
    <row r="80" spans="2:15" x14ac:dyDescent="0.35">
      <c r="B80" s="138" t="str">
        <f>IF(Lançamentos!$B75="","",Lançamentos!$B75)</f>
        <v/>
      </c>
      <c r="C80" s="139" t="str">
        <f>IF($B80="","",Lançamentos!$J75)</f>
        <v/>
      </c>
      <c r="D80" s="140" t="str">
        <f>IF($B80="","",Lançamentos!$H75)</f>
        <v/>
      </c>
      <c r="E80" s="140"/>
      <c r="F80" s="140"/>
      <c r="G80" s="140"/>
      <c r="H80" s="140"/>
      <c r="I80" s="140"/>
      <c r="J80" s="140"/>
      <c r="K80" s="140"/>
      <c r="L80" s="140"/>
      <c r="M80" s="141" t="str">
        <f t="shared" si="1"/>
        <v/>
      </c>
      <c r="N80" s="142"/>
      <c r="O80" s="143"/>
    </row>
    <row r="81" spans="2:15" x14ac:dyDescent="0.35">
      <c r="B81" s="138" t="str">
        <f>IF(Lançamentos!$B76="","",Lançamentos!$B76)</f>
        <v/>
      </c>
      <c r="C81" s="139" t="str">
        <f>IF($B81="","",Lançamentos!$J76)</f>
        <v/>
      </c>
      <c r="D81" s="140" t="str">
        <f>IF($B81="","",Lançamentos!$H76)</f>
        <v/>
      </c>
      <c r="E81" s="140"/>
      <c r="F81" s="140"/>
      <c r="G81" s="140"/>
      <c r="H81" s="140"/>
      <c r="I81" s="140"/>
      <c r="J81" s="140"/>
      <c r="K81" s="140"/>
      <c r="L81" s="140"/>
      <c r="M81" s="141" t="str">
        <f t="shared" si="1"/>
        <v/>
      </c>
      <c r="N81" s="142"/>
      <c r="O81" s="143"/>
    </row>
    <row r="82" spans="2:15" x14ac:dyDescent="0.35">
      <c r="B82" s="138" t="str">
        <f>IF(Lançamentos!$B77="","",Lançamentos!$B77)</f>
        <v/>
      </c>
      <c r="C82" s="139" t="str">
        <f>IF($B82="","",Lançamentos!$J77)</f>
        <v/>
      </c>
      <c r="D82" s="140" t="str">
        <f>IF($B82="","",Lançamentos!$H77)</f>
        <v/>
      </c>
      <c r="E82" s="140"/>
      <c r="F82" s="140"/>
      <c r="G82" s="140"/>
      <c r="H82" s="140"/>
      <c r="I82" s="140"/>
      <c r="J82" s="140"/>
      <c r="K82" s="140"/>
      <c r="L82" s="140"/>
      <c r="M82" s="141" t="str">
        <f t="shared" si="1"/>
        <v/>
      </c>
      <c r="N82" s="142"/>
      <c r="O82" s="143"/>
    </row>
    <row r="83" spans="2:15" x14ac:dyDescent="0.35">
      <c r="B83" s="138" t="str">
        <f>IF(Lançamentos!$B78="","",Lançamentos!$B78)</f>
        <v/>
      </c>
      <c r="C83" s="139" t="str">
        <f>IF($B83="","",Lançamentos!$J78)</f>
        <v/>
      </c>
      <c r="D83" s="140" t="str">
        <f>IF($B83="","",Lançamentos!$H78)</f>
        <v/>
      </c>
      <c r="E83" s="140"/>
      <c r="F83" s="140"/>
      <c r="G83" s="140"/>
      <c r="H83" s="140"/>
      <c r="I83" s="140"/>
      <c r="J83" s="140"/>
      <c r="K83" s="140"/>
      <c r="L83" s="140"/>
      <c r="M83" s="141" t="str">
        <f t="shared" si="1"/>
        <v/>
      </c>
      <c r="N83" s="142"/>
      <c r="O83" s="143"/>
    </row>
    <row r="84" spans="2:15" x14ac:dyDescent="0.35">
      <c r="B84" s="138" t="str">
        <f>IF(Lançamentos!$B79="","",Lançamentos!$B79)</f>
        <v/>
      </c>
      <c r="C84" s="139" t="str">
        <f>IF($B84="","",Lançamentos!$J79)</f>
        <v/>
      </c>
      <c r="D84" s="140" t="str">
        <f>IF($B84="","",Lançamentos!$H79)</f>
        <v/>
      </c>
      <c r="E84" s="140"/>
      <c r="F84" s="140"/>
      <c r="G84" s="140"/>
      <c r="H84" s="140"/>
      <c r="I84" s="140"/>
      <c r="J84" s="140"/>
      <c r="K84" s="140"/>
      <c r="L84" s="140"/>
      <c r="M84" s="141" t="str">
        <f t="shared" si="1"/>
        <v/>
      </c>
      <c r="N84" s="142"/>
      <c r="O84" s="143"/>
    </row>
    <row r="85" spans="2:15" x14ac:dyDescent="0.35">
      <c r="B85" s="138" t="str">
        <f>IF(Lançamentos!$B80="","",Lançamentos!$B80)</f>
        <v/>
      </c>
      <c r="C85" s="139" t="str">
        <f>IF($B85="","",Lançamentos!$J80)</f>
        <v/>
      </c>
      <c r="D85" s="140" t="str">
        <f>IF($B85="","",Lançamentos!$H80)</f>
        <v/>
      </c>
      <c r="E85" s="140"/>
      <c r="F85" s="140"/>
      <c r="G85" s="140"/>
      <c r="H85" s="140"/>
      <c r="I85" s="140"/>
      <c r="J85" s="140"/>
      <c r="K85" s="140"/>
      <c r="L85" s="140"/>
      <c r="M85" s="141" t="str">
        <f t="shared" si="1"/>
        <v/>
      </c>
      <c r="N85" s="142"/>
      <c r="O85" s="143"/>
    </row>
    <row r="86" spans="2:15" x14ac:dyDescent="0.35">
      <c r="B86" s="138" t="str">
        <f>IF(Lançamentos!$B81="","",Lançamentos!$B81)</f>
        <v/>
      </c>
      <c r="C86" s="139" t="str">
        <f>IF($B86="","",Lançamentos!$J81)</f>
        <v/>
      </c>
      <c r="D86" s="140" t="str">
        <f>IF($B86="","",Lançamentos!$H81)</f>
        <v/>
      </c>
      <c r="E86" s="140"/>
      <c r="F86" s="140"/>
      <c r="G86" s="140"/>
      <c r="H86" s="140"/>
      <c r="I86" s="140"/>
      <c r="J86" s="140"/>
      <c r="K86" s="140"/>
      <c r="L86" s="140"/>
      <c r="M86" s="141" t="str">
        <f t="shared" si="1"/>
        <v/>
      </c>
      <c r="N86" s="142"/>
      <c r="O86" s="143"/>
    </row>
    <row r="87" spans="2:15" x14ac:dyDescent="0.35">
      <c r="B87" s="138" t="str">
        <f>IF(Lançamentos!$B82="","",Lançamentos!$B82)</f>
        <v/>
      </c>
      <c r="C87" s="139" t="str">
        <f>IF($B87="","",Lançamentos!$J82)</f>
        <v/>
      </c>
      <c r="D87" s="140" t="str">
        <f>IF($B87="","",Lançamentos!$H82)</f>
        <v/>
      </c>
      <c r="E87" s="140"/>
      <c r="F87" s="140"/>
      <c r="G87" s="140"/>
      <c r="H87" s="140"/>
      <c r="I87" s="140"/>
      <c r="J87" s="140"/>
      <c r="K87" s="140"/>
      <c r="L87" s="140"/>
      <c r="M87" s="141" t="str">
        <f t="shared" si="1"/>
        <v/>
      </c>
      <c r="N87" s="142"/>
      <c r="O87" s="143"/>
    </row>
    <row r="88" spans="2:15" x14ac:dyDescent="0.35">
      <c r="B88" s="138" t="str">
        <f>IF(Lançamentos!$B83="","",Lançamentos!$B83)</f>
        <v/>
      </c>
      <c r="C88" s="139" t="str">
        <f>IF($B88="","",Lançamentos!$J83)</f>
        <v/>
      </c>
      <c r="D88" s="140" t="str">
        <f>IF($B88="","",Lançamentos!$H83)</f>
        <v/>
      </c>
      <c r="E88" s="140"/>
      <c r="F88" s="140"/>
      <c r="G88" s="140"/>
      <c r="H88" s="140"/>
      <c r="I88" s="140"/>
      <c r="J88" s="140"/>
      <c r="K88" s="140"/>
      <c r="L88" s="140"/>
      <c r="M88" s="141" t="str">
        <f t="shared" si="1"/>
        <v/>
      </c>
      <c r="N88" s="142"/>
      <c r="O88" s="143"/>
    </row>
    <row r="89" spans="2:15" x14ac:dyDescent="0.35">
      <c r="B89" s="138" t="str">
        <f>IF(Lançamentos!$B84="","",Lançamentos!$B84)</f>
        <v/>
      </c>
      <c r="C89" s="139" t="str">
        <f>IF($B89="","",Lançamentos!$J84)</f>
        <v/>
      </c>
      <c r="D89" s="140" t="str">
        <f>IF($B89="","",Lançamentos!$H84)</f>
        <v/>
      </c>
      <c r="E89" s="140"/>
      <c r="F89" s="140"/>
      <c r="G89" s="140"/>
      <c r="H89" s="140"/>
      <c r="I89" s="140"/>
      <c r="J89" s="140"/>
      <c r="K89" s="140"/>
      <c r="L89" s="140"/>
      <c r="M89" s="141" t="str">
        <f t="shared" si="1"/>
        <v/>
      </c>
      <c r="N89" s="142"/>
      <c r="O89" s="143"/>
    </row>
    <row r="90" spans="2:15" x14ac:dyDescent="0.35">
      <c r="B90" s="138" t="str">
        <f>IF(Lançamentos!$B85="","",Lançamentos!$B85)</f>
        <v/>
      </c>
      <c r="C90" s="139" t="str">
        <f>IF($B90="","",Lançamentos!$J85)</f>
        <v/>
      </c>
      <c r="D90" s="140" t="str">
        <f>IF($B90="","",Lançamentos!$H85)</f>
        <v/>
      </c>
      <c r="E90" s="140"/>
      <c r="F90" s="140"/>
      <c r="G90" s="140"/>
      <c r="H90" s="140"/>
      <c r="I90" s="140"/>
      <c r="J90" s="140"/>
      <c r="K90" s="140"/>
      <c r="L90" s="140"/>
      <c r="M90" s="141" t="str">
        <f t="shared" si="1"/>
        <v/>
      </c>
      <c r="N90" s="142"/>
      <c r="O90" s="143"/>
    </row>
    <row r="91" spans="2:15" x14ac:dyDescent="0.35">
      <c r="B91" s="138" t="str">
        <f>IF(Lançamentos!$B86="","",Lançamentos!$B86)</f>
        <v/>
      </c>
      <c r="C91" s="139" t="str">
        <f>IF($B91="","",Lançamentos!$J86)</f>
        <v/>
      </c>
      <c r="D91" s="140" t="str">
        <f>IF($B91="","",Lançamentos!$H86)</f>
        <v/>
      </c>
      <c r="E91" s="140"/>
      <c r="F91" s="140"/>
      <c r="G91" s="140"/>
      <c r="H91" s="140"/>
      <c r="I91" s="140"/>
      <c r="J91" s="140"/>
      <c r="K91" s="140"/>
      <c r="L91" s="140"/>
      <c r="M91" s="141" t="str">
        <f t="shared" si="1"/>
        <v/>
      </c>
      <c r="N91" s="142"/>
      <c r="O91" s="143"/>
    </row>
    <row r="92" spans="2:15" x14ac:dyDescent="0.35">
      <c r="B92" s="138" t="str">
        <f>IF(Lançamentos!$B87="","",Lançamentos!$B87)</f>
        <v/>
      </c>
      <c r="C92" s="139" t="str">
        <f>IF($B92="","",Lançamentos!$J87)</f>
        <v/>
      </c>
      <c r="D92" s="140" t="str">
        <f>IF($B92="","",Lançamentos!$H87)</f>
        <v/>
      </c>
      <c r="E92" s="140"/>
      <c r="F92" s="140"/>
      <c r="G92" s="140"/>
      <c r="H92" s="140"/>
      <c r="I92" s="140"/>
      <c r="J92" s="140"/>
      <c r="K92" s="140"/>
      <c r="L92" s="140"/>
      <c r="M92" s="141" t="str">
        <f t="shared" si="1"/>
        <v/>
      </c>
      <c r="N92" s="142"/>
      <c r="O92" s="143"/>
    </row>
    <row r="93" spans="2:15" x14ac:dyDescent="0.35">
      <c r="B93" s="138" t="str">
        <f>IF(Lançamentos!$B88="","",Lançamentos!$B88)</f>
        <v/>
      </c>
      <c r="C93" s="139" t="str">
        <f>IF($B93="","",Lançamentos!$J88)</f>
        <v/>
      </c>
      <c r="D93" s="140" t="str">
        <f>IF($B93="","",Lançamentos!$H88)</f>
        <v/>
      </c>
      <c r="E93" s="140"/>
      <c r="F93" s="140"/>
      <c r="G93" s="140"/>
      <c r="H93" s="140"/>
      <c r="I93" s="140"/>
      <c r="J93" s="140"/>
      <c r="K93" s="140"/>
      <c r="L93" s="140"/>
      <c r="M93" s="141" t="str">
        <f t="shared" si="1"/>
        <v/>
      </c>
      <c r="N93" s="142"/>
      <c r="O93" s="143"/>
    </row>
    <row r="94" spans="2:15" x14ac:dyDescent="0.35">
      <c r="B94" s="138" t="str">
        <f>IF(Lançamentos!$B89="","",Lançamentos!$B89)</f>
        <v/>
      </c>
      <c r="C94" s="139" t="str">
        <f>IF($B94="","",Lançamentos!$J89)</f>
        <v/>
      </c>
      <c r="D94" s="140" t="str">
        <f>IF($B94="","",Lançamentos!$H89)</f>
        <v/>
      </c>
      <c r="E94" s="140"/>
      <c r="F94" s="140"/>
      <c r="G94" s="140"/>
      <c r="H94" s="140"/>
      <c r="I94" s="140"/>
      <c r="J94" s="140"/>
      <c r="K94" s="140"/>
      <c r="L94" s="140"/>
      <c r="M94" s="141" t="str">
        <f t="shared" si="1"/>
        <v/>
      </c>
      <c r="N94" s="142"/>
      <c r="O94" s="143"/>
    </row>
    <row r="95" spans="2:15" x14ac:dyDescent="0.35">
      <c r="B95" s="138" t="str">
        <f>IF(Lançamentos!$B90="","",Lançamentos!$B90)</f>
        <v/>
      </c>
      <c r="C95" s="139" t="str">
        <f>IF($B95="","",Lançamentos!$J90)</f>
        <v/>
      </c>
      <c r="D95" s="140" t="str">
        <f>IF($B95="","",Lançamentos!$H90)</f>
        <v/>
      </c>
      <c r="E95" s="140"/>
      <c r="F95" s="140"/>
      <c r="G95" s="140"/>
      <c r="H95" s="140"/>
      <c r="I95" s="140"/>
      <c r="J95" s="140"/>
      <c r="K95" s="140"/>
      <c r="L95" s="140"/>
      <c r="M95" s="141" t="str">
        <f t="shared" si="1"/>
        <v/>
      </c>
      <c r="N95" s="142"/>
      <c r="O95" s="143"/>
    </row>
    <row r="96" spans="2:15" x14ac:dyDescent="0.35">
      <c r="B96" s="138" t="str">
        <f>IF(Lançamentos!$B91="","",Lançamentos!$B91)</f>
        <v/>
      </c>
      <c r="C96" s="139" t="str">
        <f>IF($B96="","",Lançamentos!$J91)</f>
        <v/>
      </c>
      <c r="D96" s="140" t="str">
        <f>IF($B96="","",Lançamentos!$H91)</f>
        <v/>
      </c>
      <c r="E96" s="140"/>
      <c r="F96" s="140"/>
      <c r="G96" s="140"/>
      <c r="H96" s="140"/>
      <c r="I96" s="140"/>
      <c r="J96" s="140"/>
      <c r="K96" s="140"/>
      <c r="L96" s="140"/>
      <c r="M96" s="141" t="str">
        <f t="shared" si="1"/>
        <v/>
      </c>
      <c r="N96" s="142"/>
      <c r="O96" s="143"/>
    </row>
    <row r="97" spans="2:15" x14ac:dyDescent="0.35">
      <c r="B97" s="138" t="str">
        <f>IF(Lançamentos!$B92="","",Lançamentos!$B92)</f>
        <v/>
      </c>
      <c r="C97" s="139" t="str">
        <f>IF($B97="","",Lançamentos!$J92)</f>
        <v/>
      </c>
      <c r="D97" s="140" t="str">
        <f>IF($B97="","",Lançamentos!$H92)</f>
        <v/>
      </c>
      <c r="E97" s="140"/>
      <c r="F97" s="140"/>
      <c r="G97" s="140"/>
      <c r="H97" s="140"/>
      <c r="I97" s="140"/>
      <c r="J97" s="140"/>
      <c r="K97" s="140"/>
      <c r="L97" s="140"/>
      <c r="M97" s="141" t="str">
        <f t="shared" si="1"/>
        <v/>
      </c>
      <c r="N97" s="142"/>
      <c r="O97" s="143"/>
    </row>
    <row r="98" spans="2:15" x14ac:dyDescent="0.35">
      <c r="B98" s="138" t="str">
        <f>IF(Lançamentos!$B93="","",Lançamentos!$B93)</f>
        <v/>
      </c>
      <c r="C98" s="139" t="str">
        <f>IF($B98="","",Lançamentos!$J93)</f>
        <v/>
      </c>
      <c r="D98" s="140" t="str">
        <f>IF($B98="","",Lançamentos!$H93)</f>
        <v/>
      </c>
      <c r="E98" s="140"/>
      <c r="F98" s="140"/>
      <c r="G98" s="140"/>
      <c r="H98" s="140"/>
      <c r="I98" s="140"/>
      <c r="J98" s="140"/>
      <c r="K98" s="140"/>
      <c r="L98" s="140"/>
      <c r="M98" s="141" t="str">
        <f t="shared" si="1"/>
        <v/>
      </c>
      <c r="N98" s="142"/>
      <c r="O98" s="143"/>
    </row>
    <row r="99" spans="2:15" x14ac:dyDescent="0.35">
      <c r="B99" s="138" t="str">
        <f>IF(Lançamentos!$B94="","",Lançamentos!$B94)</f>
        <v/>
      </c>
      <c r="C99" s="139" t="str">
        <f>IF($B99="","",Lançamentos!$J94)</f>
        <v/>
      </c>
      <c r="D99" s="140" t="str">
        <f>IF($B99="","",Lançamentos!$H94)</f>
        <v/>
      </c>
      <c r="E99" s="140"/>
      <c r="F99" s="140"/>
      <c r="G99" s="140"/>
      <c r="H99" s="140"/>
      <c r="I99" s="140"/>
      <c r="J99" s="140"/>
      <c r="K99" s="140"/>
      <c r="L99" s="140"/>
      <c r="M99" s="141" t="str">
        <f t="shared" si="1"/>
        <v/>
      </c>
      <c r="N99" s="142"/>
      <c r="O99" s="143"/>
    </row>
    <row r="100" spans="2:15" x14ac:dyDescent="0.35">
      <c r="B100" s="138" t="str">
        <f>IF(Lançamentos!$B95="","",Lançamentos!$B95)</f>
        <v/>
      </c>
      <c r="C100" s="139" t="str">
        <f>IF($B100="","",Lançamentos!$J95)</f>
        <v/>
      </c>
      <c r="D100" s="140" t="str">
        <f>IF($B100="","",Lançamentos!$H95)</f>
        <v/>
      </c>
      <c r="E100" s="140"/>
      <c r="F100" s="140"/>
      <c r="G100" s="140"/>
      <c r="H100" s="140"/>
      <c r="I100" s="140"/>
      <c r="J100" s="140"/>
      <c r="K100" s="140"/>
      <c r="L100" s="140"/>
      <c r="M100" s="141" t="str">
        <f t="shared" si="1"/>
        <v/>
      </c>
      <c r="N100" s="142"/>
      <c r="O100" s="143"/>
    </row>
    <row r="101" spans="2:15" x14ac:dyDescent="0.35">
      <c r="B101" s="138" t="str">
        <f>IF(Lançamentos!$B96="","",Lançamentos!$B96)</f>
        <v/>
      </c>
      <c r="C101" s="139" t="str">
        <f>IF($B101="","",Lançamentos!$J96)</f>
        <v/>
      </c>
      <c r="D101" s="140" t="str">
        <f>IF($B101="","",Lançamentos!$H96)</f>
        <v/>
      </c>
      <c r="E101" s="140"/>
      <c r="F101" s="140"/>
      <c r="G101" s="140"/>
      <c r="H101" s="140"/>
      <c r="I101" s="140"/>
      <c r="J101" s="140"/>
      <c r="K101" s="140"/>
      <c r="L101" s="140"/>
      <c r="M101" s="141" t="str">
        <f t="shared" si="1"/>
        <v/>
      </c>
      <c r="N101" s="142"/>
      <c r="O101" s="143"/>
    </row>
    <row r="102" spans="2:15" x14ac:dyDescent="0.35">
      <c r="B102" s="138" t="str">
        <f>IF(Lançamentos!$B97="","",Lançamentos!$B97)</f>
        <v/>
      </c>
      <c r="C102" s="139" t="str">
        <f>IF($B102="","",Lançamentos!$J97)</f>
        <v/>
      </c>
      <c r="D102" s="140" t="str">
        <f>IF($B102="","",Lançamentos!$H97)</f>
        <v/>
      </c>
      <c r="E102" s="140"/>
      <c r="F102" s="140"/>
      <c r="G102" s="140"/>
      <c r="H102" s="140"/>
      <c r="I102" s="140"/>
      <c r="J102" s="140"/>
      <c r="K102" s="140"/>
      <c r="L102" s="140"/>
      <c r="M102" s="141" t="str">
        <f t="shared" si="1"/>
        <v/>
      </c>
      <c r="N102" s="142"/>
      <c r="O102" s="143"/>
    </row>
    <row r="103" spans="2:15" x14ac:dyDescent="0.35">
      <c r="B103" s="138" t="str">
        <f>IF(Lançamentos!$B98="","",Lançamentos!$B98)</f>
        <v/>
      </c>
      <c r="C103" s="139" t="str">
        <f>IF($B103="","",Lançamentos!$J98)</f>
        <v/>
      </c>
      <c r="D103" s="140" t="str">
        <f>IF($B103="","",Lançamentos!$H98)</f>
        <v/>
      </c>
      <c r="E103" s="140"/>
      <c r="F103" s="140"/>
      <c r="G103" s="140"/>
      <c r="H103" s="140"/>
      <c r="I103" s="140"/>
      <c r="J103" s="140"/>
      <c r="K103" s="140"/>
      <c r="L103" s="140"/>
      <c r="M103" s="141" t="str">
        <f t="shared" si="1"/>
        <v/>
      </c>
      <c r="N103" s="142"/>
      <c r="O103" s="143"/>
    </row>
    <row r="104" spans="2:15" x14ac:dyDescent="0.35">
      <c r="B104" s="138" t="str">
        <f>IF(Lançamentos!$B99="","",Lançamentos!$B99)</f>
        <v/>
      </c>
      <c r="C104" s="139" t="str">
        <f>IF($B104="","",Lançamentos!$J99)</f>
        <v/>
      </c>
      <c r="D104" s="140" t="str">
        <f>IF($B104="","",Lançamentos!$H99)</f>
        <v/>
      </c>
      <c r="E104" s="140"/>
      <c r="F104" s="140"/>
      <c r="G104" s="140"/>
      <c r="H104" s="140"/>
      <c r="I104" s="140"/>
      <c r="J104" s="140"/>
      <c r="K104" s="140"/>
      <c r="L104" s="140"/>
      <c r="M104" s="141" t="str">
        <f t="shared" si="1"/>
        <v/>
      </c>
      <c r="N104" s="142"/>
      <c r="O104" s="143"/>
    </row>
    <row r="105" spans="2:15" x14ac:dyDescent="0.35">
      <c r="B105" s="138" t="str">
        <f>IF(Lançamentos!$B100="","",Lançamentos!$B100)</f>
        <v/>
      </c>
      <c r="C105" s="139" t="str">
        <f>IF($B105="","",Lançamentos!$J100)</f>
        <v/>
      </c>
      <c r="D105" s="140" t="str">
        <f>IF($B105="","",Lançamentos!$H100)</f>
        <v/>
      </c>
      <c r="E105" s="140"/>
      <c r="F105" s="140"/>
      <c r="G105" s="140"/>
      <c r="H105" s="140"/>
      <c r="I105" s="140"/>
      <c r="J105" s="140"/>
      <c r="K105" s="140"/>
      <c r="L105" s="140"/>
      <c r="M105" s="141" t="str">
        <f t="shared" si="1"/>
        <v/>
      </c>
      <c r="N105" s="142"/>
      <c r="O105" s="143"/>
    </row>
    <row r="106" spans="2:15" x14ac:dyDescent="0.35">
      <c r="B106" s="138" t="str">
        <f>IF(Lançamentos!$B101="","",Lançamentos!$B101)</f>
        <v/>
      </c>
      <c r="C106" s="139" t="str">
        <f>IF($B106="","",Lançamentos!$J101)</f>
        <v/>
      </c>
      <c r="D106" s="140" t="str">
        <f>IF($B106="","",Lançamentos!$H101)</f>
        <v/>
      </c>
      <c r="E106" s="140"/>
      <c r="F106" s="140"/>
      <c r="G106" s="140"/>
      <c r="H106" s="140"/>
      <c r="I106" s="140"/>
      <c r="J106" s="140"/>
      <c r="K106" s="140"/>
      <c r="L106" s="140"/>
      <c r="M106" s="141" t="str">
        <f t="shared" si="1"/>
        <v/>
      </c>
      <c r="N106" s="142"/>
      <c r="O106" s="143"/>
    </row>
    <row r="107" spans="2:15" x14ac:dyDescent="0.35">
      <c r="B107" s="138" t="str">
        <f>IF(Lançamentos!$B102="","",Lançamentos!$B102)</f>
        <v/>
      </c>
      <c r="C107" s="139" t="str">
        <f>IF($B107="","",Lançamentos!$J102)</f>
        <v/>
      </c>
      <c r="D107" s="140" t="str">
        <f>IF($B107="","",Lançamentos!$H102)</f>
        <v/>
      </c>
      <c r="E107" s="140"/>
      <c r="F107" s="140"/>
      <c r="G107" s="140"/>
      <c r="H107" s="140"/>
      <c r="I107" s="140"/>
      <c r="J107" s="140"/>
      <c r="K107" s="140"/>
      <c r="L107" s="140"/>
      <c r="M107" s="141" t="str">
        <f t="shared" si="1"/>
        <v/>
      </c>
      <c r="N107" s="142"/>
      <c r="O107" s="143"/>
    </row>
    <row r="108" spans="2:15" x14ac:dyDescent="0.35">
      <c r="B108" s="138" t="str">
        <f>IF(Lançamentos!$B103="","",Lançamentos!$B103)</f>
        <v/>
      </c>
      <c r="C108" s="139" t="str">
        <f>IF($B108="","",Lançamentos!$J103)</f>
        <v/>
      </c>
      <c r="D108" s="140" t="str">
        <f>IF($B108="","",Lançamentos!$H103)</f>
        <v/>
      </c>
      <c r="E108" s="140"/>
      <c r="F108" s="140"/>
      <c r="G108" s="140"/>
      <c r="H108" s="140"/>
      <c r="I108" s="140"/>
      <c r="J108" s="140"/>
      <c r="K108" s="140"/>
      <c r="L108" s="140"/>
      <c r="M108" s="141" t="str">
        <f t="shared" si="1"/>
        <v/>
      </c>
      <c r="N108" s="142"/>
      <c r="O108" s="143"/>
    </row>
    <row r="109" spans="2:15" x14ac:dyDescent="0.35">
      <c r="B109" s="138" t="str">
        <f>IF(Lançamentos!$B104="","",Lançamentos!$B104)</f>
        <v/>
      </c>
      <c r="C109" s="139" t="str">
        <f>IF($B109="","",Lançamentos!$J104)</f>
        <v/>
      </c>
      <c r="D109" s="140" t="str">
        <f>IF($B109="","",Lançamentos!$H104)</f>
        <v/>
      </c>
      <c r="E109" s="140"/>
      <c r="F109" s="140"/>
      <c r="G109" s="140"/>
      <c r="H109" s="140"/>
      <c r="I109" s="140"/>
      <c r="J109" s="140"/>
      <c r="K109" s="140"/>
      <c r="L109" s="140"/>
      <c r="M109" s="141" t="str">
        <f t="shared" si="1"/>
        <v/>
      </c>
      <c r="N109" s="142"/>
      <c r="O109" s="143"/>
    </row>
    <row r="110" spans="2:15" x14ac:dyDescent="0.35">
      <c r="B110" s="138" t="str">
        <f>IF(Lançamentos!$B105="","",Lançamentos!$B105)</f>
        <v/>
      </c>
      <c r="C110" s="139" t="str">
        <f>IF($B110="","",Lançamentos!$J105)</f>
        <v/>
      </c>
      <c r="D110" s="140" t="str">
        <f>IF($B110="","",Lançamentos!$H105)</f>
        <v/>
      </c>
      <c r="E110" s="140"/>
      <c r="F110" s="140"/>
      <c r="G110" s="140"/>
      <c r="H110" s="140"/>
      <c r="I110" s="140"/>
      <c r="J110" s="140"/>
      <c r="K110" s="140"/>
      <c r="L110" s="140"/>
      <c r="M110" s="141" t="str">
        <f t="shared" si="1"/>
        <v/>
      </c>
      <c r="N110" s="142"/>
      <c r="O110" s="143"/>
    </row>
    <row r="111" spans="2:15" x14ac:dyDescent="0.35">
      <c r="B111" s="138" t="str">
        <f>IF(Lançamentos!$B106="","",Lançamentos!$B106)</f>
        <v/>
      </c>
      <c r="C111" s="139" t="str">
        <f>IF($B111="","",Lançamentos!$J106)</f>
        <v/>
      </c>
      <c r="D111" s="140" t="str">
        <f>IF($B111="","",Lançamentos!$H106)</f>
        <v/>
      </c>
      <c r="E111" s="140"/>
      <c r="F111" s="140"/>
      <c r="G111" s="140"/>
      <c r="H111" s="140"/>
      <c r="I111" s="140"/>
      <c r="J111" s="140"/>
      <c r="K111" s="140"/>
      <c r="L111" s="140"/>
      <c r="M111" s="141" t="str">
        <f t="shared" si="1"/>
        <v/>
      </c>
      <c r="N111" s="142"/>
      <c r="O111" s="143"/>
    </row>
    <row r="112" spans="2:15" x14ac:dyDescent="0.35">
      <c r="B112" s="138" t="str">
        <f>IF(Lançamentos!$B107="","",Lançamentos!$B107)</f>
        <v/>
      </c>
      <c r="C112" s="139" t="str">
        <f>IF($B112="","",Lançamentos!$J107)</f>
        <v/>
      </c>
      <c r="D112" s="140" t="str">
        <f>IF($B112="","",Lançamentos!$H107)</f>
        <v/>
      </c>
      <c r="E112" s="140"/>
      <c r="F112" s="140"/>
      <c r="G112" s="140"/>
      <c r="H112" s="140"/>
      <c r="I112" s="140"/>
      <c r="J112" s="140"/>
      <c r="K112" s="140"/>
      <c r="L112" s="140"/>
      <c r="M112" s="141" t="str">
        <f t="shared" si="1"/>
        <v/>
      </c>
      <c r="N112" s="142"/>
      <c r="O112" s="143"/>
    </row>
    <row r="113" spans="2:15" x14ac:dyDescent="0.35">
      <c r="B113" s="138" t="str">
        <f>IF(Lançamentos!$B108="","",Lançamentos!$B108)</f>
        <v/>
      </c>
      <c r="C113" s="139" t="str">
        <f>IF($B113="","",Lançamentos!$J108)</f>
        <v/>
      </c>
      <c r="D113" s="140" t="str">
        <f>IF($B113="","",Lançamentos!$H108)</f>
        <v/>
      </c>
      <c r="E113" s="140"/>
      <c r="F113" s="140"/>
      <c r="G113" s="140"/>
      <c r="H113" s="140"/>
      <c r="I113" s="140"/>
      <c r="J113" s="140"/>
      <c r="K113" s="140"/>
      <c r="L113" s="140"/>
      <c r="M113" s="141" t="str">
        <f t="shared" si="1"/>
        <v/>
      </c>
      <c r="N113" s="142"/>
      <c r="O113" s="143"/>
    </row>
    <row r="114" spans="2:15" x14ac:dyDescent="0.35">
      <c r="B114" s="138" t="str">
        <f>IF(Lançamentos!$B109="","",Lançamentos!$B109)</f>
        <v/>
      </c>
      <c r="C114" s="139" t="str">
        <f>IF($B114="","",Lançamentos!$J109)</f>
        <v/>
      </c>
      <c r="D114" s="140" t="str">
        <f>IF($B114="","",Lançamentos!$H109)</f>
        <v/>
      </c>
      <c r="E114" s="140"/>
      <c r="F114" s="140"/>
      <c r="G114" s="140"/>
      <c r="H114" s="140"/>
      <c r="I114" s="140"/>
      <c r="J114" s="140"/>
      <c r="K114" s="140"/>
      <c r="L114" s="140"/>
      <c r="M114" s="141" t="str">
        <f t="shared" si="1"/>
        <v/>
      </c>
      <c r="N114" s="142"/>
      <c r="O114" s="143"/>
    </row>
    <row r="115" spans="2:15" x14ac:dyDescent="0.35">
      <c r="B115" s="138" t="str">
        <f>IF(Lançamentos!$B110="","",Lançamentos!$B110)</f>
        <v/>
      </c>
      <c r="C115" s="139" t="str">
        <f>IF($B115="","",Lançamentos!$J110)</f>
        <v/>
      </c>
      <c r="D115" s="140" t="str">
        <f>IF($B115="","",Lançamentos!$H110)</f>
        <v/>
      </c>
      <c r="E115" s="140"/>
      <c r="F115" s="140"/>
      <c r="G115" s="140"/>
      <c r="H115" s="140"/>
      <c r="I115" s="140"/>
      <c r="J115" s="140"/>
      <c r="K115" s="140"/>
      <c r="L115" s="140"/>
      <c r="M115" s="141" t="str">
        <f t="shared" si="1"/>
        <v/>
      </c>
      <c r="N115" s="142"/>
      <c r="O115" s="143"/>
    </row>
    <row r="116" spans="2:15" x14ac:dyDescent="0.35">
      <c r="B116" s="138" t="str">
        <f>IF(Lançamentos!$B111="","",Lançamentos!$B111)</f>
        <v/>
      </c>
      <c r="C116" s="139" t="str">
        <f>IF($B116="","",Lançamentos!$J111)</f>
        <v/>
      </c>
      <c r="D116" s="140" t="str">
        <f>IF($B116="","",Lançamentos!$H111)</f>
        <v/>
      </c>
      <c r="E116" s="140"/>
      <c r="F116" s="140"/>
      <c r="G116" s="140"/>
      <c r="H116" s="140"/>
      <c r="I116" s="140"/>
      <c r="J116" s="140"/>
      <c r="K116" s="140"/>
      <c r="L116" s="140"/>
      <c r="M116" s="141" t="str">
        <f t="shared" si="1"/>
        <v/>
      </c>
      <c r="N116" s="142"/>
      <c r="O116" s="143"/>
    </row>
    <row r="117" spans="2:15" x14ac:dyDescent="0.35">
      <c r="B117" s="138" t="str">
        <f>IF(Lançamentos!$B112="","",Lançamentos!$B112)</f>
        <v/>
      </c>
      <c r="C117" s="139" t="str">
        <f>IF($B117="","",Lançamentos!$J112)</f>
        <v/>
      </c>
      <c r="D117" s="140" t="str">
        <f>IF($B117="","",Lançamentos!$H112)</f>
        <v/>
      </c>
      <c r="E117" s="140"/>
      <c r="F117" s="140"/>
      <c r="G117" s="140"/>
      <c r="H117" s="140"/>
      <c r="I117" s="140"/>
      <c r="J117" s="140"/>
      <c r="K117" s="140"/>
      <c r="L117" s="140"/>
      <c r="M117" s="141" t="str">
        <f t="shared" si="1"/>
        <v/>
      </c>
      <c r="N117" s="142"/>
      <c r="O117" s="143"/>
    </row>
    <row r="118" spans="2:15" x14ac:dyDescent="0.35">
      <c r="B118" s="138" t="str">
        <f>IF(Lançamentos!$B113="","",Lançamentos!$B113)</f>
        <v/>
      </c>
      <c r="C118" s="139" t="str">
        <f>IF($B118="","",Lançamentos!$J113)</f>
        <v/>
      </c>
      <c r="D118" s="140" t="str">
        <f>IF($B118="","",Lançamentos!$H113)</f>
        <v/>
      </c>
      <c r="E118" s="140"/>
      <c r="F118" s="140"/>
      <c r="G118" s="140"/>
      <c r="H118" s="140"/>
      <c r="I118" s="140"/>
      <c r="J118" s="140"/>
      <c r="K118" s="140"/>
      <c r="L118" s="140"/>
      <c r="M118" s="141" t="str">
        <f t="shared" si="1"/>
        <v/>
      </c>
      <c r="N118" s="142"/>
      <c r="O118" s="143"/>
    </row>
    <row r="119" spans="2:15" x14ac:dyDescent="0.35">
      <c r="B119" s="138" t="str">
        <f>IF(Lançamentos!$B114="","",Lançamentos!$B114)</f>
        <v/>
      </c>
      <c r="C119" s="139" t="str">
        <f>IF($B119="","",Lançamentos!$J114)</f>
        <v/>
      </c>
      <c r="D119" s="140" t="str">
        <f>IF($B119="","",Lançamentos!$H114)</f>
        <v/>
      </c>
      <c r="E119" s="140"/>
      <c r="F119" s="140"/>
      <c r="G119" s="140"/>
      <c r="H119" s="140"/>
      <c r="I119" s="140"/>
      <c r="J119" s="140"/>
      <c r="K119" s="140"/>
      <c r="L119" s="140"/>
      <c r="M119" s="141" t="str">
        <f t="shared" si="1"/>
        <v/>
      </c>
      <c r="N119" s="142"/>
      <c r="O119" s="143"/>
    </row>
    <row r="120" spans="2:15" x14ac:dyDescent="0.35">
      <c r="B120" s="138" t="str">
        <f>IF(Lançamentos!$B115="","",Lançamentos!$B115)</f>
        <v/>
      </c>
      <c r="C120" s="139" t="str">
        <f>IF($B120="","",Lançamentos!$J115)</f>
        <v/>
      </c>
      <c r="D120" s="140" t="str">
        <f>IF($B120="","",Lançamentos!$H115)</f>
        <v/>
      </c>
      <c r="E120" s="140"/>
      <c r="F120" s="140"/>
      <c r="G120" s="140"/>
      <c r="H120" s="140"/>
      <c r="I120" s="140"/>
      <c r="J120" s="140"/>
      <c r="K120" s="140"/>
      <c r="L120" s="140"/>
      <c r="M120" s="141" t="str">
        <f t="shared" si="1"/>
        <v/>
      </c>
      <c r="N120" s="142"/>
      <c r="O120" s="143"/>
    </row>
    <row r="121" spans="2:15" x14ac:dyDescent="0.35">
      <c r="B121" s="138" t="str">
        <f>IF(Lançamentos!$B116="","",Lançamentos!$B116)</f>
        <v/>
      </c>
      <c r="C121" s="139" t="str">
        <f>IF($B121="","",Lançamentos!$J116)</f>
        <v/>
      </c>
      <c r="D121" s="140" t="str">
        <f>IF($B121="","",Lançamentos!$H116)</f>
        <v/>
      </c>
      <c r="E121" s="140"/>
      <c r="F121" s="140"/>
      <c r="G121" s="140"/>
      <c r="H121" s="140"/>
      <c r="I121" s="140"/>
      <c r="J121" s="140"/>
      <c r="K121" s="140"/>
      <c r="L121" s="140"/>
      <c r="M121" s="141" t="str">
        <f t="shared" si="1"/>
        <v/>
      </c>
      <c r="N121" s="142"/>
      <c r="O121" s="143"/>
    </row>
    <row r="122" spans="2:15" x14ac:dyDescent="0.35">
      <c r="B122" s="138" t="str">
        <f>IF(Lançamentos!$B117="","",Lançamentos!$B117)</f>
        <v/>
      </c>
      <c r="C122" s="139" t="str">
        <f>IF($B122="","",Lançamentos!$J117)</f>
        <v/>
      </c>
      <c r="D122" s="140" t="str">
        <f>IF($B122="","",Lançamentos!$H117)</f>
        <v/>
      </c>
      <c r="E122" s="140"/>
      <c r="F122" s="140"/>
      <c r="G122" s="140"/>
      <c r="H122" s="140"/>
      <c r="I122" s="140"/>
      <c r="J122" s="140"/>
      <c r="K122" s="140"/>
      <c r="L122" s="140"/>
      <c r="M122" s="141" t="str">
        <f t="shared" si="1"/>
        <v/>
      </c>
      <c r="N122" s="142"/>
      <c r="O122" s="143"/>
    </row>
    <row r="123" spans="2:15" x14ac:dyDescent="0.35">
      <c r="B123" s="138" t="str">
        <f>IF(Lançamentos!$B118="","",Lançamentos!$B118)</f>
        <v/>
      </c>
      <c r="C123" s="139" t="str">
        <f>IF($B123="","",Lançamentos!$J118)</f>
        <v/>
      </c>
      <c r="D123" s="140" t="str">
        <f>IF($B123="","",Lançamentos!$H118)</f>
        <v/>
      </c>
      <c r="E123" s="140"/>
      <c r="F123" s="140"/>
      <c r="G123" s="140"/>
      <c r="H123" s="140"/>
      <c r="I123" s="140"/>
      <c r="J123" s="140"/>
      <c r="K123" s="140"/>
      <c r="L123" s="140"/>
      <c r="M123" s="141" t="str">
        <f t="shared" si="1"/>
        <v/>
      </c>
      <c r="N123" s="142"/>
      <c r="O123" s="143"/>
    </row>
    <row r="124" spans="2:15" x14ac:dyDescent="0.35">
      <c r="B124" s="138" t="str">
        <f>IF(Lançamentos!$B119="","",Lançamentos!$B119)</f>
        <v/>
      </c>
      <c r="C124" s="139" t="str">
        <f>IF($B124="","",Lançamentos!$J119)</f>
        <v/>
      </c>
      <c r="D124" s="140" t="str">
        <f>IF($B124="","",Lançamentos!$H119)</f>
        <v/>
      </c>
      <c r="E124" s="140"/>
      <c r="F124" s="140"/>
      <c r="G124" s="140"/>
      <c r="H124" s="140"/>
      <c r="I124" s="140"/>
      <c r="J124" s="140"/>
      <c r="K124" s="140"/>
      <c r="L124" s="140"/>
      <c r="M124" s="141" t="str">
        <f t="shared" si="1"/>
        <v/>
      </c>
      <c r="N124" s="142"/>
      <c r="O124" s="143"/>
    </row>
    <row r="125" spans="2:15" x14ac:dyDescent="0.35">
      <c r="B125" s="138" t="str">
        <f>IF(Lançamentos!$B120="","",Lançamentos!$B120)</f>
        <v/>
      </c>
      <c r="C125" s="139" t="str">
        <f>IF($B125="","",Lançamentos!$J120)</f>
        <v/>
      </c>
      <c r="D125" s="140" t="str">
        <f>IF($B125="","",Lançamentos!$H120)</f>
        <v/>
      </c>
      <c r="E125" s="140"/>
      <c r="F125" s="140"/>
      <c r="G125" s="140"/>
      <c r="H125" s="140"/>
      <c r="I125" s="140"/>
      <c r="J125" s="140"/>
      <c r="K125" s="140"/>
      <c r="L125" s="140"/>
      <c r="M125" s="141" t="str">
        <f t="shared" si="1"/>
        <v/>
      </c>
      <c r="N125" s="142"/>
      <c r="O125" s="143"/>
    </row>
    <row r="126" spans="2:15" x14ac:dyDescent="0.35">
      <c r="B126" s="138" t="str">
        <f>IF(Lançamentos!$B121="","",Lançamentos!$B121)</f>
        <v/>
      </c>
      <c r="C126" s="139" t="str">
        <f>IF($B126="","",Lançamentos!$J121)</f>
        <v/>
      </c>
      <c r="D126" s="140" t="str">
        <f>IF($B126="","",Lançamentos!$H121)</f>
        <v/>
      </c>
      <c r="E126" s="140"/>
      <c r="F126" s="140"/>
      <c r="G126" s="140"/>
      <c r="H126" s="140"/>
      <c r="I126" s="140"/>
      <c r="J126" s="140"/>
      <c r="K126" s="140"/>
      <c r="L126" s="140"/>
      <c r="M126" s="141" t="str">
        <f t="shared" si="1"/>
        <v/>
      </c>
      <c r="N126" s="142"/>
      <c r="O126" s="143"/>
    </row>
    <row r="127" spans="2:15" x14ac:dyDescent="0.35">
      <c r="B127" s="138" t="str">
        <f>IF(Lançamentos!$B122="","",Lançamentos!$B122)</f>
        <v/>
      </c>
      <c r="C127" s="139" t="str">
        <f>IF($B127="","",Lançamentos!$J122)</f>
        <v/>
      </c>
      <c r="D127" s="140" t="str">
        <f>IF($B127="","",Lançamentos!$H122)</f>
        <v/>
      </c>
      <c r="E127" s="140"/>
      <c r="F127" s="140"/>
      <c r="G127" s="140"/>
      <c r="H127" s="140"/>
      <c r="I127" s="140"/>
      <c r="J127" s="140"/>
      <c r="K127" s="140"/>
      <c r="L127" s="140"/>
      <c r="M127" s="141" t="str">
        <f t="shared" si="1"/>
        <v/>
      </c>
      <c r="N127" s="142"/>
      <c r="O127" s="143"/>
    </row>
    <row r="128" spans="2:15" x14ac:dyDescent="0.35">
      <c r="B128" s="138" t="str">
        <f>IF(Lançamentos!$B123="","",Lançamentos!$B123)</f>
        <v/>
      </c>
      <c r="C128" s="139" t="str">
        <f>IF($B128="","",Lançamentos!$J123)</f>
        <v/>
      </c>
      <c r="D128" s="140" t="str">
        <f>IF($B128="","",Lançamentos!$H123)</f>
        <v/>
      </c>
      <c r="E128" s="140"/>
      <c r="F128" s="140"/>
      <c r="G128" s="140"/>
      <c r="H128" s="140"/>
      <c r="I128" s="140"/>
      <c r="J128" s="140"/>
      <c r="K128" s="140"/>
      <c r="L128" s="140"/>
      <c r="M128" s="141" t="str">
        <f t="shared" si="1"/>
        <v/>
      </c>
      <c r="N128" s="142"/>
      <c r="O128" s="143"/>
    </row>
    <row r="129" spans="2:15" x14ac:dyDescent="0.35">
      <c r="B129" s="138" t="str">
        <f>IF(Lançamentos!$B124="","",Lançamentos!$B124)</f>
        <v/>
      </c>
      <c r="C129" s="139" t="str">
        <f>IF($B129="","",Lançamentos!$J124)</f>
        <v/>
      </c>
      <c r="D129" s="140" t="str">
        <f>IF($B129="","",Lançamentos!$H124)</f>
        <v/>
      </c>
      <c r="E129" s="140"/>
      <c r="F129" s="140"/>
      <c r="G129" s="140"/>
      <c r="H129" s="140"/>
      <c r="I129" s="140"/>
      <c r="J129" s="140"/>
      <c r="K129" s="140"/>
      <c r="L129" s="140"/>
      <c r="M129" s="141" t="str">
        <f t="shared" si="1"/>
        <v/>
      </c>
      <c r="N129" s="142"/>
      <c r="O129" s="143"/>
    </row>
    <row r="130" spans="2:15" x14ac:dyDescent="0.35">
      <c r="B130" s="138" t="str">
        <f>IF(Lançamentos!$B125="","",Lançamentos!$B125)</f>
        <v/>
      </c>
      <c r="C130" s="139" t="str">
        <f>IF($B130="","",Lançamentos!$J125)</f>
        <v/>
      </c>
      <c r="D130" s="140" t="str">
        <f>IF($B130="","",Lançamentos!$H125)</f>
        <v/>
      </c>
      <c r="E130" s="140"/>
      <c r="F130" s="140"/>
      <c r="G130" s="140"/>
      <c r="H130" s="140"/>
      <c r="I130" s="140"/>
      <c r="J130" s="140"/>
      <c r="K130" s="140"/>
      <c r="L130" s="140"/>
      <c r="M130" s="141" t="str">
        <f t="shared" si="1"/>
        <v/>
      </c>
      <c r="N130" s="142"/>
      <c r="O130" s="143"/>
    </row>
    <row r="131" spans="2:15" x14ac:dyDescent="0.35">
      <c r="B131" s="138" t="str">
        <f>IF(Lançamentos!$B126="","",Lançamentos!$B126)</f>
        <v/>
      </c>
      <c r="C131" s="139" t="str">
        <f>IF($B131="","",Lançamentos!$J126)</f>
        <v/>
      </c>
      <c r="D131" s="140" t="str">
        <f>IF($B131="","",Lançamentos!$H126)</f>
        <v/>
      </c>
      <c r="E131" s="140"/>
      <c r="F131" s="140"/>
      <c r="G131" s="140"/>
      <c r="H131" s="140"/>
      <c r="I131" s="140"/>
      <c r="J131" s="140"/>
      <c r="K131" s="140"/>
      <c r="L131" s="140"/>
      <c r="M131" s="141" t="str">
        <f t="shared" si="1"/>
        <v/>
      </c>
      <c r="N131" s="142"/>
      <c r="O131" s="143"/>
    </row>
    <row r="132" spans="2:15" x14ac:dyDescent="0.35">
      <c r="B132" s="138" t="str">
        <f>IF(Lançamentos!$B127="","",Lançamentos!$B127)</f>
        <v/>
      </c>
      <c r="C132" s="139" t="str">
        <f>IF($B132="","",Lançamentos!$J127)</f>
        <v/>
      </c>
      <c r="D132" s="140" t="str">
        <f>IF($B132="","",Lançamentos!$H127)</f>
        <v/>
      </c>
      <c r="E132" s="140"/>
      <c r="F132" s="140"/>
      <c r="G132" s="140"/>
      <c r="H132" s="140"/>
      <c r="I132" s="140"/>
      <c r="J132" s="140"/>
      <c r="K132" s="140"/>
      <c r="L132" s="140"/>
      <c r="M132" s="141" t="str">
        <f t="shared" si="1"/>
        <v/>
      </c>
      <c r="N132" s="142"/>
      <c r="O132" s="143"/>
    </row>
    <row r="133" spans="2:15" x14ac:dyDescent="0.35">
      <c r="B133" s="138" t="str">
        <f>IF(Lançamentos!$B128="","",Lançamentos!$B128)</f>
        <v/>
      </c>
      <c r="C133" s="139" t="str">
        <f>IF($B133="","",Lançamentos!$J128)</f>
        <v/>
      </c>
      <c r="D133" s="140" t="str">
        <f>IF($B133="","",Lançamentos!$H128)</f>
        <v/>
      </c>
      <c r="E133" s="140"/>
      <c r="F133" s="140"/>
      <c r="G133" s="140"/>
      <c r="H133" s="140"/>
      <c r="I133" s="140"/>
      <c r="J133" s="140"/>
      <c r="K133" s="140"/>
      <c r="L133" s="140"/>
      <c r="M133" s="141" t="str">
        <f t="shared" si="1"/>
        <v/>
      </c>
      <c r="N133" s="142"/>
      <c r="O133" s="143"/>
    </row>
    <row r="134" spans="2:15" x14ac:dyDescent="0.35">
      <c r="B134" s="138" t="str">
        <f>IF(Lançamentos!$B129="","",Lançamentos!$B129)</f>
        <v/>
      </c>
      <c r="C134" s="139" t="str">
        <f>IF($B134="","",Lançamentos!$J129)</f>
        <v/>
      </c>
      <c r="D134" s="140" t="str">
        <f>IF($B134="","",Lançamentos!$H129)</f>
        <v/>
      </c>
      <c r="E134" s="140"/>
      <c r="F134" s="140"/>
      <c r="G134" s="140"/>
      <c r="H134" s="140"/>
      <c r="I134" s="140"/>
      <c r="J134" s="140"/>
      <c r="K134" s="140"/>
      <c r="L134" s="140"/>
      <c r="M134" s="141" t="str">
        <f t="shared" si="1"/>
        <v/>
      </c>
      <c r="N134" s="142"/>
      <c r="O134" s="143"/>
    </row>
    <row r="135" spans="2:15" x14ac:dyDescent="0.35">
      <c r="B135" s="138" t="str">
        <f>IF(Lançamentos!$B130="","",Lançamentos!$B130)</f>
        <v/>
      </c>
      <c r="C135" s="139" t="str">
        <f>IF($B135="","",Lançamentos!$J130)</f>
        <v/>
      </c>
      <c r="D135" s="140" t="str">
        <f>IF($B135="","",Lançamentos!$H130)</f>
        <v/>
      </c>
      <c r="E135" s="140"/>
      <c r="F135" s="140"/>
      <c r="G135" s="140"/>
      <c r="H135" s="140"/>
      <c r="I135" s="140"/>
      <c r="J135" s="140"/>
      <c r="K135" s="140"/>
      <c r="L135" s="140"/>
      <c r="M135" s="141" t="str">
        <f t="shared" si="1"/>
        <v/>
      </c>
      <c r="N135" s="142"/>
      <c r="O135" s="143"/>
    </row>
    <row r="136" spans="2:15" x14ac:dyDescent="0.35">
      <c r="B136" s="138" t="str">
        <f>IF(Lançamentos!$B131="","",Lançamentos!$B131)</f>
        <v/>
      </c>
      <c r="C136" s="139" t="str">
        <f>IF($B136="","",Lançamentos!$J131)</f>
        <v/>
      </c>
      <c r="D136" s="140" t="str">
        <f>IF($B136="","",Lançamentos!$H131)</f>
        <v/>
      </c>
      <c r="E136" s="140"/>
      <c r="F136" s="140"/>
      <c r="G136" s="140"/>
      <c r="H136" s="140"/>
      <c r="I136" s="140"/>
      <c r="J136" s="140"/>
      <c r="K136" s="140"/>
      <c r="L136" s="140"/>
      <c r="M136" s="141" t="str">
        <f t="shared" si="1"/>
        <v/>
      </c>
      <c r="N136" s="142"/>
      <c r="O136" s="143"/>
    </row>
    <row r="137" spans="2:15" x14ac:dyDescent="0.35">
      <c r="B137" s="138" t="str">
        <f>IF(Lançamentos!$B132="","",Lançamentos!$B132)</f>
        <v/>
      </c>
      <c r="C137" s="139" t="str">
        <f>IF($B137="","",Lançamentos!$J132)</f>
        <v/>
      </c>
      <c r="D137" s="140" t="str">
        <f>IF($B137="","",Lançamentos!$H132)</f>
        <v/>
      </c>
      <c r="E137" s="140"/>
      <c r="F137" s="140"/>
      <c r="G137" s="140"/>
      <c r="H137" s="140"/>
      <c r="I137" s="140"/>
      <c r="J137" s="140"/>
      <c r="K137" s="140"/>
      <c r="L137" s="140"/>
      <c r="M137" s="141" t="str">
        <f t="shared" ref="M137:M200" si="2">IF(B137="","",IF(COUNTIF(E137:L137,"N/A")=8,0,COUNTIF(E137:L137,"✔ Concluído")/(8-COUNTIF(E137:L137,"N/A"))))</f>
        <v/>
      </c>
      <c r="N137" s="142"/>
      <c r="O137" s="143"/>
    </row>
    <row r="138" spans="2:15" x14ac:dyDescent="0.35">
      <c r="B138" s="138" t="str">
        <f>IF(Lançamentos!$B133="","",Lançamentos!$B133)</f>
        <v/>
      </c>
      <c r="C138" s="139" t="str">
        <f>IF($B138="","",Lançamentos!$J133)</f>
        <v/>
      </c>
      <c r="D138" s="140" t="str">
        <f>IF($B138="","",Lançamentos!$H133)</f>
        <v/>
      </c>
      <c r="E138" s="140"/>
      <c r="F138" s="140"/>
      <c r="G138" s="140"/>
      <c r="H138" s="140"/>
      <c r="I138" s="140"/>
      <c r="J138" s="140"/>
      <c r="K138" s="140"/>
      <c r="L138" s="140"/>
      <c r="M138" s="141" t="str">
        <f t="shared" si="2"/>
        <v/>
      </c>
      <c r="N138" s="142"/>
      <c r="O138" s="143"/>
    </row>
    <row r="139" spans="2:15" x14ac:dyDescent="0.35">
      <c r="B139" s="138" t="str">
        <f>IF(Lançamentos!$B134="","",Lançamentos!$B134)</f>
        <v/>
      </c>
      <c r="C139" s="139" t="str">
        <f>IF($B139="","",Lançamentos!$J134)</f>
        <v/>
      </c>
      <c r="D139" s="140" t="str">
        <f>IF($B139="","",Lançamentos!$H134)</f>
        <v/>
      </c>
      <c r="E139" s="140"/>
      <c r="F139" s="140"/>
      <c r="G139" s="140"/>
      <c r="H139" s="140"/>
      <c r="I139" s="140"/>
      <c r="J139" s="140"/>
      <c r="K139" s="140"/>
      <c r="L139" s="140"/>
      <c r="M139" s="141" t="str">
        <f t="shared" si="2"/>
        <v/>
      </c>
      <c r="N139" s="142"/>
      <c r="O139" s="143"/>
    </row>
    <row r="140" spans="2:15" x14ac:dyDescent="0.35">
      <c r="B140" s="138" t="str">
        <f>IF(Lançamentos!$B135="","",Lançamentos!$B135)</f>
        <v/>
      </c>
      <c r="C140" s="139" t="str">
        <f>IF($B140="","",Lançamentos!$J135)</f>
        <v/>
      </c>
      <c r="D140" s="140" t="str">
        <f>IF($B140="","",Lançamentos!$H135)</f>
        <v/>
      </c>
      <c r="E140" s="140"/>
      <c r="F140" s="140"/>
      <c r="G140" s="140"/>
      <c r="H140" s="140"/>
      <c r="I140" s="140"/>
      <c r="J140" s="140"/>
      <c r="K140" s="140"/>
      <c r="L140" s="140"/>
      <c r="M140" s="141" t="str">
        <f t="shared" si="2"/>
        <v/>
      </c>
      <c r="N140" s="142"/>
      <c r="O140" s="143"/>
    </row>
    <row r="141" spans="2:15" x14ac:dyDescent="0.35">
      <c r="B141" s="138" t="str">
        <f>IF(Lançamentos!$B136="","",Lançamentos!$B136)</f>
        <v/>
      </c>
      <c r="C141" s="139" t="str">
        <f>IF($B141="","",Lançamentos!$J136)</f>
        <v/>
      </c>
      <c r="D141" s="140" t="str">
        <f>IF($B141="","",Lançamentos!$H136)</f>
        <v/>
      </c>
      <c r="E141" s="140"/>
      <c r="F141" s="140"/>
      <c r="G141" s="140"/>
      <c r="H141" s="140"/>
      <c r="I141" s="140"/>
      <c r="J141" s="140"/>
      <c r="K141" s="140"/>
      <c r="L141" s="140"/>
      <c r="M141" s="141" t="str">
        <f t="shared" si="2"/>
        <v/>
      </c>
      <c r="N141" s="142"/>
      <c r="O141" s="143"/>
    </row>
    <row r="142" spans="2:15" x14ac:dyDescent="0.35">
      <c r="B142" s="138" t="str">
        <f>IF(Lançamentos!$B137="","",Lançamentos!$B137)</f>
        <v/>
      </c>
      <c r="C142" s="139" t="str">
        <f>IF($B142="","",Lançamentos!$J137)</f>
        <v/>
      </c>
      <c r="D142" s="140" t="str">
        <f>IF($B142="","",Lançamentos!$H137)</f>
        <v/>
      </c>
      <c r="E142" s="140"/>
      <c r="F142" s="140"/>
      <c r="G142" s="140"/>
      <c r="H142" s="140"/>
      <c r="I142" s="140"/>
      <c r="J142" s="140"/>
      <c r="K142" s="140"/>
      <c r="L142" s="140"/>
      <c r="M142" s="141" t="str">
        <f t="shared" si="2"/>
        <v/>
      </c>
      <c r="N142" s="142"/>
      <c r="O142" s="143"/>
    </row>
    <row r="143" spans="2:15" x14ac:dyDescent="0.35">
      <c r="B143" s="138" t="str">
        <f>IF(Lançamentos!$B138="","",Lançamentos!$B138)</f>
        <v/>
      </c>
      <c r="C143" s="139" t="str">
        <f>IF($B143="","",Lançamentos!$J138)</f>
        <v/>
      </c>
      <c r="D143" s="140" t="str">
        <f>IF($B143="","",Lançamentos!$H138)</f>
        <v/>
      </c>
      <c r="E143" s="140"/>
      <c r="F143" s="140"/>
      <c r="G143" s="140"/>
      <c r="H143" s="140"/>
      <c r="I143" s="140"/>
      <c r="J143" s="140"/>
      <c r="K143" s="140"/>
      <c r="L143" s="140"/>
      <c r="M143" s="141" t="str">
        <f t="shared" si="2"/>
        <v/>
      </c>
      <c r="N143" s="142"/>
      <c r="O143" s="143"/>
    </row>
    <row r="144" spans="2:15" x14ac:dyDescent="0.35">
      <c r="B144" s="138" t="str">
        <f>IF(Lançamentos!$B139="","",Lançamentos!$B139)</f>
        <v/>
      </c>
      <c r="C144" s="139" t="str">
        <f>IF($B144="","",Lançamentos!$J139)</f>
        <v/>
      </c>
      <c r="D144" s="140" t="str">
        <f>IF($B144="","",Lançamentos!$H139)</f>
        <v/>
      </c>
      <c r="E144" s="140"/>
      <c r="F144" s="140"/>
      <c r="G144" s="140"/>
      <c r="H144" s="140"/>
      <c r="I144" s="140"/>
      <c r="J144" s="140"/>
      <c r="K144" s="140"/>
      <c r="L144" s="140"/>
      <c r="M144" s="141" t="str">
        <f t="shared" si="2"/>
        <v/>
      </c>
      <c r="N144" s="142"/>
      <c r="O144" s="143"/>
    </row>
    <row r="145" spans="2:15" x14ac:dyDescent="0.35">
      <c r="B145" s="138" t="str">
        <f>IF(Lançamentos!$B140="","",Lançamentos!$B140)</f>
        <v/>
      </c>
      <c r="C145" s="139" t="str">
        <f>IF($B145="","",Lançamentos!$J140)</f>
        <v/>
      </c>
      <c r="D145" s="140" t="str">
        <f>IF($B145="","",Lançamentos!$H140)</f>
        <v/>
      </c>
      <c r="E145" s="140"/>
      <c r="F145" s="140"/>
      <c r="G145" s="140"/>
      <c r="H145" s="140"/>
      <c r="I145" s="140"/>
      <c r="J145" s="140"/>
      <c r="K145" s="140"/>
      <c r="L145" s="140"/>
      <c r="M145" s="141" t="str">
        <f t="shared" si="2"/>
        <v/>
      </c>
      <c r="N145" s="142"/>
      <c r="O145" s="143"/>
    </row>
    <row r="146" spans="2:15" x14ac:dyDescent="0.35">
      <c r="B146" s="138" t="str">
        <f>IF(Lançamentos!$B141="","",Lançamentos!$B141)</f>
        <v/>
      </c>
      <c r="C146" s="139" t="str">
        <f>IF($B146="","",Lançamentos!$J141)</f>
        <v/>
      </c>
      <c r="D146" s="140" t="str">
        <f>IF($B146="","",Lançamentos!$H141)</f>
        <v/>
      </c>
      <c r="E146" s="140"/>
      <c r="F146" s="140"/>
      <c r="G146" s="140"/>
      <c r="H146" s="140"/>
      <c r="I146" s="140"/>
      <c r="J146" s="140"/>
      <c r="K146" s="140"/>
      <c r="L146" s="140"/>
      <c r="M146" s="141" t="str">
        <f t="shared" si="2"/>
        <v/>
      </c>
      <c r="N146" s="142"/>
      <c r="O146" s="143"/>
    </row>
    <row r="147" spans="2:15" x14ac:dyDescent="0.35">
      <c r="B147" s="138" t="str">
        <f>IF(Lançamentos!$B142="","",Lançamentos!$B142)</f>
        <v/>
      </c>
      <c r="C147" s="139" t="str">
        <f>IF($B147="","",Lançamentos!$J142)</f>
        <v/>
      </c>
      <c r="D147" s="140" t="str">
        <f>IF($B147="","",Lançamentos!$H142)</f>
        <v/>
      </c>
      <c r="E147" s="140"/>
      <c r="F147" s="140"/>
      <c r="G147" s="140"/>
      <c r="H147" s="140"/>
      <c r="I147" s="140"/>
      <c r="J147" s="140"/>
      <c r="K147" s="140"/>
      <c r="L147" s="140"/>
      <c r="M147" s="141" t="str">
        <f t="shared" si="2"/>
        <v/>
      </c>
      <c r="N147" s="142"/>
      <c r="O147" s="143"/>
    </row>
    <row r="148" spans="2:15" x14ac:dyDescent="0.35">
      <c r="B148" s="138" t="str">
        <f>IF(Lançamentos!$B143="","",Lançamentos!$B143)</f>
        <v/>
      </c>
      <c r="C148" s="139" t="str">
        <f>IF($B148="","",Lançamentos!$J143)</f>
        <v/>
      </c>
      <c r="D148" s="140" t="str">
        <f>IF($B148="","",Lançamentos!$H143)</f>
        <v/>
      </c>
      <c r="E148" s="140"/>
      <c r="F148" s="140"/>
      <c r="G148" s="140"/>
      <c r="H148" s="140"/>
      <c r="I148" s="140"/>
      <c r="J148" s="140"/>
      <c r="K148" s="140"/>
      <c r="L148" s="140"/>
      <c r="M148" s="141" t="str">
        <f t="shared" si="2"/>
        <v/>
      </c>
      <c r="N148" s="142"/>
      <c r="O148" s="143"/>
    </row>
    <row r="149" spans="2:15" x14ac:dyDescent="0.35">
      <c r="B149" s="138" t="str">
        <f>IF(Lançamentos!$B144="","",Lançamentos!$B144)</f>
        <v/>
      </c>
      <c r="C149" s="139" t="str">
        <f>IF($B149="","",Lançamentos!$J144)</f>
        <v/>
      </c>
      <c r="D149" s="140" t="str">
        <f>IF($B149="","",Lançamentos!$H144)</f>
        <v/>
      </c>
      <c r="E149" s="140"/>
      <c r="F149" s="140"/>
      <c r="G149" s="140"/>
      <c r="H149" s="140"/>
      <c r="I149" s="140"/>
      <c r="J149" s="140"/>
      <c r="K149" s="140"/>
      <c r="L149" s="140"/>
      <c r="M149" s="141" t="str">
        <f t="shared" si="2"/>
        <v/>
      </c>
      <c r="N149" s="142"/>
      <c r="O149" s="143"/>
    </row>
    <row r="150" spans="2:15" x14ac:dyDescent="0.35">
      <c r="B150" s="138" t="str">
        <f>IF(Lançamentos!$B145="","",Lançamentos!$B145)</f>
        <v/>
      </c>
      <c r="C150" s="139" t="str">
        <f>IF($B150="","",Lançamentos!$J145)</f>
        <v/>
      </c>
      <c r="D150" s="140" t="str">
        <f>IF($B150="","",Lançamentos!$H145)</f>
        <v/>
      </c>
      <c r="E150" s="140"/>
      <c r="F150" s="140"/>
      <c r="G150" s="140"/>
      <c r="H150" s="140"/>
      <c r="I150" s="140"/>
      <c r="J150" s="140"/>
      <c r="K150" s="140"/>
      <c r="L150" s="140"/>
      <c r="M150" s="141" t="str">
        <f t="shared" si="2"/>
        <v/>
      </c>
      <c r="N150" s="142"/>
      <c r="O150" s="143"/>
    </row>
    <row r="151" spans="2:15" x14ac:dyDescent="0.35">
      <c r="B151" s="138" t="str">
        <f>IF(Lançamentos!$B146="","",Lançamentos!$B146)</f>
        <v/>
      </c>
      <c r="C151" s="139" t="str">
        <f>IF($B151="","",Lançamentos!$J146)</f>
        <v/>
      </c>
      <c r="D151" s="140" t="str">
        <f>IF($B151="","",Lançamentos!$H146)</f>
        <v/>
      </c>
      <c r="E151" s="140"/>
      <c r="F151" s="140"/>
      <c r="G151" s="140"/>
      <c r="H151" s="140"/>
      <c r="I151" s="140"/>
      <c r="J151" s="140"/>
      <c r="K151" s="140"/>
      <c r="L151" s="140"/>
      <c r="M151" s="141" t="str">
        <f t="shared" si="2"/>
        <v/>
      </c>
      <c r="N151" s="142"/>
      <c r="O151" s="143"/>
    </row>
    <row r="152" spans="2:15" x14ac:dyDescent="0.35">
      <c r="B152" s="138" t="str">
        <f>IF(Lançamentos!$B147="","",Lançamentos!$B147)</f>
        <v/>
      </c>
      <c r="C152" s="139" t="str">
        <f>IF($B152="","",Lançamentos!$J147)</f>
        <v/>
      </c>
      <c r="D152" s="140" t="str">
        <f>IF($B152="","",Lançamentos!$H147)</f>
        <v/>
      </c>
      <c r="E152" s="140"/>
      <c r="F152" s="140"/>
      <c r="G152" s="140"/>
      <c r="H152" s="140"/>
      <c r="I152" s="140"/>
      <c r="J152" s="140"/>
      <c r="K152" s="140"/>
      <c r="L152" s="140"/>
      <c r="M152" s="141" t="str">
        <f t="shared" si="2"/>
        <v/>
      </c>
      <c r="N152" s="142"/>
      <c r="O152" s="143"/>
    </row>
    <row r="153" spans="2:15" x14ac:dyDescent="0.35">
      <c r="B153" s="138" t="str">
        <f>IF(Lançamentos!$B148="","",Lançamentos!$B148)</f>
        <v/>
      </c>
      <c r="C153" s="139" t="str">
        <f>IF($B153="","",Lançamentos!$J148)</f>
        <v/>
      </c>
      <c r="D153" s="140" t="str">
        <f>IF($B153="","",Lançamentos!$H148)</f>
        <v/>
      </c>
      <c r="E153" s="140"/>
      <c r="F153" s="140"/>
      <c r="G153" s="140"/>
      <c r="H153" s="140"/>
      <c r="I153" s="140"/>
      <c r="J153" s="140"/>
      <c r="K153" s="140"/>
      <c r="L153" s="140"/>
      <c r="M153" s="141" t="str">
        <f t="shared" si="2"/>
        <v/>
      </c>
      <c r="N153" s="142"/>
      <c r="O153" s="143"/>
    </row>
    <row r="154" spans="2:15" x14ac:dyDescent="0.35">
      <c r="B154" s="138" t="str">
        <f>IF(Lançamentos!$B149="","",Lançamentos!$B149)</f>
        <v/>
      </c>
      <c r="C154" s="139" t="str">
        <f>IF($B154="","",Lançamentos!$J149)</f>
        <v/>
      </c>
      <c r="D154" s="140" t="str">
        <f>IF($B154="","",Lançamentos!$H149)</f>
        <v/>
      </c>
      <c r="E154" s="140"/>
      <c r="F154" s="140"/>
      <c r="G154" s="140"/>
      <c r="H154" s="140"/>
      <c r="I154" s="140"/>
      <c r="J154" s="140"/>
      <c r="K154" s="140"/>
      <c r="L154" s="140"/>
      <c r="M154" s="141" t="str">
        <f t="shared" si="2"/>
        <v/>
      </c>
      <c r="N154" s="142"/>
      <c r="O154" s="143"/>
    </row>
    <row r="155" spans="2:15" x14ac:dyDescent="0.35">
      <c r="B155" s="138" t="str">
        <f>IF(Lançamentos!$B150="","",Lançamentos!$B150)</f>
        <v/>
      </c>
      <c r="C155" s="139" t="str">
        <f>IF($B155="","",Lançamentos!$J150)</f>
        <v/>
      </c>
      <c r="D155" s="140" t="str">
        <f>IF($B155="","",Lançamentos!$H150)</f>
        <v/>
      </c>
      <c r="E155" s="140"/>
      <c r="F155" s="140"/>
      <c r="G155" s="140"/>
      <c r="H155" s="140"/>
      <c r="I155" s="140"/>
      <c r="J155" s="140"/>
      <c r="K155" s="140"/>
      <c r="L155" s="140"/>
      <c r="M155" s="141" t="str">
        <f t="shared" si="2"/>
        <v/>
      </c>
      <c r="N155" s="142"/>
      <c r="O155" s="143"/>
    </row>
    <row r="156" spans="2:15" x14ac:dyDescent="0.35">
      <c r="B156" s="138" t="str">
        <f>IF(Lançamentos!$B151="","",Lançamentos!$B151)</f>
        <v/>
      </c>
      <c r="C156" s="139" t="str">
        <f>IF($B156="","",Lançamentos!$J151)</f>
        <v/>
      </c>
      <c r="D156" s="140" t="str">
        <f>IF($B156="","",Lançamentos!$H151)</f>
        <v/>
      </c>
      <c r="E156" s="140"/>
      <c r="F156" s="140"/>
      <c r="G156" s="140"/>
      <c r="H156" s="140"/>
      <c r="I156" s="140"/>
      <c r="J156" s="140"/>
      <c r="K156" s="140"/>
      <c r="L156" s="140"/>
      <c r="M156" s="141" t="str">
        <f t="shared" si="2"/>
        <v/>
      </c>
      <c r="N156" s="142"/>
      <c r="O156" s="143"/>
    </row>
    <row r="157" spans="2:15" x14ac:dyDescent="0.35">
      <c r="B157" s="138" t="str">
        <f>IF(Lançamentos!$B152="","",Lançamentos!$B152)</f>
        <v/>
      </c>
      <c r="C157" s="139" t="str">
        <f>IF($B157="","",Lançamentos!$J152)</f>
        <v/>
      </c>
      <c r="D157" s="140" t="str">
        <f>IF($B157="","",Lançamentos!$H152)</f>
        <v/>
      </c>
      <c r="E157" s="140"/>
      <c r="F157" s="140"/>
      <c r="G157" s="140"/>
      <c r="H157" s="140"/>
      <c r="I157" s="140"/>
      <c r="J157" s="140"/>
      <c r="K157" s="140"/>
      <c r="L157" s="140"/>
      <c r="M157" s="141" t="str">
        <f t="shared" si="2"/>
        <v/>
      </c>
      <c r="N157" s="142"/>
      <c r="O157" s="143"/>
    </row>
    <row r="158" spans="2:15" x14ac:dyDescent="0.35">
      <c r="B158" s="138" t="str">
        <f>IF(Lançamentos!$B153="","",Lançamentos!$B153)</f>
        <v/>
      </c>
      <c r="C158" s="139" t="str">
        <f>IF($B158="","",Lançamentos!$J153)</f>
        <v/>
      </c>
      <c r="D158" s="140" t="str">
        <f>IF($B158="","",Lançamentos!$H153)</f>
        <v/>
      </c>
      <c r="E158" s="140"/>
      <c r="F158" s="140"/>
      <c r="G158" s="140"/>
      <c r="H158" s="140"/>
      <c r="I158" s="140"/>
      <c r="J158" s="140"/>
      <c r="K158" s="140"/>
      <c r="L158" s="140"/>
      <c r="M158" s="141" t="str">
        <f t="shared" si="2"/>
        <v/>
      </c>
      <c r="N158" s="142"/>
      <c r="O158" s="143"/>
    </row>
    <row r="159" spans="2:15" x14ac:dyDescent="0.35">
      <c r="B159" s="138" t="str">
        <f>IF(Lançamentos!$B154="","",Lançamentos!$B154)</f>
        <v/>
      </c>
      <c r="C159" s="139" t="str">
        <f>IF($B159="","",Lançamentos!$J154)</f>
        <v/>
      </c>
      <c r="D159" s="140" t="str">
        <f>IF($B159="","",Lançamentos!$H154)</f>
        <v/>
      </c>
      <c r="E159" s="140"/>
      <c r="F159" s="140"/>
      <c r="G159" s="140"/>
      <c r="H159" s="140"/>
      <c r="I159" s="140"/>
      <c r="J159" s="140"/>
      <c r="K159" s="140"/>
      <c r="L159" s="140"/>
      <c r="M159" s="141" t="str">
        <f t="shared" si="2"/>
        <v/>
      </c>
      <c r="N159" s="142"/>
      <c r="O159" s="143"/>
    </row>
    <row r="160" spans="2:15" x14ac:dyDescent="0.35">
      <c r="B160" s="138" t="str">
        <f>IF(Lançamentos!$B155="","",Lançamentos!$B155)</f>
        <v/>
      </c>
      <c r="C160" s="139" t="str">
        <f>IF($B160="","",Lançamentos!$J155)</f>
        <v/>
      </c>
      <c r="D160" s="140" t="str">
        <f>IF($B160="","",Lançamentos!$H155)</f>
        <v/>
      </c>
      <c r="E160" s="140"/>
      <c r="F160" s="140"/>
      <c r="G160" s="140"/>
      <c r="H160" s="140"/>
      <c r="I160" s="140"/>
      <c r="J160" s="140"/>
      <c r="K160" s="140"/>
      <c r="L160" s="140"/>
      <c r="M160" s="141" t="str">
        <f t="shared" si="2"/>
        <v/>
      </c>
      <c r="N160" s="142"/>
      <c r="O160" s="143"/>
    </row>
    <row r="161" spans="2:15" x14ac:dyDescent="0.35">
      <c r="B161" s="138" t="str">
        <f>IF(Lançamentos!$B156="","",Lançamentos!$B156)</f>
        <v/>
      </c>
      <c r="C161" s="139" t="str">
        <f>IF($B161="","",Lançamentos!$J156)</f>
        <v/>
      </c>
      <c r="D161" s="140" t="str">
        <f>IF($B161="","",Lançamentos!$H156)</f>
        <v/>
      </c>
      <c r="E161" s="140"/>
      <c r="F161" s="140"/>
      <c r="G161" s="140"/>
      <c r="H161" s="140"/>
      <c r="I161" s="140"/>
      <c r="J161" s="140"/>
      <c r="K161" s="140"/>
      <c r="L161" s="140"/>
      <c r="M161" s="141" t="str">
        <f t="shared" si="2"/>
        <v/>
      </c>
      <c r="N161" s="142"/>
      <c r="O161" s="143"/>
    </row>
    <row r="162" spans="2:15" x14ac:dyDescent="0.35">
      <c r="B162" s="138" t="str">
        <f>IF(Lançamentos!$B157="","",Lançamentos!$B157)</f>
        <v/>
      </c>
      <c r="C162" s="139" t="str">
        <f>IF($B162="","",Lançamentos!$J157)</f>
        <v/>
      </c>
      <c r="D162" s="140" t="str">
        <f>IF($B162="","",Lançamentos!$H157)</f>
        <v/>
      </c>
      <c r="E162" s="140"/>
      <c r="F162" s="140"/>
      <c r="G162" s="140"/>
      <c r="H162" s="140"/>
      <c r="I162" s="140"/>
      <c r="J162" s="140"/>
      <c r="K162" s="140"/>
      <c r="L162" s="140"/>
      <c r="M162" s="141" t="str">
        <f t="shared" si="2"/>
        <v/>
      </c>
      <c r="N162" s="142"/>
      <c r="O162" s="143"/>
    </row>
    <row r="163" spans="2:15" x14ac:dyDescent="0.35">
      <c r="B163" s="138" t="str">
        <f>IF(Lançamentos!$B158="","",Lançamentos!$B158)</f>
        <v/>
      </c>
      <c r="C163" s="139" t="str">
        <f>IF($B163="","",Lançamentos!$J158)</f>
        <v/>
      </c>
      <c r="D163" s="140" t="str">
        <f>IF($B163="","",Lançamentos!$H158)</f>
        <v/>
      </c>
      <c r="E163" s="140"/>
      <c r="F163" s="140"/>
      <c r="G163" s="140"/>
      <c r="H163" s="140"/>
      <c r="I163" s="140"/>
      <c r="J163" s="140"/>
      <c r="K163" s="140"/>
      <c r="L163" s="140"/>
      <c r="M163" s="141" t="str">
        <f t="shared" si="2"/>
        <v/>
      </c>
      <c r="N163" s="142"/>
      <c r="O163" s="143"/>
    </row>
    <row r="164" spans="2:15" x14ac:dyDescent="0.35">
      <c r="B164" s="138" t="str">
        <f>IF(Lançamentos!$B159="","",Lançamentos!$B159)</f>
        <v/>
      </c>
      <c r="C164" s="139" t="str">
        <f>IF($B164="","",Lançamentos!$J159)</f>
        <v/>
      </c>
      <c r="D164" s="140" t="str">
        <f>IF($B164="","",Lançamentos!$H159)</f>
        <v/>
      </c>
      <c r="E164" s="140"/>
      <c r="F164" s="140"/>
      <c r="G164" s="140"/>
      <c r="H164" s="140"/>
      <c r="I164" s="140"/>
      <c r="J164" s="140"/>
      <c r="K164" s="140"/>
      <c r="L164" s="140"/>
      <c r="M164" s="141" t="str">
        <f t="shared" si="2"/>
        <v/>
      </c>
      <c r="N164" s="142"/>
      <c r="O164" s="143"/>
    </row>
    <row r="165" spans="2:15" x14ac:dyDescent="0.35">
      <c r="B165" s="138" t="str">
        <f>IF(Lançamentos!$B160="","",Lançamentos!$B160)</f>
        <v/>
      </c>
      <c r="C165" s="139" t="str">
        <f>IF($B165="","",Lançamentos!$J160)</f>
        <v/>
      </c>
      <c r="D165" s="140" t="str">
        <f>IF($B165="","",Lançamentos!$H160)</f>
        <v/>
      </c>
      <c r="E165" s="140"/>
      <c r="F165" s="140"/>
      <c r="G165" s="140"/>
      <c r="H165" s="140"/>
      <c r="I165" s="140"/>
      <c r="J165" s="140"/>
      <c r="K165" s="140"/>
      <c r="L165" s="140"/>
      <c r="M165" s="141" t="str">
        <f t="shared" si="2"/>
        <v/>
      </c>
      <c r="N165" s="142"/>
      <c r="O165" s="143"/>
    </row>
    <row r="166" spans="2:15" x14ac:dyDescent="0.35">
      <c r="B166" s="138" t="str">
        <f>IF(Lançamentos!$B161="","",Lançamentos!$B161)</f>
        <v/>
      </c>
      <c r="C166" s="139" t="str">
        <f>IF($B166="","",Lançamentos!$J161)</f>
        <v/>
      </c>
      <c r="D166" s="140" t="str">
        <f>IF($B166="","",Lançamentos!$H161)</f>
        <v/>
      </c>
      <c r="E166" s="140"/>
      <c r="F166" s="140"/>
      <c r="G166" s="140"/>
      <c r="H166" s="140"/>
      <c r="I166" s="140"/>
      <c r="J166" s="140"/>
      <c r="K166" s="140"/>
      <c r="L166" s="140"/>
      <c r="M166" s="141" t="str">
        <f t="shared" si="2"/>
        <v/>
      </c>
      <c r="N166" s="142"/>
      <c r="O166" s="143"/>
    </row>
    <row r="167" spans="2:15" x14ac:dyDescent="0.35">
      <c r="B167" s="138" t="str">
        <f>IF(Lançamentos!$B162="","",Lançamentos!$B162)</f>
        <v/>
      </c>
      <c r="C167" s="139" t="str">
        <f>IF($B167="","",Lançamentos!$J162)</f>
        <v/>
      </c>
      <c r="D167" s="140" t="str">
        <f>IF($B167="","",Lançamentos!$H162)</f>
        <v/>
      </c>
      <c r="E167" s="140"/>
      <c r="F167" s="140"/>
      <c r="G167" s="140"/>
      <c r="H167" s="140"/>
      <c r="I167" s="140"/>
      <c r="J167" s="140"/>
      <c r="K167" s="140"/>
      <c r="L167" s="140"/>
      <c r="M167" s="141" t="str">
        <f t="shared" si="2"/>
        <v/>
      </c>
      <c r="N167" s="142"/>
      <c r="O167" s="143"/>
    </row>
    <row r="168" spans="2:15" x14ac:dyDescent="0.35">
      <c r="B168" s="138" t="str">
        <f>IF(Lançamentos!$B163="","",Lançamentos!$B163)</f>
        <v/>
      </c>
      <c r="C168" s="139" t="str">
        <f>IF($B168="","",Lançamentos!$J163)</f>
        <v/>
      </c>
      <c r="D168" s="140" t="str">
        <f>IF($B168="","",Lançamentos!$H163)</f>
        <v/>
      </c>
      <c r="E168" s="140"/>
      <c r="F168" s="140"/>
      <c r="G168" s="140"/>
      <c r="H168" s="140"/>
      <c r="I168" s="140"/>
      <c r="J168" s="140"/>
      <c r="K168" s="140"/>
      <c r="L168" s="140"/>
      <c r="M168" s="141" t="str">
        <f t="shared" si="2"/>
        <v/>
      </c>
      <c r="N168" s="142"/>
      <c r="O168" s="143"/>
    </row>
    <row r="169" spans="2:15" x14ac:dyDescent="0.35">
      <c r="B169" s="138" t="str">
        <f>IF(Lançamentos!$B164="","",Lançamentos!$B164)</f>
        <v/>
      </c>
      <c r="C169" s="139" t="str">
        <f>IF($B169="","",Lançamentos!$J164)</f>
        <v/>
      </c>
      <c r="D169" s="140" t="str">
        <f>IF($B169="","",Lançamentos!$H164)</f>
        <v/>
      </c>
      <c r="E169" s="140"/>
      <c r="F169" s="140"/>
      <c r="G169" s="140"/>
      <c r="H169" s="140"/>
      <c r="I169" s="140"/>
      <c r="J169" s="140"/>
      <c r="K169" s="140"/>
      <c r="L169" s="140"/>
      <c r="M169" s="141" t="str">
        <f t="shared" si="2"/>
        <v/>
      </c>
      <c r="N169" s="142"/>
      <c r="O169" s="143"/>
    </row>
    <row r="170" spans="2:15" x14ac:dyDescent="0.35">
      <c r="B170" s="138" t="str">
        <f>IF(Lançamentos!$B165="","",Lançamentos!$B165)</f>
        <v/>
      </c>
      <c r="C170" s="139" t="str">
        <f>IF($B170="","",Lançamentos!$J165)</f>
        <v/>
      </c>
      <c r="D170" s="140" t="str">
        <f>IF($B170="","",Lançamentos!$H165)</f>
        <v/>
      </c>
      <c r="E170" s="140"/>
      <c r="F170" s="140"/>
      <c r="G170" s="140"/>
      <c r="H170" s="140"/>
      <c r="I170" s="140"/>
      <c r="J170" s="140"/>
      <c r="K170" s="140"/>
      <c r="L170" s="140"/>
      <c r="M170" s="141" t="str">
        <f t="shared" si="2"/>
        <v/>
      </c>
      <c r="N170" s="142"/>
      <c r="O170" s="143"/>
    </row>
    <row r="171" spans="2:15" x14ac:dyDescent="0.35">
      <c r="B171" s="138" t="str">
        <f>IF(Lançamentos!$B166="","",Lançamentos!$B166)</f>
        <v/>
      </c>
      <c r="C171" s="139" t="str">
        <f>IF($B171="","",Lançamentos!$J166)</f>
        <v/>
      </c>
      <c r="D171" s="140" t="str">
        <f>IF($B171="","",Lançamentos!$H166)</f>
        <v/>
      </c>
      <c r="E171" s="140"/>
      <c r="F171" s="140"/>
      <c r="G171" s="140"/>
      <c r="H171" s="140"/>
      <c r="I171" s="140"/>
      <c r="J171" s="140"/>
      <c r="K171" s="140"/>
      <c r="L171" s="140"/>
      <c r="M171" s="141" t="str">
        <f t="shared" si="2"/>
        <v/>
      </c>
      <c r="N171" s="142"/>
      <c r="O171" s="143"/>
    </row>
    <row r="172" spans="2:15" x14ac:dyDescent="0.35">
      <c r="B172" s="138" t="str">
        <f>IF(Lançamentos!$B167="","",Lançamentos!$B167)</f>
        <v/>
      </c>
      <c r="C172" s="139" t="str">
        <f>IF($B172="","",Lançamentos!$J167)</f>
        <v/>
      </c>
      <c r="D172" s="140" t="str">
        <f>IF($B172="","",Lançamentos!$H167)</f>
        <v/>
      </c>
      <c r="E172" s="140"/>
      <c r="F172" s="140"/>
      <c r="G172" s="140"/>
      <c r="H172" s="140"/>
      <c r="I172" s="140"/>
      <c r="J172" s="140"/>
      <c r="K172" s="140"/>
      <c r="L172" s="140"/>
      <c r="M172" s="141" t="str">
        <f t="shared" si="2"/>
        <v/>
      </c>
      <c r="N172" s="142"/>
      <c r="O172" s="143"/>
    </row>
    <row r="173" spans="2:15" x14ac:dyDescent="0.35">
      <c r="B173" s="138" t="str">
        <f>IF(Lançamentos!$B168="","",Lançamentos!$B168)</f>
        <v/>
      </c>
      <c r="C173" s="139" t="str">
        <f>IF($B173="","",Lançamentos!$J168)</f>
        <v/>
      </c>
      <c r="D173" s="140" t="str">
        <f>IF($B173="","",Lançamentos!$H168)</f>
        <v/>
      </c>
      <c r="E173" s="140"/>
      <c r="F173" s="140"/>
      <c r="G173" s="140"/>
      <c r="H173" s="140"/>
      <c r="I173" s="140"/>
      <c r="J173" s="140"/>
      <c r="K173" s="140"/>
      <c r="L173" s="140"/>
      <c r="M173" s="141" t="str">
        <f t="shared" si="2"/>
        <v/>
      </c>
      <c r="N173" s="142"/>
      <c r="O173" s="143"/>
    </row>
    <row r="174" spans="2:15" x14ac:dyDescent="0.35">
      <c r="B174" s="138" t="str">
        <f>IF(Lançamentos!$B169="","",Lançamentos!$B169)</f>
        <v/>
      </c>
      <c r="C174" s="139" t="str">
        <f>IF($B174="","",Lançamentos!$J169)</f>
        <v/>
      </c>
      <c r="D174" s="140" t="str">
        <f>IF($B174="","",Lançamentos!$H169)</f>
        <v/>
      </c>
      <c r="E174" s="140"/>
      <c r="F174" s="140"/>
      <c r="G174" s="140"/>
      <c r="H174" s="140"/>
      <c r="I174" s="140"/>
      <c r="J174" s="140"/>
      <c r="K174" s="140"/>
      <c r="L174" s="140"/>
      <c r="M174" s="141" t="str">
        <f t="shared" si="2"/>
        <v/>
      </c>
      <c r="N174" s="142"/>
      <c r="O174" s="143"/>
    </row>
    <row r="175" spans="2:15" x14ac:dyDescent="0.35">
      <c r="B175" s="138" t="str">
        <f>IF(Lançamentos!$B170="","",Lançamentos!$B170)</f>
        <v/>
      </c>
      <c r="C175" s="139" t="str">
        <f>IF($B175="","",Lançamentos!$J170)</f>
        <v/>
      </c>
      <c r="D175" s="140" t="str">
        <f>IF($B175="","",Lançamentos!$H170)</f>
        <v/>
      </c>
      <c r="E175" s="140"/>
      <c r="F175" s="140"/>
      <c r="G175" s="140"/>
      <c r="H175" s="140"/>
      <c r="I175" s="140"/>
      <c r="J175" s="140"/>
      <c r="K175" s="140"/>
      <c r="L175" s="140"/>
      <c r="M175" s="141" t="str">
        <f t="shared" si="2"/>
        <v/>
      </c>
      <c r="N175" s="142"/>
      <c r="O175" s="143"/>
    </row>
    <row r="176" spans="2:15" x14ac:dyDescent="0.35">
      <c r="B176" s="138" t="str">
        <f>IF(Lançamentos!$B171="","",Lançamentos!$B171)</f>
        <v/>
      </c>
      <c r="C176" s="139" t="str">
        <f>IF($B176="","",Lançamentos!$J171)</f>
        <v/>
      </c>
      <c r="D176" s="140" t="str">
        <f>IF($B176="","",Lançamentos!$H171)</f>
        <v/>
      </c>
      <c r="E176" s="140"/>
      <c r="F176" s="140"/>
      <c r="G176" s="140"/>
      <c r="H176" s="140"/>
      <c r="I176" s="140"/>
      <c r="J176" s="140"/>
      <c r="K176" s="140"/>
      <c r="L176" s="140"/>
      <c r="M176" s="141" t="str">
        <f t="shared" si="2"/>
        <v/>
      </c>
      <c r="N176" s="142"/>
      <c r="O176" s="143"/>
    </row>
    <row r="177" spans="2:15" x14ac:dyDescent="0.35">
      <c r="B177" s="138" t="str">
        <f>IF(Lançamentos!$B172="","",Lançamentos!$B172)</f>
        <v/>
      </c>
      <c r="C177" s="139" t="str">
        <f>IF($B177="","",Lançamentos!$J172)</f>
        <v/>
      </c>
      <c r="D177" s="140" t="str">
        <f>IF($B177="","",Lançamentos!$H172)</f>
        <v/>
      </c>
      <c r="E177" s="140"/>
      <c r="F177" s="140"/>
      <c r="G177" s="140"/>
      <c r="H177" s="140"/>
      <c r="I177" s="140"/>
      <c r="J177" s="140"/>
      <c r="K177" s="140"/>
      <c r="L177" s="140"/>
      <c r="M177" s="141" t="str">
        <f t="shared" si="2"/>
        <v/>
      </c>
      <c r="N177" s="142"/>
      <c r="O177" s="143"/>
    </row>
    <row r="178" spans="2:15" x14ac:dyDescent="0.35">
      <c r="B178" s="138" t="str">
        <f>IF(Lançamentos!$B173="","",Lançamentos!$B173)</f>
        <v/>
      </c>
      <c r="C178" s="139" t="str">
        <f>IF($B178="","",Lançamentos!$J173)</f>
        <v/>
      </c>
      <c r="D178" s="140" t="str">
        <f>IF($B178="","",Lançamentos!$H173)</f>
        <v/>
      </c>
      <c r="E178" s="140"/>
      <c r="F178" s="140"/>
      <c r="G178" s="140"/>
      <c r="H178" s="140"/>
      <c r="I178" s="140"/>
      <c r="J178" s="140"/>
      <c r="K178" s="140"/>
      <c r="L178" s="140"/>
      <c r="M178" s="141" t="str">
        <f t="shared" si="2"/>
        <v/>
      </c>
      <c r="N178" s="142"/>
      <c r="O178" s="143"/>
    </row>
    <row r="179" spans="2:15" x14ac:dyDescent="0.35">
      <c r="B179" s="138" t="str">
        <f>IF(Lançamentos!$B174="","",Lançamentos!$B174)</f>
        <v/>
      </c>
      <c r="C179" s="139" t="str">
        <f>IF($B179="","",Lançamentos!$J174)</f>
        <v/>
      </c>
      <c r="D179" s="140" t="str">
        <f>IF($B179="","",Lançamentos!$H174)</f>
        <v/>
      </c>
      <c r="E179" s="140"/>
      <c r="F179" s="140"/>
      <c r="G179" s="140"/>
      <c r="H179" s="140"/>
      <c r="I179" s="140"/>
      <c r="J179" s="140"/>
      <c r="K179" s="140"/>
      <c r="L179" s="140"/>
      <c r="M179" s="141" t="str">
        <f t="shared" si="2"/>
        <v/>
      </c>
      <c r="N179" s="142"/>
      <c r="O179" s="143"/>
    </row>
    <row r="180" spans="2:15" x14ac:dyDescent="0.35">
      <c r="B180" s="138" t="str">
        <f>IF(Lançamentos!$B175="","",Lançamentos!$B175)</f>
        <v/>
      </c>
      <c r="C180" s="139" t="str">
        <f>IF($B180="","",Lançamentos!$J175)</f>
        <v/>
      </c>
      <c r="D180" s="140" t="str">
        <f>IF($B180="","",Lançamentos!$H175)</f>
        <v/>
      </c>
      <c r="E180" s="140"/>
      <c r="F180" s="140"/>
      <c r="G180" s="140"/>
      <c r="H180" s="140"/>
      <c r="I180" s="140"/>
      <c r="J180" s="140"/>
      <c r="K180" s="140"/>
      <c r="L180" s="140"/>
      <c r="M180" s="141" t="str">
        <f t="shared" si="2"/>
        <v/>
      </c>
      <c r="N180" s="142"/>
      <c r="O180" s="143"/>
    </row>
    <row r="181" spans="2:15" x14ac:dyDescent="0.35">
      <c r="B181" s="138" t="str">
        <f>IF(Lançamentos!$B176="","",Lançamentos!$B176)</f>
        <v/>
      </c>
      <c r="C181" s="139" t="str">
        <f>IF($B181="","",Lançamentos!$J176)</f>
        <v/>
      </c>
      <c r="D181" s="140" t="str">
        <f>IF($B181="","",Lançamentos!$H176)</f>
        <v/>
      </c>
      <c r="E181" s="140"/>
      <c r="F181" s="140"/>
      <c r="G181" s="140"/>
      <c r="H181" s="140"/>
      <c r="I181" s="140"/>
      <c r="J181" s="140"/>
      <c r="K181" s="140"/>
      <c r="L181" s="140"/>
      <c r="M181" s="141" t="str">
        <f t="shared" si="2"/>
        <v/>
      </c>
      <c r="N181" s="142"/>
      <c r="O181" s="143"/>
    </row>
    <row r="182" spans="2:15" x14ac:dyDescent="0.35">
      <c r="B182" s="138" t="str">
        <f>IF(Lançamentos!$B177="","",Lançamentos!$B177)</f>
        <v/>
      </c>
      <c r="C182" s="139" t="str">
        <f>IF($B182="","",Lançamentos!$J177)</f>
        <v/>
      </c>
      <c r="D182" s="140" t="str">
        <f>IF($B182="","",Lançamentos!$H177)</f>
        <v/>
      </c>
      <c r="E182" s="140"/>
      <c r="F182" s="140"/>
      <c r="G182" s="140"/>
      <c r="H182" s="140"/>
      <c r="I182" s="140"/>
      <c r="J182" s="140"/>
      <c r="K182" s="140"/>
      <c r="L182" s="140"/>
      <c r="M182" s="141" t="str">
        <f t="shared" si="2"/>
        <v/>
      </c>
      <c r="N182" s="142"/>
      <c r="O182" s="143"/>
    </row>
    <row r="183" spans="2:15" x14ac:dyDescent="0.35">
      <c r="B183" s="138" t="str">
        <f>IF(Lançamentos!$B178="","",Lançamentos!$B178)</f>
        <v/>
      </c>
      <c r="C183" s="139" t="str">
        <f>IF($B183="","",Lançamentos!$J178)</f>
        <v/>
      </c>
      <c r="D183" s="140" t="str">
        <f>IF($B183="","",Lançamentos!$H178)</f>
        <v/>
      </c>
      <c r="E183" s="140"/>
      <c r="F183" s="140"/>
      <c r="G183" s="140"/>
      <c r="H183" s="140"/>
      <c r="I183" s="140"/>
      <c r="J183" s="140"/>
      <c r="K183" s="140"/>
      <c r="L183" s="140"/>
      <c r="M183" s="141" t="str">
        <f t="shared" si="2"/>
        <v/>
      </c>
      <c r="N183" s="142"/>
      <c r="O183" s="143"/>
    </row>
    <row r="184" spans="2:15" x14ac:dyDescent="0.35">
      <c r="B184" s="138" t="str">
        <f>IF(Lançamentos!$B179="","",Lançamentos!$B179)</f>
        <v/>
      </c>
      <c r="C184" s="139" t="str">
        <f>IF($B184="","",Lançamentos!$J179)</f>
        <v/>
      </c>
      <c r="D184" s="140" t="str">
        <f>IF($B184="","",Lançamentos!$H179)</f>
        <v/>
      </c>
      <c r="E184" s="140"/>
      <c r="F184" s="140"/>
      <c r="G184" s="140"/>
      <c r="H184" s="140"/>
      <c r="I184" s="140"/>
      <c r="J184" s="140"/>
      <c r="K184" s="140"/>
      <c r="L184" s="140"/>
      <c r="M184" s="141" t="str">
        <f t="shared" si="2"/>
        <v/>
      </c>
      <c r="N184" s="142"/>
      <c r="O184" s="143"/>
    </row>
    <row r="185" spans="2:15" x14ac:dyDescent="0.35">
      <c r="B185" s="138" t="str">
        <f>IF(Lançamentos!$B180="","",Lançamentos!$B180)</f>
        <v/>
      </c>
      <c r="C185" s="139" t="str">
        <f>IF($B185="","",Lançamentos!$J180)</f>
        <v/>
      </c>
      <c r="D185" s="140" t="str">
        <f>IF($B185="","",Lançamentos!$H180)</f>
        <v/>
      </c>
      <c r="E185" s="140"/>
      <c r="F185" s="140"/>
      <c r="G185" s="140"/>
      <c r="H185" s="140"/>
      <c r="I185" s="140"/>
      <c r="J185" s="140"/>
      <c r="K185" s="140"/>
      <c r="L185" s="140"/>
      <c r="M185" s="141" t="str">
        <f t="shared" si="2"/>
        <v/>
      </c>
      <c r="N185" s="142"/>
      <c r="O185" s="143"/>
    </row>
    <row r="186" spans="2:15" x14ac:dyDescent="0.35">
      <c r="B186" s="138" t="str">
        <f>IF(Lançamentos!$B181="","",Lançamentos!$B181)</f>
        <v/>
      </c>
      <c r="C186" s="139" t="str">
        <f>IF($B186="","",Lançamentos!$J181)</f>
        <v/>
      </c>
      <c r="D186" s="140" t="str">
        <f>IF($B186="","",Lançamentos!$H181)</f>
        <v/>
      </c>
      <c r="E186" s="140"/>
      <c r="F186" s="140"/>
      <c r="G186" s="140"/>
      <c r="H186" s="140"/>
      <c r="I186" s="140"/>
      <c r="J186" s="140"/>
      <c r="K186" s="140"/>
      <c r="L186" s="140"/>
      <c r="M186" s="141" t="str">
        <f t="shared" si="2"/>
        <v/>
      </c>
      <c r="N186" s="142"/>
      <c r="O186" s="143"/>
    </row>
    <row r="187" spans="2:15" x14ac:dyDescent="0.35">
      <c r="B187" s="138" t="str">
        <f>IF(Lançamentos!$B182="","",Lançamentos!$B182)</f>
        <v/>
      </c>
      <c r="C187" s="139" t="str">
        <f>IF($B187="","",Lançamentos!$J182)</f>
        <v/>
      </c>
      <c r="D187" s="140" t="str">
        <f>IF($B187="","",Lançamentos!$H182)</f>
        <v/>
      </c>
      <c r="E187" s="140"/>
      <c r="F187" s="140"/>
      <c r="G187" s="140"/>
      <c r="H187" s="140"/>
      <c r="I187" s="140"/>
      <c r="J187" s="140"/>
      <c r="K187" s="140"/>
      <c r="L187" s="140"/>
      <c r="M187" s="141" t="str">
        <f t="shared" si="2"/>
        <v/>
      </c>
      <c r="N187" s="142"/>
      <c r="O187" s="143"/>
    </row>
    <row r="188" spans="2:15" x14ac:dyDescent="0.35">
      <c r="B188" s="138" t="str">
        <f>IF(Lançamentos!$B183="","",Lançamentos!$B183)</f>
        <v/>
      </c>
      <c r="C188" s="139" t="str">
        <f>IF($B188="","",Lançamentos!$J183)</f>
        <v/>
      </c>
      <c r="D188" s="140" t="str">
        <f>IF($B188="","",Lançamentos!$H183)</f>
        <v/>
      </c>
      <c r="E188" s="140"/>
      <c r="F188" s="140"/>
      <c r="G188" s="140"/>
      <c r="H188" s="140"/>
      <c r="I188" s="140"/>
      <c r="J188" s="140"/>
      <c r="K188" s="140"/>
      <c r="L188" s="140"/>
      <c r="M188" s="141" t="str">
        <f t="shared" si="2"/>
        <v/>
      </c>
      <c r="N188" s="142"/>
      <c r="O188" s="143"/>
    </row>
    <row r="189" spans="2:15" x14ac:dyDescent="0.35">
      <c r="B189" s="138" t="str">
        <f>IF(Lançamentos!$B184="","",Lançamentos!$B184)</f>
        <v/>
      </c>
      <c r="C189" s="139" t="str">
        <f>IF($B189="","",Lançamentos!$J184)</f>
        <v/>
      </c>
      <c r="D189" s="140" t="str">
        <f>IF($B189="","",Lançamentos!$H184)</f>
        <v/>
      </c>
      <c r="E189" s="140"/>
      <c r="F189" s="140"/>
      <c r="G189" s="140"/>
      <c r="H189" s="140"/>
      <c r="I189" s="140"/>
      <c r="J189" s="140"/>
      <c r="K189" s="140"/>
      <c r="L189" s="140"/>
      <c r="M189" s="141" t="str">
        <f t="shared" si="2"/>
        <v/>
      </c>
      <c r="N189" s="142"/>
      <c r="O189" s="143"/>
    </row>
    <row r="190" spans="2:15" x14ac:dyDescent="0.35">
      <c r="B190" s="138" t="str">
        <f>IF(Lançamentos!$B185="","",Lançamentos!$B185)</f>
        <v/>
      </c>
      <c r="C190" s="139" t="str">
        <f>IF($B190="","",Lançamentos!$J185)</f>
        <v/>
      </c>
      <c r="D190" s="140" t="str">
        <f>IF($B190="","",Lançamentos!$H185)</f>
        <v/>
      </c>
      <c r="E190" s="140"/>
      <c r="F190" s="140"/>
      <c r="G190" s="140"/>
      <c r="H190" s="140"/>
      <c r="I190" s="140"/>
      <c r="J190" s="140"/>
      <c r="K190" s="140"/>
      <c r="L190" s="140"/>
      <c r="M190" s="141" t="str">
        <f t="shared" si="2"/>
        <v/>
      </c>
      <c r="N190" s="142"/>
      <c r="O190" s="143"/>
    </row>
    <row r="191" spans="2:15" x14ac:dyDescent="0.35">
      <c r="B191" s="138" t="str">
        <f>IF(Lançamentos!$B186="","",Lançamentos!$B186)</f>
        <v/>
      </c>
      <c r="C191" s="139" t="str">
        <f>IF($B191="","",Lançamentos!$J186)</f>
        <v/>
      </c>
      <c r="D191" s="140" t="str">
        <f>IF($B191="","",Lançamentos!$H186)</f>
        <v/>
      </c>
      <c r="E191" s="140"/>
      <c r="F191" s="140"/>
      <c r="G191" s="140"/>
      <c r="H191" s="140"/>
      <c r="I191" s="140"/>
      <c r="J191" s="140"/>
      <c r="K191" s="140"/>
      <c r="L191" s="140"/>
      <c r="M191" s="141" t="str">
        <f t="shared" si="2"/>
        <v/>
      </c>
      <c r="N191" s="142"/>
      <c r="O191" s="143"/>
    </row>
    <row r="192" spans="2:15" x14ac:dyDescent="0.35">
      <c r="B192" s="138" t="str">
        <f>IF(Lançamentos!$B187="","",Lançamentos!$B187)</f>
        <v/>
      </c>
      <c r="C192" s="139" t="str">
        <f>IF($B192="","",Lançamentos!$J187)</f>
        <v/>
      </c>
      <c r="D192" s="140" t="str">
        <f>IF($B192="","",Lançamentos!$H187)</f>
        <v/>
      </c>
      <c r="E192" s="140"/>
      <c r="F192" s="140"/>
      <c r="G192" s="140"/>
      <c r="H192" s="140"/>
      <c r="I192" s="140"/>
      <c r="J192" s="140"/>
      <c r="K192" s="140"/>
      <c r="L192" s="140"/>
      <c r="M192" s="141" t="str">
        <f t="shared" si="2"/>
        <v/>
      </c>
      <c r="N192" s="142"/>
      <c r="O192" s="143"/>
    </row>
    <row r="193" spans="2:15" x14ac:dyDescent="0.35">
      <c r="B193" s="138" t="str">
        <f>IF(Lançamentos!$B188="","",Lançamentos!$B188)</f>
        <v/>
      </c>
      <c r="C193" s="139" t="str">
        <f>IF($B193="","",Lançamentos!$J188)</f>
        <v/>
      </c>
      <c r="D193" s="140" t="str">
        <f>IF($B193="","",Lançamentos!$H188)</f>
        <v/>
      </c>
      <c r="E193" s="140"/>
      <c r="F193" s="140"/>
      <c r="G193" s="140"/>
      <c r="H193" s="140"/>
      <c r="I193" s="140"/>
      <c r="J193" s="140"/>
      <c r="K193" s="140"/>
      <c r="L193" s="140"/>
      <c r="M193" s="141" t="str">
        <f t="shared" si="2"/>
        <v/>
      </c>
      <c r="N193" s="142"/>
      <c r="O193" s="143"/>
    </row>
    <row r="194" spans="2:15" x14ac:dyDescent="0.35">
      <c r="B194" s="138" t="str">
        <f>IF(Lançamentos!$B189="","",Lançamentos!$B189)</f>
        <v/>
      </c>
      <c r="C194" s="139" t="str">
        <f>IF($B194="","",Lançamentos!$J189)</f>
        <v/>
      </c>
      <c r="D194" s="140" t="str">
        <f>IF($B194="","",Lançamentos!$H189)</f>
        <v/>
      </c>
      <c r="E194" s="140"/>
      <c r="F194" s="140"/>
      <c r="G194" s="140"/>
      <c r="H194" s="140"/>
      <c r="I194" s="140"/>
      <c r="J194" s="140"/>
      <c r="K194" s="140"/>
      <c r="L194" s="140"/>
      <c r="M194" s="141" t="str">
        <f t="shared" si="2"/>
        <v/>
      </c>
      <c r="N194" s="142"/>
      <c r="O194" s="143"/>
    </row>
    <row r="195" spans="2:15" x14ac:dyDescent="0.35">
      <c r="B195" s="138" t="str">
        <f>IF(Lançamentos!$B190="","",Lançamentos!$B190)</f>
        <v/>
      </c>
      <c r="C195" s="139" t="str">
        <f>IF($B195="","",Lançamentos!$J190)</f>
        <v/>
      </c>
      <c r="D195" s="140" t="str">
        <f>IF($B195="","",Lançamentos!$H190)</f>
        <v/>
      </c>
      <c r="E195" s="140"/>
      <c r="F195" s="140"/>
      <c r="G195" s="140"/>
      <c r="H195" s="140"/>
      <c r="I195" s="140"/>
      <c r="J195" s="140"/>
      <c r="K195" s="140"/>
      <c r="L195" s="140"/>
      <c r="M195" s="141" t="str">
        <f t="shared" si="2"/>
        <v/>
      </c>
      <c r="N195" s="142"/>
      <c r="O195" s="143"/>
    </row>
    <row r="196" spans="2:15" x14ac:dyDescent="0.35">
      <c r="B196" s="138" t="str">
        <f>IF(Lançamentos!$B191="","",Lançamentos!$B191)</f>
        <v/>
      </c>
      <c r="C196" s="139" t="str">
        <f>IF($B196="","",Lançamentos!$J191)</f>
        <v/>
      </c>
      <c r="D196" s="140" t="str">
        <f>IF($B196="","",Lançamentos!$H191)</f>
        <v/>
      </c>
      <c r="E196" s="140"/>
      <c r="F196" s="140"/>
      <c r="G196" s="140"/>
      <c r="H196" s="140"/>
      <c r="I196" s="140"/>
      <c r="J196" s="140"/>
      <c r="K196" s="140"/>
      <c r="L196" s="140"/>
      <c r="M196" s="141" t="str">
        <f t="shared" si="2"/>
        <v/>
      </c>
      <c r="N196" s="142"/>
      <c r="O196" s="143"/>
    </row>
    <row r="197" spans="2:15" x14ac:dyDescent="0.35">
      <c r="B197" s="138" t="str">
        <f>IF(Lançamentos!$B192="","",Lançamentos!$B192)</f>
        <v/>
      </c>
      <c r="C197" s="139" t="str">
        <f>IF($B197="","",Lançamentos!$J192)</f>
        <v/>
      </c>
      <c r="D197" s="140" t="str">
        <f>IF($B197="","",Lançamentos!$H192)</f>
        <v/>
      </c>
      <c r="E197" s="140"/>
      <c r="F197" s="140"/>
      <c r="G197" s="140"/>
      <c r="H197" s="140"/>
      <c r="I197" s="140"/>
      <c r="J197" s="140"/>
      <c r="K197" s="140"/>
      <c r="L197" s="140"/>
      <c r="M197" s="141" t="str">
        <f t="shared" si="2"/>
        <v/>
      </c>
      <c r="N197" s="142"/>
      <c r="O197" s="143"/>
    </row>
    <row r="198" spans="2:15" x14ac:dyDescent="0.35">
      <c r="B198" s="138" t="str">
        <f>IF(Lançamentos!$B193="","",Lançamentos!$B193)</f>
        <v/>
      </c>
      <c r="C198" s="139" t="str">
        <f>IF($B198="","",Lançamentos!$J193)</f>
        <v/>
      </c>
      <c r="D198" s="140" t="str">
        <f>IF($B198="","",Lançamentos!$H193)</f>
        <v/>
      </c>
      <c r="E198" s="140"/>
      <c r="F198" s="140"/>
      <c r="G198" s="140"/>
      <c r="H198" s="140"/>
      <c r="I198" s="140"/>
      <c r="J198" s="140"/>
      <c r="K198" s="140"/>
      <c r="L198" s="140"/>
      <c r="M198" s="141" t="str">
        <f t="shared" si="2"/>
        <v/>
      </c>
      <c r="N198" s="142"/>
      <c r="O198" s="143"/>
    </row>
    <row r="199" spans="2:15" x14ac:dyDescent="0.35">
      <c r="B199" s="138" t="str">
        <f>IF(Lançamentos!$B194="","",Lançamentos!$B194)</f>
        <v/>
      </c>
      <c r="C199" s="139" t="str">
        <f>IF($B199="","",Lançamentos!$J194)</f>
        <v/>
      </c>
      <c r="D199" s="140" t="str">
        <f>IF($B199="","",Lançamentos!$H194)</f>
        <v/>
      </c>
      <c r="E199" s="140"/>
      <c r="F199" s="140"/>
      <c r="G199" s="140"/>
      <c r="H199" s="140"/>
      <c r="I199" s="140"/>
      <c r="J199" s="140"/>
      <c r="K199" s="140"/>
      <c r="L199" s="140"/>
      <c r="M199" s="141" t="str">
        <f t="shared" si="2"/>
        <v/>
      </c>
      <c r="N199" s="142"/>
      <c r="O199" s="143"/>
    </row>
    <row r="200" spans="2:15" x14ac:dyDescent="0.35">
      <c r="B200" s="138" t="str">
        <f>IF(Lançamentos!$B195="","",Lançamentos!$B195)</f>
        <v/>
      </c>
      <c r="C200" s="139" t="str">
        <f>IF($B200="","",Lançamentos!$J195)</f>
        <v/>
      </c>
      <c r="D200" s="140" t="str">
        <f>IF($B200="","",Lançamentos!$H195)</f>
        <v/>
      </c>
      <c r="E200" s="140"/>
      <c r="F200" s="140"/>
      <c r="G200" s="140"/>
      <c r="H200" s="140"/>
      <c r="I200" s="140"/>
      <c r="J200" s="140"/>
      <c r="K200" s="140"/>
      <c r="L200" s="140"/>
      <c r="M200" s="141" t="str">
        <f t="shared" si="2"/>
        <v/>
      </c>
      <c r="N200" s="142"/>
      <c r="O200" s="143"/>
    </row>
    <row r="201" spans="2:15" x14ac:dyDescent="0.35">
      <c r="B201" s="138" t="str">
        <f>IF(Lançamentos!$B196="","",Lançamentos!$B196)</f>
        <v/>
      </c>
      <c r="C201" s="139" t="str">
        <f>IF($B201="","",Lançamentos!$J196)</f>
        <v/>
      </c>
      <c r="D201" s="140" t="str">
        <f>IF($B201="","",Lançamentos!$H196)</f>
        <v/>
      </c>
      <c r="E201" s="140"/>
      <c r="F201" s="140"/>
      <c r="G201" s="140"/>
      <c r="H201" s="140"/>
      <c r="I201" s="140"/>
      <c r="J201" s="140"/>
      <c r="K201" s="140"/>
      <c r="L201" s="140"/>
      <c r="M201" s="141" t="str">
        <f t="shared" ref="M201:M207" si="3">IF(B201="","",IF(COUNTIF(E201:L201,"N/A")=8,0,COUNTIF(E201:L201,"✔ Concluído")/(8-COUNTIF(E201:L201,"N/A"))))</f>
        <v/>
      </c>
      <c r="N201" s="142"/>
      <c r="O201" s="143"/>
    </row>
    <row r="202" spans="2:15" x14ac:dyDescent="0.35">
      <c r="B202" s="138" t="str">
        <f>IF(Lançamentos!$B197="","",Lançamentos!$B197)</f>
        <v/>
      </c>
      <c r="C202" s="139" t="str">
        <f>IF($B202="","",Lançamentos!$J197)</f>
        <v/>
      </c>
      <c r="D202" s="140" t="str">
        <f>IF($B202="","",Lançamentos!$H197)</f>
        <v/>
      </c>
      <c r="E202" s="140"/>
      <c r="F202" s="140"/>
      <c r="G202" s="140"/>
      <c r="H202" s="140"/>
      <c r="I202" s="140"/>
      <c r="J202" s="140"/>
      <c r="K202" s="140"/>
      <c r="L202" s="140"/>
      <c r="M202" s="141" t="str">
        <f t="shared" si="3"/>
        <v/>
      </c>
      <c r="N202" s="142"/>
      <c r="O202" s="143"/>
    </row>
    <row r="203" spans="2:15" x14ac:dyDescent="0.35">
      <c r="B203" s="138" t="str">
        <f>IF(Lançamentos!$B198="","",Lançamentos!$B198)</f>
        <v/>
      </c>
      <c r="C203" s="139" t="str">
        <f>IF($B203="","",Lançamentos!$J198)</f>
        <v/>
      </c>
      <c r="D203" s="140" t="str">
        <f>IF($B203="","",Lançamentos!$H198)</f>
        <v/>
      </c>
      <c r="E203" s="140"/>
      <c r="F203" s="140"/>
      <c r="G203" s="140"/>
      <c r="H203" s="140"/>
      <c r="I203" s="140"/>
      <c r="J203" s="140"/>
      <c r="K203" s="140"/>
      <c r="L203" s="140"/>
      <c r="M203" s="141" t="str">
        <f t="shared" si="3"/>
        <v/>
      </c>
      <c r="N203" s="142"/>
      <c r="O203" s="143"/>
    </row>
    <row r="204" spans="2:15" x14ac:dyDescent="0.35">
      <c r="B204" s="138" t="str">
        <f>IF(Lançamentos!$B199="","",Lançamentos!$B199)</f>
        <v/>
      </c>
      <c r="C204" s="139" t="str">
        <f>IF($B204="","",Lançamentos!$J199)</f>
        <v/>
      </c>
      <c r="D204" s="140" t="str">
        <f>IF($B204="","",Lançamentos!$H199)</f>
        <v/>
      </c>
      <c r="E204" s="140"/>
      <c r="F204" s="140"/>
      <c r="G204" s="140"/>
      <c r="H204" s="140"/>
      <c r="I204" s="140"/>
      <c r="J204" s="140"/>
      <c r="K204" s="140"/>
      <c r="L204" s="140"/>
      <c r="M204" s="141" t="str">
        <f t="shared" si="3"/>
        <v/>
      </c>
      <c r="N204" s="142"/>
      <c r="O204" s="143"/>
    </row>
    <row r="205" spans="2:15" x14ac:dyDescent="0.35">
      <c r="B205" s="138" t="str">
        <f>IF(Lançamentos!$B200="","",Lançamentos!$B200)</f>
        <v/>
      </c>
      <c r="C205" s="139" t="str">
        <f>IF($B205="","",Lançamentos!$J200)</f>
        <v/>
      </c>
      <c r="D205" s="140" t="str">
        <f>IF($B205="","",Lançamentos!$H200)</f>
        <v/>
      </c>
      <c r="E205" s="140"/>
      <c r="F205" s="140"/>
      <c r="G205" s="140"/>
      <c r="H205" s="140"/>
      <c r="I205" s="140"/>
      <c r="J205" s="140"/>
      <c r="K205" s="140"/>
      <c r="L205" s="140"/>
      <c r="M205" s="141" t="str">
        <f t="shared" si="3"/>
        <v/>
      </c>
      <c r="N205" s="142"/>
      <c r="O205" s="143"/>
    </row>
    <row r="206" spans="2:15" x14ac:dyDescent="0.35">
      <c r="B206" s="138" t="str">
        <f>IF(Lançamentos!$B201="","",Lançamentos!$B201)</f>
        <v/>
      </c>
      <c r="C206" s="139" t="str">
        <f>IF($B206="","",Lançamentos!$J201)</f>
        <v/>
      </c>
      <c r="D206" s="140" t="str">
        <f>IF($B206="","",Lançamentos!$H201)</f>
        <v/>
      </c>
      <c r="E206" s="140"/>
      <c r="F206" s="140"/>
      <c r="G206" s="140"/>
      <c r="H206" s="140"/>
      <c r="I206" s="140"/>
      <c r="J206" s="140"/>
      <c r="K206" s="140"/>
      <c r="L206" s="140"/>
      <c r="M206" s="141" t="str">
        <f t="shared" si="3"/>
        <v/>
      </c>
      <c r="N206" s="142"/>
      <c r="O206" s="143"/>
    </row>
    <row r="207" spans="2:15" x14ac:dyDescent="0.35">
      <c r="B207" s="144" t="str">
        <f>IF(Lançamentos!$B202="","",Lançamentos!$B202)</f>
        <v/>
      </c>
      <c r="C207" s="145" t="str">
        <f>IF($B207="","",Lançamentos!$J202)</f>
        <v/>
      </c>
      <c r="D207" s="146" t="str">
        <f>IF($B207="","",Lançamentos!$H202)</f>
        <v/>
      </c>
      <c r="E207" s="146"/>
      <c r="F207" s="146"/>
      <c r="G207" s="146"/>
      <c r="H207" s="146"/>
      <c r="I207" s="146"/>
      <c r="J207" s="146"/>
      <c r="K207" s="146"/>
      <c r="L207" s="146"/>
      <c r="M207" s="147" t="str">
        <f t="shared" si="3"/>
        <v/>
      </c>
      <c r="N207" s="148"/>
      <c r="O207" s="149"/>
    </row>
    <row r="208" spans="2:15" x14ac:dyDescent="0.35">
      <c r="B208" s="401" t="str">
        <f>IF(Lançamentos!$B203="","",Lançamentos!$B203)</f>
        <v/>
      </c>
      <c r="C208" s="402" t="str">
        <f>IF($B208="","",Lançamentos!$J203)</f>
        <v/>
      </c>
      <c r="D208" s="403" t="str">
        <f>IF($B208="","",Lançamentos!$H203)</f>
        <v/>
      </c>
      <c r="E208" s="403"/>
      <c r="F208" s="403"/>
      <c r="G208" s="403"/>
      <c r="H208" s="403"/>
      <c r="I208" s="403"/>
      <c r="J208" s="403"/>
      <c r="K208" s="403"/>
      <c r="L208" s="403"/>
      <c r="M208" s="141" t="str">
        <f t="shared" ref="M208:M271" si="4">IF(B208="","",IF(COUNTIF(E208:L208,"N/A")=8,0,COUNTIF(E208:L208,"✔ Concluído")/(8-COUNTIF(E208:L208,"N/A"))))</f>
        <v/>
      </c>
      <c r="N208" s="404"/>
      <c r="O208" s="405"/>
    </row>
    <row r="209" spans="2:15" x14ac:dyDescent="0.35">
      <c r="B209" s="401" t="str">
        <f>IF(Lançamentos!$B204="","",Lançamentos!$B204)</f>
        <v/>
      </c>
      <c r="C209" s="402" t="str">
        <f>IF($B209="","",Lançamentos!$J204)</f>
        <v/>
      </c>
      <c r="D209" s="403" t="str">
        <f>IF($B209="","",Lançamentos!$H204)</f>
        <v/>
      </c>
      <c r="E209" s="403"/>
      <c r="F209" s="403"/>
      <c r="G209" s="403"/>
      <c r="H209" s="403"/>
      <c r="I209" s="403"/>
      <c r="J209" s="403"/>
      <c r="K209" s="403"/>
      <c r="L209" s="403"/>
      <c r="M209" s="141" t="str">
        <f t="shared" si="4"/>
        <v/>
      </c>
      <c r="N209" s="404"/>
      <c r="O209" s="405"/>
    </row>
    <row r="210" spans="2:15" x14ac:dyDescent="0.35">
      <c r="B210" s="401" t="str">
        <f>IF(Lançamentos!$B205="","",Lançamentos!$B205)</f>
        <v/>
      </c>
      <c r="C210" s="402" t="str">
        <f>IF($B210="","",Lançamentos!$J205)</f>
        <v/>
      </c>
      <c r="D210" s="403" t="str">
        <f>IF($B210="","",Lançamentos!$H205)</f>
        <v/>
      </c>
      <c r="E210" s="403"/>
      <c r="F210" s="403"/>
      <c r="G210" s="403"/>
      <c r="H210" s="403"/>
      <c r="I210" s="403"/>
      <c r="J210" s="403"/>
      <c r="K210" s="403"/>
      <c r="L210" s="403"/>
      <c r="M210" s="141" t="str">
        <f t="shared" si="4"/>
        <v/>
      </c>
      <c r="N210" s="404"/>
      <c r="O210" s="405"/>
    </row>
    <row r="211" spans="2:15" x14ac:dyDescent="0.35">
      <c r="B211" s="401" t="str">
        <f>IF(Lançamentos!$B206="","",Lançamentos!$B206)</f>
        <v/>
      </c>
      <c r="C211" s="402" t="str">
        <f>IF($B211="","",Lançamentos!$J206)</f>
        <v/>
      </c>
      <c r="D211" s="403" t="str">
        <f>IF($B211="","",Lançamentos!$H206)</f>
        <v/>
      </c>
      <c r="E211" s="403"/>
      <c r="F211" s="403"/>
      <c r="G211" s="403"/>
      <c r="H211" s="403"/>
      <c r="I211" s="403"/>
      <c r="J211" s="403"/>
      <c r="K211" s="403"/>
      <c r="L211" s="403"/>
      <c r="M211" s="141" t="str">
        <f t="shared" si="4"/>
        <v/>
      </c>
      <c r="N211" s="404"/>
      <c r="O211" s="405"/>
    </row>
    <row r="212" spans="2:15" x14ac:dyDescent="0.35">
      <c r="B212" s="401" t="str">
        <f>IF(Lançamentos!$B207="","",Lançamentos!$B207)</f>
        <v/>
      </c>
      <c r="C212" s="402" t="str">
        <f>IF($B212="","",Lançamentos!$J207)</f>
        <v/>
      </c>
      <c r="D212" s="403" t="str">
        <f>IF($B212="","",Lançamentos!$H207)</f>
        <v/>
      </c>
      <c r="E212" s="403"/>
      <c r="F212" s="403"/>
      <c r="G212" s="403"/>
      <c r="H212" s="403"/>
      <c r="I212" s="403"/>
      <c r="J212" s="403"/>
      <c r="K212" s="403"/>
      <c r="L212" s="403"/>
      <c r="M212" s="141" t="str">
        <f t="shared" si="4"/>
        <v/>
      </c>
      <c r="N212" s="404"/>
      <c r="O212" s="405"/>
    </row>
    <row r="213" spans="2:15" x14ac:dyDescent="0.35">
      <c r="B213" s="401" t="str">
        <f>IF(Lançamentos!$B208="","",Lançamentos!$B208)</f>
        <v/>
      </c>
      <c r="C213" s="402" t="str">
        <f>IF($B213="","",Lançamentos!$J208)</f>
        <v/>
      </c>
      <c r="D213" s="403" t="str">
        <f>IF($B213="","",Lançamentos!$H208)</f>
        <v/>
      </c>
      <c r="E213" s="403"/>
      <c r="F213" s="403"/>
      <c r="G213" s="403"/>
      <c r="H213" s="403"/>
      <c r="I213" s="403"/>
      <c r="J213" s="403"/>
      <c r="K213" s="403"/>
      <c r="L213" s="403"/>
      <c r="M213" s="141" t="str">
        <f t="shared" si="4"/>
        <v/>
      </c>
      <c r="N213" s="404"/>
      <c r="O213" s="405"/>
    </row>
    <row r="214" spans="2:15" x14ac:dyDescent="0.35">
      <c r="B214" s="401" t="str">
        <f>IF(Lançamentos!$B209="","",Lançamentos!$B209)</f>
        <v/>
      </c>
      <c r="C214" s="402" t="str">
        <f>IF($B214="","",Lançamentos!$J209)</f>
        <v/>
      </c>
      <c r="D214" s="403" t="str">
        <f>IF($B214="","",Lançamentos!$H209)</f>
        <v/>
      </c>
      <c r="E214" s="403"/>
      <c r="F214" s="403"/>
      <c r="G214" s="403"/>
      <c r="H214" s="403"/>
      <c r="I214" s="403"/>
      <c r="J214" s="403"/>
      <c r="K214" s="403"/>
      <c r="L214" s="403"/>
      <c r="M214" s="141" t="str">
        <f t="shared" si="4"/>
        <v/>
      </c>
      <c r="N214" s="404"/>
      <c r="O214" s="405"/>
    </row>
    <row r="215" spans="2:15" x14ac:dyDescent="0.35">
      <c r="B215" s="401" t="str">
        <f>IF(Lançamentos!$B210="","",Lançamentos!$B210)</f>
        <v/>
      </c>
      <c r="C215" s="402" t="str">
        <f>IF($B215="","",Lançamentos!$J210)</f>
        <v/>
      </c>
      <c r="D215" s="403" t="str">
        <f>IF($B215="","",Lançamentos!$H210)</f>
        <v/>
      </c>
      <c r="E215" s="403"/>
      <c r="F215" s="403"/>
      <c r="G215" s="403"/>
      <c r="H215" s="403"/>
      <c r="I215" s="403"/>
      <c r="J215" s="403"/>
      <c r="K215" s="403"/>
      <c r="L215" s="403"/>
      <c r="M215" s="141" t="str">
        <f t="shared" si="4"/>
        <v/>
      </c>
      <c r="N215" s="404"/>
      <c r="O215" s="405"/>
    </row>
    <row r="216" spans="2:15" x14ac:dyDescent="0.35">
      <c r="B216" s="401" t="str">
        <f>IF(Lançamentos!$B211="","",Lançamentos!$B211)</f>
        <v/>
      </c>
      <c r="C216" s="402" t="str">
        <f>IF($B216="","",Lançamentos!$J211)</f>
        <v/>
      </c>
      <c r="D216" s="403" t="str">
        <f>IF($B216="","",Lançamentos!$H211)</f>
        <v/>
      </c>
      <c r="E216" s="403"/>
      <c r="F216" s="403"/>
      <c r="G216" s="403"/>
      <c r="H216" s="403"/>
      <c r="I216" s="403"/>
      <c r="J216" s="403"/>
      <c r="K216" s="403"/>
      <c r="L216" s="403"/>
      <c r="M216" s="141" t="str">
        <f t="shared" si="4"/>
        <v/>
      </c>
      <c r="N216" s="404"/>
      <c r="O216" s="405"/>
    </row>
    <row r="217" spans="2:15" x14ac:dyDescent="0.35">
      <c r="B217" s="401" t="str">
        <f>IF(Lançamentos!$B212="","",Lançamentos!$B212)</f>
        <v/>
      </c>
      <c r="C217" s="402" t="str">
        <f>IF($B217="","",Lançamentos!$J212)</f>
        <v/>
      </c>
      <c r="D217" s="403" t="str">
        <f>IF($B217="","",Lançamentos!$H212)</f>
        <v/>
      </c>
      <c r="E217" s="403"/>
      <c r="F217" s="403"/>
      <c r="G217" s="403"/>
      <c r="H217" s="403"/>
      <c r="I217" s="403"/>
      <c r="J217" s="403"/>
      <c r="K217" s="403"/>
      <c r="L217" s="403"/>
      <c r="M217" s="141" t="str">
        <f t="shared" si="4"/>
        <v/>
      </c>
      <c r="N217" s="404"/>
      <c r="O217" s="405"/>
    </row>
    <row r="218" spans="2:15" x14ac:dyDescent="0.35">
      <c r="B218" s="401" t="str">
        <f>IF(Lançamentos!$B213="","",Lançamentos!$B213)</f>
        <v/>
      </c>
      <c r="C218" s="402" t="str">
        <f>IF($B218="","",Lançamentos!$J213)</f>
        <v/>
      </c>
      <c r="D218" s="403" t="str">
        <f>IF($B218="","",Lançamentos!$H213)</f>
        <v/>
      </c>
      <c r="E218" s="403"/>
      <c r="F218" s="403"/>
      <c r="G218" s="403"/>
      <c r="H218" s="403"/>
      <c r="I218" s="403"/>
      <c r="J218" s="403"/>
      <c r="K218" s="403"/>
      <c r="L218" s="403"/>
      <c r="M218" s="141" t="str">
        <f t="shared" si="4"/>
        <v/>
      </c>
      <c r="N218" s="404"/>
      <c r="O218" s="405"/>
    </row>
    <row r="219" spans="2:15" x14ac:dyDescent="0.35">
      <c r="B219" s="401" t="str">
        <f>IF(Lançamentos!$B214="","",Lançamentos!$B214)</f>
        <v/>
      </c>
      <c r="C219" s="402" t="str">
        <f>IF($B219="","",Lançamentos!$J214)</f>
        <v/>
      </c>
      <c r="D219" s="403" t="str">
        <f>IF($B219="","",Lançamentos!$H214)</f>
        <v/>
      </c>
      <c r="E219" s="403"/>
      <c r="F219" s="403"/>
      <c r="G219" s="403"/>
      <c r="H219" s="403"/>
      <c r="I219" s="403"/>
      <c r="J219" s="403"/>
      <c r="K219" s="403"/>
      <c r="L219" s="403"/>
      <c r="M219" s="141" t="str">
        <f t="shared" si="4"/>
        <v/>
      </c>
      <c r="N219" s="404"/>
      <c r="O219" s="405"/>
    </row>
    <row r="220" spans="2:15" x14ac:dyDescent="0.35">
      <c r="B220" s="401" t="str">
        <f>IF(Lançamentos!$B215="","",Lançamentos!$B215)</f>
        <v/>
      </c>
      <c r="C220" s="402" t="str">
        <f>IF($B220="","",Lançamentos!$J215)</f>
        <v/>
      </c>
      <c r="D220" s="403" t="str">
        <f>IF($B220="","",Lançamentos!$H215)</f>
        <v/>
      </c>
      <c r="E220" s="403"/>
      <c r="F220" s="403"/>
      <c r="G220" s="403"/>
      <c r="H220" s="403"/>
      <c r="I220" s="403"/>
      <c r="J220" s="403"/>
      <c r="K220" s="403"/>
      <c r="L220" s="403"/>
      <c r="M220" s="141" t="str">
        <f t="shared" si="4"/>
        <v/>
      </c>
      <c r="N220" s="404"/>
      <c r="O220" s="405"/>
    </row>
    <row r="221" spans="2:15" x14ac:dyDescent="0.35">
      <c r="B221" s="401" t="str">
        <f>IF(Lançamentos!$B216="","",Lançamentos!$B216)</f>
        <v/>
      </c>
      <c r="C221" s="402" t="str">
        <f>IF($B221="","",Lançamentos!$J216)</f>
        <v/>
      </c>
      <c r="D221" s="403" t="str">
        <f>IF($B221="","",Lançamentos!$H216)</f>
        <v/>
      </c>
      <c r="E221" s="403"/>
      <c r="F221" s="403"/>
      <c r="G221" s="403"/>
      <c r="H221" s="403"/>
      <c r="I221" s="403"/>
      <c r="J221" s="403"/>
      <c r="K221" s="403"/>
      <c r="L221" s="403"/>
      <c r="M221" s="141" t="str">
        <f t="shared" si="4"/>
        <v/>
      </c>
      <c r="N221" s="404"/>
      <c r="O221" s="405"/>
    </row>
    <row r="222" spans="2:15" x14ac:dyDescent="0.35">
      <c r="B222" s="401" t="str">
        <f>IF(Lançamentos!$B217="","",Lançamentos!$B217)</f>
        <v/>
      </c>
      <c r="C222" s="402" t="str">
        <f>IF($B222="","",Lançamentos!$J217)</f>
        <v/>
      </c>
      <c r="D222" s="403" t="str">
        <f>IF($B222="","",Lançamentos!$H217)</f>
        <v/>
      </c>
      <c r="E222" s="403"/>
      <c r="F222" s="403"/>
      <c r="G222" s="403"/>
      <c r="H222" s="403"/>
      <c r="I222" s="403"/>
      <c r="J222" s="403"/>
      <c r="K222" s="403"/>
      <c r="L222" s="403"/>
      <c r="M222" s="141" t="str">
        <f t="shared" si="4"/>
        <v/>
      </c>
      <c r="N222" s="404"/>
      <c r="O222" s="405"/>
    </row>
    <row r="223" spans="2:15" x14ac:dyDescent="0.35">
      <c r="B223" s="401" t="str">
        <f>IF(Lançamentos!$B218="","",Lançamentos!$B218)</f>
        <v/>
      </c>
      <c r="C223" s="402" t="str">
        <f>IF($B223="","",Lançamentos!$J218)</f>
        <v/>
      </c>
      <c r="D223" s="403" t="str">
        <f>IF($B223="","",Lançamentos!$H218)</f>
        <v/>
      </c>
      <c r="E223" s="403"/>
      <c r="F223" s="403"/>
      <c r="G223" s="403"/>
      <c r="H223" s="403"/>
      <c r="I223" s="403"/>
      <c r="J223" s="403"/>
      <c r="K223" s="403"/>
      <c r="L223" s="403"/>
      <c r="M223" s="141" t="str">
        <f t="shared" si="4"/>
        <v/>
      </c>
      <c r="N223" s="404"/>
      <c r="O223" s="405"/>
    </row>
    <row r="224" spans="2:15" x14ac:dyDescent="0.35">
      <c r="B224" s="401" t="str">
        <f>IF(Lançamentos!$B219="","",Lançamentos!$B219)</f>
        <v/>
      </c>
      <c r="C224" s="402" t="str">
        <f>IF($B224="","",Lançamentos!$J219)</f>
        <v/>
      </c>
      <c r="D224" s="403" t="str">
        <f>IF($B224="","",Lançamentos!$H219)</f>
        <v/>
      </c>
      <c r="E224" s="403"/>
      <c r="F224" s="403"/>
      <c r="G224" s="403"/>
      <c r="H224" s="403"/>
      <c r="I224" s="403"/>
      <c r="J224" s="403"/>
      <c r="K224" s="403"/>
      <c r="L224" s="403"/>
      <c r="M224" s="141" t="str">
        <f t="shared" si="4"/>
        <v/>
      </c>
      <c r="N224" s="404"/>
      <c r="O224" s="405"/>
    </row>
    <row r="225" spans="2:15" x14ac:dyDescent="0.35">
      <c r="B225" s="401" t="str">
        <f>IF(Lançamentos!$B220="","",Lançamentos!$B220)</f>
        <v/>
      </c>
      <c r="C225" s="402" t="str">
        <f>IF($B225="","",Lançamentos!$J220)</f>
        <v/>
      </c>
      <c r="D225" s="403" t="str">
        <f>IF($B225="","",Lançamentos!$H220)</f>
        <v/>
      </c>
      <c r="E225" s="403"/>
      <c r="F225" s="403"/>
      <c r="G225" s="403"/>
      <c r="H225" s="403"/>
      <c r="I225" s="403"/>
      <c r="J225" s="403"/>
      <c r="K225" s="403"/>
      <c r="L225" s="403"/>
      <c r="M225" s="141" t="str">
        <f t="shared" si="4"/>
        <v/>
      </c>
      <c r="N225" s="404"/>
      <c r="O225" s="405"/>
    </row>
    <row r="226" spans="2:15" x14ac:dyDescent="0.35">
      <c r="B226" s="401" t="str">
        <f>IF(Lançamentos!$B221="","",Lançamentos!$B221)</f>
        <v/>
      </c>
      <c r="C226" s="402" t="str">
        <f>IF($B226="","",Lançamentos!$J221)</f>
        <v/>
      </c>
      <c r="D226" s="403" t="str">
        <f>IF($B226="","",Lançamentos!$H221)</f>
        <v/>
      </c>
      <c r="E226" s="403"/>
      <c r="F226" s="403"/>
      <c r="G226" s="403"/>
      <c r="H226" s="403"/>
      <c r="I226" s="403"/>
      <c r="J226" s="403"/>
      <c r="K226" s="403"/>
      <c r="L226" s="403"/>
      <c r="M226" s="141" t="str">
        <f t="shared" si="4"/>
        <v/>
      </c>
      <c r="N226" s="404"/>
      <c r="O226" s="405"/>
    </row>
    <row r="227" spans="2:15" x14ac:dyDescent="0.35">
      <c r="B227" s="401" t="str">
        <f>IF(Lançamentos!$B222="","",Lançamentos!$B222)</f>
        <v/>
      </c>
      <c r="C227" s="402" t="str">
        <f>IF($B227="","",Lançamentos!$J222)</f>
        <v/>
      </c>
      <c r="D227" s="403" t="str">
        <f>IF($B227="","",Lançamentos!$H222)</f>
        <v/>
      </c>
      <c r="E227" s="403"/>
      <c r="F227" s="403"/>
      <c r="G227" s="403"/>
      <c r="H227" s="403"/>
      <c r="I227" s="403"/>
      <c r="J227" s="403"/>
      <c r="K227" s="403"/>
      <c r="L227" s="403"/>
      <c r="M227" s="141" t="str">
        <f t="shared" si="4"/>
        <v/>
      </c>
      <c r="N227" s="404"/>
      <c r="O227" s="405"/>
    </row>
    <row r="228" spans="2:15" x14ac:dyDescent="0.35">
      <c r="B228" s="401" t="str">
        <f>IF(Lançamentos!$B223="","",Lançamentos!$B223)</f>
        <v/>
      </c>
      <c r="C228" s="402" t="str">
        <f>IF($B228="","",Lançamentos!$J223)</f>
        <v/>
      </c>
      <c r="D228" s="403" t="str">
        <f>IF($B228="","",Lançamentos!$H223)</f>
        <v/>
      </c>
      <c r="E228" s="403"/>
      <c r="F228" s="403"/>
      <c r="G228" s="403"/>
      <c r="H228" s="403"/>
      <c r="I228" s="403"/>
      <c r="J228" s="403"/>
      <c r="K228" s="403"/>
      <c r="L228" s="403"/>
      <c r="M228" s="141" t="str">
        <f t="shared" si="4"/>
        <v/>
      </c>
      <c r="N228" s="404"/>
      <c r="O228" s="405"/>
    </row>
    <row r="229" spans="2:15" x14ac:dyDescent="0.35">
      <c r="B229" s="401" t="str">
        <f>IF(Lançamentos!$B224="","",Lançamentos!$B224)</f>
        <v/>
      </c>
      <c r="C229" s="402" t="str">
        <f>IF($B229="","",Lançamentos!$J224)</f>
        <v/>
      </c>
      <c r="D229" s="403" t="str">
        <f>IF($B229="","",Lançamentos!$H224)</f>
        <v/>
      </c>
      <c r="E229" s="403"/>
      <c r="F229" s="403"/>
      <c r="G229" s="403"/>
      <c r="H229" s="403"/>
      <c r="I229" s="403"/>
      <c r="J229" s="403"/>
      <c r="K229" s="403"/>
      <c r="L229" s="403"/>
      <c r="M229" s="141" t="str">
        <f t="shared" si="4"/>
        <v/>
      </c>
      <c r="N229" s="404"/>
      <c r="O229" s="405"/>
    </row>
    <row r="230" spans="2:15" x14ac:dyDescent="0.35">
      <c r="B230" s="401" t="str">
        <f>IF(Lançamentos!$B225="","",Lançamentos!$B225)</f>
        <v/>
      </c>
      <c r="C230" s="402" t="str">
        <f>IF($B230="","",Lançamentos!$J225)</f>
        <v/>
      </c>
      <c r="D230" s="403" t="str">
        <f>IF($B230="","",Lançamentos!$H225)</f>
        <v/>
      </c>
      <c r="E230" s="403"/>
      <c r="F230" s="403"/>
      <c r="G230" s="403"/>
      <c r="H230" s="403"/>
      <c r="I230" s="403"/>
      <c r="J230" s="403"/>
      <c r="K230" s="403"/>
      <c r="L230" s="403"/>
      <c r="M230" s="141" t="str">
        <f t="shared" si="4"/>
        <v/>
      </c>
      <c r="N230" s="404"/>
      <c r="O230" s="405"/>
    </row>
    <row r="231" spans="2:15" x14ac:dyDescent="0.35">
      <c r="B231" s="401" t="str">
        <f>IF(Lançamentos!$B226="","",Lançamentos!$B226)</f>
        <v/>
      </c>
      <c r="C231" s="402" t="str">
        <f>IF($B231="","",Lançamentos!$J226)</f>
        <v/>
      </c>
      <c r="D231" s="403" t="str">
        <f>IF($B231="","",Lançamentos!$H226)</f>
        <v/>
      </c>
      <c r="E231" s="403"/>
      <c r="F231" s="403"/>
      <c r="G231" s="403"/>
      <c r="H231" s="403"/>
      <c r="I231" s="403"/>
      <c r="J231" s="403"/>
      <c r="K231" s="403"/>
      <c r="L231" s="403"/>
      <c r="M231" s="141" t="str">
        <f t="shared" si="4"/>
        <v/>
      </c>
      <c r="N231" s="404"/>
      <c r="O231" s="405"/>
    </row>
    <row r="232" spans="2:15" x14ac:dyDescent="0.35">
      <c r="B232" s="401" t="str">
        <f>IF(Lançamentos!$B227="","",Lançamentos!$B227)</f>
        <v/>
      </c>
      <c r="C232" s="402" t="str">
        <f>IF($B232="","",Lançamentos!$J227)</f>
        <v/>
      </c>
      <c r="D232" s="403" t="str">
        <f>IF($B232="","",Lançamentos!$H227)</f>
        <v/>
      </c>
      <c r="E232" s="403"/>
      <c r="F232" s="403"/>
      <c r="G232" s="403"/>
      <c r="H232" s="403"/>
      <c r="I232" s="403"/>
      <c r="J232" s="403"/>
      <c r="K232" s="403"/>
      <c r="L232" s="403"/>
      <c r="M232" s="141" t="str">
        <f t="shared" si="4"/>
        <v/>
      </c>
      <c r="N232" s="404"/>
      <c r="O232" s="405"/>
    </row>
    <row r="233" spans="2:15" x14ac:dyDescent="0.35">
      <c r="B233" s="401" t="str">
        <f>IF(Lançamentos!$B228="","",Lançamentos!$B228)</f>
        <v/>
      </c>
      <c r="C233" s="402" t="str">
        <f>IF($B233="","",Lançamentos!$J228)</f>
        <v/>
      </c>
      <c r="D233" s="403" t="str">
        <f>IF($B233="","",Lançamentos!$H228)</f>
        <v/>
      </c>
      <c r="E233" s="403"/>
      <c r="F233" s="403"/>
      <c r="G233" s="403"/>
      <c r="H233" s="403"/>
      <c r="I233" s="403"/>
      <c r="J233" s="403"/>
      <c r="K233" s="403"/>
      <c r="L233" s="403"/>
      <c r="M233" s="141" t="str">
        <f t="shared" si="4"/>
        <v/>
      </c>
      <c r="N233" s="404"/>
      <c r="O233" s="405"/>
    </row>
    <row r="234" spans="2:15" x14ac:dyDescent="0.35">
      <c r="B234" s="401" t="str">
        <f>IF(Lançamentos!$B229="","",Lançamentos!$B229)</f>
        <v/>
      </c>
      <c r="C234" s="402" t="str">
        <f>IF($B234="","",Lançamentos!$J229)</f>
        <v/>
      </c>
      <c r="D234" s="403" t="str">
        <f>IF($B234="","",Lançamentos!$H229)</f>
        <v/>
      </c>
      <c r="E234" s="403"/>
      <c r="F234" s="403"/>
      <c r="G234" s="403"/>
      <c r="H234" s="403"/>
      <c r="I234" s="403"/>
      <c r="J234" s="403"/>
      <c r="K234" s="403"/>
      <c r="L234" s="403"/>
      <c r="M234" s="141" t="str">
        <f t="shared" si="4"/>
        <v/>
      </c>
      <c r="N234" s="404"/>
      <c r="O234" s="405"/>
    </row>
    <row r="235" spans="2:15" x14ac:dyDescent="0.35">
      <c r="B235" s="401" t="str">
        <f>IF(Lançamentos!$B230="","",Lançamentos!$B230)</f>
        <v/>
      </c>
      <c r="C235" s="402" t="str">
        <f>IF($B235="","",Lançamentos!$J230)</f>
        <v/>
      </c>
      <c r="D235" s="403" t="str">
        <f>IF($B235="","",Lançamentos!$H230)</f>
        <v/>
      </c>
      <c r="E235" s="403"/>
      <c r="F235" s="403"/>
      <c r="G235" s="403"/>
      <c r="H235" s="403"/>
      <c r="I235" s="403"/>
      <c r="J235" s="403"/>
      <c r="K235" s="403"/>
      <c r="L235" s="403"/>
      <c r="M235" s="141" t="str">
        <f t="shared" si="4"/>
        <v/>
      </c>
      <c r="N235" s="404"/>
      <c r="O235" s="405"/>
    </row>
    <row r="236" spans="2:15" x14ac:dyDescent="0.35">
      <c r="B236" s="401" t="str">
        <f>IF(Lançamentos!$B231="","",Lançamentos!$B231)</f>
        <v/>
      </c>
      <c r="C236" s="402" t="str">
        <f>IF($B236="","",Lançamentos!$J231)</f>
        <v/>
      </c>
      <c r="D236" s="403" t="str">
        <f>IF($B236="","",Lançamentos!$H231)</f>
        <v/>
      </c>
      <c r="E236" s="403"/>
      <c r="F236" s="403"/>
      <c r="G236" s="403"/>
      <c r="H236" s="403"/>
      <c r="I236" s="403"/>
      <c r="J236" s="403"/>
      <c r="K236" s="403"/>
      <c r="L236" s="403"/>
      <c r="M236" s="141" t="str">
        <f t="shared" si="4"/>
        <v/>
      </c>
      <c r="N236" s="404"/>
      <c r="O236" s="405"/>
    </row>
    <row r="237" spans="2:15" x14ac:dyDescent="0.35">
      <c r="B237" s="401" t="str">
        <f>IF(Lançamentos!$B232="","",Lançamentos!$B232)</f>
        <v/>
      </c>
      <c r="C237" s="402" t="str">
        <f>IF($B237="","",Lançamentos!$J232)</f>
        <v/>
      </c>
      <c r="D237" s="403" t="str">
        <f>IF($B237="","",Lançamentos!$H232)</f>
        <v/>
      </c>
      <c r="E237" s="403"/>
      <c r="F237" s="403"/>
      <c r="G237" s="403"/>
      <c r="H237" s="403"/>
      <c r="I237" s="403"/>
      <c r="J237" s="403"/>
      <c r="K237" s="403"/>
      <c r="L237" s="403"/>
      <c r="M237" s="141" t="str">
        <f t="shared" si="4"/>
        <v/>
      </c>
      <c r="N237" s="404"/>
      <c r="O237" s="405"/>
    </row>
    <row r="238" spans="2:15" x14ac:dyDescent="0.35">
      <c r="B238" s="401" t="str">
        <f>IF(Lançamentos!$B233="","",Lançamentos!$B233)</f>
        <v/>
      </c>
      <c r="C238" s="402" t="str">
        <f>IF($B238="","",Lançamentos!$J233)</f>
        <v/>
      </c>
      <c r="D238" s="403" t="str">
        <f>IF($B238="","",Lançamentos!$H233)</f>
        <v/>
      </c>
      <c r="E238" s="403"/>
      <c r="F238" s="403"/>
      <c r="G238" s="403"/>
      <c r="H238" s="403"/>
      <c r="I238" s="403"/>
      <c r="J238" s="403"/>
      <c r="K238" s="403"/>
      <c r="L238" s="403"/>
      <c r="M238" s="141" t="str">
        <f t="shared" si="4"/>
        <v/>
      </c>
      <c r="N238" s="404"/>
      <c r="O238" s="405"/>
    </row>
    <row r="239" spans="2:15" x14ac:dyDescent="0.35">
      <c r="B239" s="401" t="str">
        <f>IF(Lançamentos!$B234="","",Lançamentos!$B234)</f>
        <v/>
      </c>
      <c r="C239" s="402" t="str">
        <f>IF($B239="","",Lançamentos!$J234)</f>
        <v/>
      </c>
      <c r="D239" s="403" t="str">
        <f>IF($B239="","",Lançamentos!$H234)</f>
        <v/>
      </c>
      <c r="E239" s="403"/>
      <c r="F239" s="403"/>
      <c r="G239" s="403"/>
      <c r="H239" s="403"/>
      <c r="I239" s="403"/>
      <c r="J239" s="403"/>
      <c r="K239" s="403"/>
      <c r="L239" s="403"/>
      <c r="M239" s="141" t="str">
        <f t="shared" si="4"/>
        <v/>
      </c>
      <c r="N239" s="404"/>
      <c r="O239" s="405"/>
    </row>
    <row r="240" spans="2:15" x14ac:dyDescent="0.35">
      <c r="B240" s="401" t="str">
        <f>IF(Lançamentos!$B235="","",Lançamentos!$B235)</f>
        <v/>
      </c>
      <c r="C240" s="402" t="str">
        <f>IF($B240="","",Lançamentos!$J235)</f>
        <v/>
      </c>
      <c r="D240" s="403" t="str">
        <f>IF($B240="","",Lançamentos!$H235)</f>
        <v/>
      </c>
      <c r="E240" s="403"/>
      <c r="F240" s="403"/>
      <c r="G240" s="403"/>
      <c r="H240" s="403"/>
      <c r="I240" s="403"/>
      <c r="J240" s="403"/>
      <c r="K240" s="403"/>
      <c r="L240" s="403"/>
      <c r="M240" s="141" t="str">
        <f t="shared" si="4"/>
        <v/>
      </c>
      <c r="N240" s="404"/>
      <c r="O240" s="405"/>
    </row>
    <row r="241" spans="2:15" x14ac:dyDescent="0.35">
      <c r="B241" s="401" t="str">
        <f>IF(Lançamentos!$B236="","",Lançamentos!$B236)</f>
        <v/>
      </c>
      <c r="C241" s="402" t="str">
        <f>IF($B241="","",Lançamentos!$J236)</f>
        <v/>
      </c>
      <c r="D241" s="403" t="str">
        <f>IF($B241="","",Lançamentos!$H236)</f>
        <v/>
      </c>
      <c r="E241" s="403"/>
      <c r="F241" s="403"/>
      <c r="G241" s="403"/>
      <c r="H241" s="403"/>
      <c r="I241" s="403"/>
      <c r="J241" s="403"/>
      <c r="K241" s="403"/>
      <c r="L241" s="403"/>
      <c r="M241" s="141" t="str">
        <f t="shared" si="4"/>
        <v/>
      </c>
      <c r="N241" s="404"/>
      <c r="O241" s="405"/>
    </row>
    <row r="242" spans="2:15" x14ac:dyDescent="0.35">
      <c r="B242" s="401" t="str">
        <f>IF(Lançamentos!$B237="","",Lançamentos!$B237)</f>
        <v/>
      </c>
      <c r="C242" s="402" t="str">
        <f>IF($B242="","",Lançamentos!$J237)</f>
        <v/>
      </c>
      <c r="D242" s="403" t="str">
        <f>IF($B242="","",Lançamentos!$H237)</f>
        <v/>
      </c>
      <c r="E242" s="403"/>
      <c r="F242" s="403"/>
      <c r="G242" s="403"/>
      <c r="H242" s="403"/>
      <c r="I242" s="403"/>
      <c r="J242" s="403"/>
      <c r="K242" s="403"/>
      <c r="L242" s="403"/>
      <c r="M242" s="141" t="str">
        <f t="shared" si="4"/>
        <v/>
      </c>
      <c r="N242" s="404"/>
      <c r="O242" s="405"/>
    </row>
    <row r="243" spans="2:15" x14ac:dyDescent="0.35">
      <c r="B243" s="401" t="str">
        <f>IF(Lançamentos!$B238="","",Lançamentos!$B238)</f>
        <v/>
      </c>
      <c r="C243" s="402" t="str">
        <f>IF($B243="","",Lançamentos!$J238)</f>
        <v/>
      </c>
      <c r="D243" s="403" t="str">
        <f>IF($B243="","",Lançamentos!$H238)</f>
        <v/>
      </c>
      <c r="E243" s="403"/>
      <c r="F243" s="403"/>
      <c r="G243" s="403"/>
      <c r="H243" s="403"/>
      <c r="I243" s="403"/>
      <c r="J243" s="403"/>
      <c r="K243" s="403"/>
      <c r="L243" s="403"/>
      <c r="M243" s="141" t="str">
        <f t="shared" si="4"/>
        <v/>
      </c>
      <c r="N243" s="404"/>
      <c r="O243" s="405"/>
    </row>
    <row r="244" spans="2:15" x14ac:dyDescent="0.35">
      <c r="B244" s="401" t="str">
        <f>IF(Lançamentos!$B239="","",Lançamentos!$B239)</f>
        <v/>
      </c>
      <c r="C244" s="402" t="str">
        <f>IF($B244="","",Lançamentos!$J239)</f>
        <v/>
      </c>
      <c r="D244" s="403" t="str">
        <f>IF($B244="","",Lançamentos!$H239)</f>
        <v/>
      </c>
      <c r="E244" s="403"/>
      <c r="F244" s="403"/>
      <c r="G244" s="403"/>
      <c r="H244" s="403"/>
      <c r="I244" s="403"/>
      <c r="J244" s="403"/>
      <c r="K244" s="403"/>
      <c r="L244" s="403"/>
      <c r="M244" s="141" t="str">
        <f t="shared" si="4"/>
        <v/>
      </c>
      <c r="N244" s="404"/>
      <c r="O244" s="405"/>
    </row>
    <row r="245" spans="2:15" x14ac:dyDescent="0.35">
      <c r="B245" s="401" t="str">
        <f>IF(Lançamentos!$B240="","",Lançamentos!$B240)</f>
        <v/>
      </c>
      <c r="C245" s="402" t="str">
        <f>IF($B245="","",Lançamentos!$J240)</f>
        <v/>
      </c>
      <c r="D245" s="403" t="str">
        <f>IF($B245="","",Lançamentos!$H240)</f>
        <v/>
      </c>
      <c r="E245" s="403"/>
      <c r="F245" s="403"/>
      <c r="G245" s="403"/>
      <c r="H245" s="403"/>
      <c r="I245" s="403"/>
      <c r="J245" s="403"/>
      <c r="K245" s="403"/>
      <c r="L245" s="403"/>
      <c r="M245" s="141" t="str">
        <f t="shared" si="4"/>
        <v/>
      </c>
      <c r="N245" s="404"/>
      <c r="O245" s="405"/>
    </row>
    <row r="246" spans="2:15" x14ac:dyDescent="0.35">
      <c r="B246" s="401" t="str">
        <f>IF(Lançamentos!$B241="","",Lançamentos!$B241)</f>
        <v/>
      </c>
      <c r="C246" s="402" t="str">
        <f>IF($B246="","",Lançamentos!$J241)</f>
        <v/>
      </c>
      <c r="D246" s="403" t="str">
        <f>IF($B246="","",Lançamentos!$H241)</f>
        <v/>
      </c>
      <c r="E246" s="403"/>
      <c r="F246" s="403"/>
      <c r="G246" s="403"/>
      <c r="H246" s="403"/>
      <c r="I246" s="403"/>
      <c r="J246" s="403"/>
      <c r="K246" s="403"/>
      <c r="L246" s="403"/>
      <c r="M246" s="141" t="str">
        <f t="shared" si="4"/>
        <v/>
      </c>
      <c r="N246" s="404"/>
      <c r="O246" s="405"/>
    </row>
    <row r="247" spans="2:15" x14ac:dyDescent="0.35">
      <c r="B247" s="401" t="str">
        <f>IF(Lançamentos!$B242="","",Lançamentos!$B242)</f>
        <v/>
      </c>
      <c r="C247" s="402" t="str">
        <f>IF($B247="","",Lançamentos!$J242)</f>
        <v/>
      </c>
      <c r="D247" s="403" t="str">
        <f>IF($B247="","",Lançamentos!$H242)</f>
        <v/>
      </c>
      <c r="E247" s="403"/>
      <c r="F247" s="403"/>
      <c r="G247" s="403"/>
      <c r="H247" s="403"/>
      <c r="I247" s="403"/>
      <c r="J247" s="403"/>
      <c r="K247" s="403"/>
      <c r="L247" s="403"/>
      <c r="M247" s="141" t="str">
        <f t="shared" si="4"/>
        <v/>
      </c>
      <c r="N247" s="404"/>
      <c r="O247" s="405"/>
    </row>
    <row r="248" spans="2:15" x14ac:dyDescent="0.35">
      <c r="B248" s="401" t="str">
        <f>IF(Lançamentos!$B243="","",Lançamentos!$B243)</f>
        <v/>
      </c>
      <c r="C248" s="402" t="str">
        <f>IF($B248="","",Lançamentos!$J243)</f>
        <v/>
      </c>
      <c r="D248" s="403" t="str">
        <f>IF($B248="","",Lançamentos!$H243)</f>
        <v/>
      </c>
      <c r="E248" s="403"/>
      <c r="F248" s="403"/>
      <c r="G248" s="403"/>
      <c r="H248" s="403"/>
      <c r="I248" s="403"/>
      <c r="J248" s="403"/>
      <c r="K248" s="403"/>
      <c r="L248" s="403"/>
      <c r="M248" s="141" t="str">
        <f t="shared" si="4"/>
        <v/>
      </c>
      <c r="N248" s="404"/>
      <c r="O248" s="405"/>
    </row>
    <row r="249" spans="2:15" x14ac:dyDescent="0.35">
      <c r="B249" s="401" t="str">
        <f>IF(Lançamentos!$B244="","",Lançamentos!$B244)</f>
        <v/>
      </c>
      <c r="C249" s="402" t="str">
        <f>IF($B249="","",Lançamentos!$J244)</f>
        <v/>
      </c>
      <c r="D249" s="403" t="str">
        <f>IF($B249="","",Lançamentos!$H244)</f>
        <v/>
      </c>
      <c r="E249" s="403"/>
      <c r="F249" s="403"/>
      <c r="G249" s="403"/>
      <c r="H249" s="403"/>
      <c r="I249" s="403"/>
      <c r="J249" s="403"/>
      <c r="K249" s="403"/>
      <c r="L249" s="403"/>
      <c r="M249" s="141" t="str">
        <f t="shared" si="4"/>
        <v/>
      </c>
      <c r="N249" s="404"/>
      <c r="O249" s="405"/>
    </row>
    <row r="250" spans="2:15" x14ac:dyDescent="0.35">
      <c r="B250" s="401" t="str">
        <f>IF(Lançamentos!$B245="","",Lançamentos!$B245)</f>
        <v/>
      </c>
      <c r="C250" s="402" t="str">
        <f>IF($B250="","",Lançamentos!$J245)</f>
        <v/>
      </c>
      <c r="D250" s="403" t="str">
        <f>IF($B250="","",Lançamentos!$H245)</f>
        <v/>
      </c>
      <c r="E250" s="403"/>
      <c r="F250" s="403"/>
      <c r="G250" s="403"/>
      <c r="H250" s="403"/>
      <c r="I250" s="403"/>
      <c r="J250" s="403"/>
      <c r="K250" s="403"/>
      <c r="L250" s="403"/>
      <c r="M250" s="141" t="str">
        <f t="shared" si="4"/>
        <v/>
      </c>
      <c r="N250" s="404"/>
      <c r="O250" s="405"/>
    </row>
    <row r="251" spans="2:15" x14ac:dyDescent="0.35">
      <c r="B251" s="401" t="str">
        <f>IF(Lançamentos!$B246="","",Lançamentos!$B246)</f>
        <v/>
      </c>
      <c r="C251" s="402" t="str">
        <f>IF($B251="","",Lançamentos!$J246)</f>
        <v/>
      </c>
      <c r="D251" s="403" t="str">
        <f>IF($B251="","",Lançamentos!$H246)</f>
        <v/>
      </c>
      <c r="E251" s="403"/>
      <c r="F251" s="403"/>
      <c r="G251" s="403"/>
      <c r="H251" s="403"/>
      <c r="I251" s="403"/>
      <c r="J251" s="403"/>
      <c r="K251" s="403"/>
      <c r="L251" s="403"/>
      <c r="M251" s="141" t="str">
        <f t="shared" si="4"/>
        <v/>
      </c>
      <c r="N251" s="404"/>
      <c r="O251" s="405"/>
    </row>
    <row r="252" spans="2:15" x14ac:dyDescent="0.35">
      <c r="B252" s="401" t="str">
        <f>IF(Lançamentos!$B247="","",Lançamentos!$B247)</f>
        <v/>
      </c>
      <c r="C252" s="402" t="str">
        <f>IF($B252="","",Lançamentos!$J247)</f>
        <v/>
      </c>
      <c r="D252" s="403" t="str">
        <f>IF($B252="","",Lançamentos!$H247)</f>
        <v/>
      </c>
      <c r="E252" s="403"/>
      <c r="F252" s="403"/>
      <c r="G252" s="403"/>
      <c r="H252" s="403"/>
      <c r="I252" s="403"/>
      <c r="J252" s="403"/>
      <c r="K252" s="403"/>
      <c r="L252" s="403"/>
      <c r="M252" s="141" t="str">
        <f t="shared" si="4"/>
        <v/>
      </c>
      <c r="N252" s="404"/>
      <c r="O252" s="405"/>
    </row>
    <row r="253" spans="2:15" x14ac:dyDescent="0.35">
      <c r="B253" s="401" t="str">
        <f>IF(Lançamentos!$B248="","",Lançamentos!$B248)</f>
        <v/>
      </c>
      <c r="C253" s="402" t="str">
        <f>IF($B253="","",Lançamentos!$J248)</f>
        <v/>
      </c>
      <c r="D253" s="403" t="str">
        <f>IF($B253="","",Lançamentos!$H248)</f>
        <v/>
      </c>
      <c r="E253" s="403"/>
      <c r="F253" s="403"/>
      <c r="G253" s="403"/>
      <c r="H253" s="403"/>
      <c r="I253" s="403"/>
      <c r="J253" s="403"/>
      <c r="K253" s="403"/>
      <c r="L253" s="403"/>
      <c r="M253" s="141" t="str">
        <f t="shared" si="4"/>
        <v/>
      </c>
      <c r="N253" s="404"/>
      <c r="O253" s="405"/>
    </row>
    <row r="254" spans="2:15" x14ac:dyDescent="0.35">
      <c r="B254" s="401" t="str">
        <f>IF(Lançamentos!$B249="","",Lançamentos!$B249)</f>
        <v/>
      </c>
      <c r="C254" s="402" t="str">
        <f>IF($B254="","",Lançamentos!$J249)</f>
        <v/>
      </c>
      <c r="D254" s="403" t="str">
        <f>IF($B254="","",Lançamentos!$H249)</f>
        <v/>
      </c>
      <c r="E254" s="403"/>
      <c r="F254" s="403"/>
      <c r="G254" s="403"/>
      <c r="H254" s="403"/>
      <c r="I254" s="403"/>
      <c r="J254" s="403"/>
      <c r="K254" s="403"/>
      <c r="L254" s="403"/>
      <c r="M254" s="141" t="str">
        <f t="shared" si="4"/>
        <v/>
      </c>
      <c r="N254" s="404"/>
      <c r="O254" s="405"/>
    </row>
    <row r="255" spans="2:15" x14ac:dyDescent="0.35">
      <c r="B255" s="401" t="str">
        <f>IF(Lançamentos!$B250="","",Lançamentos!$B250)</f>
        <v/>
      </c>
      <c r="C255" s="402" t="str">
        <f>IF($B255="","",Lançamentos!$J250)</f>
        <v/>
      </c>
      <c r="D255" s="403" t="str">
        <f>IF($B255="","",Lançamentos!$H250)</f>
        <v/>
      </c>
      <c r="E255" s="403"/>
      <c r="F255" s="403"/>
      <c r="G255" s="403"/>
      <c r="H255" s="403"/>
      <c r="I255" s="403"/>
      <c r="J255" s="403"/>
      <c r="K255" s="403"/>
      <c r="L255" s="403"/>
      <c r="M255" s="141" t="str">
        <f t="shared" si="4"/>
        <v/>
      </c>
      <c r="N255" s="404"/>
      <c r="O255" s="405"/>
    </row>
    <row r="256" spans="2:15" x14ac:dyDescent="0.35">
      <c r="B256" s="401" t="str">
        <f>IF(Lançamentos!$B251="","",Lançamentos!$B251)</f>
        <v/>
      </c>
      <c r="C256" s="402" t="str">
        <f>IF($B256="","",Lançamentos!$J251)</f>
        <v/>
      </c>
      <c r="D256" s="403" t="str">
        <f>IF($B256="","",Lançamentos!$H251)</f>
        <v/>
      </c>
      <c r="E256" s="403"/>
      <c r="F256" s="403"/>
      <c r="G256" s="403"/>
      <c r="H256" s="403"/>
      <c r="I256" s="403"/>
      <c r="J256" s="403"/>
      <c r="K256" s="403"/>
      <c r="L256" s="403"/>
      <c r="M256" s="141" t="str">
        <f t="shared" si="4"/>
        <v/>
      </c>
      <c r="N256" s="404"/>
      <c r="O256" s="405"/>
    </row>
    <row r="257" spans="2:15" x14ac:dyDescent="0.35">
      <c r="B257" s="401" t="str">
        <f>IF(Lançamentos!$B252="","",Lançamentos!$B252)</f>
        <v/>
      </c>
      <c r="C257" s="402" t="str">
        <f>IF($B257="","",Lançamentos!$J252)</f>
        <v/>
      </c>
      <c r="D257" s="403" t="str">
        <f>IF($B257="","",Lançamentos!$H252)</f>
        <v/>
      </c>
      <c r="E257" s="403"/>
      <c r="F257" s="403"/>
      <c r="G257" s="403"/>
      <c r="H257" s="403"/>
      <c r="I257" s="403"/>
      <c r="J257" s="403"/>
      <c r="K257" s="403"/>
      <c r="L257" s="403"/>
      <c r="M257" s="141" t="str">
        <f t="shared" si="4"/>
        <v/>
      </c>
      <c r="N257" s="404"/>
      <c r="O257" s="405"/>
    </row>
    <row r="258" spans="2:15" x14ac:dyDescent="0.35">
      <c r="B258" s="401" t="str">
        <f>IF(Lançamentos!$B253="","",Lançamentos!$B253)</f>
        <v/>
      </c>
      <c r="C258" s="402" t="str">
        <f>IF($B258="","",Lançamentos!$J253)</f>
        <v/>
      </c>
      <c r="D258" s="403" t="str">
        <f>IF($B258="","",Lançamentos!$H253)</f>
        <v/>
      </c>
      <c r="E258" s="403"/>
      <c r="F258" s="403"/>
      <c r="G258" s="403"/>
      <c r="H258" s="403"/>
      <c r="I258" s="403"/>
      <c r="J258" s="403"/>
      <c r="K258" s="403"/>
      <c r="L258" s="403"/>
      <c r="M258" s="141" t="str">
        <f t="shared" si="4"/>
        <v/>
      </c>
      <c r="N258" s="404"/>
      <c r="O258" s="405"/>
    </row>
    <row r="259" spans="2:15" x14ac:dyDescent="0.35">
      <c r="B259" s="401" t="str">
        <f>IF(Lançamentos!$B254="","",Lançamentos!$B254)</f>
        <v/>
      </c>
      <c r="C259" s="402" t="str">
        <f>IF($B259="","",Lançamentos!$J254)</f>
        <v/>
      </c>
      <c r="D259" s="403" t="str">
        <f>IF($B259="","",Lançamentos!$H254)</f>
        <v/>
      </c>
      <c r="E259" s="403"/>
      <c r="F259" s="403"/>
      <c r="G259" s="403"/>
      <c r="H259" s="403"/>
      <c r="I259" s="403"/>
      <c r="J259" s="403"/>
      <c r="K259" s="403"/>
      <c r="L259" s="403"/>
      <c r="M259" s="141" t="str">
        <f t="shared" si="4"/>
        <v/>
      </c>
      <c r="N259" s="404"/>
      <c r="O259" s="405"/>
    </row>
    <row r="260" spans="2:15" x14ac:dyDescent="0.35">
      <c r="B260" s="401" t="str">
        <f>IF(Lançamentos!$B255="","",Lançamentos!$B255)</f>
        <v/>
      </c>
      <c r="C260" s="402" t="str">
        <f>IF($B260="","",Lançamentos!$J255)</f>
        <v/>
      </c>
      <c r="D260" s="403" t="str">
        <f>IF($B260="","",Lançamentos!$H255)</f>
        <v/>
      </c>
      <c r="E260" s="403"/>
      <c r="F260" s="403"/>
      <c r="G260" s="403"/>
      <c r="H260" s="403"/>
      <c r="I260" s="403"/>
      <c r="J260" s="403"/>
      <c r="K260" s="403"/>
      <c r="L260" s="403"/>
      <c r="M260" s="141" t="str">
        <f t="shared" si="4"/>
        <v/>
      </c>
      <c r="N260" s="404"/>
      <c r="O260" s="405"/>
    </row>
    <row r="261" spans="2:15" x14ac:dyDescent="0.35">
      <c r="B261" s="401" t="str">
        <f>IF(Lançamentos!$B256="","",Lançamentos!$B256)</f>
        <v/>
      </c>
      <c r="C261" s="402" t="str">
        <f>IF($B261="","",Lançamentos!$J256)</f>
        <v/>
      </c>
      <c r="D261" s="403" t="str">
        <f>IF($B261="","",Lançamentos!$H256)</f>
        <v/>
      </c>
      <c r="E261" s="403"/>
      <c r="F261" s="403"/>
      <c r="G261" s="403"/>
      <c r="H261" s="403"/>
      <c r="I261" s="403"/>
      <c r="J261" s="403"/>
      <c r="K261" s="403"/>
      <c r="L261" s="403"/>
      <c r="M261" s="141" t="str">
        <f t="shared" si="4"/>
        <v/>
      </c>
      <c r="N261" s="404"/>
      <c r="O261" s="405"/>
    </row>
    <row r="262" spans="2:15" x14ac:dyDescent="0.35">
      <c r="B262" s="401" t="str">
        <f>IF(Lançamentos!$B257="","",Lançamentos!$B257)</f>
        <v/>
      </c>
      <c r="C262" s="402" t="str">
        <f>IF($B262="","",Lançamentos!$J257)</f>
        <v/>
      </c>
      <c r="D262" s="403" t="str">
        <f>IF($B262="","",Lançamentos!$H257)</f>
        <v/>
      </c>
      <c r="E262" s="403"/>
      <c r="F262" s="403"/>
      <c r="G262" s="403"/>
      <c r="H262" s="403"/>
      <c r="I262" s="403"/>
      <c r="J262" s="403"/>
      <c r="K262" s="403"/>
      <c r="L262" s="403"/>
      <c r="M262" s="141" t="str">
        <f t="shared" si="4"/>
        <v/>
      </c>
      <c r="N262" s="404"/>
      <c r="O262" s="405"/>
    </row>
    <row r="263" spans="2:15" x14ac:dyDescent="0.35">
      <c r="B263" s="401" t="str">
        <f>IF(Lançamentos!$B258="","",Lançamentos!$B258)</f>
        <v/>
      </c>
      <c r="C263" s="402" t="str">
        <f>IF($B263="","",Lançamentos!$J258)</f>
        <v/>
      </c>
      <c r="D263" s="403" t="str">
        <f>IF($B263="","",Lançamentos!$H258)</f>
        <v/>
      </c>
      <c r="E263" s="403"/>
      <c r="F263" s="403"/>
      <c r="G263" s="403"/>
      <c r="H263" s="403"/>
      <c r="I263" s="403"/>
      <c r="J263" s="403"/>
      <c r="K263" s="403"/>
      <c r="L263" s="403"/>
      <c r="M263" s="141" t="str">
        <f t="shared" si="4"/>
        <v/>
      </c>
      <c r="N263" s="404"/>
      <c r="O263" s="405"/>
    </row>
    <row r="264" spans="2:15" x14ac:dyDescent="0.35">
      <c r="B264" s="401" t="str">
        <f>IF(Lançamentos!$B259="","",Lançamentos!$B259)</f>
        <v/>
      </c>
      <c r="C264" s="402" t="str">
        <f>IF($B264="","",Lançamentos!$J259)</f>
        <v/>
      </c>
      <c r="D264" s="403" t="str">
        <f>IF($B264="","",Lançamentos!$H259)</f>
        <v/>
      </c>
      <c r="E264" s="403"/>
      <c r="F264" s="403"/>
      <c r="G264" s="403"/>
      <c r="H264" s="403"/>
      <c r="I264" s="403"/>
      <c r="J264" s="403"/>
      <c r="K264" s="403"/>
      <c r="L264" s="403"/>
      <c r="M264" s="141" t="str">
        <f t="shared" si="4"/>
        <v/>
      </c>
      <c r="N264" s="404"/>
      <c r="O264" s="405"/>
    </row>
    <row r="265" spans="2:15" x14ac:dyDescent="0.35">
      <c r="B265" s="401" t="str">
        <f>IF(Lançamentos!$B260="","",Lançamentos!$B260)</f>
        <v/>
      </c>
      <c r="C265" s="402" t="str">
        <f>IF($B265="","",Lançamentos!$J260)</f>
        <v/>
      </c>
      <c r="D265" s="403" t="str">
        <f>IF($B265="","",Lançamentos!$H260)</f>
        <v/>
      </c>
      <c r="E265" s="403"/>
      <c r="F265" s="403"/>
      <c r="G265" s="403"/>
      <c r="H265" s="403"/>
      <c r="I265" s="403"/>
      <c r="J265" s="403"/>
      <c r="K265" s="403"/>
      <c r="L265" s="403"/>
      <c r="M265" s="141" t="str">
        <f t="shared" si="4"/>
        <v/>
      </c>
      <c r="N265" s="404"/>
      <c r="O265" s="405"/>
    </row>
    <row r="266" spans="2:15" x14ac:dyDescent="0.35">
      <c r="B266" s="401" t="str">
        <f>IF(Lançamentos!$B261="","",Lançamentos!$B261)</f>
        <v/>
      </c>
      <c r="C266" s="402" t="str">
        <f>IF($B266="","",Lançamentos!$J261)</f>
        <v/>
      </c>
      <c r="D266" s="403" t="str">
        <f>IF($B266="","",Lançamentos!$H261)</f>
        <v/>
      </c>
      <c r="E266" s="403"/>
      <c r="F266" s="403"/>
      <c r="G266" s="403"/>
      <c r="H266" s="403"/>
      <c r="I266" s="403"/>
      <c r="J266" s="403"/>
      <c r="K266" s="403"/>
      <c r="L266" s="403"/>
      <c r="M266" s="141" t="str">
        <f t="shared" si="4"/>
        <v/>
      </c>
      <c r="N266" s="404"/>
      <c r="O266" s="405"/>
    </row>
    <row r="267" spans="2:15" x14ac:dyDescent="0.35">
      <c r="B267" s="401" t="str">
        <f>IF(Lançamentos!$B262="","",Lançamentos!$B262)</f>
        <v/>
      </c>
      <c r="C267" s="402" t="str">
        <f>IF($B267="","",Lançamentos!$J262)</f>
        <v/>
      </c>
      <c r="D267" s="403" t="str">
        <f>IF($B267="","",Lançamentos!$H262)</f>
        <v/>
      </c>
      <c r="E267" s="403"/>
      <c r="F267" s="403"/>
      <c r="G267" s="403"/>
      <c r="H267" s="403"/>
      <c r="I267" s="403"/>
      <c r="J267" s="403"/>
      <c r="K267" s="403"/>
      <c r="L267" s="403"/>
      <c r="M267" s="141" t="str">
        <f t="shared" si="4"/>
        <v/>
      </c>
      <c r="N267" s="404"/>
      <c r="O267" s="405"/>
    </row>
    <row r="268" spans="2:15" x14ac:dyDescent="0.35">
      <c r="B268" s="401" t="str">
        <f>IF(Lançamentos!$B263="","",Lançamentos!$B263)</f>
        <v/>
      </c>
      <c r="C268" s="402" t="str">
        <f>IF($B268="","",Lançamentos!$J263)</f>
        <v/>
      </c>
      <c r="D268" s="403" t="str">
        <f>IF($B268="","",Lançamentos!$H263)</f>
        <v/>
      </c>
      <c r="E268" s="403"/>
      <c r="F268" s="403"/>
      <c r="G268" s="403"/>
      <c r="H268" s="403"/>
      <c r="I268" s="403"/>
      <c r="J268" s="403"/>
      <c r="K268" s="403"/>
      <c r="L268" s="403"/>
      <c r="M268" s="141" t="str">
        <f t="shared" si="4"/>
        <v/>
      </c>
      <c r="N268" s="404"/>
      <c r="O268" s="405"/>
    </row>
    <row r="269" spans="2:15" x14ac:dyDescent="0.35">
      <c r="B269" s="401" t="str">
        <f>IF(Lançamentos!$B264="","",Lançamentos!$B264)</f>
        <v/>
      </c>
      <c r="C269" s="402" t="str">
        <f>IF($B269="","",Lançamentos!$J264)</f>
        <v/>
      </c>
      <c r="D269" s="403" t="str">
        <f>IF($B269="","",Lançamentos!$H264)</f>
        <v/>
      </c>
      <c r="E269" s="403"/>
      <c r="F269" s="403"/>
      <c r="G269" s="403"/>
      <c r="H269" s="403"/>
      <c r="I269" s="403"/>
      <c r="J269" s="403"/>
      <c r="K269" s="403"/>
      <c r="L269" s="403"/>
      <c r="M269" s="141" t="str">
        <f t="shared" si="4"/>
        <v/>
      </c>
      <c r="N269" s="404"/>
      <c r="O269" s="405"/>
    </row>
    <row r="270" spans="2:15" x14ac:dyDescent="0.35">
      <c r="B270" s="401" t="str">
        <f>IF(Lançamentos!$B265="","",Lançamentos!$B265)</f>
        <v/>
      </c>
      <c r="C270" s="402" t="str">
        <f>IF($B270="","",Lançamentos!$J265)</f>
        <v/>
      </c>
      <c r="D270" s="403" t="str">
        <f>IF($B270="","",Lançamentos!$H265)</f>
        <v/>
      </c>
      <c r="E270" s="403"/>
      <c r="F270" s="403"/>
      <c r="G270" s="403"/>
      <c r="H270" s="403"/>
      <c r="I270" s="403"/>
      <c r="J270" s="403"/>
      <c r="K270" s="403"/>
      <c r="L270" s="403"/>
      <c r="M270" s="141" t="str">
        <f t="shared" si="4"/>
        <v/>
      </c>
      <c r="N270" s="404"/>
      <c r="O270" s="405"/>
    </row>
    <row r="271" spans="2:15" x14ac:dyDescent="0.35">
      <c r="B271" s="401" t="str">
        <f>IF(Lançamentos!$B266="","",Lançamentos!$B266)</f>
        <v/>
      </c>
      <c r="C271" s="402" t="str">
        <f>IF($B271="","",Lançamentos!$J266)</f>
        <v/>
      </c>
      <c r="D271" s="403" t="str">
        <f>IF($B271="","",Lançamentos!$H266)</f>
        <v/>
      </c>
      <c r="E271" s="403"/>
      <c r="F271" s="403"/>
      <c r="G271" s="403"/>
      <c r="H271" s="403"/>
      <c r="I271" s="403"/>
      <c r="J271" s="403"/>
      <c r="K271" s="403"/>
      <c r="L271" s="403"/>
      <c r="M271" s="141" t="str">
        <f t="shared" si="4"/>
        <v/>
      </c>
      <c r="N271" s="404"/>
      <c r="O271" s="405"/>
    </row>
    <row r="272" spans="2:15" x14ac:dyDescent="0.35">
      <c r="B272" s="401" t="str">
        <f>IF(Lançamentos!$B267="","",Lançamentos!$B267)</f>
        <v/>
      </c>
      <c r="C272" s="402" t="str">
        <f>IF($B272="","",Lançamentos!$J267)</f>
        <v/>
      </c>
      <c r="D272" s="403" t="str">
        <f>IF($B272="","",Lançamentos!$H267)</f>
        <v/>
      </c>
      <c r="E272" s="403"/>
      <c r="F272" s="403"/>
      <c r="G272" s="403"/>
      <c r="H272" s="403"/>
      <c r="I272" s="403"/>
      <c r="J272" s="403"/>
      <c r="K272" s="403"/>
      <c r="L272" s="403"/>
      <c r="M272" s="141" t="str">
        <f t="shared" ref="M272:M335" si="5">IF(B272="","",IF(COUNTIF(E272:L272,"N/A")=8,0,COUNTIF(E272:L272,"✔ Concluído")/(8-COUNTIF(E272:L272,"N/A"))))</f>
        <v/>
      </c>
      <c r="N272" s="404"/>
      <c r="O272" s="405"/>
    </row>
    <row r="273" spans="2:15" x14ac:dyDescent="0.35">
      <c r="B273" s="401" t="str">
        <f>IF(Lançamentos!$B268="","",Lançamentos!$B268)</f>
        <v/>
      </c>
      <c r="C273" s="402" t="str">
        <f>IF($B273="","",Lançamentos!$J268)</f>
        <v/>
      </c>
      <c r="D273" s="403" t="str">
        <f>IF($B273="","",Lançamentos!$H268)</f>
        <v/>
      </c>
      <c r="E273" s="403"/>
      <c r="F273" s="403"/>
      <c r="G273" s="403"/>
      <c r="H273" s="403"/>
      <c r="I273" s="403"/>
      <c r="J273" s="403"/>
      <c r="K273" s="403"/>
      <c r="L273" s="403"/>
      <c r="M273" s="141" t="str">
        <f t="shared" si="5"/>
        <v/>
      </c>
      <c r="N273" s="404"/>
      <c r="O273" s="405"/>
    </row>
    <row r="274" spans="2:15" x14ac:dyDescent="0.35">
      <c r="B274" s="401" t="str">
        <f>IF(Lançamentos!$B269="","",Lançamentos!$B269)</f>
        <v/>
      </c>
      <c r="C274" s="402" t="str">
        <f>IF($B274="","",Lançamentos!$J269)</f>
        <v/>
      </c>
      <c r="D274" s="403" t="str">
        <f>IF($B274="","",Lançamentos!$H269)</f>
        <v/>
      </c>
      <c r="E274" s="403"/>
      <c r="F274" s="403"/>
      <c r="G274" s="403"/>
      <c r="H274" s="403"/>
      <c r="I274" s="403"/>
      <c r="J274" s="403"/>
      <c r="K274" s="403"/>
      <c r="L274" s="403"/>
      <c r="M274" s="141" t="str">
        <f t="shared" si="5"/>
        <v/>
      </c>
      <c r="N274" s="404"/>
      <c r="O274" s="405"/>
    </row>
    <row r="275" spans="2:15" x14ac:dyDescent="0.35">
      <c r="B275" s="401" t="str">
        <f>IF(Lançamentos!$B270="","",Lançamentos!$B270)</f>
        <v/>
      </c>
      <c r="C275" s="402" t="str">
        <f>IF($B275="","",Lançamentos!$J270)</f>
        <v/>
      </c>
      <c r="D275" s="403" t="str">
        <f>IF($B275="","",Lançamentos!$H270)</f>
        <v/>
      </c>
      <c r="E275" s="403"/>
      <c r="F275" s="403"/>
      <c r="G275" s="403"/>
      <c r="H275" s="403"/>
      <c r="I275" s="403"/>
      <c r="J275" s="403"/>
      <c r="K275" s="403"/>
      <c r="L275" s="403"/>
      <c r="M275" s="141" t="str">
        <f t="shared" si="5"/>
        <v/>
      </c>
      <c r="N275" s="404"/>
      <c r="O275" s="405"/>
    </row>
    <row r="276" spans="2:15" x14ac:dyDescent="0.35">
      <c r="B276" s="401" t="str">
        <f>IF(Lançamentos!$B271="","",Lançamentos!$B271)</f>
        <v/>
      </c>
      <c r="C276" s="402" t="str">
        <f>IF($B276="","",Lançamentos!$J271)</f>
        <v/>
      </c>
      <c r="D276" s="403" t="str">
        <f>IF($B276="","",Lançamentos!$H271)</f>
        <v/>
      </c>
      <c r="E276" s="403"/>
      <c r="F276" s="403"/>
      <c r="G276" s="403"/>
      <c r="H276" s="403"/>
      <c r="I276" s="403"/>
      <c r="J276" s="403"/>
      <c r="K276" s="403"/>
      <c r="L276" s="403"/>
      <c r="M276" s="141" t="str">
        <f t="shared" si="5"/>
        <v/>
      </c>
      <c r="N276" s="404"/>
      <c r="O276" s="405"/>
    </row>
    <row r="277" spans="2:15" x14ac:dyDescent="0.35">
      <c r="B277" s="401" t="str">
        <f>IF(Lançamentos!$B272="","",Lançamentos!$B272)</f>
        <v/>
      </c>
      <c r="C277" s="402" t="str">
        <f>IF($B277="","",Lançamentos!$J272)</f>
        <v/>
      </c>
      <c r="D277" s="403" t="str">
        <f>IF($B277="","",Lançamentos!$H272)</f>
        <v/>
      </c>
      <c r="E277" s="403"/>
      <c r="F277" s="403"/>
      <c r="G277" s="403"/>
      <c r="H277" s="403"/>
      <c r="I277" s="403"/>
      <c r="J277" s="403"/>
      <c r="K277" s="403"/>
      <c r="L277" s="403"/>
      <c r="M277" s="141" t="str">
        <f t="shared" si="5"/>
        <v/>
      </c>
      <c r="N277" s="404"/>
      <c r="O277" s="405"/>
    </row>
    <row r="278" spans="2:15" x14ac:dyDescent="0.35">
      <c r="B278" s="401" t="str">
        <f>IF(Lançamentos!$B273="","",Lançamentos!$B273)</f>
        <v/>
      </c>
      <c r="C278" s="402" t="str">
        <f>IF($B278="","",Lançamentos!$J273)</f>
        <v/>
      </c>
      <c r="D278" s="403" t="str">
        <f>IF($B278="","",Lançamentos!$H273)</f>
        <v/>
      </c>
      <c r="E278" s="403"/>
      <c r="F278" s="403"/>
      <c r="G278" s="403"/>
      <c r="H278" s="403"/>
      <c r="I278" s="403"/>
      <c r="J278" s="403"/>
      <c r="K278" s="403"/>
      <c r="L278" s="403"/>
      <c r="M278" s="141" t="str">
        <f t="shared" si="5"/>
        <v/>
      </c>
      <c r="N278" s="404"/>
      <c r="O278" s="405"/>
    </row>
    <row r="279" spans="2:15" x14ac:dyDescent="0.35">
      <c r="B279" s="401" t="str">
        <f>IF(Lançamentos!$B274="","",Lançamentos!$B274)</f>
        <v/>
      </c>
      <c r="C279" s="402" t="str">
        <f>IF($B279="","",Lançamentos!$J274)</f>
        <v/>
      </c>
      <c r="D279" s="403" t="str">
        <f>IF($B279="","",Lançamentos!$H274)</f>
        <v/>
      </c>
      <c r="E279" s="403"/>
      <c r="F279" s="403"/>
      <c r="G279" s="403"/>
      <c r="H279" s="403"/>
      <c r="I279" s="403"/>
      <c r="J279" s="403"/>
      <c r="K279" s="403"/>
      <c r="L279" s="403"/>
      <c r="M279" s="141" t="str">
        <f t="shared" si="5"/>
        <v/>
      </c>
      <c r="N279" s="404"/>
      <c r="O279" s="405"/>
    </row>
    <row r="280" spans="2:15" x14ac:dyDescent="0.35">
      <c r="B280" s="401" t="str">
        <f>IF(Lançamentos!$B275="","",Lançamentos!$B275)</f>
        <v/>
      </c>
      <c r="C280" s="402" t="str">
        <f>IF($B280="","",Lançamentos!$J275)</f>
        <v/>
      </c>
      <c r="D280" s="403" t="str">
        <f>IF($B280="","",Lançamentos!$H275)</f>
        <v/>
      </c>
      <c r="E280" s="403"/>
      <c r="F280" s="403"/>
      <c r="G280" s="403"/>
      <c r="H280" s="403"/>
      <c r="I280" s="403"/>
      <c r="J280" s="403"/>
      <c r="K280" s="403"/>
      <c r="L280" s="403"/>
      <c r="M280" s="141" t="str">
        <f t="shared" si="5"/>
        <v/>
      </c>
      <c r="N280" s="404"/>
      <c r="O280" s="405"/>
    </row>
    <row r="281" spans="2:15" x14ac:dyDescent="0.35">
      <c r="B281" s="401" t="str">
        <f>IF(Lançamentos!$B276="","",Lançamentos!$B276)</f>
        <v/>
      </c>
      <c r="C281" s="402" t="str">
        <f>IF($B281="","",Lançamentos!$J276)</f>
        <v/>
      </c>
      <c r="D281" s="403" t="str">
        <f>IF($B281="","",Lançamentos!$H276)</f>
        <v/>
      </c>
      <c r="E281" s="403"/>
      <c r="F281" s="403"/>
      <c r="G281" s="403"/>
      <c r="H281" s="403"/>
      <c r="I281" s="403"/>
      <c r="J281" s="403"/>
      <c r="K281" s="403"/>
      <c r="L281" s="403"/>
      <c r="M281" s="141" t="str">
        <f t="shared" si="5"/>
        <v/>
      </c>
      <c r="N281" s="404"/>
      <c r="O281" s="405"/>
    </row>
    <row r="282" spans="2:15" x14ac:dyDescent="0.35">
      <c r="B282" s="401" t="str">
        <f>IF(Lançamentos!$B277="","",Lançamentos!$B277)</f>
        <v/>
      </c>
      <c r="C282" s="402" t="str">
        <f>IF($B282="","",Lançamentos!$J277)</f>
        <v/>
      </c>
      <c r="D282" s="403" t="str">
        <f>IF($B282="","",Lançamentos!$H277)</f>
        <v/>
      </c>
      <c r="E282" s="403"/>
      <c r="F282" s="403"/>
      <c r="G282" s="403"/>
      <c r="H282" s="403"/>
      <c r="I282" s="403"/>
      <c r="J282" s="403"/>
      <c r="K282" s="403"/>
      <c r="L282" s="403"/>
      <c r="M282" s="141" t="str">
        <f t="shared" si="5"/>
        <v/>
      </c>
      <c r="N282" s="404"/>
      <c r="O282" s="405"/>
    </row>
    <row r="283" spans="2:15" x14ac:dyDescent="0.35">
      <c r="B283" s="401" t="str">
        <f>IF(Lançamentos!$B278="","",Lançamentos!$B278)</f>
        <v/>
      </c>
      <c r="C283" s="402" t="str">
        <f>IF($B283="","",Lançamentos!$J278)</f>
        <v/>
      </c>
      <c r="D283" s="403" t="str">
        <f>IF($B283="","",Lançamentos!$H278)</f>
        <v/>
      </c>
      <c r="E283" s="403"/>
      <c r="F283" s="403"/>
      <c r="G283" s="403"/>
      <c r="H283" s="403"/>
      <c r="I283" s="403"/>
      <c r="J283" s="403"/>
      <c r="K283" s="403"/>
      <c r="L283" s="403"/>
      <c r="M283" s="141" t="str">
        <f t="shared" si="5"/>
        <v/>
      </c>
      <c r="N283" s="404"/>
      <c r="O283" s="405"/>
    </row>
    <row r="284" spans="2:15" x14ac:dyDescent="0.35">
      <c r="B284" s="401" t="str">
        <f>IF(Lançamentos!$B279="","",Lançamentos!$B279)</f>
        <v/>
      </c>
      <c r="C284" s="402" t="str">
        <f>IF($B284="","",Lançamentos!$J279)</f>
        <v/>
      </c>
      <c r="D284" s="403" t="str">
        <f>IF($B284="","",Lançamentos!$H279)</f>
        <v/>
      </c>
      <c r="E284" s="403"/>
      <c r="F284" s="403"/>
      <c r="G284" s="403"/>
      <c r="H284" s="403"/>
      <c r="I284" s="403"/>
      <c r="J284" s="403"/>
      <c r="K284" s="403"/>
      <c r="L284" s="403"/>
      <c r="M284" s="141" t="str">
        <f t="shared" si="5"/>
        <v/>
      </c>
      <c r="N284" s="404"/>
      <c r="O284" s="405"/>
    </row>
    <row r="285" spans="2:15" x14ac:dyDescent="0.35">
      <c r="B285" s="401" t="str">
        <f>IF(Lançamentos!$B280="","",Lançamentos!$B280)</f>
        <v/>
      </c>
      <c r="C285" s="402" t="str">
        <f>IF($B285="","",Lançamentos!$J280)</f>
        <v/>
      </c>
      <c r="D285" s="403" t="str">
        <f>IF($B285="","",Lançamentos!$H280)</f>
        <v/>
      </c>
      <c r="E285" s="403"/>
      <c r="F285" s="403"/>
      <c r="G285" s="403"/>
      <c r="H285" s="403"/>
      <c r="I285" s="403"/>
      <c r="J285" s="403"/>
      <c r="K285" s="403"/>
      <c r="L285" s="403"/>
      <c r="M285" s="141" t="str">
        <f t="shared" si="5"/>
        <v/>
      </c>
      <c r="N285" s="404"/>
      <c r="O285" s="405"/>
    </row>
    <row r="286" spans="2:15" x14ac:dyDescent="0.35">
      <c r="B286" s="401" t="str">
        <f>IF(Lançamentos!$B281="","",Lançamentos!$B281)</f>
        <v/>
      </c>
      <c r="C286" s="402" t="str">
        <f>IF($B286="","",Lançamentos!$J281)</f>
        <v/>
      </c>
      <c r="D286" s="403" t="str">
        <f>IF($B286="","",Lançamentos!$H281)</f>
        <v/>
      </c>
      <c r="E286" s="403"/>
      <c r="F286" s="403"/>
      <c r="G286" s="403"/>
      <c r="H286" s="403"/>
      <c r="I286" s="403"/>
      <c r="J286" s="403"/>
      <c r="K286" s="403"/>
      <c r="L286" s="403"/>
      <c r="M286" s="141" t="str">
        <f t="shared" si="5"/>
        <v/>
      </c>
      <c r="N286" s="404"/>
      <c r="O286" s="405"/>
    </row>
    <row r="287" spans="2:15" x14ac:dyDescent="0.35">
      <c r="B287" s="401" t="str">
        <f>IF(Lançamentos!$B282="","",Lançamentos!$B282)</f>
        <v/>
      </c>
      <c r="C287" s="402" t="str">
        <f>IF($B287="","",Lançamentos!$J282)</f>
        <v/>
      </c>
      <c r="D287" s="403" t="str">
        <f>IF($B287="","",Lançamentos!$H282)</f>
        <v/>
      </c>
      <c r="E287" s="403"/>
      <c r="F287" s="403"/>
      <c r="G287" s="403"/>
      <c r="H287" s="403"/>
      <c r="I287" s="403"/>
      <c r="J287" s="403"/>
      <c r="K287" s="403"/>
      <c r="L287" s="403"/>
      <c r="M287" s="141" t="str">
        <f t="shared" si="5"/>
        <v/>
      </c>
      <c r="N287" s="404"/>
      <c r="O287" s="405"/>
    </row>
    <row r="288" spans="2:15" x14ac:dyDescent="0.35">
      <c r="B288" s="401" t="str">
        <f>IF(Lançamentos!$B283="","",Lançamentos!$B283)</f>
        <v/>
      </c>
      <c r="C288" s="402" t="str">
        <f>IF($B288="","",Lançamentos!$J283)</f>
        <v/>
      </c>
      <c r="D288" s="403" t="str">
        <f>IF($B288="","",Lançamentos!$H283)</f>
        <v/>
      </c>
      <c r="E288" s="403"/>
      <c r="F288" s="403"/>
      <c r="G288" s="403"/>
      <c r="H288" s="403"/>
      <c r="I288" s="403"/>
      <c r="J288" s="403"/>
      <c r="K288" s="403"/>
      <c r="L288" s="403"/>
      <c r="M288" s="141" t="str">
        <f t="shared" si="5"/>
        <v/>
      </c>
      <c r="N288" s="404"/>
      <c r="O288" s="405"/>
    </row>
    <row r="289" spans="2:15" x14ac:dyDescent="0.35">
      <c r="B289" s="401" t="str">
        <f>IF(Lançamentos!$B284="","",Lançamentos!$B284)</f>
        <v/>
      </c>
      <c r="C289" s="402" t="str">
        <f>IF($B289="","",Lançamentos!$J284)</f>
        <v/>
      </c>
      <c r="D289" s="403" t="str">
        <f>IF($B289="","",Lançamentos!$H284)</f>
        <v/>
      </c>
      <c r="E289" s="403"/>
      <c r="F289" s="403"/>
      <c r="G289" s="403"/>
      <c r="H289" s="403"/>
      <c r="I289" s="403"/>
      <c r="J289" s="403"/>
      <c r="K289" s="403"/>
      <c r="L289" s="403"/>
      <c r="M289" s="141" t="str">
        <f t="shared" si="5"/>
        <v/>
      </c>
      <c r="N289" s="404"/>
      <c r="O289" s="405"/>
    </row>
    <row r="290" spans="2:15" x14ac:dyDescent="0.35">
      <c r="B290" s="401" t="str">
        <f>IF(Lançamentos!$B285="","",Lançamentos!$B285)</f>
        <v/>
      </c>
      <c r="C290" s="402" t="str">
        <f>IF($B290="","",Lançamentos!$J285)</f>
        <v/>
      </c>
      <c r="D290" s="403" t="str">
        <f>IF($B290="","",Lançamentos!$H285)</f>
        <v/>
      </c>
      <c r="E290" s="403"/>
      <c r="F290" s="403"/>
      <c r="G290" s="403"/>
      <c r="H290" s="403"/>
      <c r="I290" s="403"/>
      <c r="J290" s="403"/>
      <c r="K290" s="403"/>
      <c r="L290" s="403"/>
      <c r="M290" s="141" t="str">
        <f t="shared" si="5"/>
        <v/>
      </c>
      <c r="N290" s="404"/>
      <c r="O290" s="405"/>
    </row>
    <row r="291" spans="2:15" x14ac:dyDescent="0.35">
      <c r="B291" s="401" t="str">
        <f>IF(Lançamentos!$B286="","",Lançamentos!$B286)</f>
        <v/>
      </c>
      <c r="C291" s="402" t="str">
        <f>IF($B291="","",Lançamentos!$J286)</f>
        <v/>
      </c>
      <c r="D291" s="403" t="str">
        <f>IF($B291="","",Lançamentos!$H286)</f>
        <v/>
      </c>
      <c r="E291" s="403"/>
      <c r="F291" s="403"/>
      <c r="G291" s="403"/>
      <c r="H291" s="403"/>
      <c r="I291" s="403"/>
      <c r="J291" s="403"/>
      <c r="K291" s="403"/>
      <c r="L291" s="403"/>
      <c r="M291" s="141" t="str">
        <f t="shared" si="5"/>
        <v/>
      </c>
      <c r="N291" s="404"/>
      <c r="O291" s="405"/>
    </row>
    <row r="292" spans="2:15" x14ac:dyDescent="0.35">
      <c r="B292" s="401" t="str">
        <f>IF(Lançamentos!$B287="","",Lançamentos!$B287)</f>
        <v/>
      </c>
      <c r="C292" s="402" t="str">
        <f>IF($B292="","",Lançamentos!$J287)</f>
        <v/>
      </c>
      <c r="D292" s="403" t="str">
        <f>IF($B292="","",Lançamentos!$H287)</f>
        <v/>
      </c>
      <c r="E292" s="403"/>
      <c r="F292" s="403"/>
      <c r="G292" s="403"/>
      <c r="H292" s="403"/>
      <c r="I292" s="403"/>
      <c r="J292" s="403"/>
      <c r="K292" s="403"/>
      <c r="L292" s="403"/>
      <c r="M292" s="141" t="str">
        <f t="shared" si="5"/>
        <v/>
      </c>
      <c r="N292" s="404"/>
      <c r="O292" s="405"/>
    </row>
    <row r="293" spans="2:15" x14ac:dyDescent="0.35">
      <c r="B293" s="401" t="str">
        <f>IF(Lançamentos!$B288="","",Lançamentos!$B288)</f>
        <v/>
      </c>
      <c r="C293" s="402" t="str">
        <f>IF($B293="","",Lançamentos!$J288)</f>
        <v/>
      </c>
      <c r="D293" s="403" t="str">
        <f>IF($B293="","",Lançamentos!$H288)</f>
        <v/>
      </c>
      <c r="E293" s="403"/>
      <c r="F293" s="403"/>
      <c r="G293" s="403"/>
      <c r="H293" s="403"/>
      <c r="I293" s="403"/>
      <c r="J293" s="403"/>
      <c r="K293" s="403"/>
      <c r="L293" s="403"/>
      <c r="M293" s="141" t="str">
        <f t="shared" si="5"/>
        <v/>
      </c>
      <c r="N293" s="404"/>
      <c r="O293" s="405"/>
    </row>
    <row r="294" spans="2:15" x14ac:dyDescent="0.35">
      <c r="B294" s="401" t="str">
        <f>IF(Lançamentos!$B289="","",Lançamentos!$B289)</f>
        <v/>
      </c>
      <c r="C294" s="402" t="str">
        <f>IF($B294="","",Lançamentos!$J289)</f>
        <v/>
      </c>
      <c r="D294" s="403" t="str">
        <f>IF($B294="","",Lançamentos!$H289)</f>
        <v/>
      </c>
      <c r="E294" s="403"/>
      <c r="F294" s="403"/>
      <c r="G294" s="403"/>
      <c r="H294" s="403"/>
      <c r="I294" s="403"/>
      <c r="J294" s="403"/>
      <c r="K294" s="403"/>
      <c r="L294" s="403"/>
      <c r="M294" s="141" t="str">
        <f t="shared" si="5"/>
        <v/>
      </c>
      <c r="N294" s="404"/>
      <c r="O294" s="405"/>
    </row>
    <row r="295" spans="2:15" x14ac:dyDescent="0.35">
      <c r="B295" s="401" t="str">
        <f>IF(Lançamentos!$B290="","",Lançamentos!$B290)</f>
        <v/>
      </c>
      <c r="C295" s="402" t="str">
        <f>IF($B295="","",Lançamentos!$J290)</f>
        <v/>
      </c>
      <c r="D295" s="403" t="str">
        <f>IF($B295="","",Lançamentos!$H290)</f>
        <v/>
      </c>
      <c r="E295" s="403"/>
      <c r="F295" s="403"/>
      <c r="G295" s="403"/>
      <c r="H295" s="403"/>
      <c r="I295" s="403"/>
      <c r="J295" s="403"/>
      <c r="K295" s="403"/>
      <c r="L295" s="403"/>
      <c r="M295" s="141" t="str">
        <f t="shared" si="5"/>
        <v/>
      </c>
      <c r="N295" s="404"/>
      <c r="O295" s="405"/>
    </row>
    <row r="296" spans="2:15" x14ac:dyDescent="0.35">
      <c r="B296" s="401" t="str">
        <f>IF(Lançamentos!$B291="","",Lançamentos!$B291)</f>
        <v/>
      </c>
      <c r="C296" s="402" t="str">
        <f>IF($B296="","",Lançamentos!$J291)</f>
        <v/>
      </c>
      <c r="D296" s="403" t="str">
        <f>IF($B296="","",Lançamentos!$H291)</f>
        <v/>
      </c>
      <c r="E296" s="403"/>
      <c r="F296" s="403"/>
      <c r="G296" s="403"/>
      <c r="H296" s="403"/>
      <c r="I296" s="403"/>
      <c r="J296" s="403"/>
      <c r="K296" s="403"/>
      <c r="L296" s="403"/>
      <c r="M296" s="141" t="str">
        <f t="shared" si="5"/>
        <v/>
      </c>
      <c r="N296" s="404"/>
      <c r="O296" s="405"/>
    </row>
    <row r="297" spans="2:15" x14ac:dyDescent="0.35">
      <c r="B297" s="401" t="str">
        <f>IF(Lançamentos!$B292="","",Lançamentos!$B292)</f>
        <v/>
      </c>
      <c r="C297" s="402" t="str">
        <f>IF($B297="","",Lançamentos!$J292)</f>
        <v/>
      </c>
      <c r="D297" s="403" t="str">
        <f>IF($B297="","",Lançamentos!$H292)</f>
        <v/>
      </c>
      <c r="E297" s="403"/>
      <c r="F297" s="403"/>
      <c r="G297" s="403"/>
      <c r="H297" s="403"/>
      <c r="I297" s="403"/>
      <c r="J297" s="403"/>
      <c r="K297" s="403"/>
      <c r="L297" s="403"/>
      <c r="M297" s="141" t="str">
        <f t="shared" si="5"/>
        <v/>
      </c>
      <c r="N297" s="404"/>
      <c r="O297" s="405"/>
    </row>
    <row r="298" spans="2:15" x14ac:dyDescent="0.35">
      <c r="B298" s="401" t="str">
        <f>IF(Lançamentos!$B293="","",Lançamentos!$B293)</f>
        <v/>
      </c>
      <c r="C298" s="402" t="str">
        <f>IF($B298="","",Lançamentos!$J293)</f>
        <v/>
      </c>
      <c r="D298" s="403" t="str">
        <f>IF($B298="","",Lançamentos!$H293)</f>
        <v/>
      </c>
      <c r="E298" s="403"/>
      <c r="F298" s="403"/>
      <c r="G298" s="403"/>
      <c r="H298" s="403"/>
      <c r="I298" s="403"/>
      <c r="J298" s="403"/>
      <c r="K298" s="403"/>
      <c r="L298" s="403"/>
      <c r="M298" s="141" t="str">
        <f t="shared" si="5"/>
        <v/>
      </c>
      <c r="N298" s="404"/>
      <c r="O298" s="405"/>
    </row>
    <row r="299" spans="2:15" x14ac:dyDescent="0.35">
      <c r="B299" s="401" t="str">
        <f>IF(Lançamentos!$B294="","",Lançamentos!$B294)</f>
        <v/>
      </c>
      <c r="C299" s="402" t="str">
        <f>IF($B299="","",Lançamentos!$J294)</f>
        <v/>
      </c>
      <c r="D299" s="403" t="str">
        <f>IF($B299="","",Lançamentos!$H294)</f>
        <v/>
      </c>
      <c r="E299" s="403"/>
      <c r="F299" s="403"/>
      <c r="G299" s="403"/>
      <c r="H299" s="403"/>
      <c r="I299" s="403"/>
      <c r="J299" s="403"/>
      <c r="K299" s="403"/>
      <c r="L299" s="403"/>
      <c r="M299" s="141" t="str">
        <f t="shared" si="5"/>
        <v/>
      </c>
      <c r="N299" s="404"/>
      <c r="O299" s="405"/>
    </row>
    <row r="300" spans="2:15" x14ac:dyDescent="0.35">
      <c r="B300" s="401" t="str">
        <f>IF(Lançamentos!$B295="","",Lançamentos!$B295)</f>
        <v/>
      </c>
      <c r="C300" s="402" t="str">
        <f>IF($B300="","",Lançamentos!$J295)</f>
        <v/>
      </c>
      <c r="D300" s="403" t="str">
        <f>IF($B300="","",Lançamentos!$H295)</f>
        <v/>
      </c>
      <c r="E300" s="403"/>
      <c r="F300" s="403"/>
      <c r="G300" s="403"/>
      <c r="H300" s="403"/>
      <c r="I300" s="403"/>
      <c r="J300" s="403"/>
      <c r="K300" s="403"/>
      <c r="L300" s="403"/>
      <c r="M300" s="141" t="str">
        <f t="shared" si="5"/>
        <v/>
      </c>
      <c r="N300" s="404"/>
      <c r="O300" s="405"/>
    </row>
    <row r="301" spans="2:15" x14ac:dyDescent="0.35">
      <c r="B301" s="401" t="str">
        <f>IF(Lançamentos!$B296="","",Lançamentos!$B296)</f>
        <v/>
      </c>
      <c r="C301" s="402" t="str">
        <f>IF($B301="","",Lançamentos!$J296)</f>
        <v/>
      </c>
      <c r="D301" s="403" t="str">
        <f>IF($B301="","",Lançamentos!$H296)</f>
        <v/>
      </c>
      <c r="E301" s="403"/>
      <c r="F301" s="403"/>
      <c r="G301" s="403"/>
      <c r="H301" s="403"/>
      <c r="I301" s="403"/>
      <c r="J301" s="403"/>
      <c r="K301" s="403"/>
      <c r="L301" s="403"/>
      <c r="M301" s="141" t="str">
        <f t="shared" si="5"/>
        <v/>
      </c>
      <c r="N301" s="404"/>
      <c r="O301" s="405"/>
    </row>
    <row r="302" spans="2:15" x14ac:dyDescent="0.35">
      <c r="B302" s="401" t="str">
        <f>IF(Lançamentos!$B297="","",Lançamentos!$B297)</f>
        <v/>
      </c>
      <c r="C302" s="402" t="str">
        <f>IF($B302="","",Lançamentos!$J297)</f>
        <v/>
      </c>
      <c r="D302" s="403" t="str">
        <f>IF($B302="","",Lançamentos!$H297)</f>
        <v/>
      </c>
      <c r="E302" s="403"/>
      <c r="F302" s="403"/>
      <c r="G302" s="403"/>
      <c r="H302" s="403"/>
      <c r="I302" s="403"/>
      <c r="J302" s="403"/>
      <c r="K302" s="403"/>
      <c r="L302" s="403"/>
      <c r="M302" s="141" t="str">
        <f t="shared" si="5"/>
        <v/>
      </c>
      <c r="N302" s="404"/>
      <c r="O302" s="405"/>
    </row>
    <row r="303" spans="2:15" x14ac:dyDescent="0.35">
      <c r="B303" s="401" t="str">
        <f>IF(Lançamentos!$B298="","",Lançamentos!$B298)</f>
        <v/>
      </c>
      <c r="C303" s="402" t="str">
        <f>IF($B303="","",Lançamentos!$J298)</f>
        <v/>
      </c>
      <c r="D303" s="403" t="str">
        <f>IF($B303="","",Lançamentos!$H298)</f>
        <v/>
      </c>
      <c r="E303" s="403"/>
      <c r="F303" s="403"/>
      <c r="G303" s="403"/>
      <c r="H303" s="403"/>
      <c r="I303" s="403"/>
      <c r="J303" s="403"/>
      <c r="K303" s="403"/>
      <c r="L303" s="403"/>
      <c r="M303" s="141" t="str">
        <f t="shared" si="5"/>
        <v/>
      </c>
      <c r="N303" s="404"/>
      <c r="O303" s="405"/>
    </row>
    <row r="304" spans="2:15" x14ac:dyDescent="0.35">
      <c r="B304" s="401" t="str">
        <f>IF(Lançamentos!$B299="","",Lançamentos!$B299)</f>
        <v/>
      </c>
      <c r="C304" s="402" t="str">
        <f>IF($B304="","",Lançamentos!$J299)</f>
        <v/>
      </c>
      <c r="D304" s="403" t="str">
        <f>IF($B304="","",Lançamentos!$H299)</f>
        <v/>
      </c>
      <c r="E304" s="403"/>
      <c r="F304" s="403"/>
      <c r="G304" s="403"/>
      <c r="H304" s="403"/>
      <c r="I304" s="403"/>
      <c r="J304" s="403"/>
      <c r="K304" s="403"/>
      <c r="L304" s="403"/>
      <c r="M304" s="141" t="str">
        <f t="shared" si="5"/>
        <v/>
      </c>
      <c r="N304" s="404"/>
      <c r="O304" s="405"/>
    </row>
    <row r="305" spans="2:15" x14ac:dyDescent="0.35">
      <c r="B305" s="401" t="str">
        <f>IF(Lançamentos!$B300="","",Lançamentos!$B300)</f>
        <v/>
      </c>
      <c r="C305" s="402" t="str">
        <f>IF($B305="","",Lançamentos!$J300)</f>
        <v/>
      </c>
      <c r="D305" s="403" t="str">
        <f>IF($B305="","",Lançamentos!$H300)</f>
        <v/>
      </c>
      <c r="E305" s="403"/>
      <c r="F305" s="403"/>
      <c r="G305" s="403"/>
      <c r="H305" s="403"/>
      <c r="I305" s="403"/>
      <c r="J305" s="403"/>
      <c r="K305" s="403"/>
      <c r="L305" s="403"/>
      <c r="M305" s="141" t="str">
        <f t="shared" si="5"/>
        <v/>
      </c>
      <c r="N305" s="404"/>
      <c r="O305" s="405"/>
    </row>
    <row r="306" spans="2:15" x14ac:dyDescent="0.35">
      <c r="B306" s="401" t="str">
        <f>IF(Lançamentos!$B301="","",Lançamentos!$B301)</f>
        <v/>
      </c>
      <c r="C306" s="402" t="str">
        <f>IF($B306="","",Lançamentos!$J301)</f>
        <v/>
      </c>
      <c r="D306" s="403" t="str">
        <f>IF($B306="","",Lançamentos!$H301)</f>
        <v/>
      </c>
      <c r="E306" s="403"/>
      <c r="F306" s="403"/>
      <c r="G306" s="403"/>
      <c r="H306" s="403"/>
      <c r="I306" s="403"/>
      <c r="J306" s="403"/>
      <c r="K306" s="403"/>
      <c r="L306" s="403"/>
      <c r="M306" s="141" t="str">
        <f t="shared" si="5"/>
        <v/>
      </c>
      <c r="N306" s="404"/>
      <c r="O306" s="405"/>
    </row>
    <row r="307" spans="2:15" x14ac:dyDescent="0.35">
      <c r="B307" s="401" t="str">
        <f>IF(Lançamentos!$B302="","",Lançamentos!$B302)</f>
        <v/>
      </c>
      <c r="C307" s="402" t="str">
        <f>IF($B307="","",Lançamentos!$J302)</f>
        <v/>
      </c>
      <c r="D307" s="403" t="str">
        <f>IF($B307="","",Lançamentos!$H302)</f>
        <v/>
      </c>
      <c r="E307" s="403"/>
      <c r="F307" s="403"/>
      <c r="G307" s="403"/>
      <c r="H307" s="403"/>
      <c r="I307" s="403"/>
      <c r="J307" s="403"/>
      <c r="K307" s="403"/>
      <c r="L307" s="403"/>
      <c r="M307" s="141" t="str">
        <f t="shared" si="5"/>
        <v/>
      </c>
      <c r="N307" s="404"/>
      <c r="O307" s="405"/>
    </row>
    <row r="308" spans="2:15" x14ac:dyDescent="0.35">
      <c r="B308" s="401" t="str">
        <f>IF(Lançamentos!$B303="","",Lançamentos!$B303)</f>
        <v/>
      </c>
      <c r="C308" s="402" t="str">
        <f>IF($B308="","",Lançamentos!$J303)</f>
        <v/>
      </c>
      <c r="D308" s="403" t="str">
        <f>IF($B308="","",Lançamentos!$H303)</f>
        <v/>
      </c>
      <c r="E308" s="403"/>
      <c r="F308" s="403"/>
      <c r="G308" s="403"/>
      <c r="H308" s="403"/>
      <c r="I308" s="403"/>
      <c r="J308" s="403"/>
      <c r="K308" s="403"/>
      <c r="L308" s="403"/>
      <c r="M308" s="141" t="str">
        <f t="shared" si="5"/>
        <v/>
      </c>
      <c r="N308" s="404"/>
      <c r="O308" s="405"/>
    </row>
    <row r="309" spans="2:15" x14ac:dyDescent="0.35">
      <c r="B309" s="401" t="str">
        <f>IF(Lançamentos!$B304="","",Lançamentos!$B304)</f>
        <v/>
      </c>
      <c r="C309" s="402" t="str">
        <f>IF($B309="","",Lançamentos!$J304)</f>
        <v/>
      </c>
      <c r="D309" s="403" t="str">
        <f>IF($B309="","",Lançamentos!$H304)</f>
        <v/>
      </c>
      <c r="E309" s="403"/>
      <c r="F309" s="403"/>
      <c r="G309" s="403"/>
      <c r="H309" s="403"/>
      <c r="I309" s="403"/>
      <c r="J309" s="403"/>
      <c r="K309" s="403"/>
      <c r="L309" s="403"/>
      <c r="M309" s="141" t="str">
        <f t="shared" si="5"/>
        <v/>
      </c>
      <c r="N309" s="404"/>
      <c r="O309" s="405"/>
    </row>
    <row r="310" spans="2:15" x14ac:dyDescent="0.35">
      <c r="B310" s="401" t="str">
        <f>IF(Lançamentos!$B305="","",Lançamentos!$B305)</f>
        <v/>
      </c>
      <c r="C310" s="402" t="str">
        <f>IF($B310="","",Lançamentos!$J305)</f>
        <v/>
      </c>
      <c r="D310" s="403" t="str">
        <f>IF($B310="","",Lançamentos!$H305)</f>
        <v/>
      </c>
      <c r="E310" s="403"/>
      <c r="F310" s="403"/>
      <c r="G310" s="403"/>
      <c r="H310" s="403"/>
      <c r="I310" s="403"/>
      <c r="J310" s="403"/>
      <c r="K310" s="403"/>
      <c r="L310" s="403"/>
      <c r="M310" s="141" t="str">
        <f t="shared" si="5"/>
        <v/>
      </c>
      <c r="N310" s="404"/>
      <c r="O310" s="405"/>
    </row>
    <row r="311" spans="2:15" x14ac:dyDescent="0.35">
      <c r="B311" s="401" t="str">
        <f>IF(Lançamentos!$B306="","",Lançamentos!$B306)</f>
        <v/>
      </c>
      <c r="C311" s="402" t="str">
        <f>IF($B311="","",Lançamentos!$J306)</f>
        <v/>
      </c>
      <c r="D311" s="403" t="str">
        <f>IF($B311="","",Lançamentos!$H306)</f>
        <v/>
      </c>
      <c r="E311" s="403"/>
      <c r="F311" s="403"/>
      <c r="G311" s="403"/>
      <c r="H311" s="403"/>
      <c r="I311" s="403"/>
      <c r="J311" s="403"/>
      <c r="K311" s="403"/>
      <c r="L311" s="403"/>
      <c r="M311" s="141" t="str">
        <f t="shared" si="5"/>
        <v/>
      </c>
      <c r="N311" s="404"/>
      <c r="O311" s="405"/>
    </row>
    <row r="312" spans="2:15" x14ac:dyDescent="0.35">
      <c r="B312" s="401" t="str">
        <f>IF(Lançamentos!$B307="","",Lançamentos!$B307)</f>
        <v/>
      </c>
      <c r="C312" s="402" t="str">
        <f>IF($B312="","",Lançamentos!$J307)</f>
        <v/>
      </c>
      <c r="D312" s="403" t="str">
        <f>IF($B312="","",Lançamentos!$H307)</f>
        <v/>
      </c>
      <c r="E312" s="403"/>
      <c r="F312" s="403"/>
      <c r="G312" s="403"/>
      <c r="H312" s="403"/>
      <c r="I312" s="403"/>
      <c r="J312" s="403"/>
      <c r="K312" s="403"/>
      <c r="L312" s="403"/>
      <c r="M312" s="141" t="str">
        <f t="shared" si="5"/>
        <v/>
      </c>
      <c r="N312" s="404"/>
      <c r="O312" s="405"/>
    </row>
    <row r="313" spans="2:15" x14ac:dyDescent="0.35">
      <c r="B313" s="401" t="str">
        <f>IF(Lançamentos!$B308="","",Lançamentos!$B308)</f>
        <v/>
      </c>
      <c r="C313" s="402" t="str">
        <f>IF($B313="","",Lançamentos!$J308)</f>
        <v/>
      </c>
      <c r="D313" s="403" t="str">
        <f>IF($B313="","",Lançamentos!$H308)</f>
        <v/>
      </c>
      <c r="E313" s="403"/>
      <c r="F313" s="403"/>
      <c r="G313" s="403"/>
      <c r="H313" s="403"/>
      <c r="I313" s="403"/>
      <c r="J313" s="403"/>
      <c r="K313" s="403"/>
      <c r="L313" s="403"/>
      <c r="M313" s="141" t="str">
        <f t="shared" si="5"/>
        <v/>
      </c>
      <c r="N313" s="404"/>
      <c r="O313" s="405"/>
    </row>
    <row r="314" spans="2:15" x14ac:dyDescent="0.35">
      <c r="B314" s="401" t="str">
        <f>IF(Lançamentos!$B309="","",Lançamentos!$B309)</f>
        <v/>
      </c>
      <c r="C314" s="402" t="str">
        <f>IF($B314="","",Lançamentos!$J309)</f>
        <v/>
      </c>
      <c r="D314" s="403" t="str">
        <f>IF($B314="","",Lançamentos!$H309)</f>
        <v/>
      </c>
      <c r="E314" s="403"/>
      <c r="F314" s="403"/>
      <c r="G314" s="403"/>
      <c r="H314" s="403"/>
      <c r="I314" s="403"/>
      <c r="J314" s="403"/>
      <c r="K314" s="403"/>
      <c r="L314" s="403"/>
      <c r="M314" s="141" t="str">
        <f t="shared" si="5"/>
        <v/>
      </c>
      <c r="N314" s="404"/>
      <c r="O314" s="405"/>
    </row>
    <row r="315" spans="2:15" x14ac:dyDescent="0.35">
      <c r="B315" s="401" t="str">
        <f>IF(Lançamentos!$B310="","",Lançamentos!$B310)</f>
        <v/>
      </c>
      <c r="C315" s="402" t="str">
        <f>IF($B315="","",Lançamentos!$J310)</f>
        <v/>
      </c>
      <c r="D315" s="403" t="str">
        <f>IF($B315="","",Lançamentos!$H310)</f>
        <v/>
      </c>
      <c r="E315" s="403"/>
      <c r="F315" s="403"/>
      <c r="G315" s="403"/>
      <c r="H315" s="403"/>
      <c r="I315" s="403"/>
      <c r="J315" s="403"/>
      <c r="K315" s="403"/>
      <c r="L315" s="403"/>
      <c r="M315" s="141" t="str">
        <f t="shared" si="5"/>
        <v/>
      </c>
      <c r="N315" s="404"/>
      <c r="O315" s="405"/>
    </row>
    <row r="316" spans="2:15" x14ac:dyDescent="0.35">
      <c r="B316" s="401" t="str">
        <f>IF(Lançamentos!$B311="","",Lançamentos!$B311)</f>
        <v/>
      </c>
      <c r="C316" s="402" t="str">
        <f>IF($B316="","",Lançamentos!$J311)</f>
        <v/>
      </c>
      <c r="D316" s="403" t="str">
        <f>IF($B316="","",Lançamentos!$H311)</f>
        <v/>
      </c>
      <c r="E316" s="403"/>
      <c r="F316" s="403"/>
      <c r="G316" s="403"/>
      <c r="H316" s="403"/>
      <c r="I316" s="403"/>
      <c r="J316" s="403"/>
      <c r="K316" s="403"/>
      <c r="L316" s="403"/>
      <c r="M316" s="141" t="str">
        <f t="shared" si="5"/>
        <v/>
      </c>
      <c r="N316" s="404"/>
      <c r="O316" s="405"/>
    </row>
    <row r="317" spans="2:15" x14ac:dyDescent="0.35">
      <c r="B317" s="401" t="str">
        <f>IF(Lançamentos!$B312="","",Lançamentos!$B312)</f>
        <v/>
      </c>
      <c r="C317" s="402" t="str">
        <f>IF($B317="","",Lançamentos!$J312)</f>
        <v/>
      </c>
      <c r="D317" s="403" t="str">
        <f>IF($B317="","",Lançamentos!$H312)</f>
        <v/>
      </c>
      <c r="E317" s="403"/>
      <c r="F317" s="403"/>
      <c r="G317" s="403"/>
      <c r="H317" s="403"/>
      <c r="I317" s="403"/>
      <c r="J317" s="403"/>
      <c r="K317" s="403"/>
      <c r="L317" s="403"/>
      <c r="M317" s="141" t="str">
        <f t="shared" si="5"/>
        <v/>
      </c>
      <c r="N317" s="404"/>
      <c r="O317" s="405"/>
    </row>
    <row r="318" spans="2:15" x14ac:dyDescent="0.35">
      <c r="B318" s="401" t="str">
        <f>IF(Lançamentos!$B313="","",Lançamentos!$B313)</f>
        <v/>
      </c>
      <c r="C318" s="402" t="str">
        <f>IF($B318="","",Lançamentos!$J313)</f>
        <v/>
      </c>
      <c r="D318" s="403" t="str">
        <f>IF($B318="","",Lançamentos!$H313)</f>
        <v/>
      </c>
      <c r="E318" s="403"/>
      <c r="F318" s="403"/>
      <c r="G318" s="403"/>
      <c r="H318" s="403"/>
      <c r="I318" s="403"/>
      <c r="J318" s="403"/>
      <c r="K318" s="403"/>
      <c r="L318" s="403"/>
      <c r="M318" s="141" t="str">
        <f t="shared" si="5"/>
        <v/>
      </c>
      <c r="N318" s="404"/>
      <c r="O318" s="405"/>
    </row>
    <row r="319" spans="2:15" x14ac:dyDescent="0.35">
      <c r="B319" s="401" t="str">
        <f>IF(Lançamentos!$B314="","",Lançamentos!$B314)</f>
        <v/>
      </c>
      <c r="C319" s="402" t="str">
        <f>IF($B319="","",Lançamentos!$J314)</f>
        <v/>
      </c>
      <c r="D319" s="403" t="str">
        <f>IF($B319="","",Lançamentos!$H314)</f>
        <v/>
      </c>
      <c r="E319" s="403"/>
      <c r="F319" s="403"/>
      <c r="G319" s="403"/>
      <c r="H319" s="403"/>
      <c r="I319" s="403"/>
      <c r="J319" s="403"/>
      <c r="K319" s="403"/>
      <c r="L319" s="403"/>
      <c r="M319" s="141" t="str">
        <f t="shared" si="5"/>
        <v/>
      </c>
      <c r="N319" s="404"/>
      <c r="O319" s="405"/>
    </row>
    <row r="320" spans="2:15" x14ac:dyDescent="0.35">
      <c r="B320" s="401" t="str">
        <f>IF(Lançamentos!$B315="","",Lançamentos!$B315)</f>
        <v/>
      </c>
      <c r="C320" s="402" t="str">
        <f>IF($B320="","",Lançamentos!$J315)</f>
        <v/>
      </c>
      <c r="D320" s="403" t="str">
        <f>IF($B320="","",Lançamentos!$H315)</f>
        <v/>
      </c>
      <c r="E320" s="403"/>
      <c r="F320" s="403"/>
      <c r="G320" s="403"/>
      <c r="H320" s="403"/>
      <c r="I320" s="403"/>
      <c r="J320" s="403"/>
      <c r="K320" s="403"/>
      <c r="L320" s="403"/>
      <c r="M320" s="141" t="str">
        <f t="shared" si="5"/>
        <v/>
      </c>
      <c r="N320" s="404"/>
      <c r="O320" s="405"/>
    </row>
    <row r="321" spans="2:15" x14ac:dyDescent="0.35">
      <c r="B321" s="401" t="str">
        <f>IF(Lançamentos!$B316="","",Lançamentos!$B316)</f>
        <v/>
      </c>
      <c r="C321" s="402" t="str">
        <f>IF($B321="","",Lançamentos!$J316)</f>
        <v/>
      </c>
      <c r="D321" s="403" t="str">
        <f>IF($B321="","",Lançamentos!$H316)</f>
        <v/>
      </c>
      <c r="E321" s="403"/>
      <c r="F321" s="403"/>
      <c r="G321" s="403"/>
      <c r="H321" s="403"/>
      <c r="I321" s="403"/>
      <c r="J321" s="403"/>
      <c r="K321" s="403"/>
      <c r="L321" s="403"/>
      <c r="M321" s="141" t="str">
        <f t="shared" si="5"/>
        <v/>
      </c>
      <c r="N321" s="404"/>
      <c r="O321" s="405"/>
    </row>
    <row r="322" spans="2:15" x14ac:dyDescent="0.35">
      <c r="B322" s="401" t="str">
        <f>IF(Lançamentos!$B317="","",Lançamentos!$B317)</f>
        <v/>
      </c>
      <c r="C322" s="402" t="str">
        <f>IF($B322="","",Lançamentos!$J317)</f>
        <v/>
      </c>
      <c r="D322" s="403" t="str">
        <f>IF($B322="","",Lançamentos!$H317)</f>
        <v/>
      </c>
      <c r="E322" s="403"/>
      <c r="F322" s="403"/>
      <c r="G322" s="403"/>
      <c r="H322" s="403"/>
      <c r="I322" s="403"/>
      <c r="J322" s="403"/>
      <c r="K322" s="403"/>
      <c r="L322" s="403"/>
      <c r="M322" s="141" t="str">
        <f t="shared" si="5"/>
        <v/>
      </c>
      <c r="N322" s="404"/>
      <c r="O322" s="405"/>
    </row>
    <row r="323" spans="2:15" x14ac:dyDescent="0.35">
      <c r="B323" s="401" t="str">
        <f>IF(Lançamentos!$B318="","",Lançamentos!$B318)</f>
        <v/>
      </c>
      <c r="C323" s="402" t="str">
        <f>IF($B323="","",Lançamentos!$J318)</f>
        <v/>
      </c>
      <c r="D323" s="403" t="str">
        <f>IF($B323="","",Lançamentos!$H318)</f>
        <v/>
      </c>
      <c r="E323" s="403"/>
      <c r="F323" s="403"/>
      <c r="G323" s="403"/>
      <c r="H323" s="403"/>
      <c r="I323" s="403"/>
      <c r="J323" s="403"/>
      <c r="K323" s="403"/>
      <c r="L323" s="403"/>
      <c r="M323" s="141" t="str">
        <f t="shared" si="5"/>
        <v/>
      </c>
      <c r="N323" s="404"/>
      <c r="O323" s="405"/>
    </row>
    <row r="324" spans="2:15" x14ac:dyDescent="0.35">
      <c r="B324" s="401" t="str">
        <f>IF(Lançamentos!$B319="","",Lançamentos!$B319)</f>
        <v/>
      </c>
      <c r="C324" s="402" t="str">
        <f>IF($B324="","",Lançamentos!$J319)</f>
        <v/>
      </c>
      <c r="D324" s="403" t="str">
        <f>IF($B324="","",Lançamentos!$H319)</f>
        <v/>
      </c>
      <c r="E324" s="403"/>
      <c r="F324" s="403"/>
      <c r="G324" s="403"/>
      <c r="H324" s="403"/>
      <c r="I324" s="403"/>
      <c r="J324" s="403"/>
      <c r="K324" s="403"/>
      <c r="L324" s="403"/>
      <c r="M324" s="141" t="str">
        <f t="shared" si="5"/>
        <v/>
      </c>
      <c r="N324" s="404"/>
      <c r="O324" s="405"/>
    </row>
    <row r="325" spans="2:15" x14ac:dyDescent="0.35">
      <c r="B325" s="401" t="str">
        <f>IF(Lançamentos!$B320="","",Lançamentos!$B320)</f>
        <v/>
      </c>
      <c r="C325" s="402" t="str">
        <f>IF($B325="","",Lançamentos!$J320)</f>
        <v/>
      </c>
      <c r="D325" s="403" t="str">
        <f>IF($B325="","",Lançamentos!$H320)</f>
        <v/>
      </c>
      <c r="E325" s="403"/>
      <c r="F325" s="403"/>
      <c r="G325" s="403"/>
      <c r="H325" s="403"/>
      <c r="I325" s="403"/>
      <c r="J325" s="403"/>
      <c r="K325" s="403"/>
      <c r="L325" s="403"/>
      <c r="M325" s="141" t="str">
        <f t="shared" si="5"/>
        <v/>
      </c>
      <c r="N325" s="404"/>
      <c r="O325" s="405"/>
    </row>
    <row r="326" spans="2:15" x14ac:dyDescent="0.35">
      <c r="B326" s="401" t="str">
        <f>IF(Lançamentos!$B321="","",Lançamentos!$B321)</f>
        <v/>
      </c>
      <c r="C326" s="402" t="str">
        <f>IF($B326="","",Lançamentos!$J321)</f>
        <v/>
      </c>
      <c r="D326" s="403" t="str">
        <f>IF($B326="","",Lançamentos!$H321)</f>
        <v/>
      </c>
      <c r="E326" s="403"/>
      <c r="F326" s="403"/>
      <c r="G326" s="403"/>
      <c r="H326" s="403"/>
      <c r="I326" s="403"/>
      <c r="J326" s="403"/>
      <c r="K326" s="403"/>
      <c r="L326" s="403"/>
      <c r="M326" s="141" t="str">
        <f t="shared" si="5"/>
        <v/>
      </c>
      <c r="N326" s="404"/>
      <c r="O326" s="405"/>
    </row>
    <row r="327" spans="2:15" x14ac:dyDescent="0.35">
      <c r="B327" s="401" t="str">
        <f>IF(Lançamentos!$B322="","",Lançamentos!$B322)</f>
        <v/>
      </c>
      <c r="C327" s="402" t="str">
        <f>IF($B327="","",Lançamentos!$J322)</f>
        <v/>
      </c>
      <c r="D327" s="403" t="str">
        <f>IF($B327="","",Lançamentos!$H322)</f>
        <v/>
      </c>
      <c r="E327" s="403"/>
      <c r="F327" s="403"/>
      <c r="G327" s="403"/>
      <c r="H327" s="403"/>
      <c r="I327" s="403"/>
      <c r="J327" s="403"/>
      <c r="K327" s="403"/>
      <c r="L327" s="403"/>
      <c r="M327" s="141" t="str">
        <f t="shared" si="5"/>
        <v/>
      </c>
      <c r="N327" s="404"/>
      <c r="O327" s="405"/>
    </row>
    <row r="328" spans="2:15" x14ac:dyDescent="0.35">
      <c r="B328" s="401" t="str">
        <f>IF(Lançamentos!$B323="","",Lançamentos!$B323)</f>
        <v/>
      </c>
      <c r="C328" s="402" t="str">
        <f>IF($B328="","",Lançamentos!$J323)</f>
        <v/>
      </c>
      <c r="D328" s="403" t="str">
        <f>IF($B328="","",Lançamentos!$H323)</f>
        <v/>
      </c>
      <c r="E328" s="403"/>
      <c r="F328" s="403"/>
      <c r="G328" s="403"/>
      <c r="H328" s="403"/>
      <c r="I328" s="403"/>
      <c r="J328" s="403"/>
      <c r="K328" s="403"/>
      <c r="L328" s="403"/>
      <c r="M328" s="141" t="str">
        <f t="shared" si="5"/>
        <v/>
      </c>
      <c r="N328" s="404"/>
      <c r="O328" s="405"/>
    </row>
    <row r="329" spans="2:15" x14ac:dyDescent="0.35">
      <c r="B329" s="401" t="str">
        <f>IF(Lançamentos!$B324="","",Lançamentos!$B324)</f>
        <v/>
      </c>
      <c r="C329" s="402" t="str">
        <f>IF($B329="","",Lançamentos!$J324)</f>
        <v/>
      </c>
      <c r="D329" s="403" t="str">
        <f>IF($B329="","",Lançamentos!$H324)</f>
        <v/>
      </c>
      <c r="E329" s="403"/>
      <c r="F329" s="403"/>
      <c r="G329" s="403"/>
      <c r="H329" s="403"/>
      <c r="I329" s="403"/>
      <c r="J329" s="403"/>
      <c r="K329" s="403"/>
      <c r="L329" s="403"/>
      <c r="M329" s="141" t="str">
        <f t="shared" si="5"/>
        <v/>
      </c>
      <c r="N329" s="404"/>
      <c r="O329" s="405"/>
    </row>
    <row r="330" spans="2:15" x14ac:dyDescent="0.35">
      <c r="B330" s="401" t="str">
        <f>IF(Lançamentos!$B325="","",Lançamentos!$B325)</f>
        <v/>
      </c>
      <c r="C330" s="402" t="str">
        <f>IF($B330="","",Lançamentos!$J325)</f>
        <v/>
      </c>
      <c r="D330" s="403" t="str">
        <f>IF($B330="","",Lançamentos!$H325)</f>
        <v/>
      </c>
      <c r="E330" s="403"/>
      <c r="F330" s="403"/>
      <c r="G330" s="403"/>
      <c r="H330" s="403"/>
      <c r="I330" s="403"/>
      <c r="J330" s="403"/>
      <c r="K330" s="403"/>
      <c r="L330" s="403"/>
      <c r="M330" s="141" t="str">
        <f t="shared" si="5"/>
        <v/>
      </c>
      <c r="N330" s="404"/>
      <c r="O330" s="405"/>
    </row>
    <row r="331" spans="2:15" x14ac:dyDescent="0.35">
      <c r="B331" s="401" t="str">
        <f>IF(Lançamentos!$B326="","",Lançamentos!$B326)</f>
        <v/>
      </c>
      <c r="C331" s="402" t="str">
        <f>IF($B331="","",Lançamentos!$J326)</f>
        <v/>
      </c>
      <c r="D331" s="403" t="str">
        <f>IF($B331="","",Lançamentos!$H326)</f>
        <v/>
      </c>
      <c r="E331" s="403"/>
      <c r="F331" s="403"/>
      <c r="G331" s="403"/>
      <c r="H331" s="403"/>
      <c r="I331" s="403"/>
      <c r="J331" s="403"/>
      <c r="K331" s="403"/>
      <c r="L331" s="403"/>
      <c r="M331" s="141" t="str">
        <f t="shared" si="5"/>
        <v/>
      </c>
      <c r="N331" s="404"/>
      <c r="O331" s="405"/>
    </row>
    <row r="332" spans="2:15" x14ac:dyDescent="0.35">
      <c r="B332" s="401" t="str">
        <f>IF(Lançamentos!$B327="","",Lançamentos!$B327)</f>
        <v/>
      </c>
      <c r="C332" s="402" t="str">
        <f>IF($B332="","",Lançamentos!$J327)</f>
        <v/>
      </c>
      <c r="D332" s="403" t="str">
        <f>IF($B332="","",Lançamentos!$H327)</f>
        <v/>
      </c>
      <c r="E332" s="403"/>
      <c r="F332" s="403"/>
      <c r="G332" s="403"/>
      <c r="H332" s="403"/>
      <c r="I332" s="403"/>
      <c r="J332" s="403"/>
      <c r="K332" s="403"/>
      <c r="L332" s="403"/>
      <c r="M332" s="141" t="str">
        <f t="shared" si="5"/>
        <v/>
      </c>
      <c r="N332" s="404"/>
      <c r="O332" s="405"/>
    </row>
    <row r="333" spans="2:15" x14ac:dyDescent="0.35">
      <c r="B333" s="401" t="str">
        <f>IF(Lançamentos!$B328="","",Lançamentos!$B328)</f>
        <v/>
      </c>
      <c r="C333" s="402" t="str">
        <f>IF($B333="","",Lançamentos!$J328)</f>
        <v/>
      </c>
      <c r="D333" s="403" t="str">
        <f>IF($B333="","",Lançamentos!$H328)</f>
        <v/>
      </c>
      <c r="E333" s="403"/>
      <c r="F333" s="403"/>
      <c r="G333" s="403"/>
      <c r="H333" s="403"/>
      <c r="I333" s="403"/>
      <c r="J333" s="403"/>
      <c r="K333" s="403"/>
      <c r="L333" s="403"/>
      <c r="M333" s="141" t="str">
        <f t="shared" si="5"/>
        <v/>
      </c>
      <c r="N333" s="404"/>
      <c r="O333" s="405"/>
    </row>
    <row r="334" spans="2:15" x14ac:dyDescent="0.35">
      <c r="B334" s="401" t="str">
        <f>IF(Lançamentos!$B329="","",Lançamentos!$B329)</f>
        <v/>
      </c>
      <c r="C334" s="402" t="str">
        <f>IF($B334="","",Lançamentos!$J329)</f>
        <v/>
      </c>
      <c r="D334" s="403" t="str">
        <f>IF($B334="","",Lançamentos!$H329)</f>
        <v/>
      </c>
      <c r="E334" s="403"/>
      <c r="F334" s="403"/>
      <c r="G334" s="403"/>
      <c r="H334" s="403"/>
      <c r="I334" s="403"/>
      <c r="J334" s="403"/>
      <c r="K334" s="403"/>
      <c r="L334" s="403"/>
      <c r="M334" s="141" t="str">
        <f t="shared" si="5"/>
        <v/>
      </c>
      <c r="N334" s="404"/>
      <c r="O334" s="405"/>
    </row>
    <row r="335" spans="2:15" x14ac:dyDescent="0.35">
      <c r="B335" s="401" t="str">
        <f>IF(Lançamentos!$B330="","",Lançamentos!$B330)</f>
        <v/>
      </c>
      <c r="C335" s="402" t="str">
        <f>IF($B335="","",Lançamentos!$J330)</f>
        <v/>
      </c>
      <c r="D335" s="403" t="str">
        <f>IF($B335="","",Lançamentos!$H330)</f>
        <v/>
      </c>
      <c r="E335" s="403"/>
      <c r="F335" s="403"/>
      <c r="G335" s="403"/>
      <c r="H335" s="403"/>
      <c r="I335" s="403"/>
      <c r="J335" s="403"/>
      <c r="K335" s="403"/>
      <c r="L335" s="403"/>
      <c r="M335" s="141" t="str">
        <f t="shared" si="5"/>
        <v/>
      </c>
      <c r="N335" s="404"/>
      <c r="O335" s="405"/>
    </row>
    <row r="336" spans="2:15" x14ac:dyDescent="0.35">
      <c r="B336" s="401" t="str">
        <f>IF(Lançamentos!$B331="","",Lançamentos!$B331)</f>
        <v/>
      </c>
      <c r="C336" s="402" t="str">
        <f>IF($B336="","",Lançamentos!$J331)</f>
        <v/>
      </c>
      <c r="D336" s="403" t="str">
        <f>IF($B336="","",Lançamentos!$H331)</f>
        <v/>
      </c>
      <c r="E336" s="403"/>
      <c r="F336" s="403"/>
      <c r="G336" s="403"/>
      <c r="H336" s="403"/>
      <c r="I336" s="403"/>
      <c r="J336" s="403"/>
      <c r="K336" s="403"/>
      <c r="L336" s="403"/>
      <c r="M336" s="141" t="str">
        <f t="shared" ref="M336:M399" si="6">IF(B336="","",IF(COUNTIF(E336:L336,"N/A")=8,0,COUNTIF(E336:L336,"✔ Concluído")/(8-COUNTIF(E336:L336,"N/A"))))</f>
        <v/>
      </c>
      <c r="N336" s="404"/>
      <c r="O336" s="405"/>
    </row>
    <row r="337" spans="2:15" x14ac:dyDescent="0.35">
      <c r="B337" s="401" t="str">
        <f>IF(Lançamentos!$B332="","",Lançamentos!$B332)</f>
        <v/>
      </c>
      <c r="C337" s="402" t="str">
        <f>IF($B337="","",Lançamentos!$J332)</f>
        <v/>
      </c>
      <c r="D337" s="403" t="str">
        <f>IF($B337="","",Lançamentos!$H332)</f>
        <v/>
      </c>
      <c r="E337" s="403"/>
      <c r="F337" s="403"/>
      <c r="G337" s="403"/>
      <c r="H337" s="403"/>
      <c r="I337" s="403"/>
      <c r="J337" s="403"/>
      <c r="K337" s="403"/>
      <c r="L337" s="403"/>
      <c r="M337" s="141" t="str">
        <f t="shared" si="6"/>
        <v/>
      </c>
      <c r="N337" s="404"/>
      <c r="O337" s="405"/>
    </row>
    <row r="338" spans="2:15" x14ac:dyDescent="0.35">
      <c r="B338" s="401" t="str">
        <f>IF(Lançamentos!$B333="","",Lançamentos!$B333)</f>
        <v/>
      </c>
      <c r="C338" s="402" t="str">
        <f>IF($B338="","",Lançamentos!$J333)</f>
        <v/>
      </c>
      <c r="D338" s="403" t="str">
        <f>IF($B338="","",Lançamentos!$H333)</f>
        <v/>
      </c>
      <c r="E338" s="403"/>
      <c r="F338" s="403"/>
      <c r="G338" s="403"/>
      <c r="H338" s="403"/>
      <c r="I338" s="403"/>
      <c r="J338" s="403"/>
      <c r="K338" s="403"/>
      <c r="L338" s="403"/>
      <c r="M338" s="141" t="str">
        <f t="shared" si="6"/>
        <v/>
      </c>
      <c r="N338" s="404"/>
      <c r="O338" s="405"/>
    </row>
    <row r="339" spans="2:15" x14ac:dyDescent="0.35">
      <c r="B339" s="401" t="str">
        <f>IF(Lançamentos!$B334="","",Lançamentos!$B334)</f>
        <v/>
      </c>
      <c r="C339" s="402" t="str">
        <f>IF($B339="","",Lançamentos!$J334)</f>
        <v/>
      </c>
      <c r="D339" s="403" t="str">
        <f>IF($B339="","",Lançamentos!$H334)</f>
        <v/>
      </c>
      <c r="E339" s="403"/>
      <c r="F339" s="403"/>
      <c r="G339" s="403"/>
      <c r="H339" s="403"/>
      <c r="I339" s="403"/>
      <c r="J339" s="403"/>
      <c r="K339" s="403"/>
      <c r="L339" s="403"/>
      <c r="M339" s="141" t="str">
        <f t="shared" si="6"/>
        <v/>
      </c>
      <c r="N339" s="404"/>
      <c r="O339" s="405"/>
    </row>
    <row r="340" spans="2:15" x14ac:dyDescent="0.35">
      <c r="B340" s="401" t="str">
        <f>IF(Lançamentos!$B335="","",Lançamentos!$B335)</f>
        <v/>
      </c>
      <c r="C340" s="402" t="str">
        <f>IF($B340="","",Lançamentos!$J335)</f>
        <v/>
      </c>
      <c r="D340" s="403" t="str">
        <f>IF($B340="","",Lançamentos!$H335)</f>
        <v/>
      </c>
      <c r="E340" s="403"/>
      <c r="F340" s="403"/>
      <c r="G340" s="403"/>
      <c r="H340" s="403"/>
      <c r="I340" s="403"/>
      <c r="J340" s="403"/>
      <c r="K340" s="403"/>
      <c r="L340" s="403"/>
      <c r="M340" s="141" t="str">
        <f t="shared" si="6"/>
        <v/>
      </c>
      <c r="N340" s="404"/>
      <c r="O340" s="405"/>
    </row>
    <row r="341" spans="2:15" x14ac:dyDescent="0.35">
      <c r="B341" s="401" t="str">
        <f>IF(Lançamentos!$B336="","",Lançamentos!$B336)</f>
        <v/>
      </c>
      <c r="C341" s="402" t="str">
        <f>IF($B341="","",Lançamentos!$J336)</f>
        <v/>
      </c>
      <c r="D341" s="403" t="str">
        <f>IF($B341="","",Lançamentos!$H336)</f>
        <v/>
      </c>
      <c r="E341" s="403"/>
      <c r="F341" s="403"/>
      <c r="G341" s="403"/>
      <c r="H341" s="403"/>
      <c r="I341" s="403"/>
      <c r="J341" s="403"/>
      <c r="K341" s="403"/>
      <c r="L341" s="403"/>
      <c r="M341" s="141" t="str">
        <f t="shared" si="6"/>
        <v/>
      </c>
      <c r="N341" s="404"/>
      <c r="O341" s="405"/>
    </row>
    <row r="342" spans="2:15" x14ac:dyDescent="0.35">
      <c r="B342" s="401" t="str">
        <f>IF(Lançamentos!$B337="","",Lançamentos!$B337)</f>
        <v/>
      </c>
      <c r="C342" s="402" t="str">
        <f>IF($B342="","",Lançamentos!$J337)</f>
        <v/>
      </c>
      <c r="D342" s="403" t="str">
        <f>IF($B342="","",Lançamentos!$H337)</f>
        <v/>
      </c>
      <c r="E342" s="403"/>
      <c r="F342" s="403"/>
      <c r="G342" s="403"/>
      <c r="H342" s="403"/>
      <c r="I342" s="403"/>
      <c r="J342" s="403"/>
      <c r="K342" s="403"/>
      <c r="L342" s="403"/>
      <c r="M342" s="141" t="str">
        <f t="shared" si="6"/>
        <v/>
      </c>
      <c r="N342" s="404"/>
      <c r="O342" s="405"/>
    </row>
    <row r="343" spans="2:15" x14ac:dyDescent="0.35">
      <c r="B343" s="401" t="str">
        <f>IF(Lançamentos!$B338="","",Lançamentos!$B338)</f>
        <v/>
      </c>
      <c r="C343" s="402" t="str">
        <f>IF($B343="","",Lançamentos!$J338)</f>
        <v/>
      </c>
      <c r="D343" s="403" t="str">
        <f>IF($B343="","",Lançamentos!$H338)</f>
        <v/>
      </c>
      <c r="E343" s="403"/>
      <c r="F343" s="403"/>
      <c r="G343" s="403"/>
      <c r="H343" s="403"/>
      <c r="I343" s="403"/>
      <c r="J343" s="403"/>
      <c r="K343" s="403"/>
      <c r="L343" s="403"/>
      <c r="M343" s="141" t="str">
        <f t="shared" si="6"/>
        <v/>
      </c>
      <c r="N343" s="404"/>
      <c r="O343" s="405"/>
    </row>
    <row r="344" spans="2:15" x14ac:dyDescent="0.35">
      <c r="B344" s="401" t="str">
        <f>IF(Lançamentos!$B339="","",Lançamentos!$B339)</f>
        <v/>
      </c>
      <c r="C344" s="402" t="str">
        <f>IF($B344="","",Lançamentos!$J339)</f>
        <v/>
      </c>
      <c r="D344" s="403" t="str">
        <f>IF($B344="","",Lançamentos!$H339)</f>
        <v/>
      </c>
      <c r="E344" s="403"/>
      <c r="F344" s="403"/>
      <c r="G344" s="403"/>
      <c r="H344" s="403"/>
      <c r="I344" s="403"/>
      <c r="J344" s="403"/>
      <c r="K344" s="403"/>
      <c r="L344" s="403"/>
      <c r="M344" s="141" t="str">
        <f t="shared" si="6"/>
        <v/>
      </c>
      <c r="N344" s="404"/>
      <c r="O344" s="405"/>
    </row>
    <row r="345" spans="2:15" x14ac:dyDescent="0.35">
      <c r="B345" s="401" t="str">
        <f>IF(Lançamentos!$B340="","",Lançamentos!$B340)</f>
        <v/>
      </c>
      <c r="C345" s="402" t="str">
        <f>IF($B345="","",Lançamentos!$J340)</f>
        <v/>
      </c>
      <c r="D345" s="403" t="str">
        <f>IF($B345="","",Lançamentos!$H340)</f>
        <v/>
      </c>
      <c r="E345" s="403"/>
      <c r="F345" s="403"/>
      <c r="G345" s="403"/>
      <c r="H345" s="403"/>
      <c r="I345" s="403"/>
      <c r="J345" s="403"/>
      <c r="K345" s="403"/>
      <c r="L345" s="403"/>
      <c r="M345" s="141" t="str">
        <f t="shared" si="6"/>
        <v/>
      </c>
      <c r="N345" s="404"/>
      <c r="O345" s="405"/>
    </row>
    <row r="346" spans="2:15" x14ac:dyDescent="0.35">
      <c r="B346" s="401" t="str">
        <f>IF(Lançamentos!$B341="","",Lançamentos!$B341)</f>
        <v/>
      </c>
      <c r="C346" s="402" t="str">
        <f>IF($B346="","",Lançamentos!$J341)</f>
        <v/>
      </c>
      <c r="D346" s="403" t="str">
        <f>IF($B346="","",Lançamentos!$H341)</f>
        <v/>
      </c>
      <c r="E346" s="403"/>
      <c r="F346" s="403"/>
      <c r="G346" s="403"/>
      <c r="H346" s="403"/>
      <c r="I346" s="403"/>
      <c r="J346" s="403"/>
      <c r="K346" s="403"/>
      <c r="L346" s="403"/>
      <c r="M346" s="141" t="str">
        <f t="shared" si="6"/>
        <v/>
      </c>
      <c r="N346" s="404"/>
      <c r="O346" s="405"/>
    </row>
    <row r="347" spans="2:15" x14ac:dyDescent="0.35">
      <c r="B347" s="401" t="str">
        <f>IF(Lançamentos!$B342="","",Lançamentos!$B342)</f>
        <v/>
      </c>
      <c r="C347" s="402" t="str">
        <f>IF($B347="","",Lançamentos!$J342)</f>
        <v/>
      </c>
      <c r="D347" s="403" t="str">
        <f>IF($B347="","",Lançamentos!$H342)</f>
        <v/>
      </c>
      <c r="E347" s="403"/>
      <c r="F347" s="403"/>
      <c r="G347" s="403"/>
      <c r="H347" s="403"/>
      <c r="I347" s="403"/>
      <c r="J347" s="403"/>
      <c r="K347" s="403"/>
      <c r="L347" s="403"/>
      <c r="M347" s="141" t="str">
        <f t="shared" si="6"/>
        <v/>
      </c>
      <c r="N347" s="404"/>
      <c r="O347" s="405"/>
    </row>
    <row r="348" spans="2:15" x14ac:dyDescent="0.35">
      <c r="B348" s="401" t="str">
        <f>IF(Lançamentos!$B343="","",Lançamentos!$B343)</f>
        <v/>
      </c>
      <c r="C348" s="402" t="str">
        <f>IF($B348="","",Lançamentos!$J343)</f>
        <v/>
      </c>
      <c r="D348" s="403" t="str">
        <f>IF($B348="","",Lançamentos!$H343)</f>
        <v/>
      </c>
      <c r="E348" s="403"/>
      <c r="F348" s="403"/>
      <c r="G348" s="403"/>
      <c r="H348" s="403"/>
      <c r="I348" s="403"/>
      <c r="J348" s="403"/>
      <c r="K348" s="403"/>
      <c r="L348" s="403"/>
      <c r="M348" s="141" t="str">
        <f t="shared" si="6"/>
        <v/>
      </c>
      <c r="N348" s="404"/>
      <c r="O348" s="405"/>
    </row>
    <row r="349" spans="2:15" x14ac:dyDescent="0.35">
      <c r="B349" s="401" t="str">
        <f>IF(Lançamentos!$B344="","",Lançamentos!$B344)</f>
        <v/>
      </c>
      <c r="C349" s="402" t="str">
        <f>IF($B349="","",Lançamentos!$J344)</f>
        <v/>
      </c>
      <c r="D349" s="403" t="str">
        <f>IF($B349="","",Lançamentos!$H344)</f>
        <v/>
      </c>
      <c r="E349" s="403"/>
      <c r="F349" s="403"/>
      <c r="G349" s="403"/>
      <c r="H349" s="403"/>
      <c r="I349" s="403"/>
      <c r="J349" s="403"/>
      <c r="K349" s="403"/>
      <c r="L349" s="403"/>
      <c r="M349" s="141" t="str">
        <f t="shared" si="6"/>
        <v/>
      </c>
      <c r="N349" s="404"/>
      <c r="O349" s="405"/>
    </row>
    <row r="350" spans="2:15" x14ac:dyDescent="0.35">
      <c r="B350" s="401" t="str">
        <f>IF(Lançamentos!$B345="","",Lançamentos!$B345)</f>
        <v/>
      </c>
      <c r="C350" s="402" t="str">
        <f>IF($B350="","",Lançamentos!$J345)</f>
        <v/>
      </c>
      <c r="D350" s="403" t="str">
        <f>IF($B350="","",Lançamentos!$H345)</f>
        <v/>
      </c>
      <c r="E350" s="403"/>
      <c r="F350" s="403"/>
      <c r="G350" s="403"/>
      <c r="H350" s="403"/>
      <c r="I350" s="403"/>
      <c r="J350" s="403"/>
      <c r="K350" s="403"/>
      <c r="L350" s="403"/>
      <c r="M350" s="141" t="str">
        <f t="shared" si="6"/>
        <v/>
      </c>
      <c r="N350" s="404"/>
      <c r="O350" s="405"/>
    </row>
    <row r="351" spans="2:15" x14ac:dyDescent="0.35">
      <c r="B351" s="401" t="str">
        <f>IF(Lançamentos!$B346="","",Lançamentos!$B346)</f>
        <v/>
      </c>
      <c r="C351" s="402" t="str">
        <f>IF($B351="","",Lançamentos!$J346)</f>
        <v/>
      </c>
      <c r="D351" s="403" t="str">
        <f>IF($B351="","",Lançamentos!$H346)</f>
        <v/>
      </c>
      <c r="E351" s="403"/>
      <c r="F351" s="403"/>
      <c r="G351" s="403"/>
      <c r="H351" s="403"/>
      <c r="I351" s="403"/>
      <c r="J351" s="403"/>
      <c r="K351" s="403"/>
      <c r="L351" s="403"/>
      <c r="M351" s="141" t="str">
        <f t="shared" si="6"/>
        <v/>
      </c>
      <c r="N351" s="404"/>
      <c r="O351" s="405"/>
    </row>
    <row r="352" spans="2:15" x14ac:dyDescent="0.35">
      <c r="B352" s="401" t="str">
        <f>IF(Lançamentos!$B347="","",Lançamentos!$B347)</f>
        <v/>
      </c>
      <c r="C352" s="402" t="str">
        <f>IF($B352="","",Lançamentos!$J347)</f>
        <v/>
      </c>
      <c r="D352" s="403" t="str">
        <f>IF($B352="","",Lançamentos!$H347)</f>
        <v/>
      </c>
      <c r="E352" s="403"/>
      <c r="F352" s="403"/>
      <c r="G352" s="403"/>
      <c r="H352" s="403"/>
      <c r="I352" s="403"/>
      <c r="J352" s="403"/>
      <c r="K352" s="403"/>
      <c r="L352" s="403"/>
      <c r="M352" s="141" t="str">
        <f t="shared" si="6"/>
        <v/>
      </c>
      <c r="N352" s="404"/>
      <c r="O352" s="405"/>
    </row>
    <row r="353" spans="2:15" x14ac:dyDescent="0.35">
      <c r="B353" s="401" t="str">
        <f>IF(Lançamentos!$B348="","",Lançamentos!$B348)</f>
        <v/>
      </c>
      <c r="C353" s="402" t="str">
        <f>IF($B353="","",Lançamentos!$J348)</f>
        <v/>
      </c>
      <c r="D353" s="403" t="str">
        <f>IF($B353="","",Lançamentos!$H348)</f>
        <v/>
      </c>
      <c r="E353" s="403"/>
      <c r="F353" s="403"/>
      <c r="G353" s="403"/>
      <c r="H353" s="403"/>
      <c r="I353" s="403"/>
      <c r="J353" s="403"/>
      <c r="K353" s="403"/>
      <c r="L353" s="403"/>
      <c r="M353" s="141" t="str">
        <f t="shared" si="6"/>
        <v/>
      </c>
      <c r="N353" s="404"/>
      <c r="O353" s="405"/>
    </row>
    <row r="354" spans="2:15" x14ac:dyDescent="0.35">
      <c r="B354" s="401" t="str">
        <f>IF(Lançamentos!$B349="","",Lançamentos!$B349)</f>
        <v/>
      </c>
      <c r="C354" s="402" t="str">
        <f>IF($B354="","",Lançamentos!$J349)</f>
        <v/>
      </c>
      <c r="D354" s="403" t="str">
        <f>IF($B354="","",Lançamentos!$H349)</f>
        <v/>
      </c>
      <c r="E354" s="403"/>
      <c r="F354" s="403"/>
      <c r="G354" s="403"/>
      <c r="H354" s="403"/>
      <c r="I354" s="403"/>
      <c r="J354" s="403"/>
      <c r="K354" s="403"/>
      <c r="L354" s="403"/>
      <c r="M354" s="141" t="str">
        <f t="shared" si="6"/>
        <v/>
      </c>
      <c r="N354" s="404"/>
      <c r="O354" s="405"/>
    </row>
    <row r="355" spans="2:15" x14ac:dyDescent="0.35">
      <c r="B355" s="401" t="str">
        <f>IF(Lançamentos!$B350="","",Lançamentos!$B350)</f>
        <v/>
      </c>
      <c r="C355" s="402" t="str">
        <f>IF($B355="","",Lançamentos!$J350)</f>
        <v/>
      </c>
      <c r="D355" s="403" t="str">
        <f>IF($B355="","",Lançamentos!$H350)</f>
        <v/>
      </c>
      <c r="E355" s="403"/>
      <c r="F355" s="403"/>
      <c r="G355" s="403"/>
      <c r="H355" s="403"/>
      <c r="I355" s="403"/>
      <c r="J355" s="403"/>
      <c r="K355" s="403"/>
      <c r="L355" s="403"/>
      <c r="M355" s="141" t="str">
        <f t="shared" si="6"/>
        <v/>
      </c>
      <c r="N355" s="404"/>
      <c r="O355" s="405"/>
    </row>
    <row r="356" spans="2:15" x14ac:dyDescent="0.35">
      <c r="B356" s="401" t="str">
        <f>IF(Lançamentos!$B351="","",Lançamentos!$B351)</f>
        <v/>
      </c>
      <c r="C356" s="402" t="str">
        <f>IF($B356="","",Lançamentos!$J351)</f>
        <v/>
      </c>
      <c r="D356" s="403" t="str">
        <f>IF($B356="","",Lançamentos!$H351)</f>
        <v/>
      </c>
      <c r="E356" s="403"/>
      <c r="F356" s="403"/>
      <c r="G356" s="403"/>
      <c r="H356" s="403"/>
      <c r="I356" s="403"/>
      <c r="J356" s="403"/>
      <c r="K356" s="403"/>
      <c r="L356" s="403"/>
      <c r="M356" s="141" t="str">
        <f t="shared" si="6"/>
        <v/>
      </c>
      <c r="N356" s="404"/>
      <c r="O356" s="405"/>
    </row>
    <row r="357" spans="2:15" x14ac:dyDescent="0.35">
      <c r="B357" s="401" t="str">
        <f>IF(Lançamentos!$B352="","",Lançamentos!$B352)</f>
        <v/>
      </c>
      <c r="C357" s="402" t="str">
        <f>IF($B357="","",Lançamentos!$J352)</f>
        <v/>
      </c>
      <c r="D357" s="403" t="str">
        <f>IF($B357="","",Lançamentos!$H352)</f>
        <v/>
      </c>
      <c r="E357" s="403"/>
      <c r="F357" s="403"/>
      <c r="G357" s="403"/>
      <c r="H357" s="403"/>
      <c r="I357" s="403"/>
      <c r="J357" s="403"/>
      <c r="K357" s="403"/>
      <c r="L357" s="403"/>
      <c r="M357" s="141" t="str">
        <f t="shared" si="6"/>
        <v/>
      </c>
      <c r="N357" s="404"/>
      <c r="O357" s="405"/>
    </row>
    <row r="358" spans="2:15" x14ac:dyDescent="0.35">
      <c r="B358" s="401" t="str">
        <f>IF(Lançamentos!$B353="","",Lançamentos!$B353)</f>
        <v/>
      </c>
      <c r="C358" s="402" t="str">
        <f>IF($B358="","",Lançamentos!$J353)</f>
        <v/>
      </c>
      <c r="D358" s="403" t="str">
        <f>IF($B358="","",Lançamentos!$H353)</f>
        <v/>
      </c>
      <c r="E358" s="403"/>
      <c r="F358" s="403"/>
      <c r="G358" s="403"/>
      <c r="H358" s="403"/>
      <c r="I358" s="403"/>
      <c r="J358" s="403"/>
      <c r="K358" s="403"/>
      <c r="L358" s="403"/>
      <c r="M358" s="141" t="str">
        <f t="shared" si="6"/>
        <v/>
      </c>
      <c r="N358" s="404"/>
      <c r="O358" s="405"/>
    </row>
    <row r="359" spans="2:15" x14ac:dyDescent="0.35">
      <c r="B359" s="401" t="str">
        <f>IF(Lançamentos!$B354="","",Lançamentos!$B354)</f>
        <v/>
      </c>
      <c r="C359" s="402" t="str">
        <f>IF($B359="","",Lançamentos!$J354)</f>
        <v/>
      </c>
      <c r="D359" s="403" t="str">
        <f>IF($B359="","",Lançamentos!$H354)</f>
        <v/>
      </c>
      <c r="E359" s="403"/>
      <c r="F359" s="403"/>
      <c r="G359" s="403"/>
      <c r="H359" s="403"/>
      <c r="I359" s="403"/>
      <c r="J359" s="403"/>
      <c r="K359" s="403"/>
      <c r="L359" s="403"/>
      <c r="M359" s="141" t="str">
        <f t="shared" si="6"/>
        <v/>
      </c>
      <c r="N359" s="404"/>
      <c r="O359" s="405"/>
    </row>
    <row r="360" spans="2:15" x14ac:dyDescent="0.35">
      <c r="B360" s="401" t="str">
        <f>IF(Lançamentos!$B355="","",Lançamentos!$B355)</f>
        <v/>
      </c>
      <c r="C360" s="402" t="str">
        <f>IF($B360="","",Lançamentos!$J355)</f>
        <v/>
      </c>
      <c r="D360" s="403" t="str">
        <f>IF($B360="","",Lançamentos!$H355)</f>
        <v/>
      </c>
      <c r="E360" s="403"/>
      <c r="F360" s="403"/>
      <c r="G360" s="403"/>
      <c r="H360" s="403"/>
      <c r="I360" s="403"/>
      <c r="J360" s="403"/>
      <c r="K360" s="403"/>
      <c r="L360" s="403"/>
      <c r="M360" s="141" t="str">
        <f t="shared" si="6"/>
        <v/>
      </c>
      <c r="N360" s="404"/>
      <c r="O360" s="405"/>
    </row>
    <row r="361" spans="2:15" x14ac:dyDescent="0.35">
      <c r="B361" s="401" t="str">
        <f>IF(Lançamentos!$B356="","",Lançamentos!$B356)</f>
        <v/>
      </c>
      <c r="C361" s="402" t="str">
        <f>IF($B361="","",Lançamentos!$J356)</f>
        <v/>
      </c>
      <c r="D361" s="403" t="str">
        <f>IF($B361="","",Lançamentos!$H356)</f>
        <v/>
      </c>
      <c r="E361" s="403"/>
      <c r="F361" s="403"/>
      <c r="G361" s="403"/>
      <c r="H361" s="403"/>
      <c r="I361" s="403"/>
      <c r="J361" s="403"/>
      <c r="K361" s="403"/>
      <c r="L361" s="403"/>
      <c r="M361" s="141" t="str">
        <f t="shared" si="6"/>
        <v/>
      </c>
      <c r="N361" s="404"/>
      <c r="O361" s="405"/>
    </row>
    <row r="362" spans="2:15" x14ac:dyDescent="0.35">
      <c r="B362" s="401" t="str">
        <f>IF(Lançamentos!$B357="","",Lançamentos!$B357)</f>
        <v/>
      </c>
      <c r="C362" s="402" t="str">
        <f>IF($B362="","",Lançamentos!$J357)</f>
        <v/>
      </c>
      <c r="D362" s="403" t="str">
        <f>IF($B362="","",Lançamentos!$H357)</f>
        <v/>
      </c>
      <c r="E362" s="403"/>
      <c r="F362" s="403"/>
      <c r="G362" s="403"/>
      <c r="H362" s="403"/>
      <c r="I362" s="403"/>
      <c r="J362" s="403"/>
      <c r="K362" s="403"/>
      <c r="L362" s="403"/>
      <c r="M362" s="141" t="str">
        <f t="shared" si="6"/>
        <v/>
      </c>
      <c r="N362" s="404"/>
      <c r="O362" s="405"/>
    </row>
    <row r="363" spans="2:15" x14ac:dyDescent="0.35">
      <c r="B363" s="401" t="str">
        <f>IF(Lançamentos!$B358="","",Lançamentos!$B358)</f>
        <v/>
      </c>
      <c r="C363" s="402" t="str">
        <f>IF($B363="","",Lançamentos!$J358)</f>
        <v/>
      </c>
      <c r="D363" s="403" t="str">
        <f>IF($B363="","",Lançamentos!$H358)</f>
        <v/>
      </c>
      <c r="E363" s="403"/>
      <c r="F363" s="403"/>
      <c r="G363" s="403"/>
      <c r="H363" s="403"/>
      <c r="I363" s="403"/>
      <c r="J363" s="403"/>
      <c r="K363" s="403"/>
      <c r="L363" s="403"/>
      <c r="M363" s="141" t="str">
        <f t="shared" si="6"/>
        <v/>
      </c>
      <c r="N363" s="404"/>
      <c r="O363" s="405"/>
    </row>
    <row r="364" spans="2:15" x14ac:dyDescent="0.35">
      <c r="B364" s="401" t="str">
        <f>IF(Lançamentos!$B359="","",Lançamentos!$B359)</f>
        <v/>
      </c>
      <c r="C364" s="402" t="str">
        <f>IF($B364="","",Lançamentos!$J359)</f>
        <v/>
      </c>
      <c r="D364" s="403" t="str">
        <f>IF($B364="","",Lançamentos!$H359)</f>
        <v/>
      </c>
      <c r="E364" s="403"/>
      <c r="F364" s="403"/>
      <c r="G364" s="403"/>
      <c r="H364" s="403"/>
      <c r="I364" s="403"/>
      <c r="J364" s="403"/>
      <c r="K364" s="403"/>
      <c r="L364" s="403"/>
      <c r="M364" s="141" t="str">
        <f t="shared" si="6"/>
        <v/>
      </c>
      <c r="N364" s="404"/>
      <c r="O364" s="405"/>
    </row>
    <row r="365" spans="2:15" x14ac:dyDescent="0.35">
      <c r="B365" s="401" t="str">
        <f>IF(Lançamentos!$B360="","",Lançamentos!$B360)</f>
        <v/>
      </c>
      <c r="C365" s="402" t="str">
        <f>IF($B365="","",Lançamentos!$J360)</f>
        <v/>
      </c>
      <c r="D365" s="403" t="str">
        <f>IF($B365="","",Lançamentos!$H360)</f>
        <v/>
      </c>
      <c r="E365" s="403"/>
      <c r="F365" s="403"/>
      <c r="G365" s="403"/>
      <c r="H365" s="403"/>
      <c r="I365" s="403"/>
      <c r="J365" s="403"/>
      <c r="K365" s="403"/>
      <c r="L365" s="403"/>
      <c r="M365" s="141" t="str">
        <f t="shared" si="6"/>
        <v/>
      </c>
      <c r="N365" s="404"/>
      <c r="O365" s="405"/>
    </row>
    <row r="366" spans="2:15" x14ac:dyDescent="0.35">
      <c r="B366" s="401" t="str">
        <f>IF(Lançamentos!$B361="","",Lançamentos!$B361)</f>
        <v/>
      </c>
      <c r="C366" s="402" t="str">
        <f>IF($B366="","",Lançamentos!$J361)</f>
        <v/>
      </c>
      <c r="D366" s="403" t="str">
        <f>IF($B366="","",Lançamentos!$H361)</f>
        <v/>
      </c>
      <c r="E366" s="403"/>
      <c r="F366" s="403"/>
      <c r="G366" s="403"/>
      <c r="H366" s="403"/>
      <c r="I366" s="403"/>
      <c r="J366" s="403"/>
      <c r="K366" s="403"/>
      <c r="L366" s="403"/>
      <c r="M366" s="141" t="str">
        <f t="shared" si="6"/>
        <v/>
      </c>
      <c r="N366" s="404"/>
      <c r="O366" s="405"/>
    </row>
    <row r="367" spans="2:15" x14ac:dyDescent="0.35">
      <c r="B367" s="401" t="str">
        <f>IF(Lançamentos!$B362="","",Lançamentos!$B362)</f>
        <v/>
      </c>
      <c r="C367" s="402" t="str">
        <f>IF($B367="","",Lançamentos!$J362)</f>
        <v/>
      </c>
      <c r="D367" s="403" t="str">
        <f>IF($B367="","",Lançamentos!$H362)</f>
        <v/>
      </c>
      <c r="E367" s="403"/>
      <c r="F367" s="403"/>
      <c r="G367" s="403"/>
      <c r="H367" s="403"/>
      <c r="I367" s="403"/>
      <c r="J367" s="403"/>
      <c r="K367" s="403"/>
      <c r="L367" s="403"/>
      <c r="M367" s="141" t="str">
        <f t="shared" si="6"/>
        <v/>
      </c>
      <c r="N367" s="404"/>
      <c r="O367" s="405"/>
    </row>
    <row r="368" spans="2:15" x14ac:dyDescent="0.35">
      <c r="B368" s="401" t="str">
        <f>IF(Lançamentos!$B363="","",Lançamentos!$B363)</f>
        <v/>
      </c>
      <c r="C368" s="402" t="str">
        <f>IF($B368="","",Lançamentos!$J363)</f>
        <v/>
      </c>
      <c r="D368" s="403" t="str">
        <f>IF($B368="","",Lançamentos!$H363)</f>
        <v/>
      </c>
      <c r="E368" s="403"/>
      <c r="F368" s="403"/>
      <c r="G368" s="403"/>
      <c r="H368" s="403"/>
      <c r="I368" s="403"/>
      <c r="J368" s="403"/>
      <c r="K368" s="403"/>
      <c r="L368" s="403"/>
      <c r="M368" s="141" t="str">
        <f t="shared" si="6"/>
        <v/>
      </c>
      <c r="N368" s="404"/>
      <c r="O368" s="405"/>
    </row>
    <row r="369" spans="2:15" x14ac:dyDescent="0.35">
      <c r="B369" s="401" t="str">
        <f>IF(Lançamentos!$B364="","",Lançamentos!$B364)</f>
        <v/>
      </c>
      <c r="C369" s="402" t="str">
        <f>IF($B369="","",Lançamentos!$J364)</f>
        <v/>
      </c>
      <c r="D369" s="403" t="str">
        <f>IF($B369="","",Lançamentos!$H364)</f>
        <v/>
      </c>
      <c r="E369" s="403"/>
      <c r="F369" s="403"/>
      <c r="G369" s="403"/>
      <c r="H369" s="403"/>
      <c r="I369" s="403"/>
      <c r="J369" s="403"/>
      <c r="K369" s="403"/>
      <c r="L369" s="403"/>
      <c r="M369" s="141" t="str">
        <f t="shared" si="6"/>
        <v/>
      </c>
      <c r="N369" s="404"/>
      <c r="O369" s="405"/>
    </row>
    <row r="370" spans="2:15" x14ac:dyDescent="0.35">
      <c r="B370" s="401" t="str">
        <f>IF(Lançamentos!$B365="","",Lançamentos!$B365)</f>
        <v/>
      </c>
      <c r="C370" s="402" t="str">
        <f>IF($B370="","",Lançamentos!$J365)</f>
        <v/>
      </c>
      <c r="D370" s="403" t="str">
        <f>IF($B370="","",Lançamentos!$H365)</f>
        <v/>
      </c>
      <c r="E370" s="403"/>
      <c r="F370" s="403"/>
      <c r="G370" s="403"/>
      <c r="H370" s="403"/>
      <c r="I370" s="403"/>
      <c r="J370" s="403"/>
      <c r="K370" s="403"/>
      <c r="L370" s="403"/>
      <c r="M370" s="141" t="str">
        <f t="shared" si="6"/>
        <v/>
      </c>
      <c r="N370" s="404"/>
      <c r="O370" s="405"/>
    </row>
    <row r="371" spans="2:15" x14ac:dyDescent="0.35">
      <c r="B371" s="401" t="str">
        <f>IF(Lançamentos!$B366="","",Lançamentos!$B366)</f>
        <v/>
      </c>
      <c r="C371" s="402" t="str">
        <f>IF($B371="","",Lançamentos!$J366)</f>
        <v/>
      </c>
      <c r="D371" s="403" t="str">
        <f>IF($B371="","",Lançamentos!$H366)</f>
        <v/>
      </c>
      <c r="E371" s="403"/>
      <c r="F371" s="403"/>
      <c r="G371" s="403"/>
      <c r="H371" s="403"/>
      <c r="I371" s="403"/>
      <c r="J371" s="403"/>
      <c r="K371" s="403"/>
      <c r="L371" s="403"/>
      <c r="M371" s="141" t="str">
        <f t="shared" si="6"/>
        <v/>
      </c>
      <c r="N371" s="404"/>
      <c r="O371" s="405"/>
    </row>
    <row r="372" spans="2:15" x14ac:dyDescent="0.35">
      <c r="B372" s="401" t="str">
        <f>IF(Lançamentos!$B367="","",Lançamentos!$B367)</f>
        <v/>
      </c>
      <c r="C372" s="402" t="str">
        <f>IF($B372="","",Lançamentos!$J367)</f>
        <v/>
      </c>
      <c r="D372" s="403" t="str">
        <f>IF($B372="","",Lançamentos!$H367)</f>
        <v/>
      </c>
      <c r="E372" s="403"/>
      <c r="F372" s="403"/>
      <c r="G372" s="403"/>
      <c r="H372" s="403"/>
      <c r="I372" s="403"/>
      <c r="J372" s="403"/>
      <c r="K372" s="403"/>
      <c r="L372" s="403"/>
      <c r="M372" s="141" t="str">
        <f t="shared" si="6"/>
        <v/>
      </c>
      <c r="N372" s="404"/>
      <c r="O372" s="405"/>
    </row>
    <row r="373" spans="2:15" x14ac:dyDescent="0.35">
      <c r="B373" s="401" t="str">
        <f>IF(Lançamentos!$B368="","",Lançamentos!$B368)</f>
        <v/>
      </c>
      <c r="C373" s="402" t="str">
        <f>IF($B373="","",Lançamentos!$J368)</f>
        <v/>
      </c>
      <c r="D373" s="403" t="str">
        <f>IF($B373="","",Lançamentos!$H368)</f>
        <v/>
      </c>
      <c r="E373" s="403"/>
      <c r="F373" s="403"/>
      <c r="G373" s="403"/>
      <c r="H373" s="403"/>
      <c r="I373" s="403"/>
      <c r="J373" s="403"/>
      <c r="K373" s="403"/>
      <c r="L373" s="403"/>
      <c r="M373" s="141" t="str">
        <f t="shared" si="6"/>
        <v/>
      </c>
      <c r="N373" s="404"/>
      <c r="O373" s="405"/>
    </row>
    <row r="374" spans="2:15" x14ac:dyDescent="0.35">
      <c r="B374" s="401" t="str">
        <f>IF(Lançamentos!$B369="","",Lançamentos!$B369)</f>
        <v/>
      </c>
      <c r="C374" s="402" t="str">
        <f>IF($B374="","",Lançamentos!$J369)</f>
        <v/>
      </c>
      <c r="D374" s="403" t="str">
        <f>IF($B374="","",Lançamentos!$H369)</f>
        <v/>
      </c>
      <c r="E374" s="403"/>
      <c r="F374" s="403"/>
      <c r="G374" s="403"/>
      <c r="H374" s="403"/>
      <c r="I374" s="403"/>
      <c r="J374" s="403"/>
      <c r="K374" s="403"/>
      <c r="L374" s="403"/>
      <c r="M374" s="141" t="str">
        <f t="shared" si="6"/>
        <v/>
      </c>
      <c r="N374" s="404"/>
      <c r="O374" s="405"/>
    </row>
    <row r="375" spans="2:15" x14ac:dyDescent="0.35">
      <c r="B375" s="401" t="str">
        <f>IF(Lançamentos!$B370="","",Lançamentos!$B370)</f>
        <v/>
      </c>
      <c r="C375" s="402" t="str">
        <f>IF($B375="","",Lançamentos!$J370)</f>
        <v/>
      </c>
      <c r="D375" s="403" t="str">
        <f>IF($B375="","",Lançamentos!$H370)</f>
        <v/>
      </c>
      <c r="E375" s="403"/>
      <c r="F375" s="403"/>
      <c r="G375" s="403"/>
      <c r="H375" s="403"/>
      <c r="I375" s="403"/>
      <c r="J375" s="403"/>
      <c r="K375" s="403"/>
      <c r="L375" s="403"/>
      <c r="M375" s="141" t="str">
        <f t="shared" si="6"/>
        <v/>
      </c>
      <c r="N375" s="404"/>
      <c r="O375" s="405"/>
    </row>
    <row r="376" spans="2:15" x14ac:dyDescent="0.35">
      <c r="B376" s="401" t="str">
        <f>IF(Lançamentos!$B371="","",Lançamentos!$B371)</f>
        <v/>
      </c>
      <c r="C376" s="402" t="str">
        <f>IF($B376="","",Lançamentos!$J371)</f>
        <v/>
      </c>
      <c r="D376" s="403" t="str">
        <f>IF($B376="","",Lançamentos!$H371)</f>
        <v/>
      </c>
      <c r="E376" s="403"/>
      <c r="F376" s="403"/>
      <c r="G376" s="403"/>
      <c r="H376" s="403"/>
      <c r="I376" s="403"/>
      <c r="J376" s="403"/>
      <c r="K376" s="403"/>
      <c r="L376" s="403"/>
      <c r="M376" s="141" t="str">
        <f t="shared" si="6"/>
        <v/>
      </c>
      <c r="N376" s="404"/>
      <c r="O376" s="405"/>
    </row>
    <row r="377" spans="2:15" x14ac:dyDescent="0.35">
      <c r="B377" s="401" t="str">
        <f>IF(Lançamentos!$B372="","",Lançamentos!$B372)</f>
        <v/>
      </c>
      <c r="C377" s="402" t="str">
        <f>IF($B377="","",Lançamentos!$J372)</f>
        <v/>
      </c>
      <c r="D377" s="403" t="str">
        <f>IF($B377="","",Lançamentos!$H372)</f>
        <v/>
      </c>
      <c r="E377" s="403"/>
      <c r="F377" s="403"/>
      <c r="G377" s="403"/>
      <c r="H377" s="403"/>
      <c r="I377" s="403"/>
      <c r="J377" s="403"/>
      <c r="K377" s="403"/>
      <c r="L377" s="403"/>
      <c r="M377" s="141" t="str">
        <f t="shared" si="6"/>
        <v/>
      </c>
      <c r="N377" s="404"/>
      <c r="O377" s="405"/>
    </row>
    <row r="378" spans="2:15" x14ac:dyDescent="0.35">
      <c r="B378" s="401" t="str">
        <f>IF(Lançamentos!$B373="","",Lançamentos!$B373)</f>
        <v/>
      </c>
      <c r="C378" s="402" t="str">
        <f>IF($B378="","",Lançamentos!$J373)</f>
        <v/>
      </c>
      <c r="D378" s="403" t="str">
        <f>IF($B378="","",Lançamentos!$H373)</f>
        <v/>
      </c>
      <c r="E378" s="403"/>
      <c r="F378" s="403"/>
      <c r="G378" s="403"/>
      <c r="H378" s="403"/>
      <c r="I378" s="403"/>
      <c r="J378" s="403"/>
      <c r="K378" s="403"/>
      <c r="L378" s="403"/>
      <c r="M378" s="141" t="str">
        <f t="shared" si="6"/>
        <v/>
      </c>
      <c r="N378" s="404"/>
      <c r="O378" s="405"/>
    </row>
    <row r="379" spans="2:15" x14ac:dyDescent="0.35">
      <c r="B379" s="401" t="str">
        <f>IF(Lançamentos!$B374="","",Lançamentos!$B374)</f>
        <v/>
      </c>
      <c r="C379" s="402" t="str">
        <f>IF($B379="","",Lançamentos!$J374)</f>
        <v/>
      </c>
      <c r="D379" s="403" t="str">
        <f>IF($B379="","",Lançamentos!$H374)</f>
        <v/>
      </c>
      <c r="E379" s="403"/>
      <c r="F379" s="403"/>
      <c r="G379" s="403"/>
      <c r="H379" s="403"/>
      <c r="I379" s="403"/>
      <c r="J379" s="403"/>
      <c r="K379" s="403"/>
      <c r="L379" s="403"/>
      <c r="M379" s="141" t="str">
        <f t="shared" si="6"/>
        <v/>
      </c>
      <c r="N379" s="404"/>
      <c r="O379" s="405"/>
    </row>
    <row r="380" spans="2:15" x14ac:dyDescent="0.35">
      <c r="B380" s="401" t="str">
        <f>IF(Lançamentos!$B375="","",Lançamentos!$B375)</f>
        <v/>
      </c>
      <c r="C380" s="402" t="str">
        <f>IF($B380="","",Lançamentos!$J375)</f>
        <v/>
      </c>
      <c r="D380" s="403" t="str">
        <f>IF($B380="","",Lançamentos!$H375)</f>
        <v/>
      </c>
      <c r="E380" s="403"/>
      <c r="F380" s="403"/>
      <c r="G380" s="403"/>
      <c r="H380" s="403"/>
      <c r="I380" s="403"/>
      <c r="J380" s="403"/>
      <c r="K380" s="403"/>
      <c r="L380" s="403"/>
      <c r="M380" s="141" t="str">
        <f t="shared" si="6"/>
        <v/>
      </c>
      <c r="N380" s="404"/>
      <c r="O380" s="405"/>
    </row>
    <row r="381" spans="2:15" x14ac:dyDescent="0.35">
      <c r="B381" s="401" t="str">
        <f>IF(Lançamentos!$B376="","",Lançamentos!$B376)</f>
        <v/>
      </c>
      <c r="C381" s="402" t="str">
        <f>IF($B381="","",Lançamentos!$J376)</f>
        <v/>
      </c>
      <c r="D381" s="403" t="str">
        <f>IF($B381="","",Lançamentos!$H376)</f>
        <v/>
      </c>
      <c r="E381" s="403"/>
      <c r="F381" s="403"/>
      <c r="G381" s="403"/>
      <c r="H381" s="403"/>
      <c r="I381" s="403"/>
      <c r="J381" s="403"/>
      <c r="K381" s="403"/>
      <c r="L381" s="403"/>
      <c r="M381" s="141" t="str">
        <f t="shared" si="6"/>
        <v/>
      </c>
      <c r="N381" s="404"/>
      <c r="O381" s="405"/>
    </row>
    <row r="382" spans="2:15" x14ac:dyDescent="0.35">
      <c r="B382" s="401" t="str">
        <f>IF(Lançamentos!$B377="","",Lançamentos!$B377)</f>
        <v/>
      </c>
      <c r="C382" s="402" t="str">
        <f>IF($B382="","",Lançamentos!$J377)</f>
        <v/>
      </c>
      <c r="D382" s="403" t="str">
        <f>IF($B382="","",Lançamentos!$H377)</f>
        <v/>
      </c>
      <c r="E382" s="403"/>
      <c r="F382" s="403"/>
      <c r="G382" s="403"/>
      <c r="H382" s="403"/>
      <c r="I382" s="403"/>
      <c r="J382" s="403"/>
      <c r="K382" s="403"/>
      <c r="L382" s="403"/>
      <c r="M382" s="141" t="str">
        <f t="shared" si="6"/>
        <v/>
      </c>
      <c r="N382" s="404"/>
      <c r="O382" s="405"/>
    </row>
    <row r="383" spans="2:15" x14ac:dyDescent="0.35">
      <c r="B383" s="401" t="str">
        <f>IF(Lançamentos!$B378="","",Lançamentos!$B378)</f>
        <v/>
      </c>
      <c r="C383" s="402" t="str">
        <f>IF($B383="","",Lançamentos!$J378)</f>
        <v/>
      </c>
      <c r="D383" s="403" t="str">
        <f>IF($B383="","",Lançamentos!$H378)</f>
        <v/>
      </c>
      <c r="E383" s="403"/>
      <c r="F383" s="403"/>
      <c r="G383" s="403"/>
      <c r="H383" s="403"/>
      <c r="I383" s="403"/>
      <c r="J383" s="403"/>
      <c r="K383" s="403"/>
      <c r="L383" s="403"/>
      <c r="M383" s="141" t="str">
        <f t="shared" si="6"/>
        <v/>
      </c>
      <c r="N383" s="404"/>
      <c r="O383" s="405"/>
    </row>
    <row r="384" spans="2:15" x14ac:dyDescent="0.35">
      <c r="B384" s="401" t="str">
        <f>IF(Lançamentos!$B379="","",Lançamentos!$B379)</f>
        <v/>
      </c>
      <c r="C384" s="402" t="str">
        <f>IF($B384="","",Lançamentos!$J379)</f>
        <v/>
      </c>
      <c r="D384" s="403" t="str">
        <f>IF($B384="","",Lançamentos!$H379)</f>
        <v/>
      </c>
      <c r="E384" s="403"/>
      <c r="F384" s="403"/>
      <c r="G384" s="403"/>
      <c r="H384" s="403"/>
      <c r="I384" s="403"/>
      <c r="J384" s="403"/>
      <c r="K384" s="403"/>
      <c r="L384" s="403"/>
      <c r="M384" s="141" t="str">
        <f t="shared" si="6"/>
        <v/>
      </c>
      <c r="N384" s="404"/>
      <c r="O384" s="405"/>
    </row>
    <row r="385" spans="2:15" x14ac:dyDescent="0.35">
      <c r="B385" s="401" t="str">
        <f>IF(Lançamentos!$B380="","",Lançamentos!$B380)</f>
        <v/>
      </c>
      <c r="C385" s="402" t="str">
        <f>IF($B385="","",Lançamentos!$J380)</f>
        <v/>
      </c>
      <c r="D385" s="403" t="str">
        <f>IF($B385="","",Lançamentos!$H380)</f>
        <v/>
      </c>
      <c r="E385" s="403"/>
      <c r="F385" s="403"/>
      <c r="G385" s="403"/>
      <c r="H385" s="403"/>
      <c r="I385" s="403"/>
      <c r="J385" s="403"/>
      <c r="K385" s="403"/>
      <c r="L385" s="403"/>
      <c r="M385" s="141" t="str">
        <f t="shared" si="6"/>
        <v/>
      </c>
      <c r="N385" s="404"/>
      <c r="O385" s="405"/>
    </row>
    <row r="386" spans="2:15" x14ac:dyDescent="0.35">
      <c r="B386" s="401" t="str">
        <f>IF(Lançamentos!$B381="","",Lançamentos!$B381)</f>
        <v/>
      </c>
      <c r="C386" s="402" t="str">
        <f>IF($B386="","",Lançamentos!$J381)</f>
        <v/>
      </c>
      <c r="D386" s="403" t="str">
        <f>IF($B386="","",Lançamentos!$H381)</f>
        <v/>
      </c>
      <c r="E386" s="403"/>
      <c r="F386" s="403"/>
      <c r="G386" s="403"/>
      <c r="H386" s="403"/>
      <c r="I386" s="403"/>
      <c r="J386" s="403"/>
      <c r="K386" s="403"/>
      <c r="L386" s="403"/>
      <c r="M386" s="141" t="str">
        <f t="shared" si="6"/>
        <v/>
      </c>
      <c r="N386" s="404"/>
      <c r="O386" s="405"/>
    </row>
    <row r="387" spans="2:15" x14ac:dyDescent="0.35">
      <c r="B387" s="401" t="str">
        <f>IF(Lançamentos!$B382="","",Lançamentos!$B382)</f>
        <v/>
      </c>
      <c r="C387" s="402" t="str">
        <f>IF($B387="","",Lançamentos!$J382)</f>
        <v/>
      </c>
      <c r="D387" s="403" t="str">
        <f>IF($B387="","",Lançamentos!$H382)</f>
        <v/>
      </c>
      <c r="E387" s="403"/>
      <c r="F387" s="403"/>
      <c r="G387" s="403"/>
      <c r="H387" s="403"/>
      <c r="I387" s="403"/>
      <c r="J387" s="403"/>
      <c r="K387" s="403"/>
      <c r="L387" s="403"/>
      <c r="M387" s="141" t="str">
        <f t="shared" si="6"/>
        <v/>
      </c>
      <c r="N387" s="404"/>
      <c r="O387" s="405"/>
    </row>
    <row r="388" spans="2:15" x14ac:dyDescent="0.35">
      <c r="B388" s="401" t="str">
        <f>IF(Lançamentos!$B383="","",Lançamentos!$B383)</f>
        <v/>
      </c>
      <c r="C388" s="402" t="str">
        <f>IF($B388="","",Lançamentos!$J383)</f>
        <v/>
      </c>
      <c r="D388" s="403" t="str">
        <f>IF($B388="","",Lançamentos!$H383)</f>
        <v/>
      </c>
      <c r="E388" s="403"/>
      <c r="F388" s="403"/>
      <c r="G388" s="403"/>
      <c r="H388" s="403"/>
      <c r="I388" s="403"/>
      <c r="J388" s="403"/>
      <c r="K388" s="403"/>
      <c r="L388" s="403"/>
      <c r="M388" s="141" t="str">
        <f t="shared" si="6"/>
        <v/>
      </c>
      <c r="N388" s="404"/>
      <c r="O388" s="405"/>
    </row>
    <row r="389" spans="2:15" x14ac:dyDescent="0.35">
      <c r="B389" s="401" t="str">
        <f>IF(Lançamentos!$B384="","",Lançamentos!$B384)</f>
        <v/>
      </c>
      <c r="C389" s="402" t="str">
        <f>IF($B389="","",Lançamentos!$J384)</f>
        <v/>
      </c>
      <c r="D389" s="403" t="str">
        <f>IF($B389="","",Lançamentos!$H384)</f>
        <v/>
      </c>
      <c r="E389" s="403"/>
      <c r="F389" s="403"/>
      <c r="G389" s="403"/>
      <c r="H389" s="403"/>
      <c r="I389" s="403"/>
      <c r="J389" s="403"/>
      <c r="K389" s="403"/>
      <c r="L389" s="403"/>
      <c r="M389" s="141" t="str">
        <f t="shared" si="6"/>
        <v/>
      </c>
      <c r="N389" s="404"/>
      <c r="O389" s="405"/>
    </row>
    <row r="390" spans="2:15" x14ac:dyDescent="0.35">
      <c r="B390" s="401" t="str">
        <f>IF(Lançamentos!$B385="","",Lançamentos!$B385)</f>
        <v/>
      </c>
      <c r="C390" s="402" t="str">
        <f>IF($B390="","",Lançamentos!$J385)</f>
        <v/>
      </c>
      <c r="D390" s="403" t="str">
        <f>IF($B390="","",Lançamentos!$H385)</f>
        <v/>
      </c>
      <c r="E390" s="403"/>
      <c r="F390" s="403"/>
      <c r="G390" s="403"/>
      <c r="H390" s="403"/>
      <c r="I390" s="403"/>
      <c r="J390" s="403"/>
      <c r="K390" s="403"/>
      <c r="L390" s="403"/>
      <c r="M390" s="141" t="str">
        <f t="shared" si="6"/>
        <v/>
      </c>
      <c r="N390" s="404"/>
      <c r="O390" s="405"/>
    </row>
    <row r="391" spans="2:15" x14ac:dyDescent="0.35">
      <c r="B391" s="401" t="str">
        <f>IF(Lançamentos!$B386="","",Lançamentos!$B386)</f>
        <v/>
      </c>
      <c r="C391" s="402" t="str">
        <f>IF($B391="","",Lançamentos!$J386)</f>
        <v/>
      </c>
      <c r="D391" s="403" t="str">
        <f>IF($B391="","",Lançamentos!$H386)</f>
        <v/>
      </c>
      <c r="E391" s="403"/>
      <c r="F391" s="403"/>
      <c r="G391" s="403"/>
      <c r="H391" s="403"/>
      <c r="I391" s="403"/>
      <c r="J391" s="403"/>
      <c r="K391" s="403"/>
      <c r="L391" s="403"/>
      <c r="M391" s="141" t="str">
        <f t="shared" si="6"/>
        <v/>
      </c>
      <c r="N391" s="404"/>
      <c r="O391" s="405"/>
    </row>
    <row r="392" spans="2:15" x14ac:dyDescent="0.35">
      <c r="B392" s="401" t="str">
        <f>IF(Lançamentos!$B387="","",Lançamentos!$B387)</f>
        <v/>
      </c>
      <c r="C392" s="402" t="str">
        <f>IF($B392="","",Lançamentos!$J387)</f>
        <v/>
      </c>
      <c r="D392" s="403" t="str">
        <f>IF($B392="","",Lançamentos!$H387)</f>
        <v/>
      </c>
      <c r="E392" s="403"/>
      <c r="F392" s="403"/>
      <c r="G392" s="403"/>
      <c r="H392" s="403"/>
      <c r="I392" s="403"/>
      <c r="J392" s="403"/>
      <c r="K392" s="403"/>
      <c r="L392" s="403"/>
      <c r="M392" s="141" t="str">
        <f t="shared" si="6"/>
        <v/>
      </c>
      <c r="N392" s="404"/>
      <c r="O392" s="405"/>
    </row>
    <row r="393" spans="2:15" x14ac:dyDescent="0.35">
      <c r="B393" s="401" t="str">
        <f>IF(Lançamentos!$B388="","",Lançamentos!$B388)</f>
        <v/>
      </c>
      <c r="C393" s="402" t="str">
        <f>IF($B393="","",Lançamentos!$J388)</f>
        <v/>
      </c>
      <c r="D393" s="403" t="str">
        <f>IF($B393="","",Lançamentos!$H388)</f>
        <v/>
      </c>
      <c r="E393" s="403"/>
      <c r="F393" s="403"/>
      <c r="G393" s="403"/>
      <c r="H393" s="403"/>
      <c r="I393" s="403"/>
      <c r="J393" s="403"/>
      <c r="K393" s="403"/>
      <c r="L393" s="403"/>
      <c r="M393" s="141" t="str">
        <f t="shared" si="6"/>
        <v/>
      </c>
      <c r="N393" s="404"/>
      <c r="O393" s="405"/>
    </row>
    <row r="394" spans="2:15" x14ac:dyDescent="0.35">
      <c r="B394" s="401" t="str">
        <f>IF(Lançamentos!$B389="","",Lançamentos!$B389)</f>
        <v/>
      </c>
      <c r="C394" s="402" t="str">
        <f>IF($B394="","",Lançamentos!$J389)</f>
        <v/>
      </c>
      <c r="D394" s="403" t="str">
        <f>IF($B394="","",Lançamentos!$H389)</f>
        <v/>
      </c>
      <c r="E394" s="403"/>
      <c r="F394" s="403"/>
      <c r="G394" s="403"/>
      <c r="H394" s="403"/>
      <c r="I394" s="403"/>
      <c r="J394" s="403"/>
      <c r="K394" s="403"/>
      <c r="L394" s="403"/>
      <c r="M394" s="141" t="str">
        <f t="shared" si="6"/>
        <v/>
      </c>
      <c r="N394" s="404"/>
      <c r="O394" s="405"/>
    </row>
    <row r="395" spans="2:15" x14ac:dyDescent="0.35">
      <c r="B395" s="401" t="str">
        <f>IF(Lançamentos!$B390="","",Lançamentos!$B390)</f>
        <v/>
      </c>
      <c r="C395" s="402" t="str">
        <f>IF($B395="","",Lançamentos!$J390)</f>
        <v/>
      </c>
      <c r="D395" s="403" t="str">
        <f>IF($B395="","",Lançamentos!$H390)</f>
        <v/>
      </c>
      <c r="E395" s="403"/>
      <c r="F395" s="403"/>
      <c r="G395" s="403"/>
      <c r="H395" s="403"/>
      <c r="I395" s="403"/>
      <c r="J395" s="403"/>
      <c r="K395" s="403"/>
      <c r="L395" s="403"/>
      <c r="M395" s="141" t="str">
        <f t="shared" si="6"/>
        <v/>
      </c>
      <c r="N395" s="404"/>
      <c r="O395" s="405"/>
    </row>
    <row r="396" spans="2:15" x14ac:dyDescent="0.35">
      <c r="B396" s="401" t="str">
        <f>IF(Lançamentos!$B391="","",Lançamentos!$B391)</f>
        <v/>
      </c>
      <c r="C396" s="402" t="str">
        <f>IF($B396="","",Lançamentos!$J391)</f>
        <v/>
      </c>
      <c r="D396" s="403" t="str">
        <f>IF($B396="","",Lançamentos!$H391)</f>
        <v/>
      </c>
      <c r="E396" s="403"/>
      <c r="F396" s="403"/>
      <c r="G396" s="403"/>
      <c r="H396" s="403"/>
      <c r="I396" s="403"/>
      <c r="J396" s="403"/>
      <c r="K396" s="403"/>
      <c r="L396" s="403"/>
      <c r="M396" s="141" t="str">
        <f t="shared" si="6"/>
        <v/>
      </c>
      <c r="N396" s="404"/>
      <c r="O396" s="405"/>
    </row>
    <row r="397" spans="2:15" x14ac:dyDescent="0.35">
      <c r="B397" s="401" t="str">
        <f>IF(Lançamentos!$B392="","",Lançamentos!$B392)</f>
        <v/>
      </c>
      <c r="C397" s="402" t="str">
        <f>IF($B397="","",Lançamentos!$J392)</f>
        <v/>
      </c>
      <c r="D397" s="403" t="str">
        <f>IF($B397="","",Lançamentos!$H392)</f>
        <v/>
      </c>
      <c r="E397" s="403"/>
      <c r="F397" s="403"/>
      <c r="G397" s="403"/>
      <c r="H397" s="403"/>
      <c r="I397" s="403"/>
      <c r="J397" s="403"/>
      <c r="K397" s="403"/>
      <c r="L397" s="403"/>
      <c r="M397" s="141" t="str">
        <f t="shared" si="6"/>
        <v/>
      </c>
      <c r="N397" s="404"/>
      <c r="O397" s="405"/>
    </row>
    <row r="398" spans="2:15" x14ac:dyDescent="0.35">
      <c r="B398" s="401" t="str">
        <f>IF(Lançamentos!$B393="","",Lançamentos!$B393)</f>
        <v/>
      </c>
      <c r="C398" s="402" t="str">
        <f>IF($B398="","",Lançamentos!$J393)</f>
        <v/>
      </c>
      <c r="D398" s="403" t="str">
        <f>IF($B398="","",Lançamentos!$H393)</f>
        <v/>
      </c>
      <c r="E398" s="403"/>
      <c r="F398" s="403"/>
      <c r="G398" s="403"/>
      <c r="H398" s="403"/>
      <c r="I398" s="403"/>
      <c r="J398" s="403"/>
      <c r="K398" s="403"/>
      <c r="L398" s="403"/>
      <c r="M398" s="141" t="str">
        <f t="shared" si="6"/>
        <v/>
      </c>
      <c r="N398" s="404"/>
      <c r="O398" s="405"/>
    </row>
    <row r="399" spans="2:15" x14ac:dyDescent="0.35">
      <c r="B399" s="401" t="str">
        <f>IF(Lançamentos!$B394="","",Lançamentos!$B394)</f>
        <v/>
      </c>
      <c r="C399" s="402" t="str">
        <f>IF($B399="","",Lançamentos!$J394)</f>
        <v/>
      </c>
      <c r="D399" s="403" t="str">
        <f>IF($B399="","",Lançamentos!$H394)</f>
        <v/>
      </c>
      <c r="E399" s="403"/>
      <c r="F399" s="403"/>
      <c r="G399" s="403"/>
      <c r="H399" s="403"/>
      <c r="I399" s="403"/>
      <c r="J399" s="403"/>
      <c r="K399" s="403"/>
      <c r="L399" s="403"/>
      <c r="M399" s="141" t="str">
        <f t="shared" si="6"/>
        <v/>
      </c>
      <c r="N399" s="404"/>
      <c r="O399" s="405"/>
    </row>
    <row r="400" spans="2:15" x14ac:dyDescent="0.35">
      <c r="B400" s="401" t="str">
        <f>IF(Lançamentos!$B395="","",Lançamentos!$B395)</f>
        <v/>
      </c>
      <c r="C400" s="402" t="str">
        <f>IF($B400="","",Lançamentos!$J395)</f>
        <v/>
      </c>
      <c r="D400" s="403" t="str">
        <f>IF($B400="","",Lançamentos!$H395)</f>
        <v/>
      </c>
      <c r="E400" s="403"/>
      <c r="F400" s="403"/>
      <c r="G400" s="403"/>
      <c r="H400" s="403"/>
      <c r="I400" s="403"/>
      <c r="J400" s="403"/>
      <c r="K400" s="403"/>
      <c r="L400" s="403"/>
      <c r="M400" s="141" t="str">
        <f t="shared" ref="M400:M463" si="7">IF(B400="","",IF(COUNTIF(E400:L400,"N/A")=8,0,COUNTIF(E400:L400,"✔ Concluído")/(8-COUNTIF(E400:L400,"N/A"))))</f>
        <v/>
      </c>
      <c r="N400" s="404"/>
      <c r="O400" s="405"/>
    </row>
    <row r="401" spans="2:15" x14ac:dyDescent="0.35">
      <c r="B401" s="401" t="str">
        <f>IF(Lançamentos!$B396="","",Lançamentos!$B396)</f>
        <v/>
      </c>
      <c r="C401" s="402" t="str">
        <f>IF($B401="","",Lançamentos!$J396)</f>
        <v/>
      </c>
      <c r="D401" s="403" t="str">
        <f>IF($B401="","",Lançamentos!$H396)</f>
        <v/>
      </c>
      <c r="E401" s="403"/>
      <c r="F401" s="403"/>
      <c r="G401" s="403"/>
      <c r="H401" s="403"/>
      <c r="I401" s="403"/>
      <c r="J401" s="403"/>
      <c r="K401" s="403"/>
      <c r="L401" s="403"/>
      <c r="M401" s="141" t="str">
        <f t="shared" si="7"/>
        <v/>
      </c>
      <c r="N401" s="404"/>
      <c r="O401" s="405"/>
    </row>
    <row r="402" spans="2:15" x14ac:dyDescent="0.35">
      <c r="B402" s="401" t="str">
        <f>IF(Lançamentos!$B397="","",Lançamentos!$B397)</f>
        <v/>
      </c>
      <c r="C402" s="402" t="str">
        <f>IF($B402="","",Lançamentos!$J397)</f>
        <v/>
      </c>
      <c r="D402" s="403" t="str">
        <f>IF($B402="","",Lançamentos!$H397)</f>
        <v/>
      </c>
      <c r="E402" s="403"/>
      <c r="F402" s="403"/>
      <c r="G402" s="403"/>
      <c r="H402" s="403"/>
      <c r="I402" s="403"/>
      <c r="J402" s="403"/>
      <c r="K402" s="403"/>
      <c r="L402" s="403"/>
      <c r="M402" s="141" t="str">
        <f t="shared" si="7"/>
        <v/>
      </c>
      <c r="N402" s="404"/>
      <c r="O402" s="405"/>
    </row>
    <row r="403" spans="2:15" x14ac:dyDescent="0.35">
      <c r="B403" s="401" t="str">
        <f>IF(Lançamentos!$B398="","",Lançamentos!$B398)</f>
        <v/>
      </c>
      <c r="C403" s="402" t="str">
        <f>IF($B403="","",Lançamentos!$J398)</f>
        <v/>
      </c>
      <c r="D403" s="403" t="str">
        <f>IF($B403="","",Lançamentos!$H398)</f>
        <v/>
      </c>
      <c r="E403" s="403"/>
      <c r="F403" s="403"/>
      <c r="G403" s="403"/>
      <c r="H403" s="403"/>
      <c r="I403" s="403"/>
      <c r="J403" s="403"/>
      <c r="K403" s="403"/>
      <c r="L403" s="403"/>
      <c r="M403" s="141" t="str">
        <f t="shared" si="7"/>
        <v/>
      </c>
      <c r="N403" s="404"/>
      <c r="O403" s="405"/>
    </row>
    <row r="404" spans="2:15" x14ac:dyDescent="0.35">
      <c r="B404" s="401" t="str">
        <f>IF(Lançamentos!$B399="","",Lançamentos!$B399)</f>
        <v/>
      </c>
      <c r="C404" s="402" t="str">
        <f>IF($B404="","",Lançamentos!$J399)</f>
        <v/>
      </c>
      <c r="D404" s="403" t="str">
        <f>IF($B404="","",Lançamentos!$H399)</f>
        <v/>
      </c>
      <c r="E404" s="403"/>
      <c r="F404" s="403"/>
      <c r="G404" s="403"/>
      <c r="H404" s="403"/>
      <c r="I404" s="403"/>
      <c r="J404" s="403"/>
      <c r="K404" s="403"/>
      <c r="L404" s="403"/>
      <c r="M404" s="141" t="str">
        <f t="shared" si="7"/>
        <v/>
      </c>
      <c r="N404" s="404"/>
      <c r="O404" s="405"/>
    </row>
    <row r="405" spans="2:15" x14ac:dyDescent="0.35">
      <c r="B405" s="401" t="str">
        <f>IF(Lançamentos!$B400="","",Lançamentos!$B400)</f>
        <v/>
      </c>
      <c r="C405" s="402" t="str">
        <f>IF($B405="","",Lançamentos!$J400)</f>
        <v/>
      </c>
      <c r="D405" s="403" t="str">
        <f>IF($B405="","",Lançamentos!$H400)</f>
        <v/>
      </c>
      <c r="E405" s="403"/>
      <c r="F405" s="403"/>
      <c r="G405" s="403"/>
      <c r="H405" s="403"/>
      <c r="I405" s="403"/>
      <c r="J405" s="403"/>
      <c r="K405" s="403"/>
      <c r="L405" s="403"/>
      <c r="M405" s="141" t="str">
        <f t="shared" si="7"/>
        <v/>
      </c>
      <c r="N405" s="404"/>
      <c r="O405" s="405"/>
    </row>
    <row r="406" spans="2:15" x14ac:dyDescent="0.35">
      <c r="B406" s="401" t="str">
        <f>IF(Lançamentos!$B401="","",Lançamentos!$B401)</f>
        <v/>
      </c>
      <c r="C406" s="402" t="str">
        <f>IF($B406="","",Lançamentos!$J401)</f>
        <v/>
      </c>
      <c r="D406" s="403" t="str">
        <f>IF($B406="","",Lançamentos!$H401)</f>
        <v/>
      </c>
      <c r="E406" s="403"/>
      <c r="F406" s="403"/>
      <c r="G406" s="403"/>
      <c r="H406" s="403"/>
      <c r="I406" s="403"/>
      <c r="J406" s="403"/>
      <c r="K406" s="403"/>
      <c r="L406" s="403"/>
      <c r="M406" s="141" t="str">
        <f t="shared" si="7"/>
        <v/>
      </c>
      <c r="N406" s="404"/>
      <c r="O406" s="405"/>
    </row>
    <row r="407" spans="2:15" x14ac:dyDescent="0.35">
      <c r="B407" s="401" t="str">
        <f>IF(Lançamentos!$B402="","",Lançamentos!$B402)</f>
        <v/>
      </c>
      <c r="C407" s="402" t="str">
        <f>IF($B407="","",Lançamentos!$J402)</f>
        <v/>
      </c>
      <c r="D407" s="403" t="str">
        <f>IF($B407="","",Lançamentos!$H402)</f>
        <v/>
      </c>
      <c r="E407" s="403"/>
      <c r="F407" s="403"/>
      <c r="G407" s="403"/>
      <c r="H407" s="403"/>
      <c r="I407" s="403"/>
      <c r="J407" s="403"/>
      <c r="K407" s="403"/>
      <c r="L407" s="403"/>
      <c r="M407" s="141" t="str">
        <f t="shared" si="7"/>
        <v/>
      </c>
      <c r="N407" s="404"/>
      <c r="O407" s="405"/>
    </row>
    <row r="408" spans="2:15" x14ac:dyDescent="0.35">
      <c r="B408" s="401" t="str">
        <f>IF(Lançamentos!$B403="","",Lançamentos!$B403)</f>
        <v/>
      </c>
      <c r="C408" s="402" t="str">
        <f>IF($B408="","",Lançamentos!$J403)</f>
        <v/>
      </c>
      <c r="D408" s="403" t="str">
        <f>IF($B408="","",Lançamentos!$H403)</f>
        <v/>
      </c>
      <c r="E408" s="403"/>
      <c r="F408" s="403"/>
      <c r="G408" s="403"/>
      <c r="H408" s="403"/>
      <c r="I408" s="403"/>
      <c r="J408" s="403"/>
      <c r="K408" s="403"/>
      <c r="L408" s="403"/>
      <c r="M408" s="141" t="str">
        <f t="shared" si="7"/>
        <v/>
      </c>
      <c r="N408" s="404"/>
      <c r="O408" s="405"/>
    </row>
    <row r="409" spans="2:15" x14ac:dyDescent="0.35">
      <c r="B409" s="401" t="str">
        <f>IF(Lançamentos!$B404="","",Lançamentos!$B404)</f>
        <v/>
      </c>
      <c r="C409" s="402" t="str">
        <f>IF($B409="","",Lançamentos!$J404)</f>
        <v/>
      </c>
      <c r="D409" s="403" t="str">
        <f>IF($B409="","",Lançamentos!$H404)</f>
        <v/>
      </c>
      <c r="E409" s="403"/>
      <c r="F409" s="403"/>
      <c r="G409" s="403"/>
      <c r="H409" s="403"/>
      <c r="I409" s="403"/>
      <c r="J409" s="403"/>
      <c r="K409" s="403"/>
      <c r="L409" s="403"/>
      <c r="M409" s="141" t="str">
        <f t="shared" si="7"/>
        <v/>
      </c>
      <c r="N409" s="404"/>
      <c r="O409" s="405"/>
    </row>
    <row r="410" spans="2:15" x14ac:dyDescent="0.35">
      <c r="B410" s="401" t="str">
        <f>IF(Lançamentos!$B405="","",Lançamentos!$B405)</f>
        <v/>
      </c>
      <c r="C410" s="402" t="str">
        <f>IF($B410="","",Lançamentos!$J405)</f>
        <v/>
      </c>
      <c r="D410" s="403" t="str">
        <f>IF($B410="","",Lançamentos!$H405)</f>
        <v/>
      </c>
      <c r="E410" s="403"/>
      <c r="F410" s="403"/>
      <c r="G410" s="403"/>
      <c r="H410" s="403"/>
      <c r="I410" s="403"/>
      <c r="J410" s="403"/>
      <c r="K410" s="403"/>
      <c r="L410" s="403"/>
      <c r="M410" s="141" t="str">
        <f t="shared" si="7"/>
        <v/>
      </c>
      <c r="N410" s="404"/>
      <c r="O410" s="405"/>
    </row>
    <row r="411" spans="2:15" x14ac:dyDescent="0.35">
      <c r="B411" s="401" t="str">
        <f>IF(Lançamentos!$B406="","",Lançamentos!$B406)</f>
        <v/>
      </c>
      <c r="C411" s="402" t="str">
        <f>IF($B411="","",Lançamentos!$J406)</f>
        <v/>
      </c>
      <c r="D411" s="403" t="str">
        <f>IF($B411="","",Lançamentos!$H406)</f>
        <v/>
      </c>
      <c r="E411" s="403"/>
      <c r="F411" s="403"/>
      <c r="G411" s="403"/>
      <c r="H411" s="403"/>
      <c r="I411" s="403"/>
      <c r="J411" s="403"/>
      <c r="K411" s="403"/>
      <c r="L411" s="403"/>
      <c r="M411" s="141" t="str">
        <f t="shared" si="7"/>
        <v/>
      </c>
      <c r="N411" s="404"/>
      <c r="O411" s="405"/>
    </row>
    <row r="412" spans="2:15" x14ac:dyDescent="0.35">
      <c r="B412" s="401" t="str">
        <f>IF(Lançamentos!$B407="","",Lançamentos!$B407)</f>
        <v/>
      </c>
      <c r="C412" s="402" t="str">
        <f>IF($B412="","",Lançamentos!$J407)</f>
        <v/>
      </c>
      <c r="D412" s="403" t="str">
        <f>IF($B412="","",Lançamentos!$H407)</f>
        <v/>
      </c>
      <c r="E412" s="403"/>
      <c r="F412" s="403"/>
      <c r="G412" s="403"/>
      <c r="H412" s="403"/>
      <c r="I412" s="403"/>
      <c r="J412" s="403"/>
      <c r="K412" s="403"/>
      <c r="L412" s="403"/>
      <c r="M412" s="141" t="str">
        <f t="shared" si="7"/>
        <v/>
      </c>
      <c r="N412" s="404"/>
      <c r="O412" s="405"/>
    </row>
    <row r="413" spans="2:15" x14ac:dyDescent="0.35">
      <c r="B413" s="401" t="str">
        <f>IF(Lançamentos!$B408="","",Lançamentos!$B408)</f>
        <v/>
      </c>
      <c r="C413" s="402" t="str">
        <f>IF($B413="","",Lançamentos!$J408)</f>
        <v/>
      </c>
      <c r="D413" s="403" t="str">
        <f>IF($B413="","",Lançamentos!$H408)</f>
        <v/>
      </c>
      <c r="E413" s="403"/>
      <c r="F413" s="403"/>
      <c r="G413" s="403"/>
      <c r="H413" s="403"/>
      <c r="I413" s="403"/>
      <c r="J413" s="403"/>
      <c r="K413" s="403"/>
      <c r="L413" s="403"/>
      <c r="M413" s="141" t="str">
        <f t="shared" si="7"/>
        <v/>
      </c>
      <c r="N413" s="404"/>
      <c r="O413" s="405"/>
    </row>
    <row r="414" spans="2:15" x14ac:dyDescent="0.35">
      <c r="B414" s="401" t="str">
        <f>IF(Lançamentos!$B409="","",Lançamentos!$B409)</f>
        <v/>
      </c>
      <c r="C414" s="402" t="str">
        <f>IF($B414="","",Lançamentos!$J409)</f>
        <v/>
      </c>
      <c r="D414" s="403" t="str">
        <f>IF($B414="","",Lançamentos!$H409)</f>
        <v/>
      </c>
      <c r="E414" s="403"/>
      <c r="F414" s="403"/>
      <c r="G414" s="403"/>
      <c r="H414" s="403"/>
      <c r="I414" s="403"/>
      <c r="J414" s="403"/>
      <c r="K414" s="403"/>
      <c r="L414" s="403"/>
      <c r="M414" s="141" t="str">
        <f t="shared" si="7"/>
        <v/>
      </c>
      <c r="N414" s="404"/>
      <c r="O414" s="405"/>
    </row>
    <row r="415" spans="2:15" x14ac:dyDescent="0.35">
      <c r="B415" s="401" t="str">
        <f>IF(Lançamentos!$B410="","",Lançamentos!$B410)</f>
        <v/>
      </c>
      <c r="C415" s="402" t="str">
        <f>IF($B415="","",Lançamentos!$J410)</f>
        <v/>
      </c>
      <c r="D415" s="403" t="str">
        <f>IF($B415="","",Lançamentos!$H410)</f>
        <v/>
      </c>
      <c r="E415" s="403"/>
      <c r="F415" s="403"/>
      <c r="G415" s="403"/>
      <c r="H415" s="403"/>
      <c r="I415" s="403"/>
      <c r="J415" s="403"/>
      <c r="K415" s="403"/>
      <c r="L415" s="403"/>
      <c r="M415" s="141" t="str">
        <f t="shared" si="7"/>
        <v/>
      </c>
      <c r="N415" s="404"/>
      <c r="O415" s="405"/>
    </row>
    <row r="416" spans="2:15" x14ac:dyDescent="0.35">
      <c r="B416" s="401" t="str">
        <f>IF(Lançamentos!$B411="","",Lançamentos!$B411)</f>
        <v/>
      </c>
      <c r="C416" s="402" t="str">
        <f>IF($B416="","",Lançamentos!$J411)</f>
        <v/>
      </c>
      <c r="D416" s="403" t="str">
        <f>IF($B416="","",Lançamentos!$H411)</f>
        <v/>
      </c>
      <c r="E416" s="403"/>
      <c r="F416" s="403"/>
      <c r="G416" s="403"/>
      <c r="H416" s="403"/>
      <c r="I416" s="403"/>
      <c r="J416" s="403"/>
      <c r="K416" s="403"/>
      <c r="L416" s="403"/>
      <c r="M416" s="141" t="str">
        <f t="shared" si="7"/>
        <v/>
      </c>
      <c r="N416" s="404"/>
      <c r="O416" s="405"/>
    </row>
    <row r="417" spans="2:15" x14ac:dyDescent="0.35">
      <c r="B417" s="401" t="str">
        <f>IF(Lançamentos!$B412="","",Lançamentos!$B412)</f>
        <v/>
      </c>
      <c r="C417" s="402" t="str">
        <f>IF($B417="","",Lançamentos!$J412)</f>
        <v/>
      </c>
      <c r="D417" s="403" t="str">
        <f>IF($B417="","",Lançamentos!$H412)</f>
        <v/>
      </c>
      <c r="E417" s="403"/>
      <c r="F417" s="403"/>
      <c r="G417" s="403"/>
      <c r="H417" s="403"/>
      <c r="I417" s="403"/>
      <c r="J417" s="403"/>
      <c r="K417" s="403"/>
      <c r="L417" s="403"/>
      <c r="M417" s="141" t="str">
        <f t="shared" si="7"/>
        <v/>
      </c>
      <c r="N417" s="404"/>
      <c r="O417" s="405"/>
    </row>
    <row r="418" spans="2:15" x14ac:dyDescent="0.35">
      <c r="B418" s="401" t="str">
        <f>IF(Lançamentos!$B413="","",Lançamentos!$B413)</f>
        <v/>
      </c>
      <c r="C418" s="402" t="str">
        <f>IF($B418="","",Lançamentos!$J413)</f>
        <v/>
      </c>
      <c r="D418" s="403" t="str">
        <f>IF($B418="","",Lançamentos!$H413)</f>
        <v/>
      </c>
      <c r="E418" s="403"/>
      <c r="F418" s="403"/>
      <c r="G418" s="403"/>
      <c r="H418" s="403"/>
      <c r="I418" s="403"/>
      <c r="J418" s="403"/>
      <c r="K418" s="403"/>
      <c r="L418" s="403"/>
      <c r="M418" s="141" t="str">
        <f t="shared" si="7"/>
        <v/>
      </c>
      <c r="N418" s="404"/>
      <c r="O418" s="405"/>
    </row>
    <row r="419" spans="2:15" x14ac:dyDescent="0.35">
      <c r="B419" s="401" t="str">
        <f>IF(Lançamentos!$B414="","",Lançamentos!$B414)</f>
        <v/>
      </c>
      <c r="C419" s="402" t="str">
        <f>IF($B419="","",Lançamentos!$J414)</f>
        <v/>
      </c>
      <c r="D419" s="403" t="str">
        <f>IF($B419="","",Lançamentos!$H414)</f>
        <v/>
      </c>
      <c r="E419" s="403"/>
      <c r="F419" s="403"/>
      <c r="G419" s="403"/>
      <c r="H419" s="403"/>
      <c r="I419" s="403"/>
      <c r="J419" s="403"/>
      <c r="K419" s="403"/>
      <c r="L419" s="403"/>
      <c r="M419" s="141" t="str">
        <f t="shared" si="7"/>
        <v/>
      </c>
      <c r="N419" s="404"/>
      <c r="O419" s="405"/>
    </row>
    <row r="420" spans="2:15" x14ac:dyDescent="0.35">
      <c r="B420" s="401" t="str">
        <f>IF(Lançamentos!$B415="","",Lançamentos!$B415)</f>
        <v/>
      </c>
      <c r="C420" s="402" t="str">
        <f>IF($B420="","",Lançamentos!$J415)</f>
        <v/>
      </c>
      <c r="D420" s="403" t="str">
        <f>IF($B420="","",Lançamentos!$H415)</f>
        <v/>
      </c>
      <c r="E420" s="403"/>
      <c r="F420" s="403"/>
      <c r="G420" s="403"/>
      <c r="H420" s="403"/>
      <c r="I420" s="403"/>
      <c r="J420" s="403"/>
      <c r="K420" s="403"/>
      <c r="L420" s="403"/>
      <c r="M420" s="141" t="str">
        <f t="shared" si="7"/>
        <v/>
      </c>
      <c r="N420" s="404"/>
      <c r="O420" s="405"/>
    </row>
    <row r="421" spans="2:15" x14ac:dyDescent="0.35">
      <c r="B421" s="401" t="str">
        <f>IF(Lançamentos!$B416="","",Lançamentos!$B416)</f>
        <v/>
      </c>
      <c r="C421" s="402" t="str">
        <f>IF($B421="","",Lançamentos!$J416)</f>
        <v/>
      </c>
      <c r="D421" s="403" t="str">
        <f>IF($B421="","",Lançamentos!$H416)</f>
        <v/>
      </c>
      <c r="E421" s="403"/>
      <c r="F421" s="403"/>
      <c r="G421" s="403"/>
      <c r="H421" s="403"/>
      <c r="I421" s="403"/>
      <c r="J421" s="403"/>
      <c r="K421" s="403"/>
      <c r="L421" s="403"/>
      <c r="M421" s="141" t="str">
        <f t="shared" si="7"/>
        <v/>
      </c>
      <c r="N421" s="404"/>
      <c r="O421" s="405"/>
    </row>
    <row r="422" spans="2:15" x14ac:dyDescent="0.35">
      <c r="B422" s="401" t="str">
        <f>IF(Lançamentos!$B417="","",Lançamentos!$B417)</f>
        <v/>
      </c>
      <c r="C422" s="402" t="str">
        <f>IF($B422="","",Lançamentos!$J417)</f>
        <v/>
      </c>
      <c r="D422" s="403" t="str">
        <f>IF($B422="","",Lançamentos!$H417)</f>
        <v/>
      </c>
      <c r="E422" s="403"/>
      <c r="F422" s="403"/>
      <c r="G422" s="403"/>
      <c r="H422" s="403"/>
      <c r="I422" s="403"/>
      <c r="J422" s="403"/>
      <c r="K422" s="403"/>
      <c r="L422" s="403"/>
      <c r="M422" s="141" t="str">
        <f t="shared" si="7"/>
        <v/>
      </c>
      <c r="N422" s="404"/>
      <c r="O422" s="405"/>
    </row>
    <row r="423" spans="2:15" x14ac:dyDescent="0.35">
      <c r="B423" s="401" t="str">
        <f>IF(Lançamentos!$B418="","",Lançamentos!$B418)</f>
        <v/>
      </c>
      <c r="C423" s="402" t="str">
        <f>IF($B423="","",Lançamentos!$J418)</f>
        <v/>
      </c>
      <c r="D423" s="403" t="str">
        <f>IF($B423="","",Lançamentos!$H418)</f>
        <v/>
      </c>
      <c r="E423" s="403"/>
      <c r="F423" s="403"/>
      <c r="G423" s="403"/>
      <c r="H423" s="403"/>
      <c r="I423" s="403"/>
      <c r="J423" s="403"/>
      <c r="K423" s="403"/>
      <c r="L423" s="403"/>
      <c r="M423" s="141" t="str">
        <f t="shared" si="7"/>
        <v/>
      </c>
      <c r="N423" s="404"/>
      <c r="O423" s="405"/>
    </row>
    <row r="424" spans="2:15" x14ac:dyDescent="0.35">
      <c r="B424" s="401" t="str">
        <f>IF(Lançamentos!$B419="","",Lançamentos!$B419)</f>
        <v/>
      </c>
      <c r="C424" s="402" t="str">
        <f>IF($B424="","",Lançamentos!$J419)</f>
        <v/>
      </c>
      <c r="D424" s="403" t="str">
        <f>IF($B424="","",Lançamentos!$H419)</f>
        <v/>
      </c>
      <c r="E424" s="403"/>
      <c r="F424" s="403"/>
      <c r="G424" s="403"/>
      <c r="H424" s="403"/>
      <c r="I424" s="403"/>
      <c r="J424" s="403"/>
      <c r="K424" s="403"/>
      <c r="L424" s="403"/>
      <c r="M424" s="141" t="str">
        <f t="shared" si="7"/>
        <v/>
      </c>
      <c r="N424" s="404"/>
      <c r="O424" s="405"/>
    </row>
    <row r="425" spans="2:15" x14ac:dyDescent="0.35">
      <c r="B425" s="401" t="str">
        <f>IF(Lançamentos!$B420="","",Lançamentos!$B420)</f>
        <v/>
      </c>
      <c r="C425" s="402" t="str">
        <f>IF($B425="","",Lançamentos!$J420)</f>
        <v/>
      </c>
      <c r="D425" s="403" t="str">
        <f>IF($B425="","",Lançamentos!$H420)</f>
        <v/>
      </c>
      <c r="E425" s="403"/>
      <c r="F425" s="403"/>
      <c r="G425" s="403"/>
      <c r="H425" s="403"/>
      <c r="I425" s="403"/>
      <c r="J425" s="403"/>
      <c r="K425" s="403"/>
      <c r="L425" s="403"/>
      <c r="M425" s="141" t="str">
        <f t="shared" si="7"/>
        <v/>
      </c>
      <c r="N425" s="404"/>
      <c r="O425" s="405"/>
    </row>
    <row r="426" spans="2:15" x14ac:dyDescent="0.35">
      <c r="B426" s="401" t="str">
        <f>IF(Lançamentos!$B421="","",Lançamentos!$B421)</f>
        <v/>
      </c>
      <c r="C426" s="402" t="str">
        <f>IF($B426="","",Lançamentos!$J421)</f>
        <v/>
      </c>
      <c r="D426" s="403" t="str">
        <f>IF($B426="","",Lançamentos!$H421)</f>
        <v/>
      </c>
      <c r="E426" s="403"/>
      <c r="F426" s="403"/>
      <c r="G426" s="403"/>
      <c r="H426" s="403"/>
      <c r="I426" s="403"/>
      <c r="J426" s="403"/>
      <c r="K426" s="403"/>
      <c r="L426" s="403"/>
      <c r="M426" s="141" t="str">
        <f t="shared" si="7"/>
        <v/>
      </c>
      <c r="N426" s="404"/>
      <c r="O426" s="405"/>
    </row>
    <row r="427" spans="2:15" x14ac:dyDescent="0.35">
      <c r="B427" s="401" t="str">
        <f>IF(Lançamentos!$B422="","",Lançamentos!$B422)</f>
        <v/>
      </c>
      <c r="C427" s="402" t="str">
        <f>IF($B427="","",Lançamentos!$J422)</f>
        <v/>
      </c>
      <c r="D427" s="403" t="str">
        <f>IF($B427="","",Lançamentos!$H422)</f>
        <v/>
      </c>
      <c r="E427" s="403"/>
      <c r="F427" s="403"/>
      <c r="G427" s="403"/>
      <c r="H427" s="403"/>
      <c r="I427" s="403"/>
      <c r="J427" s="403"/>
      <c r="K427" s="403"/>
      <c r="L427" s="403"/>
      <c r="M427" s="141" t="str">
        <f t="shared" si="7"/>
        <v/>
      </c>
      <c r="N427" s="404"/>
      <c r="O427" s="405"/>
    </row>
    <row r="428" spans="2:15" x14ac:dyDescent="0.35">
      <c r="B428" s="401" t="str">
        <f>IF(Lançamentos!$B423="","",Lançamentos!$B423)</f>
        <v/>
      </c>
      <c r="C428" s="402" t="str">
        <f>IF($B428="","",Lançamentos!$J423)</f>
        <v/>
      </c>
      <c r="D428" s="403" t="str">
        <f>IF($B428="","",Lançamentos!$H423)</f>
        <v/>
      </c>
      <c r="E428" s="403"/>
      <c r="F428" s="403"/>
      <c r="G428" s="403"/>
      <c r="H428" s="403"/>
      <c r="I428" s="403"/>
      <c r="J428" s="403"/>
      <c r="K428" s="403"/>
      <c r="L428" s="403"/>
      <c r="M428" s="141" t="str">
        <f t="shared" si="7"/>
        <v/>
      </c>
      <c r="N428" s="404"/>
      <c r="O428" s="405"/>
    </row>
    <row r="429" spans="2:15" x14ac:dyDescent="0.35">
      <c r="B429" s="401" t="str">
        <f>IF(Lançamentos!$B424="","",Lançamentos!$B424)</f>
        <v/>
      </c>
      <c r="C429" s="402" t="str">
        <f>IF($B429="","",Lançamentos!$J424)</f>
        <v/>
      </c>
      <c r="D429" s="403" t="str">
        <f>IF($B429="","",Lançamentos!$H424)</f>
        <v/>
      </c>
      <c r="E429" s="403"/>
      <c r="F429" s="403"/>
      <c r="G429" s="403"/>
      <c r="H429" s="403"/>
      <c r="I429" s="403"/>
      <c r="J429" s="403"/>
      <c r="K429" s="403"/>
      <c r="L429" s="403"/>
      <c r="M429" s="141" t="str">
        <f t="shared" si="7"/>
        <v/>
      </c>
      <c r="N429" s="404"/>
      <c r="O429" s="405"/>
    </row>
    <row r="430" spans="2:15" x14ac:dyDescent="0.35">
      <c r="B430" s="401" t="str">
        <f>IF(Lançamentos!$B425="","",Lançamentos!$B425)</f>
        <v/>
      </c>
      <c r="C430" s="402" t="str">
        <f>IF($B430="","",Lançamentos!$J425)</f>
        <v/>
      </c>
      <c r="D430" s="403" t="str">
        <f>IF($B430="","",Lançamentos!$H425)</f>
        <v/>
      </c>
      <c r="E430" s="403"/>
      <c r="F430" s="403"/>
      <c r="G430" s="403"/>
      <c r="H430" s="403"/>
      <c r="I430" s="403"/>
      <c r="J430" s="403"/>
      <c r="K430" s="403"/>
      <c r="L430" s="403"/>
      <c r="M430" s="141" t="str">
        <f t="shared" si="7"/>
        <v/>
      </c>
      <c r="N430" s="404"/>
      <c r="O430" s="405"/>
    </row>
    <row r="431" spans="2:15" x14ac:dyDescent="0.35">
      <c r="B431" s="401" t="str">
        <f>IF(Lançamentos!$B426="","",Lançamentos!$B426)</f>
        <v/>
      </c>
      <c r="C431" s="402" t="str">
        <f>IF($B431="","",Lançamentos!$J426)</f>
        <v/>
      </c>
      <c r="D431" s="403" t="str">
        <f>IF($B431="","",Lançamentos!$H426)</f>
        <v/>
      </c>
      <c r="E431" s="403"/>
      <c r="F431" s="403"/>
      <c r="G431" s="403"/>
      <c r="H431" s="403"/>
      <c r="I431" s="403"/>
      <c r="J431" s="403"/>
      <c r="K431" s="403"/>
      <c r="L431" s="403"/>
      <c r="M431" s="141" t="str">
        <f t="shared" si="7"/>
        <v/>
      </c>
      <c r="N431" s="404"/>
      <c r="O431" s="405"/>
    </row>
    <row r="432" spans="2:15" x14ac:dyDescent="0.35">
      <c r="B432" s="401" t="str">
        <f>IF(Lançamentos!$B427="","",Lançamentos!$B427)</f>
        <v/>
      </c>
      <c r="C432" s="402" t="str">
        <f>IF($B432="","",Lançamentos!$J427)</f>
        <v/>
      </c>
      <c r="D432" s="403" t="str">
        <f>IF($B432="","",Lançamentos!$H427)</f>
        <v/>
      </c>
      <c r="E432" s="403"/>
      <c r="F432" s="403"/>
      <c r="G432" s="403"/>
      <c r="H432" s="403"/>
      <c r="I432" s="403"/>
      <c r="J432" s="403"/>
      <c r="K432" s="403"/>
      <c r="L432" s="403"/>
      <c r="M432" s="141" t="str">
        <f t="shared" si="7"/>
        <v/>
      </c>
      <c r="N432" s="404"/>
      <c r="O432" s="405"/>
    </row>
    <row r="433" spans="2:15" x14ac:dyDescent="0.35">
      <c r="B433" s="401" t="str">
        <f>IF(Lançamentos!$B428="","",Lançamentos!$B428)</f>
        <v/>
      </c>
      <c r="C433" s="402" t="str">
        <f>IF($B433="","",Lançamentos!$J428)</f>
        <v/>
      </c>
      <c r="D433" s="403" t="str">
        <f>IF($B433="","",Lançamentos!$H428)</f>
        <v/>
      </c>
      <c r="E433" s="403"/>
      <c r="F433" s="403"/>
      <c r="G433" s="403"/>
      <c r="H433" s="403"/>
      <c r="I433" s="403"/>
      <c r="J433" s="403"/>
      <c r="K433" s="403"/>
      <c r="L433" s="403"/>
      <c r="M433" s="141" t="str">
        <f t="shared" si="7"/>
        <v/>
      </c>
      <c r="N433" s="404"/>
      <c r="O433" s="405"/>
    </row>
    <row r="434" spans="2:15" x14ac:dyDescent="0.35">
      <c r="B434" s="401" t="str">
        <f>IF(Lançamentos!$B429="","",Lançamentos!$B429)</f>
        <v/>
      </c>
      <c r="C434" s="402" t="str">
        <f>IF($B434="","",Lançamentos!$J429)</f>
        <v/>
      </c>
      <c r="D434" s="403" t="str">
        <f>IF($B434="","",Lançamentos!$H429)</f>
        <v/>
      </c>
      <c r="E434" s="403"/>
      <c r="F434" s="403"/>
      <c r="G434" s="403"/>
      <c r="H434" s="403"/>
      <c r="I434" s="403"/>
      <c r="J434" s="403"/>
      <c r="K434" s="403"/>
      <c r="L434" s="403"/>
      <c r="M434" s="141" t="str">
        <f t="shared" si="7"/>
        <v/>
      </c>
      <c r="N434" s="404"/>
      <c r="O434" s="405"/>
    </row>
    <row r="435" spans="2:15" x14ac:dyDescent="0.35">
      <c r="B435" s="401" t="str">
        <f>IF(Lançamentos!$B430="","",Lançamentos!$B430)</f>
        <v/>
      </c>
      <c r="C435" s="402" t="str">
        <f>IF($B435="","",Lançamentos!$J430)</f>
        <v/>
      </c>
      <c r="D435" s="403" t="str">
        <f>IF($B435="","",Lançamentos!$H430)</f>
        <v/>
      </c>
      <c r="E435" s="403"/>
      <c r="F435" s="403"/>
      <c r="G435" s="403"/>
      <c r="H435" s="403"/>
      <c r="I435" s="403"/>
      <c r="J435" s="403"/>
      <c r="K435" s="403"/>
      <c r="L435" s="403"/>
      <c r="M435" s="141" t="str">
        <f t="shared" si="7"/>
        <v/>
      </c>
      <c r="N435" s="404"/>
      <c r="O435" s="405"/>
    </row>
    <row r="436" spans="2:15" x14ac:dyDescent="0.35">
      <c r="B436" s="401" t="str">
        <f>IF(Lançamentos!$B431="","",Lançamentos!$B431)</f>
        <v/>
      </c>
      <c r="C436" s="402" t="str">
        <f>IF($B436="","",Lançamentos!$J431)</f>
        <v/>
      </c>
      <c r="D436" s="403" t="str">
        <f>IF($B436="","",Lançamentos!$H431)</f>
        <v/>
      </c>
      <c r="E436" s="403"/>
      <c r="F436" s="403"/>
      <c r="G436" s="403"/>
      <c r="H436" s="403"/>
      <c r="I436" s="403"/>
      <c r="J436" s="403"/>
      <c r="K436" s="403"/>
      <c r="L436" s="403"/>
      <c r="M436" s="141" t="str">
        <f t="shared" si="7"/>
        <v/>
      </c>
      <c r="N436" s="404"/>
      <c r="O436" s="405"/>
    </row>
    <row r="437" spans="2:15" x14ac:dyDescent="0.35">
      <c r="B437" s="401" t="str">
        <f>IF(Lançamentos!$B432="","",Lançamentos!$B432)</f>
        <v/>
      </c>
      <c r="C437" s="402" t="str">
        <f>IF($B437="","",Lançamentos!$J432)</f>
        <v/>
      </c>
      <c r="D437" s="403" t="str">
        <f>IF($B437="","",Lançamentos!$H432)</f>
        <v/>
      </c>
      <c r="E437" s="403"/>
      <c r="F437" s="403"/>
      <c r="G437" s="403"/>
      <c r="H437" s="403"/>
      <c r="I437" s="403"/>
      <c r="J437" s="403"/>
      <c r="K437" s="403"/>
      <c r="L437" s="403"/>
      <c r="M437" s="141" t="str">
        <f t="shared" si="7"/>
        <v/>
      </c>
      <c r="N437" s="404"/>
      <c r="O437" s="405"/>
    </row>
    <row r="438" spans="2:15" x14ac:dyDescent="0.35">
      <c r="B438" s="401" t="str">
        <f>IF(Lançamentos!$B433="","",Lançamentos!$B433)</f>
        <v/>
      </c>
      <c r="C438" s="402" t="str">
        <f>IF($B438="","",Lançamentos!$J433)</f>
        <v/>
      </c>
      <c r="D438" s="403" t="str">
        <f>IF($B438="","",Lançamentos!$H433)</f>
        <v/>
      </c>
      <c r="E438" s="403"/>
      <c r="F438" s="403"/>
      <c r="G438" s="403"/>
      <c r="H438" s="403"/>
      <c r="I438" s="403"/>
      <c r="J438" s="403"/>
      <c r="K438" s="403"/>
      <c r="L438" s="403"/>
      <c r="M438" s="141" t="str">
        <f t="shared" si="7"/>
        <v/>
      </c>
      <c r="N438" s="404"/>
      <c r="O438" s="405"/>
    </row>
    <row r="439" spans="2:15" x14ac:dyDescent="0.35">
      <c r="B439" s="401" t="str">
        <f>IF(Lançamentos!$B434="","",Lançamentos!$B434)</f>
        <v/>
      </c>
      <c r="C439" s="402" t="str">
        <f>IF($B439="","",Lançamentos!$J434)</f>
        <v/>
      </c>
      <c r="D439" s="403" t="str">
        <f>IF($B439="","",Lançamentos!$H434)</f>
        <v/>
      </c>
      <c r="E439" s="403"/>
      <c r="F439" s="403"/>
      <c r="G439" s="403"/>
      <c r="H439" s="403"/>
      <c r="I439" s="403"/>
      <c r="J439" s="403"/>
      <c r="K439" s="403"/>
      <c r="L439" s="403"/>
      <c r="M439" s="141" t="str">
        <f t="shared" si="7"/>
        <v/>
      </c>
      <c r="N439" s="404"/>
      <c r="O439" s="405"/>
    </row>
    <row r="440" spans="2:15" x14ac:dyDescent="0.35">
      <c r="B440" s="401" t="str">
        <f>IF(Lançamentos!$B435="","",Lançamentos!$B435)</f>
        <v/>
      </c>
      <c r="C440" s="402" t="str">
        <f>IF($B440="","",Lançamentos!$J435)</f>
        <v/>
      </c>
      <c r="D440" s="403" t="str">
        <f>IF($B440="","",Lançamentos!$H435)</f>
        <v/>
      </c>
      <c r="E440" s="403"/>
      <c r="F440" s="403"/>
      <c r="G440" s="403"/>
      <c r="H440" s="403"/>
      <c r="I440" s="403"/>
      <c r="J440" s="403"/>
      <c r="K440" s="403"/>
      <c r="L440" s="403"/>
      <c r="M440" s="141" t="str">
        <f t="shared" si="7"/>
        <v/>
      </c>
      <c r="N440" s="404"/>
      <c r="O440" s="405"/>
    </row>
    <row r="441" spans="2:15" x14ac:dyDescent="0.35">
      <c r="B441" s="401" t="str">
        <f>IF(Lançamentos!$B436="","",Lançamentos!$B436)</f>
        <v/>
      </c>
      <c r="C441" s="402" t="str">
        <f>IF($B441="","",Lançamentos!$J436)</f>
        <v/>
      </c>
      <c r="D441" s="403" t="str">
        <f>IF($B441="","",Lançamentos!$H436)</f>
        <v/>
      </c>
      <c r="E441" s="403"/>
      <c r="F441" s="403"/>
      <c r="G441" s="403"/>
      <c r="H441" s="403"/>
      <c r="I441" s="403"/>
      <c r="J441" s="403"/>
      <c r="K441" s="403"/>
      <c r="L441" s="403"/>
      <c r="M441" s="141" t="str">
        <f t="shared" si="7"/>
        <v/>
      </c>
      <c r="N441" s="404"/>
      <c r="O441" s="405"/>
    </row>
    <row r="442" spans="2:15" x14ac:dyDescent="0.35">
      <c r="B442" s="401" t="str">
        <f>IF(Lançamentos!$B437="","",Lançamentos!$B437)</f>
        <v/>
      </c>
      <c r="C442" s="402" t="str">
        <f>IF($B442="","",Lançamentos!$J437)</f>
        <v/>
      </c>
      <c r="D442" s="403" t="str">
        <f>IF($B442="","",Lançamentos!$H437)</f>
        <v/>
      </c>
      <c r="E442" s="403"/>
      <c r="F442" s="403"/>
      <c r="G442" s="403"/>
      <c r="H442" s="403"/>
      <c r="I442" s="403"/>
      <c r="J442" s="403"/>
      <c r="K442" s="403"/>
      <c r="L442" s="403"/>
      <c r="M442" s="141" t="str">
        <f t="shared" si="7"/>
        <v/>
      </c>
      <c r="N442" s="404"/>
      <c r="O442" s="405"/>
    </row>
    <row r="443" spans="2:15" x14ac:dyDescent="0.35">
      <c r="B443" s="401" t="str">
        <f>IF(Lançamentos!$B438="","",Lançamentos!$B438)</f>
        <v/>
      </c>
      <c r="C443" s="402" t="str">
        <f>IF($B443="","",Lançamentos!$J438)</f>
        <v/>
      </c>
      <c r="D443" s="403" t="str">
        <f>IF($B443="","",Lançamentos!$H438)</f>
        <v/>
      </c>
      <c r="E443" s="403"/>
      <c r="F443" s="403"/>
      <c r="G443" s="403"/>
      <c r="H443" s="403"/>
      <c r="I443" s="403"/>
      <c r="J443" s="403"/>
      <c r="K443" s="403"/>
      <c r="L443" s="403"/>
      <c r="M443" s="141" t="str">
        <f t="shared" si="7"/>
        <v/>
      </c>
      <c r="N443" s="404"/>
      <c r="O443" s="405"/>
    </row>
    <row r="444" spans="2:15" x14ac:dyDescent="0.35">
      <c r="B444" s="401" t="str">
        <f>IF(Lançamentos!$B439="","",Lançamentos!$B439)</f>
        <v/>
      </c>
      <c r="C444" s="402" t="str">
        <f>IF($B444="","",Lançamentos!$J439)</f>
        <v/>
      </c>
      <c r="D444" s="403" t="str">
        <f>IF($B444="","",Lançamentos!$H439)</f>
        <v/>
      </c>
      <c r="E444" s="403"/>
      <c r="F444" s="403"/>
      <c r="G444" s="403"/>
      <c r="H444" s="403"/>
      <c r="I444" s="403"/>
      <c r="J444" s="403"/>
      <c r="K444" s="403"/>
      <c r="L444" s="403"/>
      <c r="M444" s="141" t="str">
        <f t="shared" si="7"/>
        <v/>
      </c>
      <c r="N444" s="404"/>
      <c r="O444" s="405"/>
    </row>
    <row r="445" spans="2:15" x14ac:dyDescent="0.35">
      <c r="B445" s="401" t="str">
        <f>IF(Lançamentos!$B440="","",Lançamentos!$B440)</f>
        <v/>
      </c>
      <c r="C445" s="402" t="str">
        <f>IF($B445="","",Lançamentos!$J440)</f>
        <v/>
      </c>
      <c r="D445" s="403" t="str">
        <f>IF($B445="","",Lançamentos!$H440)</f>
        <v/>
      </c>
      <c r="E445" s="403"/>
      <c r="F445" s="403"/>
      <c r="G445" s="403"/>
      <c r="H445" s="403"/>
      <c r="I445" s="403"/>
      <c r="J445" s="403"/>
      <c r="K445" s="403"/>
      <c r="L445" s="403"/>
      <c r="M445" s="141" t="str">
        <f t="shared" si="7"/>
        <v/>
      </c>
      <c r="N445" s="404"/>
      <c r="O445" s="405"/>
    </row>
    <row r="446" spans="2:15" x14ac:dyDescent="0.35">
      <c r="B446" s="401" t="str">
        <f>IF(Lançamentos!$B441="","",Lançamentos!$B441)</f>
        <v/>
      </c>
      <c r="C446" s="402" t="str">
        <f>IF($B446="","",Lançamentos!$J441)</f>
        <v/>
      </c>
      <c r="D446" s="403" t="str">
        <f>IF($B446="","",Lançamentos!$H441)</f>
        <v/>
      </c>
      <c r="E446" s="403"/>
      <c r="F446" s="403"/>
      <c r="G446" s="403"/>
      <c r="H446" s="403"/>
      <c r="I446" s="403"/>
      <c r="J446" s="403"/>
      <c r="K446" s="403"/>
      <c r="L446" s="403"/>
      <c r="M446" s="141" t="str">
        <f t="shared" si="7"/>
        <v/>
      </c>
      <c r="N446" s="404"/>
      <c r="O446" s="405"/>
    </row>
    <row r="447" spans="2:15" x14ac:dyDescent="0.35">
      <c r="B447" s="401" t="str">
        <f>IF(Lançamentos!$B442="","",Lançamentos!$B442)</f>
        <v/>
      </c>
      <c r="C447" s="402" t="str">
        <f>IF($B447="","",Lançamentos!$J442)</f>
        <v/>
      </c>
      <c r="D447" s="403" t="str">
        <f>IF($B447="","",Lançamentos!$H442)</f>
        <v/>
      </c>
      <c r="E447" s="403"/>
      <c r="F447" s="403"/>
      <c r="G447" s="403"/>
      <c r="H447" s="403"/>
      <c r="I447" s="403"/>
      <c r="J447" s="403"/>
      <c r="K447" s="403"/>
      <c r="L447" s="403"/>
      <c r="M447" s="141" t="str">
        <f t="shared" si="7"/>
        <v/>
      </c>
      <c r="N447" s="404"/>
      <c r="O447" s="405"/>
    </row>
    <row r="448" spans="2:15" x14ac:dyDescent="0.35">
      <c r="B448" s="401" t="str">
        <f>IF(Lançamentos!$B443="","",Lançamentos!$B443)</f>
        <v/>
      </c>
      <c r="C448" s="402" t="str">
        <f>IF($B448="","",Lançamentos!$J443)</f>
        <v/>
      </c>
      <c r="D448" s="403" t="str">
        <f>IF($B448="","",Lançamentos!$H443)</f>
        <v/>
      </c>
      <c r="E448" s="403"/>
      <c r="F448" s="403"/>
      <c r="G448" s="403"/>
      <c r="H448" s="403"/>
      <c r="I448" s="403"/>
      <c r="J448" s="403"/>
      <c r="K448" s="403"/>
      <c r="L448" s="403"/>
      <c r="M448" s="141" t="str">
        <f t="shared" si="7"/>
        <v/>
      </c>
      <c r="N448" s="404"/>
      <c r="O448" s="405"/>
    </row>
    <row r="449" spans="2:15" x14ac:dyDescent="0.35">
      <c r="B449" s="401" t="str">
        <f>IF(Lançamentos!$B444="","",Lançamentos!$B444)</f>
        <v/>
      </c>
      <c r="C449" s="402" t="str">
        <f>IF($B449="","",Lançamentos!$J444)</f>
        <v/>
      </c>
      <c r="D449" s="403" t="str">
        <f>IF($B449="","",Lançamentos!$H444)</f>
        <v/>
      </c>
      <c r="E449" s="403"/>
      <c r="F449" s="403"/>
      <c r="G449" s="403"/>
      <c r="H449" s="403"/>
      <c r="I449" s="403"/>
      <c r="J449" s="403"/>
      <c r="K449" s="403"/>
      <c r="L449" s="403"/>
      <c r="M449" s="141" t="str">
        <f t="shared" si="7"/>
        <v/>
      </c>
      <c r="N449" s="404"/>
      <c r="O449" s="405"/>
    </row>
    <row r="450" spans="2:15" x14ac:dyDescent="0.35">
      <c r="B450" s="401" t="str">
        <f>IF(Lançamentos!$B445="","",Lançamentos!$B445)</f>
        <v/>
      </c>
      <c r="C450" s="402" t="str">
        <f>IF($B450="","",Lançamentos!$J445)</f>
        <v/>
      </c>
      <c r="D450" s="403" t="str">
        <f>IF($B450="","",Lançamentos!$H445)</f>
        <v/>
      </c>
      <c r="E450" s="403"/>
      <c r="F450" s="403"/>
      <c r="G450" s="403"/>
      <c r="H450" s="403"/>
      <c r="I450" s="403"/>
      <c r="J450" s="403"/>
      <c r="K450" s="403"/>
      <c r="L450" s="403"/>
      <c r="M450" s="141" t="str">
        <f t="shared" si="7"/>
        <v/>
      </c>
      <c r="N450" s="404"/>
      <c r="O450" s="405"/>
    </row>
    <row r="451" spans="2:15" x14ac:dyDescent="0.35">
      <c r="B451" s="401" t="str">
        <f>IF(Lançamentos!$B446="","",Lançamentos!$B446)</f>
        <v/>
      </c>
      <c r="C451" s="402" t="str">
        <f>IF($B451="","",Lançamentos!$J446)</f>
        <v/>
      </c>
      <c r="D451" s="403" t="str">
        <f>IF($B451="","",Lançamentos!$H446)</f>
        <v/>
      </c>
      <c r="E451" s="403"/>
      <c r="F451" s="403"/>
      <c r="G451" s="403"/>
      <c r="H451" s="403"/>
      <c r="I451" s="403"/>
      <c r="J451" s="403"/>
      <c r="K451" s="403"/>
      <c r="L451" s="403"/>
      <c r="M451" s="141" t="str">
        <f t="shared" si="7"/>
        <v/>
      </c>
      <c r="N451" s="404"/>
      <c r="O451" s="405"/>
    </row>
    <row r="452" spans="2:15" x14ac:dyDescent="0.35">
      <c r="B452" s="401" t="str">
        <f>IF(Lançamentos!$B447="","",Lançamentos!$B447)</f>
        <v/>
      </c>
      <c r="C452" s="402" t="str">
        <f>IF($B452="","",Lançamentos!$J447)</f>
        <v/>
      </c>
      <c r="D452" s="403" t="str">
        <f>IF($B452="","",Lançamentos!$H447)</f>
        <v/>
      </c>
      <c r="E452" s="403"/>
      <c r="F452" s="403"/>
      <c r="G452" s="403"/>
      <c r="H452" s="403"/>
      <c r="I452" s="403"/>
      <c r="J452" s="403"/>
      <c r="K452" s="403"/>
      <c r="L452" s="403"/>
      <c r="M452" s="141" t="str">
        <f t="shared" si="7"/>
        <v/>
      </c>
      <c r="N452" s="404"/>
      <c r="O452" s="405"/>
    </row>
    <row r="453" spans="2:15" x14ac:dyDescent="0.35">
      <c r="B453" s="401" t="str">
        <f>IF(Lançamentos!$B448="","",Lançamentos!$B448)</f>
        <v/>
      </c>
      <c r="C453" s="402" t="str">
        <f>IF($B453="","",Lançamentos!$J448)</f>
        <v/>
      </c>
      <c r="D453" s="403" t="str">
        <f>IF($B453="","",Lançamentos!$H448)</f>
        <v/>
      </c>
      <c r="E453" s="403"/>
      <c r="F453" s="403"/>
      <c r="G453" s="403"/>
      <c r="H453" s="403"/>
      <c r="I453" s="403"/>
      <c r="J453" s="403"/>
      <c r="K453" s="403"/>
      <c r="L453" s="403"/>
      <c r="M453" s="141" t="str">
        <f t="shared" si="7"/>
        <v/>
      </c>
      <c r="N453" s="404"/>
      <c r="O453" s="405"/>
    </row>
    <row r="454" spans="2:15" x14ac:dyDescent="0.35">
      <c r="B454" s="401" t="str">
        <f>IF(Lançamentos!$B449="","",Lançamentos!$B449)</f>
        <v/>
      </c>
      <c r="C454" s="402" t="str">
        <f>IF($B454="","",Lançamentos!$J449)</f>
        <v/>
      </c>
      <c r="D454" s="403" t="str">
        <f>IF($B454="","",Lançamentos!$H449)</f>
        <v/>
      </c>
      <c r="E454" s="403"/>
      <c r="F454" s="403"/>
      <c r="G454" s="403"/>
      <c r="H454" s="403"/>
      <c r="I454" s="403"/>
      <c r="J454" s="403"/>
      <c r="K454" s="403"/>
      <c r="L454" s="403"/>
      <c r="M454" s="141" t="str">
        <f t="shared" si="7"/>
        <v/>
      </c>
      <c r="N454" s="404"/>
      <c r="O454" s="405"/>
    </row>
    <row r="455" spans="2:15" x14ac:dyDescent="0.35">
      <c r="B455" s="401" t="str">
        <f>IF(Lançamentos!$B450="","",Lançamentos!$B450)</f>
        <v/>
      </c>
      <c r="C455" s="402" t="str">
        <f>IF($B455="","",Lançamentos!$J450)</f>
        <v/>
      </c>
      <c r="D455" s="403" t="str">
        <f>IF($B455="","",Lançamentos!$H450)</f>
        <v/>
      </c>
      <c r="E455" s="403"/>
      <c r="F455" s="403"/>
      <c r="G455" s="403"/>
      <c r="H455" s="403"/>
      <c r="I455" s="403"/>
      <c r="J455" s="403"/>
      <c r="K455" s="403"/>
      <c r="L455" s="403"/>
      <c r="M455" s="141" t="str">
        <f t="shared" si="7"/>
        <v/>
      </c>
      <c r="N455" s="404"/>
      <c r="O455" s="405"/>
    </row>
    <row r="456" spans="2:15" x14ac:dyDescent="0.35">
      <c r="B456" s="401" t="str">
        <f>IF(Lançamentos!$B451="","",Lançamentos!$B451)</f>
        <v/>
      </c>
      <c r="C456" s="402" t="str">
        <f>IF($B456="","",Lançamentos!$J451)</f>
        <v/>
      </c>
      <c r="D456" s="403" t="str">
        <f>IF($B456="","",Lançamentos!$H451)</f>
        <v/>
      </c>
      <c r="E456" s="403"/>
      <c r="F456" s="403"/>
      <c r="G456" s="403"/>
      <c r="H456" s="403"/>
      <c r="I456" s="403"/>
      <c r="J456" s="403"/>
      <c r="K456" s="403"/>
      <c r="L456" s="403"/>
      <c r="M456" s="141" t="str">
        <f t="shared" si="7"/>
        <v/>
      </c>
      <c r="N456" s="404"/>
      <c r="O456" s="405"/>
    </row>
    <row r="457" spans="2:15" x14ac:dyDescent="0.35">
      <c r="B457" s="401" t="str">
        <f>IF(Lançamentos!$B452="","",Lançamentos!$B452)</f>
        <v/>
      </c>
      <c r="C457" s="402" t="str">
        <f>IF($B457="","",Lançamentos!$J452)</f>
        <v/>
      </c>
      <c r="D457" s="403" t="str">
        <f>IF($B457="","",Lançamentos!$H452)</f>
        <v/>
      </c>
      <c r="E457" s="403"/>
      <c r="F457" s="403"/>
      <c r="G457" s="403"/>
      <c r="H457" s="403"/>
      <c r="I457" s="403"/>
      <c r="J457" s="403"/>
      <c r="K457" s="403"/>
      <c r="L457" s="403"/>
      <c r="M457" s="141" t="str">
        <f t="shared" si="7"/>
        <v/>
      </c>
      <c r="N457" s="404"/>
      <c r="O457" s="405"/>
    </row>
    <row r="458" spans="2:15" x14ac:dyDescent="0.35">
      <c r="B458" s="401" t="str">
        <f>IF(Lançamentos!$B453="","",Lançamentos!$B453)</f>
        <v/>
      </c>
      <c r="C458" s="402" t="str">
        <f>IF($B458="","",Lançamentos!$J453)</f>
        <v/>
      </c>
      <c r="D458" s="403" t="str">
        <f>IF($B458="","",Lançamentos!$H453)</f>
        <v/>
      </c>
      <c r="E458" s="403"/>
      <c r="F458" s="403"/>
      <c r="G458" s="403"/>
      <c r="H458" s="403"/>
      <c r="I458" s="403"/>
      <c r="J458" s="403"/>
      <c r="K458" s="403"/>
      <c r="L458" s="403"/>
      <c r="M458" s="141" t="str">
        <f t="shared" si="7"/>
        <v/>
      </c>
      <c r="N458" s="404"/>
      <c r="O458" s="405"/>
    </row>
    <row r="459" spans="2:15" x14ac:dyDescent="0.35">
      <c r="B459" s="401" t="str">
        <f>IF(Lançamentos!$B454="","",Lançamentos!$B454)</f>
        <v/>
      </c>
      <c r="C459" s="402" t="str">
        <f>IF($B459="","",Lançamentos!$J454)</f>
        <v/>
      </c>
      <c r="D459" s="403" t="str">
        <f>IF($B459="","",Lançamentos!$H454)</f>
        <v/>
      </c>
      <c r="E459" s="403"/>
      <c r="F459" s="403"/>
      <c r="G459" s="403"/>
      <c r="H459" s="403"/>
      <c r="I459" s="403"/>
      <c r="J459" s="403"/>
      <c r="K459" s="403"/>
      <c r="L459" s="403"/>
      <c r="M459" s="141" t="str">
        <f t="shared" si="7"/>
        <v/>
      </c>
      <c r="N459" s="404"/>
      <c r="O459" s="405"/>
    </row>
    <row r="460" spans="2:15" x14ac:dyDescent="0.35">
      <c r="B460" s="401" t="str">
        <f>IF(Lançamentos!$B455="","",Lançamentos!$B455)</f>
        <v/>
      </c>
      <c r="C460" s="402" t="str">
        <f>IF($B460="","",Lançamentos!$J455)</f>
        <v/>
      </c>
      <c r="D460" s="403" t="str">
        <f>IF($B460="","",Lançamentos!$H455)</f>
        <v/>
      </c>
      <c r="E460" s="403"/>
      <c r="F460" s="403"/>
      <c r="G460" s="403"/>
      <c r="H460" s="403"/>
      <c r="I460" s="403"/>
      <c r="J460" s="403"/>
      <c r="K460" s="403"/>
      <c r="L460" s="403"/>
      <c r="M460" s="141" t="str">
        <f t="shared" si="7"/>
        <v/>
      </c>
      <c r="N460" s="404"/>
      <c r="O460" s="405"/>
    </row>
    <row r="461" spans="2:15" x14ac:dyDescent="0.35">
      <c r="B461" s="401" t="str">
        <f>IF(Lançamentos!$B456="","",Lançamentos!$B456)</f>
        <v/>
      </c>
      <c r="C461" s="402" t="str">
        <f>IF($B461="","",Lançamentos!$J456)</f>
        <v/>
      </c>
      <c r="D461" s="403" t="str">
        <f>IF($B461="","",Lançamentos!$H456)</f>
        <v/>
      </c>
      <c r="E461" s="403"/>
      <c r="F461" s="403"/>
      <c r="G461" s="403"/>
      <c r="H461" s="403"/>
      <c r="I461" s="403"/>
      <c r="J461" s="403"/>
      <c r="K461" s="403"/>
      <c r="L461" s="403"/>
      <c r="M461" s="141" t="str">
        <f t="shared" si="7"/>
        <v/>
      </c>
      <c r="N461" s="404"/>
      <c r="O461" s="405"/>
    </row>
    <row r="462" spans="2:15" x14ac:dyDescent="0.35">
      <c r="B462" s="401" t="str">
        <f>IF(Lançamentos!$B457="","",Lançamentos!$B457)</f>
        <v/>
      </c>
      <c r="C462" s="402" t="str">
        <f>IF($B462="","",Lançamentos!$J457)</f>
        <v/>
      </c>
      <c r="D462" s="403" t="str">
        <f>IF($B462="","",Lançamentos!$H457)</f>
        <v/>
      </c>
      <c r="E462" s="403"/>
      <c r="F462" s="403"/>
      <c r="G462" s="403"/>
      <c r="H462" s="403"/>
      <c r="I462" s="403"/>
      <c r="J462" s="403"/>
      <c r="K462" s="403"/>
      <c r="L462" s="403"/>
      <c r="M462" s="141" t="str">
        <f t="shared" si="7"/>
        <v/>
      </c>
      <c r="N462" s="404"/>
      <c r="O462" s="405"/>
    </row>
    <row r="463" spans="2:15" x14ac:dyDescent="0.35">
      <c r="B463" s="401" t="str">
        <f>IF(Lançamentos!$B458="","",Lançamentos!$B458)</f>
        <v/>
      </c>
      <c r="C463" s="402" t="str">
        <f>IF($B463="","",Lançamentos!$J458)</f>
        <v/>
      </c>
      <c r="D463" s="403" t="str">
        <f>IF($B463="","",Lançamentos!$H458)</f>
        <v/>
      </c>
      <c r="E463" s="403"/>
      <c r="F463" s="403"/>
      <c r="G463" s="403"/>
      <c r="H463" s="403"/>
      <c r="I463" s="403"/>
      <c r="J463" s="403"/>
      <c r="K463" s="403"/>
      <c r="L463" s="403"/>
      <c r="M463" s="141" t="str">
        <f t="shared" si="7"/>
        <v/>
      </c>
      <c r="N463" s="404"/>
      <c r="O463" s="405"/>
    </row>
    <row r="464" spans="2:15" x14ac:dyDescent="0.35">
      <c r="B464" s="401" t="str">
        <f>IF(Lançamentos!$B459="","",Lançamentos!$B459)</f>
        <v/>
      </c>
      <c r="C464" s="402" t="str">
        <f>IF($B464="","",Lançamentos!$J459)</f>
        <v/>
      </c>
      <c r="D464" s="403" t="str">
        <f>IF($B464="","",Lançamentos!$H459)</f>
        <v/>
      </c>
      <c r="E464" s="403"/>
      <c r="F464" s="403"/>
      <c r="G464" s="403"/>
      <c r="H464" s="403"/>
      <c r="I464" s="403"/>
      <c r="J464" s="403"/>
      <c r="K464" s="403"/>
      <c r="L464" s="403"/>
      <c r="M464" s="141" t="str">
        <f t="shared" ref="M464:M507" si="8">IF(B464="","",IF(COUNTIF(E464:L464,"N/A")=8,0,COUNTIF(E464:L464,"✔ Concluído")/(8-COUNTIF(E464:L464,"N/A"))))</f>
        <v/>
      </c>
      <c r="N464" s="404"/>
      <c r="O464" s="405"/>
    </row>
    <row r="465" spans="2:15" x14ac:dyDescent="0.35">
      <c r="B465" s="401" t="str">
        <f>IF(Lançamentos!$B460="","",Lançamentos!$B460)</f>
        <v/>
      </c>
      <c r="C465" s="402" t="str">
        <f>IF($B465="","",Lançamentos!$J460)</f>
        <v/>
      </c>
      <c r="D465" s="403" t="str">
        <f>IF($B465="","",Lançamentos!$H460)</f>
        <v/>
      </c>
      <c r="E465" s="403"/>
      <c r="F465" s="403"/>
      <c r="G465" s="403"/>
      <c r="H465" s="403"/>
      <c r="I465" s="403"/>
      <c r="J465" s="403"/>
      <c r="K465" s="403"/>
      <c r="L465" s="403"/>
      <c r="M465" s="141" t="str">
        <f t="shared" si="8"/>
        <v/>
      </c>
      <c r="N465" s="404"/>
      <c r="O465" s="405"/>
    </row>
    <row r="466" spans="2:15" x14ac:dyDescent="0.35">
      <c r="B466" s="401" t="str">
        <f>IF(Lançamentos!$B461="","",Lançamentos!$B461)</f>
        <v/>
      </c>
      <c r="C466" s="402" t="str">
        <f>IF($B466="","",Lançamentos!$J461)</f>
        <v/>
      </c>
      <c r="D466" s="403" t="str">
        <f>IF($B466="","",Lançamentos!$H461)</f>
        <v/>
      </c>
      <c r="E466" s="403"/>
      <c r="F466" s="403"/>
      <c r="G466" s="403"/>
      <c r="H466" s="403"/>
      <c r="I466" s="403"/>
      <c r="J466" s="403"/>
      <c r="K466" s="403"/>
      <c r="L466" s="403"/>
      <c r="M466" s="141" t="str">
        <f t="shared" si="8"/>
        <v/>
      </c>
      <c r="N466" s="404"/>
      <c r="O466" s="405"/>
    </row>
    <row r="467" spans="2:15" x14ac:dyDescent="0.35">
      <c r="B467" s="401" t="str">
        <f>IF(Lançamentos!$B462="","",Lançamentos!$B462)</f>
        <v/>
      </c>
      <c r="C467" s="402" t="str">
        <f>IF($B467="","",Lançamentos!$J462)</f>
        <v/>
      </c>
      <c r="D467" s="403" t="str">
        <f>IF($B467="","",Lançamentos!$H462)</f>
        <v/>
      </c>
      <c r="E467" s="403"/>
      <c r="F467" s="403"/>
      <c r="G467" s="403"/>
      <c r="H467" s="403"/>
      <c r="I467" s="403"/>
      <c r="J467" s="403"/>
      <c r="K467" s="403"/>
      <c r="L467" s="403"/>
      <c r="M467" s="141" t="str">
        <f t="shared" si="8"/>
        <v/>
      </c>
      <c r="N467" s="404"/>
      <c r="O467" s="405"/>
    </row>
    <row r="468" spans="2:15" x14ac:dyDescent="0.35">
      <c r="B468" s="401" t="str">
        <f>IF(Lançamentos!$B463="","",Lançamentos!$B463)</f>
        <v/>
      </c>
      <c r="C468" s="402" t="str">
        <f>IF($B468="","",Lançamentos!$J463)</f>
        <v/>
      </c>
      <c r="D468" s="403" t="str">
        <f>IF($B468="","",Lançamentos!$H463)</f>
        <v/>
      </c>
      <c r="E468" s="403"/>
      <c r="F468" s="403"/>
      <c r="G468" s="403"/>
      <c r="H468" s="403"/>
      <c r="I468" s="403"/>
      <c r="J468" s="403"/>
      <c r="K468" s="403"/>
      <c r="L468" s="403"/>
      <c r="M468" s="141" t="str">
        <f t="shared" si="8"/>
        <v/>
      </c>
      <c r="N468" s="404"/>
      <c r="O468" s="405"/>
    </row>
    <row r="469" spans="2:15" x14ac:dyDescent="0.35">
      <c r="B469" s="401" t="str">
        <f>IF(Lançamentos!$B464="","",Lançamentos!$B464)</f>
        <v/>
      </c>
      <c r="C469" s="402" t="str">
        <f>IF($B469="","",Lançamentos!$J464)</f>
        <v/>
      </c>
      <c r="D469" s="403" t="str">
        <f>IF($B469="","",Lançamentos!$H464)</f>
        <v/>
      </c>
      <c r="E469" s="403"/>
      <c r="F469" s="403"/>
      <c r="G469" s="403"/>
      <c r="H469" s="403"/>
      <c r="I469" s="403"/>
      <c r="J469" s="403"/>
      <c r="K469" s="403"/>
      <c r="L469" s="403"/>
      <c r="M469" s="141" t="str">
        <f t="shared" si="8"/>
        <v/>
      </c>
      <c r="N469" s="404"/>
      <c r="O469" s="405"/>
    </row>
    <row r="470" spans="2:15" x14ac:dyDescent="0.35">
      <c r="B470" s="401" t="str">
        <f>IF(Lançamentos!$B465="","",Lançamentos!$B465)</f>
        <v/>
      </c>
      <c r="C470" s="402" t="str">
        <f>IF($B470="","",Lançamentos!$J465)</f>
        <v/>
      </c>
      <c r="D470" s="403" t="str">
        <f>IF($B470="","",Lançamentos!$H465)</f>
        <v/>
      </c>
      <c r="E470" s="403"/>
      <c r="F470" s="403"/>
      <c r="G470" s="403"/>
      <c r="H470" s="403"/>
      <c r="I470" s="403"/>
      <c r="J470" s="403"/>
      <c r="K470" s="403"/>
      <c r="L470" s="403"/>
      <c r="M470" s="141" t="str">
        <f t="shared" si="8"/>
        <v/>
      </c>
      <c r="N470" s="404"/>
      <c r="O470" s="405"/>
    </row>
    <row r="471" spans="2:15" x14ac:dyDescent="0.35">
      <c r="B471" s="401" t="str">
        <f>IF(Lançamentos!$B466="","",Lançamentos!$B466)</f>
        <v/>
      </c>
      <c r="C471" s="402" t="str">
        <f>IF($B471="","",Lançamentos!$J466)</f>
        <v/>
      </c>
      <c r="D471" s="403" t="str">
        <f>IF($B471="","",Lançamentos!$H466)</f>
        <v/>
      </c>
      <c r="E471" s="403"/>
      <c r="F471" s="403"/>
      <c r="G471" s="403"/>
      <c r="H471" s="403"/>
      <c r="I471" s="403"/>
      <c r="J471" s="403"/>
      <c r="K471" s="403"/>
      <c r="L471" s="403"/>
      <c r="M471" s="141" t="str">
        <f t="shared" si="8"/>
        <v/>
      </c>
      <c r="N471" s="404"/>
      <c r="O471" s="405"/>
    </row>
    <row r="472" spans="2:15" x14ac:dyDescent="0.35">
      <c r="B472" s="401" t="str">
        <f>IF(Lançamentos!$B467="","",Lançamentos!$B467)</f>
        <v/>
      </c>
      <c r="C472" s="402" t="str">
        <f>IF($B472="","",Lançamentos!$J467)</f>
        <v/>
      </c>
      <c r="D472" s="403" t="str">
        <f>IF($B472="","",Lançamentos!$H467)</f>
        <v/>
      </c>
      <c r="E472" s="403"/>
      <c r="F472" s="403"/>
      <c r="G472" s="403"/>
      <c r="H472" s="403"/>
      <c r="I472" s="403"/>
      <c r="J472" s="403"/>
      <c r="K472" s="403"/>
      <c r="L472" s="403"/>
      <c r="M472" s="141" t="str">
        <f t="shared" si="8"/>
        <v/>
      </c>
      <c r="N472" s="404"/>
      <c r="O472" s="405"/>
    </row>
    <row r="473" spans="2:15" x14ac:dyDescent="0.35">
      <c r="B473" s="401" t="str">
        <f>IF(Lançamentos!$B468="","",Lançamentos!$B468)</f>
        <v/>
      </c>
      <c r="C473" s="402" t="str">
        <f>IF($B473="","",Lançamentos!$J468)</f>
        <v/>
      </c>
      <c r="D473" s="403" t="str">
        <f>IF($B473="","",Lançamentos!$H468)</f>
        <v/>
      </c>
      <c r="E473" s="403"/>
      <c r="F473" s="403"/>
      <c r="G473" s="403"/>
      <c r="H473" s="403"/>
      <c r="I473" s="403"/>
      <c r="J473" s="403"/>
      <c r="K473" s="403"/>
      <c r="L473" s="403"/>
      <c r="M473" s="141" t="str">
        <f t="shared" si="8"/>
        <v/>
      </c>
      <c r="N473" s="404"/>
      <c r="O473" s="405"/>
    </row>
    <row r="474" spans="2:15" x14ac:dyDescent="0.35">
      <c r="B474" s="401" t="str">
        <f>IF(Lançamentos!$B469="","",Lançamentos!$B469)</f>
        <v/>
      </c>
      <c r="C474" s="402" t="str">
        <f>IF($B474="","",Lançamentos!$J469)</f>
        <v/>
      </c>
      <c r="D474" s="403" t="str">
        <f>IF($B474="","",Lançamentos!$H469)</f>
        <v/>
      </c>
      <c r="E474" s="403"/>
      <c r="F474" s="403"/>
      <c r="G474" s="403"/>
      <c r="H474" s="403"/>
      <c r="I474" s="403"/>
      <c r="J474" s="403"/>
      <c r="K474" s="403"/>
      <c r="L474" s="403"/>
      <c r="M474" s="141" t="str">
        <f t="shared" si="8"/>
        <v/>
      </c>
      <c r="N474" s="404"/>
      <c r="O474" s="405"/>
    </row>
    <row r="475" spans="2:15" x14ac:dyDescent="0.35">
      <c r="B475" s="401" t="str">
        <f>IF(Lançamentos!$B470="","",Lançamentos!$B470)</f>
        <v/>
      </c>
      <c r="C475" s="402" t="str">
        <f>IF($B475="","",Lançamentos!$J470)</f>
        <v/>
      </c>
      <c r="D475" s="403" t="str">
        <f>IF($B475="","",Lançamentos!$H470)</f>
        <v/>
      </c>
      <c r="E475" s="403"/>
      <c r="F475" s="403"/>
      <c r="G475" s="403"/>
      <c r="H475" s="403"/>
      <c r="I475" s="403"/>
      <c r="J475" s="403"/>
      <c r="K475" s="403"/>
      <c r="L475" s="403"/>
      <c r="M475" s="141" t="str">
        <f t="shared" si="8"/>
        <v/>
      </c>
      <c r="N475" s="404"/>
      <c r="O475" s="405"/>
    </row>
    <row r="476" spans="2:15" x14ac:dyDescent="0.35">
      <c r="B476" s="401" t="str">
        <f>IF(Lançamentos!$B471="","",Lançamentos!$B471)</f>
        <v/>
      </c>
      <c r="C476" s="402" t="str">
        <f>IF($B476="","",Lançamentos!$J471)</f>
        <v/>
      </c>
      <c r="D476" s="403" t="str">
        <f>IF($B476="","",Lançamentos!$H471)</f>
        <v/>
      </c>
      <c r="E476" s="403"/>
      <c r="F476" s="403"/>
      <c r="G476" s="403"/>
      <c r="H476" s="403"/>
      <c r="I476" s="403"/>
      <c r="J476" s="403"/>
      <c r="K476" s="403"/>
      <c r="L476" s="403"/>
      <c r="M476" s="141" t="str">
        <f t="shared" si="8"/>
        <v/>
      </c>
      <c r="N476" s="404"/>
      <c r="O476" s="405"/>
    </row>
    <row r="477" spans="2:15" x14ac:dyDescent="0.35">
      <c r="B477" s="401" t="str">
        <f>IF(Lançamentos!$B472="","",Lançamentos!$B472)</f>
        <v/>
      </c>
      <c r="C477" s="402" t="str">
        <f>IF($B477="","",Lançamentos!$J472)</f>
        <v/>
      </c>
      <c r="D477" s="403" t="str">
        <f>IF($B477="","",Lançamentos!$H472)</f>
        <v/>
      </c>
      <c r="E477" s="403"/>
      <c r="F477" s="403"/>
      <c r="G477" s="403"/>
      <c r="H477" s="403"/>
      <c r="I477" s="403"/>
      <c r="J477" s="403"/>
      <c r="K477" s="403"/>
      <c r="L477" s="403"/>
      <c r="M477" s="141" t="str">
        <f t="shared" si="8"/>
        <v/>
      </c>
      <c r="N477" s="404"/>
      <c r="O477" s="405"/>
    </row>
    <row r="478" spans="2:15" x14ac:dyDescent="0.35">
      <c r="B478" s="401" t="str">
        <f>IF(Lançamentos!$B473="","",Lançamentos!$B473)</f>
        <v/>
      </c>
      <c r="C478" s="402" t="str">
        <f>IF($B478="","",Lançamentos!$J473)</f>
        <v/>
      </c>
      <c r="D478" s="403" t="str">
        <f>IF($B478="","",Lançamentos!$H473)</f>
        <v/>
      </c>
      <c r="E478" s="403"/>
      <c r="F478" s="403"/>
      <c r="G478" s="403"/>
      <c r="H478" s="403"/>
      <c r="I478" s="403"/>
      <c r="J478" s="403"/>
      <c r="K478" s="403"/>
      <c r="L478" s="403"/>
      <c r="M478" s="141" t="str">
        <f t="shared" si="8"/>
        <v/>
      </c>
      <c r="N478" s="404"/>
      <c r="O478" s="405"/>
    </row>
    <row r="479" spans="2:15" x14ac:dyDescent="0.35">
      <c r="B479" s="401" t="str">
        <f>IF(Lançamentos!$B474="","",Lançamentos!$B474)</f>
        <v/>
      </c>
      <c r="C479" s="402" t="str">
        <f>IF($B479="","",Lançamentos!$J474)</f>
        <v/>
      </c>
      <c r="D479" s="403" t="str">
        <f>IF($B479="","",Lançamentos!$H474)</f>
        <v/>
      </c>
      <c r="E479" s="403"/>
      <c r="F479" s="403"/>
      <c r="G479" s="403"/>
      <c r="H479" s="403"/>
      <c r="I479" s="403"/>
      <c r="J479" s="403"/>
      <c r="K479" s="403"/>
      <c r="L479" s="403"/>
      <c r="M479" s="141" t="str">
        <f t="shared" si="8"/>
        <v/>
      </c>
      <c r="N479" s="404"/>
      <c r="O479" s="405"/>
    </row>
    <row r="480" spans="2:15" x14ac:dyDescent="0.35">
      <c r="B480" s="401" t="str">
        <f>IF(Lançamentos!$B475="","",Lançamentos!$B475)</f>
        <v/>
      </c>
      <c r="C480" s="402" t="str">
        <f>IF($B480="","",Lançamentos!$J475)</f>
        <v/>
      </c>
      <c r="D480" s="403" t="str">
        <f>IF($B480="","",Lançamentos!$H475)</f>
        <v/>
      </c>
      <c r="E480" s="403"/>
      <c r="F480" s="403"/>
      <c r="G480" s="403"/>
      <c r="H480" s="403"/>
      <c r="I480" s="403"/>
      <c r="J480" s="403"/>
      <c r="K480" s="403"/>
      <c r="L480" s="403"/>
      <c r="M480" s="141" t="str">
        <f t="shared" si="8"/>
        <v/>
      </c>
      <c r="N480" s="404"/>
      <c r="O480" s="405"/>
    </row>
    <row r="481" spans="2:15" x14ac:dyDescent="0.35">
      <c r="B481" s="401" t="str">
        <f>IF(Lançamentos!$B476="","",Lançamentos!$B476)</f>
        <v/>
      </c>
      <c r="C481" s="402" t="str">
        <f>IF($B481="","",Lançamentos!$J476)</f>
        <v/>
      </c>
      <c r="D481" s="403" t="str">
        <f>IF($B481="","",Lançamentos!$H476)</f>
        <v/>
      </c>
      <c r="E481" s="403"/>
      <c r="F481" s="403"/>
      <c r="G481" s="403"/>
      <c r="H481" s="403"/>
      <c r="I481" s="403"/>
      <c r="J481" s="403"/>
      <c r="K481" s="403"/>
      <c r="L481" s="403"/>
      <c r="M481" s="141" t="str">
        <f t="shared" si="8"/>
        <v/>
      </c>
      <c r="N481" s="404"/>
      <c r="O481" s="405"/>
    </row>
    <row r="482" spans="2:15" x14ac:dyDescent="0.35">
      <c r="B482" s="401" t="str">
        <f>IF(Lançamentos!$B477="","",Lançamentos!$B477)</f>
        <v/>
      </c>
      <c r="C482" s="402" t="str">
        <f>IF($B482="","",Lançamentos!$J477)</f>
        <v/>
      </c>
      <c r="D482" s="403" t="str">
        <f>IF($B482="","",Lançamentos!$H477)</f>
        <v/>
      </c>
      <c r="E482" s="403"/>
      <c r="F482" s="403"/>
      <c r="G482" s="403"/>
      <c r="H482" s="403"/>
      <c r="I482" s="403"/>
      <c r="J482" s="403"/>
      <c r="K482" s="403"/>
      <c r="L482" s="403"/>
      <c r="M482" s="141" t="str">
        <f t="shared" si="8"/>
        <v/>
      </c>
      <c r="N482" s="404"/>
      <c r="O482" s="405"/>
    </row>
    <row r="483" spans="2:15" x14ac:dyDescent="0.35">
      <c r="B483" s="401" t="str">
        <f>IF(Lançamentos!$B478="","",Lançamentos!$B478)</f>
        <v/>
      </c>
      <c r="C483" s="402" t="str">
        <f>IF($B483="","",Lançamentos!$J478)</f>
        <v/>
      </c>
      <c r="D483" s="403" t="str">
        <f>IF($B483="","",Lançamentos!$H478)</f>
        <v/>
      </c>
      <c r="E483" s="403"/>
      <c r="F483" s="403"/>
      <c r="G483" s="403"/>
      <c r="H483" s="403"/>
      <c r="I483" s="403"/>
      <c r="J483" s="403"/>
      <c r="K483" s="403"/>
      <c r="L483" s="403"/>
      <c r="M483" s="141" t="str">
        <f t="shared" si="8"/>
        <v/>
      </c>
      <c r="N483" s="404"/>
      <c r="O483" s="405"/>
    </row>
    <row r="484" spans="2:15" x14ac:dyDescent="0.35">
      <c r="B484" s="401" t="str">
        <f>IF(Lançamentos!$B479="","",Lançamentos!$B479)</f>
        <v/>
      </c>
      <c r="C484" s="402" t="str">
        <f>IF($B484="","",Lançamentos!$J479)</f>
        <v/>
      </c>
      <c r="D484" s="403" t="str">
        <f>IF($B484="","",Lançamentos!$H479)</f>
        <v/>
      </c>
      <c r="E484" s="403"/>
      <c r="F484" s="403"/>
      <c r="G484" s="403"/>
      <c r="H484" s="403"/>
      <c r="I484" s="403"/>
      <c r="J484" s="403"/>
      <c r="K484" s="403"/>
      <c r="L484" s="403"/>
      <c r="M484" s="141" t="str">
        <f t="shared" si="8"/>
        <v/>
      </c>
      <c r="N484" s="404"/>
      <c r="O484" s="405"/>
    </row>
    <row r="485" spans="2:15" x14ac:dyDescent="0.35">
      <c r="B485" s="401" t="str">
        <f>IF(Lançamentos!$B480="","",Lançamentos!$B480)</f>
        <v/>
      </c>
      <c r="C485" s="402" t="str">
        <f>IF($B485="","",Lançamentos!$J480)</f>
        <v/>
      </c>
      <c r="D485" s="403" t="str">
        <f>IF($B485="","",Lançamentos!$H480)</f>
        <v/>
      </c>
      <c r="E485" s="403"/>
      <c r="F485" s="403"/>
      <c r="G485" s="403"/>
      <c r="H485" s="403"/>
      <c r="I485" s="403"/>
      <c r="J485" s="403"/>
      <c r="K485" s="403"/>
      <c r="L485" s="403"/>
      <c r="M485" s="141" t="str">
        <f t="shared" si="8"/>
        <v/>
      </c>
      <c r="N485" s="404"/>
      <c r="O485" s="405"/>
    </row>
    <row r="486" spans="2:15" x14ac:dyDescent="0.35">
      <c r="B486" s="401" t="str">
        <f>IF(Lançamentos!$B481="","",Lançamentos!$B481)</f>
        <v/>
      </c>
      <c r="C486" s="402" t="str">
        <f>IF($B486="","",Lançamentos!$J481)</f>
        <v/>
      </c>
      <c r="D486" s="403" t="str">
        <f>IF($B486="","",Lançamentos!$H481)</f>
        <v/>
      </c>
      <c r="E486" s="403"/>
      <c r="F486" s="403"/>
      <c r="G486" s="403"/>
      <c r="H486" s="403"/>
      <c r="I486" s="403"/>
      <c r="J486" s="403"/>
      <c r="K486" s="403"/>
      <c r="L486" s="403"/>
      <c r="M486" s="141" t="str">
        <f t="shared" si="8"/>
        <v/>
      </c>
      <c r="N486" s="404"/>
      <c r="O486" s="405"/>
    </row>
    <row r="487" spans="2:15" x14ac:dyDescent="0.35">
      <c r="B487" s="401" t="str">
        <f>IF(Lançamentos!$B482="","",Lançamentos!$B482)</f>
        <v/>
      </c>
      <c r="C487" s="402" t="str">
        <f>IF($B487="","",Lançamentos!$J482)</f>
        <v/>
      </c>
      <c r="D487" s="403" t="str">
        <f>IF($B487="","",Lançamentos!$H482)</f>
        <v/>
      </c>
      <c r="E487" s="403"/>
      <c r="F487" s="403"/>
      <c r="G487" s="403"/>
      <c r="H487" s="403"/>
      <c r="I487" s="403"/>
      <c r="J487" s="403"/>
      <c r="K487" s="403"/>
      <c r="L487" s="403"/>
      <c r="M487" s="141" t="str">
        <f t="shared" si="8"/>
        <v/>
      </c>
      <c r="N487" s="404"/>
      <c r="O487" s="405"/>
    </row>
    <row r="488" spans="2:15" x14ac:dyDescent="0.35">
      <c r="B488" s="401" t="str">
        <f>IF(Lançamentos!$B483="","",Lançamentos!$B483)</f>
        <v/>
      </c>
      <c r="C488" s="402" t="str">
        <f>IF($B488="","",Lançamentos!$J483)</f>
        <v/>
      </c>
      <c r="D488" s="403" t="str">
        <f>IF($B488="","",Lançamentos!$H483)</f>
        <v/>
      </c>
      <c r="E488" s="403"/>
      <c r="F488" s="403"/>
      <c r="G488" s="403"/>
      <c r="H488" s="403"/>
      <c r="I488" s="403"/>
      <c r="J488" s="403"/>
      <c r="K488" s="403"/>
      <c r="L488" s="403"/>
      <c r="M488" s="141" t="str">
        <f t="shared" si="8"/>
        <v/>
      </c>
      <c r="N488" s="404"/>
      <c r="O488" s="405"/>
    </row>
    <row r="489" spans="2:15" x14ac:dyDescent="0.35">
      <c r="B489" s="401" t="str">
        <f>IF(Lançamentos!$B484="","",Lançamentos!$B484)</f>
        <v/>
      </c>
      <c r="C489" s="402" t="str">
        <f>IF($B489="","",Lançamentos!$J484)</f>
        <v/>
      </c>
      <c r="D489" s="403" t="str">
        <f>IF($B489="","",Lançamentos!$H484)</f>
        <v/>
      </c>
      <c r="E489" s="403"/>
      <c r="F489" s="403"/>
      <c r="G489" s="403"/>
      <c r="H489" s="403"/>
      <c r="I489" s="403"/>
      <c r="J489" s="403"/>
      <c r="K489" s="403"/>
      <c r="L489" s="403"/>
      <c r="M489" s="141" t="str">
        <f t="shared" si="8"/>
        <v/>
      </c>
      <c r="N489" s="404"/>
      <c r="O489" s="405"/>
    </row>
    <row r="490" spans="2:15" x14ac:dyDescent="0.35">
      <c r="B490" s="401" t="str">
        <f>IF(Lançamentos!$B485="","",Lançamentos!$B485)</f>
        <v/>
      </c>
      <c r="C490" s="402" t="str">
        <f>IF($B490="","",Lançamentos!$J485)</f>
        <v/>
      </c>
      <c r="D490" s="403" t="str">
        <f>IF($B490="","",Lançamentos!$H485)</f>
        <v/>
      </c>
      <c r="E490" s="403"/>
      <c r="F490" s="403"/>
      <c r="G490" s="403"/>
      <c r="H490" s="403"/>
      <c r="I490" s="403"/>
      <c r="J490" s="403"/>
      <c r="K490" s="403"/>
      <c r="L490" s="403"/>
      <c r="M490" s="141" t="str">
        <f t="shared" si="8"/>
        <v/>
      </c>
      <c r="N490" s="404"/>
      <c r="O490" s="405"/>
    </row>
    <row r="491" spans="2:15" x14ac:dyDescent="0.35">
      <c r="B491" s="401" t="str">
        <f>IF(Lançamentos!$B486="","",Lançamentos!$B486)</f>
        <v/>
      </c>
      <c r="C491" s="402" t="str">
        <f>IF($B491="","",Lançamentos!$J486)</f>
        <v/>
      </c>
      <c r="D491" s="403" t="str">
        <f>IF($B491="","",Lançamentos!$H486)</f>
        <v/>
      </c>
      <c r="E491" s="403"/>
      <c r="F491" s="403"/>
      <c r="G491" s="403"/>
      <c r="H491" s="403"/>
      <c r="I491" s="403"/>
      <c r="J491" s="403"/>
      <c r="K491" s="403"/>
      <c r="L491" s="403"/>
      <c r="M491" s="141" t="str">
        <f t="shared" si="8"/>
        <v/>
      </c>
      <c r="N491" s="404"/>
      <c r="O491" s="405"/>
    </row>
    <row r="492" spans="2:15" x14ac:dyDescent="0.35">
      <c r="B492" s="401" t="str">
        <f>IF(Lançamentos!$B487="","",Lançamentos!$B487)</f>
        <v/>
      </c>
      <c r="C492" s="402" t="str">
        <f>IF($B492="","",Lançamentos!$J487)</f>
        <v/>
      </c>
      <c r="D492" s="403" t="str">
        <f>IF($B492="","",Lançamentos!$H487)</f>
        <v/>
      </c>
      <c r="E492" s="403"/>
      <c r="F492" s="403"/>
      <c r="G492" s="403"/>
      <c r="H492" s="403"/>
      <c r="I492" s="403"/>
      <c r="J492" s="403"/>
      <c r="K492" s="403"/>
      <c r="L492" s="403"/>
      <c r="M492" s="141" t="str">
        <f t="shared" si="8"/>
        <v/>
      </c>
      <c r="N492" s="404"/>
      <c r="O492" s="405"/>
    </row>
    <row r="493" spans="2:15" x14ac:dyDescent="0.35">
      <c r="B493" s="401" t="str">
        <f>IF(Lançamentos!$B488="","",Lançamentos!$B488)</f>
        <v/>
      </c>
      <c r="C493" s="402" t="str">
        <f>IF($B493="","",Lançamentos!$J488)</f>
        <v/>
      </c>
      <c r="D493" s="403" t="str">
        <f>IF($B493="","",Lançamentos!$H488)</f>
        <v/>
      </c>
      <c r="E493" s="403"/>
      <c r="F493" s="403"/>
      <c r="G493" s="403"/>
      <c r="H493" s="403"/>
      <c r="I493" s="403"/>
      <c r="J493" s="403"/>
      <c r="K493" s="403"/>
      <c r="L493" s="403"/>
      <c r="M493" s="141" t="str">
        <f t="shared" si="8"/>
        <v/>
      </c>
      <c r="N493" s="404"/>
      <c r="O493" s="405"/>
    </row>
    <row r="494" spans="2:15" x14ac:dyDescent="0.35">
      <c r="B494" s="401" t="str">
        <f>IF(Lançamentos!$B489="","",Lançamentos!$B489)</f>
        <v/>
      </c>
      <c r="C494" s="402" t="str">
        <f>IF($B494="","",Lançamentos!$J489)</f>
        <v/>
      </c>
      <c r="D494" s="403" t="str">
        <f>IF($B494="","",Lançamentos!$H489)</f>
        <v/>
      </c>
      <c r="E494" s="403"/>
      <c r="F494" s="403"/>
      <c r="G494" s="403"/>
      <c r="H494" s="403"/>
      <c r="I494" s="403"/>
      <c r="J494" s="403"/>
      <c r="K494" s="403"/>
      <c r="L494" s="403"/>
      <c r="M494" s="141" t="str">
        <f t="shared" si="8"/>
        <v/>
      </c>
      <c r="N494" s="404"/>
      <c r="O494" s="405"/>
    </row>
    <row r="495" spans="2:15" x14ac:dyDescent="0.35">
      <c r="B495" s="401" t="str">
        <f>IF(Lançamentos!$B490="","",Lançamentos!$B490)</f>
        <v/>
      </c>
      <c r="C495" s="402" t="str">
        <f>IF($B495="","",Lançamentos!$J490)</f>
        <v/>
      </c>
      <c r="D495" s="403" t="str">
        <f>IF($B495="","",Lançamentos!$H490)</f>
        <v/>
      </c>
      <c r="E495" s="403"/>
      <c r="F495" s="403"/>
      <c r="G495" s="403"/>
      <c r="H495" s="403"/>
      <c r="I495" s="403"/>
      <c r="J495" s="403"/>
      <c r="K495" s="403"/>
      <c r="L495" s="403"/>
      <c r="M495" s="141" t="str">
        <f t="shared" si="8"/>
        <v/>
      </c>
      <c r="N495" s="404"/>
      <c r="O495" s="405"/>
    </row>
    <row r="496" spans="2:15" x14ac:dyDescent="0.35">
      <c r="B496" s="401" t="str">
        <f>IF(Lançamentos!$B491="","",Lançamentos!$B491)</f>
        <v/>
      </c>
      <c r="C496" s="402" t="str">
        <f>IF($B496="","",Lançamentos!$J491)</f>
        <v/>
      </c>
      <c r="D496" s="403" t="str">
        <f>IF($B496="","",Lançamentos!$H491)</f>
        <v/>
      </c>
      <c r="E496" s="403"/>
      <c r="F496" s="403"/>
      <c r="G496" s="403"/>
      <c r="H496" s="403"/>
      <c r="I496" s="403"/>
      <c r="J496" s="403"/>
      <c r="K496" s="403"/>
      <c r="L496" s="403"/>
      <c r="M496" s="141" t="str">
        <f t="shared" si="8"/>
        <v/>
      </c>
      <c r="N496" s="404"/>
      <c r="O496" s="405"/>
    </row>
    <row r="497" spans="2:15" x14ac:dyDescent="0.35">
      <c r="B497" s="401" t="str">
        <f>IF(Lançamentos!$B492="","",Lançamentos!$B492)</f>
        <v/>
      </c>
      <c r="C497" s="402" t="str">
        <f>IF($B497="","",Lançamentos!$J492)</f>
        <v/>
      </c>
      <c r="D497" s="403" t="str">
        <f>IF($B497="","",Lançamentos!$H492)</f>
        <v/>
      </c>
      <c r="E497" s="403"/>
      <c r="F497" s="403"/>
      <c r="G497" s="403"/>
      <c r="H497" s="403"/>
      <c r="I497" s="403"/>
      <c r="J497" s="403"/>
      <c r="K497" s="403"/>
      <c r="L497" s="403"/>
      <c r="M497" s="141" t="str">
        <f t="shared" si="8"/>
        <v/>
      </c>
      <c r="N497" s="404"/>
      <c r="O497" s="405"/>
    </row>
    <row r="498" spans="2:15" x14ac:dyDescent="0.35">
      <c r="B498" s="401" t="str">
        <f>IF(Lançamentos!$B493="","",Lançamentos!$B493)</f>
        <v/>
      </c>
      <c r="C498" s="402" t="str">
        <f>IF($B498="","",Lançamentos!$J493)</f>
        <v/>
      </c>
      <c r="D498" s="403" t="str">
        <f>IF($B498="","",Lançamentos!$H493)</f>
        <v/>
      </c>
      <c r="E498" s="403"/>
      <c r="F498" s="403"/>
      <c r="G498" s="403"/>
      <c r="H498" s="403"/>
      <c r="I498" s="403"/>
      <c r="J498" s="403"/>
      <c r="K498" s="403"/>
      <c r="L498" s="403"/>
      <c r="M498" s="141" t="str">
        <f t="shared" si="8"/>
        <v/>
      </c>
      <c r="N498" s="404"/>
      <c r="O498" s="405"/>
    </row>
    <row r="499" spans="2:15" x14ac:dyDescent="0.35">
      <c r="B499" s="401" t="str">
        <f>IF(Lançamentos!$B494="","",Lançamentos!$B494)</f>
        <v/>
      </c>
      <c r="C499" s="402" t="str">
        <f>IF($B499="","",Lançamentos!$J494)</f>
        <v/>
      </c>
      <c r="D499" s="403" t="str">
        <f>IF($B499="","",Lançamentos!$H494)</f>
        <v/>
      </c>
      <c r="E499" s="403"/>
      <c r="F499" s="403"/>
      <c r="G499" s="403"/>
      <c r="H499" s="403"/>
      <c r="I499" s="403"/>
      <c r="J499" s="403"/>
      <c r="K499" s="403"/>
      <c r="L499" s="403"/>
      <c r="M499" s="141" t="str">
        <f t="shared" si="8"/>
        <v/>
      </c>
      <c r="N499" s="404"/>
      <c r="O499" s="405"/>
    </row>
    <row r="500" spans="2:15" x14ac:dyDescent="0.35">
      <c r="B500" s="401" t="str">
        <f>IF(Lançamentos!$B495="","",Lançamentos!$B495)</f>
        <v/>
      </c>
      <c r="C500" s="402" t="str">
        <f>IF($B500="","",Lançamentos!$J495)</f>
        <v/>
      </c>
      <c r="D500" s="403" t="str">
        <f>IF($B500="","",Lançamentos!$H495)</f>
        <v/>
      </c>
      <c r="E500" s="403"/>
      <c r="F500" s="403"/>
      <c r="G500" s="403"/>
      <c r="H500" s="403"/>
      <c r="I500" s="403"/>
      <c r="J500" s="403"/>
      <c r="K500" s="403"/>
      <c r="L500" s="403"/>
      <c r="M500" s="141" t="str">
        <f t="shared" si="8"/>
        <v/>
      </c>
      <c r="N500" s="404"/>
      <c r="O500" s="405"/>
    </row>
    <row r="501" spans="2:15" x14ac:dyDescent="0.35">
      <c r="B501" s="401" t="str">
        <f>IF(Lançamentos!$B496="","",Lançamentos!$B496)</f>
        <v/>
      </c>
      <c r="C501" s="402" t="str">
        <f>IF($B501="","",Lançamentos!$J496)</f>
        <v/>
      </c>
      <c r="D501" s="403" t="str">
        <f>IF($B501="","",Lançamentos!$H496)</f>
        <v/>
      </c>
      <c r="E501" s="403"/>
      <c r="F501" s="403"/>
      <c r="G501" s="403"/>
      <c r="H501" s="403"/>
      <c r="I501" s="403"/>
      <c r="J501" s="403"/>
      <c r="K501" s="403"/>
      <c r="L501" s="403"/>
      <c r="M501" s="141" t="str">
        <f t="shared" si="8"/>
        <v/>
      </c>
      <c r="N501" s="404"/>
      <c r="O501" s="405"/>
    </row>
    <row r="502" spans="2:15" x14ac:dyDescent="0.35">
      <c r="B502" s="401" t="str">
        <f>IF(Lançamentos!$B497="","",Lançamentos!$B497)</f>
        <v/>
      </c>
      <c r="C502" s="402" t="str">
        <f>IF($B502="","",Lançamentos!$J497)</f>
        <v/>
      </c>
      <c r="D502" s="403" t="str">
        <f>IF($B502="","",Lançamentos!$H497)</f>
        <v/>
      </c>
      <c r="E502" s="403"/>
      <c r="F502" s="403"/>
      <c r="G502" s="403"/>
      <c r="H502" s="403"/>
      <c r="I502" s="403"/>
      <c r="J502" s="403"/>
      <c r="K502" s="403"/>
      <c r="L502" s="403"/>
      <c r="M502" s="141" t="str">
        <f t="shared" si="8"/>
        <v/>
      </c>
      <c r="N502" s="404"/>
      <c r="O502" s="405"/>
    </row>
    <row r="503" spans="2:15" x14ac:dyDescent="0.35">
      <c r="B503" s="401" t="str">
        <f>IF(Lançamentos!$B498="","",Lançamentos!$B498)</f>
        <v/>
      </c>
      <c r="C503" s="402" t="str">
        <f>IF($B503="","",Lançamentos!$J498)</f>
        <v/>
      </c>
      <c r="D503" s="403" t="str">
        <f>IF($B503="","",Lançamentos!$H498)</f>
        <v/>
      </c>
      <c r="E503" s="403"/>
      <c r="F503" s="403"/>
      <c r="G503" s="403"/>
      <c r="H503" s="403"/>
      <c r="I503" s="403"/>
      <c r="J503" s="403"/>
      <c r="K503" s="403"/>
      <c r="L503" s="403"/>
      <c r="M503" s="141" t="str">
        <f t="shared" si="8"/>
        <v/>
      </c>
      <c r="N503" s="404"/>
      <c r="O503" s="405"/>
    </row>
    <row r="504" spans="2:15" x14ac:dyDescent="0.35">
      <c r="B504" s="401" t="str">
        <f>IF(Lançamentos!$B499="","",Lançamentos!$B499)</f>
        <v/>
      </c>
      <c r="C504" s="402" t="str">
        <f>IF($B504="","",Lançamentos!$J499)</f>
        <v/>
      </c>
      <c r="D504" s="403" t="str">
        <f>IF($B504="","",Lançamentos!$H499)</f>
        <v/>
      </c>
      <c r="E504" s="403"/>
      <c r="F504" s="403"/>
      <c r="G504" s="403"/>
      <c r="H504" s="403"/>
      <c r="I504" s="403"/>
      <c r="J504" s="403"/>
      <c r="K504" s="403"/>
      <c r="L504" s="403"/>
      <c r="M504" s="141" t="str">
        <f t="shared" si="8"/>
        <v/>
      </c>
      <c r="N504" s="404"/>
      <c r="O504" s="405"/>
    </row>
    <row r="505" spans="2:15" x14ac:dyDescent="0.35">
      <c r="B505" s="401" t="str">
        <f>IF(Lançamentos!$B500="","",Lançamentos!$B500)</f>
        <v/>
      </c>
      <c r="C505" s="402" t="str">
        <f>IF($B505="","",Lançamentos!$J500)</f>
        <v/>
      </c>
      <c r="D505" s="403" t="str">
        <f>IF($B505="","",Lançamentos!$H500)</f>
        <v/>
      </c>
      <c r="E505" s="403"/>
      <c r="F505" s="403"/>
      <c r="G505" s="403"/>
      <c r="H505" s="403"/>
      <c r="I505" s="403"/>
      <c r="J505" s="403"/>
      <c r="K505" s="403"/>
      <c r="L505" s="403"/>
      <c r="M505" s="141" t="str">
        <f t="shared" si="8"/>
        <v/>
      </c>
      <c r="N505" s="404"/>
      <c r="O505" s="405"/>
    </row>
    <row r="506" spans="2:15" x14ac:dyDescent="0.35">
      <c r="B506" s="401" t="str">
        <f>IF(Lançamentos!$B501="","",Lançamentos!$B501)</f>
        <v/>
      </c>
      <c r="C506" s="402" t="str">
        <f>IF($B506="","",Lançamentos!$J501)</f>
        <v/>
      </c>
      <c r="D506" s="403" t="str">
        <f>IF($B506="","",Lançamentos!$H501)</f>
        <v/>
      </c>
      <c r="E506" s="403"/>
      <c r="F506" s="403"/>
      <c r="G506" s="403"/>
      <c r="H506" s="403"/>
      <c r="I506" s="403"/>
      <c r="J506" s="403"/>
      <c r="K506" s="403"/>
      <c r="L506" s="403"/>
      <c r="M506" s="141" t="str">
        <f t="shared" si="8"/>
        <v/>
      </c>
      <c r="N506" s="404"/>
      <c r="O506" s="405"/>
    </row>
    <row r="507" spans="2:15" x14ac:dyDescent="0.35">
      <c r="B507" s="406" t="str">
        <f>IF(Lançamentos!$B502="","",Lançamentos!$B502)</f>
        <v/>
      </c>
      <c r="C507" s="407" t="str">
        <f>IF($B507="","",Lançamentos!$J502)</f>
        <v/>
      </c>
      <c r="D507" s="408" t="str">
        <f>IF($B507="","",Lançamentos!$H502)</f>
        <v/>
      </c>
      <c r="E507" s="408"/>
      <c r="F507" s="408"/>
      <c r="G507" s="408"/>
      <c r="H507" s="408"/>
      <c r="I507" s="408"/>
      <c r="J507" s="408"/>
      <c r="K507" s="408"/>
      <c r="L507" s="408"/>
      <c r="M507" s="147" t="str">
        <f t="shared" si="8"/>
        <v/>
      </c>
      <c r="N507" s="409"/>
      <c r="O507" s="410"/>
    </row>
  </sheetData>
  <sheetProtection sort="0" autoFilter="0"/>
  <conditionalFormatting sqref="B8:O507">
    <cfRule type="expression" dxfId="221" priority="12">
      <formula>AND($B8&lt;&gt;"",$M8=1,COUNTIF($E8:$L8,"⛔ Bloqueado")=0)</formula>
    </cfRule>
    <cfRule type="expression" dxfId="220" priority="13">
      <formula>AND($B8&lt;&gt;"",COUNTIF($E8:$L8,"⛔ Bloqueado")&gt;0)</formula>
    </cfRule>
    <cfRule type="expression" dxfId="219" priority="14">
      <formula>AND($B8&lt;&gt;"",COUNTIF($E8:$L8,"🔄 Em andamento")&gt;0,COUNTIF($E8:$L8,"⛔ Bloqueado")=0)</formula>
    </cfRule>
    <cfRule type="expression" dxfId="218" priority="15">
      <formula>AND($B8&lt;&gt;"",COUNTIF($E8:$L8,"⏳ Pendente")&gt;0,COUNTIF($E8:$L8,"🔄 Em andamento")=0,COUNTIF($E8:$L8,"⛔ Bloqueado")=0)</formula>
    </cfRule>
    <cfRule type="expression" dxfId="217" priority="16">
      <formula>AND($B8&lt;&gt;"",COUNTIF($E8:$L8,"N/A")=8)</formula>
    </cfRule>
  </conditionalFormatting>
  <conditionalFormatting sqref="E8:L507">
    <cfRule type="expression" dxfId="216" priority="17">
      <formula>E8="⛔ Bloqueado"</formula>
    </cfRule>
    <cfRule type="expression" dxfId="215" priority="18">
      <formula>E8="✔ Concluído"</formula>
    </cfRule>
    <cfRule type="expression" dxfId="214" priority="19">
      <formula>E8="⏳ Pendente"</formula>
    </cfRule>
    <cfRule type="expression" dxfId="213" priority="20">
      <formula>E8="🔄 Em andamento"</formula>
    </cfRule>
    <cfRule type="expression" dxfId="212" priority="21">
      <formula>E8="N/A"</formula>
    </cfRule>
    <cfRule type="expression" dxfId="211" priority="22">
      <formula>AND(E8="N/A",$N8="",$O8="")</formula>
    </cfRule>
  </conditionalFormatting>
  <conditionalFormatting sqref="B208:O507">
    <cfRule type="expression" dxfId="210" priority="1">
      <formula>AND($B208&lt;&gt;"",$M208=1,COUNTIF($E208:$L208,"⛔ Bloqueado")=0)</formula>
    </cfRule>
    <cfRule type="expression" dxfId="209" priority="2">
      <formula>AND($B208&lt;&gt;"",COUNTIF($E208:$L208,"⛔ Bloqueado")&gt;0)</formula>
    </cfRule>
    <cfRule type="expression" dxfId="208" priority="3">
      <formula>AND($B208&lt;&gt;"",COUNTIF($E208:$L208,"🔄 Em andamento")&gt;0,COUNTIF($E208:$L208,"⛔ Bloqueado")=0)</formula>
    </cfRule>
    <cfRule type="expression" dxfId="207" priority="4">
      <formula>AND($B208&lt;&gt;"",COUNTIF($E208:$L208,"⏳ Pendente")&gt;0,COUNTIF($E208:$L208,"🔄 Em andamento")=0,COUNTIF($E208:$L208,"⛔ Bloqueado")=0)</formula>
    </cfRule>
    <cfRule type="expression" dxfId="206" priority="5">
      <formula>AND($B208&lt;&gt;"",COUNTIF($E208:$L208,"N/A")=8)</formula>
    </cfRule>
  </conditionalFormatting>
  <conditionalFormatting sqref="E208:L507">
    <cfRule type="expression" dxfId="205" priority="6">
      <formula>E208="⛔ Bloqueado"</formula>
    </cfRule>
    <cfRule type="expression" dxfId="204" priority="7">
      <formula>E208="✔ Concluído"</formula>
    </cfRule>
    <cfRule type="expression" dxfId="203" priority="8">
      <formula>E208="⏳ Pendente"</formula>
    </cfRule>
    <cfRule type="expression" dxfId="202" priority="9">
      <formula>E208="🔄 Em andamento"</formula>
    </cfRule>
    <cfRule type="expression" dxfId="201" priority="10">
      <formula>E208="N/A"</formula>
    </cfRule>
    <cfRule type="expression" dxfId="200" priority="11">
      <formula>AND(E208="N/A",$N208="",$O208="")</formula>
    </cfRule>
  </conditionalFormatting>
  <dataValidations count="2">
    <dataValidation type="list" allowBlank="1" errorTitle="Status inválido" error="Use somente os status padronizados da Etapa 02." sqref="E8:L507" xr:uid="{9257CA2B-8AE7-4788-8410-86B4A601F793}">
      <formula1>"⏳ Pendente,🔄 Em andamento,✔ Concluído,⛔ Bloqueado,N/A"</formula1>
    </dataValidation>
    <dataValidation type="list" allowBlank="1" errorTitle="Pilar não cadastrado" error="Selecione um Pilar oficial da aba Cadastros." sqref="D8:D507" xr:uid="{695069D5-F3A3-4549-83FC-5BFCE46CE7AE}">
      <formula1>Lista_Pilares_E2</formula1>
    </dataValidation>
  </dataValidations>
  <pageMargins left="0.75" right="0.75" top="1" bottom="1" header="0.511811023622047" footer="0.511811023622047"/>
  <pageSetup paperSize="9" orientation="portrait" horizontalDpi="300" verticalDpi="300"/>
  <legacy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P507"/>
  <sheetViews>
    <sheetView showGridLines="0" zoomScale="80" zoomScaleNormal="80" workbookViewId="0">
      <pane ySplit="7" topLeftCell="A8" activePane="bottomLeft" state="frozen"/>
      <selection sqref="A1:XFD1048576"/>
      <selection pane="bottomLeft" activeCell="B3" sqref="A3:XFD3"/>
    </sheetView>
  </sheetViews>
  <sheetFormatPr defaultColWidth="0" defaultRowHeight="13.5" x14ac:dyDescent="0.35"/>
  <cols>
    <col min="1" max="1" width="2.26953125" style="26" customWidth="1"/>
    <col min="2" max="2" width="15.453125" style="28" customWidth="1"/>
    <col min="3" max="3" width="41.81640625" style="28" customWidth="1"/>
    <col min="4" max="4" width="27.26953125" style="28" customWidth="1"/>
    <col min="5" max="5" width="30.81640625" style="28" customWidth="1"/>
    <col min="6" max="6" width="32.7265625" style="28" customWidth="1"/>
    <col min="7" max="7" width="26.453125" style="28" customWidth="1"/>
    <col min="8" max="8" width="28.1796875" style="28" customWidth="1"/>
    <col min="9" max="9" width="29.1796875" style="28" customWidth="1"/>
    <col min="10" max="10" width="26.453125" style="28" customWidth="1"/>
    <col min="11" max="11" width="33.54296875" style="28" customWidth="1"/>
    <col min="12" max="12" width="34.54296875" style="28" customWidth="1"/>
    <col min="13" max="13" width="14.54296875" style="28" customWidth="1"/>
    <col min="14" max="14" width="36.453125" style="28" customWidth="1"/>
    <col min="15" max="15" width="41.81640625" style="28" customWidth="1"/>
    <col min="16" max="16" width="2.26953125" style="26" customWidth="1"/>
    <col min="17" max="16384" width="8.54296875" style="26" hidden="1"/>
  </cols>
  <sheetData>
    <row r="2" spans="2:15" s="48" customFormat="1" ht="25.5" x14ac:dyDescent="0.45">
      <c r="B2" s="310" t="s">
        <v>480</v>
      </c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</row>
    <row r="3" spans="2:15" s="23" customFormat="1" ht="15.5" customHeight="1" x14ac:dyDescent="0.35">
      <c r="B3" s="121" t="s">
        <v>489</v>
      </c>
      <c r="C3" s="122"/>
      <c r="D3" s="122"/>
      <c r="E3" s="122"/>
      <c r="F3" s="122"/>
      <c r="G3" s="122"/>
      <c r="H3" s="122"/>
      <c r="I3" s="122"/>
      <c r="J3" s="122"/>
      <c r="K3" s="122"/>
      <c r="L3" s="122"/>
      <c r="M3" s="122"/>
      <c r="N3" s="122"/>
      <c r="O3" s="122"/>
    </row>
    <row r="4" spans="2:15" s="27" customFormat="1" ht="29.15" customHeight="1" x14ac:dyDescent="0.35">
      <c r="B4" s="31" t="s">
        <v>490</v>
      </c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</row>
    <row r="5" spans="2:15" ht="29.15" customHeight="1" x14ac:dyDescent="0.35">
      <c r="B5" s="33" t="s">
        <v>470</v>
      </c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</row>
    <row r="6" spans="2:15" x14ac:dyDescent="0.35">
      <c r="B6" s="35"/>
      <c r="C6" s="35"/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</row>
    <row r="7" spans="2:15" ht="37" customHeight="1" x14ac:dyDescent="0.35">
      <c r="B7" s="293" t="s">
        <v>8</v>
      </c>
      <c r="C7" s="294" t="s">
        <v>127</v>
      </c>
      <c r="D7" s="294" t="s">
        <v>14</v>
      </c>
      <c r="E7" s="294" t="s">
        <v>481</v>
      </c>
      <c r="F7" s="294" t="s">
        <v>482</v>
      </c>
      <c r="G7" s="294" t="s">
        <v>483</v>
      </c>
      <c r="H7" s="294" t="s">
        <v>484</v>
      </c>
      <c r="I7" s="294" t="s">
        <v>485</v>
      </c>
      <c r="J7" s="294" t="s">
        <v>486</v>
      </c>
      <c r="K7" s="294" t="s">
        <v>487</v>
      </c>
      <c r="L7" s="294" t="s">
        <v>488</v>
      </c>
      <c r="M7" s="294" t="s">
        <v>479</v>
      </c>
      <c r="N7" s="294" t="s">
        <v>109</v>
      </c>
      <c r="O7" s="295" t="s">
        <v>33</v>
      </c>
    </row>
    <row r="8" spans="2:15" x14ac:dyDescent="0.35">
      <c r="B8" s="138" t="str">
        <f>IF(Lançamentos!$B3="","",Lançamentos!$B3)</f>
        <v/>
      </c>
      <c r="C8" s="139" t="str">
        <f>IF($B8="","",IFERROR(INDEX(Lançamentos!$J$3:$J$1001,MATCH($B8,Lançamentos!$B$3:$B$1001,0)),""))</f>
        <v/>
      </c>
      <c r="D8" s="140"/>
      <c r="E8" s="140"/>
      <c r="F8" s="140"/>
      <c r="G8" s="140"/>
      <c r="H8" s="140"/>
      <c r="I8" s="140"/>
      <c r="J8" s="140"/>
      <c r="K8" s="140"/>
      <c r="L8" s="140"/>
      <c r="M8" s="141" t="str">
        <f>IF(B8="","",IF(COUNTIF(E8:L8,"N/A")=8,0,COUNTIF(E8:L8,"✔ Concluído")/(8-COUNTIF(E8:L8,"N/A"))))</f>
        <v/>
      </c>
      <c r="N8" s="142"/>
      <c r="O8" s="143"/>
    </row>
    <row r="9" spans="2:15" x14ac:dyDescent="0.35">
      <c r="B9" s="138" t="str">
        <f>IF(Lançamentos!$B4="","",Lançamentos!$B4)</f>
        <v/>
      </c>
      <c r="C9" s="139" t="str">
        <f>IF($B9="","",IFERROR(INDEX(Lançamentos!$J$3:$J$1001,MATCH($B9,Lançamentos!$B$3:$B$1001,0)),""))</f>
        <v/>
      </c>
      <c r="D9" s="140"/>
      <c r="E9" s="140"/>
      <c r="F9" s="140"/>
      <c r="G9" s="140"/>
      <c r="H9" s="140"/>
      <c r="I9" s="140"/>
      <c r="J9" s="140"/>
      <c r="K9" s="140"/>
      <c r="L9" s="140"/>
      <c r="M9" s="141" t="str">
        <f t="shared" ref="M9:M72" si="0">IF(B9="","",IF(COUNTIF(E9:L9,"N/A")=8,0,COUNTIF(E9:L9,"✔ Concluído")/(8-COUNTIF(E9:L9,"N/A"))))</f>
        <v/>
      </c>
      <c r="N9" s="142"/>
      <c r="O9" s="143"/>
    </row>
    <row r="10" spans="2:15" x14ac:dyDescent="0.35">
      <c r="B10" s="138" t="str">
        <f>IF(Lançamentos!$B5="","",Lançamentos!$B5)</f>
        <v/>
      </c>
      <c r="C10" s="139" t="str">
        <f>IF($B10="","",IFERROR(INDEX(Lançamentos!$J$3:$J$1001,MATCH($B10,Lançamentos!$B$3:$B$1001,0)),""))</f>
        <v/>
      </c>
      <c r="D10" s="140"/>
      <c r="E10" s="140"/>
      <c r="F10" s="140"/>
      <c r="G10" s="140"/>
      <c r="H10" s="140"/>
      <c r="I10" s="140"/>
      <c r="J10" s="140"/>
      <c r="K10" s="140"/>
      <c r="L10" s="140"/>
      <c r="M10" s="141" t="str">
        <f t="shared" si="0"/>
        <v/>
      </c>
      <c r="N10" s="142"/>
      <c r="O10" s="143"/>
    </row>
    <row r="11" spans="2:15" x14ac:dyDescent="0.35">
      <c r="B11" s="138" t="str">
        <f>IF(Lançamentos!$B6="","",Lançamentos!$B6)</f>
        <v/>
      </c>
      <c r="C11" s="139" t="str">
        <f>IF($B11="","",IFERROR(INDEX(Lançamentos!$J$3:$J$1001,MATCH($B11,Lançamentos!$B$3:$B$1001,0)),""))</f>
        <v/>
      </c>
      <c r="D11" s="140"/>
      <c r="E11" s="140"/>
      <c r="F11" s="140"/>
      <c r="G11" s="140"/>
      <c r="H11" s="140"/>
      <c r="I11" s="140"/>
      <c r="J11" s="140"/>
      <c r="K11" s="140"/>
      <c r="L11" s="140"/>
      <c r="M11" s="141" t="str">
        <f t="shared" si="0"/>
        <v/>
      </c>
      <c r="N11" s="142"/>
      <c r="O11" s="143"/>
    </row>
    <row r="12" spans="2:15" x14ac:dyDescent="0.35">
      <c r="B12" s="138" t="str">
        <f>IF(Lançamentos!$B7="","",Lançamentos!$B7)</f>
        <v/>
      </c>
      <c r="C12" s="139" t="str">
        <f>IF($B12="","",IFERROR(INDEX(Lançamentos!$J$3:$J$1001,MATCH($B12,Lançamentos!$B$3:$B$1001,0)),""))</f>
        <v/>
      </c>
      <c r="D12" s="140"/>
      <c r="E12" s="140"/>
      <c r="F12" s="140"/>
      <c r="G12" s="140"/>
      <c r="H12" s="140"/>
      <c r="I12" s="140"/>
      <c r="J12" s="140"/>
      <c r="K12" s="140"/>
      <c r="L12" s="140"/>
      <c r="M12" s="141" t="str">
        <f t="shared" si="0"/>
        <v/>
      </c>
      <c r="N12" s="142"/>
      <c r="O12" s="143"/>
    </row>
    <row r="13" spans="2:15" x14ac:dyDescent="0.35">
      <c r="B13" s="138" t="str">
        <f>IF(Lançamentos!$B8="","",Lançamentos!$B8)</f>
        <v/>
      </c>
      <c r="C13" s="139" t="str">
        <f>IF($B13="","",IFERROR(INDEX(Lançamentos!$J$3:$J$1001,MATCH($B13,Lançamentos!$B$3:$B$1001,0)),""))</f>
        <v/>
      </c>
      <c r="D13" s="140"/>
      <c r="E13" s="140"/>
      <c r="F13" s="140"/>
      <c r="G13" s="140"/>
      <c r="H13" s="140"/>
      <c r="I13" s="140"/>
      <c r="J13" s="140"/>
      <c r="K13" s="140"/>
      <c r="L13" s="140"/>
      <c r="M13" s="141" t="str">
        <f t="shared" si="0"/>
        <v/>
      </c>
      <c r="N13" s="142"/>
      <c r="O13" s="143"/>
    </row>
    <row r="14" spans="2:15" x14ac:dyDescent="0.35">
      <c r="B14" s="138" t="str">
        <f>IF(Lançamentos!$B9="","",Lançamentos!$B9)</f>
        <v/>
      </c>
      <c r="C14" s="139" t="str">
        <f>IF($B14="","",IFERROR(INDEX(Lançamentos!$J$3:$J$1001,MATCH($B14,Lançamentos!$B$3:$B$1001,0)),""))</f>
        <v/>
      </c>
      <c r="D14" s="140"/>
      <c r="E14" s="140"/>
      <c r="F14" s="140"/>
      <c r="G14" s="140"/>
      <c r="H14" s="140"/>
      <c r="I14" s="140"/>
      <c r="J14" s="140"/>
      <c r="K14" s="140"/>
      <c r="L14" s="140"/>
      <c r="M14" s="141" t="str">
        <f t="shared" si="0"/>
        <v/>
      </c>
      <c r="N14" s="142"/>
      <c r="O14" s="143"/>
    </row>
    <row r="15" spans="2:15" x14ac:dyDescent="0.35">
      <c r="B15" s="138" t="str">
        <f>IF(Lançamentos!$B10="","",Lançamentos!$B10)</f>
        <v/>
      </c>
      <c r="C15" s="139" t="str">
        <f>IF($B15="","",IFERROR(INDEX(Lançamentos!$J$3:$J$1001,MATCH($B15,Lançamentos!$B$3:$B$1001,0)),""))</f>
        <v/>
      </c>
      <c r="D15" s="140"/>
      <c r="E15" s="140"/>
      <c r="F15" s="140"/>
      <c r="G15" s="140"/>
      <c r="H15" s="140"/>
      <c r="I15" s="140"/>
      <c r="J15" s="140"/>
      <c r="K15" s="140"/>
      <c r="L15" s="140"/>
      <c r="M15" s="141" t="str">
        <f t="shared" si="0"/>
        <v/>
      </c>
      <c r="N15" s="142"/>
      <c r="O15" s="143"/>
    </row>
    <row r="16" spans="2:15" x14ac:dyDescent="0.35">
      <c r="B16" s="138" t="str">
        <f>IF(Lançamentos!$B11="","",Lançamentos!$B11)</f>
        <v/>
      </c>
      <c r="C16" s="139" t="str">
        <f>IF($B16="","",IFERROR(INDEX(Lançamentos!$J$3:$J$1001,MATCH($B16,Lançamentos!$B$3:$B$1001,0)),""))</f>
        <v/>
      </c>
      <c r="D16" s="140"/>
      <c r="E16" s="140"/>
      <c r="F16" s="140"/>
      <c r="G16" s="140"/>
      <c r="H16" s="140"/>
      <c r="I16" s="140"/>
      <c r="J16" s="140"/>
      <c r="K16" s="140"/>
      <c r="L16" s="140"/>
      <c r="M16" s="141" t="str">
        <f t="shared" si="0"/>
        <v/>
      </c>
      <c r="N16" s="142"/>
      <c r="O16" s="143"/>
    </row>
    <row r="17" spans="2:15" x14ac:dyDescent="0.35">
      <c r="B17" s="138" t="str">
        <f>IF(Lançamentos!$B12="","",Lançamentos!$B12)</f>
        <v/>
      </c>
      <c r="C17" s="139" t="str">
        <f>IF($B17="","",IFERROR(INDEX(Lançamentos!$J$3:$J$1001,MATCH($B17,Lançamentos!$B$3:$B$1001,0)),""))</f>
        <v/>
      </c>
      <c r="D17" s="140"/>
      <c r="E17" s="140"/>
      <c r="F17" s="140"/>
      <c r="G17" s="140"/>
      <c r="H17" s="140"/>
      <c r="I17" s="140"/>
      <c r="J17" s="140"/>
      <c r="K17" s="140"/>
      <c r="L17" s="140"/>
      <c r="M17" s="141" t="str">
        <f t="shared" si="0"/>
        <v/>
      </c>
      <c r="N17" s="142"/>
      <c r="O17" s="143"/>
    </row>
    <row r="18" spans="2:15" x14ac:dyDescent="0.35">
      <c r="B18" s="138" t="str">
        <f>IF(Lançamentos!$B13="","",Lançamentos!$B13)</f>
        <v/>
      </c>
      <c r="C18" s="139" t="str">
        <f>IF($B18="","",IFERROR(INDEX(Lançamentos!$J$3:$J$1001,MATCH($B18,Lançamentos!$B$3:$B$1001,0)),""))</f>
        <v/>
      </c>
      <c r="D18" s="140"/>
      <c r="E18" s="140"/>
      <c r="F18" s="140"/>
      <c r="G18" s="140"/>
      <c r="H18" s="140"/>
      <c r="I18" s="140"/>
      <c r="J18" s="140"/>
      <c r="K18" s="140"/>
      <c r="L18" s="140"/>
      <c r="M18" s="141" t="str">
        <f t="shared" si="0"/>
        <v/>
      </c>
      <c r="N18" s="142"/>
      <c r="O18" s="143"/>
    </row>
    <row r="19" spans="2:15" x14ac:dyDescent="0.35">
      <c r="B19" s="138" t="str">
        <f>IF(Lançamentos!$B14="","",Lançamentos!$B14)</f>
        <v/>
      </c>
      <c r="C19" s="139" t="str">
        <f>IF($B19="","",IFERROR(INDEX(Lançamentos!$J$3:$J$1001,MATCH($B19,Lançamentos!$B$3:$B$1001,0)),""))</f>
        <v/>
      </c>
      <c r="D19" s="140"/>
      <c r="E19" s="140"/>
      <c r="F19" s="140"/>
      <c r="G19" s="140"/>
      <c r="H19" s="140"/>
      <c r="I19" s="140"/>
      <c r="J19" s="140"/>
      <c r="K19" s="140"/>
      <c r="L19" s="140"/>
      <c r="M19" s="141" t="str">
        <f t="shared" si="0"/>
        <v/>
      </c>
      <c r="N19" s="142"/>
      <c r="O19" s="143"/>
    </row>
    <row r="20" spans="2:15" x14ac:dyDescent="0.35">
      <c r="B20" s="138" t="str">
        <f>IF(Lançamentos!$B15="","",Lançamentos!$B15)</f>
        <v/>
      </c>
      <c r="C20" s="139" t="str">
        <f>IF($B20="","",IFERROR(INDEX(Lançamentos!$J$3:$J$1001,MATCH($B20,Lançamentos!$B$3:$B$1001,0)),""))</f>
        <v/>
      </c>
      <c r="D20" s="140"/>
      <c r="E20" s="140"/>
      <c r="F20" s="140"/>
      <c r="G20" s="140"/>
      <c r="H20" s="140"/>
      <c r="I20" s="140"/>
      <c r="J20" s="140"/>
      <c r="K20" s="140"/>
      <c r="L20" s="140"/>
      <c r="M20" s="141" t="str">
        <f t="shared" si="0"/>
        <v/>
      </c>
      <c r="N20" s="142"/>
      <c r="O20" s="143"/>
    </row>
    <row r="21" spans="2:15" x14ac:dyDescent="0.35">
      <c r="B21" s="138" t="str">
        <f>IF(Lançamentos!$B16="","",Lançamentos!$B16)</f>
        <v/>
      </c>
      <c r="C21" s="139" t="str">
        <f>IF($B21="","",IFERROR(INDEX(Lançamentos!$J$3:$J$1001,MATCH($B21,Lançamentos!$B$3:$B$1001,0)),""))</f>
        <v/>
      </c>
      <c r="D21" s="140"/>
      <c r="E21" s="140"/>
      <c r="F21" s="140"/>
      <c r="G21" s="140"/>
      <c r="H21" s="140"/>
      <c r="I21" s="140"/>
      <c r="J21" s="140"/>
      <c r="K21" s="140"/>
      <c r="L21" s="140"/>
      <c r="M21" s="141" t="str">
        <f t="shared" si="0"/>
        <v/>
      </c>
      <c r="N21" s="142"/>
      <c r="O21" s="143"/>
    </row>
    <row r="22" spans="2:15" x14ac:dyDescent="0.35">
      <c r="B22" s="138" t="str">
        <f>IF(Lançamentos!$B17="","",Lançamentos!$B17)</f>
        <v/>
      </c>
      <c r="C22" s="139" t="str">
        <f>IF($B22="","",IFERROR(INDEX(Lançamentos!$J$3:$J$1001,MATCH($B22,Lançamentos!$B$3:$B$1001,0)),""))</f>
        <v/>
      </c>
      <c r="D22" s="140"/>
      <c r="E22" s="140"/>
      <c r="F22" s="140"/>
      <c r="G22" s="140"/>
      <c r="H22" s="140"/>
      <c r="I22" s="140"/>
      <c r="J22" s="140"/>
      <c r="K22" s="140"/>
      <c r="L22" s="140"/>
      <c r="M22" s="141" t="str">
        <f t="shared" si="0"/>
        <v/>
      </c>
      <c r="N22" s="142"/>
      <c r="O22" s="143"/>
    </row>
    <row r="23" spans="2:15" x14ac:dyDescent="0.35">
      <c r="B23" s="138" t="str">
        <f>IF(Lançamentos!$B18="","",Lançamentos!$B18)</f>
        <v/>
      </c>
      <c r="C23" s="139" t="str">
        <f>IF($B23="","",IFERROR(INDEX(Lançamentos!$J$3:$J$1001,MATCH($B23,Lançamentos!$B$3:$B$1001,0)),""))</f>
        <v/>
      </c>
      <c r="D23" s="140"/>
      <c r="E23" s="140"/>
      <c r="F23" s="140"/>
      <c r="G23" s="140"/>
      <c r="H23" s="140"/>
      <c r="I23" s="140"/>
      <c r="J23" s="140"/>
      <c r="K23" s="140"/>
      <c r="L23" s="140"/>
      <c r="M23" s="141" t="str">
        <f t="shared" si="0"/>
        <v/>
      </c>
      <c r="N23" s="142"/>
      <c r="O23" s="143"/>
    </row>
    <row r="24" spans="2:15" x14ac:dyDescent="0.35">
      <c r="B24" s="138" t="str">
        <f>IF(Lançamentos!$B19="","",Lançamentos!$B19)</f>
        <v/>
      </c>
      <c r="C24" s="139" t="str">
        <f>IF($B24="","",IFERROR(INDEX(Lançamentos!$J$3:$J$1001,MATCH($B24,Lançamentos!$B$3:$B$1001,0)),""))</f>
        <v/>
      </c>
      <c r="D24" s="140"/>
      <c r="E24" s="140"/>
      <c r="F24" s="140"/>
      <c r="G24" s="140"/>
      <c r="H24" s="140"/>
      <c r="I24" s="140"/>
      <c r="J24" s="140"/>
      <c r="K24" s="140"/>
      <c r="L24" s="140"/>
      <c r="M24" s="141" t="str">
        <f t="shared" si="0"/>
        <v/>
      </c>
      <c r="N24" s="142"/>
      <c r="O24" s="143"/>
    </row>
    <row r="25" spans="2:15" x14ac:dyDescent="0.35">
      <c r="B25" s="138" t="str">
        <f>IF(Lançamentos!$B20="","",Lançamentos!$B20)</f>
        <v/>
      </c>
      <c r="C25" s="139" t="str">
        <f>IF($B25="","",IFERROR(INDEX(Lançamentos!$J$3:$J$1001,MATCH($B25,Lançamentos!$B$3:$B$1001,0)),""))</f>
        <v/>
      </c>
      <c r="D25" s="140"/>
      <c r="E25" s="140"/>
      <c r="F25" s="140"/>
      <c r="G25" s="140"/>
      <c r="H25" s="140"/>
      <c r="I25" s="140"/>
      <c r="J25" s="140"/>
      <c r="K25" s="140"/>
      <c r="L25" s="140"/>
      <c r="M25" s="141" t="str">
        <f t="shared" si="0"/>
        <v/>
      </c>
      <c r="N25" s="142"/>
      <c r="O25" s="143"/>
    </row>
    <row r="26" spans="2:15" x14ac:dyDescent="0.35">
      <c r="B26" s="138" t="str">
        <f>IF(Lançamentos!$B21="","",Lançamentos!$B21)</f>
        <v/>
      </c>
      <c r="C26" s="139" t="str">
        <f>IF($B26="","",IFERROR(INDEX(Lançamentos!$J$3:$J$1001,MATCH($B26,Lançamentos!$B$3:$B$1001,0)),""))</f>
        <v/>
      </c>
      <c r="D26" s="140"/>
      <c r="E26" s="140"/>
      <c r="F26" s="140"/>
      <c r="G26" s="140"/>
      <c r="H26" s="140"/>
      <c r="I26" s="140"/>
      <c r="J26" s="140"/>
      <c r="K26" s="140"/>
      <c r="L26" s="140"/>
      <c r="M26" s="141" t="str">
        <f t="shared" si="0"/>
        <v/>
      </c>
      <c r="N26" s="142"/>
      <c r="O26" s="143"/>
    </row>
    <row r="27" spans="2:15" x14ac:dyDescent="0.35">
      <c r="B27" s="138" t="str">
        <f>IF(Lançamentos!$B22="","",Lançamentos!$B22)</f>
        <v/>
      </c>
      <c r="C27" s="139" t="str">
        <f>IF($B27="","",IFERROR(INDEX(Lançamentos!$J$3:$J$1001,MATCH($B27,Lançamentos!$B$3:$B$1001,0)),""))</f>
        <v/>
      </c>
      <c r="D27" s="140"/>
      <c r="E27" s="140"/>
      <c r="F27" s="140"/>
      <c r="G27" s="140"/>
      <c r="H27" s="140"/>
      <c r="I27" s="140"/>
      <c r="J27" s="140"/>
      <c r="K27" s="140"/>
      <c r="L27" s="140"/>
      <c r="M27" s="141" t="str">
        <f t="shared" si="0"/>
        <v/>
      </c>
      <c r="N27" s="142"/>
      <c r="O27" s="143"/>
    </row>
    <row r="28" spans="2:15" x14ac:dyDescent="0.35">
      <c r="B28" s="138" t="str">
        <f>IF(Lançamentos!$B23="","",Lançamentos!$B23)</f>
        <v/>
      </c>
      <c r="C28" s="139" t="str">
        <f>IF($B28="","",IFERROR(INDEX(Lançamentos!$J$3:$J$1001,MATCH($B28,Lançamentos!$B$3:$B$1001,0)),""))</f>
        <v/>
      </c>
      <c r="D28" s="140"/>
      <c r="E28" s="140"/>
      <c r="F28" s="140"/>
      <c r="G28" s="140"/>
      <c r="H28" s="140"/>
      <c r="I28" s="140"/>
      <c r="J28" s="140"/>
      <c r="K28" s="140"/>
      <c r="L28" s="140"/>
      <c r="M28" s="141" t="str">
        <f t="shared" si="0"/>
        <v/>
      </c>
      <c r="N28" s="142"/>
      <c r="O28" s="143"/>
    </row>
    <row r="29" spans="2:15" x14ac:dyDescent="0.35">
      <c r="B29" s="138" t="str">
        <f>IF(Lançamentos!$B24="","",Lançamentos!$B24)</f>
        <v/>
      </c>
      <c r="C29" s="139" t="str">
        <f>IF($B29="","",IFERROR(INDEX(Lançamentos!$J$3:$J$1001,MATCH($B29,Lançamentos!$B$3:$B$1001,0)),""))</f>
        <v/>
      </c>
      <c r="D29" s="140"/>
      <c r="E29" s="140"/>
      <c r="F29" s="140"/>
      <c r="G29" s="140"/>
      <c r="H29" s="140"/>
      <c r="I29" s="140"/>
      <c r="J29" s="140"/>
      <c r="K29" s="140"/>
      <c r="L29" s="140"/>
      <c r="M29" s="141" t="str">
        <f t="shared" si="0"/>
        <v/>
      </c>
      <c r="N29" s="142"/>
      <c r="O29" s="143"/>
    </row>
    <row r="30" spans="2:15" x14ac:dyDescent="0.35">
      <c r="B30" s="138" t="str">
        <f>IF(Lançamentos!$B25="","",Lançamentos!$B25)</f>
        <v/>
      </c>
      <c r="C30" s="139" t="str">
        <f>IF($B30="","",IFERROR(INDEX(Lançamentos!$J$3:$J$1001,MATCH($B30,Lançamentos!$B$3:$B$1001,0)),""))</f>
        <v/>
      </c>
      <c r="D30" s="140"/>
      <c r="E30" s="140"/>
      <c r="F30" s="140"/>
      <c r="G30" s="140"/>
      <c r="H30" s="140"/>
      <c r="I30" s="140"/>
      <c r="J30" s="140"/>
      <c r="K30" s="140"/>
      <c r="L30" s="140"/>
      <c r="M30" s="141" t="str">
        <f t="shared" si="0"/>
        <v/>
      </c>
      <c r="N30" s="142"/>
      <c r="O30" s="143"/>
    </row>
    <row r="31" spans="2:15" x14ac:dyDescent="0.35">
      <c r="B31" s="138" t="str">
        <f>IF(Lançamentos!$B26="","",Lançamentos!$B26)</f>
        <v/>
      </c>
      <c r="C31" s="139" t="str">
        <f>IF($B31="","",IFERROR(INDEX(Lançamentos!$J$3:$J$1001,MATCH($B31,Lançamentos!$B$3:$B$1001,0)),""))</f>
        <v/>
      </c>
      <c r="D31" s="140"/>
      <c r="E31" s="140"/>
      <c r="F31" s="140"/>
      <c r="G31" s="140"/>
      <c r="H31" s="140"/>
      <c r="I31" s="140"/>
      <c r="J31" s="140"/>
      <c r="K31" s="140"/>
      <c r="L31" s="140"/>
      <c r="M31" s="141" t="str">
        <f t="shared" si="0"/>
        <v/>
      </c>
      <c r="N31" s="142"/>
      <c r="O31" s="143"/>
    </row>
    <row r="32" spans="2:15" x14ac:dyDescent="0.35">
      <c r="B32" s="138" t="str">
        <f>IF(Lançamentos!$B27="","",Lançamentos!$B27)</f>
        <v/>
      </c>
      <c r="C32" s="139" t="str">
        <f>IF($B32="","",IFERROR(INDEX(Lançamentos!$J$3:$J$1001,MATCH($B32,Lançamentos!$B$3:$B$1001,0)),""))</f>
        <v/>
      </c>
      <c r="D32" s="140"/>
      <c r="E32" s="140"/>
      <c r="F32" s="140"/>
      <c r="G32" s="140"/>
      <c r="H32" s="140"/>
      <c r="I32" s="140"/>
      <c r="J32" s="140"/>
      <c r="K32" s="140"/>
      <c r="L32" s="140"/>
      <c r="M32" s="141" t="str">
        <f t="shared" si="0"/>
        <v/>
      </c>
      <c r="N32" s="142"/>
      <c r="O32" s="143"/>
    </row>
    <row r="33" spans="2:15" x14ac:dyDescent="0.35">
      <c r="B33" s="138" t="str">
        <f>IF(Lançamentos!$B28="","",Lançamentos!$B28)</f>
        <v/>
      </c>
      <c r="C33" s="139" t="str">
        <f>IF($B33="","",IFERROR(INDEX(Lançamentos!$J$3:$J$1001,MATCH($B33,Lançamentos!$B$3:$B$1001,0)),""))</f>
        <v/>
      </c>
      <c r="D33" s="140"/>
      <c r="E33" s="140"/>
      <c r="F33" s="140"/>
      <c r="G33" s="140"/>
      <c r="H33" s="140"/>
      <c r="I33" s="140"/>
      <c r="J33" s="140"/>
      <c r="K33" s="140"/>
      <c r="L33" s="140"/>
      <c r="M33" s="141" t="str">
        <f t="shared" si="0"/>
        <v/>
      </c>
      <c r="N33" s="142"/>
      <c r="O33" s="143"/>
    </row>
    <row r="34" spans="2:15" x14ac:dyDescent="0.35">
      <c r="B34" s="138" t="str">
        <f>IF(Lançamentos!$B29="","",Lançamentos!$B29)</f>
        <v/>
      </c>
      <c r="C34" s="139" t="str">
        <f>IF($B34="","",IFERROR(INDEX(Lançamentos!$J$3:$J$1001,MATCH($B34,Lançamentos!$B$3:$B$1001,0)),""))</f>
        <v/>
      </c>
      <c r="D34" s="140"/>
      <c r="E34" s="140"/>
      <c r="F34" s="140"/>
      <c r="G34" s="140"/>
      <c r="H34" s="140"/>
      <c r="I34" s="140"/>
      <c r="J34" s="140"/>
      <c r="K34" s="140"/>
      <c r="L34" s="140"/>
      <c r="M34" s="141" t="str">
        <f t="shared" si="0"/>
        <v/>
      </c>
      <c r="N34" s="142"/>
      <c r="O34" s="143"/>
    </row>
    <row r="35" spans="2:15" x14ac:dyDescent="0.35">
      <c r="B35" s="138" t="str">
        <f>IF(Lançamentos!$B30="","",Lançamentos!$B30)</f>
        <v/>
      </c>
      <c r="C35" s="139" t="str">
        <f>IF($B35="","",IFERROR(INDEX(Lançamentos!$J$3:$J$1001,MATCH($B35,Lançamentos!$B$3:$B$1001,0)),""))</f>
        <v/>
      </c>
      <c r="D35" s="140"/>
      <c r="E35" s="140"/>
      <c r="F35" s="140"/>
      <c r="G35" s="140"/>
      <c r="H35" s="140"/>
      <c r="I35" s="140"/>
      <c r="J35" s="140"/>
      <c r="K35" s="140"/>
      <c r="L35" s="140"/>
      <c r="M35" s="141" t="str">
        <f t="shared" si="0"/>
        <v/>
      </c>
      <c r="N35" s="142"/>
      <c r="O35" s="143"/>
    </row>
    <row r="36" spans="2:15" x14ac:dyDescent="0.35">
      <c r="B36" s="138" t="str">
        <f>IF(Lançamentos!$B31="","",Lançamentos!$B31)</f>
        <v/>
      </c>
      <c r="C36" s="139" t="str">
        <f>IF($B36="","",IFERROR(INDEX(Lançamentos!$J$3:$J$1001,MATCH($B36,Lançamentos!$B$3:$B$1001,0)),""))</f>
        <v/>
      </c>
      <c r="D36" s="140"/>
      <c r="E36" s="140"/>
      <c r="F36" s="140"/>
      <c r="G36" s="140"/>
      <c r="H36" s="140"/>
      <c r="I36" s="140"/>
      <c r="J36" s="140"/>
      <c r="K36" s="140"/>
      <c r="L36" s="140"/>
      <c r="M36" s="141" t="str">
        <f t="shared" si="0"/>
        <v/>
      </c>
      <c r="N36" s="142"/>
      <c r="O36" s="143"/>
    </row>
    <row r="37" spans="2:15" x14ac:dyDescent="0.35">
      <c r="B37" s="138" t="str">
        <f>IF(Lançamentos!$B32="","",Lançamentos!$B32)</f>
        <v/>
      </c>
      <c r="C37" s="139" t="str">
        <f>IF($B37="","",IFERROR(INDEX(Lançamentos!$J$3:$J$1001,MATCH($B37,Lançamentos!$B$3:$B$1001,0)),""))</f>
        <v/>
      </c>
      <c r="D37" s="140"/>
      <c r="E37" s="140"/>
      <c r="F37" s="140"/>
      <c r="G37" s="140"/>
      <c r="H37" s="140"/>
      <c r="I37" s="140"/>
      <c r="J37" s="140"/>
      <c r="K37" s="140"/>
      <c r="L37" s="140"/>
      <c r="M37" s="141" t="str">
        <f t="shared" si="0"/>
        <v/>
      </c>
      <c r="N37" s="142"/>
      <c r="O37" s="143"/>
    </row>
    <row r="38" spans="2:15" x14ac:dyDescent="0.35">
      <c r="B38" s="138" t="str">
        <f>IF(Lançamentos!$B33="","",Lançamentos!$B33)</f>
        <v/>
      </c>
      <c r="C38" s="139" t="str">
        <f>IF($B38="","",IFERROR(INDEX(Lançamentos!$J$3:$J$1001,MATCH($B38,Lançamentos!$B$3:$B$1001,0)),""))</f>
        <v/>
      </c>
      <c r="D38" s="140"/>
      <c r="E38" s="140"/>
      <c r="F38" s="140"/>
      <c r="G38" s="140"/>
      <c r="H38" s="140"/>
      <c r="I38" s="140"/>
      <c r="J38" s="140"/>
      <c r="K38" s="140"/>
      <c r="L38" s="140"/>
      <c r="M38" s="141" t="str">
        <f t="shared" si="0"/>
        <v/>
      </c>
      <c r="N38" s="142"/>
      <c r="O38" s="143"/>
    </row>
    <row r="39" spans="2:15" x14ac:dyDescent="0.35">
      <c r="B39" s="138" t="str">
        <f>IF(Lançamentos!$B34="","",Lançamentos!$B34)</f>
        <v/>
      </c>
      <c r="C39" s="139" t="str">
        <f>IF($B39="","",IFERROR(INDEX(Lançamentos!$J$3:$J$1001,MATCH($B39,Lançamentos!$B$3:$B$1001,0)),""))</f>
        <v/>
      </c>
      <c r="D39" s="140"/>
      <c r="E39" s="140"/>
      <c r="F39" s="140"/>
      <c r="G39" s="140"/>
      <c r="H39" s="140"/>
      <c r="I39" s="140"/>
      <c r="J39" s="140"/>
      <c r="K39" s="140"/>
      <c r="L39" s="140"/>
      <c r="M39" s="141" t="str">
        <f t="shared" si="0"/>
        <v/>
      </c>
      <c r="N39" s="142"/>
      <c r="O39" s="143"/>
    </row>
    <row r="40" spans="2:15" x14ac:dyDescent="0.35">
      <c r="B40" s="138" t="str">
        <f>IF(Lançamentos!$B35="","",Lançamentos!$B35)</f>
        <v/>
      </c>
      <c r="C40" s="139" t="str">
        <f>IF($B40="","",IFERROR(INDEX(Lançamentos!$J$3:$J$1001,MATCH($B40,Lançamentos!$B$3:$B$1001,0)),""))</f>
        <v/>
      </c>
      <c r="D40" s="140"/>
      <c r="E40" s="140"/>
      <c r="F40" s="140"/>
      <c r="G40" s="140"/>
      <c r="H40" s="140"/>
      <c r="I40" s="140"/>
      <c r="J40" s="140"/>
      <c r="K40" s="140"/>
      <c r="L40" s="140"/>
      <c r="M40" s="141" t="str">
        <f t="shared" si="0"/>
        <v/>
      </c>
      <c r="N40" s="142"/>
      <c r="O40" s="143"/>
    </row>
    <row r="41" spans="2:15" x14ac:dyDescent="0.35">
      <c r="B41" s="138" t="str">
        <f>IF(Lançamentos!$B36="","",Lançamentos!$B36)</f>
        <v/>
      </c>
      <c r="C41" s="139" t="str">
        <f>IF($B41="","",IFERROR(INDEX(Lançamentos!$J$3:$J$1001,MATCH($B41,Lançamentos!$B$3:$B$1001,0)),""))</f>
        <v/>
      </c>
      <c r="D41" s="140"/>
      <c r="E41" s="140"/>
      <c r="F41" s="140"/>
      <c r="G41" s="140"/>
      <c r="H41" s="140"/>
      <c r="I41" s="140"/>
      <c r="J41" s="140"/>
      <c r="K41" s="140"/>
      <c r="L41" s="140"/>
      <c r="M41" s="141" t="str">
        <f t="shared" si="0"/>
        <v/>
      </c>
      <c r="N41" s="142"/>
      <c r="O41" s="143"/>
    </row>
    <row r="42" spans="2:15" x14ac:dyDescent="0.35">
      <c r="B42" s="138" t="str">
        <f>IF(Lançamentos!$B37="","",Lançamentos!$B37)</f>
        <v/>
      </c>
      <c r="C42" s="139" t="str">
        <f>IF($B42="","",IFERROR(INDEX(Lançamentos!$J$3:$J$1001,MATCH($B42,Lançamentos!$B$3:$B$1001,0)),""))</f>
        <v/>
      </c>
      <c r="D42" s="140"/>
      <c r="E42" s="140"/>
      <c r="F42" s="140"/>
      <c r="G42" s="140"/>
      <c r="H42" s="140"/>
      <c r="I42" s="140"/>
      <c r="J42" s="140"/>
      <c r="K42" s="140"/>
      <c r="L42" s="140"/>
      <c r="M42" s="141" t="str">
        <f t="shared" si="0"/>
        <v/>
      </c>
      <c r="N42" s="142"/>
      <c r="O42" s="143"/>
    </row>
    <row r="43" spans="2:15" x14ac:dyDescent="0.35">
      <c r="B43" s="138" t="str">
        <f>IF(Lançamentos!$B38="","",Lançamentos!$B38)</f>
        <v/>
      </c>
      <c r="C43" s="139" t="str">
        <f>IF($B43="","",IFERROR(INDEX(Lançamentos!$J$3:$J$1001,MATCH($B43,Lançamentos!$B$3:$B$1001,0)),""))</f>
        <v/>
      </c>
      <c r="D43" s="140"/>
      <c r="E43" s="140"/>
      <c r="F43" s="140"/>
      <c r="G43" s="140"/>
      <c r="H43" s="140"/>
      <c r="I43" s="140"/>
      <c r="J43" s="140"/>
      <c r="K43" s="140"/>
      <c r="L43" s="140"/>
      <c r="M43" s="141" t="str">
        <f t="shared" si="0"/>
        <v/>
      </c>
      <c r="N43" s="142"/>
      <c r="O43" s="143"/>
    </row>
    <row r="44" spans="2:15" x14ac:dyDescent="0.35">
      <c r="B44" s="138" t="str">
        <f>IF(Lançamentos!$B39="","",Lançamentos!$B39)</f>
        <v/>
      </c>
      <c r="C44" s="139" t="str">
        <f>IF($B44="","",IFERROR(INDEX(Lançamentos!$J$3:$J$1001,MATCH($B44,Lançamentos!$B$3:$B$1001,0)),""))</f>
        <v/>
      </c>
      <c r="D44" s="140"/>
      <c r="E44" s="140"/>
      <c r="F44" s="140"/>
      <c r="G44" s="140"/>
      <c r="H44" s="140"/>
      <c r="I44" s="140"/>
      <c r="J44" s="140"/>
      <c r="K44" s="140"/>
      <c r="L44" s="140"/>
      <c r="M44" s="141" t="str">
        <f t="shared" si="0"/>
        <v/>
      </c>
      <c r="N44" s="142"/>
      <c r="O44" s="143"/>
    </row>
    <row r="45" spans="2:15" x14ac:dyDescent="0.35">
      <c r="B45" s="138" t="str">
        <f>IF(Lançamentos!$B40="","",Lançamentos!$B40)</f>
        <v/>
      </c>
      <c r="C45" s="139" t="str">
        <f>IF($B45="","",IFERROR(INDEX(Lançamentos!$J$3:$J$1001,MATCH($B45,Lançamentos!$B$3:$B$1001,0)),""))</f>
        <v/>
      </c>
      <c r="D45" s="140"/>
      <c r="E45" s="140"/>
      <c r="F45" s="140"/>
      <c r="G45" s="140"/>
      <c r="H45" s="140"/>
      <c r="I45" s="140"/>
      <c r="J45" s="140"/>
      <c r="K45" s="140"/>
      <c r="L45" s="140"/>
      <c r="M45" s="141" t="str">
        <f t="shared" si="0"/>
        <v/>
      </c>
      <c r="N45" s="142"/>
      <c r="O45" s="143"/>
    </row>
    <row r="46" spans="2:15" x14ac:dyDescent="0.35">
      <c r="B46" s="138" t="str">
        <f>IF(Lançamentos!$B41="","",Lançamentos!$B41)</f>
        <v/>
      </c>
      <c r="C46" s="139" t="str">
        <f>IF($B46="","",IFERROR(INDEX(Lançamentos!$J$3:$J$1001,MATCH($B46,Lançamentos!$B$3:$B$1001,0)),""))</f>
        <v/>
      </c>
      <c r="D46" s="140"/>
      <c r="E46" s="140"/>
      <c r="F46" s="140"/>
      <c r="G46" s="140"/>
      <c r="H46" s="140"/>
      <c r="I46" s="140"/>
      <c r="J46" s="140"/>
      <c r="K46" s="140"/>
      <c r="L46" s="140"/>
      <c r="M46" s="141" t="str">
        <f t="shared" si="0"/>
        <v/>
      </c>
      <c r="N46" s="142"/>
      <c r="O46" s="143"/>
    </row>
    <row r="47" spans="2:15" x14ac:dyDescent="0.35">
      <c r="B47" s="138" t="str">
        <f>IF(Lançamentos!$B42="","",Lançamentos!$B42)</f>
        <v/>
      </c>
      <c r="C47" s="139" t="str">
        <f>IF($B47="","",IFERROR(INDEX(Lançamentos!$J$3:$J$1001,MATCH($B47,Lançamentos!$B$3:$B$1001,0)),""))</f>
        <v/>
      </c>
      <c r="D47" s="140"/>
      <c r="E47" s="140"/>
      <c r="F47" s="140"/>
      <c r="G47" s="140"/>
      <c r="H47" s="140"/>
      <c r="I47" s="140"/>
      <c r="J47" s="140"/>
      <c r="K47" s="140"/>
      <c r="L47" s="140"/>
      <c r="M47" s="141" t="str">
        <f t="shared" si="0"/>
        <v/>
      </c>
      <c r="N47" s="142"/>
      <c r="O47" s="143"/>
    </row>
    <row r="48" spans="2:15" x14ac:dyDescent="0.35">
      <c r="B48" s="138" t="str">
        <f>IF(Lançamentos!$B43="","",Lançamentos!$B43)</f>
        <v/>
      </c>
      <c r="C48" s="139" t="str">
        <f>IF($B48="","",IFERROR(INDEX(Lançamentos!$J$3:$J$1001,MATCH($B48,Lançamentos!$B$3:$B$1001,0)),""))</f>
        <v/>
      </c>
      <c r="D48" s="140"/>
      <c r="E48" s="140"/>
      <c r="F48" s="140"/>
      <c r="G48" s="140"/>
      <c r="H48" s="140"/>
      <c r="I48" s="140"/>
      <c r="J48" s="140"/>
      <c r="K48" s="140"/>
      <c r="L48" s="140"/>
      <c r="M48" s="141" t="str">
        <f t="shared" si="0"/>
        <v/>
      </c>
      <c r="N48" s="142"/>
      <c r="O48" s="143"/>
    </row>
    <row r="49" spans="2:15" x14ac:dyDescent="0.35">
      <c r="B49" s="138" t="str">
        <f>IF(Lançamentos!$B44="","",Lançamentos!$B44)</f>
        <v/>
      </c>
      <c r="C49" s="139" t="str">
        <f>IF($B49="","",IFERROR(INDEX(Lançamentos!$J$3:$J$1001,MATCH($B49,Lançamentos!$B$3:$B$1001,0)),""))</f>
        <v/>
      </c>
      <c r="D49" s="140"/>
      <c r="E49" s="140"/>
      <c r="F49" s="140"/>
      <c r="G49" s="140"/>
      <c r="H49" s="140"/>
      <c r="I49" s="140"/>
      <c r="J49" s="140"/>
      <c r="K49" s="140"/>
      <c r="L49" s="140"/>
      <c r="M49" s="141" t="str">
        <f t="shared" si="0"/>
        <v/>
      </c>
      <c r="N49" s="142"/>
      <c r="O49" s="143"/>
    </row>
    <row r="50" spans="2:15" x14ac:dyDescent="0.35">
      <c r="B50" s="138" t="str">
        <f>IF(Lançamentos!$B45="","",Lançamentos!$B45)</f>
        <v/>
      </c>
      <c r="C50" s="139" t="str">
        <f>IF($B50="","",IFERROR(INDEX(Lançamentos!$J$3:$J$1001,MATCH($B50,Lançamentos!$B$3:$B$1001,0)),""))</f>
        <v/>
      </c>
      <c r="D50" s="140"/>
      <c r="E50" s="140"/>
      <c r="F50" s="140"/>
      <c r="G50" s="140"/>
      <c r="H50" s="140"/>
      <c r="I50" s="140"/>
      <c r="J50" s="140"/>
      <c r="K50" s="140"/>
      <c r="L50" s="140"/>
      <c r="M50" s="141" t="str">
        <f t="shared" si="0"/>
        <v/>
      </c>
      <c r="N50" s="142"/>
      <c r="O50" s="143"/>
    </row>
    <row r="51" spans="2:15" x14ac:dyDescent="0.35">
      <c r="B51" s="138" t="str">
        <f>IF(Lançamentos!$B46="","",Lançamentos!$B46)</f>
        <v/>
      </c>
      <c r="C51" s="139" t="str">
        <f>IF($B51="","",IFERROR(INDEX(Lançamentos!$J$3:$J$1001,MATCH($B51,Lançamentos!$B$3:$B$1001,0)),""))</f>
        <v/>
      </c>
      <c r="D51" s="140"/>
      <c r="E51" s="140"/>
      <c r="F51" s="140"/>
      <c r="G51" s="140"/>
      <c r="H51" s="140"/>
      <c r="I51" s="140"/>
      <c r="J51" s="140"/>
      <c r="K51" s="140"/>
      <c r="L51" s="140"/>
      <c r="M51" s="141" t="str">
        <f t="shared" si="0"/>
        <v/>
      </c>
      <c r="N51" s="142"/>
      <c r="O51" s="143"/>
    </row>
    <row r="52" spans="2:15" x14ac:dyDescent="0.35">
      <c r="B52" s="138" t="str">
        <f>IF(Lançamentos!$B47="","",Lançamentos!$B47)</f>
        <v/>
      </c>
      <c r="C52" s="139" t="str">
        <f>IF($B52="","",IFERROR(INDEX(Lançamentos!$J$3:$J$1001,MATCH($B52,Lançamentos!$B$3:$B$1001,0)),""))</f>
        <v/>
      </c>
      <c r="D52" s="140"/>
      <c r="E52" s="140"/>
      <c r="F52" s="140"/>
      <c r="G52" s="140"/>
      <c r="H52" s="140"/>
      <c r="I52" s="140"/>
      <c r="J52" s="140"/>
      <c r="K52" s="140"/>
      <c r="L52" s="140"/>
      <c r="M52" s="141" t="str">
        <f t="shared" si="0"/>
        <v/>
      </c>
      <c r="N52" s="142"/>
      <c r="O52" s="143"/>
    </row>
    <row r="53" spans="2:15" x14ac:dyDescent="0.35">
      <c r="B53" s="138" t="str">
        <f>IF(Lançamentos!$B48="","",Lançamentos!$B48)</f>
        <v/>
      </c>
      <c r="C53" s="139" t="str">
        <f>IF($B53="","",IFERROR(INDEX(Lançamentos!$J$3:$J$1001,MATCH($B53,Lançamentos!$B$3:$B$1001,0)),""))</f>
        <v/>
      </c>
      <c r="D53" s="140"/>
      <c r="E53" s="140"/>
      <c r="F53" s="140"/>
      <c r="G53" s="140"/>
      <c r="H53" s="140"/>
      <c r="I53" s="140"/>
      <c r="J53" s="140"/>
      <c r="K53" s="140"/>
      <c r="L53" s="140"/>
      <c r="M53" s="141" t="str">
        <f t="shared" si="0"/>
        <v/>
      </c>
      <c r="N53" s="142"/>
      <c r="O53" s="143"/>
    </row>
    <row r="54" spans="2:15" x14ac:dyDescent="0.35">
      <c r="B54" s="138" t="str">
        <f>IF(Lançamentos!$B49="","",Lançamentos!$B49)</f>
        <v/>
      </c>
      <c r="C54" s="139" t="str">
        <f>IF($B54="","",IFERROR(INDEX(Lançamentos!$J$3:$J$1001,MATCH($B54,Lançamentos!$B$3:$B$1001,0)),""))</f>
        <v/>
      </c>
      <c r="D54" s="140"/>
      <c r="E54" s="140"/>
      <c r="F54" s="140"/>
      <c r="G54" s="140"/>
      <c r="H54" s="140"/>
      <c r="I54" s="140"/>
      <c r="J54" s="140"/>
      <c r="K54" s="140"/>
      <c r="L54" s="140"/>
      <c r="M54" s="141" t="str">
        <f t="shared" si="0"/>
        <v/>
      </c>
      <c r="N54" s="142"/>
      <c r="O54" s="143"/>
    </row>
    <row r="55" spans="2:15" x14ac:dyDescent="0.35">
      <c r="B55" s="138" t="str">
        <f>IF(Lançamentos!$B50="","",Lançamentos!$B50)</f>
        <v/>
      </c>
      <c r="C55" s="139" t="str">
        <f>IF($B55="","",IFERROR(INDEX(Lançamentos!$J$3:$J$1001,MATCH($B55,Lançamentos!$B$3:$B$1001,0)),""))</f>
        <v/>
      </c>
      <c r="D55" s="140"/>
      <c r="E55" s="140"/>
      <c r="F55" s="140"/>
      <c r="G55" s="140"/>
      <c r="H55" s="140"/>
      <c r="I55" s="140"/>
      <c r="J55" s="140"/>
      <c r="K55" s="140"/>
      <c r="L55" s="140"/>
      <c r="M55" s="141" t="str">
        <f t="shared" si="0"/>
        <v/>
      </c>
      <c r="N55" s="142"/>
      <c r="O55" s="143"/>
    </row>
    <row r="56" spans="2:15" x14ac:dyDescent="0.35">
      <c r="B56" s="138" t="str">
        <f>IF(Lançamentos!$B51="","",Lançamentos!$B51)</f>
        <v/>
      </c>
      <c r="C56" s="139" t="str">
        <f>IF($B56="","",IFERROR(INDEX(Lançamentos!$J$3:$J$1001,MATCH($B56,Lançamentos!$B$3:$B$1001,0)),""))</f>
        <v/>
      </c>
      <c r="D56" s="140"/>
      <c r="E56" s="140"/>
      <c r="F56" s="140"/>
      <c r="G56" s="140"/>
      <c r="H56" s="140"/>
      <c r="I56" s="140"/>
      <c r="J56" s="140"/>
      <c r="K56" s="140"/>
      <c r="L56" s="140"/>
      <c r="M56" s="141" t="str">
        <f t="shared" si="0"/>
        <v/>
      </c>
      <c r="N56" s="142"/>
      <c r="O56" s="143"/>
    </row>
    <row r="57" spans="2:15" x14ac:dyDescent="0.35">
      <c r="B57" s="138" t="str">
        <f>IF(Lançamentos!$B52="","",Lançamentos!$B52)</f>
        <v/>
      </c>
      <c r="C57" s="139" t="str">
        <f>IF($B57="","",IFERROR(INDEX(Lançamentos!$J$3:$J$1001,MATCH($B57,Lançamentos!$B$3:$B$1001,0)),""))</f>
        <v/>
      </c>
      <c r="D57" s="140"/>
      <c r="E57" s="140"/>
      <c r="F57" s="140"/>
      <c r="G57" s="140"/>
      <c r="H57" s="140"/>
      <c r="I57" s="140"/>
      <c r="J57" s="140"/>
      <c r="K57" s="140"/>
      <c r="L57" s="140"/>
      <c r="M57" s="141" t="str">
        <f t="shared" si="0"/>
        <v/>
      </c>
      <c r="N57" s="142"/>
      <c r="O57" s="143"/>
    </row>
    <row r="58" spans="2:15" x14ac:dyDescent="0.35">
      <c r="B58" s="138" t="str">
        <f>IF(Lançamentos!$B53="","",Lançamentos!$B53)</f>
        <v/>
      </c>
      <c r="C58" s="139" t="str">
        <f>IF($B58="","",IFERROR(INDEX(Lançamentos!$J$3:$J$1001,MATCH($B58,Lançamentos!$B$3:$B$1001,0)),""))</f>
        <v/>
      </c>
      <c r="D58" s="140"/>
      <c r="E58" s="140"/>
      <c r="F58" s="140"/>
      <c r="G58" s="140"/>
      <c r="H58" s="140"/>
      <c r="I58" s="140"/>
      <c r="J58" s="140"/>
      <c r="K58" s="140"/>
      <c r="L58" s="140"/>
      <c r="M58" s="141" t="str">
        <f t="shared" si="0"/>
        <v/>
      </c>
      <c r="N58" s="142"/>
      <c r="O58" s="143"/>
    </row>
    <row r="59" spans="2:15" x14ac:dyDescent="0.35">
      <c r="B59" s="138" t="str">
        <f>IF(Lançamentos!$B54="","",Lançamentos!$B54)</f>
        <v/>
      </c>
      <c r="C59" s="139" t="str">
        <f>IF($B59="","",IFERROR(INDEX(Lançamentos!$J$3:$J$1001,MATCH($B59,Lançamentos!$B$3:$B$1001,0)),""))</f>
        <v/>
      </c>
      <c r="D59" s="140"/>
      <c r="E59" s="140"/>
      <c r="F59" s="140"/>
      <c r="G59" s="140"/>
      <c r="H59" s="140"/>
      <c r="I59" s="140"/>
      <c r="J59" s="140"/>
      <c r="K59" s="140"/>
      <c r="L59" s="140"/>
      <c r="M59" s="141" t="str">
        <f t="shared" si="0"/>
        <v/>
      </c>
      <c r="N59" s="142"/>
      <c r="O59" s="143"/>
    </row>
    <row r="60" spans="2:15" x14ac:dyDescent="0.35">
      <c r="B60" s="138" t="str">
        <f>IF(Lançamentos!$B55="","",Lançamentos!$B55)</f>
        <v/>
      </c>
      <c r="C60" s="139" t="str">
        <f>IF($B60="","",IFERROR(INDEX(Lançamentos!$J$3:$J$1001,MATCH($B60,Lançamentos!$B$3:$B$1001,0)),""))</f>
        <v/>
      </c>
      <c r="D60" s="140"/>
      <c r="E60" s="140"/>
      <c r="F60" s="140"/>
      <c r="G60" s="140"/>
      <c r="H60" s="140"/>
      <c r="I60" s="140"/>
      <c r="J60" s="140"/>
      <c r="K60" s="140"/>
      <c r="L60" s="140"/>
      <c r="M60" s="141" t="str">
        <f t="shared" si="0"/>
        <v/>
      </c>
      <c r="N60" s="142"/>
      <c r="O60" s="143"/>
    </row>
    <row r="61" spans="2:15" x14ac:dyDescent="0.35">
      <c r="B61" s="138" t="str">
        <f>IF(Lançamentos!$B56="","",Lançamentos!$B56)</f>
        <v/>
      </c>
      <c r="C61" s="139" t="str">
        <f>IF($B61="","",IFERROR(INDEX(Lançamentos!$J$3:$J$1001,MATCH($B61,Lançamentos!$B$3:$B$1001,0)),""))</f>
        <v/>
      </c>
      <c r="D61" s="140"/>
      <c r="E61" s="140"/>
      <c r="F61" s="140"/>
      <c r="G61" s="140"/>
      <c r="H61" s="140"/>
      <c r="I61" s="140"/>
      <c r="J61" s="140"/>
      <c r="K61" s="140"/>
      <c r="L61" s="140"/>
      <c r="M61" s="141" t="str">
        <f t="shared" si="0"/>
        <v/>
      </c>
      <c r="N61" s="142"/>
      <c r="O61" s="143"/>
    </row>
    <row r="62" spans="2:15" x14ac:dyDescent="0.35">
      <c r="B62" s="138" t="str">
        <f>IF(Lançamentos!$B57="","",Lançamentos!$B57)</f>
        <v/>
      </c>
      <c r="C62" s="139" t="str">
        <f>IF($B62="","",IFERROR(INDEX(Lançamentos!$J$3:$J$1001,MATCH($B62,Lançamentos!$B$3:$B$1001,0)),""))</f>
        <v/>
      </c>
      <c r="D62" s="140"/>
      <c r="E62" s="140"/>
      <c r="F62" s="140"/>
      <c r="G62" s="140"/>
      <c r="H62" s="140"/>
      <c r="I62" s="140"/>
      <c r="J62" s="140"/>
      <c r="K62" s="140"/>
      <c r="L62" s="140"/>
      <c r="M62" s="141" t="str">
        <f t="shared" si="0"/>
        <v/>
      </c>
      <c r="N62" s="142"/>
      <c r="O62" s="143"/>
    </row>
    <row r="63" spans="2:15" x14ac:dyDescent="0.35">
      <c r="B63" s="138" t="str">
        <f>IF(Lançamentos!$B58="","",Lançamentos!$B58)</f>
        <v/>
      </c>
      <c r="C63" s="139" t="str">
        <f>IF($B63="","",IFERROR(INDEX(Lançamentos!$J$3:$J$1001,MATCH($B63,Lançamentos!$B$3:$B$1001,0)),""))</f>
        <v/>
      </c>
      <c r="D63" s="140"/>
      <c r="E63" s="140"/>
      <c r="F63" s="140"/>
      <c r="G63" s="140"/>
      <c r="H63" s="140"/>
      <c r="I63" s="140"/>
      <c r="J63" s="140"/>
      <c r="K63" s="140"/>
      <c r="L63" s="140"/>
      <c r="M63" s="141" t="str">
        <f t="shared" si="0"/>
        <v/>
      </c>
      <c r="N63" s="142"/>
      <c r="O63" s="143"/>
    </row>
    <row r="64" spans="2:15" x14ac:dyDescent="0.35">
      <c r="B64" s="138" t="str">
        <f>IF(Lançamentos!$B59="","",Lançamentos!$B59)</f>
        <v/>
      </c>
      <c r="C64" s="139" t="str">
        <f>IF($B64="","",IFERROR(INDEX(Lançamentos!$J$3:$J$1001,MATCH($B64,Lançamentos!$B$3:$B$1001,0)),""))</f>
        <v/>
      </c>
      <c r="D64" s="140"/>
      <c r="E64" s="140"/>
      <c r="F64" s="140"/>
      <c r="G64" s="140"/>
      <c r="H64" s="140"/>
      <c r="I64" s="140"/>
      <c r="J64" s="140"/>
      <c r="K64" s="140"/>
      <c r="L64" s="140"/>
      <c r="M64" s="141" t="str">
        <f t="shared" si="0"/>
        <v/>
      </c>
      <c r="N64" s="142"/>
      <c r="O64" s="143"/>
    </row>
    <row r="65" spans="2:15" x14ac:dyDescent="0.35">
      <c r="B65" s="138" t="str">
        <f>IF(Lançamentos!$B60="","",Lançamentos!$B60)</f>
        <v/>
      </c>
      <c r="C65" s="139" t="str">
        <f>IF($B65="","",IFERROR(INDEX(Lançamentos!$J$3:$J$1001,MATCH($B65,Lançamentos!$B$3:$B$1001,0)),""))</f>
        <v/>
      </c>
      <c r="D65" s="140"/>
      <c r="E65" s="140"/>
      <c r="F65" s="140"/>
      <c r="G65" s="140"/>
      <c r="H65" s="140"/>
      <c r="I65" s="140"/>
      <c r="J65" s="140"/>
      <c r="K65" s="140"/>
      <c r="L65" s="140"/>
      <c r="M65" s="141" t="str">
        <f t="shared" si="0"/>
        <v/>
      </c>
      <c r="N65" s="142"/>
      <c r="O65" s="143"/>
    </row>
    <row r="66" spans="2:15" x14ac:dyDescent="0.35">
      <c r="B66" s="138" t="str">
        <f>IF(Lançamentos!$B61="","",Lançamentos!$B61)</f>
        <v/>
      </c>
      <c r="C66" s="139" t="str">
        <f>IF($B66="","",IFERROR(INDEX(Lançamentos!$J$3:$J$1001,MATCH($B66,Lançamentos!$B$3:$B$1001,0)),""))</f>
        <v/>
      </c>
      <c r="D66" s="140"/>
      <c r="E66" s="140"/>
      <c r="F66" s="140"/>
      <c r="G66" s="140"/>
      <c r="H66" s="140"/>
      <c r="I66" s="140"/>
      <c r="J66" s="140"/>
      <c r="K66" s="140"/>
      <c r="L66" s="140"/>
      <c r="M66" s="141" t="str">
        <f t="shared" si="0"/>
        <v/>
      </c>
      <c r="N66" s="142"/>
      <c r="O66" s="143"/>
    </row>
    <row r="67" spans="2:15" x14ac:dyDescent="0.35">
      <c r="B67" s="138" t="str">
        <f>IF(Lançamentos!$B62="","",Lançamentos!$B62)</f>
        <v/>
      </c>
      <c r="C67" s="139" t="str">
        <f>IF($B67="","",IFERROR(INDEX(Lançamentos!$J$3:$J$1001,MATCH($B67,Lançamentos!$B$3:$B$1001,0)),""))</f>
        <v/>
      </c>
      <c r="D67" s="140"/>
      <c r="E67" s="140"/>
      <c r="F67" s="140"/>
      <c r="G67" s="140"/>
      <c r="H67" s="140"/>
      <c r="I67" s="140"/>
      <c r="J67" s="140"/>
      <c r="K67" s="140"/>
      <c r="L67" s="140"/>
      <c r="M67" s="141" t="str">
        <f t="shared" si="0"/>
        <v/>
      </c>
      <c r="N67" s="142"/>
      <c r="O67" s="143"/>
    </row>
    <row r="68" spans="2:15" x14ac:dyDescent="0.35">
      <c r="B68" s="138" t="str">
        <f>IF(Lançamentos!$B63="","",Lançamentos!$B63)</f>
        <v/>
      </c>
      <c r="C68" s="139" t="str">
        <f>IF($B68="","",IFERROR(INDEX(Lançamentos!$J$3:$J$1001,MATCH($B68,Lançamentos!$B$3:$B$1001,0)),""))</f>
        <v/>
      </c>
      <c r="D68" s="140"/>
      <c r="E68" s="140"/>
      <c r="F68" s="140"/>
      <c r="G68" s="140"/>
      <c r="H68" s="140"/>
      <c r="I68" s="140"/>
      <c r="J68" s="140"/>
      <c r="K68" s="140"/>
      <c r="L68" s="140"/>
      <c r="M68" s="141" t="str">
        <f t="shared" si="0"/>
        <v/>
      </c>
      <c r="N68" s="142"/>
      <c r="O68" s="143"/>
    </row>
    <row r="69" spans="2:15" x14ac:dyDescent="0.35">
      <c r="B69" s="138" t="str">
        <f>IF(Lançamentos!$B64="","",Lançamentos!$B64)</f>
        <v/>
      </c>
      <c r="C69" s="139" t="str">
        <f>IF($B69="","",IFERROR(INDEX(Lançamentos!$J$3:$J$1001,MATCH($B69,Lançamentos!$B$3:$B$1001,0)),""))</f>
        <v/>
      </c>
      <c r="D69" s="140"/>
      <c r="E69" s="140"/>
      <c r="F69" s="140"/>
      <c r="G69" s="140"/>
      <c r="H69" s="140"/>
      <c r="I69" s="140"/>
      <c r="J69" s="140"/>
      <c r="K69" s="140"/>
      <c r="L69" s="140"/>
      <c r="M69" s="141" t="str">
        <f t="shared" si="0"/>
        <v/>
      </c>
      <c r="N69" s="142"/>
      <c r="O69" s="143"/>
    </row>
    <row r="70" spans="2:15" x14ac:dyDescent="0.35">
      <c r="B70" s="138" t="str">
        <f>IF(Lançamentos!$B65="","",Lançamentos!$B65)</f>
        <v/>
      </c>
      <c r="C70" s="139" t="str">
        <f>IF($B70="","",IFERROR(INDEX(Lançamentos!$J$3:$J$1001,MATCH($B70,Lançamentos!$B$3:$B$1001,0)),""))</f>
        <v/>
      </c>
      <c r="D70" s="140"/>
      <c r="E70" s="140"/>
      <c r="F70" s="140"/>
      <c r="G70" s="140"/>
      <c r="H70" s="140"/>
      <c r="I70" s="140"/>
      <c r="J70" s="140"/>
      <c r="K70" s="140"/>
      <c r="L70" s="140"/>
      <c r="M70" s="141" t="str">
        <f t="shared" si="0"/>
        <v/>
      </c>
      <c r="N70" s="142"/>
      <c r="O70" s="143"/>
    </row>
    <row r="71" spans="2:15" x14ac:dyDescent="0.35">
      <c r="B71" s="138" t="str">
        <f>IF(Lançamentos!$B66="","",Lançamentos!$B66)</f>
        <v/>
      </c>
      <c r="C71" s="139" t="str">
        <f>IF($B71="","",IFERROR(INDEX(Lançamentos!$J$3:$J$1001,MATCH($B71,Lançamentos!$B$3:$B$1001,0)),""))</f>
        <v/>
      </c>
      <c r="D71" s="140"/>
      <c r="E71" s="140"/>
      <c r="F71" s="140"/>
      <c r="G71" s="140"/>
      <c r="H71" s="140"/>
      <c r="I71" s="140"/>
      <c r="J71" s="140"/>
      <c r="K71" s="140"/>
      <c r="L71" s="140"/>
      <c r="M71" s="141" t="str">
        <f t="shared" si="0"/>
        <v/>
      </c>
      <c r="N71" s="142"/>
      <c r="O71" s="143"/>
    </row>
    <row r="72" spans="2:15" x14ac:dyDescent="0.35">
      <c r="B72" s="138" t="str">
        <f>IF(Lançamentos!$B67="","",Lançamentos!$B67)</f>
        <v/>
      </c>
      <c r="C72" s="139" t="str">
        <f>IF($B72="","",IFERROR(INDEX(Lançamentos!$J$3:$J$1001,MATCH($B72,Lançamentos!$B$3:$B$1001,0)),""))</f>
        <v/>
      </c>
      <c r="D72" s="140"/>
      <c r="E72" s="140"/>
      <c r="F72" s="140"/>
      <c r="G72" s="140"/>
      <c r="H72" s="140"/>
      <c r="I72" s="140"/>
      <c r="J72" s="140"/>
      <c r="K72" s="140"/>
      <c r="L72" s="140"/>
      <c r="M72" s="141" t="str">
        <f t="shared" si="0"/>
        <v/>
      </c>
      <c r="N72" s="142"/>
      <c r="O72" s="143"/>
    </row>
    <row r="73" spans="2:15" x14ac:dyDescent="0.35">
      <c r="B73" s="138" t="str">
        <f>IF(Lançamentos!$B68="","",Lançamentos!$B68)</f>
        <v/>
      </c>
      <c r="C73" s="139" t="str">
        <f>IF($B73="","",IFERROR(INDEX(Lançamentos!$J$3:$J$1001,MATCH($B73,Lançamentos!$B$3:$B$1001,0)),""))</f>
        <v/>
      </c>
      <c r="D73" s="140"/>
      <c r="E73" s="140"/>
      <c r="F73" s="140"/>
      <c r="G73" s="140"/>
      <c r="H73" s="140"/>
      <c r="I73" s="140"/>
      <c r="J73" s="140"/>
      <c r="K73" s="140"/>
      <c r="L73" s="140"/>
      <c r="M73" s="141" t="str">
        <f t="shared" ref="M73:M136" si="1">IF(B73="","",IF(COUNTIF(E73:L73,"N/A")=8,0,COUNTIF(E73:L73,"✔ Concluído")/(8-COUNTIF(E73:L73,"N/A"))))</f>
        <v/>
      </c>
      <c r="N73" s="142"/>
      <c r="O73" s="143"/>
    </row>
    <row r="74" spans="2:15" x14ac:dyDescent="0.35">
      <c r="B74" s="138" t="str">
        <f>IF(Lançamentos!$B69="","",Lançamentos!$B69)</f>
        <v/>
      </c>
      <c r="C74" s="139" t="str">
        <f>IF($B74="","",IFERROR(INDEX(Lançamentos!$J$3:$J$1001,MATCH($B74,Lançamentos!$B$3:$B$1001,0)),""))</f>
        <v/>
      </c>
      <c r="D74" s="140"/>
      <c r="E74" s="140"/>
      <c r="F74" s="140"/>
      <c r="G74" s="140"/>
      <c r="H74" s="140"/>
      <c r="I74" s="140"/>
      <c r="J74" s="140"/>
      <c r="K74" s="140"/>
      <c r="L74" s="140"/>
      <c r="M74" s="141" t="str">
        <f t="shared" si="1"/>
        <v/>
      </c>
      <c r="N74" s="142"/>
      <c r="O74" s="143"/>
    </row>
    <row r="75" spans="2:15" x14ac:dyDescent="0.35">
      <c r="B75" s="138" t="str">
        <f>IF(Lançamentos!$B70="","",Lançamentos!$B70)</f>
        <v/>
      </c>
      <c r="C75" s="139" t="str">
        <f>IF($B75="","",IFERROR(INDEX(Lançamentos!$J$3:$J$1001,MATCH($B75,Lançamentos!$B$3:$B$1001,0)),""))</f>
        <v/>
      </c>
      <c r="D75" s="140"/>
      <c r="E75" s="140"/>
      <c r="F75" s="140"/>
      <c r="G75" s="140"/>
      <c r="H75" s="140"/>
      <c r="I75" s="140"/>
      <c r="J75" s="140"/>
      <c r="K75" s="140"/>
      <c r="L75" s="140"/>
      <c r="M75" s="141" t="str">
        <f t="shared" si="1"/>
        <v/>
      </c>
      <c r="N75" s="142"/>
      <c r="O75" s="143"/>
    </row>
    <row r="76" spans="2:15" x14ac:dyDescent="0.35">
      <c r="B76" s="138" t="str">
        <f>IF(Lançamentos!$B71="","",Lançamentos!$B71)</f>
        <v/>
      </c>
      <c r="C76" s="139" t="str">
        <f>IF($B76="","",IFERROR(INDEX(Lançamentos!$J$3:$J$1001,MATCH($B76,Lançamentos!$B$3:$B$1001,0)),""))</f>
        <v/>
      </c>
      <c r="D76" s="140"/>
      <c r="E76" s="140"/>
      <c r="F76" s="140"/>
      <c r="G76" s="140"/>
      <c r="H76" s="140"/>
      <c r="I76" s="140"/>
      <c r="J76" s="140"/>
      <c r="K76" s="140"/>
      <c r="L76" s="140"/>
      <c r="M76" s="141" t="str">
        <f t="shared" si="1"/>
        <v/>
      </c>
      <c r="N76" s="142"/>
      <c r="O76" s="143"/>
    </row>
    <row r="77" spans="2:15" x14ac:dyDescent="0.35">
      <c r="B77" s="138" t="str">
        <f>IF(Lançamentos!$B72="","",Lançamentos!$B72)</f>
        <v/>
      </c>
      <c r="C77" s="139" t="str">
        <f>IF($B77="","",IFERROR(INDEX(Lançamentos!$J$3:$J$1001,MATCH($B77,Lançamentos!$B$3:$B$1001,0)),""))</f>
        <v/>
      </c>
      <c r="D77" s="140"/>
      <c r="E77" s="140"/>
      <c r="F77" s="140"/>
      <c r="G77" s="140"/>
      <c r="H77" s="140"/>
      <c r="I77" s="140"/>
      <c r="J77" s="140"/>
      <c r="K77" s="140"/>
      <c r="L77" s="140"/>
      <c r="M77" s="141" t="str">
        <f t="shared" si="1"/>
        <v/>
      </c>
      <c r="N77" s="142"/>
      <c r="O77" s="143"/>
    </row>
    <row r="78" spans="2:15" x14ac:dyDescent="0.35">
      <c r="B78" s="138" t="str">
        <f>IF(Lançamentos!$B73="","",Lançamentos!$B73)</f>
        <v/>
      </c>
      <c r="C78" s="139" t="str">
        <f>IF($B78="","",IFERROR(INDEX(Lançamentos!$J$3:$J$1001,MATCH($B78,Lançamentos!$B$3:$B$1001,0)),""))</f>
        <v/>
      </c>
      <c r="D78" s="140"/>
      <c r="E78" s="140"/>
      <c r="F78" s="140"/>
      <c r="G78" s="140"/>
      <c r="H78" s="140"/>
      <c r="I78" s="140"/>
      <c r="J78" s="140"/>
      <c r="K78" s="140"/>
      <c r="L78" s="140"/>
      <c r="M78" s="141" t="str">
        <f t="shared" si="1"/>
        <v/>
      </c>
      <c r="N78" s="142"/>
      <c r="O78" s="143"/>
    </row>
    <row r="79" spans="2:15" x14ac:dyDescent="0.35">
      <c r="B79" s="138" t="str">
        <f>IF(Lançamentos!$B74="","",Lançamentos!$B74)</f>
        <v/>
      </c>
      <c r="C79" s="139" t="str">
        <f>IF($B79="","",IFERROR(INDEX(Lançamentos!$J$3:$J$1001,MATCH($B79,Lançamentos!$B$3:$B$1001,0)),""))</f>
        <v/>
      </c>
      <c r="D79" s="140"/>
      <c r="E79" s="140"/>
      <c r="F79" s="140"/>
      <c r="G79" s="140"/>
      <c r="H79" s="140"/>
      <c r="I79" s="140"/>
      <c r="J79" s="140"/>
      <c r="K79" s="140"/>
      <c r="L79" s="140"/>
      <c r="M79" s="141" t="str">
        <f t="shared" si="1"/>
        <v/>
      </c>
      <c r="N79" s="142"/>
      <c r="O79" s="143"/>
    </row>
    <row r="80" spans="2:15" x14ac:dyDescent="0.35">
      <c r="B80" s="138" t="str">
        <f>IF(Lançamentos!$B75="","",Lançamentos!$B75)</f>
        <v/>
      </c>
      <c r="C80" s="139" t="str">
        <f>IF($B80="","",IFERROR(INDEX(Lançamentos!$J$3:$J$1001,MATCH($B80,Lançamentos!$B$3:$B$1001,0)),""))</f>
        <v/>
      </c>
      <c r="D80" s="140"/>
      <c r="E80" s="140"/>
      <c r="F80" s="140"/>
      <c r="G80" s="140"/>
      <c r="H80" s="140"/>
      <c r="I80" s="140"/>
      <c r="J80" s="140"/>
      <c r="K80" s="140"/>
      <c r="L80" s="140"/>
      <c r="M80" s="141" t="str">
        <f t="shared" si="1"/>
        <v/>
      </c>
      <c r="N80" s="142"/>
      <c r="O80" s="143"/>
    </row>
    <row r="81" spans="2:15" x14ac:dyDescent="0.35">
      <c r="B81" s="138" t="str">
        <f>IF(Lançamentos!$B76="","",Lançamentos!$B76)</f>
        <v/>
      </c>
      <c r="C81" s="139" t="str">
        <f>IF($B81="","",IFERROR(INDEX(Lançamentos!$J$3:$J$1001,MATCH($B81,Lançamentos!$B$3:$B$1001,0)),""))</f>
        <v/>
      </c>
      <c r="D81" s="140"/>
      <c r="E81" s="140"/>
      <c r="F81" s="140"/>
      <c r="G81" s="140"/>
      <c r="H81" s="140"/>
      <c r="I81" s="140"/>
      <c r="J81" s="140"/>
      <c r="K81" s="140"/>
      <c r="L81" s="140"/>
      <c r="M81" s="141" t="str">
        <f t="shared" si="1"/>
        <v/>
      </c>
      <c r="N81" s="142"/>
      <c r="O81" s="143"/>
    </row>
    <row r="82" spans="2:15" x14ac:dyDescent="0.35">
      <c r="B82" s="138" t="str">
        <f>IF(Lançamentos!$B77="","",Lançamentos!$B77)</f>
        <v/>
      </c>
      <c r="C82" s="139" t="str">
        <f>IF($B82="","",IFERROR(INDEX(Lançamentos!$J$3:$J$1001,MATCH($B82,Lançamentos!$B$3:$B$1001,0)),""))</f>
        <v/>
      </c>
      <c r="D82" s="140"/>
      <c r="E82" s="140"/>
      <c r="F82" s="140"/>
      <c r="G82" s="140"/>
      <c r="H82" s="140"/>
      <c r="I82" s="140"/>
      <c r="J82" s="140"/>
      <c r="K82" s="140"/>
      <c r="L82" s="140"/>
      <c r="M82" s="141" t="str">
        <f t="shared" si="1"/>
        <v/>
      </c>
      <c r="N82" s="142"/>
      <c r="O82" s="143"/>
    </row>
    <row r="83" spans="2:15" x14ac:dyDescent="0.35">
      <c r="B83" s="138" t="str">
        <f>IF(Lançamentos!$B78="","",Lançamentos!$B78)</f>
        <v/>
      </c>
      <c r="C83" s="139" t="str">
        <f>IF($B83="","",IFERROR(INDEX(Lançamentos!$J$3:$J$1001,MATCH($B83,Lançamentos!$B$3:$B$1001,0)),""))</f>
        <v/>
      </c>
      <c r="D83" s="140"/>
      <c r="E83" s="140"/>
      <c r="F83" s="140"/>
      <c r="G83" s="140"/>
      <c r="H83" s="140"/>
      <c r="I83" s="140"/>
      <c r="J83" s="140"/>
      <c r="K83" s="140"/>
      <c r="L83" s="140"/>
      <c r="M83" s="141" t="str">
        <f t="shared" si="1"/>
        <v/>
      </c>
      <c r="N83" s="142"/>
      <c r="O83" s="143"/>
    </row>
    <row r="84" spans="2:15" x14ac:dyDescent="0.35">
      <c r="B84" s="138" t="str">
        <f>IF(Lançamentos!$B79="","",Lançamentos!$B79)</f>
        <v/>
      </c>
      <c r="C84" s="139" t="str">
        <f>IF($B84="","",IFERROR(INDEX(Lançamentos!$J$3:$J$1001,MATCH($B84,Lançamentos!$B$3:$B$1001,0)),""))</f>
        <v/>
      </c>
      <c r="D84" s="140"/>
      <c r="E84" s="140"/>
      <c r="F84" s="140"/>
      <c r="G84" s="140"/>
      <c r="H84" s="140"/>
      <c r="I84" s="140"/>
      <c r="J84" s="140"/>
      <c r="K84" s="140"/>
      <c r="L84" s="140"/>
      <c r="M84" s="141" t="str">
        <f t="shared" si="1"/>
        <v/>
      </c>
      <c r="N84" s="142"/>
      <c r="O84" s="143"/>
    </row>
    <row r="85" spans="2:15" x14ac:dyDescent="0.35">
      <c r="B85" s="138" t="str">
        <f>IF(Lançamentos!$B80="","",Lançamentos!$B80)</f>
        <v/>
      </c>
      <c r="C85" s="139" t="str">
        <f>IF($B85="","",IFERROR(INDEX(Lançamentos!$J$3:$J$1001,MATCH($B85,Lançamentos!$B$3:$B$1001,0)),""))</f>
        <v/>
      </c>
      <c r="D85" s="140"/>
      <c r="E85" s="140"/>
      <c r="F85" s="140"/>
      <c r="G85" s="140"/>
      <c r="H85" s="140"/>
      <c r="I85" s="140"/>
      <c r="J85" s="140"/>
      <c r="K85" s="140"/>
      <c r="L85" s="140"/>
      <c r="M85" s="141" t="str">
        <f t="shared" si="1"/>
        <v/>
      </c>
      <c r="N85" s="142"/>
      <c r="O85" s="143"/>
    </row>
    <row r="86" spans="2:15" x14ac:dyDescent="0.35">
      <c r="B86" s="138" t="str">
        <f>IF(Lançamentos!$B81="","",Lançamentos!$B81)</f>
        <v/>
      </c>
      <c r="C86" s="139" t="str">
        <f>IF($B86="","",IFERROR(INDEX(Lançamentos!$J$3:$J$1001,MATCH($B86,Lançamentos!$B$3:$B$1001,0)),""))</f>
        <v/>
      </c>
      <c r="D86" s="140"/>
      <c r="E86" s="140"/>
      <c r="F86" s="140"/>
      <c r="G86" s="140"/>
      <c r="H86" s="140"/>
      <c r="I86" s="140"/>
      <c r="J86" s="140"/>
      <c r="K86" s="140"/>
      <c r="L86" s="140"/>
      <c r="M86" s="141" t="str">
        <f t="shared" si="1"/>
        <v/>
      </c>
      <c r="N86" s="142"/>
      <c r="O86" s="143"/>
    </row>
    <row r="87" spans="2:15" x14ac:dyDescent="0.35">
      <c r="B87" s="138" t="str">
        <f>IF(Lançamentos!$B82="","",Lançamentos!$B82)</f>
        <v/>
      </c>
      <c r="C87" s="139" t="str">
        <f>IF($B87="","",IFERROR(INDEX(Lançamentos!$J$3:$J$1001,MATCH($B87,Lançamentos!$B$3:$B$1001,0)),""))</f>
        <v/>
      </c>
      <c r="D87" s="140"/>
      <c r="E87" s="140"/>
      <c r="F87" s="140"/>
      <c r="G87" s="140"/>
      <c r="H87" s="140"/>
      <c r="I87" s="140"/>
      <c r="J87" s="140"/>
      <c r="K87" s="140"/>
      <c r="L87" s="140"/>
      <c r="M87" s="141" t="str">
        <f t="shared" si="1"/>
        <v/>
      </c>
      <c r="N87" s="142"/>
      <c r="O87" s="143"/>
    </row>
    <row r="88" spans="2:15" x14ac:dyDescent="0.35">
      <c r="B88" s="138" t="str">
        <f>IF(Lançamentos!$B83="","",Lançamentos!$B83)</f>
        <v/>
      </c>
      <c r="C88" s="139" t="str">
        <f>IF($B88="","",IFERROR(INDEX(Lançamentos!$J$3:$J$1001,MATCH($B88,Lançamentos!$B$3:$B$1001,0)),""))</f>
        <v/>
      </c>
      <c r="D88" s="140"/>
      <c r="E88" s="140"/>
      <c r="F88" s="140"/>
      <c r="G88" s="140"/>
      <c r="H88" s="140"/>
      <c r="I88" s="140"/>
      <c r="J88" s="140"/>
      <c r="K88" s="140"/>
      <c r="L88" s="140"/>
      <c r="M88" s="141" t="str">
        <f t="shared" si="1"/>
        <v/>
      </c>
      <c r="N88" s="142"/>
      <c r="O88" s="143"/>
    </row>
    <row r="89" spans="2:15" x14ac:dyDescent="0.35">
      <c r="B89" s="138" t="str">
        <f>IF(Lançamentos!$B84="","",Lançamentos!$B84)</f>
        <v/>
      </c>
      <c r="C89" s="139" t="str">
        <f>IF($B89="","",IFERROR(INDEX(Lançamentos!$J$3:$J$1001,MATCH($B89,Lançamentos!$B$3:$B$1001,0)),""))</f>
        <v/>
      </c>
      <c r="D89" s="140"/>
      <c r="E89" s="140"/>
      <c r="F89" s="140"/>
      <c r="G89" s="140"/>
      <c r="H89" s="140"/>
      <c r="I89" s="140"/>
      <c r="J89" s="140"/>
      <c r="K89" s="140"/>
      <c r="L89" s="140"/>
      <c r="M89" s="141" t="str">
        <f t="shared" si="1"/>
        <v/>
      </c>
      <c r="N89" s="142"/>
      <c r="O89" s="143"/>
    </row>
    <row r="90" spans="2:15" x14ac:dyDescent="0.35">
      <c r="B90" s="138" t="str">
        <f>IF(Lançamentos!$B85="","",Lançamentos!$B85)</f>
        <v/>
      </c>
      <c r="C90" s="139" t="str">
        <f>IF($B90="","",IFERROR(INDEX(Lançamentos!$J$3:$J$1001,MATCH($B90,Lançamentos!$B$3:$B$1001,0)),""))</f>
        <v/>
      </c>
      <c r="D90" s="140"/>
      <c r="E90" s="140"/>
      <c r="F90" s="140"/>
      <c r="G90" s="140"/>
      <c r="H90" s="140"/>
      <c r="I90" s="140"/>
      <c r="J90" s="140"/>
      <c r="K90" s="140"/>
      <c r="L90" s="140"/>
      <c r="M90" s="141" t="str">
        <f t="shared" si="1"/>
        <v/>
      </c>
      <c r="N90" s="142"/>
      <c r="O90" s="143"/>
    </row>
    <row r="91" spans="2:15" x14ac:dyDescent="0.35">
      <c r="B91" s="138" t="str">
        <f>IF(Lançamentos!$B86="","",Lançamentos!$B86)</f>
        <v/>
      </c>
      <c r="C91" s="139" t="str">
        <f>IF($B91="","",IFERROR(INDEX(Lançamentos!$J$3:$J$1001,MATCH($B91,Lançamentos!$B$3:$B$1001,0)),""))</f>
        <v/>
      </c>
      <c r="D91" s="140"/>
      <c r="E91" s="140"/>
      <c r="F91" s="140"/>
      <c r="G91" s="140"/>
      <c r="H91" s="140"/>
      <c r="I91" s="140"/>
      <c r="J91" s="140"/>
      <c r="K91" s="140"/>
      <c r="L91" s="140"/>
      <c r="M91" s="141" t="str">
        <f t="shared" si="1"/>
        <v/>
      </c>
      <c r="N91" s="142"/>
      <c r="O91" s="143"/>
    </row>
    <row r="92" spans="2:15" x14ac:dyDescent="0.35">
      <c r="B92" s="138" t="str">
        <f>IF(Lançamentos!$B87="","",Lançamentos!$B87)</f>
        <v/>
      </c>
      <c r="C92" s="139" t="str">
        <f>IF($B92="","",IFERROR(INDEX(Lançamentos!$J$3:$J$1001,MATCH($B92,Lançamentos!$B$3:$B$1001,0)),""))</f>
        <v/>
      </c>
      <c r="D92" s="140"/>
      <c r="E92" s="140"/>
      <c r="F92" s="140"/>
      <c r="G92" s="140"/>
      <c r="H92" s="140"/>
      <c r="I92" s="140"/>
      <c r="J92" s="140"/>
      <c r="K92" s="140"/>
      <c r="L92" s="140"/>
      <c r="M92" s="141" t="str">
        <f t="shared" si="1"/>
        <v/>
      </c>
      <c r="N92" s="142"/>
      <c r="O92" s="143"/>
    </row>
    <row r="93" spans="2:15" x14ac:dyDescent="0.35">
      <c r="B93" s="138" t="str">
        <f>IF(Lançamentos!$B88="","",Lançamentos!$B88)</f>
        <v/>
      </c>
      <c r="C93" s="139" t="str">
        <f>IF($B93="","",IFERROR(INDEX(Lançamentos!$J$3:$J$1001,MATCH($B93,Lançamentos!$B$3:$B$1001,0)),""))</f>
        <v/>
      </c>
      <c r="D93" s="140"/>
      <c r="E93" s="140"/>
      <c r="F93" s="140"/>
      <c r="G93" s="140"/>
      <c r="H93" s="140"/>
      <c r="I93" s="140"/>
      <c r="J93" s="140"/>
      <c r="K93" s="140"/>
      <c r="L93" s="140"/>
      <c r="M93" s="141" t="str">
        <f t="shared" si="1"/>
        <v/>
      </c>
      <c r="N93" s="142"/>
      <c r="O93" s="143"/>
    </row>
    <row r="94" spans="2:15" x14ac:dyDescent="0.35">
      <c r="B94" s="138" t="str">
        <f>IF(Lançamentos!$B89="","",Lançamentos!$B89)</f>
        <v/>
      </c>
      <c r="C94" s="139" t="str">
        <f>IF($B94="","",IFERROR(INDEX(Lançamentos!$J$3:$J$1001,MATCH($B94,Lançamentos!$B$3:$B$1001,0)),""))</f>
        <v/>
      </c>
      <c r="D94" s="140"/>
      <c r="E94" s="140"/>
      <c r="F94" s="140"/>
      <c r="G94" s="140"/>
      <c r="H94" s="140"/>
      <c r="I94" s="140"/>
      <c r="J94" s="140"/>
      <c r="K94" s="140"/>
      <c r="L94" s="140"/>
      <c r="M94" s="141" t="str">
        <f t="shared" si="1"/>
        <v/>
      </c>
      <c r="N94" s="142"/>
      <c r="O94" s="143"/>
    </row>
    <row r="95" spans="2:15" x14ac:dyDescent="0.35">
      <c r="B95" s="138" t="str">
        <f>IF(Lançamentos!$B90="","",Lançamentos!$B90)</f>
        <v/>
      </c>
      <c r="C95" s="139" t="str">
        <f>IF($B95="","",IFERROR(INDEX(Lançamentos!$J$3:$J$1001,MATCH($B95,Lançamentos!$B$3:$B$1001,0)),""))</f>
        <v/>
      </c>
      <c r="D95" s="140"/>
      <c r="E95" s="140"/>
      <c r="F95" s="140"/>
      <c r="G95" s="140"/>
      <c r="H95" s="140"/>
      <c r="I95" s="140"/>
      <c r="J95" s="140"/>
      <c r="K95" s="140"/>
      <c r="L95" s="140"/>
      <c r="M95" s="141" t="str">
        <f t="shared" si="1"/>
        <v/>
      </c>
      <c r="N95" s="142"/>
      <c r="O95" s="143"/>
    </row>
    <row r="96" spans="2:15" x14ac:dyDescent="0.35">
      <c r="B96" s="138" t="str">
        <f>IF(Lançamentos!$B91="","",Lançamentos!$B91)</f>
        <v/>
      </c>
      <c r="C96" s="139" t="str">
        <f>IF($B96="","",IFERROR(INDEX(Lançamentos!$J$3:$J$1001,MATCH($B96,Lançamentos!$B$3:$B$1001,0)),""))</f>
        <v/>
      </c>
      <c r="D96" s="140"/>
      <c r="E96" s="140"/>
      <c r="F96" s="140"/>
      <c r="G96" s="140"/>
      <c r="H96" s="140"/>
      <c r="I96" s="140"/>
      <c r="J96" s="140"/>
      <c r="K96" s="140"/>
      <c r="L96" s="140"/>
      <c r="M96" s="141" t="str">
        <f t="shared" si="1"/>
        <v/>
      </c>
      <c r="N96" s="142"/>
      <c r="O96" s="143"/>
    </row>
    <row r="97" spans="2:15" x14ac:dyDescent="0.35">
      <c r="B97" s="138" t="str">
        <f>IF(Lançamentos!$B92="","",Lançamentos!$B92)</f>
        <v/>
      </c>
      <c r="C97" s="139" t="str">
        <f>IF($B97="","",IFERROR(INDEX(Lançamentos!$J$3:$J$1001,MATCH($B97,Lançamentos!$B$3:$B$1001,0)),""))</f>
        <v/>
      </c>
      <c r="D97" s="140"/>
      <c r="E97" s="140"/>
      <c r="F97" s="140"/>
      <c r="G97" s="140"/>
      <c r="H97" s="140"/>
      <c r="I97" s="140"/>
      <c r="J97" s="140"/>
      <c r="K97" s="140"/>
      <c r="L97" s="140"/>
      <c r="M97" s="141" t="str">
        <f t="shared" si="1"/>
        <v/>
      </c>
      <c r="N97" s="142"/>
      <c r="O97" s="143"/>
    </row>
    <row r="98" spans="2:15" x14ac:dyDescent="0.35">
      <c r="B98" s="138" t="str">
        <f>IF(Lançamentos!$B93="","",Lançamentos!$B93)</f>
        <v/>
      </c>
      <c r="C98" s="139" t="str">
        <f>IF($B98="","",IFERROR(INDEX(Lançamentos!$J$3:$J$1001,MATCH($B98,Lançamentos!$B$3:$B$1001,0)),""))</f>
        <v/>
      </c>
      <c r="D98" s="140"/>
      <c r="E98" s="140"/>
      <c r="F98" s="140"/>
      <c r="G98" s="140"/>
      <c r="H98" s="140"/>
      <c r="I98" s="140"/>
      <c r="J98" s="140"/>
      <c r="K98" s="140"/>
      <c r="L98" s="140"/>
      <c r="M98" s="141" t="str">
        <f t="shared" si="1"/>
        <v/>
      </c>
      <c r="N98" s="142"/>
      <c r="O98" s="143"/>
    </row>
    <row r="99" spans="2:15" x14ac:dyDescent="0.35">
      <c r="B99" s="138" t="str">
        <f>IF(Lançamentos!$B94="","",Lançamentos!$B94)</f>
        <v/>
      </c>
      <c r="C99" s="139" t="str">
        <f>IF($B99="","",IFERROR(INDEX(Lançamentos!$J$3:$J$1001,MATCH($B99,Lançamentos!$B$3:$B$1001,0)),""))</f>
        <v/>
      </c>
      <c r="D99" s="140"/>
      <c r="E99" s="140"/>
      <c r="F99" s="140"/>
      <c r="G99" s="140"/>
      <c r="H99" s="140"/>
      <c r="I99" s="140"/>
      <c r="J99" s="140"/>
      <c r="K99" s="140"/>
      <c r="L99" s="140"/>
      <c r="M99" s="141" t="str">
        <f t="shared" si="1"/>
        <v/>
      </c>
      <c r="N99" s="142"/>
      <c r="O99" s="143"/>
    </row>
    <row r="100" spans="2:15" x14ac:dyDescent="0.35">
      <c r="B100" s="138" t="str">
        <f>IF(Lançamentos!$B95="","",Lançamentos!$B95)</f>
        <v/>
      </c>
      <c r="C100" s="139" t="str">
        <f>IF($B100="","",IFERROR(INDEX(Lançamentos!$J$3:$J$1001,MATCH($B100,Lançamentos!$B$3:$B$1001,0)),""))</f>
        <v/>
      </c>
      <c r="D100" s="140"/>
      <c r="E100" s="140"/>
      <c r="F100" s="140"/>
      <c r="G100" s="140"/>
      <c r="H100" s="140"/>
      <c r="I100" s="140"/>
      <c r="J100" s="140"/>
      <c r="K100" s="140"/>
      <c r="L100" s="140"/>
      <c r="M100" s="141" t="str">
        <f t="shared" si="1"/>
        <v/>
      </c>
      <c r="N100" s="142"/>
      <c r="O100" s="143"/>
    </row>
    <row r="101" spans="2:15" x14ac:dyDescent="0.35">
      <c r="B101" s="138" t="str">
        <f>IF(Lançamentos!$B96="","",Lançamentos!$B96)</f>
        <v/>
      </c>
      <c r="C101" s="139" t="str">
        <f>IF($B101="","",IFERROR(INDEX(Lançamentos!$J$3:$J$1001,MATCH($B101,Lançamentos!$B$3:$B$1001,0)),""))</f>
        <v/>
      </c>
      <c r="D101" s="140"/>
      <c r="E101" s="140"/>
      <c r="F101" s="140"/>
      <c r="G101" s="140"/>
      <c r="H101" s="140"/>
      <c r="I101" s="140"/>
      <c r="J101" s="140"/>
      <c r="K101" s="140"/>
      <c r="L101" s="140"/>
      <c r="M101" s="141" t="str">
        <f t="shared" si="1"/>
        <v/>
      </c>
      <c r="N101" s="142"/>
      <c r="O101" s="143"/>
    </row>
    <row r="102" spans="2:15" x14ac:dyDescent="0.35">
      <c r="B102" s="138" t="str">
        <f>IF(Lançamentos!$B97="","",Lançamentos!$B97)</f>
        <v/>
      </c>
      <c r="C102" s="139" t="str">
        <f>IF($B102="","",IFERROR(INDEX(Lançamentos!$J$3:$J$1001,MATCH($B102,Lançamentos!$B$3:$B$1001,0)),""))</f>
        <v/>
      </c>
      <c r="D102" s="140"/>
      <c r="E102" s="140"/>
      <c r="F102" s="140"/>
      <c r="G102" s="140"/>
      <c r="H102" s="140"/>
      <c r="I102" s="140"/>
      <c r="J102" s="140"/>
      <c r="K102" s="140"/>
      <c r="L102" s="140"/>
      <c r="M102" s="141" t="str">
        <f t="shared" si="1"/>
        <v/>
      </c>
      <c r="N102" s="142"/>
      <c r="O102" s="143"/>
    </row>
    <row r="103" spans="2:15" x14ac:dyDescent="0.35">
      <c r="B103" s="138" t="str">
        <f>IF(Lançamentos!$B98="","",Lançamentos!$B98)</f>
        <v/>
      </c>
      <c r="C103" s="139" t="str">
        <f>IF($B103="","",IFERROR(INDEX(Lançamentos!$J$3:$J$1001,MATCH($B103,Lançamentos!$B$3:$B$1001,0)),""))</f>
        <v/>
      </c>
      <c r="D103" s="140"/>
      <c r="E103" s="140"/>
      <c r="F103" s="140"/>
      <c r="G103" s="140"/>
      <c r="H103" s="140"/>
      <c r="I103" s="140"/>
      <c r="J103" s="140"/>
      <c r="K103" s="140"/>
      <c r="L103" s="140"/>
      <c r="M103" s="141" t="str">
        <f t="shared" si="1"/>
        <v/>
      </c>
      <c r="N103" s="142"/>
      <c r="O103" s="143"/>
    </row>
    <row r="104" spans="2:15" x14ac:dyDescent="0.35">
      <c r="B104" s="138" t="str">
        <f>IF(Lançamentos!$B99="","",Lançamentos!$B99)</f>
        <v/>
      </c>
      <c r="C104" s="139" t="str">
        <f>IF($B104="","",IFERROR(INDEX(Lançamentos!$J$3:$J$1001,MATCH($B104,Lançamentos!$B$3:$B$1001,0)),""))</f>
        <v/>
      </c>
      <c r="D104" s="140"/>
      <c r="E104" s="140"/>
      <c r="F104" s="140"/>
      <c r="G104" s="140"/>
      <c r="H104" s="140"/>
      <c r="I104" s="140"/>
      <c r="J104" s="140"/>
      <c r="K104" s="140"/>
      <c r="L104" s="140"/>
      <c r="M104" s="141" t="str">
        <f t="shared" si="1"/>
        <v/>
      </c>
      <c r="N104" s="142"/>
      <c r="O104" s="143"/>
    </row>
    <row r="105" spans="2:15" x14ac:dyDescent="0.35">
      <c r="B105" s="138" t="str">
        <f>IF(Lançamentos!$B100="","",Lançamentos!$B100)</f>
        <v/>
      </c>
      <c r="C105" s="139" t="str">
        <f>IF($B105="","",IFERROR(INDEX(Lançamentos!$J$3:$J$1001,MATCH($B105,Lançamentos!$B$3:$B$1001,0)),""))</f>
        <v/>
      </c>
      <c r="D105" s="140"/>
      <c r="E105" s="140"/>
      <c r="F105" s="140"/>
      <c r="G105" s="140"/>
      <c r="H105" s="140"/>
      <c r="I105" s="140"/>
      <c r="J105" s="140"/>
      <c r="K105" s="140"/>
      <c r="L105" s="140"/>
      <c r="M105" s="141" t="str">
        <f t="shared" si="1"/>
        <v/>
      </c>
      <c r="N105" s="142"/>
      <c r="O105" s="143"/>
    </row>
    <row r="106" spans="2:15" x14ac:dyDescent="0.35">
      <c r="B106" s="138" t="str">
        <f>IF(Lançamentos!$B101="","",Lançamentos!$B101)</f>
        <v/>
      </c>
      <c r="C106" s="139" t="str">
        <f>IF($B106="","",IFERROR(INDEX(Lançamentos!$J$3:$J$1001,MATCH($B106,Lançamentos!$B$3:$B$1001,0)),""))</f>
        <v/>
      </c>
      <c r="D106" s="140"/>
      <c r="E106" s="140"/>
      <c r="F106" s="140"/>
      <c r="G106" s="140"/>
      <c r="H106" s="140"/>
      <c r="I106" s="140"/>
      <c r="J106" s="140"/>
      <c r="K106" s="140"/>
      <c r="L106" s="140"/>
      <c r="M106" s="141" t="str">
        <f t="shared" si="1"/>
        <v/>
      </c>
      <c r="N106" s="142"/>
      <c r="O106" s="143"/>
    </row>
    <row r="107" spans="2:15" x14ac:dyDescent="0.35">
      <c r="B107" s="138" t="str">
        <f>IF(Lançamentos!$B102="","",Lançamentos!$B102)</f>
        <v/>
      </c>
      <c r="C107" s="139" t="str">
        <f>IF($B107="","",IFERROR(INDEX(Lançamentos!$J$3:$J$1001,MATCH($B107,Lançamentos!$B$3:$B$1001,0)),""))</f>
        <v/>
      </c>
      <c r="D107" s="140"/>
      <c r="E107" s="140"/>
      <c r="F107" s="140"/>
      <c r="G107" s="140"/>
      <c r="H107" s="140"/>
      <c r="I107" s="140"/>
      <c r="J107" s="140"/>
      <c r="K107" s="140"/>
      <c r="L107" s="140"/>
      <c r="M107" s="141" t="str">
        <f t="shared" si="1"/>
        <v/>
      </c>
      <c r="N107" s="142"/>
      <c r="O107" s="143"/>
    </row>
    <row r="108" spans="2:15" x14ac:dyDescent="0.35">
      <c r="B108" s="138" t="str">
        <f>IF(Lançamentos!$B103="","",Lançamentos!$B103)</f>
        <v/>
      </c>
      <c r="C108" s="139" t="str">
        <f>IF($B108="","",IFERROR(INDEX(Lançamentos!$J$3:$J$1001,MATCH($B108,Lançamentos!$B$3:$B$1001,0)),""))</f>
        <v/>
      </c>
      <c r="D108" s="140"/>
      <c r="E108" s="140"/>
      <c r="F108" s="140"/>
      <c r="G108" s="140"/>
      <c r="H108" s="140"/>
      <c r="I108" s="140"/>
      <c r="J108" s="140"/>
      <c r="K108" s="140"/>
      <c r="L108" s="140"/>
      <c r="M108" s="141" t="str">
        <f t="shared" si="1"/>
        <v/>
      </c>
      <c r="N108" s="142"/>
      <c r="O108" s="143"/>
    </row>
    <row r="109" spans="2:15" x14ac:dyDescent="0.35">
      <c r="B109" s="138" t="str">
        <f>IF(Lançamentos!$B104="","",Lançamentos!$B104)</f>
        <v/>
      </c>
      <c r="C109" s="139" t="str">
        <f>IF($B109="","",IFERROR(INDEX(Lançamentos!$J$3:$J$1001,MATCH($B109,Lançamentos!$B$3:$B$1001,0)),""))</f>
        <v/>
      </c>
      <c r="D109" s="140"/>
      <c r="E109" s="140"/>
      <c r="F109" s="140"/>
      <c r="G109" s="140"/>
      <c r="H109" s="140"/>
      <c r="I109" s="140"/>
      <c r="J109" s="140"/>
      <c r="K109" s="140"/>
      <c r="L109" s="140"/>
      <c r="M109" s="141" t="str">
        <f t="shared" si="1"/>
        <v/>
      </c>
      <c r="N109" s="142"/>
      <c r="O109" s="143"/>
    </row>
    <row r="110" spans="2:15" x14ac:dyDescent="0.35">
      <c r="B110" s="138" t="str">
        <f>IF(Lançamentos!$B105="","",Lançamentos!$B105)</f>
        <v/>
      </c>
      <c r="C110" s="139" t="str">
        <f>IF($B110="","",IFERROR(INDEX(Lançamentos!$J$3:$J$1001,MATCH($B110,Lançamentos!$B$3:$B$1001,0)),""))</f>
        <v/>
      </c>
      <c r="D110" s="140"/>
      <c r="E110" s="140"/>
      <c r="F110" s="140"/>
      <c r="G110" s="140"/>
      <c r="H110" s="140"/>
      <c r="I110" s="140"/>
      <c r="J110" s="140"/>
      <c r="K110" s="140"/>
      <c r="L110" s="140"/>
      <c r="M110" s="141" t="str">
        <f t="shared" si="1"/>
        <v/>
      </c>
      <c r="N110" s="142"/>
      <c r="O110" s="143"/>
    </row>
    <row r="111" spans="2:15" x14ac:dyDescent="0.35">
      <c r="B111" s="138" t="str">
        <f>IF(Lançamentos!$B106="","",Lançamentos!$B106)</f>
        <v/>
      </c>
      <c r="C111" s="139" t="str">
        <f>IF($B111="","",IFERROR(INDEX(Lançamentos!$J$3:$J$1001,MATCH($B111,Lançamentos!$B$3:$B$1001,0)),""))</f>
        <v/>
      </c>
      <c r="D111" s="140"/>
      <c r="E111" s="140"/>
      <c r="F111" s="140"/>
      <c r="G111" s="140"/>
      <c r="H111" s="140"/>
      <c r="I111" s="140"/>
      <c r="J111" s="140"/>
      <c r="K111" s="140"/>
      <c r="L111" s="140"/>
      <c r="M111" s="141" t="str">
        <f t="shared" si="1"/>
        <v/>
      </c>
      <c r="N111" s="142"/>
      <c r="O111" s="143"/>
    </row>
    <row r="112" spans="2:15" x14ac:dyDescent="0.35">
      <c r="B112" s="138" t="str">
        <f>IF(Lançamentos!$B107="","",Lançamentos!$B107)</f>
        <v/>
      </c>
      <c r="C112" s="139" t="str">
        <f>IF($B112="","",IFERROR(INDEX(Lançamentos!$J$3:$J$1001,MATCH($B112,Lançamentos!$B$3:$B$1001,0)),""))</f>
        <v/>
      </c>
      <c r="D112" s="140"/>
      <c r="E112" s="140"/>
      <c r="F112" s="140"/>
      <c r="G112" s="140"/>
      <c r="H112" s="140"/>
      <c r="I112" s="140"/>
      <c r="J112" s="140"/>
      <c r="K112" s="140"/>
      <c r="L112" s="140"/>
      <c r="M112" s="141" t="str">
        <f t="shared" si="1"/>
        <v/>
      </c>
      <c r="N112" s="142"/>
      <c r="O112" s="143"/>
    </row>
    <row r="113" spans="2:15" x14ac:dyDescent="0.35">
      <c r="B113" s="138" t="str">
        <f>IF(Lançamentos!$B108="","",Lançamentos!$B108)</f>
        <v/>
      </c>
      <c r="C113" s="139" t="str">
        <f>IF($B113="","",IFERROR(INDEX(Lançamentos!$J$3:$J$1001,MATCH($B113,Lançamentos!$B$3:$B$1001,0)),""))</f>
        <v/>
      </c>
      <c r="D113" s="140"/>
      <c r="E113" s="140"/>
      <c r="F113" s="140"/>
      <c r="G113" s="140"/>
      <c r="H113" s="140"/>
      <c r="I113" s="140"/>
      <c r="J113" s="140"/>
      <c r="K113" s="140"/>
      <c r="L113" s="140"/>
      <c r="M113" s="141" t="str">
        <f t="shared" si="1"/>
        <v/>
      </c>
      <c r="N113" s="142"/>
      <c r="O113" s="143"/>
    </row>
    <row r="114" spans="2:15" x14ac:dyDescent="0.35">
      <c r="B114" s="138" t="str">
        <f>IF(Lançamentos!$B109="","",Lançamentos!$B109)</f>
        <v/>
      </c>
      <c r="C114" s="139" t="str">
        <f>IF($B114="","",IFERROR(INDEX(Lançamentos!$J$3:$J$1001,MATCH($B114,Lançamentos!$B$3:$B$1001,0)),""))</f>
        <v/>
      </c>
      <c r="D114" s="140"/>
      <c r="E114" s="140"/>
      <c r="F114" s="140"/>
      <c r="G114" s="140"/>
      <c r="H114" s="140"/>
      <c r="I114" s="140"/>
      <c r="J114" s="140"/>
      <c r="K114" s="140"/>
      <c r="L114" s="140"/>
      <c r="M114" s="141" t="str">
        <f t="shared" si="1"/>
        <v/>
      </c>
      <c r="N114" s="142"/>
      <c r="O114" s="143"/>
    </row>
    <row r="115" spans="2:15" x14ac:dyDescent="0.35">
      <c r="B115" s="138" t="str">
        <f>IF(Lançamentos!$B110="","",Lançamentos!$B110)</f>
        <v/>
      </c>
      <c r="C115" s="139" t="str">
        <f>IF($B115="","",IFERROR(INDEX(Lançamentos!$J$3:$J$1001,MATCH($B115,Lançamentos!$B$3:$B$1001,0)),""))</f>
        <v/>
      </c>
      <c r="D115" s="140"/>
      <c r="E115" s="140"/>
      <c r="F115" s="140"/>
      <c r="G115" s="140"/>
      <c r="H115" s="140"/>
      <c r="I115" s="140"/>
      <c r="J115" s="140"/>
      <c r="K115" s="140"/>
      <c r="L115" s="140"/>
      <c r="M115" s="141" t="str">
        <f t="shared" si="1"/>
        <v/>
      </c>
      <c r="N115" s="142"/>
      <c r="O115" s="143"/>
    </row>
    <row r="116" spans="2:15" x14ac:dyDescent="0.35">
      <c r="B116" s="138" t="str">
        <f>IF(Lançamentos!$B111="","",Lançamentos!$B111)</f>
        <v/>
      </c>
      <c r="C116" s="139" t="str">
        <f>IF($B116="","",IFERROR(INDEX(Lançamentos!$J$3:$J$1001,MATCH($B116,Lançamentos!$B$3:$B$1001,0)),""))</f>
        <v/>
      </c>
      <c r="D116" s="140"/>
      <c r="E116" s="140"/>
      <c r="F116" s="140"/>
      <c r="G116" s="140"/>
      <c r="H116" s="140"/>
      <c r="I116" s="140"/>
      <c r="J116" s="140"/>
      <c r="K116" s="140"/>
      <c r="L116" s="140"/>
      <c r="M116" s="141" t="str">
        <f t="shared" si="1"/>
        <v/>
      </c>
      <c r="N116" s="142"/>
      <c r="O116" s="143"/>
    </row>
    <row r="117" spans="2:15" x14ac:dyDescent="0.35">
      <c r="B117" s="138" t="str">
        <f>IF(Lançamentos!$B112="","",Lançamentos!$B112)</f>
        <v/>
      </c>
      <c r="C117" s="139" t="str">
        <f>IF($B117="","",IFERROR(INDEX(Lançamentos!$J$3:$J$1001,MATCH($B117,Lançamentos!$B$3:$B$1001,0)),""))</f>
        <v/>
      </c>
      <c r="D117" s="140"/>
      <c r="E117" s="140"/>
      <c r="F117" s="140"/>
      <c r="G117" s="140"/>
      <c r="H117" s="140"/>
      <c r="I117" s="140"/>
      <c r="J117" s="140"/>
      <c r="K117" s="140"/>
      <c r="L117" s="140"/>
      <c r="M117" s="141" t="str">
        <f t="shared" si="1"/>
        <v/>
      </c>
      <c r="N117" s="142"/>
      <c r="O117" s="143"/>
    </row>
    <row r="118" spans="2:15" x14ac:dyDescent="0.35">
      <c r="B118" s="138" t="str">
        <f>IF(Lançamentos!$B113="","",Lançamentos!$B113)</f>
        <v/>
      </c>
      <c r="C118" s="139" t="str">
        <f>IF($B118="","",IFERROR(INDEX(Lançamentos!$J$3:$J$1001,MATCH($B118,Lançamentos!$B$3:$B$1001,0)),""))</f>
        <v/>
      </c>
      <c r="D118" s="140"/>
      <c r="E118" s="140"/>
      <c r="F118" s="140"/>
      <c r="G118" s="140"/>
      <c r="H118" s="140"/>
      <c r="I118" s="140"/>
      <c r="J118" s="140"/>
      <c r="K118" s="140"/>
      <c r="L118" s="140"/>
      <c r="M118" s="141" t="str">
        <f t="shared" si="1"/>
        <v/>
      </c>
      <c r="N118" s="142"/>
      <c r="O118" s="143"/>
    </row>
    <row r="119" spans="2:15" x14ac:dyDescent="0.35">
      <c r="B119" s="138" t="str">
        <f>IF(Lançamentos!$B114="","",Lançamentos!$B114)</f>
        <v/>
      </c>
      <c r="C119" s="139" t="str">
        <f>IF($B119="","",IFERROR(INDEX(Lançamentos!$J$3:$J$1001,MATCH($B119,Lançamentos!$B$3:$B$1001,0)),""))</f>
        <v/>
      </c>
      <c r="D119" s="140"/>
      <c r="E119" s="140"/>
      <c r="F119" s="140"/>
      <c r="G119" s="140"/>
      <c r="H119" s="140"/>
      <c r="I119" s="140"/>
      <c r="J119" s="140"/>
      <c r="K119" s="140"/>
      <c r="L119" s="140"/>
      <c r="M119" s="141" t="str">
        <f t="shared" si="1"/>
        <v/>
      </c>
      <c r="N119" s="142"/>
      <c r="O119" s="143"/>
    </row>
    <row r="120" spans="2:15" x14ac:dyDescent="0.35">
      <c r="B120" s="138" t="str">
        <f>IF(Lançamentos!$B115="","",Lançamentos!$B115)</f>
        <v/>
      </c>
      <c r="C120" s="139" t="str">
        <f>IF($B120="","",IFERROR(INDEX(Lançamentos!$J$3:$J$1001,MATCH($B120,Lançamentos!$B$3:$B$1001,0)),""))</f>
        <v/>
      </c>
      <c r="D120" s="140"/>
      <c r="E120" s="140"/>
      <c r="F120" s="140"/>
      <c r="G120" s="140"/>
      <c r="H120" s="140"/>
      <c r="I120" s="140"/>
      <c r="J120" s="140"/>
      <c r="K120" s="140"/>
      <c r="L120" s="140"/>
      <c r="M120" s="141" t="str">
        <f t="shared" si="1"/>
        <v/>
      </c>
      <c r="N120" s="142"/>
      <c r="O120" s="143"/>
    </row>
    <row r="121" spans="2:15" x14ac:dyDescent="0.35">
      <c r="B121" s="138" t="str">
        <f>IF(Lançamentos!$B116="","",Lançamentos!$B116)</f>
        <v/>
      </c>
      <c r="C121" s="139" t="str">
        <f>IF($B121="","",IFERROR(INDEX(Lançamentos!$J$3:$J$1001,MATCH($B121,Lançamentos!$B$3:$B$1001,0)),""))</f>
        <v/>
      </c>
      <c r="D121" s="140"/>
      <c r="E121" s="140"/>
      <c r="F121" s="140"/>
      <c r="G121" s="140"/>
      <c r="H121" s="140"/>
      <c r="I121" s="140"/>
      <c r="J121" s="140"/>
      <c r="K121" s="140"/>
      <c r="L121" s="140"/>
      <c r="M121" s="141" t="str">
        <f t="shared" si="1"/>
        <v/>
      </c>
      <c r="N121" s="142"/>
      <c r="O121" s="143"/>
    </row>
    <row r="122" spans="2:15" x14ac:dyDescent="0.35">
      <c r="B122" s="138" t="str">
        <f>IF(Lançamentos!$B117="","",Lançamentos!$B117)</f>
        <v/>
      </c>
      <c r="C122" s="139" t="str">
        <f>IF($B122="","",IFERROR(INDEX(Lançamentos!$J$3:$J$1001,MATCH($B122,Lançamentos!$B$3:$B$1001,0)),""))</f>
        <v/>
      </c>
      <c r="D122" s="140"/>
      <c r="E122" s="140"/>
      <c r="F122" s="140"/>
      <c r="G122" s="140"/>
      <c r="H122" s="140"/>
      <c r="I122" s="140"/>
      <c r="J122" s="140"/>
      <c r="K122" s="140"/>
      <c r="L122" s="140"/>
      <c r="M122" s="141" t="str">
        <f t="shared" si="1"/>
        <v/>
      </c>
      <c r="N122" s="142"/>
      <c r="O122" s="143"/>
    </row>
    <row r="123" spans="2:15" x14ac:dyDescent="0.35">
      <c r="B123" s="138" t="str">
        <f>IF(Lançamentos!$B118="","",Lançamentos!$B118)</f>
        <v/>
      </c>
      <c r="C123" s="139" t="str">
        <f>IF($B123="","",IFERROR(INDEX(Lançamentos!$J$3:$J$1001,MATCH($B123,Lançamentos!$B$3:$B$1001,0)),""))</f>
        <v/>
      </c>
      <c r="D123" s="140"/>
      <c r="E123" s="140"/>
      <c r="F123" s="140"/>
      <c r="G123" s="140"/>
      <c r="H123" s="140"/>
      <c r="I123" s="140"/>
      <c r="J123" s="140"/>
      <c r="K123" s="140"/>
      <c r="L123" s="140"/>
      <c r="M123" s="141" t="str">
        <f t="shared" si="1"/>
        <v/>
      </c>
      <c r="N123" s="142"/>
      <c r="O123" s="143"/>
    </row>
    <row r="124" spans="2:15" x14ac:dyDescent="0.35">
      <c r="B124" s="138" t="str">
        <f>IF(Lançamentos!$B119="","",Lançamentos!$B119)</f>
        <v/>
      </c>
      <c r="C124" s="139" t="str">
        <f>IF($B124="","",IFERROR(INDEX(Lançamentos!$J$3:$J$1001,MATCH($B124,Lançamentos!$B$3:$B$1001,0)),""))</f>
        <v/>
      </c>
      <c r="D124" s="140"/>
      <c r="E124" s="140"/>
      <c r="F124" s="140"/>
      <c r="G124" s="140"/>
      <c r="H124" s="140"/>
      <c r="I124" s="140"/>
      <c r="J124" s="140"/>
      <c r="K124" s="140"/>
      <c r="L124" s="140"/>
      <c r="M124" s="141" t="str">
        <f t="shared" si="1"/>
        <v/>
      </c>
      <c r="N124" s="142"/>
      <c r="O124" s="143"/>
    </row>
    <row r="125" spans="2:15" x14ac:dyDescent="0.35">
      <c r="B125" s="138" t="str">
        <f>IF(Lançamentos!$B120="","",Lançamentos!$B120)</f>
        <v/>
      </c>
      <c r="C125" s="139" t="str">
        <f>IF($B125="","",IFERROR(INDEX(Lançamentos!$J$3:$J$1001,MATCH($B125,Lançamentos!$B$3:$B$1001,0)),""))</f>
        <v/>
      </c>
      <c r="D125" s="140"/>
      <c r="E125" s="140"/>
      <c r="F125" s="140"/>
      <c r="G125" s="140"/>
      <c r="H125" s="140"/>
      <c r="I125" s="140"/>
      <c r="J125" s="140"/>
      <c r="K125" s="140"/>
      <c r="L125" s="140"/>
      <c r="M125" s="141" t="str">
        <f t="shared" si="1"/>
        <v/>
      </c>
      <c r="N125" s="142"/>
      <c r="O125" s="143"/>
    </row>
    <row r="126" spans="2:15" x14ac:dyDescent="0.35">
      <c r="B126" s="138" t="str">
        <f>IF(Lançamentos!$B121="","",Lançamentos!$B121)</f>
        <v/>
      </c>
      <c r="C126" s="139" t="str">
        <f>IF($B126="","",IFERROR(INDEX(Lançamentos!$J$3:$J$1001,MATCH($B126,Lançamentos!$B$3:$B$1001,0)),""))</f>
        <v/>
      </c>
      <c r="D126" s="140"/>
      <c r="E126" s="140"/>
      <c r="F126" s="140"/>
      <c r="G126" s="140"/>
      <c r="H126" s="140"/>
      <c r="I126" s="140"/>
      <c r="J126" s="140"/>
      <c r="K126" s="140"/>
      <c r="L126" s="140"/>
      <c r="M126" s="141" t="str">
        <f t="shared" si="1"/>
        <v/>
      </c>
      <c r="N126" s="142"/>
      <c r="O126" s="143"/>
    </row>
    <row r="127" spans="2:15" x14ac:dyDescent="0.35">
      <c r="B127" s="138" t="str">
        <f>IF(Lançamentos!$B122="","",Lançamentos!$B122)</f>
        <v/>
      </c>
      <c r="C127" s="139" t="str">
        <f>IF($B127="","",IFERROR(INDEX(Lançamentos!$J$3:$J$1001,MATCH($B127,Lançamentos!$B$3:$B$1001,0)),""))</f>
        <v/>
      </c>
      <c r="D127" s="140"/>
      <c r="E127" s="140"/>
      <c r="F127" s="140"/>
      <c r="G127" s="140"/>
      <c r="H127" s="140"/>
      <c r="I127" s="140"/>
      <c r="J127" s="140"/>
      <c r="K127" s="140"/>
      <c r="L127" s="140"/>
      <c r="M127" s="141" t="str">
        <f t="shared" si="1"/>
        <v/>
      </c>
      <c r="N127" s="142"/>
      <c r="O127" s="143"/>
    </row>
    <row r="128" spans="2:15" x14ac:dyDescent="0.35">
      <c r="B128" s="138" t="str">
        <f>IF(Lançamentos!$B123="","",Lançamentos!$B123)</f>
        <v/>
      </c>
      <c r="C128" s="139" t="str">
        <f>IF($B128="","",IFERROR(INDEX(Lançamentos!$J$3:$J$1001,MATCH($B128,Lançamentos!$B$3:$B$1001,0)),""))</f>
        <v/>
      </c>
      <c r="D128" s="140"/>
      <c r="E128" s="140"/>
      <c r="F128" s="140"/>
      <c r="G128" s="140"/>
      <c r="H128" s="140"/>
      <c r="I128" s="140"/>
      <c r="J128" s="140"/>
      <c r="K128" s="140"/>
      <c r="L128" s="140"/>
      <c r="M128" s="141" t="str">
        <f t="shared" si="1"/>
        <v/>
      </c>
      <c r="N128" s="142"/>
      <c r="O128" s="143"/>
    </row>
    <row r="129" spans="2:15" x14ac:dyDescent="0.35">
      <c r="B129" s="138" t="str">
        <f>IF(Lançamentos!$B124="","",Lançamentos!$B124)</f>
        <v/>
      </c>
      <c r="C129" s="139" t="str">
        <f>IF($B129="","",IFERROR(INDEX(Lançamentos!$J$3:$J$1001,MATCH($B129,Lançamentos!$B$3:$B$1001,0)),""))</f>
        <v/>
      </c>
      <c r="D129" s="140"/>
      <c r="E129" s="140"/>
      <c r="F129" s="140"/>
      <c r="G129" s="140"/>
      <c r="H129" s="140"/>
      <c r="I129" s="140"/>
      <c r="J129" s="140"/>
      <c r="K129" s="140"/>
      <c r="L129" s="140"/>
      <c r="M129" s="141" t="str">
        <f t="shared" si="1"/>
        <v/>
      </c>
      <c r="N129" s="142"/>
      <c r="O129" s="143"/>
    </row>
    <row r="130" spans="2:15" x14ac:dyDescent="0.35">
      <c r="B130" s="138" t="str">
        <f>IF(Lançamentos!$B125="","",Lançamentos!$B125)</f>
        <v/>
      </c>
      <c r="C130" s="139" t="str">
        <f>IF($B130="","",IFERROR(INDEX(Lançamentos!$J$3:$J$1001,MATCH($B130,Lançamentos!$B$3:$B$1001,0)),""))</f>
        <v/>
      </c>
      <c r="D130" s="140"/>
      <c r="E130" s="140"/>
      <c r="F130" s="140"/>
      <c r="G130" s="140"/>
      <c r="H130" s="140"/>
      <c r="I130" s="140"/>
      <c r="J130" s="140"/>
      <c r="K130" s="140"/>
      <c r="L130" s="140"/>
      <c r="M130" s="141" t="str">
        <f t="shared" si="1"/>
        <v/>
      </c>
      <c r="N130" s="142"/>
      <c r="O130" s="143"/>
    </row>
    <row r="131" spans="2:15" x14ac:dyDescent="0.35">
      <c r="B131" s="138" t="str">
        <f>IF(Lançamentos!$B126="","",Lançamentos!$B126)</f>
        <v/>
      </c>
      <c r="C131" s="139" t="str">
        <f>IF($B131="","",IFERROR(INDEX(Lançamentos!$J$3:$J$1001,MATCH($B131,Lançamentos!$B$3:$B$1001,0)),""))</f>
        <v/>
      </c>
      <c r="D131" s="140"/>
      <c r="E131" s="140"/>
      <c r="F131" s="140"/>
      <c r="G131" s="140"/>
      <c r="H131" s="140"/>
      <c r="I131" s="140"/>
      <c r="J131" s="140"/>
      <c r="K131" s="140"/>
      <c r="L131" s="140"/>
      <c r="M131" s="141" t="str">
        <f t="shared" si="1"/>
        <v/>
      </c>
      <c r="N131" s="142"/>
      <c r="O131" s="143"/>
    </row>
    <row r="132" spans="2:15" x14ac:dyDescent="0.35">
      <c r="B132" s="138" t="str">
        <f>IF(Lançamentos!$B127="","",Lançamentos!$B127)</f>
        <v/>
      </c>
      <c r="C132" s="139" t="str">
        <f>IF($B132="","",IFERROR(INDEX(Lançamentos!$J$3:$J$1001,MATCH($B132,Lançamentos!$B$3:$B$1001,0)),""))</f>
        <v/>
      </c>
      <c r="D132" s="140"/>
      <c r="E132" s="140"/>
      <c r="F132" s="140"/>
      <c r="G132" s="140"/>
      <c r="H132" s="140"/>
      <c r="I132" s="140"/>
      <c r="J132" s="140"/>
      <c r="K132" s="140"/>
      <c r="L132" s="140"/>
      <c r="M132" s="141" t="str">
        <f t="shared" si="1"/>
        <v/>
      </c>
      <c r="N132" s="142"/>
      <c r="O132" s="143"/>
    </row>
    <row r="133" spans="2:15" x14ac:dyDescent="0.35">
      <c r="B133" s="138" t="str">
        <f>IF(Lançamentos!$B128="","",Lançamentos!$B128)</f>
        <v/>
      </c>
      <c r="C133" s="139" t="str">
        <f>IF($B133="","",IFERROR(INDEX(Lançamentos!$J$3:$J$1001,MATCH($B133,Lançamentos!$B$3:$B$1001,0)),""))</f>
        <v/>
      </c>
      <c r="D133" s="140"/>
      <c r="E133" s="140"/>
      <c r="F133" s="140"/>
      <c r="G133" s="140"/>
      <c r="H133" s="140"/>
      <c r="I133" s="140"/>
      <c r="J133" s="140"/>
      <c r="K133" s="140"/>
      <c r="L133" s="140"/>
      <c r="M133" s="141" t="str">
        <f t="shared" si="1"/>
        <v/>
      </c>
      <c r="N133" s="142"/>
      <c r="O133" s="143"/>
    </row>
    <row r="134" spans="2:15" x14ac:dyDescent="0.35">
      <c r="B134" s="138" t="str">
        <f>IF(Lançamentos!$B129="","",Lançamentos!$B129)</f>
        <v/>
      </c>
      <c r="C134" s="139" t="str">
        <f>IF($B134="","",IFERROR(INDEX(Lançamentos!$J$3:$J$1001,MATCH($B134,Lançamentos!$B$3:$B$1001,0)),""))</f>
        <v/>
      </c>
      <c r="D134" s="140"/>
      <c r="E134" s="140"/>
      <c r="F134" s="140"/>
      <c r="G134" s="140"/>
      <c r="H134" s="140"/>
      <c r="I134" s="140"/>
      <c r="J134" s="140"/>
      <c r="K134" s="140"/>
      <c r="L134" s="140"/>
      <c r="M134" s="141" t="str">
        <f t="shared" si="1"/>
        <v/>
      </c>
      <c r="N134" s="142"/>
      <c r="O134" s="143"/>
    </row>
    <row r="135" spans="2:15" x14ac:dyDescent="0.35">
      <c r="B135" s="138" t="str">
        <f>IF(Lançamentos!$B130="","",Lançamentos!$B130)</f>
        <v/>
      </c>
      <c r="C135" s="139" t="str">
        <f>IF($B135="","",IFERROR(INDEX(Lançamentos!$J$3:$J$1001,MATCH($B135,Lançamentos!$B$3:$B$1001,0)),""))</f>
        <v/>
      </c>
      <c r="D135" s="140"/>
      <c r="E135" s="140"/>
      <c r="F135" s="140"/>
      <c r="G135" s="140"/>
      <c r="H135" s="140"/>
      <c r="I135" s="140"/>
      <c r="J135" s="140"/>
      <c r="K135" s="140"/>
      <c r="L135" s="140"/>
      <c r="M135" s="141" t="str">
        <f t="shared" si="1"/>
        <v/>
      </c>
      <c r="N135" s="142"/>
      <c r="O135" s="143"/>
    </row>
    <row r="136" spans="2:15" x14ac:dyDescent="0.35">
      <c r="B136" s="138" t="str">
        <f>IF(Lançamentos!$B131="","",Lançamentos!$B131)</f>
        <v/>
      </c>
      <c r="C136" s="139" t="str">
        <f>IF($B136="","",IFERROR(INDEX(Lançamentos!$J$3:$J$1001,MATCH($B136,Lançamentos!$B$3:$B$1001,0)),""))</f>
        <v/>
      </c>
      <c r="D136" s="140"/>
      <c r="E136" s="140"/>
      <c r="F136" s="140"/>
      <c r="G136" s="140"/>
      <c r="H136" s="140"/>
      <c r="I136" s="140"/>
      <c r="J136" s="140"/>
      <c r="K136" s="140"/>
      <c r="L136" s="140"/>
      <c r="M136" s="141" t="str">
        <f t="shared" si="1"/>
        <v/>
      </c>
      <c r="N136" s="142"/>
      <c r="O136" s="143"/>
    </row>
    <row r="137" spans="2:15" x14ac:dyDescent="0.35">
      <c r="B137" s="138" t="str">
        <f>IF(Lançamentos!$B132="","",Lançamentos!$B132)</f>
        <v/>
      </c>
      <c r="C137" s="139" t="str">
        <f>IF($B137="","",IFERROR(INDEX(Lançamentos!$J$3:$J$1001,MATCH($B137,Lançamentos!$B$3:$B$1001,0)),""))</f>
        <v/>
      </c>
      <c r="D137" s="140"/>
      <c r="E137" s="140"/>
      <c r="F137" s="140"/>
      <c r="G137" s="140"/>
      <c r="H137" s="140"/>
      <c r="I137" s="140"/>
      <c r="J137" s="140"/>
      <c r="K137" s="140"/>
      <c r="L137" s="140"/>
      <c r="M137" s="141" t="str">
        <f t="shared" ref="M137:M200" si="2">IF(B137="","",IF(COUNTIF(E137:L137,"N/A")=8,0,COUNTIF(E137:L137,"✔ Concluído")/(8-COUNTIF(E137:L137,"N/A"))))</f>
        <v/>
      </c>
      <c r="N137" s="142"/>
      <c r="O137" s="143"/>
    </row>
    <row r="138" spans="2:15" x14ac:dyDescent="0.35">
      <c r="B138" s="138" t="str">
        <f>IF(Lançamentos!$B133="","",Lançamentos!$B133)</f>
        <v/>
      </c>
      <c r="C138" s="139" t="str">
        <f>IF($B138="","",IFERROR(INDEX(Lançamentos!$J$3:$J$1001,MATCH($B138,Lançamentos!$B$3:$B$1001,0)),""))</f>
        <v/>
      </c>
      <c r="D138" s="140"/>
      <c r="E138" s="140"/>
      <c r="F138" s="140"/>
      <c r="G138" s="140"/>
      <c r="H138" s="140"/>
      <c r="I138" s="140"/>
      <c r="J138" s="140"/>
      <c r="K138" s="140"/>
      <c r="L138" s="140"/>
      <c r="M138" s="141" t="str">
        <f t="shared" si="2"/>
        <v/>
      </c>
      <c r="N138" s="142"/>
      <c r="O138" s="143"/>
    </row>
    <row r="139" spans="2:15" x14ac:dyDescent="0.35">
      <c r="B139" s="138" t="str">
        <f>IF(Lançamentos!$B134="","",Lançamentos!$B134)</f>
        <v/>
      </c>
      <c r="C139" s="139" t="str">
        <f>IF($B139="","",IFERROR(INDEX(Lançamentos!$J$3:$J$1001,MATCH($B139,Lançamentos!$B$3:$B$1001,0)),""))</f>
        <v/>
      </c>
      <c r="D139" s="140"/>
      <c r="E139" s="140"/>
      <c r="F139" s="140"/>
      <c r="G139" s="140"/>
      <c r="H139" s="140"/>
      <c r="I139" s="140"/>
      <c r="J139" s="140"/>
      <c r="K139" s="140"/>
      <c r="L139" s="140"/>
      <c r="M139" s="141" t="str">
        <f t="shared" si="2"/>
        <v/>
      </c>
      <c r="N139" s="142"/>
      <c r="O139" s="143"/>
    </row>
    <row r="140" spans="2:15" x14ac:dyDescent="0.35">
      <c r="B140" s="138" t="str">
        <f>IF(Lançamentos!$B135="","",Lançamentos!$B135)</f>
        <v/>
      </c>
      <c r="C140" s="139" t="str">
        <f>IF($B140="","",IFERROR(INDEX(Lançamentos!$J$3:$J$1001,MATCH($B140,Lançamentos!$B$3:$B$1001,0)),""))</f>
        <v/>
      </c>
      <c r="D140" s="140"/>
      <c r="E140" s="140"/>
      <c r="F140" s="140"/>
      <c r="G140" s="140"/>
      <c r="H140" s="140"/>
      <c r="I140" s="140"/>
      <c r="J140" s="140"/>
      <c r="K140" s="140"/>
      <c r="L140" s="140"/>
      <c r="M140" s="141" t="str">
        <f t="shared" si="2"/>
        <v/>
      </c>
      <c r="N140" s="142"/>
      <c r="O140" s="143"/>
    </row>
    <row r="141" spans="2:15" x14ac:dyDescent="0.35">
      <c r="B141" s="138" t="str">
        <f>IF(Lançamentos!$B136="","",Lançamentos!$B136)</f>
        <v/>
      </c>
      <c r="C141" s="139" t="str">
        <f>IF($B141="","",IFERROR(INDEX(Lançamentos!$J$3:$J$1001,MATCH($B141,Lançamentos!$B$3:$B$1001,0)),""))</f>
        <v/>
      </c>
      <c r="D141" s="140"/>
      <c r="E141" s="140"/>
      <c r="F141" s="140"/>
      <c r="G141" s="140"/>
      <c r="H141" s="140"/>
      <c r="I141" s="140"/>
      <c r="J141" s="140"/>
      <c r="K141" s="140"/>
      <c r="L141" s="140"/>
      <c r="M141" s="141" t="str">
        <f t="shared" si="2"/>
        <v/>
      </c>
      <c r="N141" s="142"/>
      <c r="O141" s="143"/>
    </row>
    <row r="142" spans="2:15" x14ac:dyDescent="0.35">
      <c r="B142" s="138" t="str">
        <f>IF(Lançamentos!$B137="","",Lançamentos!$B137)</f>
        <v/>
      </c>
      <c r="C142" s="139" t="str">
        <f>IF($B142="","",IFERROR(INDEX(Lançamentos!$J$3:$J$1001,MATCH($B142,Lançamentos!$B$3:$B$1001,0)),""))</f>
        <v/>
      </c>
      <c r="D142" s="140"/>
      <c r="E142" s="140"/>
      <c r="F142" s="140"/>
      <c r="G142" s="140"/>
      <c r="H142" s="140"/>
      <c r="I142" s="140"/>
      <c r="J142" s="140"/>
      <c r="K142" s="140"/>
      <c r="L142" s="140"/>
      <c r="M142" s="141" t="str">
        <f t="shared" si="2"/>
        <v/>
      </c>
      <c r="N142" s="142"/>
      <c r="O142" s="143"/>
    </row>
    <row r="143" spans="2:15" x14ac:dyDescent="0.35">
      <c r="B143" s="138" t="str">
        <f>IF(Lançamentos!$B138="","",Lançamentos!$B138)</f>
        <v/>
      </c>
      <c r="C143" s="139" t="str">
        <f>IF($B143="","",IFERROR(INDEX(Lançamentos!$J$3:$J$1001,MATCH($B143,Lançamentos!$B$3:$B$1001,0)),""))</f>
        <v/>
      </c>
      <c r="D143" s="140"/>
      <c r="E143" s="140"/>
      <c r="F143" s="140"/>
      <c r="G143" s="140"/>
      <c r="H143" s="140"/>
      <c r="I143" s="140"/>
      <c r="J143" s="140"/>
      <c r="K143" s="140"/>
      <c r="L143" s="140"/>
      <c r="M143" s="141" t="str">
        <f t="shared" si="2"/>
        <v/>
      </c>
      <c r="N143" s="142"/>
      <c r="O143" s="143"/>
    </row>
    <row r="144" spans="2:15" x14ac:dyDescent="0.35">
      <c r="B144" s="138" t="str">
        <f>IF(Lançamentos!$B139="","",Lançamentos!$B139)</f>
        <v/>
      </c>
      <c r="C144" s="139" t="str">
        <f>IF($B144="","",IFERROR(INDEX(Lançamentos!$J$3:$J$1001,MATCH($B144,Lançamentos!$B$3:$B$1001,0)),""))</f>
        <v/>
      </c>
      <c r="D144" s="140"/>
      <c r="E144" s="140"/>
      <c r="F144" s="140"/>
      <c r="G144" s="140"/>
      <c r="H144" s="140"/>
      <c r="I144" s="140"/>
      <c r="J144" s="140"/>
      <c r="K144" s="140"/>
      <c r="L144" s="140"/>
      <c r="M144" s="141" t="str">
        <f t="shared" si="2"/>
        <v/>
      </c>
      <c r="N144" s="142"/>
      <c r="O144" s="143"/>
    </row>
    <row r="145" spans="2:15" x14ac:dyDescent="0.35">
      <c r="B145" s="138" t="str">
        <f>IF(Lançamentos!$B140="","",Lançamentos!$B140)</f>
        <v/>
      </c>
      <c r="C145" s="139" t="str">
        <f>IF($B145="","",IFERROR(INDEX(Lançamentos!$J$3:$J$1001,MATCH($B145,Lançamentos!$B$3:$B$1001,0)),""))</f>
        <v/>
      </c>
      <c r="D145" s="140"/>
      <c r="E145" s="140"/>
      <c r="F145" s="140"/>
      <c r="G145" s="140"/>
      <c r="H145" s="140"/>
      <c r="I145" s="140"/>
      <c r="J145" s="140"/>
      <c r="K145" s="140"/>
      <c r="L145" s="140"/>
      <c r="M145" s="141" t="str">
        <f t="shared" si="2"/>
        <v/>
      </c>
      <c r="N145" s="142"/>
      <c r="O145" s="143"/>
    </row>
    <row r="146" spans="2:15" x14ac:dyDescent="0.35">
      <c r="B146" s="138" t="str">
        <f>IF(Lançamentos!$B141="","",Lançamentos!$B141)</f>
        <v/>
      </c>
      <c r="C146" s="139" t="str">
        <f>IF($B146="","",IFERROR(INDEX(Lançamentos!$J$3:$J$1001,MATCH($B146,Lançamentos!$B$3:$B$1001,0)),""))</f>
        <v/>
      </c>
      <c r="D146" s="140"/>
      <c r="E146" s="140"/>
      <c r="F146" s="140"/>
      <c r="G146" s="140"/>
      <c r="H146" s="140"/>
      <c r="I146" s="140"/>
      <c r="J146" s="140"/>
      <c r="K146" s="140"/>
      <c r="L146" s="140"/>
      <c r="M146" s="141" t="str">
        <f t="shared" si="2"/>
        <v/>
      </c>
      <c r="N146" s="142"/>
      <c r="O146" s="143"/>
    </row>
    <row r="147" spans="2:15" x14ac:dyDescent="0.35">
      <c r="B147" s="138" t="str">
        <f>IF(Lançamentos!$B142="","",Lançamentos!$B142)</f>
        <v/>
      </c>
      <c r="C147" s="139" t="str">
        <f>IF($B147="","",IFERROR(INDEX(Lançamentos!$J$3:$J$1001,MATCH($B147,Lançamentos!$B$3:$B$1001,0)),""))</f>
        <v/>
      </c>
      <c r="D147" s="140"/>
      <c r="E147" s="140"/>
      <c r="F147" s="140"/>
      <c r="G147" s="140"/>
      <c r="H147" s="140"/>
      <c r="I147" s="140"/>
      <c r="J147" s="140"/>
      <c r="K147" s="140"/>
      <c r="L147" s="140"/>
      <c r="M147" s="141" t="str">
        <f t="shared" si="2"/>
        <v/>
      </c>
      <c r="N147" s="142"/>
      <c r="O147" s="143"/>
    </row>
    <row r="148" spans="2:15" x14ac:dyDescent="0.35">
      <c r="B148" s="138" t="str">
        <f>IF(Lançamentos!$B143="","",Lançamentos!$B143)</f>
        <v/>
      </c>
      <c r="C148" s="139" t="str">
        <f>IF($B148="","",IFERROR(INDEX(Lançamentos!$J$3:$J$1001,MATCH($B148,Lançamentos!$B$3:$B$1001,0)),""))</f>
        <v/>
      </c>
      <c r="D148" s="140"/>
      <c r="E148" s="140"/>
      <c r="F148" s="140"/>
      <c r="G148" s="140"/>
      <c r="H148" s="140"/>
      <c r="I148" s="140"/>
      <c r="J148" s="140"/>
      <c r="K148" s="140"/>
      <c r="L148" s="140"/>
      <c r="M148" s="141" t="str">
        <f t="shared" si="2"/>
        <v/>
      </c>
      <c r="N148" s="142"/>
      <c r="O148" s="143"/>
    </row>
    <row r="149" spans="2:15" x14ac:dyDescent="0.35">
      <c r="B149" s="138" t="str">
        <f>IF(Lançamentos!$B144="","",Lançamentos!$B144)</f>
        <v/>
      </c>
      <c r="C149" s="139" t="str">
        <f>IF($B149="","",IFERROR(INDEX(Lançamentos!$J$3:$J$1001,MATCH($B149,Lançamentos!$B$3:$B$1001,0)),""))</f>
        <v/>
      </c>
      <c r="D149" s="140"/>
      <c r="E149" s="140"/>
      <c r="F149" s="140"/>
      <c r="G149" s="140"/>
      <c r="H149" s="140"/>
      <c r="I149" s="140"/>
      <c r="J149" s="140"/>
      <c r="K149" s="140"/>
      <c r="L149" s="140"/>
      <c r="M149" s="141" t="str">
        <f t="shared" si="2"/>
        <v/>
      </c>
      <c r="N149" s="142"/>
      <c r="O149" s="143"/>
    </row>
    <row r="150" spans="2:15" x14ac:dyDescent="0.35">
      <c r="B150" s="138" t="str">
        <f>IF(Lançamentos!$B145="","",Lançamentos!$B145)</f>
        <v/>
      </c>
      <c r="C150" s="139" t="str">
        <f>IF($B150="","",IFERROR(INDEX(Lançamentos!$J$3:$J$1001,MATCH($B150,Lançamentos!$B$3:$B$1001,0)),""))</f>
        <v/>
      </c>
      <c r="D150" s="140"/>
      <c r="E150" s="140"/>
      <c r="F150" s="140"/>
      <c r="G150" s="140"/>
      <c r="H150" s="140"/>
      <c r="I150" s="140"/>
      <c r="J150" s="140"/>
      <c r="K150" s="140"/>
      <c r="L150" s="140"/>
      <c r="M150" s="141" t="str">
        <f t="shared" si="2"/>
        <v/>
      </c>
      <c r="N150" s="142"/>
      <c r="O150" s="143"/>
    </row>
    <row r="151" spans="2:15" x14ac:dyDescent="0.35">
      <c r="B151" s="138" t="str">
        <f>IF(Lançamentos!$B146="","",Lançamentos!$B146)</f>
        <v/>
      </c>
      <c r="C151" s="139" t="str">
        <f>IF($B151="","",IFERROR(INDEX(Lançamentos!$J$3:$J$1001,MATCH($B151,Lançamentos!$B$3:$B$1001,0)),""))</f>
        <v/>
      </c>
      <c r="D151" s="140"/>
      <c r="E151" s="140"/>
      <c r="F151" s="140"/>
      <c r="G151" s="140"/>
      <c r="H151" s="140"/>
      <c r="I151" s="140"/>
      <c r="J151" s="140"/>
      <c r="K151" s="140"/>
      <c r="L151" s="140"/>
      <c r="M151" s="141" t="str">
        <f t="shared" si="2"/>
        <v/>
      </c>
      <c r="N151" s="142"/>
      <c r="O151" s="143"/>
    </row>
    <row r="152" spans="2:15" x14ac:dyDescent="0.35">
      <c r="B152" s="138" t="str">
        <f>IF(Lançamentos!$B147="","",Lançamentos!$B147)</f>
        <v/>
      </c>
      <c r="C152" s="139" t="str">
        <f>IF($B152="","",IFERROR(INDEX(Lançamentos!$J$3:$J$1001,MATCH($B152,Lançamentos!$B$3:$B$1001,0)),""))</f>
        <v/>
      </c>
      <c r="D152" s="140"/>
      <c r="E152" s="140"/>
      <c r="F152" s="140"/>
      <c r="G152" s="140"/>
      <c r="H152" s="140"/>
      <c r="I152" s="140"/>
      <c r="J152" s="140"/>
      <c r="K152" s="140"/>
      <c r="L152" s="140"/>
      <c r="M152" s="141" t="str">
        <f t="shared" si="2"/>
        <v/>
      </c>
      <c r="N152" s="142"/>
      <c r="O152" s="143"/>
    </row>
    <row r="153" spans="2:15" x14ac:dyDescent="0.35">
      <c r="B153" s="138" t="str">
        <f>IF(Lançamentos!$B148="","",Lançamentos!$B148)</f>
        <v/>
      </c>
      <c r="C153" s="139" t="str">
        <f>IF($B153="","",IFERROR(INDEX(Lançamentos!$J$3:$J$1001,MATCH($B153,Lançamentos!$B$3:$B$1001,0)),""))</f>
        <v/>
      </c>
      <c r="D153" s="140"/>
      <c r="E153" s="140"/>
      <c r="F153" s="140"/>
      <c r="G153" s="140"/>
      <c r="H153" s="140"/>
      <c r="I153" s="140"/>
      <c r="J153" s="140"/>
      <c r="K153" s="140"/>
      <c r="L153" s="140"/>
      <c r="M153" s="141" t="str">
        <f t="shared" si="2"/>
        <v/>
      </c>
      <c r="N153" s="142"/>
      <c r="O153" s="143"/>
    </row>
    <row r="154" spans="2:15" x14ac:dyDescent="0.35">
      <c r="B154" s="138" t="str">
        <f>IF(Lançamentos!$B149="","",Lançamentos!$B149)</f>
        <v/>
      </c>
      <c r="C154" s="139" t="str">
        <f>IF($B154="","",IFERROR(INDEX(Lançamentos!$J$3:$J$1001,MATCH($B154,Lançamentos!$B$3:$B$1001,0)),""))</f>
        <v/>
      </c>
      <c r="D154" s="140"/>
      <c r="E154" s="140"/>
      <c r="F154" s="140"/>
      <c r="G154" s="140"/>
      <c r="H154" s="140"/>
      <c r="I154" s="140"/>
      <c r="J154" s="140"/>
      <c r="K154" s="140"/>
      <c r="L154" s="140"/>
      <c r="M154" s="141" t="str">
        <f t="shared" si="2"/>
        <v/>
      </c>
      <c r="N154" s="142"/>
      <c r="O154" s="143"/>
    </row>
    <row r="155" spans="2:15" x14ac:dyDescent="0.35">
      <c r="B155" s="138" t="str">
        <f>IF(Lançamentos!$B150="","",Lançamentos!$B150)</f>
        <v/>
      </c>
      <c r="C155" s="139" t="str">
        <f>IF($B155="","",IFERROR(INDEX(Lançamentos!$J$3:$J$1001,MATCH($B155,Lançamentos!$B$3:$B$1001,0)),""))</f>
        <v/>
      </c>
      <c r="D155" s="140"/>
      <c r="E155" s="140"/>
      <c r="F155" s="140"/>
      <c r="G155" s="140"/>
      <c r="H155" s="140"/>
      <c r="I155" s="140"/>
      <c r="J155" s="140"/>
      <c r="K155" s="140"/>
      <c r="L155" s="140"/>
      <c r="M155" s="141" t="str">
        <f t="shared" si="2"/>
        <v/>
      </c>
      <c r="N155" s="142"/>
      <c r="O155" s="143"/>
    </row>
    <row r="156" spans="2:15" x14ac:dyDescent="0.35">
      <c r="B156" s="138" t="str">
        <f>IF(Lançamentos!$B151="","",Lançamentos!$B151)</f>
        <v/>
      </c>
      <c r="C156" s="139" t="str">
        <f>IF($B156="","",IFERROR(INDEX(Lançamentos!$J$3:$J$1001,MATCH($B156,Lançamentos!$B$3:$B$1001,0)),""))</f>
        <v/>
      </c>
      <c r="D156" s="140"/>
      <c r="E156" s="140"/>
      <c r="F156" s="140"/>
      <c r="G156" s="140"/>
      <c r="H156" s="140"/>
      <c r="I156" s="140"/>
      <c r="J156" s="140"/>
      <c r="K156" s="140"/>
      <c r="L156" s="140"/>
      <c r="M156" s="141" t="str">
        <f t="shared" si="2"/>
        <v/>
      </c>
      <c r="N156" s="142"/>
      <c r="O156" s="143"/>
    </row>
    <row r="157" spans="2:15" x14ac:dyDescent="0.35">
      <c r="B157" s="138" t="str">
        <f>IF(Lançamentos!$B152="","",Lançamentos!$B152)</f>
        <v/>
      </c>
      <c r="C157" s="139" t="str">
        <f>IF($B157="","",IFERROR(INDEX(Lançamentos!$J$3:$J$1001,MATCH($B157,Lançamentos!$B$3:$B$1001,0)),""))</f>
        <v/>
      </c>
      <c r="D157" s="140"/>
      <c r="E157" s="140"/>
      <c r="F157" s="140"/>
      <c r="G157" s="140"/>
      <c r="H157" s="140"/>
      <c r="I157" s="140"/>
      <c r="J157" s="140"/>
      <c r="K157" s="140"/>
      <c r="L157" s="140"/>
      <c r="M157" s="141" t="str">
        <f t="shared" si="2"/>
        <v/>
      </c>
      <c r="N157" s="142"/>
      <c r="O157" s="143"/>
    </row>
    <row r="158" spans="2:15" x14ac:dyDescent="0.35">
      <c r="B158" s="138" t="str">
        <f>IF(Lançamentos!$B153="","",Lançamentos!$B153)</f>
        <v/>
      </c>
      <c r="C158" s="139" t="str">
        <f>IF($B158="","",IFERROR(INDEX(Lançamentos!$J$3:$J$1001,MATCH($B158,Lançamentos!$B$3:$B$1001,0)),""))</f>
        <v/>
      </c>
      <c r="D158" s="140"/>
      <c r="E158" s="140"/>
      <c r="F158" s="140"/>
      <c r="G158" s="140"/>
      <c r="H158" s="140"/>
      <c r="I158" s="140"/>
      <c r="J158" s="140"/>
      <c r="K158" s="140"/>
      <c r="L158" s="140"/>
      <c r="M158" s="141" t="str">
        <f t="shared" si="2"/>
        <v/>
      </c>
      <c r="N158" s="142"/>
      <c r="O158" s="143"/>
    </row>
    <row r="159" spans="2:15" x14ac:dyDescent="0.35">
      <c r="B159" s="138" t="str">
        <f>IF(Lançamentos!$B154="","",Lançamentos!$B154)</f>
        <v/>
      </c>
      <c r="C159" s="139" t="str">
        <f>IF($B159="","",IFERROR(INDEX(Lançamentos!$J$3:$J$1001,MATCH($B159,Lançamentos!$B$3:$B$1001,0)),""))</f>
        <v/>
      </c>
      <c r="D159" s="140"/>
      <c r="E159" s="140"/>
      <c r="F159" s="140"/>
      <c r="G159" s="140"/>
      <c r="H159" s="140"/>
      <c r="I159" s="140"/>
      <c r="J159" s="140"/>
      <c r="K159" s="140"/>
      <c r="L159" s="140"/>
      <c r="M159" s="141" t="str">
        <f t="shared" si="2"/>
        <v/>
      </c>
      <c r="N159" s="142"/>
      <c r="O159" s="143"/>
    </row>
    <row r="160" spans="2:15" x14ac:dyDescent="0.35">
      <c r="B160" s="138" t="str">
        <f>IF(Lançamentos!$B155="","",Lançamentos!$B155)</f>
        <v/>
      </c>
      <c r="C160" s="139" t="str">
        <f>IF($B160="","",IFERROR(INDEX(Lançamentos!$J$3:$J$1001,MATCH($B160,Lançamentos!$B$3:$B$1001,0)),""))</f>
        <v/>
      </c>
      <c r="D160" s="140"/>
      <c r="E160" s="140"/>
      <c r="F160" s="140"/>
      <c r="G160" s="140"/>
      <c r="H160" s="140"/>
      <c r="I160" s="140"/>
      <c r="J160" s="140"/>
      <c r="K160" s="140"/>
      <c r="L160" s="140"/>
      <c r="M160" s="141" t="str">
        <f t="shared" si="2"/>
        <v/>
      </c>
      <c r="N160" s="142"/>
      <c r="O160" s="143"/>
    </row>
    <row r="161" spans="2:15" x14ac:dyDescent="0.35">
      <c r="B161" s="138" t="str">
        <f>IF(Lançamentos!$B156="","",Lançamentos!$B156)</f>
        <v/>
      </c>
      <c r="C161" s="139" t="str">
        <f>IF($B161="","",IFERROR(INDEX(Lançamentos!$J$3:$J$1001,MATCH($B161,Lançamentos!$B$3:$B$1001,0)),""))</f>
        <v/>
      </c>
      <c r="D161" s="140"/>
      <c r="E161" s="140"/>
      <c r="F161" s="140"/>
      <c r="G161" s="140"/>
      <c r="H161" s="140"/>
      <c r="I161" s="140"/>
      <c r="J161" s="140"/>
      <c r="K161" s="140"/>
      <c r="L161" s="140"/>
      <c r="M161" s="141" t="str">
        <f t="shared" si="2"/>
        <v/>
      </c>
      <c r="N161" s="142"/>
      <c r="O161" s="143"/>
    </row>
    <row r="162" spans="2:15" x14ac:dyDescent="0.35">
      <c r="B162" s="138" t="str">
        <f>IF(Lançamentos!$B157="","",Lançamentos!$B157)</f>
        <v/>
      </c>
      <c r="C162" s="139" t="str">
        <f>IF($B162="","",IFERROR(INDEX(Lançamentos!$J$3:$J$1001,MATCH($B162,Lançamentos!$B$3:$B$1001,0)),""))</f>
        <v/>
      </c>
      <c r="D162" s="140"/>
      <c r="E162" s="140"/>
      <c r="F162" s="140"/>
      <c r="G162" s="140"/>
      <c r="H162" s="140"/>
      <c r="I162" s="140"/>
      <c r="J162" s="140"/>
      <c r="K162" s="140"/>
      <c r="L162" s="140"/>
      <c r="M162" s="141" t="str">
        <f t="shared" si="2"/>
        <v/>
      </c>
      <c r="N162" s="142"/>
      <c r="O162" s="143"/>
    </row>
    <row r="163" spans="2:15" x14ac:dyDescent="0.35">
      <c r="B163" s="138" t="str">
        <f>IF(Lançamentos!$B158="","",Lançamentos!$B158)</f>
        <v/>
      </c>
      <c r="C163" s="139" t="str">
        <f>IF($B163="","",IFERROR(INDEX(Lançamentos!$J$3:$J$1001,MATCH($B163,Lançamentos!$B$3:$B$1001,0)),""))</f>
        <v/>
      </c>
      <c r="D163" s="140"/>
      <c r="E163" s="140"/>
      <c r="F163" s="140"/>
      <c r="G163" s="140"/>
      <c r="H163" s="140"/>
      <c r="I163" s="140"/>
      <c r="J163" s="140"/>
      <c r="K163" s="140"/>
      <c r="L163" s="140"/>
      <c r="M163" s="141" t="str">
        <f t="shared" si="2"/>
        <v/>
      </c>
      <c r="N163" s="142"/>
      <c r="O163" s="143"/>
    </row>
    <row r="164" spans="2:15" x14ac:dyDescent="0.35">
      <c r="B164" s="138" t="str">
        <f>IF(Lançamentos!$B159="","",Lançamentos!$B159)</f>
        <v/>
      </c>
      <c r="C164" s="139" t="str">
        <f>IF($B164="","",IFERROR(INDEX(Lançamentos!$J$3:$J$1001,MATCH($B164,Lançamentos!$B$3:$B$1001,0)),""))</f>
        <v/>
      </c>
      <c r="D164" s="140"/>
      <c r="E164" s="140"/>
      <c r="F164" s="140"/>
      <c r="G164" s="140"/>
      <c r="H164" s="140"/>
      <c r="I164" s="140"/>
      <c r="J164" s="140"/>
      <c r="K164" s="140"/>
      <c r="L164" s="140"/>
      <c r="M164" s="141" t="str">
        <f t="shared" si="2"/>
        <v/>
      </c>
      <c r="N164" s="142"/>
      <c r="O164" s="143"/>
    </row>
    <row r="165" spans="2:15" x14ac:dyDescent="0.35">
      <c r="B165" s="138" t="str">
        <f>IF(Lançamentos!$B160="","",Lançamentos!$B160)</f>
        <v/>
      </c>
      <c r="C165" s="139" t="str">
        <f>IF($B165="","",IFERROR(INDEX(Lançamentos!$J$3:$J$1001,MATCH($B165,Lançamentos!$B$3:$B$1001,0)),""))</f>
        <v/>
      </c>
      <c r="D165" s="140"/>
      <c r="E165" s="140"/>
      <c r="F165" s="140"/>
      <c r="G165" s="140"/>
      <c r="H165" s="140"/>
      <c r="I165" s="140"/>
      <c r="J165" s="140"/>
      <c r="K165" s="140"/>
      <c r="L165" s="140"/>
      <c r="M165" s="141" t="str">
        <f t="shared" si="2"/>
        <v/>
      </c>
      <c r="N165" s="142"/>
      <c r="O165" s="143"/>
    </row>
    <row r="166" spans="2:15" x14ac:dyDescent="0.35">
      <c r="B166" s="138" t="str">
        <f>IF(Lançamentos!$B161="","",Lançamentos!$B161)</f>
        <v/>
      </c>
      <c r="C166" s="139" t="str">
        <f>IF($B166="","",IFERROR(INDEX(Lançamentos!$J$3:$J$1001,MATCH($B166,Lançamentos!$B$3:$B$1001,0)),""))</f>
        <v/>
      </c>
      <c r="D166" s="140"/>
      <c r="E166" s="140"/>
      <c r="F166" s="140"/>
      <c r="G166" s="140"/>
      <c r="H166" s="140"/>
      <c r="I166" s="140"/>
      <c r="J166" s="140"/>
      <c r="K166" s="140"/>
      <c r="L166" s="140"/>
      <c r="M166" s="141" t="str">
        <f t="shared" si="2"/>
        <v/>
      </c>
      <c r="N166" s="142"/>
      <c r="O166" s="143"/>
    </row>
    <row r="167" spans="2:15" x14ac:dyDescent="0.35">
      <c r="B167" s="138" t="str">
        <f>IF(Lançamentos!$B162="","",Lançamentos!$B162)</f>
        <v/>
      </c>
      <c r="C167" s="139" t="str">
        <f>IF($B167="","",IFERROR(INDEX(Lançamentos!$J$3:$J$1001,MATCH($B167,Lançamentos!$B$3:$B$1001,0)),""))</f>
        <v/>
      </c>
      <c r="D167" s="140"/>
      <c r="E167" s="140"/>
      <c r="F167" s="140"/>
      <c r="G167" s="140"/>
      <c r="H167" s="140"/>
      <c r="I167" s="140"/>
      <c r="J167" s="140"/>
      <c r="K167" s="140"/>
      <c r="L167" s="140"/>
      <c r="M167" s="141" t="str">
        <f t="shared" si="2"/>
        <v/>
      </c>
      <c r="N167" s="142"/>
      <c r="O167" s="143"/>
    </row>
    <row r="168" spans="2:15" x14ac:dyDescent="0.35">
      <c r="B168" s="138" t="str">
        <f>IF(Lançamentos!$B163="","",Lançamentos!$B163)</f>
        <v/>
      </c>
      <c r="C168" s="139" t="str">
        <f>IF($B168="","",IFERROR(INDEX(Lançamentos!$J$3:$J$1001,MATCH($B168,Lançamentos!$B$3:$B$1001,0)),""))</f>
        <v/>
      </c>
      <c r="D168" s="140"/>
      <c r="E168" s="140"/>
      <c r="F168" s="140"/>
      <c r="G168" s="140"/>
      <c r="H168" s="140"/>
      <c r="I168" s="140"/>
      <c r="J168" s="140"/>
      <c r="K168" s="140"/>
      <c r="L168" s="140"/>
      <c r="M168" s="141" t="str">
        <f t="shared" si="2"/>
        <v/>
      </c>
      <c r="N168" s="142"/>
      <c r="O168" s="143"/>
    </row>
    <row r="169" spans="2:15" x14ac:dyDescent="0.35">
      <c r="B169" s="138" t="str">
        <f>IF(Lançamentos!$B164="","",Lançamentos!$B164)</f>
        <v/>
      </c>
      <c r="C169" s="139" t="str">
        <f>IF($B169="","",IFERROR(INDEX(Lançamentos!$J$3:$J$1001,MATCH($B169,Lançamentos!$B$3:$B$1001,0)),""))</f>
        <v/>
      </c>
      <c r="D169" s="140"/>
      <c r="E169" s="140"/>
      <c r="F169" s="140"/>
      <c r="G169" s="140"/>
      <c r="H169" s="140"/>
      <c r="I169" s="140"/>
      <c r="J169" s="140"/>
      <c r="K169" s="140"/>
      <c r="L169" s="140"/>
      <c r="M169" s="141" t="str">
        <f t="shared" si="2"/>
        <v/>
      </c>
      <c r="N169" s="142"/>
      <c r="O169" s="143"/>
    </row>
    <row r="170" spans="2:15" x14ac:dyDescent="0.35">
      <c r="B170" s="138" t="str">
        <f>IF(Lançamentos!$B165="","",Lançamentos!$B165)</f>
        <v/>
      </c>
      <c r="C170" s="139" t="str">
        <f>IF($B170="","",IFERROR(INDEX(Lançamentos!$J$3:$J$1001,MATCH($B170,Lançamentos!$B$3:$B$1001,0)),""))</f>
        <v/>
      </c>
      <c r="D170" s="140"/>
      <c r="E170" s="140"/>
      <c r="F170" s="140"/>
      <c r="G170" s="140"/>
      <c r="H170" s="140"/>
      <c r="I170" s="140"/>
      <c r="J170" s="140"/>
      <c r="K170" s="140"/>
      <c r="L170" s="140"/>
      <c r="M170" s="141" t="str">
        <f t="shared" si="2"/>
        <v/>
      </c>
      <c r="N170" s="142"/>
      <c r="O170" s="143"/>
    </row>
    <row r="171" spans="2:15" x14ac:dyDescent="0.35">
      <c r="B171" s="138" t="str">
        <f>IF(Lançamentos!$B166="","",Lançamentos!$B166)</f>
        <v/>
      </c>
      <c r="C171" s="139" t="str">
        <f>IF($B171="","",IFERROR(INDEX(Lançamentos!$J$3:$J$1001,MATCH($B171,Lançamentos!$B$3:$B$1001,0)),""))</f>
        <v/>
      </c>
      <c r="D171" s="140"/>
      <c r="E171" s="140"/>
      <c r="F171" s="140"/>
      <c r="G171" s="140"/>
      <c r="H171" s="140"/>
      <c r="I171" s="140"/>
      <c r="J171" s="140"/>
      <c r="K171" s="140"/>
      <c r="L171" s="140"/>
      <c r="M171" s="141" t="str">
        <f t="shared" si="2"/>
        <v/>
      </c>
      <c r="N171" s="142"/>
      <c r="O171" s="143"/>
    </row>
    <row r="172" spans="2:15" x14ac:dyDescent="0.35">
      <c r="B172" s="138" t="str">
        <f>IF(Lançamentos!$B167="","",Lançamentos!$B167)</f>
        <v/>
      </c>
      <c r="C172" s="139" t="str">
        <f>IF($B172="","",IFERROR(INDEX(Lançamentos!$J$3:$J$1001,MATCH($B172,Lançamentos!$B$3:$B$1001,0)),""))</f>
        <v/>
      </c>
      <c r="D172" s="140"/>
      <c r="E172" s="140"/>
      <c r="F172" s="140"/>
      <c r="G172" s="140"/>
      <c r="H172" s="140"/>
      <c r="I172" s="140"/>
      <c r="J172" s="140"/>
      <c r="K172" s="140"/>
      <c r="L172" s="140"/>
      <c r="M172" s="141" t="str">
        <f t="shared" si="2"/>
        <v/>
      </c>
      <c r="N172" s="142"/>
      <c r="O172" s="143"/>
    </row>
    <row r="173" spans="2:15" x14ac:dyDescent="0.35">
      <c r="B173" s="138" t="str">
        <f>IF(Lançamentos!$B168="","",Lançamentos!$B168)</f>
        <v/>
      </c>
      <c r="C173" s="139" t="str">
        <f>IF($B173="","",IFERROR(INDEX(Lançamentos!$J$3:$J$1001,MATCH($B173,Lançamentos!$B$3:$B$1001,0)),""))</f>
        <v/>
      </c>
      <c r="D173" s="140"/>
      <c r="E173" s="140"/>
      <c r="F173" s="140"/>
      <c r="G173" s="140"/>
      <c r="H173" s="140"/>
      <c r="I173" s="140"/>
      <c r="J173" s="140"/>
      <c r="K173" s="140"/>
      <c r="L173" s="140"/>
      <c r="M173" s="141" t="str">
        <f t="shared" si="2"/>
        <v/>
      </c>
      <c r="N173" s="142"/>
      <c r="O173" s="143"/>
    </row>
    <row r="174" spans="2:15" x14ac:dyDescent="0.35">
      <c r="B174" s="138" t="str">
        <f>IF(Lançamentos!$B169="","",Lançamentos!$B169)</f>
        <v/>
      </c>
      <c r="C174" s="139" t="str">
        <f>IF($B174="","",IFERROR(INDEX(Lançamentos!$J$3:$J$1001,MATCH($B174,Lançamentos!$B$3:$B$1001,0)),""))</f>
        <v/>
      </c>
      <c r="D174" s="140"/>
      <c r="E174" s="140"/>
      <c r="F174" s="140"/>
      <c r="G174" s="140"/>
      <c r="H174" s="140"/>
      <c r="I174" s="140"/>
      <c r="J174" s="140"/>
      <c r="K174" s="140"/>
      <c r="L174" s="140"/>
      <c r="M174" s="141" t="str">
        <f t="shared" si="2"/>
        <v/>
      </c>
      <c r="N174" s="142"/>
      <c r="O174" s="143"/>
    </row>
    <row r="175" spans="2:15" x14ac:dyDescent="0.35">
      <c r="B175" s="138" t="str">
        <f>IF(Lançamentos!$B170="","",Lançamentos!$B170)</f>
        <v/>
      </c>
      <c r="C175" s="139" t="str">
        <f>IF($B175="","",IFERROR(INDEX(Lançamentos!$J$3:$J$1001,MATCH($B175,Lançamentos!$B$3:$B$1001,0)),""))</f>
        <v/>
      </c>
      <c r="D175" s="140"/>
      <c r="E175" s="140"/>
      <c r="F175" s="140"/>
      <c r="G175" s="140"/>
      <c r="H175" s="140"/>
      <c r="I175" s="140"/>
      <c r="J175" s="140"/>
      <c r="K175" s="140"/>
      <c r="L175" s="140"/>
      <c r="M175" s="141" t="str">
        <f t="shared" si="2"/>
        <v/>
      </c>
      <c r="N175" s="142"/>
      <c r="O175" s="143"/>
    </row>
    <row r="176" spans="2:15" x14ac:dyDescent="0.35">
      <c r="B176" s="138" t="str">
        <f>IF(Lançamentos!$B171="","",Lançamentos!$B171)</f>
        <v/>
      </c>
      <c r="C176" s="139" t="str">
        <f>IF($B176="","",IFERROR(INDEX(Lançamentos!$J$3:$J$1001,MATCH($B176,Lançamentos!$B$3:$B$1001,0)),""))</f>
        <v/>
      </c>
      <c r="D176" s="140"/>
      <c r="E176" s="140"/>
      <c r="F176" s="140"/>
      <c r="G176" s="140"/>
      <c r="H176" s="140"/>
      <c r="I176" s="140"/>
      <c r="J176" s="140"/>
      <c r="K176" s="140"/>
      <c r="L176" s="140"/>
      <c r="M176" s="141" t="str">
        <f t="shared" si="2"/>
        <v/>
      </c>
      <c r="N176" s="142"/>
      <c r="O176" s="143"/>
    </row>
    <row r="177" spans="2:15" x14ac:dyDescent="0.35">
      <c r="B177" s="138" t="str">
        <f>IF(Lançamentos!$B172="","",Lançamentos!$B172)</f>
        <v/>
      </c>
      <c r="C177" s="139" t="str">
        <f>IF($B177="","",IFERROR(INDEX(Lançamentos!$J$3:$J$1001,MATCH($B177,Lançamentos!$B$3:$B$1001,0)),""))</f>
        <v/>
      </c>
      <c r="D177" s="140"/>
      <c r="E177" s="140"/>
      <c r="F177" s="140"/>
      <c r="G177" s="140"/>
      <c r="H177" s="140"/>
      <c r="I177" s="140"/>
      <c r="J177" s="140"/>
      <c r="K177" s="140"/>
      <c r="L177" s="140"/>
      <c r="M177" s="141" t="str">
        <f t="shared" si="2"/>
        <v/>
      </c>
      <c r="N177" s="142"/>
      <c r="O177" s="143"/>
    </row>
    <row r="178" spans="2:15" x14ac:dyDescent="0.35">
      <c r="B178" s="138" t="str">
        <f>IF(Lançamentos!$B173="","",Lançamentos!$B173)</f>
        <v/>
      </c>
      <c r="C178" s="139" t="str">
        <f>IF($B178="","",IFERROR(INDEX(Lançamentos!$J$3:$J$1001,MATCH($B178,Lançamentos!$B$3:$B$1001,0)),""))</f>
        <v/>
      </c>
      <c r="D178" s="140"/>
      <c r="E178" s="140"/>
      <c r="F178" s="140"/>
      <c r="G178" s="140"/>
      <c r="H178" s="140"/>
      <c r="I178" s="140"/>
      <c r="J178" s="140"/>
      <c r="K178" s="140"/>
      <c r="L178" s="140"/>
      <c r="M178" s="141" t="str">
        <f t="shared" si="2"/>
        <v/>
      </c>
      <c r="N178" s="142"/>
      <c r="O178" s="143"/>
    </row>
    <row r="179" spans="2:15" x14ac:dyDescent="0.35">
      <c r="B179" s="138" t="str">
        <f>IF(Lançamentos!$B174="","",Lançamentos!$B174)</f>
        <v/>
      </c>
      <c r="C179" s="139" t="str">
        <f>IF($B179="","",IFERROR(INDEX(Lançamentos!$J$3:$J$1001,MATCH($B179,Lançamentos!$B$3:$B$1001,0)),""))</f>
        <v/>
      </c>
      <c r="D179" s="140"/>
      <c r="E179" s="140"/>
      <c r="F179" s="140"/>
      <c r="G179" s="140"/>
      <c r="H179" s="140"/>
      <c r="I179" s="140"/>
      <c r="J179" s="140"/>
      <c r="K179" s="140"/>
      <c r="L179" s="140"/>
      <c r="M179" s="141" t="str">
        <f t="shared" si="2"/>
        <v/>
      </c>
      <c r="N179" s="142"/>
      <c r="O179" s="143"/>
    </row>
    <row r="180" spans="2:15" x14ac:dyDescent="0.35">
      <c r="B180" s="138" t="str">
        <f>IF(Lançamentos!$B175="","",Lançamentos!$B175)</f>
        <v/>
      </c>
      <c r="C180" s="139" t="str">
        <f>IF($B180="","",IFERROR(INDEX(Lançamentos!$J$3:$J$1001,MATCH($B180,Lançamentos!$B$3:$B$1001,0)),""))</f>
        <v/>
      </c>
      <c r="D180" s="140"/>
      <c r="E180" s="140"/>
      <c r="F180" s="140"/>
      <c r="G180" s="140"/>
      <c r="H180" s="140"/>
      <c r="I180" s="140"/>
      <c r="J180" s="140"/>
      <c r="K180" s="140"/>
      <c r="L180" s="140"/>
      <c r="M180" s="141" t="str">
        <f t="shared" si="2"/>
        <v/>
      </c>
      <c r="N180" s="142"/>
      <c r="O180" s="143"/>
    </row>
    <row r="181" spans="2:15" x14ac:dyDescent="0.35">
      <c r="B181" s="138" t="str">
        <f>IF(Lançamentos!$B176="","",Lançamentos!$B176)</f>
        <v/>
      </c>
      <c r="C181" s="139" t="str">
        <f>IF($B181="","",IFERROR(INDEX(Lançamentos!$J$3:$J$1001,MATCH($B181,Lançamentos!$B$3:$B$1001,0)),""))</f>
        <v/>
      </c>
      <c r="D181" s="140"/>
      <c r="E181" s="140"/>
      <c r="F181" s="140"/>
      <c r="G181" s="140"/>
      <c r="H181" s="140"/>
      <c r="I181" s="140"/>
      <c r="J181" s="140"/>
      <c r="K181" s="140"/>
      <c r="L181" s="140"/>
      <c r="M181" s="141" t="str">
        <f t="shared" si="2"/>
        <v/>
      </c>
      <c r="N181" s="142"/>
      <c r="O181" s="143"/>
    </row>
    <row r="182" spans="2:15" x14ac:dyDescent="0.35">
      <c r="B182" s="138" t="str">
        <f>IF(Lançamentos!$B177="","",Lançamentos!$B177)</f>
        <v/>
      </c>
      <c r="C182" s="139" t="str">
        <f>IF($B182="","",IFERROR(INDEX(Lançamentos!$J$3:$J$1001,MATCH($B182,Lançamentos!$B$3:$B$1001,0)),""))</f>
        <v/>
      </c>
      <c r="D182" s="140"/>
      <c r="E182" s="140"/>
      <c r="F182" s="140"/>
      <c r="G182" s="140"/>
      <c r="H182" s="140"/>
      <c r="I182" s="140"/>
      <c r="J182" s="140"/>
      <c r="K182" s="140"/>
      <c r="L182" s="140"/>
      <c r="M182" s="141" t="str">
        <f t="shared" si="2"/>
        <v/>
      </c>
      <c r="N182" s="142"/>
      <c r="O182" s="143"/>
    </row>
    <row r="183" spans="2:15" x14ac:dyDescent="0.35">
      <c r="B183" s="138" t="str">
        <f>IF(Lançamentos!$B178="","",Lançamentos!$B178)</f>
        <v/>
      </c>
      <c r="C183" s="139" t="str">
        <f>IF($B183="","",IFERROR(INDEX(Lançamentos!$J$3:$J$1001,MATCH($B183,Lançamentos!$B$3:$B$1001,0)),""))</f>
        <v/>
      </c>
      <c r="D183" s="140"/>
      <c r="E183" s="140"/>
      <c r="F183" s="140"/>
      <c r="G183" s="140"/>
      <c r="H183" s="140"/>
      <c r="I183" s="140"/>
      <c r="J183" s="140"/>
      <c r="K183" s="140"/>
      <c r="L183" s="140"/>
      <c r="M183" s="141" t="str">
        <f t="shared" si="2"/>
        <v/>
      </c>
      <c r="N183" s="142"/>
      <c r="O183" s="143"/>
    </row>
    <row r="184" spans="2:15" x14ac:dyDescent="0.35">
      <c r="B184" s="138" t="str">
        <f>IF(Lançamentos!$B179="","",Lançamentos!$B179)</f>
        <v/>
      </c>
      <c r="C184" s="139" t="str">
        <f>IF($B184="","",IFERROR(INDEX(Lançamentos!$J$3:$J$1001,MATCH($B184,Lançamentos!$B$3:$B$1001,0)),""))</f>
        <v/>
      </c>
      <c r="D184" s="140"/>
      <c r="E184" s="140"/>
      <c r="F184" s="140"/>
      <c r="G184" s="140"/>
      <c r="H184" s="140"/>
      <c r="I184" s="140"/>
      <c r="J184" s="140"/>
      <c r="K184" s="140"/>
      <c r="L184" s="140"/>
      <c r="M184" s="141" t="str">
        <f t="shared" si="2"/>
        <v/>
      </c>
      <c r="N184" s="142"/>
      <c r="O184" s="143"/>
    </row>
    <row r="185" spans="2:15" x14ac:dyDescent="0.35">
      <c r="B185" s="138" t="str">
        <f>IF(Lançamentos!$B180="","",Lançamentos!$B180)</f>
        <v/>
      </c>
      <c r="C185" s="139" t="str">
        <f>IF($B185="","",IFERROR(INDEX(Lançamentos!$J$3:$J$1001,MATCH($B185,Lançamentos!$B$3:$B$1001,0)),""))</f>
        <v/>
      </c>
      <c r="D185" s="140"/>
      <c r="E185" s="140"/>
      <c r="F185" s="140"/>
      <c r="G185" s="140"/>
      <c r="H185" s="140"/>
      <c r="I185" s="140"/>
      <c r="J185" s="140"/>
      <c r="K185" s="140"/>
      <c r="L185" s="140"/>
      <c r="M185" s="141" t="str">
        <f t="shared" si="2"/>
        <v/>
      </c>
      <c r="N185" s="142"/>
      <c r="O185" s="143"/>
    </row>
    <row r="186" spans="2:15" x14ac:dyDescent="0.35">
      <c r="B186" s="138" t="str">
        <f>IF(Lançamentos!$B181="","",Lançamentos!$B181)</f>
        <v/>
      </c>
      <c r="C186" s="139" t="str">
        <f>IF($B186="","",IFERROR(INDEX(Lançamentos!$J$3:$J$1001,MATCH($B186,Lançamentos!$B$3:$B$1001,0)),""))</f>
        <v/>
      </c>
      <c r="D186" s="140"/>
      <c r="E186" s="140"/>
      <c r="F186" s="140"/>
      <c r="G186" s="140"/>
      <c r="H186" s="140"/>
      <c r="I186" s="140"/>
      <c r="J186" s="140"/>
      <c r="K186" s="140"/>
      <c r="L186" s="140"/>
      <c r="M186" s="141" t="str">
        <f t="shared" si="2"/>
        <v/>
      </c>
      <c r="N186" s="142"/>
      <c r="O186" s="143"/>
    </row>
    <row r="187" spans="2:15" x14ac:dyDescent="0.35">
      <c r="B187" s="138" t="str">
        <f>IF(Lançamentos!$B182="","",Lançamentos!$B182)</f>
        <v/>
      </c>
      <c r="C187" s="139" t="str">
        <f>IF($B187="","",IFERROR(INDEX(Lançamentos!$J$3:$J$1001,MATCH($B187,Lançamentos!$B$3:$B$1001,0)),""))</f>
        <v/>
      </c>
      <c r="D187" s="140"/>
      <c r="E187" s="140"/>
      <c r="F187" s="140"/>
      <c r="G187" s="140"/>
      <c r="H187" s="140"/>
      <c r="I187" s="140"/>
      <c r="J187" s="140"/>
      <c r="K187" s="140"/>
      <c r="L187" s="140"/>
      <c r="M187" s="141" t="str">
        <f t="shared" si="2"/>
        <v/>
      </c>
      <c r="N187" s="142"/>
      <c r="O187" s="143"/>
    </row>
    <row r="188" spans="2:15" x14ac:dyDescent="0.35">
      <c r="B188" s="138" t="str">
        <f>IF(Lançamentos!$B183="","",Lançamentos!$B183)</f>
        <v/>
      </c>
      <c r="C188" s="139" t="str">
        <f>IF($B188="","",IFERROR(INDEX(Lançamentos!$J$3:$J$1001,MATCH($B188,Lançamentos!$B$3:$B$1001,0)),""))</f>
        <v/>
      </c>
      <c r="D188" s="140"/>
      <c r="E188" s="140"/>
      <c r="F188" s="140"/>
      <c r="G188" s="140"/>
      <c r="H188" s="140"/>
      <c r="I188" s="140"/>
      <c r="J188" s="140"/>
      <c r="K188" s="140"/>
      <c r="L188" s="140"/>
      <c r="M188" s="141" t="str">
        <f t="shared" si="2"/>
        <v/>
      </c>
      <c r="N188" s="142"/>
      <c r="O188" s="143"/>
    </row>
    <row r="189" spans="2:15" x14ac:dyDescent="0.35">
      <c r="B189" s="138" t="str">
        <f>IF(Lançamentos!$B184="","",Lançamentos!$B184)</f>
        <v/>
      </c>
      <c r="C189" s="139" t="str">
        <f>IF($B189="","",IFERROR(INDEX(Lançamentos!$J$3:$J$1001,MATCH($B189,Lançamentos!$B$3:$B$1001,0)),""))</f>
        <v/>
      </c>
      <c r="D189" s="140"/>
      <c r="E189" s="140"/>
      <c r="F189" s="140"/>
      <c r="G189" s="140"/>
      <c r="H189" s="140"/>
      <c r="I189" s="140"/>
      <c r="J189" s="140"/>
      <c r="K189" s="140"/>
      <c r="L189" s="140"/>
      <c r="M189" s="141" t="str">
        <f t="shared" si="2"/>
        <v/>
      </c>
      <c r="N189" s="142"/>
      <c r="O189" s="143"/>
    </row>
    <row r="190" spans="2:15" x14ac:dyDescent="0.35">
      <c r="B190" s="138" t="str">
        <f>IF(Lançamentos!$B185="","",Lançamentos!$B185)</f>
        <v/>
      </c>
      <c r="C190" s="139" t="str">
        <f>IF($B190="","",IFERROR(INDEX(Lançamentos!$J$3:$J$1001,MATCH($B190,Lançamentos!$B$3:$B$1001,0)),""))</f>
        <v/>
      </c>
      <c r="D190" s="140"/>
      <c r="E190" s="140"/>
      <c r="F190" s="140"/>
      <c r="G190" s="140"/>
      <c r="H190" s="140"/>
      <c r="I190" s="140"/>
      <c r="J190" s="140"/>
      <c r="K190" s="140"/>
      <c r="L190" s="140"/>
      <c r="M190" s="141" t="str">
        <f t="shared" si="2"/>
        <v/>
      </c>
      <c r="N190" s="142"/>
      <c r="O190" s="143"/>
    </row>
    <row r="191" spans="2:15" x14ac:dyDescent="0.35">
      <c r="B191" s="138" t="str">
        <f>IF(Lançamentos!$B186="","",Lançamentos!$B186)</f>
        <v/>
      </c>
      <c r="C191" s="139" t="str">
        <f>IF($B191="","",IFERROR(INDEX(Lançamentos!$J$3:$J$1001,MATCH($B191,Lançamentos!$B$3:$B$1001,0)),""))</f>
        <v/>
      </c>
      <c r="D191" s="140"/>
      <c r="E191" s="140"/>
      <c r="F191" s="140"/>
      <c r="G191" s="140"/>
      <c r="H191" s="140"/>
      <c r="I191" s="140"/>
      <c r="J191" s="140"/>
      <c r="K191" s="140"/>
      <c r="L191" s="140"/>
      <c r="M191" s="141" t="str">
        <f t="shared" si="2"/>
        <v/>
      </c>
      <c r="N191" s="142"/>
      <c r="O191" s="143"/>
    </row>
    <row r="192" spans="2:15" x14ac:dyDescent="0.35">
      <c r="B192" s="138" t="str">
        <f>IF(Lançamentos!$B187="","",Lançamentos!$B187)</f>
        <v/>
      </c>
      <c r="C192" s="139" t="str">
        <f>IF($B192="","",IFERROR(INDEX(Lançamentos!$J$3:$J$1001,MATCH($B192,Lançamentos!$B$3:$B$1001,0)),""))</f>
        <v/>
      </c>
      <c r="D192" s="140"/>
      <c r="E192" s="140"/>
      <c r="F192" s="140"/>
      <c r="G192" s="140"/>
      <c r="H192" s="140"/>
      <c r="I192" s="140"/>
      <c r="J192" s="140"/>
      <c r="K192" s="140"/>
      <c r="L192" s="140"/>
      <c r="M192" s="141" t="str">
        <f t="shared" si="2"/>
        <v/>
      </c>
      <c r="N192" s="142"/>
      <c r="O192" s="143"/>
    </row>
    <row r="193" spans="2:15" x14ac:dyDescent="0.35">
      <c r="B193" s="138" t="str">
        <f>IF(Lançamentos!$B188="","",Lançamentos!$B188)</f>
        <v/>
      </c>
      <c r="C193" s="139" t="str">
        <f>IF($B193="","",IFERROR(INDEX(Lançamentos!$J$3:$J$1001,MATCH($B193,Lançamentos!$B$3:$B$1001,0)),""))</f>
        <v/>
      </c>
      <c r="D193" s="140"/>
      <c r="E193" s="140"/>
      <c r="F193" s="140"/>
      <c r="G193" s="140"/>
      <c r="H193" s="140"/>
      <c r="I193" s="140"/>
      <c r="J193" s="140"/>
      <c r="K193" s="140"/>
      <c r="L193" s="140"/>
      <c r="M193" s="141" t="str">
        <f t="shared" si="2"/>
        <v/>
      </c>
      <c r="N193" s="142"/>
      <c r="O193" s="143"/>
    </row>
    <row r="194" spans="2:15" x14ac:dyDescent="0.35">
      <c r="B194" s="138" t="str">
        <f>IF(Lançamentos!$B189="","",Lançamentos!$B189)</f>
        <v/>
      </c>
      <c r="C194" s="139" t="str">
        <f>IF($B194="","",IFERROR(INDEX(Lançamentos!$J$3:$J$1001,MATCH($B194,Lançamentos!$B$3:$B$1001,0)),""))</f>
        <v/>
      </c>
      <c r="D194" s="140"/>
      <c r="E194" s="140"/>
      <c r="F194" s="140"/>
      <c r="G194" s="140"/>
      <c r="H194" s="140"/>
      <c r="I194" s="140"/>
      <c r="J194" s="140"/>
      <c r="K194" s="140"/>
      <c r="L194" s="140"/>
      <c r="M194" s="141" t="str">
        <f t="shared" si="2"/>
        <v/>
      </c>
      <c r="N194" s="142"/>
      <c r="O194" s="143"/>
    </row>
    <row r="195" spans="2:15" x14ac:dyDescent="0.35">
      <c r="B195" s="138" t="str">
        <f>IF(Lançamentos!$B190="","",Lançamentos!$B190)</f>
        <v/>
      </c>
      <c r="C195" s="139" t="str">
        <f>IF($B195="","",IFERROR(INDEX(Lançamentos!$J$3:$J$1001,MATCH($B195,Lançamentos!$B$3:$B$1001,0)),""))</f>
        <v/>
      </c>
      <c r="D195" s="140"/>
      <c r="E195" s="140"/>
      <c r="F195" s="140"/>
      <c r="G195" s="140"/>
      <c r="H195" s="140"/>
      <c r="I195" s="140"/>
      <c r="J195" s="140"/>
      <c r="K195" s="140"/>
      <c r="L195" s="140"/>
      <c r="M195" s="141" t="str">
        <f t="shared" si="2"/>
        <v/>
      </c>
      <c r="N195" s="142"/>
      <c r="O195" s="143"/>
    </row>
    <row r="196" spans="2:15" x14ac:dyDescent="0.35">
      <c r="B196" s="138" t="str">
        <f>IF(Lançamentos!$B191="","",Lançamentos!$B191)</f>
        <v/>
      </c>
      <c r="C196" s="139" t="str">
        <f>IF($B196="","",IFERROR(INDEX(Lançamentos!$J$3:$J$1001,MATCH($B196,Lançamentos!$B$3:$B$1001,0)),""))</f>
        <v/>
      </c>
      <c r="D196" s="140"/>
      <c r="E196" s="140"/>
      <c r="F196" s="140"/>
      <c r="G196" s="140"/>
      <c r="H196" s="140"/>
      <c r="I196" s="140"/>
      <c r="J196" s="140"/>
      <c r="K196" s="140"/>
      <c r="L196" s="140"/>
      <c r="M196" s="141" t="str">
        <f t="shared" si="2"/>
        <v/>
      </c>
      <c r="N196" s="142"/>
      <c r="O196" s="143"/>
    </row>
    <row r="197" spans="2:15" x14ac:dyDescent="0.35">
      <c r="B197" s="138" t="str">
        <f>IF(Lançamentos!$B192="","",Lançamentos!$B192)</f>
        <v/>
      </c>
      <c r="C197" s="139" t="str">
        <f>IF($B197="","",IFERROR(INDEX(Lançamentos!$J$3:$J$1001,MATCH($B197,Lançamentos!$B$3:$B$1001,0)),""))</f>
        <v/>
      </c>
      <c r="D197" s="140"/>
      <c r="E197" s="140"/>
      <c r="F197" s="140"/>
      <c r="G197" s="140"/>
      <c r="H197" s="140"/>
      <c r="I197" s="140"/>
      <c r="J197" s="140"/>
      <c r="K197" s="140"/>
      <c r="L197" s="140"/>
      <c r="M197" s="141" t="str">
        <f t="shared" si="2"/>
        <v/>
      </c>
      <c r="N197" s="142"/>
      <c r="O197" s="143"/>
    </row>
    <row r="198" spans="2:15" x14ac:dyDescent="0.35">
      <c r="B198" s="138" t="str">
        <f>IF(Lançamentos!$B193="","",Lançamentos!$B193)</f>
        <v/>
      </c>
      <c r="C198" s="139" t="str">
        <f>IF($B198="","",IFERROR(INDEX(Lançamentos!$J$3:$J$1001,MATCH($B198,Lançamentos!$B$3:$B$1001,0)),""))</f>
        <v/>
      </c>
      <c r="D198" s="140"/>
      <c r="E198" s="140"/>
      <c r="F198" s="140"/>
      <c r="G198" s="140"/>
      <c r="H198" s="140"/>
      <c r="I198" s="140"/>
      <c r="J198" s="140"/>
      <c r="K198" s="140"/>
      <c r="L198" s="140"/>
      <c r="M198" s="141" t="str">
        <f t="shared" si="2"/>
        <v/>
      </c>
      <c r="N198" s="142"/>
      <c r="O198" s="143"/>
    </row>
    <row r="199" spans="2:15" x14ac:dyDescent="0.35">
      <c r="B199" s="138" t="str">
        <f>IF(Lançamentos!$B194="","",Lançamentos!$B194)</f>
        <v/>
      </c>
      <c r="C199" s="139" t="str">
        <f>IF($B199="","",IFERROR(INDEX(Lançamentos!$J$3:$J$1001,MATCH($B199,Lançamentos!$B$3:$B$1001,0)),""))</f>
        <v/>
      </c>
      <c r="D199" s="140"/>
      <c r="E199" s="140"/>
      <c r="F199" s="140"/>
      <c r="G199" s="140"/>
      <c r="H199" s="140"/>
      <c r="I199" s="140"/>
      <c r="J199" s="140"/>
      <c r="K199" s="140"/>
      <c r="L199" s="140"/>
      <c r="M199" s="141" t="str">
        <f t="shared" si="2"/>
        <v/>
      </c>
      <c r="N199" s="142"/>
      <c r="O199" s="143"/>
    </row>
    <row r="200" spans="2:15" x14ac:dyDescent="0.35">
      <c r="B200" s="138" t="str">
        <f>IF(Lançamentos!$B195="","",Lançamentos!$B195)</f>
        <v/>
      </c>
      <c r="C200" s="139" t="str">
        <f>IF($B200="","",IFERROR(INDEX(Lançamentos!$J$3:$J$1001,MATCH($B200,Lançamentos!$B$3:$B$1001,0)),""))</f>
        <v/>
      </c>
      <c r="D200" s="140"/>
      <c r="E200" s="140"/>
      <c r="F200" s="140"/>
      <c r="G200" s="140"/>
      <c r="H200" s="140"/>
      <c r="I200" s="140"/>
      <c r="J200" s="140"/>
      <c r="K200" s="140"/>
      <c r="L200" s="140"/>
      <c r="M200" s="141" t="str">
        <f t="shared" si="2"/>
        <v/>
      </c>
      <c r="N200" s="142"/>
      <c r="O200" s="143"/>
    </row>
    <row r="201" spans="2:15" x14ac:dyDescent="0.35">
      <c r="B201" s="138" t="str">
        <f>IF(Lançamentos!$B196="","",Lançamentos!$B196)</f>
        <v/>
      </c>
      <c r="C201" s="139" t="str">
        <f>IF($B201="","",IFERROR(INDEX(Lançamentos!$J$3:$J$1001,MATCH($B201,Lançamentos!$B$3:$B$1001,0)),""))</f>
        <v/>
      </c>
      <c r="D201" s="140"/>
      <c r="E201" s="140"/>
      <c r="F201" s="140"/>
      <c r="G201" s="140"/>
      <c r="H201" s="140"/>
      <c r="I201" s="140"/>
      <c r="J201" s="140"/>
      <c r="K201" s="140"/>
      <c r="L201" s="140"/>
      <c r="M201" s="141" t="str">
        <f t="shared" ref="M201:M207" si="3">IF(B201="","",IF(COUNTIF(E201:L201,"N/A")=8,0,COUNTIF(E201:L201,"✔ Concluído")/(8-COUNTIF(E201:L201,"N/A"))))</f>
        <v/>
      </c>
      <c r="N201" s="142"/>
      <c r="O201" s="143"/>
    </row>
    <row r="202" spans="2:15" x14ac:dyDescent="0.35">
      <c r="B202" s="138" t="str">
        <f>IF(Lançamentos!$B197="","",Lançamentos!$B197)</f>
        <v/>
      </c>
      <c r="C202" s="139" t="str">
        <f>IF($B202="","",IFERROR(INDEX(Lançamentos!$J$3:$J$1001,MATCH($B202,Lançamentos!$B$3:$B$1001,0)),""))</f>
        <v/>
      </c>
      <c r="D202" s="140"/>
      <c r="E202" s="140"/>
      <c r="F202" s="140"/>
      <c r="G202" s="140"/>
      <c r="H202" s="140"/>
      <c r="I202" s="140"/>
      <c r="J202" s="140"/>
      <c r="K202" s="140"/>
      <c r="L202" s="140"/>
      <c r="M202" s="141" t="str">
        <f t="shared" si="3"/>
        <v/>
      </c>
      <c r="N202" s="142"/>
      <c r="O202" s="143"/>
    </row>
    <row r="203" spans="2:15" x14ac:dyDescent="0.35">
      <c r="B203" s="138" t="str">
        <f>IF(Lançamentos!$B198="","",Lançamentos!$B198)</f>
        <v/>
      </c>
      <c r="C203" s="139" t="str">
        <f>IF($B203="","",IFERROR(INDEX(Lançamentos!$J$3:$J$1001,MATCH($B203,Lançamentos!$B$3:$B$1001,0)),""))</f>
        <v/>
      </c>
      <c r="D203" s="140"/>
      <c r="E203" s="140"/>
      <c r="F203" s="140"/>
      <c r="G203" s="140"/>
      <c r="H203" s="140"/>
      <c r="I203" s="140"/>
      <c r="J203" s="140"/>
      <c r="K203" s="140"/>
      <c r="L203" s="140"/>
      <c r="M203" s="141" t="str">
        <f t="shared" si="3"/>
        <v/>
      </c>
      <c r="N203" s="142"/>
      <c r="O203" s="143"/>
    </row>
    <row r="204" spans="2:15" x14ac:dyDescent="0.35">
      <c r="B204" s="138" t="str">
        <f>IF(Lançamentos!$B199="","",Lançamentos!$B199)</f>
        <v/>
      </c>
      <c r="C204" s="139" t="str">
        <f>IF($B204="","",IFERROR(INDEX(Lançamentos!$J$3:$J$1001,MATCH($B204,Lançamentos!$B$3:$B$1001,0)),""))</f>
        <v/>
      </c>
      <c r="D204" s="140"/>
      <c r="E204" s="140"/>
      <c r="F204" s="140"/>
      <c r="G204" s="140"/>
      <c r="H204" s="140"/>
      <c r="I204" s="140"/>
      <c r="J204" s="140"/>
      <c r="K204" s="140"/>
      <c r="L204" s="140"/>
      <c r="M204" s="141" t="str">
        <f t="shared" si="3"/>
        <v/>
      </c>
      <c r="N204" s="142"/>
      <c r="O204" s="143"/>
    </row>
    <row r="205" spans="2:15" x14ac:dyDescent="0.35">
      <c r="B205" s="138" t="str">
        <f>IF(Lançamentos!$B200="","",Lançamentos!$B200)</f>
        <v/>
      </c>
      <c r="C205" s="139" t="str">
        <f>IF($B205="","",IFERROR(INDEX(Lançamentos!$J$3:$J$1001,MATCH($B205,Lançamentos!$B$3:$B$1001,0)),""))</f>
        <v/>
      </c>
      <c r="D205" s="140"/>
      <c r="E205" s="140"/>
      <c r="F205" s="140"/>
      <c r="G205" s="140"/>
      <c r="H205" s="140"/>
      <c r="I205" s="140"/>
      <c r="J205" s="140"/>
      <c r="K205" s="140"/>
      <c r="L205" s="140"/>
      <c r="M205" s="141" t="str">
        <f t="shared" si="3"/>
        <v/>
      </c>
      <c r="N205" s="142"/>
      <c r="O205" s="143"/>
    </row>
    <row r="206" spans="2:15" x14ac:dyDescent="0.35">
      <c r="B206" s="138" t="str">
        <f>IF(Lançamentos!$B201="","",Lançamentos!$B201)</f>
        <v/>
      </c>
      <c r="C206" s="139" t="str">
        <f>IF($B206="","",IFERROR(INDEX(Lançamentos!$J$3:$J$1001,MATCH($B206,Lançamentos!$B$3:$B$1001,0)),""))</f>
        <v/>
      </c>
      <c r="D206" s="140"/>
      <c r="E206" s="140"/>
      <c r="F206" s="140"/>
      <c r="G206" s="140"/>
      <c r="H206" s="140"/>
      <c r="I206" s="140"/>
      <c r="J206" s="140"/>
      <c r="K206" s="140"/>
      <c r="L206" s="140"/>
      <c r="M206" s="141" t="str">
        <f t="shared" si="3"/>
        <v/>
      </c>
      <c r="N206" s="142"/>
      <c r="O206" s="143"/>
    </row>
    <row r="207" spans="2:15" x14ac:dyDescent="0.35">
      <c r="B207" s="144" t="str">
        <f>IF(Lançamentos!$B202="","",Lançamentos!$B202)</f>
        <v/>
      </c>
      <c r="C207" s="145" t="str">
        <f>IF($B207="","",IFERROR(INDEX(Lançamentos!$J$3:$J$1001,MATCH($B207,Lançamentos!$B$3:$B$1001,0)),""))</f>
        <v/>
      </c>
      <c r="D207" s="146"/>
      <c r="E207" s="146"/>
      <c r="F207" s="146"/>
      <c r="G207" s="146"/>
      <c r="H207" s="146"/>
      <c r="I207" s="146"/>
      <c r="J207" s="146"/>
      <c r="K207" s="146"/>
      <c r="L207" s="146"/>
      <c r="M207" s="147" t="str">
        <f t="shared" si="3"/>
        <v/>
      </c>
      <c r="N207" s="148"/>
      <c r="O207" s="149"/>
    </row>
    <row r="208" spans="2:15" x14ac:dyDescent="0.35">
      <c r="B208" s="138" t="str">
        <f>IF(Lançamentos!$B203="","",Lançamentos!$B203)</f>
        <v/>
      </c>
      <c r="C208" s="139" t="str">
        <f>IF($B208="","",IFERROR(INDEX(Lançamentos!$J$3:$J$1001,MATCH($B208,Lançamentos!$B$3:$B$1001,0)),""))</f>
        <v/>
      </c>
      <c r="D208" s="140"/>
      <c r="E208" s="140"/>
      <c r="F208" s="140"/>
      <c r="G208" s="140"/>
      <c r="H208" s="140"/>
      <c r="I208" s="140"/>
      <c r="J208" s="140"/>
      <c r="K208" s="140"/>
      <c r="L208" s="140"/>
      <c r="M208" s="141" t="str">
        <f t="shared" ref="M208:M271" si="4">IF(B208="","",IF(COUNTIF(E208:L208,"N/A")=8,0,COUNTIF(E208:L208,"✔ Concluído")/(8-COUNTIF(E208:L208,"N/A"))))</f>
        <v/>
      </c>
      <c r="N208" s="142"/>
      <c r="O208" s="143"/>
    </row>
    <row r="209" spans="2:15" x14ac:dyDescent="0.35">
      <c r="B209" s="138" t="str">
        <f>IF(Lançamentos!$B204="","",Lançamentos!$B204)</f>
        <v/>
      </c>
      <c r="C209" s="139" t="str">
        <f>IF($B209="","",IFERROR(INDEX(Lançamentos!$J$3:$J$1001,MATCH($B209,Lançamentos!$B$3:$B$1001,0)),""))</f>
        <v/>
      </c>
      <c r="D209" s="140"/>
      <c r="E209" s="140"/>
      <c r="F209" s="140"/>
      <c r="G209" s="140"/>
      <c r="H209" s="140"/>
      <c r="I209" s="140"/>
      <c r="J209" s="140"/>
      <c r="K209" s="140"/>
      <c r="L209" s="140"/>
      <c r="M209" s="141" t="str">
        <f t="shared" si="4"/>
        <v/>
      </c>
      <c r="N209" s="142"/>
      <c r="O209" s="143"/>
    </row>
    <row r="210" spans="2:15" x14ac:dyDescent="0.35">
      <c r="B210" s="138" t="str">
        <f>IF(Lançamentos!$B205="","",Lançamentos!$B205)</f>
        <v/>
      </c>
      <c r="C210" s="139" t="str">
        <f>IF($B210="","",IFERROR(INDEX(Lançamentos!$J$3:$J$1001,MATCH($B210,Lançamentos!$B$3:$B$1001,0)),""))</f>
        <v/>
      </c>
      <c r="D210" s="140"/>
      <c r="E210" s="140"/>
      <c r="F210" s="140"/>
      <c r="G210" s="140"/>
      <c r="H210" s="140"/>
      <c r="I210" s="140"/>
      <c r="J210" s="140"/>
      <c r="K210" s="140"/>
      <c r="L210" s="140"/>
      <c r="M210" s="141" t="str">
        <f t="shared" si="4"/>
        <v/>
      </c>
      <c r="N210" s="142"/>
      <c r="O210" s="143"/>
    </row>
    <row r="211" spans="2:15" x14ac:dyDescent="0.35">
      <c r="B211" s="138" t="str">
        <f>IF(Lançamentos!$B206="","",Lançamentos!$B206)</f>
        <v/>
      </c>
      <c r="C211" s="139" t="str">
        <f>IF($B211="","",IFERROR(INDEX(Lançamentos!$J$3:$J$1001,MATCH($B211,Lançamentos!$B$3:$B$1001,0)),""))</f>
        <v/>
      </c>
      <c r="D211" s="140"/>
      <c r="E211" s="140"/>
      <c r="F211" s="140"/>
      <c r="G211" s="140"/>
      <c r="H211" s="140"/>
      <c r="I211" s="140"/>
      <c r="J211" s="140"/>
      <c r="K211" s="140"/>
      <c r="L211" s="140"/>
      <c r="M211" s="141" t="str">
        <f t="shared" si="4"/>
        <v/>
      </c>
      <c r="N211" s="142"/>
      <c r="O211" s="143"/>
    </row>
    <row r="212" spans="2:15" x14ac:dyDescent="0.35">
      <c r="B212" s="138" t="str">
        <f>IF(Lançamentos!$B207="","",Lançamentos!$B207)</f>
        <v/>
      </c>
      <c r="C212" s="139" t="str">
        <f>IF($B212="","",IFERROR(INDEX(Lançamentos!$J$3:$J$1001,MATCH($B212,Lançamentos!$B$3:$B$1001,0)),""))</f>
        <v/>
      </c>
      <c r="D212" s="140"/>
      <c r="E212" s="140"/>
      <c r="F212" s="140"/>
      <c r="G212" s="140"/>
      <c r="H212" s="140"/>
      <c r="I212" s="140"/>
      <c r="J212" s="140"/>
      <c r="K212" s="140"/>
      <c r="L212" s="140"/>
      <c r="M212" s="141" t="str">
        <f t="shared" si="4"/>
        <v/>
      </c>
      <c r="N212" s="142"/>
      <c r="O212" s="143"/>
    </row>
    <row r="213" spans="2:15" x14ac:dyDescent="0.35">
      <c r="B213" s="138" t="str">
        <f>IF(Lançamentos!$B208="","",Lançamentos!$B208)</f>
        <v/>
      </c>
      <c r="C213" s="139" t="str">
        <f>IF($B213="","",IFERROR(INDEX(Lançamentos!$J$3:$J$1001,MATCH($B213,Lançamentos!$B$3:$B$1001,0)),""))</f>
        <v/>
      </c>
      <c r="D213" s="140"/>
      <c r="E213" s="140"/>
      <c r="F213" s="140"/>
      <c r="G213" s="140"/>
      <c r="H213" s="140"/>
      <c r="I213" s="140"/>
      <c r="J213" s="140"/>
      <c r="K213" s="140"/>
      <c r="L213" s="140"/>
      <c r="M213" s="141" t="str">
        <f t="shared" si="4"/>
        <v/>
      </c>
      <c r="N213" s="142"/>
      <c r="O213" s="143"/>
    </row>
    <row r="214" spans="2:15" x14ac:dyDescent="0.35">
      <c r="B214" s="138" t="str">
        <f>IF(Lançamentos!$B209="","",Lançamentos!$B209)</f>
        <v/>
      </c>
      <c r="C214" s="139" t="str">
        <f>IF($B214="","",IFERROR(INDEX(Lançamentos!$J$3:$J$1001,MATCH($B214,Lançamentos!$B$3:$B$1001,0)),""))</f>
        <v/>
      </c>
      <c r="D214" s="140"/>
      <c r="E214" s="140"/>
      <c r="F214" s="140"/>
      <c r="G214" s="140"/>
      <c r="H214" s="140"/>
      <c r="I214" s="140"/>
      <c r="J214" s="140"/>
      <c r="K214" s="140"/>
      <c r="L214" s="140"/>
      <c r="M214" s="141" t="str">
        <f t="shared" si="4"/>
        <v/>
      </c>
      <c r="N214" s="142"/>
      <c r="O214" s="143"/>
    </row>
    <row r="215" spans="2:15" x14ac:dyDescent="0.35">
      <c r="B215" s="138" t="str">
        <f>IF(Lançamentos!$B210="","",Lançamentos!$B210)</f>
        <v/>
      </c>
      <c r="C215" s="139" t="str">
        <f>IF($B215="","",IFERROR(INDEX(Lançamentos!$J$3:$J$1001,MATCH($B215,Lançamentos!$B$3:$B$1001,0)),""))</f>
        <v/>
      </c>
      <c r="D215" s="140"/>
      <c r="E215" s="140"/>
      <c r="F215" s="140"/>
      <c r="G215" s="140"/>
      <c r="H215" s="140"/>
      <c r="I215" s="140"/>
      <c r="J215" s="140"/>
      <c r="K215" s="140"/>
      <c r="L215" s="140"/>
      <c r="M215" s="141" t="str">
        <f t="shared" si="4"/>
        <v/>
      </c>
      <c r="N215" s="142"/>
      <c r="O215" s="143"/>
    </row>
    <row r="216" spans="2:15" x14ac:dyDescent="0.35">
      <c r="B216" s="138" t="str">
        <f>IF(Lançamentos!$B211="","",Lançamentos!$B211)</f>
        <v/>
      </c>
      <c r="C216" s="139" t="str">
        <f>IF($B216="","",IFERROR(INDEX(Lançamentos!$J$3:$J$1001,MATCH($B216,Lançamentos!$B$3:$B$1001,0)),""))</f>
        <v/>
      </c>
      <c r="D216" s="140"/>
      <c r="E216" s="140"/>
      <c r="F216" s="140"/>
      <c r="G216" s="140"/>
      <c r="H216" s="140"/>
      <c r="I216" s="140"/>
      <c r="J216" s="140"/>
      <c r="K216" s="140"/>
      <c r="L216" s="140"/>
      <c r="M216" s="141" t="str">
        <f t="shared" si="4"/>
        <v/>
      </c>
      <c r="N216" s="142"/>
      <c r="O216" s="143"/>
    </row>
    <row r="217" spans="2:15" x14ac:dyDescent="0.35">
      <c r="B217" s="138" t="str">
        <f>IF(Lançamentos!$B212="","",Lançamentos!$B212)</f>
        <v/>
      </c>
      <c r="C217" s="139" t="str">
        <f>IF($B217="","",IFERROR(INDEX(Lançamentos!$J$3:$J$1001,MATCH($B217,Lançamentos!$B$3:$B$1001,0)),""))</f>
        <v/>
      </c>
      <c r="D217" s="140"/>
      <c r="E217" s="140"/>
      <c r="F217" s="140"/>
      <c r="G217" s="140"/>
      <c r="H217" s="140"/>
      <c r="I217" s="140"/>
      <c r="J217" s="140"/>
      <c r="K217" s="140"/>
      <c r="L217" s="140"/>
      <c r="M217" s="141" t="str">
        <f t="shared" si="4"/>
        <v/>
      </c>
      <c r="N217" s="142"/>
      <c r="O217" s="143"/>
    </row>
    <row r="218" spans="2:15" x14ac:dyDescent="0.35">
      <c r="B218" s="138" t="str">
        <f>IF(Lançamentos!$B213="","",Lançamentos!$B213)</f>
        <v/>
      </c>
      <c r="C218" s="139" t="str">
        <f>IF($B218="","",IFERROR(INDEX(Lançamentos!$J$3:$J$1001,MATCH($B218,Lançamentos!$B$3:$B$1001,0)),""))</f>
        <v/>
      </c>
      <c r="D218" s="140"/>
      <c r="E218" s="140"/>
      <c r="F218" s="140"/>
      <c r="G218" s="140"/>
      <c r="H218" s="140"/>
      <c r="I218" s="140"/>
      <c r="J218" s="140"/>
      <c r="K218" s="140"/>
      <c r="L218" s="140"/>
      <c r="M218" s="141" t="str">
        <f t="shared" si="4"/>
        <v/>
      </c>
      <c r="N218" s="142"/>
      <c r="O218" s="143"/>
    </row>
    <row r="219" spans="2:15" x14ac:dyDescent="0.35">
      <c r="B219" s="138" t="str">
        <f>IF(Lançamentos!$B214="","",Lançamentos!$B214)</f>
        <v/>
      </c>
      <c r="C219" s="139" t="str">
        <f>IF($B219="","",IFERROR(INDEX(Lançamentos!$J$3:$J$1001,MATCH($B219,Lançamentos!$B$3:$B$1001,0)),""))</f>
        <v/>
      </c>
      <c r="D219" s="140"/>
      <c r="E219" s="140"/>
      <c r="F219" s="140"/>
      <c r="G219" s="140"/>
      <c r="H219" s="140"/>
      <c r="I219" s="140"/>
      <c r="J219" s="140"/>
      <c r="K219" s="140"/>
      <c r="L219" s="140"/>
      <c r="M219" s="141" t="str">
        <f t="shared" si="4"/>
        <v/>
      </c>
      <c r="N219" s="142"/>
      <c r="O219" s="143"/>
    </row>
    <row r="220" spans="2:15" x14ac:dyDescent="0.35">
      <c r="B220" s="138" t="str">
        <f>IF(Lançamentos!$B215="","",Lançamentos!$B215)</f>
        <v/>
      </c>
      <c r="C220" s="139" t="str">
        <f>IF($B220="","",IFERROR(INDEX(Lançamentos!$J$3:$J$1001,MATCH($B220,Lançamentos!$B$3:$B$1001,0)),""))</f>
        <v/>
      </c>
      <c r="D220" s="140"/>
      <c r="E220" s="140"/>
      <c r="F220" s="140"/>
      <c r="G220" s="140"/>
      <c r="H220" s="140"/>
      <c r="I220" s="140"/>
      <c r="J220" s="140"/>
      <c r="K220" s="140"/>
      <c r="L220" s="140"/>
      <c r="M220" s="141" t="str">
        <f t="shared" si="4"/>
        <v/>
      </c>
      <c r="N220" s="142"/>
      <c r="O220" s="143"/>
    </row>
    <row r="221" spans="2:15" x14ac:dyDescent="0.35">
      <c r="B221" s="138" t="str">
        <f>IF(Lançamentos!$B216="","",Lançamentos!$B216)</f>
        <v/>
      </c>
      <c r="C221" s="139" t="str">
        <f>IF($B221="","",IFERROR(INDEX(Lançamentos!$J$3:$J$1001,MATCH($B221,Lançamentos!$B$3:$B$1001,0)),""))</f>
        <v/>
      </c>
      <c r="D221" s="140"/>
      <c r="E221" s="140"/>
      <c r="F221" s="140"/>
      <c r="G221" s="140"/>
      <c r="H221" s="140"/>
      <c r="I221" s="140"/>
      <c r="J221" s="140"/>
      <c r="K221" s="140"/>
      <c r="L221" s="140"/>
      <c r="M221" s="141" t="str">
        <f t="shared" si="4"/>
        <v/>
      </c>
      <c r="N221" s="142"/>
      <c r="O221" s="143"/>
    </row>
    <row r="222" spans="2:15" x14ac:dyDescent="0.35">
      <c r="B222" s="138" t="str">
        <f>IF(Lançamentos!$B217="","",Lançamentos!$B217)</f>
        <v/>
      </c>
      <c r="C222" s="139" t="str">
        <f>IF($B222="","",IFERROR(INDEX(Lançamentos!$J$3:$J$1001,MATCH($B222,Lançamentos!$B$3:$B$1001,0)),""))</f>
        <v/>
      </c>
      <c r="D222" s="140"/>
      <c r="E222" s="140"/>
      <c r="F222" s="140"/>
      <c r="G222" s="140"/>
      <c r="H222" s="140"/>
      <c r="I222" s="140"/>
      <c r="J222" s="140"/>
      <c r="K222" s="140"/>
      <c r="L222" s="140"/>
      <c r="M222" s="141" t="str">
        <f t="shared" si="4"/>
        <v/>
      </c>
      <c r="N222" s="142"/>
      <c r="O222" s="143"/>
    </row>
    <row r="223" spans="2:15" x14ac:dyDescent="0.35">
      <c r="B223" s="138" t="str">
        <f>IF(Lançamentos!$B218="","",Lançamentos!$B218)</f>
        <v/>
      </c>
      <c r="C223" s="139" t="str">
        <f>IF($B223="","",IFERROR(INDEX(Lançamentos!$J$3:$J$1001,MATCH($B223,Lançamentos!$B$3:$B$1001,0)),""))</f>
        <v/>
      </c>
      <c r="D223" s="140"/>
      <c r="E223" s="140"/>
      <c r="F223" s="140"/>
      <c r="G223" s="140"/>
      <c r="H223" s="140"/>
      <c r="I223" s="140"/>
      <c r="J223" s="140"/>
      <c r="K223" s="140"/>
      <c r="L223" s="140"/>
      <c r="M223" s="141" t="str">
        <f t="shared" si="4"/>
        <v/>
      </c>
      <c r="N223" s="142"/>
      <c r="O223" s="143"/>
    </row>
    <row r="224" spans="2:15" x14ac:dyDescent="0.35">
      <c r="B224" s="138" t="str">
        <f>IF(Lançamentos!$B219="","",Lançamentos!$B219)</f>
        <v/>
      </c>
      <c r="C224" s="139" t="str">
        <f>IF($B224="","",IFERROR(INDEX(Lançamentos!$J$3:$J$1001,MATCH($B224,Lançamentos!$B$3:$B$1001,0)),""))</f>
        <v/>
      </c>
      <c r="D224" s="140"/>
      <c r="E224" s="140"/>
      <c r="F224" s="140"/>
      <c r="G224" s="140"/>
      <c r="H224" s="140"/>
      <c r="I224" s="140"/>
      <c r="J224" s="140"/>
      <c r="K224" s="140"/>
      <c r="L224" s="140"/>
      <c r="M224" s="141" t="str">
        <f t="shared" si="4"/>
        <v/>
      </c>
      <c r="N224" s="142"/>
      <c r="O224" s="143"/>
    </row>
    <row r="225" spans="2:15" x14ac:dyDescent="0.35">
      <c r="B225" s="138" t="str">
        <f>IF(Lançamentos!$B220="","",Lançamentos!$B220)</f>
        <v/>
      </c>
      <c r="C225" s="139" t="str">
        <f>IF($B225="","",IFERROR(INDEX(Lançamentos!$J$3:$J$1001,MATCH($B225,Lançamentos!$B$3:$B$1001,0)),""))</f>
        <v/>
      </c>
      <c r="D225" s="140"/>
      <c r="E225" s="140"/>
      <c r="F225" s="140"/>
      <c r="G225" s="140"/>
      <c r="H225" s="140"/>
      <c r="I225" s="140"/>
      <c r="J225" s="140"/>
      <c r="K225" s="140"/>
      <c r="L225" s="140"/>
      <c r="M225" s="141" t="str">
        <f t="shared" si="4"/>
        <v/>
      </c>
      <c r="N225" s="142"/>
      <c r="O225" s="143"/>
    </row>
    <row r="226" spans="2:15" x14ac:dyDescent="0.35">
      <c r="B226" s="138" t="str">
        <f>IF(Lançamentos!$B221="","",Lançamentos!$B221)</f>
        <v/>
      </c>
      <c r="C226" s="139" t="str">
        <f>IF($B226="","",IFERROR(INDEX(Lançamentos!$J$3:$J$1001,MATCH($B226,Lançamentos!$B$3:$B$1001,0)),""))</f>
        <v/>
      </c>
      <c r="D226" s="140"/>
      <c r="E226" s="140"/>
      <c r="F226" s="140"/>
      <c r="G226" s="140"/>
      <c r="H226" s="140"/>
      <c r="I226" s="140"/>
      <c r="J226" s="140"/>
      <c r="K226" s="140"/>
      <c r="L226" s="140"/>
      <c r="M226" s="141" t="str">
        <f t="shared" si="4"/>
        <v/>
      </c>
      <c r="N226" s="142"/>
      <c r="O226" s="143"/>
    </row>
    <row r="227" spans="2:15" x14ac:dyDescent="0.35">
      <c r="B227" s="138" t="str">
        <f>IF(Lançamentos!$B222="","",Lançamentos!$B222)</f>
        <v/>
      </c>
      <c r="C227" s="139" t="str">
        <f>IF($B227="","",IFERROR(INDEX(Lançamentos!$J$3:$J$1001,MATCH($B227,Lançamentos!$B$3:$B$1001,0)),""))</f>
        <v/>
      </c>
      <c r="D227" s="140"/>
      <c r="E227" s="140"/>
      <c r="F227" s="140"/>
      <c r="G227" s="140"/>
      <c r="H227" s="140"/>
      <c r="I227" s="140"/>
      <c r="J227" s="140"/>
      <c r="K227" s="140"/>
      <c r="L227" s="140"/>
      <c r="M227" s="141" t="str">
        <f t="shared" si="4"/>
        <v/>
      </c>
      <c r="N227" s="142"/>
      <c r="O227" s="143"/>
    </row>
    <row r="228" spans="2:15" x14ac:dyDescent="0.35">
      <c r="B228" s="138" t="str">
        <f>IF(Lançamentos!$B223="","",Lançamentos!$B223)</f>
        <v/>
      </c>
      <c r="C228" s="139" t="str">
        <f>IF($B228="","",IFERROR(INDEX(Lançamentos!$J$3:$J$1001,MATCH($B228,Lançamentos!$B$3:$B$1001,0)),""))</f>
        <v/>
      </c>
      <c r="D228" s="140"/>
      <c r="E228" s="140"/>
      <c r="F228" s="140"/>
      <c r="G228" s="140"/>
      <c r="H228" s="140"/>
      <c r="I228" s="140"/>
      <c r="J228" s="140"/>
      <c r="K228" s="140"/>
      <c r="L228" s="140"/>
      <c r="M228" s="141" t="str">
        <f t="shared" si="4"/>
        <v/>
      </c>
      <c r="N228" s="142"/>
      <c r="O228" s="143"/>
    </row>
    <row r="229" spans="2:15" x14ac:dyDescent="0.35">
      <c r="B229" s="138" t="str">
        <f>IF(Lançamentos!$B224="","",Lançamentos!$B224)</f>
        <v/>
      </c>
      <c r="C229" s="139" t="str">
        <f>IF($B229="","",IFERROR(INDEX(Lançamentos!$J$3:$J$1001,MATCH($B229,Lançamentos!$B$3:$B$1001,0)),""))</f>
        <v/>
      </c>
      <c r="D229" s="140"/>
      <c r="E229" s="140"/>
      <c r="F229" s="140"/>
      <c r="G229" s="140"/>
      <c r="H229" s="140"/>
      <c r="I229" s="140"/>
      <c r="J229" s="140"/>
      <c r="K229" s="140"/>
      <c r="L229" s="140"/>
      <c r="M229" s="141" t="str">
        <f t="shared" si="4"/>
        <v/>
      </c>
      <c r="N229" s="142"/>
      <c r="O229" s="143"/>
    </row>
    <row r="230" spans="2:15" x14ac:dyDescent="0.35">
      <c r="B230" s="138" t="str">
        <f>IF(Lançamentos!$B225="","",Lançamentos!$B225)</f>
        <v/>
      </c>
      <c r="C230" s="139" t="str">
        <f>IF($B230="","",IFERROR(INDEX(Lançamentos!$J$3:$J$1001,MATCH($B230,Lançamentos!$B$3:$B$1001,0)),""))</f>
        <v/>
      </c>
      <c r="D230" s="140"/>
      <c r="E230" s="140"/>
      <c r="F230" s="140"/>
      <c r="G230" s="140"/>
      <c r="H230" s="140"/>
      <c r="I230" s="140"/>
      <c r="J230" s="140"/>
      <c r="K230" s="140"/>
      <c r="L230" s="140"/>
      <c r="M230" s="141" t="str">
        <f t="shared" si="4"/>
        <v/>
      </c>
      <c r="N230" s="142"/>
      <c r="O230" s="143"/>
    </row>
    <row r="231" spans="2:15" x14ac:dyDescent="0.35">
      <c r="B231" s="138" t="str">
        <f>IF(Lançamentos!$B226="","",Lançamentos!$B226)</f>
        <v/>
      </c>
      <c r="C231" s="139" t="str">
        <f>IF($B231="","",IFERROR(INDEX(Lançamentos!$J$3:$J$1001,MATCH($B231,Lançamentos!$B$3:$B$1001,0)),""))</f>
        <v/>
      </c>
      <c r="D231" s="140"/>
      <c r="E231" s="140"/>
      <c r="F231" s="140"/>
      <c r="G231" s="140"/>
      <c r="H231" s="140"/>
      <c r="I231" s="140"/>
      <c r="J231" s="140"/>
      <c r="K231" s="140"/>
      <c r="L231" s="140"/>
      <c r="M231" s="141" t="str">
        <f t="shared" si="4"/>
        <v/>
      </c>
      <c r="N231" s="142"/>
      <c r="O231" s="143"/>
    </row>
    <row r="232" spans="2:15" x14ac:dyDescent="0.35">
      <c r="B232" s="138" t="str">
        <f>IF(Lançamentos!$B227="","",Lançamentos!$B227)</f>
        <v/>
      </c>
      <c r="C232" s="139" t="str">
        <f>IF($B232="","",IFERROR(INDEX(Lançamentos!$J$3:$J$1001,MATCH($B232,Lançamentos!$B$3:$B$1001,0)),""))</f>
        <v/>
      </c>
      <c r="D232" s="140"/>
      <c r="E232" s="140"/>
      <c r="F232" s="140"/>
      <c r="G232" s="140"/>
      <c r="H232" s="140"/>
      <c r="I232" s="140"/>
      <c r="J232" s="140"/>
      <c r="K232" s="140"/>
      <c r="L232" s="140"/>
      <c r="M232" s="141" t="str">
        <f t="shared" si="4"/>
        <v/>
      </c>
      <c r="N232" s="142"/>
      <c r="O232" s="143"/>
    </row>
    <row r="233" spans="2:15" x14ac:dyDescent="0.35">
      <c r="B233" s="138" t="str">
        <f>IF(Lançamentos!$B228="","",Lançamentos!$B228)</f>
        <v/>
      </c>
      <c r="C233" s="139" t="str">
        <f>IF($B233="","",IFERROR(INDEX(Lançamentos!$J$3:$J$1001,MATCH($B233,Lançamentos!$B$3:$B$1001,0)),""))</f>
        <v/>
      </c>
      <c r="D233" s="140"/>
      <c r="E233" s="140"/>
      <c r="F233" s="140"/>
      <c r="G233" s="140"/>
      <c r="H233" s="140"/>
      <c r="I233" s="140"/>
      <c r="J233" s="140"/>
      <c r="K233" s="140"/>
      <c r="L233" s="140"/>
      <c r="M233" s="141" t="str">
        <f t="shared" si="4"/>
        <v/>
      </c>
      <c r="N233" s="142"/>
      <c r="O233" s="143"/>
    </row>
    <row r="234" spans="2:15" x14ac:dyDescent="0.35">
      <c r="B234" s="138" t="str">
        <f>IF(Lançamentos!$B229="","",Lançamentos!$B229)</f>
        <v/>
      </c>
      <c r="C234" s="139" t="str">
        <f>IF($B234="","",IFERROR(INDEX(Lançamentos!$J$3:$J$1001,MATCH($B234,Lançamentos!$B$3:$B$1001,0)),""))</f>
        <v/>
      </c>
      <c r="D234" s="140"/>
      <c r="E234" s="140"/>
      <c r="F234" s="140"/>
      <c r="G234" s="140"/>
      <c r="H234" s="140"/>
      <c r="I234" s="140"/>
      <c r="J234" s="140"/>
      <c r="K234" s="140"/>
      <c r="L234" s="140"/>
      <c r="M234" s="141" t="str">
        <f t="shared" si="4"/>
        <v/>
      </c>
      <c r="N234" s="142"/>
      <c r="O234" s="143"/>
    </row>
    <row r="235" spans="2:15" x14ac:dyDescent="0.35">
      <c r="B235" s="138" t="str">
        <f>IF(Lançamentos!$B230="","",Lançamentos!$B230)</f>
        <v/>
      </c>
      <c r="C235" s="139" t="str">
        <f>IF($B235="","",IFERROR(INDEX(Lançamentos!$J$3:$J$1001,MATCH($B235,Lançamentos!$B$3:$B$1001,0)),""))</f>
        <v/>
      </c>
      <c r="D235" s="140"/>
      <c r="E235" s="140"/>
      <c r="F235" s="140"/>
      <c r="G235" s="140"/>
      <c r="H235" s="140"/>
      <c r="I235" s="140"/>
      <c r="J235" s="140"/>
      <c r="K235" s="140"/>
      <c r="L235" s="140"/>
      <c r="M235" s="141" t="str">
        <f t="shared" si="4"/>
        <v/>
      </c>
      <c r="N235" s="142"/>
      <c r="O235" s="143"/>
    </row>
    <row r="236" spans="2:15" x14ac:dyDescent="0.35">
      <c r="B236" s="138" t="str">
        <f>IF(Lançamentos!$B231="","",Lançamentos!$B231)</f>
        <v/>
      </c>
      <c r="C236" s="139" t="str">
        <f>IF($B236="","",IFERROR(INDEX(Lançamentos!$J$3:$J$1001,MATCH($B236,Lançamentos!$B$3:$B$1001,0)),""))</f>
        <v/>
      </c>
      <c r="D236" s="140"/>
      <c r="E236" s="140"/>
      <c r="F236" s="140"/>
      <c r="G236" s="140"/>
      <c r="H236" s="140"/>
      <c r="I236" s="140"/>
      <c r="J236" s="140"/>
      <c r="K236" s="140"/>
      <c r="L236" s="140"/>
      <c r="M236" s="141" t="str">
        <f t="shared" si="4"/>
        <v/>
      </c>
      <c r="N236" s="142"/>
      <c r="O236" s="143"/>
    </row>
    <row r="237" spans="2:15" x14ac:dyDescent="0.35">
      <c r="B237" s="138" t="str">
        <f>IF(Lançamentos!$B232="","",Lançamentos!$B232)</f>
        <v/>
      </c>
      <c r="C237" s="139" t="str">
        <f>IF($B237="","",IFERROR(INDEX(Lançamentos!$J$3:$J$1001,MATCH($B237,Lançamentos!$B$3:$B$1001,0)),""))</f>
        <v/>
      </c>
      <c r="D237" s="140"/>
      <c r="E237" s="140"/>
      <c r="F237" s="140"/>
      <c r="G237" s="140"/>
      <c r="H237" s="140"/>
      <c r="I237" s="140"/>
      <c r="J237" s="140"/>
      <c r="K237" s="140"/>
      <c r="L237" s="140"/>
      <c r="M237" s="141" t="str">
        <f t="shared" si="4"/>
        <v/>
      </c>
      <c r="N237" s="142"/>
      <c r="O237" s="143"/>
    </row>
    <row r="238" spans="2:15" x14ac:dyDescent="0.35">
      <c r="B238" s="138" t="str">
        <f>IF(Lançamentos!$B233="","",Lançamentos!$B233)</f>
        <v/>
      </c>
      <c r="C238" s="139" t="str">
        <f>IF($B238="","",IFERROR(INDEX(Lançamentos!$J$3:$J$1001,MATCH($B238,Lançamentos!$B$3:$B$1001,0)),""))</f>
        <v/>
      </c>
      <c r="D238" s="140"/>
      <c r="E238" s="140"/>
      <c r="F238" s="140"/>
      <c r="G238" s="140"/>
      <c r="H238" s="140"/>
      <c r="I238" s="140"/>
      <c r="J238" s="140"/>
      <c r="K238" s="140"/>
      <c r="L238" s="140"/>
      <c r="M238" s="141" t="str">
        <f t="shared" si="4"/>
        <v/>
      </c>
      <c r="N238" s="142"/>
      <c r="O238" s="143"/>
    </row>
    <row r="239" spans="2:15" x14ac:dyDescent="0.35">
      <c r="B239" s="138" t="str">
        <f>IF(Lançamentos!$B234="","",Lançamentos!$B234)</f>
        <v/>
      </c>
      <c r="C239" s="139" t="str">
        <f>IF($B239="","",IFERROR(INDEX(Lançamentos!$J$3:$J$1001,MATCH($B239,Lançamentos!$B$3:$B$1001,0)),""))</f>
        <v/>
      </c>
      <c r="D239" s="140"/>
      <c r="E239" s="140"/>
      <c r="F239" s="140"/>
      <c r="G239" s="140"/>
      <c r="H239" s="140"/>
      <c r="I239" s="140"/>
      <c r="J239" s="140"/>
      <c r="K239" s="140"/>
      <c r="L239" s="140"/>
      <c r="M239" s="141" t="str">
        <f t="shared" si="4"/>
        <v/>
      </c>
      <c r="N239" s="142"/>
      <c r="O239" s="143"/>
    </row>
    <row r="240" spans="2:15" x14ac:dyDescent="0.35">
      <c r="B240" s="138" t="str">
        <f>IF(Lançamentos!$B235="","",Lançamentos!$B235)</f>
        <v/>
      </c>
      <c r="C240" s="139" t="str">
        <f>IF($B240="","",IFERROR(INDEX(Lançamentos!$J$3:$J$1001,MATCH($B240,Lançamentos!$B$3:$B$1001,0)),""))</f>
        <v/>
      </c>
      <c r="D240" s="140"/>
      <c r="E240" s="140"/>
      <c r="F240" s="140"/>
      <c r="G240" s="140"/>
      <c r="H240" s="140"/>
      <c r="I240" s="140"/>
      <c r="J240" s="140"/>
      <c r="K240" s="140"/>
      <c r="L240" s="140"/>
      <c r="M240" s="141" t="str">
        <f t="shared" si="4"/>
        <v/>
      </c>
      <c r="N240" s="142"/>
      <c r="O240" s="143"/>
    </row>
    <row r="241" spans="2:15" x14ac:dyDescent="0.35">
      <c r="B241" s="138" t="str">
        <f>IF(Lançamentos!$B236="","",Lançamentos!$B236)</f>
        <v/>
      </c>
      <c r="C241" s="139" t="str">
        <f>IF($B241="","",IFERROR(INDEX(Lançamentos!$J$3:$J$1001,MATCH($B241,Lançamentos!$B$3:$B$1001,0)),""))</f>
        <v/>
      </c>
      <c r="D241" s="140"/>
      <c r="E241" s="140"/>
      <c r="F241" s="140"/>
      <c r="G241" s="140"/>
      <c r="H241" s="140"/>
      <c r="I241" s="140"/>
      <c r="J241" s="140"/>
      <c r="K241" s="140"/>
      <c r="L241" s="140"/>
      <c r="M241" s="141" t="str">
        <f t="shared" si="4"/>
        <v/>
      </c>
      <c r="N241" s="142"/>
      <c r="O241" s="143"/>
    </row>
    <row r="242" spans="2:15" x14ac:dyDescent="0.35">
      <c r="B242" s="138" t="str">
        <f>IF(Lançamentos!$B237="","",Lançamentos!$B237)</f>
        <v/>
      </c>
      <c r="C242" s="139" t="str">
        <f>IF($B242="","",IFERROR(INDEX(Lançamentos!$J$3:$J$1001,MATCH($B242,Lançamentos!$B$3:$B$1001,0)),""))</f>
        <v/>
      </c>
      <c r="D242" s="140"/>
      <c r="E242" s="140"/>
      <c r="F242" s="140"/>
      <c r="G242" s="140"/>
      <c r="H242" s="140"/>
      <c r="I242" s="140"/>
      <c r="J242" s="140"/>
      <c r="K242" s="140"/>
      <c r="L242" s="140"/>
      <c r="M242" s="141" t="str">
        <f t="shared" si="4"/>
        <v/>
      </c>
      <c r="N242" s="142"/>
      <c r="O242" s="143"/>
    </row>
    <row r="243" spans="2:15" x14ac:dyDescent="0.35">
      <c r="B243" s="138" t="str">
        <f>IF(Lançamentos!$B238="","",Lançamentos!$B238)</f>
        <v/>
      </c>
      <c r="C243" s="139" t="str">
        <f>IF($B243="","",IFERROR(INDEX(Lançamentos!$J$3:$J$1001,MATCH($B243,Lançamentos!$B$3:$B$1001,0)),""))</f>
        <v/>
      </c>
      <c r="D243" s="140"/>
      <c r="E243" s="140"/>
      <c r="F243" s="140"/>
      <c r="G243" s="140"/>
      <c r="H243" s="140"/>
      <c r="I243" s="140"/>
      <c r="J243" s="140"/>
      <c r="K243" s="140"/>
      <c r="L243" s="140"/>
      <c r="M243" s="141" t="str">
        <f t="shared" si="4"/>
        <v/>
      </c>
      <c r="N243" s="142"/>
      <c r="O243" s="143"/>
    </row>
    <row r="244" spans="2:15" x14ac:dyDescent="0.35">
      <c r="B244" s="138" t="str">
        <f>IF(Lançamentos!$B239="","",Lançamentos!$B239)</f>
        <v/>
      </c>
      <c r="C244" s="139" t="str">
        <f>IF($B244="","",IFERROR(INDEX(Lançamentos!$J$3:$J$1001,MATCH($B244,Lançamentos!$B$3:$B$1001,0)),""))</f>
        <v/>
      </c>
      <c r="D244" s="140"/>
      <c r="E244" s="140"/>
      <c r="F244" s="140"/>
      <c r="G244" s="140"/>
      <c r="H244" s="140"/>
      <c r="I244" s="140"/>
      <c r="J244" s="140"/>
      <c r="K244" s="140"/>
      <c r="L244" s="140"/>
      <c r="M244" s="141" t="str">
        <f t="shared" si="4"/>
        <v/>
      </c>
      <c r="N244" s="142"/>
      <c r="O244" s="143"/>
    </row>
    <row r="245" spans="2:15" x14ac:dyDescent="0.35">
      <c r="B245" s="138" t="str">
        <f>IF(Lançamentos!$B240="","",Lançamentos!$B240)</f>
        <v/>
      </c>
      <c r="C245" s="139" t="str">
        <f>IF($B245="","",IFERROR(INDEX(Lançamentos!$J$3:$J$1001,MATCH($B245,Lançamentos!$B$3:$B$1001,0)),""))</f>
        <v/>
      </c>
      <c r="D245" s="140"/>
      <c r="E245" s="140"/>
      <c r="F245" s="140"/>
      <c r="G245" s="140"/>
      <c r="H245" s="140"/>
      <c r="I245" s="140"/>
      <c r="J245" s="140"/>
      <c r="K245" s="140"/>
      <c r="L245" s="140"/>
      <c r="M245" s="141" t="str">
        <f t="shared" si="4"/>
        <v/>
      </c>
      <c r="N245" s="142"/>
      <c r="O245" s="143"/>
    </row>
    <row r="246" spans="2:15" x14ac:dyDescent="0.35">
      <c r="B246" s="138" t="str">
        <f>IF(Lançamentos!$B241="","",Lançamentos!$B241)</f>
        <v/>
      </c>
      <c r="C246" s="139" t="str">
        <f>IF($B246="","",IFERROR(INDEX(Lançamentos!$J$3:$J$1001,MATCH($B246,Lançamentos!$B$3:$B$1001,0)),""))</f>
        <v/>
      </c>
      <c r="D246" s="140"/>
      <c r="E246" s="140"/>
      <c r="F246" s="140"/>
      <c r="G246" s="140"/>
      <c r="H246" s="140"/>
      <c r="I246" s="140"/>
      <c r="J246" s="140"/>
      <c r="K246" s="140"/>
      <c r="L246" s="140"/>
      <c r="M246" s="141" t="str">
        <f t="shared" si="4"/>
        <v/>
      </c>
      <c r="N246" s="142"/>
      <c r="O246" s="143"/>
    </row>
    <row r="247" spans="2:15" x14ac:dyDescent="0.35">
      <c r="B247" s="138" t="str">
        <f>IF(Lançamentos!$B242="","",Lançamentos!$B242)</f>
        <v/>
      </c>
      <c r="C247" s="139" t="str">
        <f>IF($B247="","",IFERROR(INDEX(Lançamentos!$J$3:$J$1001,MATCH($B247,Lançamentos!$B$3:$B$1001,0)),""))</f>
        <v/>
      </c>
      <c r="D247" s="140"/>
      <c r="E247" s="140"/>
      <c r="F247" s="140"/>
      <c r="G247" s="140"/>
      <c r="H247" s="140"/>
      <c r="I247" s="140"/>
      <c r="J247" s="140"/>
      <c r="K247" s="140"/>
      <c r="L247" s="140"/>
      <c r="M247" s="141" t="str">
        <f t="shared" si="4"/>
        <v/>
      </c>
      <c r="N247" s="142"/>
      <c r="O247" s="143"/>
    </row>
    <row r="248" spans="2:15" x14ac:dyDescent="0.35">
      <c r="B248" s="138" t="str">
        <f>IF(Lançamentos!$B243="","",Lançamentos!$B243)</f>
        <v/>
      </c>
      <c r="C248" s="139" t="str">
        <f>IF($B248="","",IFERROR(INDEX(Lançamentos!$J$3:$J$1001,MATCH($B248,Lançamentos!$B$3:$B$1001,0)),""))</f>
        <v/>
      </c>
      <c r="D248" s="140"/>
      <c r="E248" s="140"/>
      <c r="F248" s="140"/>
      <c r="G248" s="140"/>
      <c r="H248" s="140"/>
      <c r="I248" s="140"/>
      <c r="J248" s="140"/>
      <c r="K248" s="140"/>
      <c r="L248" s="140"/>
      <c r="M248" s="141" t="str">
        <f t="shared" si="4"/>
        <v/>
      </c>
      <c r="N248" s="142"/>
      <c r="O248" s="143"/>
    </row>
    <row r="249" spans="2:15" x14ac:dyDescent="0.35">
      <c r="B249" s="138" t="str">
        <f>IF(Lançamentos!$B244="","",Lançamentos!$B244)</f>
        <v/>
      </c>
      <c r="C249" s="139" t="str">
        <f>IF($B249="","",IFERROR(INDEX(Lançamentos!$J$3:$J$1001,MATCH($B249,Lançamentos!$B$3:$B$1001,0)),""))</f>
        <v/>
      </c>
      <c r="D249" s="140"/>
      <c r="E249" s="140"/>
      <c r="F249" s="140"/>
      <c r="G249" s="140"/>
      <c r="H249" s="140"/>
      <c r="I249" s="140"/>
      <c r="J249" s="140"/>
      <c r="K249" s="140"/>
      <c r="L249" s="140"/>
      <c r="M249" s="141" t="str">
        <f t="shared" si="4"/>
        <v/>
      </c>
      <c r="N249" s="142"/>
      <c r="O249" s="143"/>
    </row>
    <row r="250" spans="2:15" x14ac:dyDescent="0.35">
      <c r="B250" s="138" t="str">
        <f>IF(Lançamentos!$B245="","",Lançamentos!$B245)</f>
        <v/>
      </c>
      <c r="C250" s="139" t="str">
        <f>IF($B250="","",IFERROR(INDEX(Lançamentos!$J$3:$J$1001,MATCH($B250,Lançamentos!$B$3:$B$1001,0)),""))</f>
        <v/>
      </c>
      <c r="D250" s="140"/>
      <c r="E250" s="140"/>
      <c r="F250" s="140"/>
      <c r="G250" s="140"/>
      <c r="H250" s="140"/>
      <c r="I250" s="140"/>
      <c r="J250" s="140"/>
      <c r="K250" s="140"/>
      <c r="L250" s="140"/>
      <c r="M250" s="141" t="str">
        <f t="shared" si="4"/>
        <v/>
      </c>
      <c r="N250" s="142"/>
      <c r="O250" s="143"/>
    </row>
    <row r="251" spans="2:15" x14ac:dyDescent="0.35">
      <c r="B251" s="138" t="str">
        <f>IF(Lançamentos!$B246="","",Lançamentos!$B246)</f>
        <v/>
      </c>
      <c r="C251" s="139" t="str">
        <f>IF($B251="","",IFERROR(INDEX(Lançamentos!$J$3:$J$1001,MATCH($B251,Lançamentos!$B$3:$B$1001,0)),""))</f>
        <v/>
      </c>
      <c r="D251" s="140"/>
      <c r="E251" s="140"/>
      <c r="F251" s="140"/>
      <c r="G251" s="140"/>
      <c r="H251" s="140"/>
      <c r="I251" s="140"/>
      <c r="J251" s="140"/>
      <c r="K251" s="140"/>
      <c r="L251" s="140"/>
      <c r="M251" s="141" t="str">
        <f t="shared" si="4"/>
        <v/>
      </c>
      <c r="N251" s="142"/>
      <c r="O251" s="143"/>
    </row>
    <row r="252" spans="2:15" x14ac:dyDescent="0.35">
      <c r="B252" s="138" t="str">
        <f>IF(Lançamentos!$B247="","",Lançamentos!$B247)</f>
        <v/>
      </c>
      <c r="C252" s="139" t="str">
        <f>IF($B252="","",IFERROR(INDEX(Lançamentos!$J$3:$J$1001,MATCH($B252,Lançamentos!$B$3:$B$1001,0)),""))</f>
        <v/>
      </c>
      <c r="D252" s="140"/>
      <c r="E252" s="140"/>
      <c r="F252" s="140"/>
      <c r="G252" s="140"/>
      <c r="H252" s="140"/>
      <c r="I252" s="140"/>
      <c r="J252" s="140"/>
      <c r="K252" s="140"/>
      <c r="L252" s="140"/>
      <c r="M252" s="141" t="str">
        <f t="shared" si="4"/>
        <v/>
      </c>
      <c r="N252" s="142"/>
      <c r="O252" s="143"/>
    </row>
    <row r="253" spans="2:15" x14ac:dyDescent="0.35">
      <c r="B253" s="138" t="str">
        <f>IF(Lançamentos!$B248="","",Lançamentos!$B248)</f>
        <v/>
      </c>
      <c r="C253" s="139" t="str">
        <f>IF($B253="","",IFERROR(INDEX(Lançamentos!$J$3:$J$1001,MATCH($B253,Lançamentos!$B$3:$B$1001,0)),""))</f>
        <v/>
      </c>
      <c r="D253" s="140"/>
      <c r="E253" s="140"/>
      <c r="F253" s="140"/>
      <c r="G253" s="140"/>
      <c r="H253" s="140"/>
      <c r="I253" s="140"/>
      <c r="J253" s="140"/>
      <c r="K253" s="140"/>
      <c r="L253" s="140"/>
      <c r="M253" s="141" t="str">
        <f t="shared" si="4"/>
        <v/>
      </c>
      <c r="N253" s="142"/>
      <c r="O253" s="143"/>
    </row>
    <row r="254" spans="2:15" x14ac:dyDescent="0.35">
      <c r="B254" s="138" t="str">
        <f>IF(Lançamentos!$B249="","",Lançamentos!$B249)</f>
        <v/>
      </c>
      <c r="C254" s="139" t="str">
        <f>IF($B254="","",IFERROR(INDEX(Lançamentos!$J$3:$J$1001,MATCH($B254,Lançamentos!$B$3:$B$1001,0)),""))</f>
        <v/>
      </c>
      <c r="D254" s="140"/>
      <c r="E254" s="140"/>
      <c r="F254" s="140"/>
      <c r="G254" s="140"/>
      <c r="H254" s="140"/>
      <c r="I254" s="140"/>
      <c r="J254" s="140"/>
      <c r="K254" s="140"/>
      <c r="L254" s="140"/>
      <c r="M254" s="141" t="str">
        <f t="shared" si="4"/>
        <v/>
      </c>
      <c r="N254" s="142"/>
      <c r="O254" s="143"/>
    </row>
    <row r="255" spans="2:15" x14ac:dyDescent="0.35">
      <c r="B255" s="138" t="str">
        <f>IF(Lançamentos!$B250="","",Lançamentos!$B250)</f>
        <v/>
      </c>
      <c r="C255" s="139" t="str">
        <f>IF($B255="","",IFERROR(INDEX(Lançamentos!$J$3:$J$1001,MATCH($B255,Lançamentos!$B$3:$B$1001,0)),""))</f>
        <v/>
      </c>
      <c r="D255" s="140"/>
      <c r="E255" s="140"/>
      <c r="F255" s="140"/>
      <c r="G255" s="140"/>
      <c r="H255" s="140"/>
      <c r="I255" s="140"/>
      <c r="J255" s="140"/>
      <c r="K255" s="140"/>
      <c r="L255" s="140"/>
      <c r="M255" s="141" t="str">
        <f t="shared" si="4"/>
        <v/>
      </c>
      <c r="N255" s="142"/>
      <c r="O255" s="143"/>
    </row>
    <row r="256" spans="2:15" x14ac:dyDescent="0.35">
      <c r="B256" s="138" t="str">
        <f>IF(Lançamentos!$B251="","",Lançamentos!$B251)</f>
        <v/>
      </c>
      <c r="C256" s="139" t="str">
        <f>IF($B256="","",IFERROR(INDEX(Lançamentos!$J$3:$J$1001,MATCH($B256,Lançamentos!$B$3:$B$1001,0)),""))</f>
        <v/>
      </c>
      <c r="D256" s="140"/>
      <c r="E256" s="140"/>
      <c r="F256" s="140"/>
      <c r="G256" s="140"/>
      <c r="H256" s="140"/>
      <c r="I256" s="140"/>
      <c r="J256" s="140"/>
      <c r="K256" s="140"/>
      <c r="L256" s="140"/>
      <c r="M256" s="141" t="str">
        <f t="shared" si="4"/>
        <v/>
      </c>
      <c r="N256" s="142"/>
      <c r="O256" s="143"/>
    </row>
    <row r="257" spans="2:15" x14ac:dyDescent="0.35">
      <c r="B257" s="138" t="str">
        <f>IF(Lançamentos!$B252="","",Lançamentos!$B252)</f>
        <v/>
      </c>
      <c r="C257" s="139" t="str">
        <f>IF($B257="","",IFERROR(INDEX(Lançamentos!$J$3:$J$1001,MATCH($B257,Lançamentos!$B$3:$B$1001,0)),""))</f>
        <v/>
      </c>
      <c r="D257" s="140"/>
      <c r="E257" s="140"/>
      <c r="F257" s="140"/>
      <c r="G257" s="140"/>
      <c r="H257" s="140"/>
      <c r="I257" s="140"/>
      <c r="J257" s="140"/>
      <c r="K257" s="140"/>
      <c r="L257" s="140"/>
      <c r="M257" s="141" t="str">
        <f t="shared" si="4"/>
        <v/>
      </c>
      <c r="N257" s="142"/>
      <c r="O257" s="143"/>
    </row>
    <row r="258" spans="2:15" x14ac:dyDescent="0.35">
      <c r="B258" s="138" t="str">
        <f>IF(Lançamentos!$B253="","",Lançamentos!$B253)</f>
        <v/>
      </c>
      <c r="C258" s="139" t="str">
        <f>IF($B258="","",IFERROR(INDEX(Lançamentos!$J$3:$J$1001,MATCH($B258,Lançamentos!$B$3:$B$1001,0)),""))</f>
        <v/>
      </c>
      <c r="D258" s="140"/>
      <c r="E258" s="140"/>
      <c r="F258" s="140"/>
      <c r="G258" s="140"/>
      <c r="H258" s="140"/>
      <c r="I258" s="140"/>
      <c r="J258" s="140"/>
      <c r="K258" s="140"/>
      <c r="L258" s="140"/>
      <c r="M258" s="141" t="str">
        <f t="shared" si="4"/>
        <v/>
      </c>
      <c r="N258" s="142"/>
      <c r="O258" s="143"/>
    </row>
    <row r="259" spans="2:15" x14ac:dyDescent="0.35">
      <c r="B259" s="138" t="str">
        <f>IF(Lançamentos!$B254="","",Lançamentos!$B254)</f>
        <v/>
      </c>
      <c r="C259" s="139" t="str">
        <f>IF($B259="","",IFERROR(INDEX(Lançamentos!$J$3:$J$1001,MATCH($B259,Lançamentos!$B$3:$B$1001,0)),""))</f>
        <v/>
      </c>
      <c r="D259" s="140"/>
      <c r="E259" s="140"/>
      <c r="F259" s="140"/>
      <c r="G259" s="140"/>
      <c r="H259" s="140"/>
      <c r="I259" s="140"/>
      <c r="J259" s="140"/>
      <c r="K259" s="140"/>
      <c r="L259" s="140"/>
      <c r="M259" s="141" t="str">
        <f t="shared" si="4"/>
        <v/>
      </c>
      <c r="N259" s="142"/>
      <c r="O259" s="143"/>
    </row>
    <row r="260" spans="2:15" x14ac:dyDescent="0.35">
      <c r="B260" s="138" t="str">
        <f>IF(Lançamentos!$B255="","",Lançamentos!$B255)</f>
        <v/>
      </c>
      <c r="C260" s="139" t="str">
        <f>IF($B260="","",IFERROR(INDEX(Lançamentos!$J$3:$J$1001,MATCH($B260,Lançamentos!$B$3:$B$1001,0)),""))</f>
        <v/>
      </c>
      <c r="D260" s="140"/>
      <c r="E260" s="140"/>
      <c r="F260" s="140"/>
      <c r="G260" s="140"/>
      <c r="H260" s="140"/>
      <c r="I260" s="140"/>
      <c r="J260" s="140"/>
      <c r="K260" s="140"/>
      <c r="L260" s="140"/>
      <c r="M260" s="141" t="str">
        <f t="shared" si="4"/>
        <v/>
      </c>
      <c r="N260" s="142"/>
      <c r="O260" s="143"/>
    </row>
    <row r="261" spans="2:15" x14ac:dyDescent="0.35">
      <c r="B261" s="138" t="str">
        <f>IF(Lançamentos!$B256="","",Lançamentos!$B256)</f>
        <v/>
      </c>
      <c r="C261" s="139" t="str">
        <f>IF($B261="","",IFERROR(INDEX(Lançamentos!$J$3:$J$1001,MATCH($B261,Lançamentos!$B$3:$B$1001,0)),""))</f>
        <v/>
      </c>
      <c r="D261" s="140"/>
      <c r="E261" s="140"/>
      <c r="F261" s="140"/>
      <c r="G261" s="140"/>
      <c r="H261" s="140"/>
      <c r="I261" s="140"/>
      <c r="J261" s="140"/>
      <c r="K261" s="140"/>
      <c r="L261" s="140"/>
      <c r="M261" s="141" t="str">
        <f t="shared" si="4"/>
        <v/>
      </c>
      <c r="N261" s="142"/>
      <c r="O261" s="143"/>
    </row>
    <row r="262" spans="2:15" x14ac:dyDescent="0.35">
      <c r="B262" s="138" t="str">
        <f>IF(Lançamentos!$B257="","",Lançamentos!$B257)</f>
        <v/>
      </c>
      <c r="C262" s="139" t="str">
        <f>IF($B262="","",IFERROR(INDEX(Lançamentos!$J$3:$J$1001,MATCH($B262,Lançamentos!$B$3:$B$1001,0)),""))</f>
        <v/>
      </c>
      <c r="D262" s="140"/>
      <c r="E262" s="140"/>
      <c r="F262" s="140"/>
      <c r="G262" s="140"/>
      <c r="H262" s="140"/>
      <c r="I262" s="140"/>
      <c r="J262" s="140"/>
      <c r="K262" s="140"/>
      <c r="L262" s="140"/>
      <c r="M262" s="141" t="str">
        <f t="shared" si="4"/>
        <v/>
      </c>
      <c r="N262" s="142"/>
      <c r="O262" s="143"/>
    </row>
    <row r="263" spans="2:15" x14ac:dyDescent="0.35">
      <c r="B263" s="138" t="str">
        <f>IF(Lançamentos!$B258="","",Lançamentos!$B258)</f>
        <v/>
      </c>
      <c r="C263" s="139" t="str">
        <f>IF($B263="","",IFERROR(INDEX(Lançamentos!$J$3:$J$1001,MATCH($B263,Lançamentos!$B$3:$B$1001,0)),""))</f>
        <v/>
      </c>
      <c r="D263" s="140"/>
      <c r="E263" s="140"/>
      <c r="F263" s="140"/>
      <c r="G263" s="140"/>
      <c r="H263" s="140"/>
      <c r="I263" s="140"/>
      <c r="J263" s="140"/>
      <c r="K263" s="140"/>
      <c r="L263" s="140"/>
      <c r="M263" s="141" t="str">
        <f t="shared" si="4"/>
        <v/>
      </c>
      <c r="N263" s="142"/>
      <c r="O263" s="143"/>
    </row>
    <row r="264" spans="2:15" x14ac:dyDescent="0.35">
      <c r="B264" s="138" t="str">
        <f>IF(Lançamentos!$B259="","",Lançamentos!$B259)</f>
        <v/>
      </c>
      <c r="C264" s="139" t="str">
        <f>IF($B264="","",IFERROR(INDEX(Lançamentos!$J$3:$J$1001,MATCH($B264,Lançamentos!$B$3:$B$1001,0)),""))</f>
        <v/>
      </c>
      <c r="D264" s="140"/>
      <c r="E264" s="140"/>
      <c r="F264" s="140"/>
      <c r="G264" s="140"/>
      <c r="H264" s="140"/>
      <c r="I264" s="140"/>
      <c r="J264" s="140"/>
      <c r="K264" s="140"/>
      <c r="L264" s="140"/>
      <c r="M264" s="141" t="str">
        <f t="shared" si="4"/>
        <v/>
      </c>
      <c r="N264" s="142"/>
      <c r="O264" s="143"/>
    </row>
    <row r="265" spans="2:15" x14ac:dyDescent="0.35">
      <c r="B265" s="138" t="str">
        <f>IF(Lançamentos!$B260="","",Lançamentos!$B260)</f>
        <v/>
      </c>
      <c r="C265" s="139" t="str">
        <f>IF($B265="","",IFERROR(INDEX(Lançamentos!$J$3:$J$1001,MATCH($B265,Lançamentos!$B$3:$B$1001,0)),""))</f>
        <v/>
      </c>
      <c r="D265" s="140"/>
      <c r="E265" s="140"/>
      <c r="F265" s="140"/>
      <c r="G265" s="140"/>
      <c r="H265" s="140"/>
      <c r="I265" s="140"/>
      <c r="J265" s="140"/>
      <c r="K265" s="140"/>
      <c r="L265" s="140"/>
      <c r="M265" s="141" t="str">
        <f t="shared" si="4"/>
        <v/>
      </c>
      <c r="N265" s="142"/>
      <c r="O265" s="143"/>
    </row>
    <row r="266" spans="2:15" x14ac:dyDescent="0.35">
      <c r="B266" s="138" t="str">
        <f>IF(Lançamentos!$B261="","",Lançamentos!$B261)</f>
        <v/>
      </c>
      <c r="C266" s="139" t="str">
        <f>IF($B266="","",IFERROR(INDEX(Lançamentos!$J$3:$J$1001,MATCH($B266,Lançamentos!$B$3:$B$1001,0)),""))</f>
        <v/>
      </c>
      <c r="D266" s="140"/>
      <c r="E266" s="140"/>
      <c r="F266" s="140"/>
      <c r="G266" s="140"/>
      <c r="H266" s="140"/>
      <c r="I266" s="140"/>
      <c r="J266" s="140"/>
      <c r="K266" s="140"/>
      <c r="L266" s="140"/>
      <c r="M266" s="141" t="str">
        <f t="shared" si="4"/>
        <v/>
      </c>
      <c r="N266" s="142"/>
      <c r="O266" s="143"/>
    </row>
    <row r="267" spans="2:15" x14ac:dyDescent="0.35">
      <c r="B267" s="138" t="str">
        <f>IF(Lançamentos!$B262="","",Lançamentos!$B262)</f>
        <v/>
      </c>
      <c r="C267" s="139" t="str">
        <f>IF($B267="","",IFERROR(INDEX(Lançamentos!$J$3:$J$1001,MATCH($B267,Lançamentos!$B$3:$B$1001,0)),""))</f>
        <v/>
      </c>
      <c r="D267" s="140"/>
      <c r="E267" s="140"/>
      <c r="F267" s="140"/>
      <c r="G267" s="140"/>
      <c r="H267" s="140"/>
      <c r="I267" s="140"/>
      <c r="J267" s="140"/>
      <c r="K267" s="140"/>
      <c r="L267" s="140"/>
      <c r="M267" s="141" t="str">
        <f t="shared" si="4"/>
        <v/>
      </c>
      <c r="N267" s="142"/>
      <c r="O267" s="143"/>
    </row>
    <row r="268" spans="2:15" x14ac:dyDescent="0.35">
      <c r="B268" s="138" t="str">
        <f>IF(Lançamentos!$B263="","",Lançamentos!$B263)</f>
        <v/>
      </c>
      <c r="C268" s="139" t="str">
        <f>IF($B268="","",IFERROR(INDEX(Lançamentos!$J$3:$J$1001,MATCH($B268,Lançamentos!$B$3:$B$1001,0)),""))</f>
        <v/>
      </c>
      <c r="D268" s="140"/>
      <c r="E268" s="140"/>
      <c r="F268" s="140"/>
      <c r="G268" s="140"/>
      <c r="H268" s="140"/>
      <c r="I268" s="140"/>
      <c r="J268" s="140"/>
      <c r="K268" s="140"/>
      <c r="L268" s="140"/>
      <c r="M268" s="141" t="str">
        <f t="shared" si="4"/>
        <v/>
      </c>
      <c r="N268" s="142"/>
      <c r="O268" s="143"/>
    </row>
    <row r="269" spans="2:15" x14ac:dyDescent="0.35">
      <c r="B269" s="138" t="str">
        <f>IF(Lançamentos!$B264="","",Lançamentos!$B264)</f>
        <v/>
      </c>
      <c r="C269" s="139" t="str">
        <f>IF($B269="","",IFERROR(INDEX(Lançamentos!$J$3:$J$1001,MATCH($B269,Lançamentos!$B$3:$B$1001,0)),""))</f>
        <v/>
      </c>
      <c r="D269" s="140"/>
      <c r="E269" s="140"/>
      <c r="F269" s="140"/>
      <c r="G269" s="140"/>
      <c r="H269" s="140"/>
      <c r="I269" s="140"/>
      <c r="J269" s="140"/>
      <c r="K269" s="140"/>
      <c r="L269" s="140"/>
      <c r="M269" s="141" t="str">
        <f t="shared" si="4"/>
        <v/>
      </c>
      <c r="N269" s="142"/>
      <c r="O269" s="143"/>
    </row>
    <row r="270" spans="2:15" x14ac:dyDescent="0.35">
      <c r="B270" s="138" t="str">
        <f>IF(Lançamentos!$B265="","",Lançamentos!$B265)</f>
        <v/>
      </c>
      <c r="C270" s="139" t="str">
        <f>IF($B270="","",IFERROR(INDEX(Lançamentos!$J$3:$J$1001,MATCH($B270,Lançamentos!$B$3:$B$1001,0)),""))</f>
        <v/>
      </c>
      <c r="D270" s="140"/>
      <c r="E270" s="140"/>
      <c r="F270" s="140"/>
      <c r="G270" s="140"/>
      <c r="H270" s="140"/>
      <c r="I270" s="140"/>
      <c r="J270" s="140"/>
      <c r="K270" s="140"/>
      <c r="L270" s="140"/>
      <c r="M270" s="141" t="str">
        <f t="shared" si="4"/>
        <v/>
      </c>
      <c r="N270" s="142"/>
      <c r="O270" s="143"/>
    </row>
    <row r="271" spans="2:15" x14ac:dyDescent="0.35">
      <c r="B271" s="138" t="str">
        <f>IF(Lançamentos!$B266="","",Lançamentos!$B266)</f>
        <v/>
      </c>
      <c r="C271" s="139" t="str">
        <f>IF($B271="","",IFERROR(INDEX(Lançamentos!$J$3:$J$1001,MATCH($B271,Lançamentos!$B$3:$B$1001,0)),""))</f>
        <v/>
      </c>
      <c r="D271" s="140"/>
      <c r="E271" s="140"/>
      <c r="F271" s="140"/>
      <c r="G271" s="140"/>
      <c r="H271" s="140"/>
      <c r="I271" s="140"/>
      <c r="J271" s="140"/>
      <c r="K271" s="140"/>
      <c r="L271" s="140"/>
      <c r="M271" s="141" t="str">
        <f t="shared" si="4"/>
        <v/>
      </c>
      <c r="N271" s="142"/>
      <c r="O271" s="143"/>
    </row>
    <row r="272" spans="2:15" x14ac:dyDescent="0.35">
      <c r="B272" s="138" t="str">
        <f>IF(Lançamentos!$B267="","",Lançamentos!$B267)</f>
        <v/>
      </c>
      <c r="C272" s="139" t="str">
        <f>IF($B272="","",IFERROR(INDEX(Lançamentos!$J$3:$J$1001,MATCH($B272,Lançamentos!$B$3:$B$1001,0)),""))</f>
        <v/>
      </c>
      <c r="D272" s="140"/>
      <c r="E272" s="140"/>
      <c r="F272" s="140"/>
      <c r="G272" s="140"/>
      <c r="H272" s="140"/>
      <c r="I272" s="140"/>
      <c r="J272" s="140"/>
      <c r="K272" s="140"/>
      <c r="L272" s="140"/>
      <c r="M272" s="141" t="str">
        <f t="shared" ref="M272:M335" si="5">IF(B272="","",IF(COUNTIF(E272:L272,"N/A")=8,0,COUNTIF(E272:L272,"✔ Concluído")/(8-COUNTIF(E272:L272,"N/A"))))</f>
        <v/>
      </c>
      <c r="N272" s="142"/>
      <c r="O272" s="143"/>
    </row>
    <row r="273" spans="2:15" x14ac:dyDescent="0.35">
      <c r="B273" s="138" t="str">
        <f>IF(Lançamentos!$B268="","",Lançamentos!$B268)</f>
        <v/>
      </c>
      <c r="C273" s="139" t="str">
        <f>IF($B273="","",IFERROR(INDEX(Lançamentos!$J$3:$J$1001,MATCH($B273,Lançamentos!$B$3:$B$1001,0)),""))</f>
        <v/>
      </c>
      <c r="D273" s="140"/>
      <c r="E273" s="140"/>
      <c r="F273" s="140"/>
      <c r="G273" s="140"/>
      <c r="H273" s="140"/>
      <c r="I273" s="140"/>
      <c r="J273" s="140"/>
      <c r="K273" s="140"/>
      <c r="L273" s="140"/>
      <c r="M273" s="141" t="str">
        <f t="shared" si="5"/>
        <v/>
      </c>
      <c r="N273" s="142"/>
      <c r="O273" s="143"/>
    </row>
    <row r="274" spans="2:15" x14ac:dyDescent="0.35">
      <c r="B274" s="138" t="str">
        <f>IF(Lançamentos!$B269="","",Lançamentos!$B269)</f>
        <v/>
      </c>
      <c r="C274" s="139" t="str">
        <f>IF($B274="","",IFERROR(INDEX(Lançamentos!$J$3:$J$1001,MATCH($B274,Lançamentos!$B$3:$B$1001,0)),""))</f>
        <v/>
      </c>
      <c r="D274" s="140"/>
      <c r="E274" s="140"/>
      <c r="F274" s="140"/>
      <c r="G274" s="140"/>
      <c r="H274" s="140"/>
      <c r="I274" s="140"/>
      <c r="J274" s="140"/>
      <c r="K274" s="140"/>
      <c r="L274" s="140"/>
      <c r="M274" s="141" t="str">
        <f t="shared" si="5"/>
        <v/>
      </c>
      <c r="N274" s="142"/>
      <c r="O274" s="143"/>
    </row>
    <row r="275" spans="2:15" x14ac:dyDescent="0.35">
      <c r="B275" s="138" t="str">
        <f>IF(Lançamentos!$B270="","",Lançamentos!$B270)</f>
        <v/>
      </c>
      <c r="C275" s="139" t="str">
        <f>IF($B275="","",IFERROR(INDEX(Lançamentos!$J$3:$J$1001,MATCH($B275,Lançamentos!$B$3:$B$1001,0)),""))</f>
        <v/>
      </c>
      <c r="D275" s="140"/>
      <c r="E275" s="140"/>
      <c r="F275" s="140"/>
      <c r="G275" s="140"/>
      <c r="H275" s="140"/>
      <c r="I275" s="140"/>
      <c r="J275" s="140"/>
      <c r="K275" s="140"/>
      <c r="L275" s="140"/>
      <c r="M275" s="141" t="str">
        <f t="shared" si="5"/>
        <v/>
      </c>
      <c r="N275" s="142"/>
      <c r="O275" s="143"/>
    </row>
    <row r="276" spans="2:15" x14ac:dyDescent="0.35">
      <c r="B276" s="138" t="str">
        <f>IF(Lançamentos!$B271="","",Lançamentos!$B271)</f>
        <v/>
      </c>
      <c r="C276" s="139" t="str">
        <f>IF($B276="","",IFERROR(INDEX(Lançamentos!$J$3:$J$1001,MATCH($B276,Lançamentos!$B$3:$B$1001,0)),""))</f>
        <v/>
      </c>
      <c r="D276" s="140"/>
      <c r="E276" s="140"/>
      <c r="F276" s="140"/>
      <c r="G276" s="140"/>
      <c r="H276" s="140"/>
      <c r="I276" s="140"/>
      <c r="J276" s="140"/>
      <c r="K276" s="140"/>
      <c r="L276" s="140"/>
      <c r="M276" s="141" t="str">
        <f t="shared" si="5"/>
        <v/>
      </c>
      <c r="N276" s="142"/>
      <c r="O276" s="143"/>
    </row>
    <row r="277" spans="2:15" x14ac:dyDescent="0.35">
      <c r="B277" s="138" t="str">
        <f>IF(Lançamentos!$B272="","",Lançamentos!$B272)</f>
        <v/>
      </c>
      <c r="C277" s="139" t="str">
        <f>IF($B277="","",IFERROR(INDEX(Lançamentos!$J$3:$J$1001,MATCH($B277,Lançamentos!$B$3:$B$1001,0)),""))</f>
        <v/>
      </c>
      <c r="D277" s="140"/>
      <c r="E277" s="140"/>
      <c r="F277" s="140"/>
      <c r="G277" s="140"/>
      <c r="H277" s="140"/>
      <c r="I277" s="140"/>
      <c r="J277" s="140"/>
      <c r="K277" s="140"/>
      <c r="L277" s="140"/>
      <c r="M277" s="141" t="str">
        <f t="shared" si="5"/>
        <v/>
      </c>
      <c r="N277" s="142"/>
      <c r="O277" s="143"/>
    </row>
    <row r="278" spans="2:15" x14ac:dyDescent="0.35">
      <c r="B278" s="138" t="str">
        <f>IF(Lançamentos!$B273="","",Lançamentos!$B273)</f>
        <v/>
      </c>
      <c r="C278" s="139" t="str">
        <f>IF($B278="","",IFERROR(INDEX(Lançamentos!$J$3:$J$1001,MATCH($B278,Lançamentos!$B$3:$B$1001,0)),""))</f>
        <v/>
      </c>
      <c r="D278" s="140"/>
      <c r="E278" s="140"/>
      <c r="F278" s="140"/>
      <c r="G278" s="140"/>
      <c r="H278" s="140"/>
      <c r="I278" s="140"/>
      <c r="J278" s="140"/>
      <c r="K278" s="140"/>
      <c r="L278" s="140"/>
      <c r="M278" s="141" t="str">
        <f t="shared" si="5"/>
        <v/>
      </c>
      <c r="N278" s="142"/>
      <c r="O278" s="143"/>
    </row>
    <row r="279" spans="2:15" x14ac:dyDescent="0.35">
      <c r="B279" s="138" t="str">
        <f>IF(Lançamentos!$B274="","",Lançamentos!$B274)</f>
        <v/>
      </c>
      <c r="C279" s="139" t="str">
        <f>IF($B279="","",IFERROR(INDEX(Lançamentos!$J$3:$J$1001,MATCH($B279,Lançamentos!$B$3:$B$1001,0)),""))</f>
        <v/>
      </c>
      <c r="D279" s="140"/>
      <c r="E279" s="140"/>
      <c r="F279" s="140"/>
      <c r="G279" s="140"/>
      <c r="H279" s="140"/>
      <c r="I279" s="140"/>
      <c r="J279" s="140"/>
      <c r="K279" s="140"/>
      <c r="L279" s="140"/>
      <c r="M279" s="141" t="str">
        <f t="shared" si="5"/>
        <v/>
      </c>
      <c r="N279" s="142"/>
      <c r="O279" s="143"/>
    </row>
    <row r="280" spans="2:15" x14ac:dyDescent="0.35">
      <c r="B280" s="138" t="str">
        <f>IF(Lançamentos!$B275="","",Lançamentos!$B275)</f>
        <v/>
      </c>
      <c r="C280" s="139" t="str">
        <f>IF($B280="","",IFERROR(INDEX(Lançamentos!$J$3:$J$1001,MATCH($B280,Lançamentos!$B$3:$B$1001,0)),""))</f>
        <v/>
      </c>
      <c r="D280" s="140"/>
      <c r="E280" s="140"/>
      <c r="F280" s="140"/>
      <c r="G280" s="140"/>
      <c r="H280" s="140"/>
      <c r="I280" s="140"/>
      <c r="J280" s="140"/>
      <c r="K280" s="140"/>
      <c r="L280" s="140"/>
      <c r="M280" s="141" t="str">
        <f t="shared" si="5"/>
        <v/>
      </c>
      <c r="N280" s="142"/>
      <c r="O280" s="143"/>
    </row>
    <row r="281" spans="2:15" x14ac:dyDescent="0.35">
      <c r="B281" s="138" t="str">
        <f>IF(Lançamentos!$B276="","",Lançamentos!$B276)</f>
        <v/>
      </c>
      <c r="C281" s="139" t="str">
        <f>IF($B281="","",IFERROR(INDEX(Lançamentos!$J$3:$J$1001,MATCH($B281,Lançamentos!$B$3:$B$1001,0)),""))</f>
        <v/>
      </c>
      <c r="D281" s="140"/>
      <c r="E281" s="140"/>
      <c r="F281" s="140"/>
      <c r="G281" s="140"/>
      <c r="H281" s="140"/>
      <c r="I281" s="140"/>
      <c r="J281" s="140"/>
      <c r="K281" s="140"/>
      <c r="L281" s="140"/>
      <c r="M281" s="141" t="str">
        <f t="shared" si="5"/>
        <v/>
      </c>
      <c r="N281" s="142"/>
      <c r="O281" s="143"/>
    </row>
    <row r="282" spans="2:15" x14ac:dyDescent="0.35">
      <c r="B282" s="138" t="str">
        <f>IF(Lançamentos!$B277="","",Lançamentos!$B277)</f>
        <v/>
      </c>
      <c r="C282" s="139" t="str">
        <f>IF($B282="","",IFERROR(INDEX(Lançamentos!$J$3:$J$1001,MATCH($B282,Lançamentos!$B$3:$B$1001,0)),""))</f>
        <v/>
      </c>
      <c r="D282" s="140"/>
      <c r="E282" s="140"/>
      <c r="F282" s="140"/>
      <c r="G282" s="140"/>
      <c r="H282" s="140"/>
      <c r="I282" s="140"/>
      <c r="J282" s="140"/>
      <c r="K282" s="140"/>
      <c r="L282" s="140"/>
      <c r="M282" s="141" t="str">
        <f t="shared" si="5"/>
        <v/>
      </c>
      <c r="N282" s="142"/>
      <c r="O282" s="143"/>
    </row>
    <row r="283" spans="2:15" x14ac:dyDescent="0.35">
      <c r="B283" s="138" t="str">
        <f>IF(Lançamentos!$B278="","",Lançamentos!$B278)</f>
        <v/>
      </c>
      <c r="C283" s="139" t="str">
        <f>IF($B283="","",IFERROR(INDEX(Lançamentos!$J$3:$J$1001,MATCH($B283,Lançamentos!$B$3:$B$1001,0)),""))</f>
        <v/>
      </c>
      <c r="D283" s="140"/>
      <c r="E283" s="140"/>
      <c r="F283" s="140"/>
      <c r="G283" s="140"/>
      <c r="H283" s="140"/>
      <c r="I283" s="140"/>
      <c r="J283" s="140"/>
      <c r="K283" s="140"/>
      <c r="L283" s="140"/>
      <c r="M283" s="141" t="str">
        <f t="shared" si="5"/>
        <v/>
      </c>
      <c r="N283" s="142"/>
      <c r="O283" s="143"/>
    </row>
    <row r="284" spans="2:15" x14ac:dyDescent="0.35">
      <c r="B284" s="138" t="str">
        <f>IF(Lançamentos!$B279="","",Lançamentos!$B279)</f>
        <v/>
      </c>
      <c r="C284" s="139" t="str">
        <f>IF($B284="","",IFERROR(INDEX(Lançamentos!$J$3:$J$1001,MATCH($B284,Lançamentos!$B$3:$B$1001,0)),""))</f>
        <v/>
      </c>
      <c r="D284" s="140"/>
      <c r="E284" s="140"/>
      <c r="F284" s="140"/>
      <c r="G284" s="140"/>
      <c r="H284" s="140"/>
      <c r="I284" s="140"/>
      <c r="J284" s="140"/>
      <c r="K284" s="140"/>
      <c r="L284" s="140"/>
      <c r="M284" s="141" t="str">
        <f t="shared" si="5"/>
        <v/>
      </c>
      <c r="N284" s="142"/>
      <c r="O284" s="143"/>
    </row>
    <row r="285" spans="2:15" x14ac:dyDescent="0.35">
      <c r="B285" s="138" t="str">
        <f>IF(Lançamentos!$B280="","",Lançamentos!$B280)</f>
        <v/>
      </c>
      <c r="C285" s="139" t="str">
        <f>IF($B285="","",IFERROR(INDEX(Lançamentos!$J$3:$J$1001,MATCH($B285,Lançamentos!$B$3:$B$1001,0)),""))</f>
        <v/>
      </c>
      <c r="D285" s="140"/>
      <c r="E285" s="140"/>
      <c r="F285" s="140"/>
      <c r="G285" s="140"/>
      <c r="H285" s="140"/>
      <c r="I285" s="140"/>
      <c r="J285" s="140"/>
      <c r="K285" s="140"/>
      <c r="L285" s="140"/>
      <c r="M285" s="141" t="str">
        <f t="shared" si="5"/>
        <v/>
      </c>
      <c r="N285" s="142"/>
      <c r="O285" s="143"/>
    </row>
    <row r="286" spans="2:15" x14ac:dyDescent="0.35">
      <c r="B286" s="138" t="str">
        <f>IF(Lançamentos!$B281="","",Lançamentos!$B281)</f>
        <v/>
      </c>
      <c r="C286" s="139" t="str">
        <f>IF($B286="","",IFERROR(INDEX(Lançamentos!$J$3:$J$1001,MATCH($B286,Lançamentos!$B$3:$B$1001,0)),""))</f>
        <v/>
      </c>
      <c r="D286" s="140"/>
      <c r="E286" s="140"/>
      <c r="F286" s="140"/>
      <c r="G286" s="140"/>
      <c r="H286" s="140"/>
      <c r="I286" s="140"/>
      <c r="J286" s="140"/>
      <c r="K286" s="140"/>
      <c r="L286" s="140"/>
      <c r="M286" s="141" t="str">
        <f t="shared" si="5"/>
        <v/>
      </c>
      <c r="N286" s="142"/>
      <c r="O286" s="143"/>
    </row>
    <row r="287" spans="2:15" x14ac:dyDescent="0.35">
      <c r="B287" s="138" t="str">
        <f>IF(Lançamentos!$B282="","",Lançamentos!$B282)</f>
        <v/>
      </c>
      <c r="C287" s="139" t="str">
        <f>IF($B287="","",IFERROR(INDEX(Lançamentos!$J$3:$J$1001,MATCH($B287,Lançamentos!$B$3:$B$1001,0)),""))</f>
        <v/>
      </c>
      <c r="D287" s="140"/>
      <c r="E287" s="140"/>
      <c r="F287" s="140"/>
      <c r="G287" s="140"/>
      <c r="H287" s="140"/>
      <c r="I287" s="140"/>
      <c r="J287" s="140"/>
      <c r="K287" s="140"/>
      <c r="L287" s="140"/>
      <c r="M287" s="141" t="str">
        <f t="shared" si="5"/>
        <v/>
      </c>
      <c r="N287" s="142"/>
      <c r="O287" s="143"/>
    </row>
    <row r="288" spans="2:15" x14ac:dyDescent="0.35">
      <c r="B288" s="138" t="str">
        <f>IF(Lançamentos!$B283="","",Lançamentos!$B283)</f>
        <v/>
      </c>
      <c r="C288" s="139" t="str">
        <f>IF($B288="","",IFERROR(INDEX(Lançamentos!$J$3:$J$1001,MATCH($B288,Lançamentos!$B$3:$B$1001,0)),""))</f>
        <v/>
      </c>
      <c r="D288" s="140"/>
      <c r="E288" s="140"/>
      <c r="F288" s="140"/>
      <c r="G288" s="140"/>
      <c r="H288" s="140"/>
      <c r="I288" s="140"/>
      <c r="J288" s="140"/>
      <c r="K288" s="140"/>
      <c r="L288" s="140"/>
      <c r="M288" s="141" t="str">
        <f t="shared" si="5"/>
        <v/>
      </c>
      <c r="N288" s="142"/>
      <c r="O288" s="143"/>
    </row>
    <row r="289" spans="2:15" x14ac:dyDescent="0.35">
      <c r="B289" s="138" t="str">
        <f>IF(Lançamentos!$B284="","",Lançamentos!$B284)</f>
        <v/>
      </c>
      <c r="C289" s="139" t="str">
        <f>IF($B289="","",IFERROR(INDEX(Lançamentos!$J$3:$J$1001,MATCH($B289,Lançamentos!$B$3:$B$1001,0)),""))</f>
        <v/>
      </c>
      <c r="D289" s="140"/>
      <c r="E289" s="140"/>
      <c r="F289" s="140"/>
      <c r="G289" s="140"/>
      <c r="H289" s="140"/>
      <c r="I289" s="140"/>
      <c r="J289" s="140"/>
      <c r="K289" s="140"/>
      <c r="L289" s="140"/>
      <c r="M289" s="141" t="str">
        <f t="shared" si="5"/>
        <v/>
      </c>
      <c r="N289" s="142"/>
      <c r="O289" s="143"/>
    </row>
    <row r="290" spans="2:15" x14ac:dyDescent="0.35">
      <c r="B290" s="138" t="str">
        <f>IF(Lançamentos!$B285="","",Lançamentos!$B285)</f>
        <v/>
      </c>
      <c r="C290" s="139" t="str">
        <f>IF($B290="","",IFERROR(INDEX(Lançamentos!$J$3:$J$1001,MATCH($B290,Lançamentos!$B$3:$B$1001,0)),""))</f>
        <v/>
      </c>
      <c r="D290" s="140"/>
      <c r="E290" s="140"/>
      <c r="F290" s="140"/>
      <c r="G290" s="140"/>
      <c r="H290" s="140"/>
      <c r="I290" s="140"/>
      <c r="J290" s="140"/>
      <c r="K290" s="140"/>
      <c r="L290" s="140"/>
      <c r="M290" s="141" t="str">
        <f t="shared" si="5"/>
        <v/>
      </c>
      <c r="N290" s="142"/>
      <c r="O290" s="143"/>
    </row>
    <row r="291" spans="2:15" x14ac:dyDescent="0.35">
      <c r="B291" s="138" t="str">
        <f>IF(Lançamentos!$B286="","",Lançamentos!$B286)</f>
        <v/>
      </c>
      <c r="C291" s="139" t="str">
        <f>IF($B291="","",IFERROR(INDEX(Lançamentos!$J$3:$J$1001,MATCH($B291,Lançamentos!$B$3:$B$1001,0)),""))</f>
        <v/>
      </c>
      <c r="D291" s="140"/>
      <c r="E291" s="140"/>
      <c r="F291" s="140"/>
      <c r="G291" s="140"/>
      <c r="H291" s="140"/>
      <c r="I291" s="140"/>
      <c r="J291" s="140"/>
      <c r="K291" s="140"/>
      <c r="L291" s="140"/>
      <c r="M291" s="141" t="str">
        <f t="shared" si="5"/>
        <v/>
      </c>
      <c r="N291" s="142"/>
      <c r="O291" s="143"/>
    </row>
    <row r="292" spans="2:15" x14ac:dyDescent="0.35">
      <c r="B292" s="138" t="str">
        <f>IF(Lançamentos!$B287="","",Lançamentos!$B287)</f>
        <v/>
      </c>
      <c r="C292" s="139" t="str">
        <f>IF($B292="","",IFERROR(INDEX(Lançamentos!$J$3:$J$1001,MATCH($B292,Lançamentos!$B$3:$B$1001,0)),""))</f>
        <v/>
      </c>
      <c r="D292" s="140"/>
      <c r="E292" s="140"/>
      <c r="F292" s="140"/>
      <c r="G292" s="140"/>
      <c r="H292" s="140"/>
      <c r="I292" s="140"/>
      <c r="J292" s="140"/>
      <c r="K292" s="140"/>
      <c r="L292" s="140"/>
      <c r="M292" s="141" t="str">
        <f t="shared" si="5"/>
        <v/>
      </c>
      <c r="N292" s="142"/>
      <c r="O292" s="143"/>
    </row>
    <row r="293" spans="2:15" x14ac:dyDescent="0.35">
      <c r="B293" s="138" t="str">
        <f>IF(Lançamentos!$B288="","",Lançamentos!$B288)</f>
        <v/>
      </c>
      <c r="C293" s="139" t="str">
        <f>IF($B293="","",IFERROR(INDEX(Lançamentos!$J$3:$J$1001,MATCH($B293,Lançamentos!$B$3:$B$1001,0)),""))</f>
        <v/>
      </c>
      <c r="D293" s="140"/>
      <c r="E293" s="140"/>
      <c r="F293" s="140"/>
      <c r="G293" s="140"/>
      <c r="H293" s="140"/>
      <c r="I293" s="140"/>
      <c r="J293" s="140"/>
      <c r="K293" s="140"/>
      <c r="L293" s="140"/>
      <c r="M293" s="141" t="str">
        <f t="shared" si="5"/>
        <v/>
      </c>
      <c r="N293" s="142"/>
      <c r="O293" s="143"/>
    </row>
    <row r="294" spans="2:15" x14ac:dyDescent="0.35">
      <c r="B294" s="138" t="str">
        <f>IF(Lançamentos!$B289="","",Lançamentos!$B289)</f>
        <v/>
      </c>
      <c r="C294" s="139" t="str">
        <f>IF($B294="","",IFERROR(INDEX(Lançamentos!$J$3:$J$1001,MATCH($B294,Lançamentos!$B$3:$B$1001,0)),""))</f>
        <v/>
      </c>
      <c r="D294" s="140"/>
      <c r="E294" s="140"/>
      <c r="F294" s="140"/>
      <c r="G294" s="140"/>
      <c r="H294" s="140"/>
      <c r="I294" s="140"/>
      <c r="J294" s="140"/>
      <c r="K294" s="140"/>
      <c r="L294" s="140"/>
      <c r="M294" s="141" t="str">
        <f t="shared" si="5"/>
        <v/>
      </c>
      <c r="N294" s="142"/>
      <c r="O294" s="143"/>
    </row>
    <row r="295" spans="2:15" x14ac:dyDescent="0.35">
      <c r="B295" s="138" t="str">
        <f>IF(Lançamentos!$B290="","",Lançamentos!$B290)</f>
        <v/>
      </c>
      <c r="C295" s="139" t="str">
        <f>IF($B295="","",IFERROR(INDEX(Lançamentos!$J$3:$J$1001,MATCH($B295,Lançamentos!$B$3:$B$1001,0)),""))</f>
        <v/>
      </c>
      <c r="D295" s="140"/>
      <c r="E295" s="140"/>
      <c r="F295" s="140"/>
      <c r="G295" s="140"/>
      <c r="H295" s="140"/>
      <c r="I295" s="140"/>
      <c r="J295" s="140"/>
      <c r="K295" s="140"/>
      <c r="L295" s="140"/>
      <c r="M295" s="141" t="str">
        <f t="shared" si="5"/>
        <v/>
      </c>
      <c r="N295" s="142"/>
      <c r="O295" s="143"/>
    </row>
    <row r="296" spans="2:15" x14ac:dyDescent="0.35">
      <c r="B296" s="138" t="str">
        <f>IF(Lançamentos!$B291="","",Lançamentos!$B291)</f>
        <v/>
      </c>
      <c r="C296" s="139" t="str">
        <f>IF($B296="","",IFERROR(INDEX(Lançamentos!$J$3:$J$1001,MATCH($B296,Lançamentos!$B$3:$B$1001,0)),""))</f>
        <v/>
      </c>
      <c r="D296" s="140"/>
      <c r="E296" s="140"/>
      <c r="F296" s="140"/>
      <c r="G296" s="140"/>
      <c r="H296" s="140"/>
      <c r="I296" s="140"/>
      <c r="J296" s="140"/>
      <c r="K296" s="140"/>
      <c r="L296" s="140"/>
      <c r="M296" s="141" t="str">
        <f t="shared" si="5"/>
        <v/>
      </c>
      <c r="N296" s="142"/>
      <c r="O296" s="143"/>
    </row>
    <row r="297" spans="2:15" x14ac:dyDescent="0.35">
      <c r="B297" s="138" t="str">
        <f>IF(Lançamentos!$B292="","",Lançamentos!$B292)</f>
        <v/>
      </c>
      <c r="C297" s="139" t="str">
        <f>IF($B297="","",IFERROR(INDEX(Lançamentos!$J$3:$J$1001,MATCH($B297,Lançamentos!$B$3:$B$1001,0)),""))</f>
        <v/>
      </c>
      <c r="D297" s="140"/>
      <c r="E297" s="140"/>
      <c r="F297" s="140"/>
      <c r="G297" s="140"/>
      <c r="H297" s="140"/>
      <c r="I297" s="140"/>
      <c r="J297" s="140"/>
      <c r="K297" s="140"/>
      <c r="L297" s="140"/>
      <c r="M297" s="141" t="str">
        <f t="shared" si="5"/>
        <v/>
      </c>
      <c r="N297" s="142"/>
      <c r="O297" s="143"/>
    </row>
    <row r="298" spans="2:15" x14ac:dyDescent="0.35">
      <c r="B298" s="138" t="str">
        <f>IF(Lançamentos!$B293="","",Lançamentos!$B293)</f>
        <v/>
      </c>
      <c r="C298" s="139" t="str">
        <f>IF($B298="","",IFERROR(INDEX(Lançamentos!$J$3:$J$1001,MATCH($B298,Lançamentos!$B$3:$B$1001,0)),""))</f>
        <v/>
      </c>
      <c r="D298" s="140"/>
      <c r="E298" s="140"/>
      <c r="F298" s="140"/>
      <c r="G298" s="140"/>
      <c r="H298" s="140"/>
      <c r="I298" s="140"/>
      <c r="J298" s="140"/>
      <c r="K298" s="140"/>
      <c r="L298" s="140"/>
      <c r="M298" s="141" t="str">
        <f t="shared" si="5"/>
        <v/>
      </c>
      <c r="N298" s="142"/>
      <c r="O298" s="143"/>
    </row>
    <row r="299" spans="2:15" x14ac:dyDescent="0.35">
      <c r="B299" s="138" t="str">
        <f>IF(Lançamentos!$B294="","",Lançamentos!$B294)</f>
        <v/>
      </c>
      <c r="C299" s="139" t="str">
        <f>IF($B299="","",IFERROR(INDEX(Lançamentos!$J$3:$J$1001,MATCH($B299,Lançamentos!$B$3:$B$1001,0)),""))</f>
        <v/>
      </c>
      <c r="D299" s="140"/>
      <c r="E299" s="140"/>
      <c r="F299" s="140"/>
      <c r="G299" s="140"/>
      <c r="H299" s="140"/>
      <c r="I299" s="140"/>
      <c r="J299" s="140"/>
      <c r="K299" s="140"/>
      <c r="L299" s="140"/>
      <c r="M299" s="141" t="str">
        <f t="shared" si="5"/>
        <v/>
      </c>
      <c r="N299" s="142"/>
      <c r="O299" s="143"/>
    </row>
    <row r="300" spans="2:15" x14ac:dyDescent="0.35">
      <c r="B300" s="138" t="str">
        <f>IF(Lançamentos!$B295="","",Lançamentos!$B295)</f>
        <v/>
      </c>
      <c r="C300" s="139" t="str">
        <f>IF($B300="","",IFERROR(INDEX(Lançamentos!$J$3:$J$1001,MATCH($B300,Lançamentos!$B$3:$B$1001,0)),""))</f>
        <v/>
      </c>
      <c r="D300" s="140"/>
      <c r="E300" s="140"/>
      <c r="F300" s="140"/>
      <c r="G300" s="140"/>
      <c r="H300" s="140"/>
      <c r="I300" s="140"/>
      <c r="J300" s="140"/>
      <c r="K300" s="140"/>
      <c r="L300" s="140"/>
      <c r="M300" s="141" t="str">
        <f t="shared" si="5"/>
        <v/>
      </c>
      <c r="N300" s="142"/>
      <c r="O300" s="143"/>
    </row>
    <row r="301" spans="2:15" x14ac:dyDescent="0.35">
      <c r="B301" s="138" t="str">
        <f>IF(Lançamentos!$B296="","",Lançamentos!$B296)</f>
        <v/>
      </c>
      <c r="C301" s="139" t="str">
        <f>IF($B301="","",IFERROR(INDEX(Lançamentos!$J$3:$J$1001,MATCH($B301,Lançamentos!$B$3:$B$1001,0)),""))</f>
        <v/>
      </c>
      <c r="D301" s="140"/>
      <c r="E301" s="140"/>
      <c r="F301" s="140"/>
      <c r="G301" s="140"/>
      <c r="H301" s="140"/>
      <c r="I301" s="140"/>
      <c r="J301" s="140"/>
      <c r="K301" s="140"/>
      <c r="L301" s="140"/>
      <c r="M301" s="141" t="str">
        <f t="shared" si="5"/>
        <v/>
      </c>
      <c r="N301" s="142"/>
      <c r="O301" s="143"/>
    </row>
    <row r="302" spans="2:15" x14ac:dyDescent="0.35">
      <c r="B302" s="138" t="str">
        <f>IF(Lançamentos!$B297="","",Lançamentos!$B297)</f>
        <v/>
      </c>
      <c r="C302" s="139" t="str">
        <f>IF($B302="","",IFERROR(INDEX(Lançamentos!$J$3:$J$1001,MATCH($B302,Lançamentos!$B$3:$B$1001,0)),""))</f>
        <v/>
      </c>
      <c r="D302" s="140"/>
      <c r="E302" s="140"/>
      <c r="F302" s="140"/>
      <c r="G302" s="140"/>
      <c r="H302" s="140"/>
      <c r="I302" s="140"/>
      <c r="J302" s="140"/>
      <c r="K302" s="140"/>
      <c r="L302" s="140"/>
      <c r="M302" s="141" t="str">
        <f t="shared" si="5"/>
        <v/>
      </c>
      <c r="N302" s="142"/>
      <c r="O302" s="143"/>
    </row>
    <row r="303" spans="2:15" x14ac:dyDescent="0.35">
      <c r="B303" s="138" t="str">
        <f>IF(Lançamentos!$B298="","",Lançamentos!$B298)</f>
        <v/>
      </c>
      <c r="C303" s="139" t="str">
        <f>IF($B303="","",IFERROR(INDEX(Lançamentos!$J$3:$J$1001,MATCH($B303,Lançamentos!$B$3:$B$1001,0)),""))</f>
        <v/>
      </c>
      <c r="D303" s="140"/>
      <c r="E303" s="140"/>
      <c r="F303" s="140"/>
      <c r="G303" s="140"/>
      <c r="H303" s="140"/>
      <c r="I303" s="140"/>
      <c r="J303" s="140"/>
      <c r="K303" s="140"/>
      <c r="L303" s="140"/>
      <c r="M303" s="141" t="str">
        <f t="shared" si="5"/>
        <v/>
      </c>
      <c r="N303" s="142"/>
      <c r="O303" s="143"/>
    </row>
    <row r="304" spans="2:15" x14ac:dyDescent="0.35">
      <c r="B304" s="138" t="str">
        <f>IF(Lançamentos!$B299="","",Lançamentos!$B299)</f>
        <v/>
      </c>
      <c r="C304" s="139" t="str">
        <f>IF($B304="","",IFERROR(INDEX(Lançamentos!$J$3:$J$1001,MATCH($B304,Lançamentos!$B$3:$B$1001,0)),""))</f>
        <v/>
      </c>
      <c r="D304" s="140"/>
      <c r="E304" s="140"/>
      <c r="F304" s="140"/>
      <c r="G304" s="140"/>
      <c r="H304" s="140"/>
      <c r="I304" s="140"/>
      <c r="J304" s="140"/>
      <c r="K304" s="140"/>
      <c r="L304" s="140"/>
      <c r="M304" s="141" t="str">
        <f t="shared" si="5"/>
        <v/>
      </c>
      <c r="N304" s="142"/>
      <c r="O304" s="143"/>
    </row>
    <row r="305" spans="2:15" x14ac:dyDescent="0.35">
      <c r="B305" s="138" t="str">
        <f>IF(Lançamentos!$B300="","",Lançamentos!$B300)</f>
        <v/>
      </c>
      <c r="C305" s="139" t="str">
        <f>IF($B305="","",IFERROR(INDEX(Lançamentos!$J$3:$J$1001,MATCH($B305,Lançamentos!$B$3:$B$1001,0)),""))</f>
        <v/>
      </c>
      <c r="D305" s="140"/>
      <c r="E305" s="140"/>
      <c r="F305" s="140"/>
      <c r="G305" s="140"/>
      <c r="H305" s="140"/>
      <c r="I305" s="140"/>
      <c r="J305" s="140"/>
      <c r="K305" s="140"/>
      <c r="L305" s="140"/>
      <c r="M305" s="141" t="str">
        <f t="shared" si="5"/>
        <v/>
      </c>
      <c r="N305" s="142"/>
      <c r="O305" s="143"/>
    </row>
    <row r="306" spans="2:15" x14ac:dyDescent="0.35">
      <c r="B306" s="138" t="str">
        <f>IF(Lançamentos!$B301="","",Lançamentos!$B301)</f>
        <v/>
      </c>
      <c r="C306" s="139" t="str">
        <f>IF($B306="","",IFERROR(INDEX(Lançamentos!$J$3:$J$1001,MATCH($B306,Lançamentos!$B$3:$B$1001,0)),""))</f>
        <v/>
      </c>
      <c r="D306" s="140"/>
      <c r="E306" s="140"/>
      <c r="F306" s="140"/>
      <c r="G306" s="140"/>
      <c r="H306" s="140"/>
      <c r="I306" s="140"/>
      <c r="J306" s="140"/>
      <c r="K306" s="140"/>
      <c r="L306" s="140"/>
      <c r="M306" s="141" t="str">
        <f t="shared" si="5"/>
        <v/>
      </c>
      <c r="N306" s="142"/>
      <c r="O306" s="143"/>
    </row>
    <row r="307" spans="2:15" x14ac:dyDescent="0.35">
      <c r="B307" s="138" t="str">
        <f>IF(Lançamentos!$B302="","",Lançamentos!$B302)</f>
        <v/>
      </c>
      <c r="C307" s="139" t="str">
        <f>IF($B307="","",IFERROR(INDEX(Lançamentos!$J$3:$J$1001,MATCH($B307,Lançamentos!$B$3:$B$1001,0)),""))</f>
        <v/>
      </c>
      <c r="D307" s="140"/>
      <c r="E307" s="140"/>
      <c r="F307" s="140"/>
      <c r="G307" s="140"/>
      <c r="H307" s="140"/>
      <c r="I307" s="140"/>
      <c r="J307" s="140"/>
      <c r="K307" s="140"/>
      <c r="L307" s="140"/>
      <c r="M307" s="141" t="str">
        <f t="shared" si="5"/>
        <v/>
      </c>
      <c r="N307" s="142"/>
      <c r="O307" s="143"/>
    </row>
    <row r="308" spans="2:15" x14ac:dyDescent="0.35">
      <c r="B308" s="138" t="str">
        <f>IF(Lançamentos!$B303="","",Lançamentos!$B303)</f>
        <v/>
      </c>
      <c r="C308" s="139" t="str">
        <f>IF($B308="","",IFERROR(INDEX(Lançamentos!$J$3:$J$1001,MATCH($B308,Lançamentos!$B$3:$B$1001,0)),""))</f>
        <v/>
      </c>
      <c r="D308" s="140"/>
      <c r="E308" s="140"/>
      <c r="F308" s="140"/>
      <c r="G308" s="140"/>
      <c r="H308" s="140"/>
      <c r="I308" s="140"/>
      <c r="J308" s="140"/>
      <c r="K308" s="140"/>
      <c r="L308" s="140"/>
      <c r="M308" s="141" t="str">
        <f t="shared" si="5"/>
        <v/>
      </c>
      <c r="N308" s="142"/>
      <c r="O308" s="143"/>
    </row>
    <row r="309" spans="2:15" x14ac:dyDescent="0.35">
      <c r="B309" s="138" t="str">
        <f>IF(Lançamentos!$B304="","",Lançamentos!$B304)</f>
        <v/>
      </c>
      <c r="C309" s="139" t="str">
        <f>IF($B309="","",IFERROR(INDEX(Lançamentos!$J$3:$J$1001,MATCH($B309,Lançamentos!$B$3:$B$1001,0)),""))</f>
        <v/>
      </c>
      <c r="D309" s="140"/>
      <c r="E309" s="140"/>
      <c r="F309" s="140"/>
      <c r="G309" s="140"/>
      <c r="H309" s="140"/>
      <c r="I309" s="140"/>
      <c r="J309" s="140"/>
      <c r="K309" s="140"/>
      <c r="L309" s="140"/>
      <c r="M309" s="141" t="str">
        <f t="shared" si="5"/>
        <v/>
      </c>
      <c r="N309" s="142"/>
      <c r="O309" s="143"/>
    </row>
    <row r="310" spans="2:15" x14ac:dyDescent="0.35">
      <c r="B310" s="138" t="str">
        <f>IF(Lançamentos!$B305="","",Lançamentos!$B305)</f>
        <v/>
      </c>
      <c r="C310" s="139" t="str">
        <f>IF($B310="","",IFERROR(INDEX(Lançamentos!$J$3:$J$1001,MATCH($B310,Lançamentos!$B$3:$B$1001,0)),""))</f>
        <v/>
      </c>
      <c r="D310" s="140"/>
      <c r="E310" s="140"/>
      <c r="F310" s="140"/>
      <c r="G310" s="140"/>
      <c r="H310" s="140"/>
      <c r="I310" s="140"/>
      <c r="J310" s="140"/>
      <c r="K310" s="140"/>
      <c r="L310" s="140"/>
      <c r="M310" s="141" t="str">
        <f t="shared" si="5"/>
        <v/>
      </c>
      <c r="N310" s="142"/>
      <c r="O310" s="143"/>
    </row>
    <row r="311" spans="2:15" x14ac:dyDescent="0.35">
      <c r="B311" s="138" t="str">
        <f>IF(Lançamentos!$B306="","",Lançamentos!$B306)</f>
        <v/>
      </c>
      <c r="C311" s="139" t="str">
        <f>IF($B311="","",IFERROR(INDEX(Lançamentos!$J$3:$J$1001,MATCH($B311,Lançamentos!$B$3:$B$1001,0)),""))</f>
        <v/>
      </c>
      <c r="D311" s="140"/>
      <c r="E311" s="140"/>
      <c r="F311" s="140"/>
      <c r="G311" s="140"/>
      <c r="H311" s="140"/>
      <c r="I311" s="140"/>
      <c r="J311" s="140"/>
      <c r="K311" s="140"/>
      <c r="L311" s="140"/>
      <c r="M311" s="141" t="str">
        <f t="shared" si="5"/>
        <v/>
      </c>
      <c r="N311" s="142"/>
      <c r="O311" s="143"/>
    </row>
    <row r="312" spans="2:15" x14ac:dyDescent="0.35">
      <c r="B312" s="138" t="str">
        <f>IF(Lançamentos!$B307="","",Lançamentos!$B307)</f>
        <v/>
      </c>
      <c r="C312" s="139" t="str">
        <f>IF($B312="","",IFERROR(INDEX(Lançamentos!$J$3:$J$1001,MATCH($B312,Lançamentos!$B$3:$B$1001,0)),""))</f>
        <v/>
      </c>
      <c r="D312" s="140"/>
      <c r="E312" s="140"/>
      <c r="F312" s="140"/>
      <c r="G312" s="140"/>
      <c r="H312" s="140"/>
      <c r="I312" s="140"/>
      <c r="J312" s="140"/>
      <c r="K312" s="140"/>
      <c r="L312" s="140"/>
      <c r="M312" s="141" t="str">
        <f t="shared" si="5"/>
        <v/>
      </c>
      <c r="N312" s="142"/>
      <c r="O312" s="143"/>
    </row>
    <row r="313" spans="2:15" x14ac:dyDescent="0.35">
      <c r="B313" s="138" t="str">
        <f>IF(Lançamentos!$B308="","",Lançamentos!$B308)</f>
        <v/>
      </c>
      <c r="C313" s="139" t="str">
        <f>IF($B313="","",IFERROR(INDEX(Lançamentos!$J$3:$J$1001,MATCH($B313,Lançamentos!$B$3:$B$1001,0)),""))</f>
        <v/>
      </c>
      <c r="D313" s="140"/>
      <c r="E313" s="140"/>
      <c r="F313" s="140"/>
      <c r="G313" s="140"/>
      <c r="H313" s="140"/>
      <c r="I313" s="140"/>
      <c r="J313" s="140"/>
      <c r="K313" s="140"/>
      <c r="L313" s="140"/>
      <c r="M313" s="141" t="str">
        <f t="shared" si="5"/>
        <v/>
      </c>
      <c r="N313" s="142"/>
      <c r="O313" s="143"/>
    </row>
    <row r="314" spans="2:15" x14ac:dyDescent="0.35">
      <c r="B314" s="138" t="str">
        <f>IF(Lançamentos!$B309="","",Lançamentos!$B309)</f>
        <v/>
      </c>
      <c r="C314" s="139" t="str">
        <f>IF($B314="","",IFERROR(INDEX(Lançamentos!$J$3:$J$1001,MATCH($B314,Lançamentos!$B$3:$B$1001,0)),""))</f>
        <v/>
      </c>
      <c r="D314" s="140"/>
      <c r="E314" s="140"/>
      <c r="F314" s="140"/>
      <c r="G314" s="140"/>
      <c r="H314" s="140"/>
      <c r="I314" s="140"/>
      <c r="J314" s="140"/>
      <c r="K314" s="140"/>
      <c r="L314" s="140"/>
      <c r="M314" s="141" t="str">
        <f t="shared" si="5"/>
        <v/>
      </c>
      <c r="N314" s="142"/>
      <c r="O314" s="143"/>
    </row>
    <row r="315" spans="2:15" x14ac:dyDescent="0.35">
      <c r="B315" s="138" t="str">
        <f>IF(Lançamentos!$B310="","",Lançamentos!$B310)</f>
        <v/>
      </c>
      <c r="C315" s="139" t="str">
        <f>IF($B315="","",IFERROR(INDEX(Lançamentos!$J$3:$J$1001,MATCH($B315,Lançamentos!$B$3:$B$1001,0)),""))</f>
        <v/>
      </c>
      <c r="D315" s="140"/>
      <c r="E315" s="140"/>
      <c r="F315" s="140"/>
      <c r="G315" s="140"/>
      <c r="H315" s="140"/>
      <c r="I315" s="140"/>
      <c r="J315" s="140"/>
      <c r="K315" s="140"/>
      <c r="L315" s="140"/>
      <c r="M315" s="141" t="str">
        <f t="shared" si="5"/>
        <v/>
      </c>
      <c r="N315" s="142"/>
      <c r="O315" s="143"/>
    </row>
    <row r="316" spans="2:15" x14ac:dyDescent="0.35">
      <c r="B316" s="138" t="str">
        <f>IF(Lançamentos!$B311="","",Lançamentos!$B311)</f>
        <v/>
      </c>
      <c r="C316" s="139" t="str">
        <f>IF($B316="","",IFERROR(INDEX(Lançamentos!$J$3:$J$1001,MATCH($B316,Lançamentos!$B$3:$B$1001,0)),""))</f>
        <v/>
      </c>
      <c r="D316" s="140"/>
      <c r="E316" s="140"/>
      <c r="F316" s="140"/>
      <c r="G316" s="140"/>
      <c r="H316" s="140"/>
      <c r="I316" s="140"/>
      <c r="J316" s="140"/>
      <c r="K316" s="140"/>
      <c r="L316" s="140"/>
      <c r="M316" s="141" t="str">
        <f t="shared" si="5"/>
        <v/>
      </c>
      <c r="N316" s="142"/>
      <c r="O316" s="143"/>
    </row>
    <row r="317" spans="2:15" x14ac:dyDescent="0.35">
      <c r="B317" s="138" t="str">
        <f>IF(Lançamentos!$B312="","",Lançamentos!$B312)</f>
        <v/>
      </c>
      <c r="C317" s="139" t="str">
        <f>IF($B317="","",IFERROR(INDEX(Lançamentos!$J$3:$J$1001,MATCH($B317,Lançamentos!$B$3:$B$1001,0)),""))</f>
        <v/>
      </c>
      <c r="D317" s="140"/>
      <c r="E317" s="140"/>
      <c r="F317" s="140"/>
      <c r="G317" s="140"/>
      <c r="H317" s="140"/>
      <c r="I317" s="140"/>
      <c r="J317" s="140"/>
      <c r="K317" s="140"/>
      <c r="L317" s="140"/>
      <c r="M317" s="141" t="str">
        <f t="shared" si="5"/>
        <v/>
      </c>
      <c r="N317" s="142"/>
      <c r="O317" s="143"/>
    </row>
    <row r="318" spans="2:15" x14ac:dyDescent="0.35">
      <c r="B318" s="138" t="str">
        <f>IF(Lançamentos!$B313="","",Lançamentos!$B313)</f>
        <v/>
      </c>
      <c r="C318" s="139" t="str">
        <f>IF($B318="","",IFERROR(INDEX(Lançamentos!$J$3:$J$1001,MATCH($B318,Lançamentos!$B$3:$B$1001,0)),""))</f>
        <v/>
      </c>
      <c r="D318" s="140"/>
      <c r="E318" s="140"/>
      <c r="F318" s="140"/>
      <c r="G318" s="140"/>
      <c r="H318" s="140"/>
      <c r="I318" s="140"/>
      <c r="J318" s="140"/>
      <c r="K318" s="140"/>
      <c r="L318" s="140"/>
      <c r="M318" s="141" t="str">
        <f t="shared" si="5"/>
        <v/>
      </c>
      <c r="N318" s="142"/>
      <c r="O318" s="143"/>
    </row>
    <row r="319" spans="2:15" x14ac:dyDescent="0.35">
      <c r="B319" s="138" t="str">
        <f>IF(Lançamentos!$B314="","",Lançamentos!$B314)</f>
        <v/>
      </c>
      <c r="C319" s="139" t="str">
        <f>IF($B319="","",IFERROR(INDEX(Lançamentos!$J$3:$J$1001,MATCH($B319,Lançamentos!$B$3:$B$1001,0)),""))</f>
        <v/>
      </c>
      <c r="D319" s="140"/>
      <c r="E319" s="140"/>
      <c r="F319" s="140"/>
      <c r="G319" s="140"/>
      <c r="H319" s="140"/>
      <c r="I319" s="140"/>
      <c r="J319" s="140"/>
      <c r="K319" s="140"/>
      <c r="L319" s="140"/>
      <c r="M319" s="141" t="str">
        <f t="shared" si="5"/>
        <v/>
      </c>
      <c r="N319" s="142"/>
      <c r="O319" s="143"/>
    </row>
    <row r="320" spans="2:15" x14ac:dyDescent="0.35">
      <c r="B320" s="138" t="str">
        <f>IF(Lançamentos!$B315="","",Lançamentos!$B315)</f>
        <v/>
      </c>
      <c r="C320" s="139" t="str">
        <f>IF($B320="","",IFERROR(INDEX(Lançamentos!$J$3:$J$1001,MATCH($B320,Lançamentos!$B$3:$B$1001,0)),""))</f>
        <v/>
      </c>
      <c r="D320" s="140"/>
      <c r="E320" s="140"/>
      <c r="F320" s="140"/>
      <c r="G320" s="140"/>
      <c r="H320" s="140"/>
      <c r="I320" s="140"/>
      <c r="J320" s="140"/>
      <c r="K320" s="140"/>
      <c r="L320" s="140"/>
      <c r="M320" s="141" t="str">
        <f t="shared" si="5"/>
        <v/>
      </c>
      <c r="N320" s="142"/>
      <c r="O320" s="143"/>
    </row>
    <row r="321" spans="2:15" x14ac:dyDescent="0.35">
      <c r="B321" s="138" t="str">
        <f>IF(Lançamentos!$B316="","",Lançamentos!$B316)</f>
        <v/>
      </c>
      <c r="C321" s="139" t="str">
        <f>IF($B321="","",IFERROR(INDEX(Lançamentos!$J$3:$J$1001,MATCH($B321,Lançamentos!$B$3:$B$1001,0)),""))</f>
        <v/>
      </c>
      <c r="D321" s="140"/>
      <c r="E321" s="140"/>
      <c r="F321" s="140"/>
      <c r="G321" s="140"/>
      <c r="H321" s="140"/>
      <c r="I321" s="140"/>
      <c r="J321" s="140"/>
      <c r="K321" s="140"/>
      <c r="L321" s="140"/>
      <c r="M321" s="141" t="str">
        <f t="shared" si="5"/>
        <v/>
      </c>
      <c r="N321" s="142"/>
      <c r="O321" s="143"/>
    </row>
    <row r="322" spans="2:15" x14ac:dyDescent="0.35">
      <c r="B322" s="138" t="str">
        <f>IF(Lançamentos!$B317="","",Lançamentos!$B317)</f>
        <v/>
      </c>
      <c r="C322" s="139" t="str">
        <f>IF($B322="","",IFERROR(INDEX(Lançamentos!$J$3:$J$1001,MATCH($B322,Lançamentos!$B$3:$B$1001,0)),""))</f>
        <v/>
      </c>
      <c r="D322" s="140"/>
      <c r="E322" s="140"/>
      <c r="F322" s="140"/>
      <c r="G322" s="140"/>
      <c r="H322" s="140"/>
      <c r="I322" s="140"/>
      <c r="J322" s="140"/>
      <c r="K322" s="140"/>
      <c r="L322" s="140"/>
      <c r="M322" s="141" t="str">
        <f t="shared" si="5"/>
        <v/>
      </c>
      <c r="N322" s="142"/>
      <c r="O322" s="143"/>
    </row>
    <row r="323" spans="2:15" x14ac:dyDescent="0.35">
      <c r="B323" s="138" t="str">
        <f>IF(Lançamentos!$B318="","",Lançamentos!$B318)</f>
        <v/>
      </c>
      <c r="C323" s="139" t="str">
        <f>IF($B323="","",IFERROR(INDEX(Lançamentos!$J$3:$J$1001,MATCH($B323,Lançamentos!$B$3:$B$1001,0)),""))</f>
        <v/>
      </c>
      <c r="D323" s="140"/>
      <c r="E323" s="140"/>
      <c r="F323" s="140"/>
      <c r="G323" s="140"/>
      <c r="H323" s="140"/>
      <c r="I323" s="140"/>
      <c r="J323" s="140"/>
      <c r="K323" s="140"/>
      <c r="L323" s="140"/>
      <c r="M323" s="141" t="str">
        <f t="shared" si="5"/>
        <v/>
      </c>
      <c r="N323" s="142"/>
      <c r="O323" s="143"/>
    </row>
    <row r="324" spans="2:15" x14ac:dyDescent="0.35">
      <c r="B324" s="138" t="str">
        <f>IF(Lançamentos!$B319="","",Lançamentos!$B319)</f>
        <v/>
      </c>
      <c r="C324" s="139" t="str">
        <f>IF($B324="","",IFERROR(INDEX(Lançamentos!$J$3:$J$1001,MATCH($B324,Lançamentos!$B$3:$B$1001,0)),""))</f>
        <v/>
      </c>
      <c r="D324" s="140"/>
      <c r="E324" s="140"/>
      <c r="F324" s="140"/>
      <c r="G324" s="140"/>
      <c r="H324" s="140"/>
      <c r="I324" s="140"/>
      <c r="J324" s="140"/>
      <c r="K324" s="140"/>
      <c r="L324" s="140"/>
      <c r="M324" s="141" t="str">
        <f t="shared" si="5"/>
        <v/>
      </c>
      <c r="N324" s="142"/>
      <c r="O324" s="143"/>
    </row>
    <row r="325" spans="2:15" x14ac:dyDescent="0.35">
      <c r="B325" s="138" t="str">
        <f>IF(Lançamentos!$B320="","",Lançamentos!$B320)</f>
        <v/>
      </c>
      <c r="C325" s="139" t="str">
        <f>IF($B325="","",IFERROR(INDEX(Lançamentos!$J$3:$J$1001,MATCH($B325,Lançamentos!$B$3:$B$1001,0)),""))</f>
        <v/>
      </c>
      <c r="D325" s="140"/>
      <c r="E325" s="140"/>
      <c r="F325" s="140"/>
      <c r="G325" s="140"/>
      <c r="H325" s="140"/>
      <c r="I325" s="140"/>
      <c r="J325" s="140"/>
      <c r="K325" s="140"/>
      <c r="L325" s="140"/>
      <c r="M325" s="141" t="str">
        <f t="shared" si="5"/>
        <v/>
      </c>
      <c r="N325" s="142"/>
      <c r="O325" s="143"/>
    </row>
    <row r="326" spans="2:15" x14ac:dyDescent="0.35">
      <c r="B326" s="138" t="str">
        <f>IF(Lançamentos!$B321="","",Lançamentos!$B321)</f>
        <v/>
      </c>
      <c r="C326" s="139" t="str">
        <f>IF($B326="","",IFERROR(INDEX(Lançamentos!$J$3:$J$1001,MATCH($B326,Lançamentos!$B$3:$B$1001,0)),""))</f>
        <v/>
      </c>
      <c r="D326" s="140"/>
      <c r="E326" s="140"/>
      <c r="F326" s="140"/>
      <c r="G326" s="140"/>
      <c r="H326" s="140"/>
      <c r="I326" s="140"/>
      <c r="J326" s="140"/>
      <c r="K326" s="140"/>
      <c r="L326" s="140"/>
      <c r="M326" s="141" t="str">
        <f t="shared" si="5"/>
        <v/>
      </c>
      <c r="N326" s="142"/>
      <c r="O326" s="143"/>
    </row>
    <row r="327" spans="2:15" x14ac:dyDescent="0.35">
      <c r="B327" s="138" t="str">
        <f>IF(Lançamentos!$B322="","",Lançamentos!$B322)</f>
        <v/>
      </c>
      <c r="C327" s="139" t="str">
        <f>IF($B327="","",IFERROR(INDEX(Lançamentos!$J$3:$J$1001,MATCH($B327,Lançamentos!$B$3:$B$1001,0)),""))</f>
        <v/>
      </c>
      <c r="D327" s="140"/>
      <c r="E327" s="140"/>
      <c r="F327" s="140"/>
      <c r="G327" s="140"/>
      <c r="H327" s="140"/>
      <c r="I327" s="140"/>
      <c r="J327" s="140"/>
      <c r="K327" s="140"/>
      <c r="L327" s="140"/>
      <c r="M327" s="141" t="str">
        <f t="shared" si="5"/>
        <v/>
      </c>
      <c r="N327" s="142"/>
      <c r="O327" s="143"/>
    </row>
    <row r="328" spans="2:15" x14ac:dyDescent="0.35">
      <c r="B328" s="138" t="str">
        <f>IF(Lançamentos!$B323="","",Lançamentos!$B323)</f>
        <v/>
      </c>
      <c r="C328" s="139" t="str">
        <f>IF($B328="","",IFERROR(INDEX(Lançamentos!$J$3:$J$1001,MATCH($B328,Lançamentos!$B$3:$B$1001,0)),""))</f>
        <v/>
      </c>
      <c r="D328" s="140"/>
      <c r="E328" s="140"/>
      <c r="F328" s="140"/>
      <c r="G328" s="140"/>
      <c r="H328" s="140"/>
      <c r="I328" s="140"/>
      <c r="J328" s="140"/>
      <c r="K328" s="140"/>
      <c r="L328" s="140"/>
      <c r="M328" s="141" t="str">
        <f t="shared" si="5"/>
        <v/>
      </c>
      <c r="N328" s="142"/>
      <c r="O328" s="143"/>
    </row>
    <row r="329" spans="2:15" x14ac:dyDescent="0.35">
      <c r="B329" s="138" t="str">
        <f>IF(Lançamentos!$B324="","",Lançamentos!$B324)</f>
        <v/>
      </c>
      <c r="C329" s="139" t="str">
        <f>IF($B329="","",IFERROR(INDEX(Lançamentos!$J$3:$J$1001,MATCH($B329,Lançamentos!$B$3:$B$1001,0)),""))</f>
        <v/>
      </c>
      <c r="D329" s="140"/>
      <c r="E329" s="140"/>
      <c r="F329" s="140"/>
      <c r="G329" s="140"/>
      <c r="H329" s="140"/>
      <c r="I329" s="140"/>
      <c r="J329" s="140"/>
      <c r="K329" s="140"/>
      <c r="L329" s="140"/>
      <c r="M329" s="141" t="str">
        <f t="shared" si="5"/>
        <v/>
      </c>
      <c r="N329" s="142"/>
      <c r="O329" s="143"/>
    </row>
    <row r="330" spans="2:15" x14ac:dyDescent="0.35">
      <c r="B330" s="138" t="str">
        <f>IF(Lançamentos!$B325="","",Lançamentos!$B325)</f>
        <v/>
      </c>
      <c r="C330" s="139" t="str">
        <f>IF($B330="","",IFERROR(INDEX(Lançamentos!$J$3:$J$1001,MATCH($B330,Lançamentos!$B$3:$B$1001,0)),""))</f>
        <v/>
      </c>
      <c r="D330" s="140"/>
      <c r="E330" s="140"/>
      <c r="F330" s="140"/>
      <c r="G330" s="140"/>
      <c r="H330" s="140"/>
      <c r="I330" s="140"/>
      <c r="J330" s="140"/>
      <c r="K330" s="140"/>
      <c r="L330" s="140"/>
      <c r="M330" s="141" t="str">
        <f t="shared" si="5"/>
        <v/>
      </c>
      <c r="N330" s="142"/>
      <c r="O330" s="143"/>
    </row>
    <row r="331" spans="2:15" x14ac:dyDescent="0.35">
      <c r="B331" s="138" t="str">
        <f>IF(Lançamentos!$B326="","",Lançamentos!$B326)</f>
        <v/>
      </c>
      <c r="C331" s="139" t="str">
        <f>IF($B331="","",IFERROR(INDEX(Lançamentos!$J$3:$J$1001,MATCH($B331,Lançamentos!$B$3:$B$1001,0)),""))</f>
        <v/>
      </c>
      <c r="D331" s="140"/>
      <c r="E331" s="140"/>
      <c r="F331" s="140"/>
      <c r="G331" s="140"/>
      <c r="H331" s="140"/>
      <c r="I331" s="140"/>
      <c r="J331" s="140"/>
      <c r="K331" s="140"/>
      <c r="L331" s="140"/>
      <c r="M331" s="141" t="str">
        <f t="shared" si="5"/>
        <v/>
      </c>
      <c r="N331" s="142"/>
      <c r="O331" s="143"/>
    </row>
    <row r="332" spans="2:15" x14ac:dyDescent="0.35">
      <c r="B332" s="138" t="str">
        <f>IF(Lançamentos!$B327="","",Lançamentos!$B327)</f>
        <v/>
      </c>
      <c r="C332" s="139" t="str">
        <f>IF($B332="","",IFERROR(INDEX(Lançamentos!$J$3:$J$1001,MATCH($B332,Lançamentos!$B$3:$B$1001,0)),""))</f>
        <v/>
      </c>
      <c r="D332" s="140"/>
      <c r="E332" s="140"/>
      <c r="F332" s="140"/>
      <c r="G332" s="140"/>
      <c r="H332" s="140"/>
      <c r="I332" s="140"/>
      <c r="J332" s="140"/>
      <c r="K332" s="140"/>
      <c r="L332" s="140"/>
      <c r="M332" s="141" t="str">
        <f t="shared" si="5"/>
        <v/>
      </c>
      <c r="N332" s="142"/>
      <c r="O332" s="143"/>
    </row>
    <row r="333" spans="2:15" x14ac:dyDescent="0.35">
      <c r="B333" s="138" t="str">
        <f>IF(Lançamentos!$B328="","",Lançamentos!$B328)</f>
        <v/>
      </c>
      <c r="C333" s="139" t="str">
        <f>IF($B333="","",IFERROR(INDEX(Lançamentos!$J$3:$J$1001,MATCH($B333,Lançamentos!$B$3:$B$1001,0)),""))</f>
        <v/>
      </c>
      <c r="D333" s="140"/>
      <c r="E333" s="140"/>
      <c r="F333" s="140"/>
      <c r="G333" s="140"/>
      <c r="H333" s="140"/>
      <c r="I333" s="140"/>
      <c r="J333" s="140"/>
      <c r="K333" s="140"/>
      <c r="L333" s="140"/>
      <c r="M333" s="141" t="str">
        <f t="shared" si="5"/>
        <v/>
      </c>
      <c r="N333" s="142"/>
      <c r="O333" s="143"/>
    </row>
    <row r="334" spans="2:15" x14ac:dyDescent="0.35">
      <c r="B334" s="138" t="str">
        <f>IF(Lançamentos!$B329="","",Lançamentos!$B329)</f>
        <v/>
      </c>
      <c r="C334" s="139" t="str">
        <f>IF($B334="","",IFERROR(INDEX(Lançamentos!$J$3:$J$1001,MATCH($B334,Lançamentos!$B$3:$B$1001,0)),""))</f>
        <v/>
      </c>
      <c r="D334" s="140"/>
      <c r="E334" s="140"/>
      <c r="F334" s="140"/>
      <c r="G334" s="140"/>
      <c r="H334" s="140"/>
      <c r="I334" s="140"/>
      <c r="J334" s="140"/>
      <c r="K334" s="140"/>
      <c r="L334" s="140"/>
      <c r="M334" s="141" t="str">
        <f t="shared" si="5"/>
        <v/>
      </c>
      <c r="N334" s="142"/>
      <c r="O334" s="143"/>
    </row>
    <row r="335" spans="2:15" x14ac:dyDescent="0.35">
      <c r="B335" s="138" t="str">
        <f>IF(Lançamentos!$B330="","",Lançamentos!$B330)</f>
        <v/>
      </c>
      <c r="C335" s="139" t="str">
        <f>IF($B335="","",IFERROR(INDEX(Lançamentos!$J$3:$J$1001,MATCH($B335,Lançamentos!$B$3:$B$1001,0)),""))</f>
        <v/>
      </c>
      <c r="D335" s="140"/>
      <c r="E335" s="140"/>
      <c r="F335" s="140"/>
      <c r="G335" s="140"/>
      <c r="H335" s="140"/>
      <c r="I335" s="140"/>
      <c r="J335" s="140"/>
      <c r="K335" s="140"/>
      <c r="L335" s="140"/>
      <c r="M335" s="141" t="str">
        <f t="shared" si="5"/>
        <v/>
      </c>
      <c r="N335" s="142"/>
      <c r="O335" s="143"/>
    </row>
    <row r="336" spans="2:15" x14ac:dyDescent="0.35">
      <c r="B336" s="138" t="str">
        <f>IF(Lançamentos!$B331="","",Lançamentos!$B331)</f>
        <v/>
      </c>
      <c r="C336" s="139" t="str">
        <f>IF($B336="","",IFERROR(INDEX(Lançamentos!$J$3:$J$1001,MATCH($B336,Lançamentos!$B$3:$B$1001,0)),""))</f>
        <v/>
      </c>
      <c r="D336" s="140"/>
      <c r="E336" s="140"/>
      <c r="F336" s="140"/>
      <c r="G336" s="140"/>
      <c r="H336" s="140"/>
      <c r="I336" s="140"/>
      <c r="J336" s="140"/>
      <c r="K336" s="140"/>
      <c r="L336" s="140"/>
      <c r="M336" s="141" t="str">
        <f t="shared" ref="M336:M399" si="6">IF(B336="","",IF(COUNTIF(E336:L336,"N/A")=8,0,COUNTIF(E336:L336,"✔ Concluído")/(8-COUNTIF(E336:L336,"N/A"))))</f>
        <v/>
      </c>
      <c r="N336" s="142"/>
      <c r="O336" s="143"/>
    </row>
    <row r="337" spans="2:15" x14ac:dyDescent="0.35">
      <c r="B337" s="138" t="str">
        <f>IF(Lançamentos!$B332="","",Lançamentos!$B332)</f>
        <v/>
      </c>
      <c r="C337" s="139" t="str">
        <f>IF($B337="","",IFERROR(INDEX(Lançamentos!$J$3:$J$1001,MATCH($B337,Lançamentos!$B$3:$B$1001,0)),""))</f>
        <v/>
      </c>
      <c r="D337" s="140"/>
      <c r="E337" s="140"/>
      <c r="F337" s="140"/>
      <c r="G337" s="140"/>
      <c r="H337" s="140"/>
      <c r="I337" s="140"/>
      <c r="J337" s="140"/>
      <c r="K337" s="140"/>
      <c r="L337" s="140"/>
      <c r="M337" s="141" t="str">
        <f t="shared" si="6"/>
        <v/>
      </c>
      <c r="N337" s="142"/>
      <c r="O337" s="143"/>
    </row>
    <row r="338" spans="2:15" x14ac:dyDescent="0.35">
      <c r="B338" s="138" t="str">
        <f>IF(Lançamentos!$B333="","",Lançamentos!$B333)</f>
        <v/>
      </c>
      <c r="C338" s="139" t="str">
        <f>IF($B338="","",IFERROR(INDEX(Lançamentos!$J$3:$J$1001,MATCH($B338,Lançamentos!$B$3:$B$1001,0)),""))</f>
        <v/>
      </c>
      <c r="D338" s="140"/>
      <c r="E338" s="140"/>
      <c r="F338" s="140"/>
      <c r="G338" s="140"/>
      <c r="H338" s="140"/>
      <c r="I338" s="140"/>
      <c r="J338" s="140"/>
      <c r="K338" s="140"/>
      <c r="L338" s="140"/>
      <c r="M338" s="141" t="str">
        <f t="shared" si="6"/>
        <v/>
      </c>
      <c r="N338" s="142"/>
      <c r="O338" s="143"/>
    </row>
    <row r="339" spans="2:15" x14ac:dyDescent="0.35">
      <c r="B339" s="138" t="str">
        <f>IF(Lançamentos!$B334="","",Lançamentos!$B334)</f>
        <v/>
      </c>
      <c r="C339" s="139" t="str">
        <f>IF($B339="","",IFERROR(INDEX(Lançamentos!$J$3:$J$1001,MATCH($B339,Lançamentos!$B$3:$B$1001,0)),""))</f>
        <v/>
      </c>
      <c r="D339" s="140"/>
      <c r="E339" s="140"/>
      <c r="F339" s="140"/>
      <c r="G339" s="140"/>
      <c r="H339" s="140"/>
      <c r="I339" s="140"/>
      <c r="J339" s="140"/>
      <c r="K339" s="140"/>
      <c r="L339" s="140"/>
      <c r="M339" s="141" t="str">
        <f t="shared" si="6"/>
        <v/>
      </c>
      <c r="N339" s="142"/>
      <c r="O339" s="143"/>
    </row>
    <row r="340" spans="2:15" x14ac:dyDescent="0.35">
      <c r="B340" s="138" t="str">
        <f>IF(Lançamentos!$B335="","",Lançamentos!$B335)</f>
        <v/>
      </c>
      <c r="C340" s="139" t="str">
        <f>IF($B340="","",IFERROR(INDEX(Lançamentos!$J$3:$J$1001,MATCH($B340,Lançamentos!$B$3:$B$1001,0)),""))</f>
        <v/>
      </c>
      <c r="D340" s="140"/>
      <c r="E340" s="140"/>
      <c r="F340" s="140"/>
      <c r="G340" s="140"/>
      <c r="H340" s="140"/>
      <c r="I340" s="140"/>
      <c r="J340" s="140"/>
      <c r="K340" s="140"/>
      <c r="L340" s="140"/>
      <c r="M340" s="141" t="str">
        <f t="shared" si="6"/>
        <v/>
      </c>
      <c r="N340" s="142"/>
      <c r="O340" s="143"/>
    </row>
    <row r="341" spans="2:15" x14ac:dyDescent="0.35">
      <c r="B341" s="138" t="str">
        <f>IF(Lançamentos!$B336="","",Lançamentos!$B336)</f>
        <v/>
      </c>
      <c r="C341" s="139" t="str">
        <f>IF($B341="","",IFERROR(INDEX(Lançamentos!$J$3:$J$1001,MATCH($B341,Lançamentos!$B$3:$B$1001,0)),""))</f>
        <v/>
      </c>
      <c r="D341" s="140"/>
      <c r="E341" s="140"/>
      <c r="F341" s="140"/>
      <c r="G341" s="140"/>
      <c r="H341" s="140"/>
      <c r="I341" s="140"/>
      <c r="J341" s="140"/>
      <c r="K341" s="140"/>
      <c r="L341" s="140"/>
      <c r="M341" s="141" t="str">
        <f t="shared" si="6"/>
        <v/>
      </c>
      <c r="N341" s="142"/>
      <c r="O341" s="143"/>
    </row>
    <row r="342" spans="2:15" x14ac:dyDescent="0.35">
      <c r="B342" s="138" t="str">
        <f>IF(Lançamentos!$B337="","",Lançamentos!$B337)</f>
        <v/>
      </c>
      <c r="C342" s="139" t="str">
        <f>IF($B342="","",IFERROR(INDEX(Lançamentos!$J$3:$J$1001,MATCH($B342,Lançamentos!$B$3:$B$1001,0)),""))</f>
        <v/>
      </c>
      <c r="D342" s="140"/>
      <c r="E342" s="140"/>
      <c r="F342" s="140"/>
      <c r="G342" s="140"/>
      <c r="H342" s="140"/>
      <c r="I342" s="140"/>
      <c r="J342" s="140"/>
      <c r="K342" s="140"/>
      <c r="L342" s="140"/>
      <c r="M342" s="141" t="str">
        <f t="shared" si="6"/>
        <v/>
      </c>
      <c r="N342" s="142"/>
      <c r="O342" s="143"/>
    </row>
    <row r="343" spans="2:15" x14ac:dyDescent="0.35">
      <c r="B343" s="138" t="str">
        <f>IF(Lançamentos!$B338="","",Lançamentos!$B338)</f>
        <v/>
      </c>
      <c r="C343" s="139" t="str">
        <f>IF($B343="","",IFERROR(INDEX(Lançamentos!$J$3:$J$1001,MATCH($B343,Lançamentos!$B$3:$B$1001,0)),""))</f>
        <v/>
      </c>
      <c r="D343" s="140"/>
      <c r="E343" s="140"/>
      <c r="F343" s="140"/>
      <c r="G343" s="140"/>
      <c r="H343" s="140"/>
      <c r="I343" s="140"/>
      <c r="J343" s="140"/>
      <c r="K343" s="140"/>
      <c r="L343" s="140"/>
      <c r="M343" s="141" t="str">
        <f t="shared" si="6"/>
        <v/>
      </c>
      <c r="N343" s="142"/>
      <c r="O343" s="143"/>
    </row>
    <row r="344" spans="2:15" x14ac:dyDescent="0.35">
      <c r="B344" s="138" t="str">
        <f>IF(Lançamentos!$B339="","",Lançamentos!$B339)</f>
        <v/>
      </c>
      <c r="C344" s="139" t="str">
        <f>IF($B344="","",IFERROR(INDEX(Lançamentos!$J$3:$J$1001,MATCH($B344,Lançamentos!$B$3:$B$1001,0)),""))</f>
        <v/>
      </c>
      <c r="D344" s="140"/>
      <c r="E344" s="140"/>
      <c r="F344" s="140"/>
      <c r="G344" s="140"/>
      <c r="H344" s="140"/>
      <c r="I344" s="140"/>
      <c r="J344" s="140"/>
      <c r="K344" s="140"/>
      <c r="L344" s="140"/>
      <c r="M344" s="141" t="str">
        <f t="shared" si="6"/>
        <v/>
      </c>
      <c r="N344" s="142"/>
      <c r="O344" s="143"/>
    </row>
    <row r="345" spans="2:15" x14ac:dyDescent="0.35">
      <c r="B345" s="138" t="str">
        <f>IF(Lançamentos!$B340="","",Lançamentos!$B340)</f>
        <v/>
      </c>
      <c r="C345" s="139" t="str">
        <f>IF($B345="","",IFERROR(INDEX(Lançamentos!$J$3:$J$1001,MATCH($B345,Lançamentos!$B$3:$B$1001,0)),""))</f>
        <v/>
      </c>
      <c r="D345" s="140"/>
      <c r="E345" s="140"/>
      <c r="F345" s="140"/>
      <c r="G345" s="140"/>
      <c r="H345" s="140"/>
      <c r="I345" s="140"/>
      <c r="J345" s="140"/>
      <c r="K345" s="140"/>
      <c r="L345" s="140"/>
      <c r="M345" s="141" t="str">
        <f t="shared" si="6"/>
        <v/>
      </c>
      <c r="N345" s="142"/>
      <c r="O345" s="143"/>
    </row>
    <row r="346" spans="2:15" x14ac:dyDescent="0.35">
      <c r="B346" s="138" t="str">
        <f>IF(Lançamentos!$B341="","",Lançamentos!$B341)</f>
        <v/>
      </c>
      <c r="C346" s="139" t="str">
        <f>IF($B346="","",IFERROR(INDEX(Lançamentos!$J$3:$J$1001,MATCH($B346,Lançamentos!$B$3:$B$1001,0)),""))</f>
        <v/>
      </c>
      <c r="D346" s="140"/>
      <c r="E346" s="140"/>
      <c r="F346" s="140"/>
      <c r="G346" s="140"/>
      <c r="H346" s="140"/>
      <c r="I346" s="140"/>
      <c r="J346" s="140"/>
      <c r="K346" s="140"/>
      <c r="L346" s="140"/>
      <c r="M346" s="141" t="str">
        <f t="shared" si="6"/>
        <v/>
      </c>
      <c r="N346" s="142"/>
      <c r="O346" s="143"/>
    </row>
    <row r="347" spans="2:15" x14ac:dyDescent="0.35">
      <c r="B347" s="138" t="str">
        <f>IF(Lançamentos!$B342="","",Lançamentos!$B342)</f>
        <v/>
      </c>
      <c r="C347" s="139" t="str">
        <f>IF($B347="","",IFERROR(INDEX(Lançamentos!$J$3:$J$1001,MATCH($B347,Lançamentos!$B$3:$B$1001,0)),""))</f>
        <v/>
      </c>
      <c r="D347" s="140"/>
      <c r="E347" s="140"/>
      <c r="F347" s="140"/>
      <c r="G347" s="140"/>
      <c r="H347" s="140"/>
      <c r="I347" s="140"/>
      <c r="J347" s="140"/>
      <c r="K347" s="140"/>
      <c r="L347" s="140"/>
      <c r="M347" s="141" t="str">
        <f t="shared" si="6"/>
        <v/>
      </c>
      <c r="N347" s="142"/>
      <c r="O347" s="143"/>
    </row>
    <row r="348" spans="2:15" x14ac:dyDescent="0.35">
      <c r="B348" s="138" t="str">
        <f>IF(Lançamentos!$B343="","",Lançamentos!$B343)</f>
        <v/>
      </c>
      <c r="C348" s="139" t="str">
        <f>IF($B348="","",IFERROR(INDEX(Lançamentos!$J$3:$J$1001,MATCH($B348,Lançamentos!$B$3:$B$1001,0)),""))</f>
        <v/>
      </c>
      <c r="D348" s="140"/>
      <c r="E348" s="140"/>
      <c r="F348" s="140"/>
      <c r="G348" s="140"/>
      <c r="H348" s="140"/>
      <c r="I348" s="140"/>
      <c r="J348" s="140"/>
      <c r="K348" s="140"/>
      <c r="L348" s="140"/>
      <c r="M348" s="141" t="str">
        <f t="shared" si="6"/>
        <v/>
      </c>
      <c r="N348" s="142"/>
      <c r="O348" s="143"/>
    </row>
    <row r="349" spans="2:15" x14ac:dyDescent="0.35">
      <c r="B349" s="138" t="str">
        <f>IF(Lançamentos!$B344="","",Lançamentos!$B344)</f>
        <v/>
      </c>
      <c r="C349" s="139" t="str">
        <f>IF($B349="","",IFERROR(INDEX(Lançamentos!$J$3:$J$1001,MATCH($B349,Lançamentos!$B$3:$B$1001,0)),""))</f>
        <v/>
      </c>
      <c r="D349" s="140"/>
      <c r="E349" s="140"/>
      <c r="F349" s="140"/>
      <c r="G349" s="140"/>
      <c r="H349" s="140"/>
      <c r="I349" s="140"/>
      <c r="J349" s="140"/>
      <c r="K349" s="140"/>
      <c r="L349" s="140"/>
      <c r="M349" s="141" t="str">
        <f t="shared" si="6"/>
        <v/>
      </c>
      <c r="N349" s="142"/>
      <c r="O349" s="143"/>
    </row>
    <row r="350" spans="2:15" x14ac:dyDescent="0.35">
      <c r="B350" s="138" t="str">
        <f>IF(Lançamentos!$B345="","",Lançamentos!$B345)</f>
        <v/>
      </c>
      <c r="C350" s="139" t="str">
        <f>IF($B350="","",IFERROR(INDEX(Lançamentos!$J$3:$J$1001,MATCH($B350,Lançamentos!$B$3:$B$1001,0)),""))</f>
        <v/>
      </c>
      <c r="D350" s="140"/>
      <c r="E350" s="140"/>
      <c r="F350" s="140"/>
      <c r="G350" s="140"/>
      <c r="H350" s="140"/>
      <c r="I350" s="140"/>
      <c r="J350" s="140"/>
      <c r="K350" s="140"/>
      <c r="L350" s="140"/>
      <c r="M350" s="141" t="str">
        <f t="shared" si="6"/>
        <v/>
      </c>
      <c r="N350" s="142"/>
      <c r="O350" s="143"/>
    </row>
    <row r="351" spans="2:15" x14ac:dyDescent="0.35">
      <c r="B351" s="138" t="str">
        <f>IF(Lançamentos!$B346="","",Lançamentos!$B346)</f>
        <v/>
      </c>
      <c r="C351" s="139" t="str">
        <f>IF($B351="","",IFERROR(INDEX(Lançamentos!$J$3:$J$1001,MATCH($B351,Lançamentos!$B$3:$B$1001,0)),""))</f>
        <v/>
      </c>
      <c r="D351" s="140"/>
      <c r="E351" s="140"/>
      <c r="F351" s="140"/>
      <c r="G351" s="140"/>
      <c r="H351" s="140"/>
      <c r="I351" s="140"/>
      <c r="J351" s="140"/>
      <c r="K351" s="140"/>
      <c r="L351" s="140"/>
      <c r="M351" s="141" t="str">
        <f t="shared" si="6"/>
        <v/>
      </c>
      <c r="N351" s="142"/>
      <c r="O351" s="143"/>
    </row>
    <row r="352" spans="2:15" x14ac:dyDescent="0.35">
      <c r="B352" s="138" t="str">
        <f>IF(Lançamentos!$B347="","",Lançamentos!$B347)</f>
        <v/>
      </c>
      <c r="C352" s="139" t="str">
        <f>IF($B352="","",IFERROR(INDEX(Lançamentos!$J$3:$J$1001,MATCH($B352,Lançamentos!$B$3:$B$1001,0)),""))</f>
        <v/>
      </c>
      <c r="D352" s="140"/>
      <c r="E352" s="140"/>
      <c r="F352" s="140"/>
      <c r="G352" s="140"/>
      <c r="H352" s="140"/>
      <c r="I352" s="140"/>
      <c r="J352" s="140"/>
      <c r="K352" s="140"/>
      <c r="L352" s="140"/>
      <c r="M352" s="141" t="str">
        <f t="shared" si="6"/>
        <v/>
      </c>
      <c r="N352" s="142"/>
      <c r="O352" s="143"/>
    </row>
    <row r="353" spans="2:15" x14ac:dyDescent="0.35">
      <c r="B353" s="138" t="str">
        <f>IF(Lançamentos!$B348="","",Lançamentos!$B348)</f>
        <v/>
      </c>
      <c r="C353" s="139" t="str">
        <f>IF($B353="","",IFERROR(INDEX(Lançamentos!$J$3:$J$1001,MATCH($B353,Lançamentos!$B$3:$B$1001,0)),""))</f>
        <v/>
      </c>
      <c r="D353" s="140"/>
      <c r="E353" s="140"/>
      <c r="F353" s="140"/>
      <c r="G353" s="140"/>
      <c r="H353" s="140"/>
      <c r="I353" s="140"/>
      <c r="J353" s="140"/>
      <c r="K353" s="140"/>
      <c r="L353" s="140"/>
      <c r="M353" s="141" t="str">
        <f t="shared" si="6"/>
        <v/>
      </c>
      <c r="N353" s="142"/>
      <c r="O353" s="143"/>
    </row>
    <row r="354" spans="2:15" x14ac:dyDescent="0.35">
      <c r="B354" s="138" t="str">
        <f>IF(Lançamentos!$B349="","",Lançamentos!$B349)</f>
        <v/>
      </c>
      <c r="C354" s="139" t="str">
        <f>IF($B354="","",IFERROR(INDEX(Lançamentos!$J$3:$J$1001,MATCH($B354,Lançamentos!$B$3:$B$1001,0)),""))</f>
        <v/>
      </c>
      <c r="D354" s="140"/>
      <c r="E354" s="140"/>
      <c r="F354" s="140"/>
      <c r="G354" s="140"/>
      <c r="H354" s="140"/>
      <c r="I354" s="140"/>
      <c r="J354" s="140"/>
      <c r="K354" s="140"/>
      <c r="L354" s="140"/>
      <c r="M354" s="141" t="str">
        <f t="shared" si="6"/>
        <v/>
      </c>
      <c r="N354" s="142"/>
      <c r="O354" s="143"/>
    </row>
    <row r="355" spans="2:15" x14ac:dyDescent="0.35">
      <c r="B355" s="138" t="str">
        <f>IF(Lançamentos!$B350="","",Lançamentos!$B350)</f>
        <v/>
      </c>
      <c r="C355" s="139" t="str">
        <f>IF($B355="","",IFERROR(INDEX(Lançamentos!$J$3:$J$1001,MATCH($B355,Lançamentos!$B$3:$B$1001,0)),""))</f>
        <v/>
      </c>
      <c r="D355" s="140"/>
      <c r="E355" s="140"/>
      <c r="F355" s="140"/>
      <c r="G355" s="140"/>
      <c r="H355" s="140"/>
      <c r="I355" s="140"/>
      <c r="J355" s="140"/>
      <c r="K355" s="140"/>
      <c r="L355" s="140"/>
      <c r="M355" s="141" t="str">
        <f t="shared" si="6"/>
        <v/>
      </c>
      <c r="N355" s="142"/>
      <c r="O355" s="143"/>
    </row>
    <row r="356" spans="2:15" x14ac:dyDescent="0.35">
      <c r="B356" s="138" t="str">
        <f>IF(Lançamentos!$B351="","",Lançamentos!$B351)</f>
        <v/>
      </c>
      <c r="C356" s="139" t="str">
        <f>IF($B356="","",IFERROR(INDEX(Lançamentos!$J$3:$J$1001,MATCH($B356,Lançamentos!$B$3:$B$1001,0)),""))</f>
        <v/>
      </c>
      <c r="D356" s="140"/>
      <c r="E356" s="140"/>
      <c r="F356" s="140"/>
      <c r="G356" s="140"/>
      <c r="H356" s="140"/>
      <c r="I356" s="140"/>
      <c r="J356" s="140"/>
      <c r="K356" s="140"/>
      <c r="L356" s="140"/>
      <c r="M356" s="141" t="str">
        <f t="shared" si="6"/>
        <v/>
      </c>
      <c r="N356" s="142"/>
      <c r="O356" s="143"/>
    </row>
    <row r="357" spans="2:15" x14ac:dyDescent="0.35">
      <c r="B357" s="138" t="str">
        <f>IF(Lançamentos!$B352="","",Lançamentos!$B352)</f>
        <v/>
      </c>
      <c r="C357" s="139" t="str">
        <f>IF($B357="","",IFERROR(INDEX(Lançamentos!$J$3:$J$1001,MATCH($B357,Lançamentos!$B$3:$B$1001,0)),""))</f>
        <v/>
      </c>
      <c r="D357" s="140"/>
      <c r="E357" s="140"/>
      <c r="F357" s="140"/>
      <c r="G357" s="140"/>
      <c r="H357" s="140"/>
      <c r="I357" s="140"/>
      <c r="J357" s="140"/>
      <c r="K357" s="140"/>
      <c r="L357" s="140"/>
      <c r="M357" s="141" t="str">
        <f t="shared" si="6"/>
        <v/>
      </c>
      <c r="N357" s="142"/>
      <c r="O357" s="143"/>
    </row>
    <row r="358" spans="2:15" x14ac:dyDescent="0.35">
      <c r="B358" s="138" t="str">
        <f>IF(Lançamentos!$B353="","",Lançamentos!$B353)</f>
        <v/>
      </c>
      <c r="C358" s="139" t="str">
        <f>IF($B358="","",IFERROR(INDEX(Lançamentos!$J$3:$J$1001,MATCH($B358,Lançamentos!$B$3:$B$1001,0)),""))</f>
        <v/>
      </c>
      <c r="D358" s="140"/>
      <c r="E358" s="140"/>
      <c r="F358" s="140"/>
      <c r="G358" s="140"/>
      <c r="H358" s="140"/>
      <c r="I358" s="140"/>
      <c r="J358" s="140"/>
      <c r="K358" s="140"/>
      <c r="L358" s="140"/>
      <c r="M358" s="141" t="str">
        <f t="shared" si="6"/>
        <v/>
      </c>
      <c r="N358" s="142"/>
      <c r="O358" s="143"/>
    </row>
    <row r="359" spans="2:15" x14ac:dyDescent="0.35">
      <c r="B359" s="138" t="str">
        <f>IF(Lançamentos!$B354="","",Lançamentos!$B354)</f>
        <v/>
      </c>
      <c r="C359" s="139" t="str">
        <f>IF($B359="","",IFERROR(INDEX(Lançamentos!$J$3:$J$1001,MATCH($B359,Lançamentos!$B$3:$B$1001,0)),""))</f>
        <v/>
      </c>
      <c r="D359" s="140"/>
      <c r="E359" s="140"/>
      <c r="F359" s="140"/>
      <c r="G359" s="140"/>
      <c r="H359" s="140"/>
      <c r="I359" s="140"/>
      <c r="J359" s="140"/>
      <c r="K359" s="140"/>
      <c r="L359" s="140"/>
      <c r="M359" s="141" t="str">
        <f t="shared" si="6"/>
        <v/>
      </c>
      <c r="N359" s="142"/>
      <c r="O359" s="143"/>
    </row>
    <row r="360" spans="2:15" x14ac:dyDescent="0.35">
      <c r="B360" s="138" t="str">
        <f>IF(Lançamentos!$B355="","",Lançamentos!$B355)</f>
        <v/>
      </c>
      <c r="C360" s="139" t="str">
        <f>IF($B360="","",IFERROR(INDEX(Lançamentos!$J$3:$J$1001,MATCH($B360,Lançamentos!$B$3:$B$1001,0)),""))</f>
        <v/>
      </c>
      <c r="D360" s="140"/>
      <c r="E360" s="140"/>
      <c r="F360" s="140"/>
      <c r="G360" s="140"/>
      <c r="H360" s="140"/>
      <c r="I360" s="140"/>
      <c r="J360" s="140"/>
      <c r="K360" s="140"/>
      <c r="L360" s="140"/>
      <c r="M360" s="141" t="str">
        <f t="shared" si="6"/>
        <v/>
      </c>
      <c r="N360" s="142"/>
      <c r="O360" s="143"/>
    </row>
    <row r="361" spans="2:15" x14ac:dyDescent="0.35">
      <c r="B361" s="138" t="str">
        <f>IF(Lançamentos!$B356="","",Lançamentos!$B356)</f>
        <v/>
      </c>
      <c r="C361" s="139" t="str">
        <f>IF($B361="","",IFERROR(INDEX(Lançamentos!$J$3:$J$1001,MATCH($B361,Lançamentos!$B$3:$B$1001,0)),""))</f>
        <v/>
      </c>
      <c r="D361" s="140"/>
      <c r="E361" s="140"/>
      <c r="F361" s="140"/>
      <c r="G361" s="140"/>
      <c r="H361" s="140"/>
      <c r="I361" s="140"/>
      <c r="J361" s="140"/>
      <c r="K361" s="140"/>
      <c r="L361" s="140"/>
      <c r="M361" s="141" t="str">
        <f t="shared" si="6"/>
        <v/>
      </c>
      <c r="N361" s="142"/>
      <c r="O361" s="143"/>
    </row>
    <row r="362" spans="2:15" x14ac:dyDescent="0.35">
      <c r="B362" s="138" t="str">
        <f>IF(Lançamentos!$B357="","",Lançamentos!$B357)</f>
        <v/>
      </c>
      <c r="C362" s="139" t="str">
        <f>IF($B362="","",IFERROR(INDEX(Lançamentos!$J$3:$J$1001,MATCH($B362,Lançamentos!$B$3:$B$1001,0)),""))</f>
        <v/>
      </c>
      <c r="D362" s="140"/>
      <c r="E362" s="140"/>
      <c r="F362" s="140"/>
      <c r="G362" s="140"/>
      <c r="H362" s="140"/>
      <c r="I362" s="140"/>
      <c r="J362" s="140"/>
      <c r="K362" s="140"/>
      <c r="L362" s="140"/>
      <c r="M362" s="141" t="str">
        <f t="shared" si="6"/>
        <v/>
      </c>
      <c r="N362" s="142"/>
      <c r="O362" s="143"/>
    </row>
    <row r="363" spans="2:15" x14ac:dyDescent="0.35">
      <c r="B363" s="138" t="str">
        <f>IF(Lançamentos!$B358="","",Lançamentos!$B358)</f>
        <v/>
      </c>
      <c r="C363" s="139" t="str">
        <f>IF($B363="","",IFERROR(INDEX(Lançamentos!$J$3:$J$1001,MATCH($B363,Lançamentos!$B$3:$B$1001,0)),""))</f>
        <v/>
      </c>
      <c r="D363" s="140"/>
      <c r="E363" s="140"/>
      <c r="F363" s="140"/>
      <c r="G363" s="140"/>
      <c r="H363" s="140"/>
      <c r="I363" s="140"/>
      <c r="J363" s="140"/>
      <c r="K363" s="140"/>
      <c r="L363" s="140"/>
      <c r="M363" s="141" t="str">
        <f t="shared" si="6"/>
        <v/>
      </c>
      <c r="N363" s="142"/>
      <c r="O363" s="143"/>
    </row>
    <row r="364" spans="2:15" x14ac:dyDescent="0.35">
      <c r="B364" s="138" t="str">
        <f>IF(Lançamentos!$B359="","",Lançamentos!$B359)</f>
        <v/>
      </c>
      <c r="C364" s="139" t="str">
        <f>IF($B364="","",IFERROR(INDEX(Lançamentos!$J$3:$J$1001,MATCH($B364,Lançamentos!$B$3:$B$1001,0)),""))</f>
        <v/>
      </c>
      <c r="D364" s="140"/>
      <c r="E364" s="140"/>
      <c r="F364" s="140"/>
      <c r="G364" s="140"/>
      <c r="H364" s="140"/>
      <c r="I364" s="140"/>
      <c r="J364" s="140"/>
      <c r="K364" s="140"/>
      <c r="L364" s="140"/>
      <c r="M364" s="141" t="str">
        <f t="shared" si="6"/>
        <v/>
      </c>
      <c r="N364" s="142"/>
      <c r="O364" s="143"/>
    </row>
    <row r="365" spans="2:15" x14ac:dyDescent="0.35">
      <c r="B365" s="138" t="str">
        <f>IF(Lançamentos!$B360="","",Lançamentos!$B360)</f>
        <v/>
      </c>
      <c r="C365" s="139" t="str">
        <f>IF($B365="","",IFERROR(INDEX(Lançamentos!$J$3:$J$1001,MATCH($B365,Lançamentos!$B$3:$B$1001,0)),""))</f>
        <v/>
      </c>
      <c r="D365" s="140"/>
      <c r="E365" s="140"/>
      <c r="F365" s="140"/>
      <c r="G365" s="140"/>
      <c r="H365" s="140"/>
      <c r="I365" s="140"/>
      <c r="J365" s="140"/>
      <c r="K365" s="140"/>
      <c r="L365" s="140"/>
      <c r="M365" s="141" t="str">
        <f t="shared" si="6"/>
        <v/>
      </c>
      <c r="N365" s="142"/>
      <c r="O365" s="143"/>
    </row>
    <row r="366" spans="2:15" x14ac:dyDescent="0.35">
      <c r="B366" s="138" t="str">
        <f>IF(Lançamentos!$B361="","",Lançamentos!$B361)</f>
        <v/>
      </c>
      <c r="C366" s="139" t="str">
        <f>IF($B366="","",IFERROR(INDEX(Lançamentos!$J$3:$J$1001,MATCH($B366,Lançamentos!$B$3:$B$1001,0)),""))</f>
        <v/>
      </c>
      <c r="D366" s="140"/>
      <c r="E366" s="140"/>
      <c r="F366" s="140"/>
      <c r="G366" s="140"/>
      <c r="H366" s="140"/>
      <c r="I366" s="140"/>
      <c r="J366" s="140"/>
      <c r="K366" s="140"/>
      <c r="L366" s="140"/>
      <c r="M366" s="141" t="str">
        <f t="shared" si="6"/>
        <v/>
      </c>
      <c r="N366" s="142"/>
      <c r="O366" s="143"/>
    </row>
    <row r="367" spans="2:15" x14ac:dyDescent="0.35">
      <c r="B367" s="138" t="str">
        <f>IF(Lançamentos!$B362="","",Lançamentos!$B362)</f>
        <v/>
      </c>
      <c r="C367" s="139" t="str">
        <f>IF($B367="","",IFERROR(INDEX(Lançamentos!$J$3:$J$1001,MATCH($B367,Lançamentos!$B$3:$B$1001,0)),""))</f>
        <v/>
      </c>
      <c r="D367" s="140"/>
      <c r="E367" s="140"/>
      <c r="F367" s="140"/>
      <c r="G367" s="140"/>
      <c r="H367" s="140"/>
      <c r="I367" s="140"/>
      <c r="J367" s="140"/>
      <c r="K367" s="140"/>
      <c r="L367" s="140"/>
      <c r="M367" s="141" t="str">
        <f t="shared" si="6"/>
        <v/>
      </c>
      <c r="N367" s="142"/>
      <c r="O367" s="143"/>
    </row>
    <row r="368" spans="2:15" x14ac:dyDescent="0.35">
      <c r="B368" s="138" t="str">
        <f>IF(Lançamentos!$B363="","",Lançamentos!$B363)</f>
        <v/>
      </c>
      <c r="C368" s="139" t="str">
        <f>IF($B368="","",IFERROR(INDEX(Lançamentos!$J$3:$J$1001,MATCH($B368,Lançamentos!$B$3:$B$1001,0)),""))</f>
        <v/>
      </c>
      <c r="D368" s="140"/>
      <c r="E368" s="140"/>
      <c r="F368" s="140"/>
      <c r="G368" s="140"/>
      <c r="H368" s="140"/>
      <c r="I368" s="140"/>
      <c r="J368" s="140"/>
      <c r="K368" s="140"/>
      <c r="L368" s="140"/>
      <c r="M368" s="141" t="str">
        <f t="shared" si="6"/>
        <v/>
      </c>
      <c r="N368" s="142"/>
      <c r="O368" s="143"/>
    </row>
    <row r="369" spans="2:15" x14ac:dyDescent="0.35">
      <c r="B369" s="138" t="str">
        <f>IF(Lançamentos!$B364="","",Lançamentos!$B364)</f>
        <v/>
      </c>
      <c r="C369" s="139" t="str">
        <f>IF($B369="","",IFERROR(INDEX(Lançamentos!$J$3:$J$1001,MATCH($B369,Lançamentos!$B$3:$B$1001,0)),""))</f>
        <v/>
      </c>
      <c r="D369" s="140"/>
      <c r="E369" s="140"/>
      <c r="F369" s="140"/>
      <c r="G369" s="140"/>
      <c r="H369" s="140"/>
      <c r="I369" s="140"/>
      <c r="J369" s="140"/>
      <c r="K369" s="140"/>
      <c r="L369" s="140"/>
      <c r="M369" s="141" t="str">
        <f t="shared" si="6"/>
        <v/>
      </c>
      <c r="N369" s="142"/>
      <c r="O369" s="143"/>
    </row>
    <row r="370" spans="2:15" x14ac:dyDescent="0.35">
      <c r="B370" s="138" t="str">
        <f>IF(Lançamentos!$B365="","",Lançamentos!$B365)</f>
        <v/>
      </c>
      <c r="C370" s="139" t="str">
        <f>IF($B370="","",IFERROR(INDEX(Lançamentos!$J$3:$J$1001,MATCH($B370,Lançamentos!$B$3:$B$1001,0)),""))</f>
        <v/>
      </c>
      <c r="D370" s="140"/>
      <c r="E370" s="140"/>
      <c r="F370" s="140"/>
      <c r="G370" s="140"/>
      <c r="H370" s="140"/>
      <c r="I370" s="140"/>
      <c r="J370" s="140"/>
      <c r="K370" s="140"/>
      <c r="L370" s="140"/>
      <c r="M370" s="141" t="str">
        <f t="shared" si="6"/>
        <v/>
      </c>
      <c r="N370" s="142"/>
      <c r="O370" s="143"/>
    </row>
    <row r="371" spans="2:15" x14ac:dyDescent="0.35">
      <c r="B371" s="138" t="str">
        <f>IF(Lançamentos!$B366="","",Lançamentos!$B366)</f>
        <v/>
      </c>
      <c r="C371" s="139" t="str">
        <f>IF($B371="","",IFERROR(INDEX(Lançamentos!$J$3:$J$1001,MATCH($B371,Lançamentos!$B$3:$B$1001,0)),""))</f>
        <v/>
      </c>
      <c r="D371" s="140"/>
      <c r="E371" s="140"/>
      <c r="F371" s="140"/>
      <c r="G371" s="140"/>
      <c r="H371" s="140"/>
      <c r="I371" s="140"/>
      <c r="J371" s="140"/>
      <c r="K371" s="140"/>
      <c r="L371" s="140"/>
      <c r="M371" s="141" t="str">
        <f t="shared" si="6"/>
        <v/>
      </c>
      <c r="N371" s="142"/>
      <c r="O371" s="143"/>
    </row>
    <row r="372" spans="2:15" x14ac:dyDescent="0.35">
      <c r="B372" s="138" t="str">
        <f>IF(Lançamentos!$B367="","",Lançamentos!$B367)</f>
        <v/>
      </c>
      <c r="C372" s="139" t="str">
        <f>IF($B372="","",IFERROR(INDEX(Lançamentos!$J$3:$J$1001,MATCH($B372,Lançamentos!$B$3:$B$1001,0)),""))</f>
        <v/>
      </c>
      <c r="D372" s="140"/>
      <c r="E372" s="140"/>
      <c r="F372" s="140"/>
      <c r="G372" s="140"/>
      <c r="H372" s="140"/>
      <c r="I372" s="140"/>
      <c r="J372" s="140"/>
      <c r="K372" s="140"/>
      <c r="L372" s="140"/>
      <c r="M372" s="141" t="str">
        <f t="shared" si="6"/>
        <v/>
      </c>
      <c r="N372" s="142"/>
      <c r="O372" s="143"/>
    </row>
    <row r="373" spans="2:15" x14ac:dyDescent="0.35">
      <c r="B373" s="138" t="str">
        <f>IF(Lançamentos!$B368="","",Lançamentos!$B368)</f>
        <v/>
      </c>
      <c r="C373" s="139" t="str">
        <f>IF($B373="","",IFERROR(INDEX(Lançamentos!$J$3:$J$1001,MATCH($B373,Lançamentos!$B$3:$B$1001,0)),""))</f>
        <v/>
      </c>
      <c r="D373" s="140"/>
      <c r="E373" s="140"/>
      <c r="F373" s="140"/>
      <c r="G373" s="140"/>
      <c r="H373" s="140"/>
      <c r="I373" s="140"/>
      <c r="J373" s="140"/>
      <c r="K373" s="140"/>
      <c r="L373" s="140"/>
      <c r="M373" s="141" t="str">
        <f t="shared" si="6"/>
        <v/>
      </c>
      <c r="N373" s="142"/>
      <c r="O373" s="143"/>
    </row>
    <row r="374" spans="2:15" x14ac:dyDescent="0.35">
      <c r="B374" s="138" t="str">
        <f>IF(Lançamentos!$B369="","",Lançamentos!$B369)</f>
        <v/>
      </c>
      <c r="C374" s="139" t="str">
        <f>IF($B374="","",IFERROR(INDEX(Lançamentos!$J$3:$J$1001,MATCH($B374,Lançamentos!$B$3:$B$1001,0)),""))</f>
        <v/>
      </c>
      <c r="D374" s="140"/>
      <c r="E374" s="140"/>
      <c r="F374" s="140"/>
      <c r="G374" s="140"/>
      <c r="H374" s="140"/>
      <c r="I374" s="140"/>
      <c r="J374" s="140"/>
      <c r="K374" s="140"/>
      <c r="L374" s="140"/>
      <c r="M374" s="141" t="str">
        <f t="shared" si="6"/>
        <v/>
      </c>
      <c r="N374" s="142"/>
      <c r="O374" s="143"/>
    </row>
    <row r="375" spans="2:15" x14ac:dyDescent="0.35">
      <c r="B375" s="138" t="str">
        <f>IF(Lançamentos!$B370="","",Lançamentos!$B370)</f>
        <v/>
      </c>
      <c r="C375" s="139" t="str">
        <f>IF($B375="","",IFERROR(INDEX(Lançamentos!$J$3:$J$1001,MATCH($B375,Lançamentos!$B$3:$B$1001,0)),""))</f>
        <v/>
      </c>
      <c r="D375" s="140"/>
      <c r="E375" s="140"/>
      <c r="F375" s="140"/>
      <c r="G375" s="140"/>
      <c r="H375" s="140"/>
      <c r="I375" s="140"/>
      <c r="J375" s="140"/>
      <c r="K375" s="140"/>
      <c r="L375" s="140"/>
      <c r="M375" s="141" t="str">
        <f t="shared" si="6"/>
        <v/>
      </c>
      <c r="N375" s="142"/>
      <c r="O375" s="143"/>
    </row>
    <row r="376" spans="2:15" x14ac:dyDescent="0.35">
      <c r="B376" s="138" t="str">
        <f>IF(Lançamentos!$B371="","",Lançamentos!$B371)</f>
        <v/>
      </c>
      <c r="C376" s="139" t="str">
        <f>IF($B376="","",IFERROR(INDEX(Lançamentos!$J$3:$J$1001,MATCH($B376,Lançamentos!$B$3:$B$1001,0)),""))</f>
        <v/>
      </c>
      <c r="D376" s="140"/>
      <c r="E376" s="140"/>
      <c r="F376" s="140"/>
      <c r="G376" s="140"/>
      <c r="H376" s="140"/>
      <c r="I376" s="140"/>
      <c r="J376" s="140"/>
      <c r="K376" s="140"/>
      <c r="L376" s="140"/>
      <c r="M376" s="141" t="str">
        <f t="shared" si="6"/>
        <v/>
      </c>
      <c r="N376" s="142"/>
      <c r="O376" s="143"/>
    </row>
    <row r="377" spans="2:15" x14ac:dyDescent="0.35">
      <c r="B377" s="138" t="str">
        <f>IF(Lançamentos!$B372="","",Lançamentos!$B372)</f>
        <v/>
      </c>
      <c r="C377" s="139" t="str">
        <f>IF($B377="","",IFERROR(INDEX(Lançamentos!$J$3:$J$1001,MATCH($B377,Lançamentos!$B$3:$B$1001,0)),""))</f>
        <v/>
      </c>
      <c r="D377" s="140"/>
      <c r="E377" s="140"/>
      <c r="F377" s="140"/>
      <c r="G377" s="140"/>
      <c r="H377" s="140"/>
      <c r="I377" s="140"/>
      <c r="J377" s="140"/>
      <c r="K377" s="140"/>
      <c r="L377" s="140"/>
      <c r="M377" s="141" t="str">
        <f t="shared" si="6"/>
        <v/>
      </c>
      <c r="N377" s="142"/>
      <c r="O377" s="143"/>
    </row>
    <row r="378" spans="2:15" x14ac:dyDescent="0.35">
      <c r="B378" s="138" t="str">
        <f>IF(Lançamentos!$B373="","",Lançamentos!$B373)</f>
        <v/>
      </c>
      <c r="C378" s="139" t="str">
        <f>IF($B378="","",IFERROR(INDEX(Lançamentos!$J$3:$J$1001,MATCH($B378,Lançamentos!$B$3:$B$1001,0)),""))</f>
        <v/>
      </c>
      <c r="D378" s="140"/>
      <c r="E378" s="140"/>
      <c r="F378" s="140"/>
      <c r="G378" s="140"/>
      <c r="H378" s="140"/>
      <c r="I378" s="140"/>
      <c r="J378" s="140"/>
      <c r="K378" s="140"/>
      <c r="L378" s="140"/>
      <c r="M378" s="141" t="str">
        <f t="shared" si="6"/>
        <v/>
      </c>
      <c r="N378" s="142"/>
      <c r="O378" s="143"/>
    </row>
    <row r="379" spans="2:15" x14ac:dyDescent="0.35">
      <c r="B379" s="138" t="str">
        <f>IF(Lançamentos!$B374="","",Lançamentos!$B374)</f>
        <v/>
      </c>
      <c r="C379" s="139" t="str">
        <f>IF($B379="","",IFERROR(INDEX(Lançamentos!$J$3:$J$1001,MATCH($B379,Lançamentos!$B$3:$B$1001,0)),""))</f>
        <v/>
      </c>
      <c r="D379" s="140"/>
      <c r="E379" s="140"/>
      <c r="F379" s="140"/>
      <c r="G379" s="140"/>
      <c r="H379" s="140"/>
      <c r="I379" s="140"/>
      <c r="J379" s="140"/>
      <c r="K379" s="140"/>
      <c r="L379" s="140"/>
      <c r="M379" s="141" t="str">
        <f t="shared" si="6"/>
        <v/>
      </c>
      <c r="N379" s="142"/>
      <c r="O379" s="143"/>
    </row>
    <row r="380" spans="2:15" x14ac:dyDescent="0.35">
      <c r="B380" s="138" t="str">
        <f>IF(Lançamentos!$B375="","",Lançamentos!$B375)</f>
        <v/>
      </c>
      <c r="C380" s="139" t="str">
        <f>IF($B380="","",IFERROR(INDEX(Lançamentos!$J$3:$J$1001,MATCH($B380,Lançamentos!$B$3:$B$1001,0)),""))</f>
        <v/>
      </c>
      <c r="D380" s="140"/>
      <c r="E380" s="140"/>
      <c r="F380" s="140"/>
      <c r="G380" s="140"/>
      <c r="H380" s="140"/>
      <c r="I380" s="140"/>
      <c r="J380" s="140"/>
      <c r="K380" s="140"/>
      <c r="L380" s="140"/>
      <c r="M380" s="141" t="str">
        <f t="shared" si="6"/>
        <v/>
      </c>
      <c r="N380" s="142"/>
      <c r="O380" s="143"/>
    </row>
    <row r="381" spans="2:15" x14ac:dyDescent="0.35">
      <c r="B381" s="138" t="str">
        <f>IF(Lançamentos!$B376="","",Lançamentos!$B376)</f>
        <v/>
      </c>
      <c r="C381" s="139" t="str">
        <f>IF($B381="","",IFERROR(INDEX(Lançamentos!$J$3:$J$1001,MATCH($B381,Lançamentos!$B$3:$B$1001,0)),""))</f>
        <v/>
      </c>
      <c r="D381" s="140"/>
      <c r="E381" s="140"/>
      <c r="F381" s="140"/>
      <c r="G381" s="140"/>
      <c r="H381" s="140"/>
      <c r="I381" s="140"/>
      <c r="J381" s="140"/>
      <c r="K381" s="140"/>
      <c r="L381" s="140"/>
      <c r="M381" s="141" t="str">
        <f t="shared" si="6"/>
        <v/>
      </c>
      <c r="N381" s="142"/>
      <c r="O381" s="143"/>
    </row>
    <row r="382" spans="2:15" x14ac:dyDescent="0.35">
      <c r="B382" s="138" t="str">
        <f>IF(Lançamentos!$B377="","",Lançamentos!$B377)</f>
        <v/>
      </c>
      <c r="C382" s="139" t="str">
        <f>IF($B382="","",IFERROR(INDEX(Lançamentos!$J$3:$J$1001,MATCH($B382,Lançamentos!$B$3:$B$1001,0)),""))</f>
        <v/>
      </c>
      <c r="D382" s="140"/>
      <c r="E382" s="140"/>
      <c r="F382" s="140"/>
      <c r="G382" s="140"/>
      <c r="H382" s="140"/>
      <c r="I382" s="140"/>
      <c r="J382" s="140"/>
      <c r="K382" s="140"/>
      <c r="L382" s="140"/>
      <c r="M382" s="141" t="str">
        <f t="shared" si="6"/>
        <v/>
      </c>
      <c r="N382" s="142"/>
      <c r="O382" s="143"/>
    </row>
    <row r="383" spans="2:15" x14ac:dyDescent="0.35">
      <c r="B383" s="138" t="str">
        <f>IF(Lançamentos!$B378="","",Lançamentos!$B378)</f>
        <v/>
      </c>
      <c r="C383" s="139" t="str">
        <f>IF($B383="","",IFERROR(INDEX(Lançamentos!$J$3:$J$1001,MATCH($B383,Lançamentos!$B$3:$B$1001,0)),""))</f>
        <v/>
      </c>
      <c r="D383" s="140"/>
      <c r="E383" s="140"/>
      <c r="F383" s="140"/>
      <c r="G383" s="140"/>
      <c r="H383" s="140"/>
      <c r="I383" s="140"/>
      <c r="J383" s="140"/>
      <c r="K383" s="140"/>
      <c r="L383" s="140"/>
      <c r="M383" s="141" t="str">
        <f t="shared" si="6"/>
        <v/>
      </c>
      <c r="N383" s="142"/>
      <c r="O383" s="143"/>
    </row>
    <row r="384" spans="2:15" x14ac:dyDescent="0.35">
      <c r="B384" s="138" t="str">
        <f>IF(Lançamentos!$B379="","",Lançamentos!$B379)</f>
        <v/>
      </c>
      <c r="C384" s="139" t="str">
        <f>IF($B384="","",IFERROR(INDEX(Lançamentos!$J$3:$J$1001,MATCH($B384,Lançamentos!$B$3:$B$1001,0)),""))</f>
        <v/>
      </c>
      <c r="D384" s="140"/>
      <c r="E384" s="140"/>
      <c r="F384" s="140"/>
      <c r="G384" s="140"/>
      <c r="H384" s="140"/>
      <c r="I384" s="140"/>
      <c r="J384" s="140"/>
      <c r="K384" s="140"/>
      <c r="L384" s="140"/>
      <c r="M384" s="141" t="str">
        <f t="shared" si="6"/>
        <v/>
      </c>
      <c r="N384" s="142"/>
      <c r="O384" s="143"/>
    </row>
    <row r="385" spans="2:15" x14ac:dyDescent="0.35">
      <c r="B385" s="138" t="str">
        <f>IF(Lançamentos!$B380="","",Lançamentos!$B380)</f>
        <v/>
      </c>
      <c r="C385" s="139" t="str">
        <f>IF($B385="","",IFERROR(INDEX(Lançamentos!$J$3:$J$1001,MATCH($B385,Lançamentos!$B$3:$B$1001,0)),""))</f>
        <v/>
      </c>
      <c r="D385" s="140"/>
      <c r="E385" s="140"/>
      <c r="F385" s="140"/>
      <c r="G385" s="140"/>
      <c r="H385" s="140"/>
      <c r="I385" s="140"/>
      <c r="J385" s="140"/>
      <c r="K385" s="140"/>
      <c r="L385" s="140"/>
      <c r="M385" s="141" t="str">
        <f t="shared" si="6"/>
        <v/>
      </c>
      <c r="N385" s="142"/>
      <c r="O385" s="143"/>
    </row>
    <row r="386" spans="2:15" x14ac:dyDescent="0.35">
      <c r="B386" s="138" t="str">
        <f>IF(Lançamentos!$B381="","",Lançamentos!$B381)</f>
        <v/>
      </c>
      <c r="C386" s="139" t="str">
        <f>IF($B386="","",IFERROR(INDEX(Lançamentos!$J$3:$J$1001,MATCH($B386,Lançamentos!$B$3:$B$1001,0)),""))</f>
        <v/>
      </c>
      <c r="D386" s="140"/>
      <c r="E386" s="140"/>
      <c r="F386" s="140"/>
      <c r="G386" s="140"/>
      <c r="H386" s="140"/>
      <c r="I386" s="140"/>
      <c r="J386" s="140"/>
      <c r="K386" s="140"/>
      <c r="L386" s="140"/>
      <c r="M386" s="141" t="str">
        <f t="shared" si="6"/>
        <v/>
      </c>
      <c r="N386" s="142"/>
      <c r="O386" s="143"/>
    </row>
    <row r="387" spans="2:15" x14ac:dyDescent="0.35">
      <c r="B387" s="138" t="str">
        <f>IF(Lançamentos!$B382="","",Lançamentos!$B382)</f>
        <v/>
      </c>
      <c r="C387" s="139" t="str">
        <f>IF($B387="","",IFERROR(INDEX(Lançamentos!$J$3:$J$1001,MATCH($B387,Lançamentos!$B$3:$B$1001,0)),""))</f>
        <v/>
      </c>
      <c r="D387" s="140"/>
      <c r="E387" s="140"/>
      <c r="F387" s="140"/>
      <c r="G387" s="140"/>
      <c r="H387" s="140"/>
      <c r="I387" s="140"/>
      <c r="J387" s="140"/>
      <c r="K387" s="140"/>
      <c r="L387" s="140"/>
      <c r="M387" s="141" t="str">
        <f t="shared" si="6"/>
        <v/>
      </c>
      <c r="N387" s="142"/>
      <c r="O387" s="143"/>
    </row>
    <row r="388" spans="2:15" x14ac:dyDescent="0.35">
      <c r="B388" s="138" t="str">
        <f>IF(Lançamentos!$B383="","",Lançamentos!$B383)</f>
        <v/>
      </c>
      <c r="C388" s="139" t="str">
        <f>IF($B388="","",IFERROR(INDEX(Lançamentos!$J$3:$J$1001,MATCH($B388,Lançamentos!$B$3:$B$1001,0)),""))</f>
        <v/>
      </c>
      <c r="D388" s="140"/>
      <c r="E388" s="140"/>
      <c r="F388" s="140"/>
      <c r="G388" s="140"/>
      <c r="H388" s="140"/>
      <c r="I388" s="140"/>
      <c r="J388" s="140"/>
      <c r="K388" s="140"/>
      <c r="L388" s="140"/>
      <c r="M388" s="141" t="str">
        <f t="shared" si="6"/>
        <v/>
      </c>
      <c r="N388" s="142"/>
      <c r="O388" s="143"/>
    </row>
    <row r="389" spans="2:15" x14ac:dyDescent="0.35">
      <c r="B389" s="138" t="str">
        <f>IF(Lançamentos!$B384="","",Lançamentos!$B384)</f>
        <v/>
      </c>
      <c r="C389" s="139" t="str">
        <f>IF($B389="","",IFERROR(INDEX(Lançamentos!$J$3:$J$1001,MATCH($B389,Lançamentos!$B$3:$B$1001,0)),""))</f>
        <v/>
      </c>
      <c r="D389" s="140"/>
      <c r="E389" s="140"/>
      <c r="F389" s="140"/>
      <c r="G389" s="140"/>
      <c r="H389" s="140"/>
      <c r="I389" s="140"/>
      <c r="J389" s="140"/>
      <c r="K389" s="140"/>
      <c r="L389" s="140"/>
      <c r="M389" s="141" t="str">
        <f t="shared" si="6"/>
        <v/>
      </c>
      <c r="N389" s="142"/>
      <c r="O389" s="143"/>
    </row>
    <row r="390" spans="2:15" x14ac:dyDescent="0.35">
      <c r="B390" s="138" t="str">
        <f>IF(Lançamentos!$B385="","",Lançamentos!$B385)</f>
        <v/>
      </c>
      <c r="C390" s="139" t="str">
        <f>IF($B390="","",IFERROR(INDEX(Lançamentos!$J$3:$J$1001,MATCH($B390,Lançamentos!$B$3:$B$1001,0)),""))</f>
        <v/>
      </c>
      <c r="D390" s="140"/>
      <c r="E390" s="140"/>
      <c r="F390" s="140"/>
      <c r="G390" s="140"/>
      <c r="H390" s="140"/>
      <c r="I390" s="140"/>
      <c r="J390" s="140"/>
      <c r="K390" s="140"/>
      <c r="L390" s="140"/>
      <c r="M390" s="141" t="str">
        <f t="shared" si="6"/>
        <v/>
      </c>
      <c r="N390" s="142"/>
      <c r="O390" s="143"/>
    </row>
    <row r="391" spans="2:15" x14ac:dyDescent="0.35">
      <c r="B391" s="138" t="str">
        <f>IF(Lançamentos!$B386="","",Lançamentos!$B386)</f>
        <v/>
      </c>
      <c r="C391" s="139" t="str">
        <f>IF($B391="","",IFERROR(INDEX(Lançamentos!$J$3:$J$1001,MATCH($B391,Lançamentos!$B$3:$B$1001,0)),""))</f>
        <v/>
      </c>
      <c r="D391" s="140"/>
      <c r="E391" s="140"/>
      <c r="F391" s="140"/>
      <c r="G391" s="140"/>
      <c r="H391" s="140"/>
      <c r="I391" s="140"/>
      <c r="J391" s="140"/>
      <c r="K391" s="140"/>
      <c r="L391" s="140"/>
      <c r="M391" s="141" t="str">
        <f t="shared" si="6"/>
        <v/>
      </c>
      <c r="N391" s="142"/>
      <c r="O391" s="143"/>
    </row>
    <row r="392" spans="2:15" x14ac:dyDescent="0.35">
      <c r="B392" s="138" t="str">
        <f>IF(Lançamentos!$B387="","",Lançamentos!$B387)</f>
        <v/>
      </c>
      <c r="C392" s="139" t="str">
        <f>IF($B392="","",IFERROR(INDEX(Lançamentos!$J$3:$J$1001,MATCH($B392,Lançamentos!$B$3:$B$1001,0)),""))</f>
        <v/>
      </c>
      <c r="D392" s="140"/>
      <c r="E392" s="140"/>
      <c r="F392" s="140"/>
      <c r="G392" s="140"/>
      <c r="H392" s="140"/>
      <c r="I392" s="140"/>
      <c r="J392" s="140"/>
      <c r="K392" s="140"/>
      <c r="L392" s="140"/>
      <c r="M392" s="141" t="str">
        <f t="shared" si="6"/>
        <v/>
      </c>
      <c r="N392" s="142"/>
      <c r="O392" s="143"/>
    </row>
    <row r="393" spans="2:15" x14ac:dyDescent="0.35">
      <c r="B393" s="138" t="str">
        <f>IF(Lançamentos!$B388="","",Lançamentos!$B388)</f>
        <v/>
      </c>
      <c r="C393" s="139" t="str">
        <f>IF($B393="","",IFERROR(INDEX(Lançamentos!$J$3:$J$1001,MATCH($B393,Lançamentos!$B$3:$B$1001,0)),""))</f>
        <v/>
      </c>
      <c r="D393" s="140"/>
      <c r="E393" s="140"/>
      <c r="F393" s="140"/>
      <c r="G393" s="140"/>
      <c r="H393" s="140"/>
      <c r="I393" s="140"/>
      <c r="J393" s="140"/>
      <c r="K393" s="140"/>
      <c r="L393" s="140"/>
      <c r="M393" s="141" t="str">
        <f t="shared" si="6"/>
        <v/>
      </c>
      <c r="N393" s="142"/>
      <c r="O393" s="143"/>
    </row>
    <row r="394" spans="2:15" x14ac:dyDescent="0.35">
      <c r="B394" s="138" t="str">
        <f>IF(Lançamentos!$B389="","",Lançamentos!$B389)</f>
        <v/>
      </c>
      <c r="C394" s="139" t="str">
        <f>IF($B394="","",IFERROR(INDEX(Lançamentos!$J$3:$J$1001,MATCH($B394,Lançamentos!$B$3:$B$1001,0)),""))</f>
        <v/>
      </c>
      <c r="D394" s="140"/>
      <c r="E394" s="140"/>
      <c r="F394" s="140"/>
      <c r="G394" s="140"/>
      <c r="H394" s="140"/>
      <c r="I394" s="140"/>
      <c r="J394" s="140"/>
      <c r="K394" s="140"/>
      <c r="L394" s="140"/>
      <c r="M394" s="141" t="str">
        <f t="shared" si="6"/>
        <v/>
      </c>
      <c r="N394" s="142"/>
      <c r="O394" s="143"/>
    </row>
    <row r="395" spans="2:15" x14ac:dyDescent="0.35">
      <c r="B395" s="138" t="str">
        <f>IF(Lançamentos!$B390="","",Lançamentos!$B390)</f>
        <v/>
      </c>
      <c r="C395" s="139" t="str">
        <f>IF($B395="","",IFERROR(INDEX(Lançamentos!$J$3:$J$1001,MATCH($B395,Lançamentos!$B$3:$B$1001,0)),""))</f>
        <v/>
      </c>
      <c r="D395" s="140"/>
      <c r="E395" s="140"/>
      <c r="F395" s="140"/>
      <c r="G395" s="140"/>
      <c r="H395" s="140"/>
      <c r="I395" s="140"/>
      <c r="J395" s="140"/>
      <c r="K395" s="140"/>
      <c r="L395" s="140"/>
      <c r="M395" s="141" t="str">
        <f t="shared" si="6"/>
        <v/>
      </c>
      <c r="N395" s="142"/>
      <c r="O395" s="143"/>
    </row>
    <row r="396" spans="2:15" x14ac:dyDescent="0.35">
      <c r="B396" s="138" t="str">
        <f>IF(Lançamentos!$B391="","",Lançamentos!$B391)</f>
        <v/>
      </c>
      <c r="C396" s="139" t="str">
        <f>IF($B396="","",IFERROR(INDEX(Lançamentos!$J$3:$J$1001,MATCH($B396,Lançamentos!$B$3:$B$1001,0)),""))</f>
        <v/>
      </c>
      <c r="D396" s="140"/>
      <c r="E396" s="140"/>
      <c r="F396" s="140"/>
      <c r="G396" s="140"/>
      <c r="H396" s="140"/>
      <c r="I396" s="140"/>
      <c r="J396" s="140"/>
      <c r="K396" s="140"/>
      <c r="L396" s="140"/>
      <c r="M396" s="141" t="str">
        <f t="shared" si="6"/>
        <v/>
      </c>
      <c r="N396" s="142"/>
      <c r="O396" s="143"/>
    </row>
    <row r="397" spans="2:15" x14ac:dyDescent="0.35">
      <c r="B397" s="138" t="str">
        <f>IF(Lançamentos!$B392="","",Lançamentos!$B392)</f>
        <v/>
      </c>
      <c r="C397" s="139" t="str">
        <f>IF($B397="","",IFERROR(INDEX(Lançamentos!$J$3:$J$1001,MATCH($B397,Lançamentos!$B$3:$B$1001,0)),""))</f>
        <v/>
      </c>
      <c r="D397" s="140"/>
      <c r="E397" s="140"/>
      <c r="F397" s="140"/>
      <c r="G397" s="140"/>
      <c r="H397" s="140"/>
      <c r="I397" s="140"/>
      <c r="J397" s="140"/>
      <c r="K397" s="140"/>
      <c r="L397" s="140"/>
      <c r="M397" s="141" t="str">
        <f t="shared" si="6"/>
        <v/>
      </c>
      <c r="N397" s="142"/>
      <c r="O397" s="143"/>
    </row>
    <row r="398" spans="2:15" x14ac:dyDescent="0.35">
      <c r="B398" s="138" t="str">
        <f>IF(Lançamentos!$B393="","",Lançamentos!$B393)</f>
        <v/>
      </c>
      <c r="C398" s="139" t="str">
        <f>IF($B398="","",IFERROR(INDEX(Lançamentos!$J$3:$J$1001,MATCH($B398,Lançamentos!$B$3:$B$1001,0)),""))</f>
        <v/>
      </c>
      <c r="D398" s="140"/>
      <c r="E398" s="140"/>
      <c r="F398" s="140"/>
      <c r="G398" s="140"/>
      <c r="H398" s="140"/>
      <c r="I398" s="140"/>
      <c r="J398" s="140"/>
      <c r="K398" s="140"/>
      <c r="L398" s="140"/>
      <c r="M398" s="141" t="str">
        <f t="shared" si="6"/>
        <v/>
      </c>
      <c r="N398" s="142"/>
      <c r="O398" s="143"/>
    </row>
    <row r="399" spans="2:15" x14ac:dyDescent="0.35">
      <c r="B399" s="138" t="str">
        <f>IF(Lançamentos!$B394="","",Lançamentos!$B394)</f>
        <v/>
      </c>
      <c r="C399" s="139" t="str">
        <f>IF($B399="","",IFERROR(INDEX(Lançamentos!$J$3:$J$1001,MATCH($B399,Lançamentos!$B$3:$B$1001,0)),""))</f>
        <v/>
      </c>
      <c r="D399" s="140"/>
      <c r="E399" s="140"/>
      <c r="F399" s="140"/>
      <c r="G399" s="140"/>
      <c r="H399" s="140"/>
      <c r="I399" s="140"/>
      <c r="J399" s="140"/>
      <c r="K399" s="140"/>
      <c r="L399" s="140"/>
      <c r="M399" s="141" t="str">
        <f t="shared" si="6"/>
        <v/>
      </c>
      <c r="N399" s="142"/>
      <c r="O399" s="143"/>
    </row>
    <row r="400" spans="2:15" x14ac:dyDescent="0.35">
      <c r="B400" s="138" t="str">
        <f>IF(Lançamentos!$B395="","",Lançamentos!$B395)</f>
        <v/>
      </c>
      <c r="C400" s="139" t="str">
        <f>IF($B400="","",IFERROR(INDEX(Lançamentos!$J$3:$J$1001,MATCH($B400,Lançamentos!$B$3:$B$1001,0)),""))</f>
        <v/>
      </c>
      <c r="D400" s="140"/>
      <c r="E400" s="140"/>
      <c r="F400" s="140"/>
      <c r="G400" s="140"/>
      <c r="H400" s="140"/>
      <c r="I400" s="140"/>
      <c r="J400" s="140"/>
      <c r="K400" s="140"/>
      <c r="L400" s="140"/>
      <c r="M400" s="141" t="str">
        <f t="shared" ref="M400:M463" si="7">IF(B400="","",IF(COUNTIF(E400:L400,"N/A")=8,0,COUNTIF(E400:L400,"✔ Concluído")/(8-COUNTIF(E400:L400,"N/A"))))</f>
        <v/>
      </c>
      <c r="N400" s="142"/>
      <c r="O400" s="143"/>
    </row>
    <row r="401" spans="2:15" x14ac:dyDescent="0.35">
      <c r="B401" s="138" t="str">
        <f>IF(Lançamentos!$B396="","",Lançamentos!$B396)</f>
        <v/>
      </c>
      <c r="C401" s="139" t="str">
        <f>IF($B401="","",IFERROR(INDEX(Lançamentos!$J$3:$J$1001,MATCH($B401,Lançamentos!$B$3:$B$1001,0)),""))</f>
        <v/>
      </c>
      <c r="D401" s="140"/>
      <c r="E401" s="140"/>
      <c r="F401" s="140"/>
      <c r="G401" s="140"/>
      <c r="H401" s="140"/>
      <c r="I401" s="140"/>
      <c r="J401" s="140"/>
      <c r="K401" s="140"/>
      <c r="L401" s="140"/>
      <c r="M401" s="141" t="str">
        <f t="shared" si="7"/>
        <v/>
      </c>
      <c r="N401" s="142"/>
      <c r="O401" s="143"/>
    </row>
    <row r="402" spans="2:15" x14ac:dyDescent="0.35">
      <c r="B402" s="138" t="str">
        <f>IF(Lançamentos!$B397="","",Lançamentos!$B397)</f>
        <v/>
      </c>
      <c r="C402" s="139" t="str">
        <f>IF($B402="","",IFERROR(INDEX(Lançamentos!$J$3:$J$1001,MATCH($B402,Lançamentos!$B$3:$B$1001,0)),""))</f>
        <v/>
      </c>
      <c r="D402" s="140"/>
      <c r="E402" s="140"/>
      <c r="F402" s="140"/>
      <c r="G402" s="140"/>
      <c r="H402" s="140"/>
      <c r="I402" s="140"/>
      <c r="J402" s="140"/>
      <c r="K402" s="140"/>
      <c r="L402" s="140"/>
      <c r="M402" s="141" t="str">
        <f t="shared" si="7"/>
        <v/>
      </c>
      <c r="N402" s="142"/>
      <c r="O402" s="143"/>
    </row>
    <row r="403" spans="2:15" x14ac:dyDescent="0.35">
      <c r="B403" s="138" t="str">
        <f>IF(Lançamentos!$B398="","",Lançamentos!$B398)</f>
        <v/>
      </c>
      <c r="C403" s="139" t="str">
        <f>IF($B403="","",IFERROR(INDEX(Lançamentos!$J$3:$J$1001,MATCH($B403,Lançamentos!$B$3:$B$1001,0)),""))</f>
        <v/>
      </c>
      <c r="D403" s="140"/>
      <c r="E403" s="140"/>
      <c r="F403" s="140"/>
      <c r="G403" s="140"/>
      <c r="H403" s="140"/>
      <c r="I403" s="140"/>
      <c r="J403" s="140"/>
      <c r="K403" s="140"/>
      <c r="L403" s="140"/>
      <c r="M403" s="141" t="str">
        <f t="shared" si="7"/>
        <v/>
      </c>
      <c r="N403" s="142"/>
      <c r="O403" s="143"/>
    </row>
    <row r="404" spans="2:15" x14ac:dyDescent="0.35">
      <c r="B404" s="138" t="str">
        <f>IF(Lançamentos!$B399="","",Lançamentos!$B399)</f>
        <v/>
      </c>
      <c r="C404" s="139" t="str">
        <f>IF($B404="","",IFERROR(INDEX(Lançamentos!$J$3:$J$1001,MATCH($B404,Lançamentos!$B$3:$B$1001,0)),""))</f>
        <v/>
      </c>
      <c r="D404" s="140"/>
      <c r="E404" s="140"/>
      <c r="F404" s="140"/>
      <c r="G404" s="140"/>
      <c r="H404" s="140"/>
      <c r="I404" s="140"/>
      <c r="J404" s="140"/>
      <c r="K404" s="140"/>
      <c r="L404" s="140"/>
      <c r="M404" s="141" t="str">
        <f t="shared" si="7"/>
        <v/>
      </c>
      <c r="N404" s="142"/>
      <c r="O404" s="143"/>
    </row>
    <row r="405" spans="2:15" x14ac:dyDescent="0.35">
      <c r="B405" s="138" t="str">
        <f>IF(Lançamentos!$B400="","",Lançamentos!$B400)</f>
        <v/>
      </c>
      <c r="C405" s="139" t="str">
        <f>IF($B405="","",IFERROR(INDEX(Lançamentos!$J$3:$J$1001,MATCH($B405,Lançamentos!$B$3:$B$1001,0)),""))</f>
        <v/>
      </c>
      <c r="D405" s="140"/>
      <c r="E405" s="140"/>
      <c r="F405" s="140"/>
      <c r="G405" s="140"/>
      <c r="H405" s="140"/>
      <c r="I405" s="140"/>
      <c r="J405" s="140"/>
      <c r="K405" s="140"/>
      <c r="L405" s="140"/>
      <c r="M405" s="141" t="str">
        <f t="shared" si="7"/>
        <v/>
      </c>
      <c r="N405" s="142"/>
      <c r="O405" s="143"/>
    </row>
    <row r="406" spans="2:15" x14ac:dyDescent="0.35">
      <c r="B406" s="138" t="str">
        <f>IF(Lançamentos!$B401="","",Lançamentos!$B401)</f>
        <v/>
      </c>
      <c r="C406" s="139" t="str">
        <f>IF($B406="","",IFERROR(INDEX(Lançamentos!$J$3:$J$1001,MATCH($B406,Lançamentos!$B$3:$B$1001,0)),""))</f>
        <v/>
      </c>
      <c r="D406" s="140"/>
      <c r="E406" s="140"/>
      <c r="F406" s="140"/>
      <c r="G406" s="140"/>
      <c r="H406" s="140"/>
      <c r="I406" s="140"/>
      <c r="J406" s="140"/>
      <c r="K406" s="140"/>
      <c r="L406" s="140"/>
      <c r="M406" s="141" t="str">
        <f t="shared" si="7"/>
        <v/>
      </c>
      <c r="N406" s="142"/>
      <c r="O406" s="143"/>
    </row>
    <row r="407" spans="2:15" x14ac:dyDescent="0.35">
      <c r="B407" s="138" t="str">
        <f>IF(Lançamentos!$B402="","",Lançamentos!$B402)</f>
        <v/>
      </c>
      <c r="C407" s="139" t="str">
        <f>IF($B407="","",IFERROR(INDEX(Lançamentos!$J$3:$J$1001,MATCH($B407,Lançamentos!$B$3:$B$1001,0)),""))</f>
        <v/>
      </c>
      <c r="D407" s="140"/>
      <c r="E407" s="140"/>
      <c r="F407" s="140"/>
      <c r="G407" s="140"/>
      <c r="H407" s="140"/>
      <c r="I407" s="140"/>
      <c r="J407" s="140"/>
      <c r="K407" s="140"/>
      <c r="L407" s="140"/>
      <c r="M407" s="141" t="str">
        <f t="shared" si="7"/>
        <v/>
      </c>
      <c r="N407" s="142"/>
      <c r="O407" s="143"/>
    </row>
    <row r="408" spans="2:15" x14ac:dyDescent="0.35">
      <c r="B408" s="138" t="str">
        <f>IF(Lançamentos!$B403="","",Lançamentos!$B403)</f>
        <v/>
      </c>
      <c r="C408" s="139" t="str">
        <f>IF($B408="","",IFERROR(INDEX(Lançamentos!$J$3:$J$1001,MATCH($B408,Lançamentos!$B$3:$B$1001,0)),""))</f>
        <v/>
      </c>
      <c r="D408" s="140"/>
      <c r="E408" s="140"/>
      <c r="F408" s="140"/>
      <c r="G408" s="140"/>
      <c r="H408" s="140"/>
      <c r="I408" s="140"/>
      <c r="J408" s="140"/>
      <c r="K408" s="140"/>
      <c r="L408" s="140"/>
      <c r="M408" s="141" t="str">
        <f t="shared" si="7"/>
        <v/>
      </c>
      <c r="N408" s="142"/>
      <c r="O408" s="143"/>
    </row>
    <row r="409" spans="2:15" x14ac:dyDescent="0.35">
      <c r="B409" s="138" t="str">
        <f>IF(Lançamentos!$B404="","",Lançamentos!$B404)</f>
        <v/>
      </c>
      <c r="C409" s="139" t="str">
        <f>IF($B409="","",IFERROR(INDEX(Lançamentos!$J$3:$J$1001,MATCH($B409,Lançamentos!$B$3:$B$1001,0)),""))</f>
        <v/>
      </c>
      <c r="D409" s="140"/>
      <c r="E409" s="140"/>
      <c r="F409" s="140"/>
      <c r="G409" s="140"/>
      <c r="H409" s="140"/>
      <c r="I409" s="140"/>
      <c r="J409" s="140"/>
      <c r="K409" s="140"/>
      <c r="L409" s="140"/>
      <c r="M409" s="141" t="str">
        <f t="shared" si="7"/>
        <v/>
      </c>
      <c r="N409" s="142"/>
      <c r="O409" s="143"/>
    </row>
    <row r="410" spans="2:15" x14ac:dyDescent="0.35">
      <c r="B410" s="138" t="str">
        <f>IF(Lançamentos!$B405="","",Lançamentos!$B405)</f>
        <v/>
      </c>
      <c r="C410" s="139" t="str">
        <f>IF($B410="","",IFERROR(INDEX(Lançamentos!$J$3:$J$1001,MATCH($B410,Lançamentos!$B$3:$B$1001,0)),""))</f>
        <v/>
      </c>
      <c r="D410" s="140"/>
      <c r="E410" s="140"/>
      <c r="F410" s="140"/>
      <c r="G410" s="140"/>
      <c r="H410" s="140"/>
      <c r="I410" s="140"/>
      <c r="J410" s="140"/>
      <c r="K410" s="140"/>
      <c r="L410" s="140"/>
      <c r="M410" s="141" t="str">
        <f t="shared" si="7"/>
        <v/>
      </c>
      <c r="N410" s="142"/>
      <c r="O410" s="143"/>
    </row>
    <row r="411" spans="2:15" x14ac:dyDescent="0.35">
      <c r="B411" s="138" t="str">
        <f>IF(Lançamentos!$B406="","",Lançamentos!$B406)</f>
        <v/>
      </c>
      <c r="C411" s="139" t="str">
        <f>IF($B411="","",IFERROR(INDEX(Lançamentos!$J$3:$J$1001,MATCH($B411,Lançamentos!$B$3:$B$1001,0)),""))</f>
        <v/>
      </c>
      <c r="D411" s="140"/>
      <c r="E411" s="140"/>
      <c r="F411" s="140"/>
      <c r="G411" s="140"/>
      <c r="H411" s="140"/>
      <c r="I411" s="140"/>
      <c r="J411" s="140"/>
      <c r="K411" s="140"/>
      <c r="L411" s="140"/>
      <c r="M411" s="141" t="str">
        <f t="shared" si="7"/>
        <v/>
      </c>
      <c r="N411" s="142"/>
      <c r="O411" s="143"/>
    </row>
    <row r="412" spans="2:15" x14ac:dyDescent="0.35">
      <c r="B412" s="138" t="str">
        <f>IF(Lançamentos!$B407="","",Lançamentos!$B407)</f>
        <v/>
      </c>
      <c r="C412" s="139" t="str">
        <f>IF($B412="","",IFERROR(INDEX(Lançamentos!$J$3:$J$1001,MATCH($B412,Lançamentos!$B$3:$B$1001,0)),""))</f>
        <v/>
      </c>
      <c r="D412" s="140"/>
      <c r="E412" s="140"/>
      <c r="F412" s="140"/>
      <c r="G412" s="140"/>
      <c r="H412" s="140"/>
      <c r="I412" s="140"/>
      <c r="J412" s="140"/>
      <c r="K412" s="140"/>
      <c r="L412" s="140"/>
      <c r="M412" s="141" t="str">
        <f t="shared" si="7"/>
        <v/>
      </c>
      <c r="N412" s="142"/>
      <c r="O412" s="143"/>
    </row>
    <row r="413" spans="2:15" x14ac:dyDescent="0.35">
      <c r="B413" s="138" t="str">
        <f>IF(Lançamentos!$B408="","",Lançamentos!$B408)</f>
        <v/>
      </c>
      <c r="C413" s="139" t="str">
        <f>IF($B413="","",IFERROR(INDEX(Lançamentos!$J$3:$J$1001,MATCH($B413,Lançamentos!$B$3:$B$1001,0)),""))</f>
        <v/>
      </c>
      <c r="D413" s="140"/>
      <c r="E413" s="140"/>
      <c r="F413" s="140"/>
      <c r="G413" s="140"/>
      <c r="H413" s="140"/>
      <c r="I413" s="140"/>
      <c r="J413" s="140"/>
      <c r="K413" s="140"/>
      <c r="L413" s="140"/>
      <c r="M413" s="141" t="str">
        <f t="shared" si="7"/>
        <v/>
      </c>
      <c r="N413" s="142"/>
      <c r="O413" s="143"/>
    </row>
    <row r="414" spans="2:15" x14ac:dyDescent="0.35">
      <c r="B414" s="138" t="str">
        <f>IF(Lançamentos!$B409="","",Lançamentos!$B409)</f>
        <v/>
      </c>
      <c r="C414" s="139" t="str">
        <f>IF($B414="","",IFERROR(INDEX(Lançamentos!$J$3:$J$1001,MATCH($B414,Lançamentos!$B$3:$B$1001,0)),""))</f>
        <v/>
      </c>
      <c r="D414" s="140"/>
      <c r="E414" s="140"/>
      <c r="F414" s="140"/>
      <c r="G414" s="140"/>
      <c r="H414" s="140"/>
      <c r="I414" s="140"/>
      <c r="J414" s="140"/>
      <c r="K414" s="140"/>
      <c r="L414" s="140"/>
      <c r="M414" s="141" t="str">
        <f t="shared" si="7"/>
        <v/>
      </c>
      <c r="N414" s="142"/>
      <c r="O414" s="143"/>
    </row>
    <row r="415" spans="2:15" x14ac:dyDescent="0.35">
      <c r="B415" s="138" t="str">
        <f>IF(Lançamentos!$B410="","",Lançamentos!$B410)</f>
        <v/>
      </c>
      <c r="C415" s="139" t="str">
        <f>IF($B415="","",IFERROR(INDEX(Lançamentos!$J$3:$J$1001,MATCH($B415,Lançamentos!$B$3:$B$1001,0)),""))</f>
        <v/>
      </c>
      <c r="D415" s="140"/>
      <c r="E415" s="140"/>
      <c r="F415" s="140"/>
      <c r="G415" s="140"/>
      <c r="H415" s="140"/>
      <c r="I415" s="140"/>
      <c r="J415" s="140"/>
      <c r="K415" s="140"/>
      <c r="L415" s="140"/>
      <c r="M415" s="141" t="str">
        <f t="shared" si="7"/>
        <v/>
      </c>
      <c r="N415" s="142"/>
      <c r="O415" s="143"/>
    </row>
    <row r="416" spans="2:15" x14ac:dyDescent="0.35">
      <c r="B416" s="138" t="str">
        <f>IF(Lançamentos!$B411="","",Lançamentos!$B411)</f>
        <v/>
      </c>
      <c r="C416" s="139" t="str">
        <f>IF($B416="","",IFERROR(INDEX(Lançamentos!$J$3:$J$1001,MATCH($B416,Lançamentos!$B$3:$B$1001,0)),""))</f>
        <v/>
      </c>
      <c r="D416" s="140"/>
      <c r="E416" s="140"/>
      <c r="F416" s="140"/>
      <c r="G416" s="140"/>
      <c r="H416" s="140"/>
      <c r="I416" s="140"/>
      <c r="J416" s="140"/>
      <c r="K416" s="140"/>
      <c r="L416" s="140"/>
      <c r="M416" s="141" t="str">
        <f t="shared" si="7"/>
        <v/>
      </c>
      <c r="N416" s="142"/>
      <c r="O416" s="143"/>
    </row>
    <row r="417" spans="2:15" x14ac:dyDescent="0.35">
      <c r="B417" s="138" t="str">
        <f>IF(Lançamentos!$B412="","",Lançamentos!$B412)</f>
        <v/>
      </c>
      <c r="C417" s="139" t="str">
        <f>IF($B417="","",IFERROR(INDEX(Lançamentos!$J$3:$J$1001,MATCH($B417,Lançamentos!$B$3:$B$1001,0)),""))</f>
        <v/>
      </c>
      <c r="D417" s="140"/>
      <c r="E417" s="140"/>
      <c r="F417" s="140"/>
      <c r="G417" s="140"/>
      <c r="H417" s="140"/>
      <c r="I417" s="140"/>
      <c r="J417" s="140"/>
      <c r="K417" s="140"/>
      <c r="L417" s="140"/>
      <c r="M417" s="141" t="str">
        <f t="shared" si="7"/>
        <v/>
      </c>
      <c r="N417" s="142"/>
      <c r="O417" s="143"/>
    </row>
    <row r="418" spans="2:15" x14ac:dyDescent="0.35">
      <c r="B418" s="138" t="str">
        <f>IF(Lançamentos!$B413="","",Lançamentos!$B413)</f>
        <v/>
      </c>
      <c r="C418" s="139" t="str">
        <f>IF($B418="","",IFERROR(INDEX(Lançamentos!$J$3:$J$1001,MATCH($B418,Lançamentos!$B$3:$B$1001,0)),""))</f>
        <v/>
      </c>
      <c r="D418" s="140"/>
      <c r="E418" s="140"/>
      <c r="F418" s="140"/>
      <c r="G418" s="140"/>
      <c r="H418" s="140"/>
      <c r="I418" s="140"/>
      <c r="J418" s="140"/>
      <c r="K418" s="140"/>
      <c r="L418" s="140"/>
      <c r="M418" s="141" t="str">
        <f t="shared" si="7"/>
        <v/>
      </c>
      <c r="N418" s="142"/>
      <c r="O418" s="143"/>
    </row>
    <row r="419" spans="2:15" x14ac:dyDescent="0.35">
      <c r="B419" s="138" t="str">
        <f>IF(Lançamentos!$B414="","",Lançamentos!$B414)</f>
        <v/>
      </c>
      <c r="C419" s="139" t="str">
        <f>IF($B419="","",IFERROR(INDEX(Lançamentos!$J$3:$J$1001,MATCH($B419,Lançamentos!$B$3:$B$1001,0)),""))</f>
        <v/>
      </c>
      <c r="D419" s="140"/>
      <c r="E419" s="140"/>
      <c r="F419" s="140"/>
      <c r="G419" s="140"/>
      <c r="H419" s="140"/>
      <c r="I419" s="140"/>
      <c r="J419" s="140"/>
      <c r="K419" s="140"/>
      <c r="L419" s="140"/>
      <c r="M419" s="141" t="str">
        <f t="shared" si="7"/>
        <v/>
      </c>
      <c r="N419" s="142"/>
      <c r="O419" s="143"/>
    </row>
    <row r="420" spans="2:15" x14ac:dyDescent="0.35">
      <c r="B420" s="138" t="str">
        <f>IF(Lançamentos!$B415="","",Lançamentos!$B415)</f>
        <v/>
      </c>
      <c r="C420" s="139" t="str">
        <f>IF($B420="","",IFERROR(INDEX(Lançamentos!$J$3:$J$1001,MATCH($B420,Lançamentos!$B$3:$B$1001,0)),""))</f>
        <v/>
      </c>
      <c r="D420" s="140"/>
      <c r="E420" s="140"/>
      <c r="F420" s="140"/>
      <c r="G420" s="140"/>
      <c r="H420" s="140"/>
      <c r="I420" s="140"/>
      <c r="J420" s="140"/>
      <c r="K420" s="140"/>
      <c r="L420" s="140"/>
      <c r="M420" s="141" t="str">
        <f t="shared" si="7"/>
        <v/>
      </c>
      <c r="N420" s="142"/>
      <c r="O420" s="143"/>
    </row>
    <row r="421" spans="2:15" x14ac:dyDescent="0.35">
      <c r="B421" s="138" t="str">
        <f>IF(Lançamentos!$B416="","",Lançamentos!$B416)</f>
        <v/>
      </c>
      <c r="C421" s="139" t="str">
        <f>IF($B421="","",IFERROR(INDEX(Lançamentos!$J$3:$J$1001,MATCH($B421,Lançamentos!$B$3:$B$1001,0)),""))</f>
        <v/>
      </c>
      <c r="D421" s="140"/>
      <c r="E421" s="140"/>
      <c r="F421" s="140"/>
      <c r="G421" s="140"/>
      <c r="H421" s="140"/>
      <c r="I421" s="140"/>
      <c r="J421" s="140"/>
      <c r="K421" s="140"/>
      <c r="L421" s="140"/>
      <c r="M421" s="141" t="str">
        <f t="shared" si="7"/>
        <v/>
      </c>
      <c r="N421" s="142"/>
      <c r="O421" s="143"/>
    </row>
    <row r="422" spans="2:15" x14ac:dyDescent="0.35">
      <c r="B422" s="138" t="str">
        <f>IF(Lançamentos!$B417="","",Lançamentos!$B417)</f>
        <v/>
      </c>
      <c r="C422" s="139" t="str">
        <f>IF($B422="","",IFERROR(INDEX(Lançamentos!$J$3:$J$1001,MATCH($B422,Lançamentos!$B$3:$B$1001,0)),""))</f>
        <v/>
      </c>
      <c r="D422" s="140"/>
      <c r="E422" s="140"/>
      <c r="F422" s="140"/>
      <c r="G422" s="140"/>
      <c r="H422" s="140"/>
      <c r="I422" s="140"/>
      <c r="J422" s="140"/>
      <c r="K422" s="140"/>
      <c r="L422" s="140"/>
      <c r="M422" s="141" t="str">
        <f t="shared" si="7"/>
        <v/>
      </c>
      <c r="N422" s="142"/>
      <c r="O422" s="143"/>
    </row>
    <row r="423" spans="2:15" x14ac:dyDescent="0.35">
      <c r="B423" s="138" t="str">
        <f>IF(Lançamentos!$B418="","",Lançamentos!$B418)</f>
        <v/>
      </c>
      <c r="C423" s="139" t="str">
        <f>IF($B423="","",IFERROR(INDEX(Lançamentos!$J$3:$J$1001,MATCH($B423,Lançamentos!$B$3:$B$1001,0)),""))</f>
        <v/>
      </c>
      <c r="D423" s="140"/>
      <c r="E423" s="140"/>
      <c r="F423" s="140"/>
      <c r="G423" s="140"/>
      <c r="H423" s="140"/>
      <c r="I423" s="140"/>
      <c r="J423" s="140"/>
      <c r="K423" s="140"/>
      <c r="L423" s="140"/>
      <c r="M423" s="141" t="str">
        <f t="shared" si="7"/>
        <v/>
      </c>
      <c r="N423" s="142"/>
      <c r="O423" s="143"/>
    </row>
    <row r="424" spans="2:15" x14ac:dyDescent="0.35">
      <c r="B424" s="138" t="str">
        <f>IF(Lançamentos!$B419="","",Lançamentos!$B419)</f>
        <v/>
      </c>
      <c r="C424" s="139" t="str">
        <f>IF($B424="","",IFERROR(INDEX(Lançamentos!$J$3:$J$1001,MATCH($B424,Lançamentos!$B$3:$B$1001,0)),""))</f>
        <v/>
      </c>
      <c r="D424" s="140"/>
      <c r="E424" s="140"/>
      <c r="F424" s="140"/>
      <c r="G424" s="140"/>
      <c r="H424" s="140"/>
      <c r="I424" s="140"/>
      <c r="J424" s="140"/>
      <c r="K424" s="140"/>
      <c r="L424" s="140"/>
      <c r="M424" s="141" t="str">
        <f t="shared" si="7"/>
        <v/>
      </c>
      <c r="N424" s="142"/>
      <c r="O424" s="143"/>
    </row>
    <row r="425" spans="2:15" x14ac:dyDescent="0.35">
      <c r="B425" s="138" t="str">
        <f>IF(Lançamentos!$B420="","",Lançamentos!$B420)</f>
        <v/>
      </c>
      <c r="C425" s="139" t="str">
        <f>IF($B425="","",IFERROR(INDEX(Lançamentos!$J$3:$J$1001,MATCH($B425,Lançamentos!$B$3:$B$1001,0)),""))</f>
        <v/>
      </c>
      <c r="D425" s="140"/>
      <c r="E425" s="140"/>
      <c r="F425" s="140"/>
      <c r="G425" s="140"/>
      <c r="H425" s="140"/>
      <c r="I425" s="140"/>
      <c r="J425" s="140"/>
      <c r="K425" s="140"/>
      <c r="L425" s="140"/>
      <c r="M425" s="141" t="str">
        <f t="shared" si="7"/>
        <v/>
      </c>
      <c r="N425" s="142"/>
      <c r="O425" s="143"/>
    </row>
    <row r="426" spans="2:15" x14ac:dyDescent="0.35">
      <c r="B426" s="138" t="str">
        <f>IF(Lançamentos!$B421="","",Lançamentos!$B421)</f>
        <v/>
      </c>
      <c r="C426" s="139" t="str">
        <f>IF($B426="","",IFERROR(INDEX(Lançamentos!$J$3:$J$1001,MATCH($B426,Lançamentos!$B$3:$B$1001,0)),""))</f>
        <v/>
      </c>
      <c r="D426" s="140"/>
      <c r="E426" s="140"/>
      <c r="F426" s="140"/>
      <c r="G426" s="140"/>
      <c r="H426" s="140"/>
      <c r="I426" s="140"/>
      <c r="J426" s="140"/>
      <c r="K426" s="140"/>
      <c r="L426" s="140"/>
      <c r="M426" s="141" t="str">
        <f t="shared" si="7"/>
        <v/>
      </c>
      <c r="N426" s="142"/>
      <c r="O426" s="143"/>
    </row>
    <row r="427" spans="2:15" x14ac:dyDescent="0.35">
      <c r="B427" s="138" t="str">
        <f>IF(Lançamentos!$B422="","",Lançamentos!$B422)</f>
        <v/>
      </c>
      <c r="C427" s="139" t="str">
        <f>IF($B427="","",IFERROR(INDEX(Lançamentos!$J$3:$J$1001,MATCH($B427,Lançamentos!$B$3:$B$1001,0)),""))</f>
        <v/>
      </c>
      <c r="D427" s="140"/>
      <c r="E427" s="140"/>
      <c r="F427" s="140"/>
      <c r="G427" s="140"/>
      <c r="H427" s="140"/>
      <c r="I427" s="140"/>
      <c r="J427" s="140"/>
      <c r="K427" s="140"/>
      <c r="L427" s="140"/>
      <c r="M427" s="141" t="str">
        <f t="shared" si="7"/>
        <v/>
      </c>
      <c r="N427" s="142"/>
      <c r="O427" s="143"/>
    </row>
    <row r="428" spans="2:15" x14ac:dyDescent="0.35">
      <c r="B428" s="138" t="str">
        <f>IF(Lançamentos!$B423="","",Lançamentos!$B423)</f>
        <v/>
      </c>
      <c r="C428" s="139" t="str">
        <f>IF($B428="","",IFERROR(INDEX(Lançamentos!$J$3:$J$1001,MATCH($B428,Lançamentos!$B$3:$B$1001,0)),""))</f>
        <v/>
      </c>
      <c r="D428" s="140"/>
      <c r="E428" s="140"/>
      <c r="F428" s="140"/>
      <c r="G428" s="140"/>
      <c r="H428" s="140"/>
      <c r="I428" s="140"/>
      <c r="J428" s="140"/>
      <c r="K428" s="140"/>
      <c r="L428" s="140"/>
      <c r="M428" s="141" t="str">
        <f t="shared" si="7"/>
        <v/>
      </c>
      <c r="N428" s="142"/>
      <c r="O428" s="143"/>
    </row>
    <row r="429" spans="2:15" x14ac:dyDescent="0.35">
      <c r="B429" s="138" t="str">
        <f>IF(Lançamentos!$B424="","",Lançamentos!$B424)</f>
        <v/>
      </c>
      <c r="C429" s="139" t="str">
        <f>IF($B429="","",IFERROR(INDEX(Lançamentos!$J$3:$J$1001,MATCH($B429,Lançamentos!$B$3:$B$1001,0)),""))</f>
        <v/>
      </c>
      <c r="D429" s="140"/>
      <c r="E429" s="140"/>
      <c r="F429" s="140"/>
      <c r="G429" s="140"/>
      <c r="H429" s="140"/>
      <c r="I429" s="140"/>
      <c r="J429" s="140"/>
      <c r="K429" s="140"/>
      <c r="L429" s="140"/>
      <c r="M429" s="141" t="str">
        <f t="shared" si="7"/>
        <v/>
      </c>
      <c r="N429" s="142"/>
      <c r="O429" s="143"/>
    </row>
    <row r="430" spans="2:15" x14ac:dyDescent="0.35">
      <c r="B430" s="138" t="str">
        <f>IF(Lançamentos!$B425="","",Lançamentos!$B425)</f>
        <v/>
      </c>
      <c r="C430" s="139" t="str">
        <f>IF($B430="","",IFERROR(INDEX(Lançamentos!$J$3:$J$1001,MATCH($B430,Lançamentos!$B$3:$B$1001,0)),""))</f>
        <v/>
      </c>
      <c r="D430" s="140"/>
      <c r="E430" s="140"/>
      <c r="F430" s="140"/>
      <c r="G430" s="140"/>
      <c r="H430" s="140"/>
      <c r="I430" s="140"/>
      <c r="J430" s="140"/>
      <c r="K430" s="140"/>
      <c r="L430" s="140"/>
      <c r="M430" s="141" t="str">
        <f t="shared" si="7"/>
        <v/>
      </c>
      <c r="N430" s="142"/>
      <c r="O430" s="143"/>
    </row>
    <row r="431" spans="2:15" x14ac:dyDescent="0.35">
      <c r="B431" s="138" t="str">
        <f>IF(Lançamentos!$B426="","",Lançamentos!$B426)</f>
        <v/>
      </c>
      <c r="C431" s="139" t="str">
        <f>IF($B431="","",IFERROR(INDEX(Lançamentos!$J$3:$J$1001,MATCH($B431,Lançamentos!$B$3:$B$1001,0)),""))</f>
        <v/>
      </c>
      <c r="D431" s="140"/>
      <c r="E431" s="140"/>
      <c r="F431" s="140"/>
      <c r="G431" s="140"/>
      <c r="H431" s="140"/>
      <c r="I431" s="140"/>
      <c r="J431" s="140"/>
      <c r="K431" s="140"/>
      <c r="L431" s="140"/>
      <c r="M431" s="141" t="str">
        <f t="shared" si="7"/>
        <v/>
      </c>
      <c r="N431" s="142"/>
      <c r="O431" s="143"/>
    </row>
    <row r="432" spans="2:15" x14ac:dyDescent="0.35">
      <c r="B432" s="138" t="str">
        <f>IF(Lançamentos!$B427="","",Lançamentos!$B427)</f>
        <v/>
      </c>
      <c r="C432" s="139" t="str">
        <f>IF($B432="","",IFERROR(INDEX(Lançamentos!$J$3:$J$1001,MATCH($B432,Lançamentos!$B$3:$B$1001,0)),""))</f>
        <v/>
      </c>
      <c r="D432" s="140"/>
      <c r="E432" s="140"/>
      <c r="F432" s="140"/>
      <c r="G432" s="140"/>
      <c r="H432" s="140"/>
      <c r="I432" s="140"/>
      <c r="J432" s="140"/>
      <c r="K432" s="140"/>
      <c r="L432" s="140"/>
      <c r="M432" s="141" t="str">
        <f t="shared" si="7"/>
        <v/>
      </c>
      <c r="N432" s="142"/>
      <c r="O432" s="143"/>
    </row>
    <row r="433" spans="2:15" x14ac:dyDescent="0.35">
      <c r="B433" s="138" t="str">
        <f>IF(Lançamentos!$B428="","",Lançamentos!$B428)</f>
        <v/>
      </c>
      <c r="C433" s="139" t="str">
        <f>IF($B433="","",IFERROR(INDEX(Lançamentos!$J$3:$J$1001,MATCH($B433,Lançamentos!$B$3:$B$1001,0)),""))</f>
        <v/>
      </c>
      <c r="D433" s="140"/>
      <c r="E433" s="140"/>
      <c r="F433" s="140"/>
      <c r="G433" s="140"/>
      <c r="H433" s="140"/>
      <c r="I433" s="140"/>
      <c r="J433" s="140"/>
      <c r="K433" s="140"/>
      <c r="L433" s="140"/>
      <c r="M433" s="141" t="str">
        <f t="shared" si="7"/>
        <v/>
      </c>
      <c r="N433" s="142"/>
      <c r="O433" s="143"/>
    </row>
    <row r="434" spans="2:15" x14ac:dyDescent="0.35">
      <c r="B434" s="138" t="str">
        <f>IF(Lançamentos!$B429="","",Lançamentos!$B429)</f>
        <v/>
      </c>
      <c r="C434" s="139" t="str">
        <f>IF($B434="","",IFERROR(INDEX(Lançamentos!$J$3:$J$1001,MATCH($B434,Lançamentos!$B$3:$B$1001,0)),""))</f>
        <v/>
      </c>
      <c r="D434" s="140"/>
      <c r="E434" s="140"/>
      <c r="F434" s="140"/>
      <c r="G434" s="140"/>
      <c r="H434" s="140"/>
      <c r="I434" s="140"/>
      <c r="J434" s="140"/>
      <c r="K434" s="140"/>
      <c r="L434" s="140"/>
      <c r="M434" s="141" t="str">
        <f t="shared" si="7"/>
        <v/>
      </c>
      <c r="N434" s="142"/>
      <c r="O434" s="143"/>
    </row>
    <row r="435" spans="2:15" x14ac:dyDescent="0.35">
      <c r="B435" s="138" t="str">
        <f>IF(Lançamentos!$B430="","",Lançamentos!$B430)</f>
        <v/>
      </c>
      <c r="C435" s="139" t="str">
        <f>IF($B435="","",IFERROR(INDEX(Lançamentos!$J$3:$J$1001,MATCH($B435,Lançamentos!$B$3:$B$1001,0)),""))</f>
        <v/>
      </c>
      <c r="D435" s="140"/>
      <c r="E435" s="140"/>
      <c r="F435" s="140"/>
      <c r="G435" s="140"/>
      <c r="H435" s="140"/>
      <c r="I435" s="140"/>
      <c r="J435" s="140"/>
      <c r="K435" s="140"/>
      <c r="L435" s="140"/>
      <c r="M435" s="141" t="str">
        <f t="shared" si="7"/>
        <v/>
      </c>
      <c r="N435" s="142"/>
      <c r="O435" s="143"/>
    </row>
    <row r="436" spans="2:15" x14ac:dyDescent="0.35">
      <c r="B436" s="138" t="str">
        <f>IF(Lançamentos!$B431="","",Lançamentos!$B431)</f>
        <v/>
      </c>
      <c r="C436" s="139" t="str">
        <f>IF($B436="","",IFERROR(INDEX(Lançamentos!$J$3:$J$1001,MATCH($B436,Lançamentos!$B$3:$B$1001,0)),""))</f>
        <v/>
      </c>
      <c r="D436" s="140"/>
      <c r="E436" s="140"/>
      <c r="F436" s="140"/>
      <c r="G436" s="140"/>
      <c r="H436" s="140"/>
      <c r="I436" s="140"/>
      <c r="J436" s="140"/>
      <c r="K436" s="140"/>
      <c r="L436" s="140"/>
      <c r="M436" s="141" t="str">
        <f t="shared" si="7"/>
        <v/>
      </c>
      <c r="N436" s="142"/>
      <c r="O436" s="143"/>
    </row>
    <row r="437" spans="2:15" x14ac:dyDescent="0.35">
      <c r="B437" s="138" t="str">
        <f>IF(Lançamentos!$B432="","",Lançamentos!$B432)</f>
        <v/>
      </c>
      <c r="C437" s="139" t="str">
        <f>IF($B437="","",IFERROR(INDEX(Lançamentos!$J$3:$J$1001,MATCH($B437,Lançamentos!$B$3:$B$1001,0)),""))</f>
        <v/>
      </c>
      <c r="D437" s="140"/>
      <c r="E437" s="140"/>
      <c r="F437" s="140"/>
      <c r="G437" s="140"/>
      <c r="H437" s="140"/>
      <c r="I437" s="140"/>
      <c r="J437" s="140"/>
      <c r="K437" s="140"/>
      <c r="L437" s="140"/>
      <c r="M437" s="141" t="str">
        <f t="shared" si="7"/>
        <v/>
      </c>
      <c r="N437" s="142"/>
      <c r="O437" s="143"/>
    </row>
    <row r="438" spans="2:15" x14ac:dyDescent="0.35">
      <c r="B438" s="138" t="str">
        <f>IF(Lançamentos!$B433="","",Lançamentos!$B433)</f>
        <v/>
      </c>
      <c r="C438" s="139" t="str">
        <f>IF($B438="","",IFERROR(INDEX(Lançamentos!$J$3:$J$1001,MATCH($B438,Lançamentos!$B$3:$B$1001,0)),""))</f>
        <v/>
      </c>
      <c r="D438" s="140"/>
      <c r="E438" s="140"/>
      <c r="F438" s="140"/>
      <c r="G438" s="140"/>
      <c r="H438" s="140"/>
      <c r="I438" s="140"/>
      <c r="J438" s="140"/>
      <c r="K438" s="140"/>
      <c r="L438" s="140"/>
      <c r="M438" s="141" t="str">
        <f t="shared" si="7"/>
        <v/>
      </c>
      <c r="N438" s="142"/>
      <c r="O438" s="143"/>
    </row>
    <row r="439" spans="2:15" x14ac:dyDescent="0.35">
      <c r="B439" s="138" t="str">
        <f>IF(Lançamentos!$B434="","",Lançamentos!$B434)</f>
        <v/>
      </c>
      <c r="C439" s="139" t="str">
        <f>IF($B439="","",IFERROR(INDEX(Lançamentos!$J$3:$J$1001,MATCH($B439,Lançamentos!$B$3:$B$1001,0)),""))</f>
        <v/>
      </c>
      <c r="D439" s="140"/>
      <c r="E439" s="140"/>
      <c r="F439" s="140"/>
      <c r="G439" s="140"/>
      <c r="H439" s="140"/>
      <c r="I439" s="140"/>
      <c r="J439" s="140"/>
      <c r="K439" s="140"/>
      <c r="L439" s="140"/>
      <c r="M439" s="141" t="str">
        <f t="shared" si="7"/>
        <v/>
      </c>
      <c r="N439" s="142"/>
      <c r="O439" s="143"/>
    </row>
    <row r="440" spans="2:15" x14ac:dyDescent="0.35">
      <c r="B440" s="138" t="str">
        <f>IF(Lançamentos!$B435="","",Lançamentos!$B435)</f>
        <v/>
      </c>
      <c r="C440" s="139" t="str">
        <f>IF($B440="","",IFERROR(INDEX(Lançamentos!$J$3:$J$1001,MATCH($B440,Lançamentos!$B$3:$B$1001,0)),""))</f>
        <v/>
      </c>
      <c r="D440" s="140"/>
      <c r="E440" s="140"/>
      <c r="F440" s="140"/>
      <c r="G440" s="140"/>
      <c r="H440" s="140"/>
      <c r="I440" s="140"/>
      <c r="J440" s="140"/>
      <c r="K440" s="140"/>
      <c r="L440" s="140"/>
      <c r="M440" s="141" t="str">
        <f t="shared" si="7"/>
        <v/>
      </c>
      <c r="N440" s="142"/>
      <c r="O440" s="143"/>
    </row>
    <row r="441" spans="2:15" x14ac:dyDescent="0.35">
      <c r="B441" s="138" t="str">
        <f>IF(Lançamentos!$B436="","",Lançamentos!$B436)</f>
        <v/>
      </c>
      <c r="C441" s="139" t="str">
        <f>IF($B441="","",IFERROR(INDEX(Lançamentos!$J$3:$J$1001,MATCH($B441,Lançamentos!$B$3:$B$1001,0)),""))</f>
        <v/>
      </c>
      <c r="D441" s="140"/>
      <c r="E441" s="140"/>
      <c r="F441" s="140"/>
      <c r="G441" s="140"/>
      <c r="H441" s="140"/>
      <c r="I441" s="140"/>
      <c r="J441" s="140"/>
      <c r="K441" s="140"/>
      <c r="L441" s="140"/>
      <c r="M441" s="141" t="str">
        <f t="shared" si="7"/>
        <v/>
      </c>
      <c r="N441" s="142"/>
      <c r="O441" s="143"/>
    </row>
    <row r="442" spans="2:15" x14ac:dyDescent="0.35">
      <c r="B442" s="138" t="str">
        <f>IF(Lançamentos!$B437="","",Lançamentos!$B437)</f>
        <v/>
      </c>
      <c r="C442" s="139" t="str">
        <f>IF($B442="","",IFERROR(INDEX(Lançamentos!$J$3:$J$1001,MATCH($B442,Lançamentos!$B$3:$B$1001,0)),""))</f>
        <v/>
      </c>
      <c r="D442" s="140"/>
      <c r="E442" s="140"/>
      <c r="F442" s="140"/>
      <c r="G442" s="140"/>
      <c r="H442" s="140"/>
      <c r="I442" s="140"/>
      <c r="J442" s="140"/>
      <c r="K442" s="140"/>
      <c r="L442" s="140"/>
      <c r="M442" s="141" t="str">
        <f t="shared" si="7"/>
        <v/>
      </c>
      <c r="N442" s="142"/>
      <c r="O442" s="143"/>
    </row>
    <row r="443" spans="2:15" x14ac:dyDescent="0.35">
      <c r="B443" s="138" t="str">
        <f>IF(Lançamentos!$B438="","",Lançamentos!$B438)</f>
        <v/>
      </c>
      <c r="C443" s="139" t="str">
        <f>IF($B443="","",IFERROR(INDEX(Lançamentos!$J$3:$J$1001,MATCH($B443,Lançamentos!$B$3:$B$1001,0)),""))</f>
        <v/>
      </c>
      <c r="D443" s="140"/>
      <c r="E443" s="140"/>
      <c r="F443" s="140"/>
      <c r="G443" s="140"/>
      <c r="H443" s="140"/>
      <c r="I443" s="140"/>
      <c r="J443" s="140"/>
      <c r="K443" s="140"/>
      <c r="L443" s="140"/>
      <c r="M443" s="141" t="str">
        <f t="shared" si="7"/>
        <v/>
      </c>
      <c r="N443" s="142"/>
      <c r="O443" s="143"/>
    </row>
    <row r="444" spans="2:15" x14ac:dyDescent="0.35">
      <c r="B444" s="138" t="str">
        <f>IF(Lançamentos!$B439="","",Lançamentos!$B439)</f>
        <v/>
      </c>
      <c r="C444" s="139" t="str">
        <f>IF($B444="","",IFERROR(INDEX(Lançamentos!$J$3:$J$1001,MATCH($B444,Lançamentos!$B$3:$B$1001,0)),""))</f>
        <v/>
      </c>
      <c r="D444" s="140"/>
      <c r="E444" s="140"/>
      <c r="F444" s="140"/>
      <c r="G444" s="140"/>
      <c r="H444" s="140"/>
      <c r="I444" s="140"/>
      <c r="J444" s="140"/>
      <c r="K444" s="140"/>
      <c r="L444" s="140"/>
      <c r="M444" s="141" t="str">
        <f t="shared" si="7"/>
        <v/>
      </c>
      <c r="N444" s="142"/>
      <c r="O444" s="143"/>
    </row>
    <row r="445" spans="2:15" x14ac:dyDescent="0.35">
      <c r="B445" s="138" t="str">
        <f>IF(Lançamentos!$B440="","",Lançamentos!$B440)</f>
        <v/>
      </c>
      <c r="C445" s="139" t="str">
        <f>IF($B445="","",IFERROR(INDEX(Lançamentos!$J$3:$J$1001,MATCH($B445,Lançamentos!$B$3:$B$1001,0)),""))</f>
        <v/>
      </c>
      <c r="D445" s="140"/>
      <c r="E445" s="140"/>
      <c r="F445" s="140"/>
      <c r="G445" s="140"/>
      <c r="H445" s="140"/>
      <c r="I445" s="140"/>
      <c r="J445" s="140"/>
      <c r="K445" s="140"/>
      <c r="L445" s="140"/>
      <c r="M445" s="141" t="str">
        <f t="shared" si="7"/>
        <v/>
      </c>
      <c r="N445" s="142"/>
      <c r="O445" s="143"/>
    </row>
    <row r="446" spans="2:15" x14ac:dyDescent="0.35">
      <c r="B446" s="138" t="str">
        <f>IF(Lançamentos!$B441="","",Lançamentos!$B441)</f>
        <v/>
      </c>
      <c r="C446" s="139" t="str">
        <f>IF($B446="","",IFERROR(INDEX(Lançamentos!$J$3:$J$1001,MATCH($B446,Lançamentos!$B$3:$B$1001,0)),""))</f>
        <v/>
      </c>
      <c r="D446" s="140"/>
      <c r="E446" s="140"/>
      <c r="F446" s="140"/>
      <c r="G446" s="140"/>
      <c r="H446" s="140"/>
      <c r="I446" s="140"/>
      <c r="J446" s="140"/>
      <c r="K446" s="140"/>
      <c r="L446" s="140"/>
      <c r="M446" s="141" t="str">
        <f t="shared" si="7"/>
        <v/>
      </c>
      <c r="N446" s="142"/>
      <c r="O446" s="143"/>
    </row>
    <row r="447" spans="2:15" x14ac:dyDescent="0.35">
      <c r="B447" s="138" t="str">
        <f>IF(Lançamentos!$B442="","",Lançamentos!$B442)</f>
        <v/>
      </c>
      <c r="C447" s="139" t="str">
        <f>IF($B447="","",IFERROR(INDEX(Lançamentos!$J$3:$J$1001,MATCH($B447,Lançamentos!$B$3:$B$1001,0)),""))</f>
        <v/>
      </c>
      <c r="D447" s="140"/>
      <c r="E447" s="140"/>
      <c r="F447" s="140"/>
      <c r="G447" s="140"/>
      <c r="H447" s="140"/>
      <c r="I447" s="140"/>
      <c r="J447" s="140"/>
      <c r="K447" s="140"/>
      <c r="L447" s="140"/>
      <c r="M447" s="141" t="str">
        <f t="shared" si="7"/>
        <v/>
      </c>
      <c r="N447" s="142"/>
      <c r="O447" s="143"/>
    </row>
    <row r="448" spans="2:15" x14ac:dyDescent="0.35">
      <c r="B448" s="138" t="str">
        <f>IF(Lançamentos!$B443="","",Lançamentos!$B443)</f>
        <v/>
      </c>
      <c r="C448" s="139" t="str">
        <f>IF($B448="","",IFERROR(INDEX(Lançamentos!$J$3:$J$1001,MATCH($B448,Lançamentos!$B$3:$B$1001,0)),""))</f>
        <v/>
      </c>
      <c r="D448" s="140"/>
      <c r="E448" s="140"/>
      <c r="F448" s="140"/>
      <c r="G448" s="140"/>
      <c r="H448" s="140"/>
      <c r="I448" s="140"/>
      <c r="J448" s="140"/>
      <c r="K448" s="140"/>
      <c r="L448" s="140"/>
      <c r="M448" s="141" t="str">
        <f t="shared" si="7"/>
        <v/>
      </c>
      <c r="N448" s="142"/>
      <c r="O448" s="143"/>
    </row>
    <row r="449" spans="2:15" x14ac:dyDescent="0.35">
      <c r="B449" s="138" t="str">
        <f>IF(Lançamentos!$B444="","",Lançamentos!$B444)</f>
        <v/>
      </c>
      <c r="C449" s="139" t="str">
        <f>IF($B449="","",IFERROR(INDEX(Lançamentos!$J$3:$J$1001,MATCH($B449,Lançamentos!$B$3:$B$1001,0)),""))</f>
        <v/>
      </c>
      <c r="D449" s="140"/>
      <c r="E449" s="140"/>
      <c r="F449" s="140"/>
      <c r="G449" s="140"/>
      <c r="H449" s="140"/>
      <c r="I449" s="140"/>
      <c r="J449" s="140"/>
      <c r="K449" s="140"/>
      <c r="L449" s="140"/>
      <c r="M449" s="141" t="str">
        <f t="shared" si="7"/>
        <v/>
      </c>
      <c r="N449" s="142"/>
      <c r="O449" s="143"/>
    </row>
    <row r="450" spans="2:15" x14ac:dyDescent="0.35">
      <c r="B450" s="138" t="str">
        <f>IF(Lançamentos!$B445="","",Lançamentos!$B445)</f>
        <v/>
      </c>
      <c r="C450" s="139" t="str">
        <f>IF($B450="","",IFERROR(INDEX(Lançamentos!$J$3:$J$1001,MATCH($B450,Lançamentos!$B$3:$B$1001,0)),""))</f>
        <v/>
      </c>
      <c r="D450" s="140"/>
      <c r="E450" s="140"/>
      <c r="F450" s="140"/>
      <c r="G450" s="140"/>
      <c r="H450" s="140"/>
      <c r="I450" s="140"/>
      <c r="J450" s="140"/>
      <c r="K450" s="140"/>
      <c r="L450" s="140"/>
      <c r="M450" s="141" t="str">
        <f t="shared" si="7"/>
        <v/>
      </c>
      <c r="N450" s="142"/>
      <c r="O450" s="143"/>
    </row>
    <row r="451" spans="2:15" x14ac:dyDescent="0.35">
      <c r="B451" s="138" t="str">
        <f>IF(Lançamentos!$B446="","",Lançamentos!$B446)</f>
        <v/>
      </c>
      <c r="C451" s="139" t="str">
        <f>IF($B451="","",IFERROR(INDEX(Lançamentos!$J$3:$J$1001,MATCH($B451,Lançamentos!$B$3:$B$1001,0)),""))</f>
        <v/>
      </c>
      <c r="D451" s="140"/>
      <c r="E451" s="140"/>
      <c r="F451" s="140"/>
      <c r="G451" s="140"/>
      <c r="H451" s="140"/>
      <c r="I451" s="140"/>
      <c r="J451" s="140"/>
      <c r="K451" s="140"/>
      <c r="L451" s="140"/>
      <c r="M451" s="141" t="str">
        <f t="shared" si="7"/>
        <v/>
      </c>
      <c r="N451" s="142"/>
      <c r="O451" s="143"/>
    </row>
    <row r="452" spans="2:15" x14ac:dyDescent="0.35">
      <c r="B452" s="138" t="str">
        <f>IF(Lançamentos!$B447="","",Lançamentos!$B447)</f>
        <v/>
      </c>
      <c r="C452" s="139" t="str">
        <f>IF($B452="","",IFERROR(INDEX(Lançamentos!$J$3:$J$1001,MATCH($B452,Lançamentos!$B$3:$B$1001,0)),""))</f>
        <v/>
      </c>
      <c r="D452" s="140"/>
      <c r="E452" s="140"/>
      <c r="F452" s="140"/>
      <c r="G452" s="140"/>
      <c r="H452" s="140"/>
      <c r="I452" s="140"/>
      <c r="J452" s="140"/>
      <c r="K452" s="140"/>
      <c r="L452" s="140"/>
      <c r="M452" s="141" t="str">
        <f t="shared" si="7"/>
        <v/>
      </c>
      <c r="N452" s="142"/>
      <c r="O452" s="143"/>
    </row>
    <row r="453" spans="2:15" x14ac:dyDescent="0.35">
      <c r="B453" s="138" t="str">
        <f>IF(Lançamentos!$B448="","",Lançamentos!$B448)</f>
        <v/>
      </c>
      <c r="C453" s="139" t="str">
        <f>IF($B453="","",IFERROR(INDEX(Lançamentos!$J$3:$J$1001,MATCH($B453,Lançamentos!$B$3:$B$1001,0)),""))</f>
        <v/>
      </c>
      <c r="D453" s="140"/>
      <c r="E453" s="140"/>
      <c r="F453" s="140"/>
      <c r="G453" s="140"/>
      <c r="H453" s="140"/>
      <c r="I453" s="140"/>
      <c r="J453" s="140"/>
      <c r="K453" s="140"/>
      <c r="L453" s="140"/>
      <c r="M453" s="141" t="str">
        <f t="shared" si="7"/>
        <v/>
      </c>
      <c r="N453" s="142"/>
      <c r="O453" s="143"/>
    </row>
    <row r="454" spans="2:15" x14ac:dyDescent="0.35">
      <c r="B454" s="138" t="str">
        <f>IF(Lançamentos!$B449="","",Lançamentos!$B449)</f>
        <v/>
      </c>
      <c r="C454" s="139" t="str">
        <f>IF($B454="","",IFERROR(INDEX(Lançamentos!$J$3:$J$1001,MATCH($B454,Lançamentos!$B$3:$B$1001,0)),""))</f>
        <v/>
      </c>
      <c r="D454" s="140"/>
      <c r="E454" s="140"/>
      <c r="F454" s="140"/>
      <c r="G454" s="140"/>
      <c r="H454" s="140"/>
      <c r="I454" s="140"/>
      <c r="J454" s="140"/>
      <c r="K454" s="140"/>
      <c r="L454" s="140"/>
      <c r="M454" s="141" t="str">
        <f t="shared" si="7"/>
        <v/>
      </c>
      <c r="N454" s="142"/>
      <c r="O454" s="143"/>
    </row>
    <row r="455" spans="2:15" x14ac:dyDescent="0.35">
      <c r="B455" s="138" t="str">
        <f>IF(Lançamentos!$B450="","",Lançamentos!$B450)</f>
        <v/>
      </c>
      <c r="C455" s="139" t="str">
        <f>IF($B455="","",IFERROR(INDEX(Lançamentos!$J$3:$J$1001,MATCH($B455,Lançamentos!$B$3:$B$1001,0)),""))</f>
        <v/>
      </c>
      <c r="D455" s="140"/>
      <c r="E455" s="140"/>
      <c r="F455" s="140"/>
      <c r="G455" s="140"/>
      <c r="H455" s="140"/>
      <c r="I455" s="140"/>
      <c r="J455" s="140"/>
      <c r="K455" s="140"/>
      <c r="L455" s="140"/>
      <c r="M455" s="141" t="str">
        <f t="shared" si="7"/>
        <v/>
      </c>
      <c r="N455" s="142"/>
      <c r="O455" s="143"/>
    </row>
    <row r="456" spans="2:15" x14ac:dyDescent="0.35">
      <c r="B456" s="138" t="str">
        <f>IF(Lançamentos!$B451="","",Lançamentos!$B451)</f>
        <v/>
      </c>
      <c r="C456" s="139" t="str">
        <f>IF($B456="","",IFERROR(INDEX(Lançamentos!$J$3:$J$1001,MATCH($B456,Lançamentos!$B$3:$B$1001,0)),""))</f>
        <v/>
      </c>
      <c r="D456" s="140"/>
      <c r="E456" s="140"/>
      <c r="F456" s="140"/>
      <c r="G456" s="140"/>
      <c r="H456" s="140"/>
      <c r="I456" s="140"/>
      <c r="J456" s="140"/>
      <c r="K456" s="140"/>
      <c r="L456" s="140"/>
      <c r="M456" s="141" t="str">
        <f t="shared" si="7"/>
        <v/>
      </c>
      <c r="N456" s="142"/>
      <c r="O456" s="143"/>
    </row>
    <row r="457" spans="2:15" x14ac:dyDescent="0.35">
      <c r="B457" s="138" t="str">
        <f>IF(Lançamentos!$B452="","",Lançamentos!$B452)</f>
        <v/>
      </c>
      <c r="C457" s="139" t="str">
        <f>IF($B457="","",IFERROR(INDEX(Lançamentos!$J$3:$J$1001,MATCH($B457,Lançamentos!$B$3:$B$1001,0)),""))</f>
        <v/>
      </c>
      <c r="D457" s="140"/>
      <c r="E457" s="140"/>
      <c r="F457" s="140"/>
      <c r="G457" s="140"/>
      <c r="H457" s="140"/>
      <c r="I457" s="140"/>
      <c r="J457" s="140"/>
      <c r="K457" s="140"/>
      <c r="L457" s="140"/>
      <c r="M457" s="141" t="str">
        <f t="shared" si="7"/>
        <v/>
      </c>
      <c r="N457" s="142"/>
      <c r="O457" s="143"/>
    </row>
    <row r="458" spans="2:15" x14ac:dyDescent="0.35">
      <c r="B458" s="138" t="str">
        <f>IF(Lançamentos!$B453="","",Lançamentos!$B453)</f>
        <v/>
      </c>
      <c r="C458" s="139" t="str">
        <f>IF($B458="","",IFERROR(INDEX(Lançamentos!$J$3:$J$1001,MATCH($B458,Lançamentos!$B$3:$B$1001,0)),""))</f>
        <v/>
      </c>
      <c r="D458" s="140"/>
      <c r="E458" s="140"/>
      <c r="F458" s="140"/>
      <c r="G458" s="140"/>
      <c r="H458" s="140"/>
      <c r="I458" s="140"/>
      <c r="J458" s="140"/>
      <c r="K458" s="140"/>
      <c r="L458" s="140"/>
      <c r="M458" s="141" t="str">
        <f t="shared" si="7"/>
        <v/>
      </c>
      <c r="N458" s="142"/>
      <c r="O458" s="143"/>
    </row>
    <row r="459" spans="2:15" x14ac:dyDescent="0.35">
      <c r="B459" s="138" t="str">
        <f>IF(Lançamentos!$B454="","",Lançamentos!$B454)</f>
        <v/>
      </c>
      <c r="C459" s="139" t="str">
        <f>IF($B459="","",IFERROR(INDEX(Lançamentos!$J$3:$J$1001,MATCH($B459,Lançamentos!$B$3:$B$1001,0)),""))</f>
        <v/>
      </c>
      <c r="D459" s="140"/>
      <c r="E459" s="140"/>
      <c r="F459" s="140"/>
      <c r="G459" s="140"/>
      <c r="H459" s="140"/>
      <c r="I459" s="140"/>
      <c r="J459" s="140"/>
      <c r="K459" s="140"/>
      <c r="L459" s="140"/>
      <c r="M459" s="141" t="str">
        <f t="shared" si="7"/>
        <v/>
      </c>
      <c r="N459" s="142"/>
      <c r="O459" s="143"/>
    </row>
    <row r="460" spans="2:15" x14ac:dyDescent="0.35">
      <c r="B460" s="138" t="str">
        <f>IF(Lançamentos!$B455="","",Lançamentos!$B455)</f>
        <v/>
      </c>
      <c r="C460" s="139" t="str">
        <f>IF($B460="","",IFERROR(INDEX(Lançamentos!$J$3:$J$1001,MATCH($B460,Lançamentos!$B$3:$B$1001,0)),""))</f>
        <v/>
      </c>
      <c r="D460" s="140"/>
      <c r="E460" s="140"/>
      <c r="F460" s="140"/>
      <c r="G460" s="140"/>
      <c r="H460" s="140"/>
      <c r="I460" s="140"/>
      <c r="J460" s="140"/>
      <c r="K460" s="140"/>
      <c r="L460" s="140"/>
      <c r="M460" s="141" t="str">
        <f t="shared" si="7"/>
        <v/>
      </c>
      <c r="N460" s="142"/>
      <c r="O460" s="143"/>
    </row>
    <row r="461" spans="2:15" x14ac:dyDescent="0.35">
      <c r="B461" s="138" t="str">
        <f>IF(Lançamentos!$B456="","",Lançamentos!$B456)</f>
        <v/>
      </c>
      <c r="C461" s="139" t="str">
        <f>IF($B461="","",IFERROR(INDEX(Lançamentos!$J$3:$J$1001,MATCH($B461,Lançamentos!$B$3:$B$1001,0)),""))</f>
        <v/>
      </c>
      <c r="D461" s="140"/>
      <c r="E461" s="140"/>
      <c r="F461" s="140"/>
      <c r="G461" s="140"/>
      <c r="H461" s="140"/>
      <c r="I461" s="140"/>
      <c r="J461" s="140"/>
      <c r="K461" s="140"/>
      <c r="L461" s="140"/>
      <c r="M461" s="141" t="str">
        <f t="shared" si="7"/>
        <v/>
      </c>
      <c r="N461" s="142"/>
      <c r="O461" s="143"/>
    </row>
    <row r="462" spans="2:15" x14ac:dyDescent="0.35">
      <c r="B462" s="138" t="str">
        <f>IF(Lançamentos!$B457="","",Lançamentos!$B457)</f>
        <v/>
      </c>
      <c r="C462" s="139" t="str">
        <f>IF($B462="","",IFERROR(INDEX(Lançamentos!$J$3:$J$1001,MATCH($B462,Lançamentos!$B$3:$B$1001,0)),""))</f>
        <v/>
      </c>
      <c r="D462" s="140"/>
      <c r="E462" s="140"/>
      <c r="F462" s="140"/>
      <c r="G462" s="140"/>
      <c r="H462" s="140"/>
      <c r="I462" s="140"/>
      <c r="J462" s="140"/>
      <c r="K462" s="140"/>
      <c r="L462" s="140"/>
      <c r="M462" s="141" t="str">
        <f t="shared" si="7"/>
        <v/>
      </c>
      <c r="N462" s="142"/>
      <c r="O462" s="143"/>
    </row>
    <row r="463" spans="2:15" x14ac:dyDescent="0.35">
      <c r="B463" s="138" t="str">
        <f>IF(Lançamentos!$B458="","",Lançamentos!$B458)</f>
        <v/>
      </c>
      <c r="C463" s="139" t="str">
        <f>IF($B463="","",IFERROR(INDEX(Lançamentos!$J$3:$J$1001,MATCH($B463,Lançamentos!$B$3:$B$1001,0)),""))</f>
        <v/>
      </c>
      <c r="D463" s="140"/>
      <c r="E463" s="140"/>
      <c r="F463" s="140"/>
      <c r="G463" s="140"/>
      <c r="H463" s="140"/>
      <c r="I463" s="140"/>
      <c r="J463" s="140"/>
      <c r="K463" s="140"/>
      <c r="L463" s="140"/>
      <c r="M463" s="141" t="str">
        <f t="shared" si="7"/>
        <v/>
      </c>
      <c r="N463" s="142"/>
      <c r="O463" s="143"/>
    </row>
    <row r="464" spans="2:15" x14ac:dyDescent="0.35">
      <c r="B464" s="138" t="str">
        <f>IF(Lançamentos!$B459="","",Lançamentos!$B459)</f>
        <v/>
      </c>
      <c r="C464" s="139" t="str">
        <f>IF($B464="","",IFERROR(INDEX(Lançamentos!$J$3:$J$1001,MATCH($B464,Lançamentos!$B$3:$B$1001,0)),""))</f>
        <v/>
      </c>
      <c r="D464" s="140"/>
      <c r="E464" s="140"/>
      <c r="F464" s="140"/>
      <c r="G464" s="140"/>
      <c r="H464" s="140"/>
      <c r="I464" s="140"/>
      <c r="J464" s="140"/>
      <c r="K464" s="140"/>
      <c r="L464" s="140"/>
      <c r="M464" s="141" t="str">
        <f t="shared" ref="M464:M507" si="8">IF(B464="","",IF(COUNTIF(E464:L464,"N/A")=8,0,COUNTIF(E464:L464,"✔ Concluído")/(8-COUNTIF(E464:L464,"N/A"))))</f>
        <v/>
      </c>
      <c r="N464" s="142"/>
      <c r="O464" s="143"/>
    </row>
    <row r="465" spans="2:15" x14ac:dyDescent="0.35">
      <c r="B465" s="138" t="str">
        <f>IF(Lançamentos!$B460="","",Lançamentos!$B460)</f>
        <v/>
      </c>
      <c r="C465" s="139" t="str">
        <f>IF($B465="","",IFERROR(INDEX(Lançamentos!$J$3:$J$1001,MATCH($B465,Lançamentos!$B$3:$B$1001,0)),""))</f>
        <v/>
      </c>
      <c r="D465" s="140"/>
      <c r="E465" s="140"/>
      <c r="F465" s="140"/>
      <c r="G465" s="140"/>
      <c r="H465" s="140"/>
      <c r="I465" s="140"/>
      <c r="J465" s="140"/>
      <c r="K465" s="140"/>
      <c r="L465" s="140"/>
      <c r="M465" s="141" t="str">
        <f t="shared" si="8"/>
        <v/>
      </c>
      <c r="N465" s="142"/>
      <c r="O465" s="143"/>
    </row>
    <row r="466" spans="2:15" x14ac:dyDescent="0.35">
      <c r="B466" s="138" t="str">
        <f>IF(Lançamentos!$B461="","",Lançamentos!$B461)</f>
        <v/>
      </c>
      <c r="C466" s="139" t="str">
        <f>IF($B466="","",IFERROR(INDEX(Lançamentos!$J$3:$J$1001,MATCH($B466,Lançamentos!$B$3:$B$1001,0)),""))</f>
        <v/>
      </c>
      <c r="D466" s="140"/>
      <c r="E466" s="140"/>
      <c r="F466" s="140"/>
      <c r="G466" s="140"/>
      <c r="H466" s="140"/>
      <c r="I466" s="140"/>
      <c r="J466" s="140"/>
      <c r="K466" s="140"/>
      <c r="L466" s="140"/>
      <c r="M466" s="141" t="str">
        <f t="shared" si="8"/>
        <v/>
      </c>
      <c r="N466" s="142"/>
      <c r="O466" s="143"/>
    </row>
    <row r="467" spans="2:15" x14ac:dyDescent="0.35">
      <c r="B467" s="138" t="str">
        <f>IF(Lançamentos!$B462="","",Lançamentos!$B462)</f>
        <v/>
      </c>
      <c r="C467" s="139" t="str">
        <f>IF($B467="","",IFERROR(INDEX(Lançamentos!$J$3:$J$1001,MATCH($B467,Lançamentos!$B$3:$B$1001,0)),""))</f>
        <v/>
      </c>
      <c r="D467" s="140"/>
      <c r="E467" s="140"/>
      <c r="F467" s="140"/>
      <c r="G467" s="140"/>
      <c r="H467" s="140"/>
      <c r="I467" s="140"/>
      <c r="J467" s="140"/>
      <c r="K467" s="140"/>
      <c r="L467" s="140"/>
      <c r="M467" s="141" t="str">
        <f t="shared" si="8"/>
        <v/>
      </c>
      <c r="N467" s="142"/>
      <c r="O467" s="143"/>
    </row>
    <row r="468" spans="2:15" x14ac:dyDescent="0.35">
      <c r="B468" s="138" t="str">
        <f>IF(Lançamentos!$B463="","",Lançamentos!$B463)</f>
        <v/>
      </c>
      <c r="C468" s="139" t="str">
        <f>IF($B468="","",IFERROR(INDEX(Lançamentos!$J$3:$J$1001,MATCH($B468,Lançamentos!$B$3:$B$1001,0)),""))</f>
        <v/>
      </c>
      <c r="D468" s="140"/>
      <c r="E468" s="140"/>
      <c r="F468" s="140"/>
      <c r="G468" s="140"/>
      <c r="H468" s="140"/>
      <c r="I468" s="140"/>
      <c r="J468" s="140"/>
      <c r="K468" s="140"/>
      <c r="L468" s="140"/>
      <c r="M468" s="141" t="str">
        <f t="shared" si="8"/>
        <v/>
      </c>
      <c r="N468" s="142"/>
      <c r="O468" s="143"/>
    </row>
    <row r="469" spans="2:15" x14ac:dyDescent="0.35">
      <c r="B469" s="138" t="str">
        <f>IF(Lançamentos!$B464="","",Lançamentos!$B464)</f>
        <v/>
      </c>
      <c r="C469" s="139" t="str">
        <f>IF($B469="","",IFERROR(INDEX(Lançamentos!$J$3:$J$1001,MATCH($B469,Lançamentos!$B$3:$B$1001,0)),""))</f>
        <v/>
      </c>
      <c r="D469" s="140"/>
      <c r="E469" s="140"/>
      <c r="F469" s="140"/>
      <c r="G469" s="140"/>
      <c r="H469" s="140"/>
      <c r="I469" s="140"/>
      <c r="J469" s="140"/>
      <c r="K469" s="140"/>
      <c r="L469" s="140"/>
      <c r="M469" s="141" t="str">
        <f t="shared" si="8"/>
        <v/>
      </c>
      <c r="N469" s="142"/>
      <c r="O469" s="143"/>
    </row>
    <row r="470" spans="2:15" x14ac:dyDescent="0.35">
      <c r="B470" s="138" t="str">
        <f>IF(Lançamentos!$B465="","",Lançamentos!$B465)</f>
        <v/>
      </c>
      <c r="C470" s="139" t="str">
        <f>IF($B470="","",IFERROR(INDEX(Lançamentos!$J$3:$J$1001,MATCH($B470,Lançamentos!$B$3:$B$1001,0)),""))</f>
        <v/>
      </c>
      <c r="D470" s="140"/>
      <c r="E470" s="140"/>
      <c r="F470" s="140"/>
      <c r="G470" s="140"/>
      <c r="H470" s="140"/>
      <c r="I470" s="140"/>
      <c r="J470" s="140"/>
      <c r="K470" s="140"/>
      <c r="L470" s="140"/>
      <c r="M470" s="141" t="str">
        <f t="shared" si="8"/>
        <v/>
      </c>
      <c r="N470" s="142"/>
      <c r="O470" s="143"/>
    </row>
    <row r="471" spans="2:15" x14ac:dyDescent="0.35">
      <c r="B471" s="138" t="str">
        <f>IF(Lançamentos!$B466="","",Lançamentos!$B466)</f>
        <v/>
      </c>
      <c r="C471" s="139" t="str">
        <f>IF($B471="","",IFERROR(INDEX(Lançamentos!$J$3:$J$1001,MATCH($B471,Lançamentos!$B$3:$B$1001,0)),""))</f>
        <v/>
      </c>
      <c r="D471" s="140"/>
      <c r="E471" s="140"/>
      <c r="F471" s="140"/>
      <c r="G471" s="140"/>
      <c r="H471" s="140"/>
      <c r="I471" s="140"/>
      <c r="J471" s="140"/>
      <c r="K471" s="140"/>
      <c r="L471" s="140"/>
      <c r="M471" s="141" t="str">
        <f t="shared" si="8"/>
        <v/>
      </c>
      <c r="N471" s="142"/>
      <c r="O471" s="143"/>
    </row>
    <row r="472" spans="2:15" x14ac:dyDescent="0.35">
      <c r="B472" s="138" t="str">
        <f>IF(Lançamentos!$B467="","",Lançamentos!$B467)</f>
        <v/>
      </c>
      <c r="C472" s="139" t="str">
        <f>IF($B472="","",IFERROR(INDEX(Lançamentos!$J$3:$J$1001,MATCH($B472,Lançamentos!$B$3:$B$1001,0)),""))</f>
        <v/>
      </c>
      <c r="D472" s="140"/>
      <c r="E472" s="140"/>
      <c r="F472" s="140"/>
      <c r="G472" s="140"/>
      <c r="H472" s="140"/>
      <c r="I472" s="140"/>
      <c r="J472" s="140"/>
      <c r="K472" s="140"/>
      <c r="L472" s="140"/>
      <c r="M472" s="141" t="str">
        <f t="shared" si="8"/>
        <v/>
      </c>
      <c r="N472" s="142"/>
      <c r="O472" s="143"/>
    </row>
    <row r="473" spans="2:15" x14ac:dyDescent="0.35">
      <c r="B473" s="138" t="str">
        <f>IF(Lançamentos!$B468="","",Lançamentos!$B468)</f>
        <v/>
      </c>
      <c r="C473" s="139" t="str">
        <f>IF($B473="","",IFERROR(INDEX(Lançamentos!$J$3:$J$1001,MATCH($B473,Lançamentos!$B$3:$B$1001,0)),""))</f>
        <v/>
      </c>
      <c r="D473" s="140"/>
      <c r="E473" s="140"/>
      <c r="F473" s="140"/>
      <c r="G473" s="140"/>
      <c r="H473" s="140"/>
      <c r="I473" s="140"/>
      <c r="J473" s="140"/>
      <c r="K473" s="140"/>
      <c r="L473" s="140"/>
      <c r="M473" s="141" t="str">
        <f t="shared" si="8"/>
        <v/>
      </c>
      <c r="N473" s="142"/>
      <c r="O473" s="143"/>
    </row>
    <row r="474" spans="2:15" x14ac:dyDescent="0.35">
      <c r="B474" s="138" t="str">
        <f>IF(Lançamentos!$B469="","",Lançamentos!$B469)</f>
        <v/>
      </c>
      <c r="C474" s="139" t="str">
        <f>IF($B474="","",IFERROR(INDEX(Lançamentos!$J$3:$J$1001,MATCH($B474,Lançamentos!$B$3:$B$1001,0)),""))</f>
        <v/>
      </c>
      <c r="D474" s="140"/>
      <c r="E474" s="140"/>
      <c r="F474" s="140"/>
      <c r="G474" s="140"/>
      <c r="H474" s="140"/>
      <c r="I474" s="140"/>
      <c r="J474" s="140"/>
      <c r="K474" s="140"/>
      <c r="L474" s="140"/>
      <c r="M474" s="141" t="str">
        <f t="shared" si="8"/>
        <v/>
      </c>
      <c r="N474" s="142"/>
      <c r="O474" s="143"/>
    </row>
    <row r="475" spans="2:15" x14ac:dyDescent="0.35">
      <c r="B475" s="138" t="str">
        <f>IF(Lançamentos!$B470="","",Lançamentos!$B470)</f>
        <v/>
      </c>
      <c r="C475" s="139" t="str">
        <f>IF($B475="","",IFERROR(INDEX(Lançamentos!$J$3:$J$1001,MATCH($B475,Lançamentos!$B$3:$B$1001,0)),""))</f>
        <v/>
      </c>
      <c r="D475" s="140"/>
      <c r="E475" s="140"/>
      <c r="F475" s="140"/>
      <c r="G475" s="140"/>
      <c r="H475" s="140"/>
      <c r="I475" s="140"/>
      <c r="J475" s="140"/>
      <c r="K475" s="140"/>
      <c r="L475" s="140"/>
      <c r="M475" s="141" t="str">
        <f t="shared" si="8"/>
        <v/>
      </c>
      <c r="N475" s="142"/>
      <c r="O475" s="143"/>
    </row>
    <row r="476" spans="2:15" x14ac:dyDescent="0.35">
      <c r="B476" s="138" t="str">
        <f>IF(Lançamentos!$B471="","",Lançamentos!$B471)</f>
        <v/>
      </c>
      <c r="C476" s="139" t="str">
        <f>IF($B476="","",IFERROR(INDEX(Lançamentos!$J$3:$J$1001,MATCH($B476,Lançamentos!$B$3:$B$1001,0)),""))</f>
        <v/>
      </c>
      <c r="D476" s="140"/>
      <c r="E476" s="140"/>
      <c r="F476" s="140"/>
      <c r="G476" s="140"/>
      <c r="H476" s="140"/>
      <c r="I476" s="140"/>
      <c r="J476" s="140"/>
      <c r="K476" s="140"/>
      <c r="L476" s="140"/>
      <c r="M476" s="141" t="str">
        <f t="shared" si="8"/>
        <v/>
      </c>
      <c r="N476" s="142"/>
      <c r="O476" s="143"/>
    </row>
    <row r="477" spans="2:15" x14ac:dyDescent="0.35">
      <c r="B477" s="138" t="str">
        <f>IF(Lançamentos!$B472="","",Lançamentos!$B472)</f>
        <v/>
      </c>
      <c r="C477" s="139" t="str">
        <f>IF($B477="","",IFERROR(INDEX(Lançamentos!$J$3:$J$1001,MATCH($B477,Lançamentos!$B$3:$B$1001,0)),""))</f>
        <v/>
      </c>
      <c r="D477" s="140"/>
      <c r="E477" s="140"/>
      <c r="F477" s="140"/>
      <c r="G477" s="140"/>
      <c r="H477" s="140"/>
      <c r="I477" s="140"/>
      <c r="J477" s="140"/>
      <c r="K477" s="140"/>
      <c r="L477" s="140"/>
      <c r="M477" s="141" t="str">
        <f t="shared" si="8"/>
        <v/>
      </c>
      <c r="N477" s="142"/>
      <c r="O477" s="143"/>
    </row>
    <row r="478" spans="2:15" x14ac:dyDescent="0.35">
      <c r="B478" s="138" t="str">
        <f>IF(Lançamentos!$B473="","",Lançamentos!$B473)</f>
        <v/>
      </c>
      <c r="C478" s="139" t="str">
        <f>IF($B478="","",IFERROR(INDEX(Lançamentos!$J$3:$J$1001,MATCH($B478,Lançamentos!$B$3:$B$1001,0)),""))</f>
        <v/>
      </c>
      <c r="D478" s="140"/>
      <c r="E478" s="140"/>
      <c r="F478" s="140"/>
      <c r="G478" s="140"/>
      <c r="H478" s="140"/>
      <c r="I478" s="140"/>
      <c r="J478" s="140"/>
      <c r="K478" s="140"/>
      <c r="L478" s="140"/>
      <c r="M478" s="141" t="str">
        <f t="shared" si="8"/>
        <v/>
      </c>
      <c r="N478" s="142"/>
      <c r="O478" s="143"/>
    </row>
    <row r="479" spans="2:15" x14ac:dyDescent="0.35">
      <c r="B479" s="138" t="str">
        <f>IF(Lançamentos!$B474="","",Lançamentos!$B474)</f>
        <v/>
      </c>
      <c r="C479" s="139" t="str">
        <f>IF($B479="","",IFERROR(INDEX(Lançamentos!$J$3:$J$1001,MATCH($B479,Lançamentos!$B$3:$B$1001,0)),""))</f>
        <v/>
      </c>
      <c r="D479" s="140"/>
      <c r="E479" s="140"/>
      <c r="F479" s="140"/>
      <c r="G479" s="140"/>
      <c r="H479" s="140"/>
      <c r="I479" s="140"/>
      <c r="J479" s="140"/>
      <c r="K479" s="140"/>
      <c r="L479" s="140"/>
      <c r="M479" s="141" t="str">
        <f t="shared" si="8"/>
        <v/>
      </c>
      <c r="N479" s="142"/>
      <c r="O479" s="143"/>
    </row>
    <row r="480" spans="2:15" x14ac:dyDescent="0.35">
      <c r="B480" s="138" t="str">
        <f>IF(Lançamentos!$B475="","",Lançamentos!$B475)</f>
        <v/>
      </c>
      <c r="C480" s="139" t="str">
        <f>IF($B480="","",IFERROR(INDEX(Lançamentos!$J$3:$J$1001,MATCH($B480,Lançamentos!$B$3:$B$1001,0)),""))</f>
        <v/>
      </c>
      <c r="D480" s="140"/>
      <c r="E480" s="140"/>
      <c r="F480" s="140"/>
      <c r="G480" s="140"/>
      <c r="H480" s="140"/>
      <c r="I480" s="140"/>
      <c r="J480" s="140"/>
      <c r="K480" s="140"/>
      <c r="L480" s="140"/>
      <c r="M480" s="141" t="str">
        <f t="shared" si="8"/>
        <v/>
      </c>
      <c r="N480" s="142"/>
      <c r="O480" s="143"/>
    </row>
    <row r="481" spans="2:15" x14ac:dyDescent="0.35">
      <c r="B481" s="138" t="str">
        <f>IF(Lançamentos!$B476="","",Lançamentos!$B476)</f>
        <v/>
      </c>
      <c r="C481" s="139" t="str">
        <f>IF($B481="","",IFERROR(INDEX(Lançamentos!$J$3:$J$1001,MATCH($B481,Lançamentos!$B$3:$B$1001,0)),""))</f>
        <v/>
      </c>
      <c r="D481" s="140"/>
      <c r="E481" s="140"/>
      <c r="F481" s="140"/>
      <c r="G481" s="140"/>
      <c r="H481" s="140"/>
      <c r="I481" s="140"/>
      <c r="J481" s="140"/>
      <c r="K481" s="140"/>
      <c r="L481" s="140"/>
      <c r="M481" s="141" t="str">
        <f t="shared" si="8"/>
        <v/>
      </c>
      <c r="N481" s="142"/>
      <c r="O481" s="143"/>
    </row>
    <row r="482" spans="2:15" x14ac:dyDescent="0.35">
      <c r="B482" s="138" t="str">
        <f>IF(Lançamentos!$B477="","",Lançamentos!$B477)</f>
        <v/>
      </c>
      <c r="C482" s="139" t="str">
        <f>IF($B482="","",IFERROR(INDEX(Lançamentos!$J$3:$J$1001,MATCH($B482,Lançamentos!$B$3:$B$1001,0)),""))</f>
        <v/>
      </c>
      <c r="D482" s="140"/>
      <c r="E482" s="140"/>
      <c r="F482" s="140"/>
      <c r="G482" s="140"/>
      <c r="H482" s="140"/>
      <c r="I482" s="140"/>
      <c r="J482" s="140"/>
      <c r="K482" s="140"/>
      <c r="L482" s="140"/>
      <c r="M482" s="141" t="str">
        <f t="shared" si="8"/>
        <v/>
      </c>
      <c r="N482" s="142"/>
      <c r="O482" s="143"/>
    </row>
    <row r="483" spans="2:15" x14ac:dyDescent="0.35">
      <c r="B483" s="138" t="str">
        <f>IF(Lançamentos!$B478="","",Lançamentos!$B478)</f>
        <v/>
      </c>
      <c r="C483" s="139" t="str">
        <f>IF($B483="","",IFERROR(INDEX(Lançamentos!$J$3:$J$1001,MATCH($B483,Lançamentos!$B$3:$B$1001,0)),""))</f>
        <v/>
      </c>
      <c r="D483" s="140"/>
      <c r="E483" s="140"/>
      <c r="F483" s="140"/>
      <c r="G483" s="140"/>
      <c r="H483" s="140"/>
      <c r="I483" s="140"/>
      <c r="J483" s="140"/>
      <c r="K483" s="140"/>
      <c r="L483" s="140"/>
      <c r="M483" s="141" t="str">
        <f t="shared" si="8"/>
        <v/>
      </c>
      <c r="N483" s="142"/>
      <c r="O483" s="143"/>
    </row>
    <row r="484" spans="2:15" x14ac:dyDescent="0.35">
      <c r="B484" s="138" t="str">
        <f>IF(Lançamentos!$B479="","",Lançamentos!$B479)</f>
        <v/>
      </c>
      <c r="C484" s="139" t="str">
        <f>IF($B484="","",IFERROR(INDEX(Lançamentos!$J$3:$J$1001,MATCH($B484,Lançamentos!$B$3:$B$1001,0)),""))</f>
        <v/>
      </c>
      <c r="D484" s="140"/>
      <c r="E484" s="140"/>
      <c r="F484" s="140"/>
      <c r="G484" s="140"/>
      <c r="H484" s="140"/>
      <c r="I484" s="140"/>
      <c r="J484" s="140"/>
      <c r="K484" s="140"/>
      <c r="L484" s="140"/>
      <c r="M484" s="141" t="str">
        <f t="shared" si="8"/>
        <v/>
      </c>
      <c r="N484" s="142"/>
      <c r="O484" s="143"/>
    </row>
    <row r="485" spans="2:15" x14ac:dyDescent="0.35">
      <c r="B485" s="138" t="str">
        <f>IF(Lançamentos!$B480="","",Lançamentos!$B480)</f>
        <v/>
      </c>
      <c r="C485" s="139" t="str">
        <f>IF($B485="","",IFERROR(INDEX(Lançamentos!$J$3:$J$1001,MATCH($B485,Lançamentos!$B$3:$B$1001,0)),""))</f>
        <v/>
      </c>
      <c r="D485" s="140"/>
      <c r="E485" s="140"/>
      <c r="F485" s="140"/>
      <c r="G485" s="140"/>
      <c r="H485" s="140"/>
      <c r="I485" s="140"/>
      <c r="J485" s="140"/>
      <c r="K485" s="140"/>
      <c r="L485" s="140"/>
      <c r="M485" s="141" t="str">
        <f t="shared" si="8"/>
        <v/>
      </c>
      <c r="N485" s="142"/>
      <c r="O485" s="143"/>
    </row>
    <row r="486" spans="2:15" x14ac:dyDescent="0.35">
      <c r="B486" s="138" t="str">
        <f>IF(Lançamentos!$B481="","",Lançamentos!$B481)</f>
        <v/>
      </c>
      <c r="C486" s="139" t="str">
        <f>IF($B486="","",IFERROR(INDEX(Lançamentos!$J$3:$J$1001,MATCH($B486,Lançamentos!$B$3:$B$1001,0)),""))</f>
        <v/>
      </c>
      <c r="D486" s="140"/>
      <c r="E486" s="140"/>
      <c r="F486" s="140"/>
      <c r="G486" s="140"/>
      <c r="H486" s="140"/>
      <c r="I486" s="140"/>
      <c r="J486" s="140"/>
      <c r="K486" s="140"/>
      <c r="L486" s="140"/>
      <c r="M486" s="141" t="str">
        <f t="shared" si="8"/>
        <v/>
      </c>
      <c r="N486" s="142"/>
      <c r="O486" s="143"/>
    </row>
    <row r="487" spans="2:15" x14ac:dyDescent="0.35">
      <c r="B487" s="138" t="str">
        <f>IF(Lançamentos!$B482="","",Lançamentos!$B482)</f>
        <v/>
      </c>
      <c r="C487" s="139" t="str">
        <f>IF($B487="","",IFERROR(INDEX(Lançamentos!$J$3:$J$1001,MATCH($B487,Lançamentos!$B$3:$B$1001,0)),""))</f>
        <v/>
      </c>
      <c r="D487" s="140"/>
      <c r="E487" s="140"/>
      <c r="F487" s="140"/>
      <c r="G487" s="140"/>
      <c r="H487" s="140"/>
      <c r="I487" s="140"/>
      <c r="J487" s="140"/>
      <c r="K487" s="140"/>
      <c r="L487" s="140"/>
      <c r="M487" s="141" t="str">
        <f t="shared" si="8"/>
        <v/>
      </c>
      <c r="N487" s="142"/>
      <c r="O487" s="143"/>
    </row>
    <row r="488" spans="2:15" x14ac:dyDescent="0.35">
      <c r="B488" s="138" t="str">
        <f>IF(Lançamentos!$B483="","",Lançamentos!$B483)</f>
        <v/>
      </c>
      <c r="C488" s="139" t="str">
        <f>IF($B488="","",IFERROR(INDEX(Lançamentos!$J$3:$J$1001,MATCH($B488,Lançamentos!$B$3:$B$1001,0)),""))</f>
        <v/>
      </c>
      <c r="D488" s="140"/>
      <c r="E488" s="140"/>
      <c r="F488" s="140"/>
      <c r="G488" s="140"/>
      <c r="H488" s="140"/>
      <c r="I488" s="140"/>
      <c r="J488" s="140"/>
      <c r="K488" s="140"/>
      <c r="L488" s="140"/>
      <c r="M488" s="141" t="str">
        <f t="shared" si="8"/>
        <v/>
      </c>
      <c r="N488" s="142"/>
      <c r="O488" s="143"/>
    </row>
    <row r="489" spans="2:15" x14ac:dyDescent="0.35">
      <c r="B489" s="138" t="str">
        <f>IF(Lançamentos!$B484="","",Lançamentos!$B484)</f>
        <v/>
      </c>
      <c r="C489" s="139" t="str">
        <f>IF($B489="","",IFERROR(INDEX(Lançamentos!$J$3:$J$1001,MATCH($B489,Lançamentos!$B$3:$B$1001,0)),""))</f>
        <v/>
      </c>
      <c r="D489" s="140"/>
      <c r="E489" s="140"/>
      <c r="F489" s="140"/>
      <c r="G489" s="140"/>
      <c r="H489" s="140"/>
      <c r="I489" s="140"/>
      <c r="J489" s="140"/>
      <c r="K489" s="140"/>
      <c r="L489" s="140"/>
      <c r="M489" s="141" t="str">
        <f t="shared" si="8"/>
        <v/>
      </c>
      <c r="N489" s="142"/>
      <c r="O489" s="143"/>
    </row>
    <row r="490" spans="2:15" x14ac:dyDescent="0.35">
      <c r="B490" s="138" t="str">
        <f>IF(Lançamentos!$B485="","",Lançamentos!$B485)</f>
        <v/>
      </c>
      <c r="C490" s="139" t="str">
        <f>IF($B490="","",IFERROR(INDEX(Lançamentos!$J$3:$J$1001,MATCH($B490,Lançamentos!$B$3:$B$1001,0)),""))</f>
        <v/>
      </c>
      <c r="D490" s="140"/>
      <c r="E490" s="140"/>
      <c r="F490" s="140"/>
      <c r="G490" s="140"/>
      <c r="H490" s="140"/>
      <c r="I490" s="140"/>
      <c r="J490" s="140"/>
      <c r="K490" s="140"/>
      <c r="L490" s="140"/>
      <c r="M490" s="141" t="str">
        <f t="shared" si="8"/>
        <v/>
      </c>
      <c r="N490" s="142"/>
      <c r="O490" s="143"/>
    </row>
    <row r="491" spans="2:15" x14ac:dyDescent="0.35">
      <c r="B491" s="138" t="str">
        <f>IF(Lançamentos!$B486="","",Lançamentos!$B486)</f>
        <v/>
      </c>
      <c r="C491" s="139" t="str">
        <f>IF($B491="","",IFERROR(INDEX(Lançamentos!$J$3:$J$1001,MATCH($B491,Lançamentos!$B$3:$B$1001,0)),""))</f>
        <v/>
      </c>
      <c r="D491" s="140"/>
      <c r="E491" s="140"/>
      <c r="F491" s="140"/>
      <c r="G491" s="140"/>
      <c r="H491" s="140"/>
      <c r="I491" s="140"/>
      <c r="J491" s="140"/>
      <c r="K491" s="140"/>
      <c r="L491" s="140"/>
      <c r="M491" s="141" t="str">
        <f t="shared" si="8"/>
        <v/>
      </c>
      <c r="N491" s="142"/>
      <c r="O491" s="143"/>
    </row>
    <row r="492" spans="2:15" x14ac:dyDescent="0.35">
      <c r="B492" s="138" t="str">
        <f>IF(Lançamentos!$B487="","",Lançamentos!$B487)</f>
        <v/>
      </c>
      <c r="C492" s="139" t="str">
        <f>IF($B492="","",IFERROR(INDEX(Lançamentos!$J$3:$J$1001,MATCH($B492,Lançamentos!$B$3:$B$1001,0)),""))</f>
        <v/>
      </c>
      <c r="D492" s="140"/>
      <c r="E492" s="140"/>
      <c r="F492" s="140"/>
      <c r="G492" s="140"/>
      <c r="H492" s="140"/>
      <c r="I492" s="140"/>
      <c r="J492" s="140"/>
      <c r="K492" s="140"/>
      <c r="L492" s="140"/>
      <c r="M492" s="141" t="str">
        <f t="shared" si="8"/>
        <v/>
      </c>
      <c r="N492" s="142"/>
      <c r="O492" s="143"/>
    </row>
    <row r="493" spans="2:15" x14ac:dyDescent="0.35">
      <c r="B493" s="138" t="str">
        <f>IF(Lançamentos!$B488="","",Lançamentos!$B488)</f>
        <v/>
      </c>
      <c r="C493" s="139" t="str">
        <f>IF($B493="","",IFERROR(INDEX(Lançamentos!$J$3:$J$1001,MATCH($B493,Lançamentos!$B$3:$B$1001,0)),""))</f>
        <v/>
      </c>
      <c r="D493" s="140"/>
      <c r="E493" s="140"/>
      <c r="F493" s="140"/>
      <c r="G493" s="140"/>
      <c r="H493" s="140"/>
      <c r="I493" s="140"/>
      <c r="J493" s="140"/>
      <c r="K493" s="140"/>
      <c r="L493" s="140"/>
      <c r="M493" s="141" t="str">
        <f t="shared" si="8"/>
        <v/>
      </c>
      <c r="N493" s="142"/>
      <c r="O493" s="143"/>
    </row>
    <row r="494" spans="2:15" x14ac:dyDescent="0.35">
      <c r="B494" s="138" t="str">
        <f>IF(Lançamentos!$B489="","",Lançamentos!$B489)</f>
        <v/>
      </c>
      <c r="C494" s="139" t="str">
        <f>IF($B494="","",IFERROR(INDEX(Lançamentos!$J$3:$J$1001,MATCH($B494,Lançamentos!$B$3:$B$1001,0)),""))</f>
        <v/>
      </c>
      <c r="D494" s="140"/>
      <c r="E494" s="140"/>
      <c r="F494" s="140"/>
      <c r="G494" s="140"/>
      <c r="H494" s="140"/>
      <c r="I494" s="140"/>
      <c r="J494" s="140"/>
      <c r="K494" s="140"/>
      <c r="L494" s="140"/>
      <c r="M494" s="141" t="str">
        <f t="shared" si="8"/>
        <v/>
      </c>
      <c r="N494" s="142"/>
      <c r="O494" s="143"/>
    </row>
    <row r="495" spans="2:15" x14ac:dyDescent="0.35">
      <c r="B495" s="138" t="str">
        <f>IF(Lançamentos!$B490="","",Lançamentos!$B490)</f>
        <v/>
      </c>
      <c r="C495" s="139" t="str">
        <f>IF($B495="","",IFERROR(INDEX(Lançamentos!$J$3:$J$1001,MATCH($B495,Lançamentos!$B$3:$B$1001,0)),""))</f>
        <v/>
      </c>
      <c r="D495" s="140"/>
      <c r="E495" s="140"/>
      <c r="F495" s="140"/>
      <c r="G495" s="140"/>
      <c r="H495" s="140"/>
      <c r="I495" s="140"/>
      <c r="J495" s="140"/>
      <c r="K495" s="140"/>
      <c r="L495" s="140"/>
      <c r="M495" s="141" t="str">
        <f t="shared" si="8"/>
        <v/>
      </c>
      <c r="N495" s="142"/>
      <c r="O495" s="143"/>
    </row>
    <row r="496" spans="2:15" x14ac:dyDescent="0.35">
      <c r="B496" s="138" t="str">
        <f>IF(Lançamentos!$B491="","",Lançamentos!$B491)</f>
        <v/>
      </c>
      <c r="C496" s="139" t="str">
        <f>IF($B496="","",IFERROR(INDEX(Lançamentos!$J$3:$J$1001,MATCH($B496,Lançamentos!$B$3:$B$1001,0)),""))</f>
        <v/>
      </c>
      <c r="D496" s="140"/>
      <c r="E496" s="140"/>
      <c r="F496" s="140"/>
      <c r="G496" s="140"/>
      <c r="H496" s="140"/>
      <c r="I496" s="140"/>
      <c r="J496" s="140"/>
      <c r="K496" s="140"/>
      <c r="L496" s="140"/>
      <c r="M496" s="141" t="str">
        <f t="shared" si="8"/>
        <v/>
      </c>
      <c r="N496" s="142"/>
      <c r="O496" s="143"/>
    </row>
    <row r="497" spans="2:15" x14ac:dyDescent="0.35">
      <c r="B497" s="138" t="str">
        <f>IF(Lançamentos!$B492="","",Lançamentos!$B492)</f>
        <v/>
      </c>
      <c r="C497" s="139" t="str">
        <f>IF($B497="","",IFERROR(INDEX(Lançamentos!$J$3:$J$1001,MATCH($B497,Lançamentos!$B$3:$B$1001,0)),""))</f>
        <v/>
      </c>
      <c r="D497" s="140"/>
      <c r="E497" s="140"/>
      <c r="F497" s="140"/>
      <c r="G497" s="140"/>
      <c r="H497" s="140"/>
      <c r="I497" s="140"/>
      <c r="J497" s="140"/>
      <c r="K497" s="140"/>
      <c r="L497" s="140"/>
      <c r="M497" s="141" t="str">
        <f t="shared" si="8"/>
        <v/>
      </c>
      <c r="N497" s="142"/>
      <c r="O497" s="143"/>
    </row>
    <row r="498" spans="2:15" x14ac:dyDescent="0.35">
      <c r="B498" s="138" t="str">
        <f>IF(Lançamentos!$B493="","",Lançamentos!$B493)</f>
        <v/>
      </c>
      <c r="C498" s="139" t="str">
        <f>IF($B498="","",IFERROR(INDEX(Lançamentos!$J$3:$J$1001,MATCH($B498,Lançamentos!$B$3:$B$1001,0)),""))</f>
        <v/>
      </c>
      <c r="D498" s="140"/>
      <c r="E498" s="140"/>
      <c r="F498" s="140"/>
      <c r="G498" s="140"/>
      <c r="H498" s="140"/>
      <c r="I498" s="140"/>
      <c r="J498" s="140"/>
      <c r="K498" s="140"/>
      <c r="L498" s="140"/>
      <c r="M498" s="141" t="str">
        <f t="shared" si="8"/>
        <v/>
      </c>
      <c r="N498" s="142"/>
      <c r="O498" s="143"/>
    </row>
    <row r="499" spans="2:15" x14ac:dyDescent="0.35">
      <c r="B499" s="138" t="str">
        <f>IF(Lançamentos!$B494="","",Lançamentos!$B494)</f>
        <v/>
      </c>
      <c r="C499" s="139" t="str">
        <f>IF($B499="","",IFERROR(INDEX(Lançamentos!$J$3:$J$1001,MATCH($B499,Lançamentos!$B$3:$B$1001,0)),""))</f>
        <v/>
      </c>
      <c r="D499" s="140"/>
      <c r="E499" s="140"/>
      <c r="F499" s="140"/>
      <c r="G499" s="140"/>
      <c r="H499" s="140"/>
      <c r="I499" s="140"/>
      <c r="J499" s="140"/>
      <c r="K499" s="140"/>
      <c r="L499" s="140"/>
      <c r="M499" s="141" t="str">
        <f t="shared" si="8"/>
        <v/>
      </c>
      <c r="N499" s="142"/>
      <c r="O499" s="143"/>
    </row>
    <row r="500" spans="2:15" x14ac:dyDescent="0.35">
      <c r="B500" s="138" t="str">
        <f>IF(Lançamentos!$B495="","",Lançamentos!$B495)</f>
        <v/>
      </c>
      <c r="C500" s="139" t="str">
        <f>IF($B500="","",IFERROR(INDEX(Lançamentos!$J$3:$J$1001,MATCH($B500,Lançamentos!$B$3:$B$1001,0)),""))</f>
        <v/>
      </c>
      <c r="D500" s="140"/>
      <c r="E500" s="140"/>
      <c r="F500" s="140"/>
      <c r="G500" s="140"/>
      <c r="H500" s="140"/>
      <c r="I500" s="140"/>
      <c r="J500" s="140"/>
      <c r="K500" s="140"/>
      <c r="L500" s="140"/>
      <c r="M500" s="141" t="str">
        <f t="shared" si="8"/>
        <v/>
      </c>
      <c r="N500" s="142"/>
      <c r="O500" s="143"/>
    </row>
    <row r="501" spans="2:15" x14ac:dyDescent="0.35">
      <c r="B501" s="138" t="str">
        <f>IF(Lançamentos!$B496="","",Lançamentos!$B496)</f>
        <v/>
      </c>
      <c r="C501" s="139" t="str">
        <f>IF($B501="","",IFERROR(INDEX(Lançamentos!$J$3:$J$1001,MATCH($B501,Lançamentos!$B$3:$B$1001,0)),""))</f>
        <v/>
      </c>
      <c r="D501" s="140"/>
      <c r="E501" s="140"/>
      <c r="F501" s="140"/>
      <c r="G501" s="140"/>
      <c r="H501" s="140"/>
      <c r="I501" s="140"/>
      <c r="J501" s="140"/>
      <c r="K501" s="140"/>
      <c r="L501" s="140"/>
      <c r="M501" s="141" t="str">
        <f t="shared" si="8"/>
        <v/>
      </c>
      <c r="N501" s="142"/>
      <c r="O501" s="143"/>
    </row>
    <row r="502" spans="2:15" x14ac:dyDescent="0.35">
      <c r="B502" s="138" t="str">
        <f>IF(Lançamentos!$B497="","",Lançamentos!$B497)</f>
        <v/>
      </c>
      <c r="C502" s="139" t="str">
        <f>IF($B502="","",IFERROR(INDEX(Lançamentos!$J$3:$J$1001,MATCH($B502,Lançamentos!$B$3:$B$1001,0)),""))</f>
        <v/>
      </c>
      <c r="D502" s="140"/>
      <c r="E502" s="140"/>
      <c r="F502" s="140"/>
      <c r="G502" s="140"/>
      <c r="H502" s="140"/>
      <c r="I502" s="140"/>
      <c r="J502" s="140"/>
      <c r="K502" s="140"/>
      <c r="L502" s="140"/>
      <c r="M502" s="141" t="str">
        <f t="shared" si="8"/>
        <v/>
      </c>
      <c r="N502" s="142"/>
      <c r="O502" s="143"/>
    </row>
    <row r="503" spans="2:15" x14ac:dyDescent="0.35">
      <c r="B503" s="138" t="str">
        <f>IF(Lançamentos!$B498="","",Lançamentos!$B498)</f>
        <v/>
      </c>
      <c r="C503" s="139" t="str">
        <f>IF($B503="","",IFERROR(INDEX(Lançamentos!$J$3:$J$1001,MATCH($B503,Lançamentos!$B$3:$B$1001,0)),""))</f>
        <v/>
      </c>
      <c r="D503" s="140"/>
      <c r="E503" s="140"/>
      <c r="F503" s="140"/>
      <c r="G503" s="140"/>
      <c r="H503" s="140"/>
      <c r="I503" s="140"/>
      <c r="J503" s="140"/>
      <c r="K503" s="140"/>
      <c r="L503" s="140"/>
      <c r="M503" s="141" t="str">
        <f t="shared" si="8"/>
        <v/>
      </c>
      <c r="N503" s="142"/>
      <c r="O503" s="143"/>
    </row>
    <row r="504" spans="2:15" x14ac:dyDescent="0.35">
      <c r="B504" s="138" t="str">
        <f>IF(Lançamentos!$B499="","",Lançamentos!$B499)</f>
        <v/>
      </c>
      <c r="C504" s="139" t="str">
        <f>IF($B504="","",IFERROR(INDEX(Lançamentos!$J$3:$J$1001,MATCH($B504,Lançamentos!$B$3:$B$1001,0)),""))</f>
        <v/>
      </c>
      <c r="D504" s="140"/>
      <c r="E504" s="140"/>
      <c r="F504" s="140"/>
      <c r="G504" s="140"/>
      <c r="H504" s="140"/>
      <c r="I504" s="140"/>
      <c r="J504" s="140"/>
      <c r="K504" s="140"/>
      <c r="L504" s="140"/>
      <c r="M504" s="141" t="str">
        <f t="shared" si="8"/>
        <v/>
      </c>
      <c r="N504" s="142"/>
      <c r="O504" s="143"/>
    </row>
    <row r="505" spans="2:15" x14ac:dyDescent="0.35">
      <c r="B505" s="138" t="str">
        <f>IF(Lançamentos!$B500="","",Lançamentos!$B500)</f>
        <v/>
      </c>
      <c r="C505" s="139" t="str">
        <f>IF($B505="","",IFERROR(INDEX(Lançamentos!$J$3:$J$1001,MATCH($B505,Lançamentos!$B$3:$B$1001,0)),""))</f>
        <v/>
      </c>
      <c r="D505" s="140"/>
      <c r="E505" s="140"/>
      <c r="F505" s="140"/>
      <c r="G505" s="140"/>
      <c r="H505" s="140"/>
      <c r="I505" s="140"/>
      <c r="J505" s="140"/>
      <c r="K505" s="140"/>
      <c r="L505" s="140"/>
      <c r="M505" s="141" t="str">
        <f t="shared" si="8"/>
        <v/>
      </c>
      <c r="N505" s="142"/>
      <c r="O505" s="143"/>
    </row>
    <row r="506" spans="2:15" x14ac:dyDescent="0.35">
      <c r="B506" s="138" t="str">
        <f>IF(Lançamentos!$B501="","",Lançamentos!$B501)</f>
        <v/>
      </c>
      <c r="C506" s="139" t="str">
        <f>IF($B506="","",IFERROR(INDEX(Lançamentos!$J$3:$J$1001,MATCH($B506,Lançamentos!$B$3:$B$1001,0)),""))</f>
        <v/>
      </c>
      <c r="D506" s="140"/>
      <c r="E506" s="140"/>
      <c r="F506" s="140"/>
      <c r="G506" s="140"/>
      <c r="H506" s="140"/>
      <c r="I506" s="140"/>
      <c r="J506" s="140"/>
      <c r="K506" s="140"/>
      <c r="L506" s="140"/>
      <c r="M506" s="141" t="str">
        <f t="shared" si="8"/>
        <v/>
      </c>
      <c r="N506" s="142"/>
      <c r="O506" s="143"/>
    </row>
    <row r="507" spans="2:15" x14ac:dyDescent="0.35">
      <c r="B507" s="144" t="str">
        <f>IF(Lançamentos!$B502="","",Lançamentos!$B502)</f>
        <v/>
      </c>
      <c r="C507" s="145" t="str">
        <f>IF($B507="","",IFERROR(INDEX(Lançamentos!$J$3:$J$1001,MATCH($B507,Lançamentos!$B$3:$B$1001,0)),""))</f>
        <v/>
      </c>
      <c r="D507" s="146"/>
      <c r="E507" s="146"/>
      <c r="F507" s="146"/>
      <c r="G507" s="146"/>
      <c r="H507" s="146"/>
      <c r="I507" s="146"/>
      <c r="J507" s="146"/>
      <c r="K507" s="146"/>
      <c r="L507" s="146"/>
      <c r="M507" s="147" t="str">
        <f t="shared" si="8"/>
        <v/>
      </c>
      <c r="N507" s="148"/>
      <c r="O507" s="149"/>
    </row>
  </sheetData>
  <conditionalFormatting sqref="B8:O507">
    <cfRule type="expression" dxfId="199" priority="12">
      <formula>AND($B8&lt;&gt;"",$M8=1,COUNTIF($E8:$L8,"⛔ Bloqueado")=0)</formula>
    </cfRule>
    <cfRule type="expression" dxfId="198" priority="13">
      <formula>AND($B8&lt;&gt;"",COUNTIF($E8:$L8,"⛔ Bloqueado")&gt;0)</formula>
    </cfRule>
    <cfRule type="expression" dxfId="197" priority="14">
      <formula>AND($B8&lt;&gt;"",COUNTIF($E8:$L8,"🔄 Em andamento")&gt;0,COUNTIF($E8:$L8,"⛔ Bloqueado")=0)</formula>
    </cfRule>
    <cfRule type="expression" dxfId="196" priority="15">
      <formula>AND($B8&lt;&gt;"",COUNTIF($E8:$L8,"⏳ Pendente")&gt;0,COUNTIF($E8:$L8,"🔄 Em andamento")=0,COUNTIF($E8:$L8,"⛔ Bloqueado")=0)</formula>
    </cfRule>
    <cfRule type="expression" dxfId="195" priority="16">
      <formula>AND($B8&lt;&gt;"",COUNTIF($E8:$L8,"N/A")=8)</formula>
    </cfRule>
  </conditionalFormatting>
  <conditionalFormatting sqref="E8:L507">
    <cfRule type="expression" dxfId="194" priority="17">
      <formula>E8="⛔ Bloqueado"</formula>
    </cfRule>
    <cfRule type="expression" dxfId="193" priority="18">
      <formula>E8="✔ Concluído"</formula>
    </cfRule>
    <cfRule type="expression" dxfId="192" priority="19">
      <formula>E8="⏳ Pendente"</formula>
    </cfRule>
    <cfRule type="expression" dxfId="191" priority="20">
      <formula>E8="🔄 Em andamento"</formula>
    </cfRule>
    <cfRule type="expression" dxfId="190" priority="21">
      <formula>E8="N/A"</formula>
    </cfRule>
    <cfRule type="expression" dxfId="189" priority="22">
      <formula>AND(E8="N/A",$N8="",$O8="")</formula>
    </cfRule>
  </conditionalFormatting>
  <conditionalFormatting sqref="B208:O507">
    <cfRule type="expression" dxfId="188" priority="1">
      <formula>AND($B208&lt;&gt;"",$M208=1,COUNTIF($E208:$L208,"⛔ Bloqueado")=0)</formula>
    </cfRule>
    <cfRule type="expression" dxfId="187" priority="2">
      <formula>AND($B208&lt;&gt;"",COUNTIF($E208:$L208,"⛔ Bloqueado")&gt;0)</formula>
    </cfRule>
    <cfRule type="expression" dxfId="186" priority="3">
      <formula>AND($B208&lt;&gt;"",COUNTIF($E208:$L208,"🔄 Em andamento")&gt;0,COUNTIF($E208:$L208,"⛔ Bloqueado")=0)</formula>
    </cfRule>
    <cfRule type="expression" dxfId="185" priority="4">
      <formula>AND($B208&lt;&gt;"",COUNTIF($E208:$L208,"⏳ Pendente")&gt;0,COUNTIF($E208:$L208,"🔄 Em andamento")=0,COUNTIF($E208:$L208,"⛔ Bloqueado")=0)</formula>
    </cfRule>
    <cfRule type="expression" dxfId="184" priority="5">
      <formula>AND($B208&lt;&gt;"",COUNTIF($E208:$L208,"N/A")=8)</formula>
    </cfRule>
  </conditionalFormatting>
  <conditionalFormatting sqref="E208:L507">
    <cfRule type="expression" dxfId="183" priority="6">
      <formula>E208="⛔ Bloqueado"</formula>
    </cfRule>
    <cfRule type="expression" dxfId="182" priority="7">
      <formula>E208="✔ Concluído"</formula>
    </cfRule>
    <cfRule type="expression" dxfId="181" priority="8">
      <formula>E208="⏳ Pendente"</formula>
    </cfRule>
    <cfRule type="expression" dxfId="180" priority="9">
      <formula>E208="🔄 Em andamento"</formula>
    </cfRule>
    <cfRule type="expression" dxfId="179" priority="10">
      <formula>E208="N/A"</formula>
    </cfRule>
    <cfRule type="expression" dxfId="178" priority="11">
      <formula>AND(E208="N/A",$N208="",$O208="")</formula>
    </cfRule>
  </conditionalFormatting>
  <dataValidations count="2">
    <dataValidation type="list" allowBlank="1" errorTitle="Status inválido" error="Use somente os status padronizados da Etapa 02." sqref="E8:L507" xr:uid="{CF5A4412-F5BF-4A40-A2B0-B67E21BB827A}">
      <formula1>"⏳ Pendente,🔄 Em andamento,✔ Concluído,⛔ Bloqueado,N/A"</formula1>
    </dataValidation>
    <dataValidation type="list" allowBlank="1" errorTitle="Pilar não cadastrado" error="Selecione um Pilar oficial da aba Cadastros." sqref="D8:D507" xr:uid="{65CBD645-96BE-492A-8D76-BAB96D38D254}">
      <formula1>Lista_Pilares_E2</formula1>
    </dataValidation>
  </dataValidations>
  <pageMargins left="0.75" right="0.75" top="1" bottom="1" header="0.511811023622047" footer="0.511811023622047"/>
  <pageSetup paperSize="9" orientation="portrait" horizontalDpi="300" verticalDpi="300"/>
  <legacyDrawing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XFB507"/>
  <sheetViews>
    <sheetView showGridLines="0" zoomScale="80" zoomScaleNormal="80" workbookViewId="0">
      <pane ySplit="7" topLeftCell="A8" activePane="bottomLeft" state="frozen"/>
      <selection sqref="A1:XFD1048576"/>
      <selection pane="bottomLeft" activeCell="B5" sqref="B5"/>
    </sheetView>
  </sheetViews>
  <sheetFormatPr defaultColWidth="0" defaultRowHeight="14.5" x14ac:dyDescent="0.35"/>
  <cols>
    <col min="1" max="1" width="1.54296875" bestFit="1" customWidth="1"/>
    <col min="2" max="2" width="15.453125" style="7" customWidth="1"/>
    <col min="3" max="3" width="48.54296875" style="7" bestFit="1" customWidth="1"/>
    <col min="4" max="4" width="27.26953125" style="7" customWidth="1"/>
    <col min="5" max="5" width="31.81640625" style="7" customWidth="1"/>
    <col min="6" max="6" width="30" style="7" customWidth="1"/>
    <col min="7" max="7" width="37.26953125" style="7" customWidth="1"/>
    <col min="8" max="9" width="34.54296875" style="7" customWidth="1"/>
    <col min="10" max="10" width="14.54296875" style="7" customWidth="1"/>
    <col min="11" max="11" width="38.1796875" style="7" customWidth="1"/>
    <col min="12" max="12" width="43.54296875" style="7" customWidth="1"/>
    <col min="13" max="13" width="1.54296875" bestFit="1" customWidth="1"/>
    <col min="14" max="16384" width="8.54296875" hidden="1"/>
  </cols>
  <sheetData>
    <row r="2" spans="1:1024 1034:2046 2056:3068 3078:4090 4100:5112 5122:7168 7170:8192 8202:9214 9224:10236 10246:11258 11268:12280 12290:14336 14338:15360 15370:16382" s="49" customFormat="1" ht="25.5" customHeight="1" x14ac:dyDescent="0.5">
      <c r="B2" s="311" t="s">
        <v>491</v>
      </c>
      <c r="C2" s="126"/>
      <c r="D2" s="126"/>
      <c r="E2" s="126"/>
      <c r="F2" s="126"/>
      <c r="G2" s="126"/>
      <c r="H2" s="126"/>
      <c r="I2" s="126"/>
      <c r="J2" s="126"/>
      <c r="K2" s="126"/>
      <c r="L2" s="126"/>
    </row>
    <row r="3" spans="1:1024 1034:2046 2056:3068 3078:4090 4100:5112 5122:7168 7170:8192 8202:9214 9224:10236 10246:11258 11268:12280 12290:14336 14338:15360 15370:16382" ht="15" customHeight="1" x14ac:dyDescent="0.35">
      <c r="B3" s="127" t="s">
        <v>492</v>
      </c>
      <c r="C3" s="128"/>
      <c r="D3" s="128"/>
      <c r="E3" s="128"/>
      <c r="F3" s="128"/>
      <c r="G3" s="128"/>
      <c r="H3" s="128"/>
      <c r="I3" s="128"/>
      <c r="J3" s="128"/>
      <c r="K3" s="128"/>
      <c r="L3" s="128"/>
    </row>
    <row r="4" spans="1:1024 1034:2046 2056:3068 3078:4090 4100:5112 5122:7168 7170:8192 8202:9214 9224:10236 10246:11258 11268:12280 12290:14336 14338:15360 15370:16382" s="2" customFormat="1" ht="27.75" customHeight="1" x14ac:dyDescent="0.35">
      <c r="B4" s="10" t="s">
        <v>493</v>
      </c>
      <c r="C4" s="11"/>
      <c r="D4" s="11"/>
      <c r="E4" s="11"/>
      <c r="F4" s="11"/>
      <c r="G4" s="11"/>
      <c r="H4" s="11"/>
      <c r="I4" s="11"/>
      <c r="J4" s="11"/>
      <c r="K4" s="11"/>
      <c r="L4" s="11"/>
    </row>
    <row r="5" spans="1:1024 1034:2046 2056:3068 3078:4090 4100:5112 5122:7168 7170:8192 8202:9214 9224:10236 10246:11258 11268:12280 12290:14336 14338:15360 15370:16382" s="2" customFormat="1" ht="24" customHeight="1" x14ac:dyDescent="0.35">
      <c r="B5" s="12" t="s">
        <v>494</v>
      </c>
      <c r="C5" s="13"/>
      <c r="D5" s="13"/>
      <c r="E5" s="13"/>
      <c r="F5" s="13"/>
      <c r="G5" s="13"/>
      <c r="H5" s="13"/>
      <c r="I5" s="13"/>
      <c r="J5" s="13"/>
      <c r="K5" s="13"/>
      <c r="L5" s="13"/>
    </row>
    <row r="7" spans="1:1024 1034:2046 2056:3068 3078:4090 4100:5112 5122:7168 7170:8192 8202:9214 9224:10236 10246:11258 11268:12280 12290:14336 14338:15360 15370:16382" ht="48" customHeight="1" x14ac:dyDescent="0.35">
      <c r="B7" s="298" t="s">
        <v>8</v>
      </c>
      <c r="C7" s="299" t="s">
        <v>127</v>
      </c>
      <c r="D7" s="299" t="s">
        <v>14</v>
      </c>
      <c r="E7" s="299" t="s">
        <v>495</v>
      </c>
      <c r="F7" s="299" t="s">
        <v>496</v>
      </c>
      <c r="G7" s="299" t="s">
        <v>497</v>
      </c>
      <c r="H7" s="299" t="s">
        <v>498</v>
      </c>
      <c r="I7" s="299" t="s">
        <v>499</v>
      </c>
      <c r="J7" s="299" t="s">
        <v>479</v>
      </c>
      <c r="K7" s="299" t="s">
        <v>109</v>
      </c>
      <c r="L7" s="300" t="s">
        <v>33</v>
      </c>
    </row>
    <row r="8" spans="1:1024 1034:2046 2056:3068 3078:4090 4100:5112 5122:7168 7170:8192 8202:9214 9224:10236 10246:11258 11268:12280 12290:14336 14338:15360 15370:16382" s="6" customFormat="1" ht="15" customHeight="1" x14ac:dyDescent="0.35">
      <c r="A8" s="150"/>
      <c r="B8" s="152" t="str">
        <f>IF(Lançamentos!$B3="","",Lançamentos!$B3)</f>
        <v/>
      </c>
      <c r="C8" s="153" t="str">
        <f>IF($B8="","",IFERROR(INDEX(Lançamentos!$J$3:$J$1001,MATCH($B8,Lançamentos!$B$3:$B$1001,0)),""))</f>
        <v/>
      </c>
      <c r="D8" s="417" t="str">
        <f>IF($B8="","",IFERROR(INDEX('E2 — Triagem'!$D$8:$D$507,MATCH($B8,'E2 — Triagem'!$B$8:$B$507,0)),""))</f>
        <v/>
      </c>
      <c r="E8" s="154"/>
      <c r="F8" s="154"/>
      <c r="G8" s="154"/>
      <c r="H8" s="154"/>
      <c r="I8" s="154"/>
      <c r="J8" s="155" t="str">
        <f>IF(B8="","",IF(COUNTIF(E8:I8,"N/A")=5,0,IF(COUNTIF(E8:I8,"✔ Concluído")=5,1,MIN(99%,COUNTIF(E8:I8,"✔ Concluído")/(5-COUNTIF(E8:I8,"N/A"))))))</f>
        <v/>
      </c>
      <c r="K8" s="153"/>
      <c r="L8" s="156"/>
      <c r="M8" s="151"/>
      <c r="N8" s="5"/>
      <c r="P8" s="15"/>
      <c r="Z8" s="16"/>
      <c r="AA8" s="5"/>
      <c r="AB8" s="5"/>
      <c r="AD8" s="15"/>
      <c r="AN8" s="16"/>
      <c r="AO8" s="5"/>
      <c r="AP8" s="5"/>
      <c r="AR8" s="15"/>
      <c r="BB8" s="16"/>
      <c r="BC8" s="5"/>
      <c r="BD8" s="5"/>
      <c r="BF8" s="15"/>
      <c r="BP8" s="16"/>
      <c r="BQ8" s="5"/>
      <c r="BR8" s="5"/>
      <c r="BT8" s="15"/>
      <c r="CD8" s="16"/>
      <c r="CE8" s="5"/>
      <c r="CF8" s="5"/>
      <c r="CH8" s="15"/>
      <c r="CR8" s="16"/>
      <c r="CS8" s="5"/>
      <c r="CT8" s="5"/>
      <c r="CV8" s="15"/>
      <c r="DF8" s="16"/>
      <c r="DG8" s="5"/>
      <c r="DH8" s="5"/>
      <c r="DJ8" s="15"/>
      <c r="DT8" s="16"/>
      <c r="DU8" s="5"/>
      <c r="DV8" s="5"/>
      <c r="DX8" s="15"/>
      <c r="EH8" s="16"/>
      <c r="EI8" s="5"/>
      <c r="EJ8" s="5"/>
      <c r="EL8" s="15"/>
      <c r="EV8" s="16"/>
      <c r="EW8" s="5"/>
      <c r="EX8" s="5"/>
      <c r="EZ8" s="15"/>
      <c r="FJ8" s="16"/>
      <c r="FK8" s="5"/>
      <c r="FL8" s="5"/>
      <c r="FN8" s="15"/>
      <c r="FX8" s="16"/>
      <c r="FY8" s="5"/>
      <c r="FZ8" s="5"/>
      <c r="GB8" s="15"/>
      <c r="GL8" s="16"/>
      <c r="GM8" s="5"/>
      <c r="GN8" s="5"/>
      <c r="GP8" s="15"/>
      <c r="GZ8" s="16"/>
      <c r="HA8" s="5"/>
      <c r="HB8" s="5"/>
      <c r="HD8" s="15"/>
      <c r="HN8" s="16"/>
      <c r="HO8" s="5"/>
      <c r="HP8" s="5"/>
      <c r="HR8" s="15"/>
      <c r="IB8" s="16"/>
      <c r="IC8" s="5"/>
      <c r="ID8" s="5"/>
      <c r="IF8" s="15"/>
      <c r="IP8" s="16"/>
      <c r="IQ8" s="5"/>
      <c r="IR8" s="5"/>
      <c r="IT8" s="15"/>
      <c r="JD8" s="16"/>
      <c r="JE8" s="5"/>
      <c r="JF8" s="5"/>
      <c r="JH8" s="15"/>
      <c r="JR8" s="16"/>
      <c r="JS8" s="5"/>
      <c r="JT8" s="5"/>
      <c r="JV8" s="15"/>
      <c r="KF8" s="16"/>
      <c r="KG8" s="5"/>
      <c r="KH8" s="5"/>
      <c r="KJ8" s="15"/>
      <c r="KT8" s="16"/>
      <c r="KU8" s="5"/>
      <c r="KV8" s="5"/>
      <c r="KX8" s="15"/>
      <c r="LH8" s="16"/>
      <c r="LI8" s="5"/>
      <c r="LJ8" s="5"/>
      <c r="LL8" s="15"/>
      <c r="LV8" s="16"/>
      <c r="LW8" s="5"/>
      <c r="LX8" s="5"/>
      <c r="LZ8" s="15"/>
      <c r="MJ8" s="16"/>
      <c r="MK8" s="5"/>
      <c r="ML8" s="5"/>
      <c r="MN8" s="15"/>
      <c r="MX8" s="16"/>
      <c r="MY8" s="5"/>
      <c r="MZ8" s="5"/>
      <c r="NB8" s="15"/>
      <c r="NL8" s="16"/>
      <c r="NM8" s="5"/>
      <c r="NN8" s="5"/>
      <c r="NP8" s="15"/>
      <c r="NZ8" s="16"/>
      <c r="OA8" s="5"/>
      <c r="OB8" s="5"/>
      <c r="OD8" s="15"/>
      <c r="ON8" s="16"/>
      <c r="OO8" s="5"/>
      <c r="OP8" s="5"/>
      <c r="OR8" s="15"/>
      <c r="PB8" s="16"/>
      <c r="PC8" s="5"/>
      <c r="PD8" s="5"/>
      <c r="PF8" s="15"/>
      <c r="PP8" s="16"/>
      <c r="PQ8" s="5"/>
      <c r="PR8" s="5"/>
      <c r="PT8" s="15"/>
      <c r="QD8" s="16"/>
      <c r="QE8" s="5"/>
      <c r="QF8" s="5"/>
      <c r="QH8" s="15"/>
      <c r="QR8" s="16"/>
      <c r="QS8" s="5"/>
      <c r="QT8" s="5"/>
      <c r="QV8" s="15"/>
      <c r="RF8" s="16"/>
      <c r="RG8" s="5"/>
      <c r="RH8" s="5"/>
      <c r="RJ8" s="15"/>
      <c r="RT8" s="16"/>
      <c r="RU8" s="5"/>
      <c r="RV8" s="5"/>
      <c r="RX8" s="15"/>
      <c r="SH8" s="16"/>
      <c r="SI8" s="5"/>
      <c r="SJ8" s="5"/>
      <c r="SL8" s="15"/>
      <c r="SV8" s="16"/>
      <c r="SW8" s="5"/>
      <c r="SX8" s="5"/>
      <c r="SZ8" s="15"/>
      <c r="TJ8" s="16"/>
      <c r="TK8" s="5"/>
      <c r="TL8" s="5"/>
      <c r="TN8" s="15"/>
      <c r="TX8" s="16"/>
      <c r="TY8" s="5"/>
      <c r="TZ8" s="5"/>
      <c r="UB8" s="15"/>
      <c r="UL8" s="16"/>
      <c r="UM8" s="5"/>
      <c r="UN8" s="5"/>
      <c r="UP8" s="15"/>
      <c r="UZ8" s="16"/>
      <c r="VA8" s="5"/>
      <c r="VB8" s="5"/>
      <c r="VD8" s="15"/>
      <c r="VN8" s="16"/>
      <c r="VO8" s="5"/>
      <c r="VP8" s="5"/>
      <c r="VR8" s="15"/>
      <c r="WB8" s="16"/>
      <c r="WC8" s="5"/>
      <c r="WD8" s="5"/>
      <c r="WF8" s="15"/>
      <c r="WP8" s="16"/>
      <c r="WQ8" s="5"/>
      <c r="WR8" s="5"/>
      <c r="WT8" s="15"/>
      <c r="XD8" s="16"/>
      <c r="XE8" s="5"/>
      <c r="XF8" s="5"/>
      <c r="XH8" s="15"/>
      <c r="XR8" s="16"/>
      <c r="XS8" s="5"/>
      <c r="XT8" s="5"/>
      <c r="XV8" s="15"/>
      <c r="YF8" s="16"/>
      <c r="YG8" s="5"/>
      <c r="YH8" s="5"/>
      <c r="YJ8" s="15"/>
      <c r="YT8" s="16"/>
      <c r="YU8" s="5"/>
      <c r="YV8" s="5"/>
      <c r="YX8" s="15"/>
      <c r="ZH8" s="16"/>
      <c r="ZI8" s="5"/>
      <c r="ZJ8" s="5"/>
      <c r="ZL8" s="15"/>
      <c r="ZV8" s="16"/>
      <c r="ZW8" s="5"/>
      <c r="ZX8" s="5"/>
      <c r="ZZ8" s="15"/>
      <c r="AAJ8" s="16"/>
      <c r="AAK8" s="5"/>
      <c r="AAL8" s="5"/>
      <c r="AAN8" s="15"/>
      <c r="AAX8" s="16"/>
      <c r="AAY8" s="5"/>
      <c r="AAZ8" s="5"/>
      <c r="ABB8" s="15"/>
      <c r="ABL8" s="16"/>
      <c r="ABM8" s="5"/>
      <c r="ABN8" s="5"/>
      <c r="ABP8" s="15"/>
      <c r="ABZ8" s="16"/>
      <c r="ACA8" s="5"/>
      <c r="ACB8" s="5"/>
      <c r="ACD8" s="15"/>
      <c r="ACN8" s="16"/>
      <c r="ACO8" s="5"/>
      <c r="ACP8" s="5"/>
      <c r="ACR8" s="15"/>
      <c r="ADB8" s="16"/>
      <c r="ADC8" s="5"/>
      <c r="ADD8" s="5"/>
      <c r="ADF8" s="15"/>
      <c r="ADP8" s="16"/>
      <c r="ADQ8" s="5"/>
      <c r="ADR8" s="5"/>
      <c r="ADT8" s="15"/>
      <c r="AED8" s="16"/>
      <c r="AEE8" s="5"/>
      <c r="AEF8" s="5"/>
      <c r="AEH8" s="15"/>
      <c r="AER8" s="16"/>
      <c r="AES8" s="5"/>
      <c r="AET8" s="5"/>
      <c r="AEV8" s="15"/>
      <c r="AFF8" s="16"/>
      <c r="AFG8" s="5"/>
      <c r="AFH8" s="5"/>
      <c r="AFJ8" s="15"/>
      <c r="AFT8" s="16"/>
      <c r="AFU8" s="5"/>
      <c r="AFV8" s="5"/>
      <c r="AFX8" s="15"/>
      <c r="AGH8" s="16"/>
      <c r="AGI8" s="5"/>
      <c r="AGJ8" s="5"/>
      <c r="AGL8" s="15"/>
      <c r="AGV8" s="16"/>
      <c r="AGW8" s="5"/>
      <c r="AGX8" s="5"/>
      <c r="AGZ8" s="15"/>
      <c r="AHJ8" s="16"/>
      <c r="AHK8" s="5"/>
      <c r="AHL8" s="5"/>
      <c r="AHN8" s="15"/>
      <c r="AHX8" s="16"/>
      <c r="AHY8" s="5"/>
      <c r="AHZ8" s="5"/>
      <c r="AIB8" s="15"/>
      <c r="AIL8" s="16"/>
      <c r="AIM8" s="5"/>
      <c r="AIN8" s="5"/>
      <c r="AIP8" s="15"/>
      <c r="AIZ8" s="16"/>
      <c r="AJA8" s="5"/>
      <c r="AJB8" s="5"/>
      <c r="AJD8" s="15"/>
      <c r="AJN8" s="16"/>
      <c r="AJO8" s="5"/>
      <c r="AJP8" s="5"/>
      <c r="AJR8" s="15"/>
      <c r="AKB8" s="16"/>
      <c r="AKC8" s="5"/>
      <c r="AKD8" s="5"/>
      <c r="AKF8" s="15"/>
      <c r="AKP8" s="16"/>
      <c r="AKQ8" s="5"/>
      <c r="AKR8" s="5"/>
      <c r="AKT8" s="15"/>
      <c r="ALD8" s="16"/>
      <c r="ALE8" s="5"/>
      <c r="ALF8" s="5"/>
      <c r="ALH8" s="15"/>
      <c r="ALR8" s="16"/>
      <c r="ALS8" s="5"/>
      <c r="ALT8" s="5"/>
      <c r="ALV8" s="15"/>
      <c r="AMF8" s="16"/>
      <c r="AMG8" s="5"/>
      <c r="AMH8" s="5"/>
      <c r="AMJ8" s="15"/>
      <c r="AMT8" s="16"/>
      <c r="AMU8" s="5"/>
      <c r="AMV8" s="5"/>
      <c r="AMX8" s="15"/>
      <c r="ANH8" s="16"/>
      <c r="ANI8" s="5"/>
      <c r="ANJ8" s="5"/>
      <c r="ANL8" s="15"/>
      <c r="ANV8" s="16"/>
      <c r="ANW8" s="5"/>
      <c r="ANX8" s="5"/>
      <c r="ANZ8" s="15"/>
      <c r="AOJ8" s="16"/>
      <c r="AOK8" s="5"/>
      <c r="AOL8" s="5"/>
      <c r="AON8" s="15"/>
      <c r="AOX8" s="16"/>
      <c r="AOY8" s="5"/>
      <c r="AOZ8" s="5"/>
      <c r="APB8" s="15"/>
      <c r="APL8" s="16"/>
      <c r="APM8" s="5"/>
      <c r="APN8" s="5"/>
      <c r="APP8" s="15"/>
      <c r="APZ8" s="16"/>
      <c r="AQA8" s="5"/>
      <c r="AQB8" s="5"/>
      <c r="AQD8" s="15"/>
      <c r="AQN8" s="16"/>
      <c r="AQO8" s="5"/>
      <c r="AQP8" s="5"/>
      <c r="AQR8" s="15"/>
      <c r="ARB8" s="16"/>
      <c r="ARC8" s="5"/>
      <c r="ARD8" s="5"/>
      <c r="ARF8" s="15"/>
      <c r="ARP8" s="16"/>
      <c r="ARQ8" s="5"/>
      <c r="ARR8" s="5"/>
      <c r="ART8" s="15"/>
      <c r="ASD8" s="16"/>
      <c r="ASE8" s="5"/>
      <c r="ASF8" s="5"/>
      <c r="ASH8" s="15"/>
      <c r="ASR8" s="16"/>
      <c r="ASS8" s="5"/>
      <c r="AST8" s="5"/>
      <c r="ASV8" s="15"/>
      <c r="ATF8" s="16"/>
      <c r="ATG8" s="5"/>
      <c r="ATH8" s="5"/>
      <c r="ATJ8" s="15"/>
      <c r="ATT8" s="16"/>
      <c r="ATU8" s="5"/>
      <c r="ATV8" s="5"/>
      <c r="ATX8" s="15"/>
      <c r="AUH8" s="16"/>
      <c r="AUI8" s="5"/>
      <c r="AUJ8" s="5"/>
      <c r="AUL8" s="15"/>
      <c r="AUV8" s="16"/>
      <c r="AUW8" s="5"/>
      <c r="AUX8" s="5"/>
      <c r="AUZ8" s="15"/>
      <c r="AVJ8" s="16"/>
      <c r="AVK8" s="5"/>
      <c r="AVL8" s="5"/>
      <c r="AVN8" s="15"/>
      <c r="AVX8" s="16"/>
      <c r="AVY8" s="5"/>
      <c r="AVZ8" s="5"/>
      <c r="AWB8" s="15"/>
      <c r="AWL8" s="16"/>
      <c r="AWM8" s="5"/>
      <c r="AWN8" s="5"/>
      <c r="AWP8" s="15"/>
      <c r="AWZ8" s="16"/>
      <c r="AXA8" s="5"/>
      <c r="AXB8" s="5"/>
      <c r="AXD8" s="15"/>
      <c r="AXN8" s="16"/>
      <c r="AXO8" s="5"/>
      <c r="AXP8" s="5"/>
      <c r="AXR8" s="15"/>
      <c r="AYB8" s="16"/>
      <c r="AYC8" s="5"/>
      <c r="AYD8" s="5"/>
      <c r="AYF8" s="15"/>
      <c r="AYP8" s="16"/>
      <c r="AYQ8" s="5"/>
      <c r="AYR8" s="5"/>
      <c r="AYT8" s="15"/>
      <c r="AZD8" s="16"/>
      <c r="AZE8" s="5"/>
      <c r="AZF8" s="5"/>
      <c r="AZH8" s="15"/>
      <c r="AZR8" s="16"/>
      <c r="AZS8" s="5"/>
      <c r="AZT8" s="5"/>
      <c r="AZV8" s="15"/>
      <c r="BAF8" s="16"/>
      <c r="BAG8" s="5"/>
      <c r="BAH8" s="5"/>
      <c r="BAJ8" s="15"/>
      <c r="BAT8" s="16"/>
      <c r="BAU8" s="5"/>
      <c r="BAV8" s="5"/>
      <c r="BAX8" s="15"/>
      <c r="BBH8" s="16"/>
      <c r="BBI8" s="5"/>
      <c r="BBJ8" s="5"/>
      <c r="BBL8" s="15"/>
      <c r="BBV8" s="16"/>
      <c r="BBW8" s="5"/>
      <c r="BBX8" s="5"/>
      <c r="BBZ8" s="15"/>
      <c r="BCJ8" s="16"/>
      <c r="BCK8" s="5"/>
      <c r="BCL8" s="5"/>
      <c r="BCN8" s="15"/>
      <c r="BCX8" s="16"/>
      <c r="BCY8" s="5"/>
      <c r="BCZ8" s="5"/>
      <c r="BDB8" s="15"/>
      <c r="BDL8" s="16"/>
      <c r="BDM8" s="5"/>
      <c r="BDN8" s="5"/>
      <c r="BDP8" s="15"/>
      <c r="BDZ8" s="16"/>
      <c r="BEA8" s="5"/>
      <c r="BEB8" s="5"/>
      <c r="BED8" s="15"/>
      <c r="BEN8" s="16"/>
      <c r="BEO8" s="5"/>
      <c r="BEP8" s="5"/>
      <c r="BER8" s="15"/>
      <c r="BFB8" s="16"/>
      <c r="BFC8" s="5"/>
      <c r="BFD8" s="5"/>
      <c r="BFF8" s="15"/>
      <c r="BFP8" s="16"/>
      <c r="BFQ8" s="5"/>
      <c r="BFR8" s="5"/>
      <c r="BFT8" s="15"/>
      <c r="BGD8" s="16"/>
      <c r="BGE8" s="5"/>
      <c r="BGF8" s="5"/>
      <c r="BGH8" s="15"/>
      <c r="BGR8" s="16"/>
      <c r="BGS8" s="5"/>
      <c r="BGT8" s="5"/>
      <c r="BGV8" s="15"/>
      <c r="BHF8" s="16"/>
      <c r="BHG8" s="5"/>
      <c r="BHH8" s="5"/>
      <c r="BHJ8" s="15"/>
      <c r="BHT8" s="16"/>
      <c r="BHU8" s="5"/>
      <c r="BHV8" s="5"/>
      <c r="BHX8" s="15"/>
      <c r="BIH8" s="16"/>
      <c r="BII8" s="5"/>
      <c r="BIJ8" s="5"/>
      <c r="BIL8" s="15"/>
      <c r="BIV8" s="16"/>
      <c r="BIW8" s="5"/>
      <c r="BIX8" s="5"/>
      <c r="BIZ8" s="15"/>
      <c r="BJJ8" s="16"/>
      <c r="BJK8" s="5"/>
      <c r="BJL8" s="5"/>
      <c r="BJN8" s="15"/>
      <c r="BJX8" s="16"/>
      <c r="BJY8" s="5"/>
      <c r="BJZ8" s="5"/>
      <c r="BKB8" s="15"/>
      <c r="BKL8" s="16"/>
      <c r="BKM8" s="5"/>
      <c r="BKN8" s="5"/>
      <c r="BKP8" s="15"/>
      <c r="BKZ8" s="16"/>
      <c r="BLA8" s="5"/>
      <c r="BLB8" s="5"/>
      <c r="BLD8" s="15"/>
      <c r="BLN8" s="16"/>
      <c r="BLO8" s="5"/>
      <c r="BLP8" s="5"/>
      <c r="BLR8" s="15"/>
      <c r="BMB8" s="16"/>
      <c r="BMC8" s="5"/>
      <c r="BMD8" s="5"/>
      <c r="BMF8" s="15"/>
      <c r="BMP8" s="16"/>
      <c r="BMQ8" s="5"/>
      <c r="BMR8" s="5"/>
      <c r="BMT8" s="15"/>
      <c r="BND8" s="16"/>
      <c r="BNE8" s="5"/>
      <c r="BNF8" s="5"/>
      <c r="BNH8" s="15"/>
      <c r="BNR8" s="16"/>
      <c r="BNS8" s="5"/>
      <c r="BNT8" s="5"/>
      <c r="BNV8" s="15"/>
      <c r="BOF8" s="16"/>
      <c r="BOG8" s="5"/>
      <c r="BOH8" s="5"/>
      <c r="BOJ8" s="15"/>
      <c r="BOT8" s="16"/>
      <c r="BOU8" s="5"/>
      <c r="BOV8" s="5"/>
      <c r="BOX8" s="15"/>
      <c r="BPH8" s="16"/>
      <c r="BPI8" s="5"/>
      <c r="BPJ8" s="5"/>
      <c r="BPL8" s="15"/>
      <c r="BPV8" s="16"/>
      <c r="BPW8" s="5"/>
      <c r="BPX8" s="5"/>
      <c r="BPZ8" s="15"/>
      <c r="BQJ8" s="16"/>
      <c r="BQK8" s="5"/>
      <c r="BQL8" s="5"/>
      <c r="BQN8" s="15"/>
      <c r="BQX8" s="16"/>
      <c r="BQY8" s="5"/>
      <c r="BQZ8" s="5"/>
      <c r="BRB8" s="15"/>
      <c r="BRL8" s="16"/>
      <c r="BRM8" s="5"/>
      <c r="BRN8" s="5"/>
      <c r="BRP8" s="15"/>
      <c r="BRZ8" s="16"/>
      <c r="BSA8" s="5"/>
      <c r="BSB8" s="5"/>
      <c r="BSD8" s="15"/>
      <c r="BSN8" s="16"/>
      <c r="BSO8" s="5"/>
      <c r="BSP8" s="5"/>
      <c r="BSR8" s="15"/>
      <c r="BTB8" s="16"/>
      <c r="BTC8" s="5"/>
      <c r="BTD8" s="5"/>
      <c r="BTF8" s="15"/>
      <c r="BTP8" s="16"/>
      <c r="BTQ8" s="5"/>
      <c r="BTR8" s="5"/>
      <c r="BTT8" s="15"/>
      <c r="BUD8" s="16"/>
      <c r="BUE8" s="5"/>
      <c r="BUF8" s="5"/>
      <c r="BUH8" s="15"/>
      <c r="BUR8" s="16"/>
      <c r="BUS8" s="5"/>
      <c r="BUT8" s="5"/>
      <c r="BUV8" s="15"/>
      <c r="BVF8" s="16"/>
      <c r="BVG8" s="5"/>
      <c r="BVH8" s="5"/>
      <c r="BVJ8" s="15"/>
      <c r="BVT8" s="16"/>
      <c r="BVU8" s="5"/>
      <c r="BVV8" s="5"/>
      <c r="BVX8" s="15"/>
      <c r="BWH8" s="16"/>
      <c r="BWI8" s="5"/>
      <c r="BWJ8" s="5"/>
      <c r="BWL8" s="15"/>
      <c r="BWV8" s="16"/>
      <c r="BWW8" s="5"/>
      <c r="BWX8" s="5"/>
      <c r="BWZ8" s="15"/>
      <c r="BXJ8" s="16"/>
      <c r="BXK8" s="5"/>
      <c r="BXL8" s="5"/>
      <c r="BXN8" s="15"/>
      <c r="BXX8" s="16"/>
      <c r="BXY8" s="5"/>
      <c r="BXZ8" s="5"/>
      <c r="BYB8" s="15"/>
      <c r="BYL8" s="16"/>
      <c r="BYM8" s="5"/>
      <c r="BYN8" s="5"/>
      <c r="BYP8" s="15"/>
      <c r="BYZ8" s="16"/>
      <c r="BZA8" s="5"/>
      <c r="BZB8" s="5"/>
      <c r="BZD8" s="15"/>
      <c r="BZN8" s="16"/>
      <c r="BZO8" s="5"/>
      <c r="BZP8" s="5"/>
      <c r="BZR8" s="15"/>
      <c r="CAB8" s="16"/>
      <c r="CAC8" s="5"/>
      <c r="CAD8" s="5"/>
      <c r="CAF8" s="15"/>
      <c r="CAP8" s="16"/>
      <c r="CAQ8" s="5"/>
      <c r="CAR8" s="5"/>
      <c r="CAT8" s="15"/>
      <c r="CBD8" s="16"/>
      <c r="CBE8" s="5"/>
      <c r="CBF8" s="5"/>
      <c r="CBH8" s="15"/>
      <c r="CBR8" s="16"/>
      <c r="CBS8" s="5"/>
      <c r="CBT8" s="5"/>
      <c r="CBV8" s="15"/>
      <c r="CCF8" s="16"/>
      <c r="CCG8" s="5"/>
      <c r="CCH8" s="5"/>
      <c r="CCJ8" s="15"/>
      <c r="CCT8" s="16"/>
      <c r="CCU8" s="5"/>
      <c r="CCV8" s="5"/>
      <c r="CCX8" s="15"/>
      <c r="CDH8" s="16"/>
      <c r="CDI8" s="5"/>
      <c r="CDJ8" s="5"/>
      <c r="CDL8" s="15"/>
      <c r="CDV8" s="16"/>
      <c r="CDW8" s="5"/>
      <c r="CDX8" s="5"/>
      <c r="CDZ8" s="15"/>
      <c r="CEJ8" s="16"/>
      <c r="CEK8" s="5"/>
      <c r="CEL8" s="5"/>
      <c r="CEN8" s="15"/>
      <c r="CEX8" s="16"/>
      <c r="CEY8" s="5"/>
      <c r="CEZ8" s="5"/>
      <c r="CFB8" s="15"/>
      <c r="CFL8" s="16"/>
      <c r="CFM8" s="5"/>
      <c r="CFN8" s="5"/>
      <c r="CFP8" s="15"/>
      <c r="CFZ8" s="16"/>
      <c r="CGA8" s="5"/>
      <c r="CGB8" s="5"/>
      <c r="CGD8" s="15"/>
      <c r="CGN8" s="16"/>
      <c r="CGO8" s="5"/>
      <c r="CGP8" s="5"/>
      <c r="CGR8" s="15"/>
      <c r="CHB8" s="16"/>
      <c r="CHC8" s="5"/>
      <c r="CHD8" s="5"/>
      <c r="CHF8" s="15"/>
      <c r="CHP8" s="16"/>
      <c r="CHQ8" s="5"/>
      <c r="CHR8" s="5"/>
      <c r="CHT8" s="15"/>
      <c r="CID8" s="16"/>
      <c r="CIE8" s="5"/>
      <c r="CIF8" s="5"/>
      <c r="CIH8" s="15"/>
      <c r="CIR8" s="16"/>
      <c r="CIS8" s="5"/>
      <c r="CIT8" s="5"/>
      <c r="CIV8" s="15"/>
      <c r="CJF8" s="16"/>
      <c r="CJG8" s="5"/>
      <c r="CJH8" s="5"/>
      <c r="CJJ8" s="15"/>
      <c r="CJT8" s="16"/>
      <c r="CJU8" s="5"/>
      <c r="CJV8" s="5"/>
      <c r="CJX8" s="15"/>
      <c r="CKH8" s="16"/>
      <c r="CKI8" s="5"/>
      <c r="CKJ8" s="5"/>
      <c r="CKL8" s="15"/>
      <c r="CKV8" s="16"/>
      <c r="CKW8" s="5"/>
      <c r="CKX8" s="5"/>
      <c r="CKZ8" s="15"/>
      <c r="CLJ8" s="16"/>
      <c r="CLK8" s="5"/>
      <c r="CLL8" s="5"/>
      <c r="CLN8" s="15"/>
      <c r="CLX8" s="16"/>
      <c r="CLY8" s="5"/>
      <c r="CLZ8" s="5"/>
      <c r="CMB8" s="15"/>
      <c r="CML8" s="16"/>
      <c r="CMM8" s="5"/>
      <c r="CMN8" s="5"/>
      <c r="CMP8" s="15"/>
      <c r="CMZ8" s="16"/>
      <c r="CNA8" s="5"/>
      <c r="CNB8" s="5"/>
      <c r="CND8" s="15"/>
      <c r="CNN8" s="16"/>
      <c r="CNO8" s="5"/>
      <c r="CNP8" s="5"/>
      <c r="CNR8" s="15"/>
      <c r="COB8" s="16"/>
      <c r="COC8" s="5"/>
      <c r="COD8" s="5"/>
      <c r="COF8" s="15"/>
      <c r="COP8" s="16"/>
      <c r="COQ8" s="5"/>
      <c r="COR8" s="5"/>
      <c r="COT8" s="15"/>
      <c r="CPD8" s="16"/>
      <c r="CPE8" s="5"/>
      <c r="CPF8" s="5"/>
      <c r="CPH8" s="15"/>
      <c r="CPR8" s="16"/>
      <c r="CPS8" s="5"/>
      <c r="CPT8" s="5"/>
      <c r="CPV8" s="15"/>
      <c r="CQF8" s="16"/>
      <c r="CQG8" s="5"/>
      <c r="CQH8" s="5"/>
      <c r="CQJ8" s="15"/>
      <c r="CQT8" s="16"/>
      <c r="CQU8" s="5"/>
      <c r="CQV8" s="5"/>
      <c r="CQX8" s="15"/>
      <c r="CRH8" s="16"/>
      <c r="CRI8" s="5"/>
      <c r="CRJ8" s="5"/>
      <c r="CRL8" s="15"/>
      <c r="CRV8" s="16"/>
      <c r="CRW8" s="5"/>
      <c r="CRX8" s="5"/>
      <c r="CRZ8" s="15"/>
      <c r="CSJ8" s="16"/>
      <c r="CSK8" s="5"/>
      <c r="CSL8" s="5"/>
      <c r="CSN8" s="15"/>
      <c r="CSX8" s="16"/>
      <c r="CSY8" s="5"/>
      <c r="CSZ8" s="5"/>
      <c r="CTB8" s="15"/>
      <c r="CTL8" s="16"/>
      <c r="CTM8" s="5"/>
      <c r="CTN8" s="5"/>
      <c r="CTP8" s="15"/>
      <c r="CTZ8" s="16"/>
      <c r="CUA8" s="5"/>
      <c r="CUB8" s="5"/>
      <c r="CUD8" s="15"/>
      <c r="CUN8" s="16"/>
      <c r="CUO8" s="5"/>
      <c r="CUP8" s="5"/>
      <c r="CUR8" s="15"/>
      <c r="CVB8" s="16"/>
      <c r="CVC8" s="5"/>
      <c r="CVD8" s="5"/>
      <c r="CVF8" s="15"/>
      <c r="CVP8" s="16"/>
      <c r="CVQ8" s="5"/>
      <c r="CVR8" s="5"/>
      <c r="CVT8" s="15"/>
      <c r="CWD8" s="16"/>
      <c r="CWE8" s="5"/>
      <c r="CWF8" s="5"/>
      <c r="CWH8" s="15"/>
      <c r="CWR8" s="16"/>
      <c r="CWS8" s="5"/>
      <c r="CWT8" s="5"/>
      <c r="CWV8" s="15"/>
      <c r="CXF8" s="16"/>
      <c r="CXG8" s="5"/>
      <c r="CXH8" s="5"/>
      <c r="CXJ8" s="15"/>
      <c r="CXT8" s="16"/>
      <c r="CXU8" s="5"/>
      <c r="CXV8" s="5"/>
      <c r="CXX8" s="15"/>
      <c r="CYH8" s="16"/>
      <c r="CYI8" s="5"/>
      <c r="CYJ8" s="5"/>
      <c r="CYL8" s="15"/>
      <c r="CYV8" s="16"/>
      <c r="CYW8" s="5"/>
      <c r="CYX8" s="5"/>
      <c r="CYZ8" s="15"/>
      <c r="CZJ8" s="16"/>
      <c r="CZK8" s="5"/>
      <c r="CZL8" s="5"/>
      <c r="CZN8" s="15"/>
      <c r="CZX8" s="16"/>
      <c r="CZY8" s="5"/>
      <c r="CZZ8" s="5"/>
      <c r="DAB8" s="15"/>
      <c r="DAL8" s="16"/>
      <c r="DAM8" s="5"/>
      <c r="DAN8" s="5"/>
      <c r="DAP8" s="15"/>
      <c r="DAZ8" s="16"/>
      <c r="DBA8" s="5"/>
      <c r="DBB8" s="5"/>
      <c r="DBD8" s="15"/>
      <c r="DBN8" s="16"/>
      <c r="DBO8" s="5"/>
      <c r="DBP8" s="5"/>
      <c r="DBR8" s="15"/>
      <c r="DCB8" s="16"/>
      <c r="DCC8" s="5"/>
      <c r="DCD8" s="5"/>
      <c r="DCF8" s="15"/>
      <c r="DCP8" s="16"/>
      <c r="DCQ8" s="5"/>
      <c r="DCR8" s="5"/>
      <c r="DCT8" s="15"/>
      <c r="DDD8" s="16"/>
      <c r="DDE8" s="5"/>
      <c r="DDF8" s="5"/>
      <c r="DDH8" s="15"/>
      <c r="DDR8" s="16"/>
      <c r="DDS8" s="5"/>
      <c r="DDT8" s="5"/>
      <c r="DDV8" s="15"/>
      <c r="DEF8" s="16"/>
      <c r="DEG8" s="5"/>
      <c r="DEH8" s="5"/>
      <c r="DEJ8" s="15"/>
      <c r="DET8" s="16"/>
      <c r="DEU8" s="5"/>
      <c r="DEV8" s="5"/>
      <c r="DEX8" s="15"/>
      <c r="DFH8" s="16"/>
      <c r="DFI8" s="5"/>
      <c r="DFJ8" s="5"/>
      <c r="DFL8" s="15"/>
      <c r="DFV8" s="16"/>
      <c r="DFW8" s="5"/>
      <c r="DFX8" s="5"/>
      <c r="DFZ8" s="15"/>
      <c r="DGJ8" s="16"/>
      <c r="DGK8" s="5"/>
      <c r="DGL8" s="5"/>
      <c r="DGN8" s="15"/>
      <c r="DGX8" s="16"/>
      <c r="DGY8" s="5"/>
      <c r="DGZ8" s="5"/>
      <c r="DHB8" s="15"/>
      <c r="DHL8" s="16"/>
      <c r="DHM8" s="5"/>
      <c r="DHN8" s="5"/>
      <c r="DHP8" s="15"/>
      <c r="DHZ8" s="16"/>
      <c r="DIA8" s="5"/>
      <c r="DIB8" s="5"/>
      <c r="DID8" s="15"/>
      <c r="DIN8" s="16"/>
      <c r="DIO8" s="5"/>
      <c r="DIP8" s="5"/>
      <c r="DIR8" s="15"/>
      <c r="DJB8" s="16"/>
      <c r="DJC8" s="5"/>
      <c r="DJD8" s="5"/>
      <c r="DJF8" s="15"/>
      <c r="DJP8" s="16"/>
      <c r="DJQ8" s="5"/>
      <c r="DJR8" s="5"/>
      <c r="DJT8" s="15"/>
      <c r="DKD8" s="16"/>
      <c r="DKE8" s="5"/>
      <c r="DKF8" s="5"/>
      <c r="DKH8" s="15"/>
      <c r="DKR8" s="16"/>
      <c r="DKS8" s="5"/>
      <c r="DKT8" s="5"/>
      <c r="DKV8" s="15"/>
      <c r="DLF8" s="16"/>
      <c r="DLG8" s="5"/>
      <c r="DLH8" s="5"/>
      <c r="DLJ8" s="15"/>
      <c r="DLT8" s="16"/>
      <c r="DLU8" s="5"/>
      <c r="DLV8" s="5"/>
      <c r="DLX8" s="15"/>
      <c r="DMH8" s="16"/>
      <c r="DMI8" s="5"/>
      <c r="DMJ8" s="5"/>
      <c r="DML8" s="15"/>
      <c r="DMV8" s="16"/>
      <c r="DMW8" s="5"/>
      <c r="DMX8" s="5"/>
      <c r="DMZ8" s="15"/>
      <c r="DNJ8" s="16"/>
      <c r="DNK8" s="5"/>
      <c r="DNL8" s="5"/>
      <c r="DNN8" s="15"/>
      <c r="DNX8" s="16"/>
      <c r="DNY8" s="5"/>
      <c r="DNZ8" s="5"/>
      <c r="DOB8" s="15"/>
      <c r="DOL8" s="16"/>
      <c r="DOM8" s="5"/>
      <c r="DON8" s="5"/>
      <c r="DOP8" s="15"/>
      <c r="DOZ8" s="16"/>
      <c r="DPA8" s="5"/>
      <c r="DPB8" s="5"/>
      <c r="DPD8" s="15"/>
      <c r="DPN8" s="16"/>
      <c r="DPO8" s="5"/>
      <c r="DPP8" s="5"/>
      <c r="DPR8" s="15"/>
      <c r="DQB8" s="16"/>
      <c r="DQC8" s="5"/>
      <c r="DQD8" s="5"/>
      <c r="DQF8" s="15"/>
      <c r="DQP8" s="16"/>
      <c r="DQQ8" s="5"/>
      <c r="DQR8" s="5"/>
      <c r="DQT8" s="15"/>
      <c r="DRD8" s="16"/>
      <c r="DRE8" s="5"/>
      <c r="DRF8" s="5"/>
      <c r="DRH8" s="15"/>
      <c r="DRR8" s="16"/>
      <c r="DRS8" s="5"/>
      <c r="DRT8" s="5"/>
      <c r="DRV8" s="15"/>
      <c r="DSF8" s="16"/>
      <c r="DSG8" s="5"/>
      <c r="DSH8" s="5"/>
      <c r="DSJ8" s="15"/>
      <c r="DST8" s="16"/>
      <c r="DSU8" s="5"/>
      <c r="DSV8" s="5"/>
      <c r="DSX8" s="15"/>
      <c r="DTH8" s="16"/>
      <c r="DTI8" s="5"/>
      <c r="DTJ8" s="5"/>
      <c r="DTL8" s="15"/>
      <c r="DTV8" s="16"/>
      <c r="DTW8" s="5"/>
      <c r="DTX8" s="5"/>
      <c r="DTZ8" s="15"/>
      <c r="DUJ8" s="16"/>
      <c r="DUK8" s="5"/>
      <c r="DUL8" s="5"/>
      <c r="DUN8" s="15"/>
      <c r="DUX8" s="16"/>
      <c r="DUY8" s="5"/>
      <c r="DUZ8" s="5"/>
      <c r="DVB8" s="15"/>
      <c r="DVL8" s="16"/>
      <c r="DVM8" s="5"/>
      <c r="DVN8" s="5"/>
      <c r="DVP8" s="15"/>
      <c r="DVZ8" s="16"/>
      <c r="DWA8" s="5"/>
      <c r="DWB8" s="5"/>
      <c r="DWD8" s="15"/>
      <c r="DWN8" s="16"/>
      <c r="DWO8" s="5"/>
      <c r="DWP8" s="5"/>
      <c r="DWR8" s="15"/>
      <c r="DXB8" s="16"/>
      <c r="DXC8" s="5"/>
      <c r="DXD8" s="5"/>
      <c r="DXF8" s="15"/>
      <c r="DXP8" s="16"/>
      <c r="DXQ8" s="5"/>
      <c r="DXR8" s="5"/>
      <c r="DXT8" s="15"/>
      <c r="DYD8" s="16"/>
      <c r="DYE8" s="5"/>
      <c r="DYF8" s="5"/>
      <c r="DYH8" s="15"/>
      <c r="DYR8" s="16"/>
      <c r="DYS8" s="5"/>
      <c r="DYT8" s="5"/>
      <c r="DYV8" s="15"/>
      <c r="DZF8" s="16"/>
      <c r="DZG8" s="5"/>
      <c r="DZH8" s="5"/>
      <c r="DZJ8" s="15"/>
      <c r="DZT8" s="16"/>
      <c r="DZU8" s="5"/>
      <c r="DZV8" s="5"/>
      <c r="DZX8" s="15"/>
      <c r="EAH8" s="16"/>
      <c r="EAI8" s="5"/>
      <c r="EAJ8" s="5"/>
      <c r="EAL8" s="15"/>
      <c r="EAV8" s="16"/>
      <c r="EAW8" s="5"/>
      <c r="EAX8" s="5"/>
      <c r="EAZ8" s="15"/>
      <c r="EBJ8" s="16"/>
      <c r="EBK8" s="5"/>
      <c r="EBL8" s="5"/>
      <c r="EBN8" s="15"/>
      <c r="EBX8" s="16"/>
      <c r="EBY8" s="5"/>
      <c r="EBZ8" s="5"/>
      <c r="ECB8" s="15"/>
      <c r="ECL8" s="16"/>
      <c r="ECM8" s="5"/>
      <c r="ECN8" s="5"/>
      <c r="ECP8" s="15"/>
      <c r="ECZ8" s="16"/>
      <c r="EDA8" s="5"/>
      <c r="EDB8" s="5"/>
      <c r="EDD8" s="15"/>
      <c r="EDN8" s="16"/>
      <c r="EDO8" s="5"/>
      <c r="EDP8" s="5"/>
      <c r="EDR8" s="15"/>
      <c r="EEB8" s="16"/>
      <c r="EEC8" s="5"/>
      <c r="EED8" s="5"/>
      <c r="EEF8" s="15"/>
      <c r="EEP8" s="16"/>
      <c r="EEQ8" s="5"/>
      <c r="EER8" s="5"/>
      <c r="EET8" s="15"/>
      <c r="EFD8" s="16"/>
      <c r="EFE8" s="5"/>
      <c r="EFF8" s="5"/>
      <c r="EFH8" s="15"/>
      <c r="EFR8" s="16"/>
      <c r="EFS8" s="5"/>
      <c r="EFT8" s="5"/>
      <c r="EFV8" s="15"/>
      <c r="EGF8" s="16"/>
      <c r="EGG8" s="5"/>
      <c r="EGH8" s="5"/>
      <c r="EGJ8" s="15"/>
      <c r="EGT8" s="16"/>
      <c r="EGU8" s="5"/>
      <c r="EGV8" s="5"/>
      <c r="EGX8" s="15"/>
      <c r="EHH8" s="16"/>
      <c r="EHI8" s="5"/>
      <c r="EHJ8" s="5"/>
      <c r="EHL8" s="15"/>
      <c r="EHV8" s="16"/>
      <c r="EHW8" s="5"/>
      <c r="EHX8" s="5"/>
      <c r="EHZ8" s="15"/>
      <c r="EIJ8" s="16"/>
      <c r="EIK8" s="5"/>
      <c r="EIL8" s="5"/>
      <c r="EIN8" s="15"/>
      <c r="EIX8" s="16"/>
      <c r="EIY8" s="5"/>
      <c r="EIZ8" s="5"/>
      <c r="EJB8" s="15"/>
      <c r="EJL8" s="16"/>
      <c r="EJM8" s="5"/>
      <c r="EJN8" s="5"/>
      <c r="EJP8" s="15"/>
      <c r="EJZ8" s="16"/>
      <c r="EKA8" s="5"/>
      <c r="EKB8" s="5"/>
      <c r="EKD8" s="15"/>
      <c r="EKN8" s="16"/>
      <c r="EKO8" s="5"/>
      <c r="EKP8" s="5"/>
      <c r="EKR8" s="15"/>
      <c r="ELB8" s="16"/>
      <c r="ELC8" s="5"/>
      <c r="ELD8" s="5"/>
      <c r="ELF8" s="15"/>
      <c r="ELP8" s="16"/>
      <c r="ELQ8" s="5"/>
      <c r="ELR8" s="5"/>
      <c r="ELT8" s="15"/>
      <c r="EMD8" s="16"/>
      <c r="EME8" s="5"/>
      <c r="EMF8" s="5"/>
      <c r="EMH8" s="15"/>
      <c r="EMR8" s="16"/>
      <c r="EMS8" s="5"/>
      <c r="EMT8" s="5"/>
      <c r="EMV8" s="15"/>
      <c r="ENF8" s="16"/>
      <c r="ENG8" s="5"/>
      <c r="ENH8" s="5"/>
      <c r="ENJ8" s="15"/>
      <c r="ENT8" s="16"/>
      <c r="ENU8" s="5"/>
      <c r="ENV8" s="5"/>
      <c r="ENX8" s="15"/>
      <c r="EOH8" s="16"/>
      <c r="EOI8" s="5"/>
      <c r="EOJ8" s="5"/>
      <c r="EOL8" s="15"/>
      <c r="EOV8" s="16"/>
      <c r="EOW8" s="5"/>
      <c r="EOX8" s="5"/>
      <c r="EOZ8" s="15"/>
      <c r="EPJ8" s="16"/>
      <c r="EPK8" s="5"/>
      <c r="EPL8" s="5"/>
      <c r="EPN8" s="15"/>
      <c r="EPX8" s="16"/>
      <c r="EPY8" s="5"/>
      <c r="EPZ8" s="5"/>
      <c r="EQB8" s="15"/>
      <c r="EQL8" s="16"/>
      <c r="EQM8" s="5"/>
      <c r="EQN8" s="5"/>
      <c r="EQP8" s="15"/>
      <c r="EQZ8" s="16"/>
      <c r="ERA8" s="5"/>
      <c r="ERB8" s="5"/>
      <c r="ERD8" s="15"/>
      <c r="ERN8" s="16"/>
      <c r="ERO8" s="5"/>
      <c r="ERP8" s="5"/>
      <c r="ERR8" s="15"/>
      <c r="ESB8" s="16"/>
      <c r="ESC8" s="5"/>
      <c r="ESD8" s="5"/>
      <c r="ESF8" s="15"/>
      <c r="ESP8" s="16"/>
      <c r="ESQ8" s="5"/>
      <c r="ESR8" s="5"/>
      <c r="EST8" s="15"/>
      <c r="ETD8" s="16"/>
      <c r="ETE8" s="5"/>
      <c r="ETF8" s="5"/>
      <c r="ETH8" s="15"/>
      <c r="ETR8" s="16"/>
      <c r="ETS8" s="5"/>
      <c r="ETT8" s="5"/>
      <c r="ETV8" s="15"/>
      <c r="EUF8" s="16"/>
      <c r="EUG8" s="5"/>
      <c r="EUH8" s="5"/>
      <c r="EUJ8" s="15"/>
      <c r="EUT8" s="16"/>
      <c r="EUU8" s="5"/>
      <c r="EUV8" s="5"/>
      <c r="EUX8" s="15"/>
      <c r="EVH8" s="16"/>
      <c r="EVI8" s="5"/>
      <c r="EVJ8" s="5"/>
      <c r="EVL8" s="15"/>
      <c r="EVV8" s="16"/>
      <c r="EVW8" s="5"/>
      <c r="EVX8" s="5"/>
      <c r="EVZ8" s="15"/>
      <c r="EWJ8" s="16"/>
      <c r="EWK8" s="5"/>
      <c r="EWL8" s="5"/>
      <c r="EWN8" s="15"/>
      <c r="EWX8" s="16"/>
      <c r="EWY8" s="5"/>
      <c r="EWZ8" s="5"/>
      <c r="EXB8" s="15"/>
      <c r="EXL8" s="16"/>
      <c r="EXM8" s="5"/>
      <c r="EXN8" s="5"/>
      <c r="EXP8" s="15"/>
      <c r="EXZ8" s="16"/>
      <c r="EYA8" s="5"/>
      <c r="EYB8" s="5"/>
      <c r="EYD8" s="15"/>
      <c r="EYN8" s="16"/>
      <c r="EYO8" s="5"/>
      <c r="EYP8" s="5"/>
      <c r="EYR8" s="15"/>
      <c r="EZB8" s="16"/>
      <c r="EZC8" s="5"/>
      <c r="EZD8" s="5"/>
      <c r="EZF8" s="15"/>
      <c r="EZP8" s="16"/>
      <c r="EZQ8" s="5"/>
      <c r="EZR8" s="5"/>
      <c r="EZT8" s="15"/>
      <c r="FAD8" s="16"/>
      <c r="FAE8" s="5"/>
      <c r="FAF8" s="5"/>
      <c r="FAH8" s="15"/>
      <c r="FAR8" s="16"/>
      <c r="FAS8" s="5"/>
      <c r="FAT8" s="5"/>
      <c r="FAV8" s="15"/>
      <c r="FBF8" s="16"/>
      <c r="FBG8" s="5"/>
      <c r="FBH8" s="5"/>
      <c r="FBJ8" s="15"/>
      <c r="FBT8" s="16"/>
      <c r="FBU8" s="5"/>
      <c r="FBV8" s="5"/>
      <c r="FBX8" s="15"/>
      <c r="FCH8" s="16"/>
      <c r="FCI8" s="5"/>
      <c r="FCJ8" s="5"/>
      <c r="FCL8" s="15"/>
      <c r="FCV8" s="16"/>
      <c r="FCW8" s="5"/>
      <c r="FCX8" s="5"/>
      <c r="FCZ8" s="15"/>
      <c r="FDJ8" s="16"/>
      <c r="FDK8" s="5"/>
      <c r="FDL8" s="5"/>
      <c r="FDN8" s="15"/>
      <c r="FDX8" s="16"/>
      <c r="FDY8" s="5"/>
      <c r="FDZ8" s="5"/>
      <c r="FEB8" s="15"/>
      <c r="FEL8" s="16"/>
      <c r="FEM8" s="5"/>
      <c r="FEN8" s="5"/>
      <c r="FEP8" s="15"/>
      <c r="FEZ8" s="16"/>
      <c r="FFA8" s="5"/>
      <c r="FFB8" s="5"/>
      <c r="FFD8" s="15"/>
      <c r="FFN8" s="16"/>
      <c r="FFO8" s="5"/>
      <c r="FFP8" s="5"/>
      <c r="FFR8" s="15"/>
      <c r="FGB8" s="16"/>
      <c r="FGC8" s="5"/>
      <c r="FGD8" s="5"/>
      <c r="FGF8" s="15"/>
      <c r="FGP8" s="16"/>
      <c r="FGQ8" s="5"/>
      <c r="FGR8" s="5"/>
      <c r="FGT8" s="15"/>
      <c r="FHD8" s="16"/>
      <c r="FHE8" s="5"/>
      <c r="FHF8" s="5"/>
      <c r="FHH8" s="15"/>
      <c r="FHR8" s="16"/>
      <c r="FHS8" s="5"/>
      <c r="FHT8" s="5"/>
      <c r="FHV8" s="15"/>
      <c r="FIF8" s="16"/>
      <c r="FIG8" s="5"/>
      <c r="FIH8" s="5"/>
      <c r="FIJ8" s="15"/>
      <c r="FIT8" s="16"/>
      <c r="FIU8" s="5"/>
      <c r="FIV8" s="5"/>
      <c r="FIX8" s="15"/>
      <c r="FJH8" s="16"/>
      <c r="FJI8" s="5"/>
      <c r="FJJ8" s="5"/>
      <c r="FJL8" s="15"/>
      <c r="FJV8" s="16"/>
      <c r="FJW8" s="5"/>
      <c r="FJX8" s="5"/>
      <c r="FJZ8" s="15"/>
      <c r="FKJ8" s="16"/>
      <c r="FKK8" s="5"/>
      <c r="FKL8" s="5"/>
      <c r="FKN8" s="15"/>
      <c r="FKX8" s="16"/>
      <c r="FKY8" s="5"/>
      <c r="FKZ8" s="5"/>
      <c r="FLB8" s="15"/>
      <c r="FLL8" s="16"/>
      <c r="FLM8" s="5"/>
      <c r="FLN8" s="5"/>
      <c r="FLP8" s="15"/>
      <c r="FLZ8" s="16"/>
      <c r="FMA8" s="5"/>
      <c r="FMB8" s="5"/>
      <c r="FMD8" s="15"/>
      <c r="FMN8" s="16"/>
      <c r="FMO8" s="5"/>
      <c r="FMP8" s="5"/>
      <c r="FMR8" s="15"/>
      <c r="FNB8" s="16"/>
      <c r="FNC8" s="5"/>
      <c r="FND8" s="5"/>
      <c r="FNF8" s="15"/>
      <c r="FNP8" s="16"/>
      <c r="FNQ8" s="5"/>
      <c r="FNR8" s="5"/>
      <c r="FNT8" s="15"/>
      <c r="FOD8" s="16"/>
      <c r="FOE8" s="5"/>
      <c r="FOF8" s="5"/>
      <c r="FOH8" s="15"/>
      <c r="FOR8" s="16"/>
      <c r="FOS8" s="5"/>
      <c r="FOT8" s="5"/>
      <c r="FOV8" s="15"/>
      <c r="FPF8" s="16"/>
      <c r="FPG8" s="5"/>
      <c r="FPH8" s="5"/>
      <c r="FPJ8" s="15"/>
      <c r="FPT8" s="16"/>
      <c r="FPU8" s="5"/>
      <c r="FPV8" s="5"/>
      <c r="FPX8" s="15"/>
      <c r="FQH8" s="16"/>
      <c r="FQI8" s="5"/>
      <c r="FQJ8" s="5"/>
      <c r="FQL8" s="15"/>
      <c r="FQV8" s="16"/>
      <c r="FQW8" s="5"/>
      <c r="FQX8" s="5"/>
      <c r="FQZ8" s="15"/>
      <c r="FRJ8" s="16"/>
      <c r="FRK8" s="5"/>
      <c r="FRL8" s="5"/>
      <c r="FRN8" s="15"/>
      <c r="FRX8" s="16"/>
      <c r="FRY8" s="5"/>
      <c r="FRZ8" s="5"/>
      <c r="FSB8" s="15"/>
      <c r="FSL8" s="16"/>
      <c r="FSM8" s="5"/>
      <c r="FSN8" s="5"/>
      <c r="FSP8" s="15"/>
      <c r="FSZ8" s="16"/>
      <c r="FTA8" s="5"/>
      <c r="FTB8" s="5"/>
      <c r="FTD8" s="15"/>
      <c r="FTN8" s="16"/>
      <c r="FTO8" s="5"/>
      <c r="FTP8" s="5"/>
      <c r="FTR8" s="15"/>
      <c r="FUB8" s="16"/>
      <c r="FUC8" s="5"/>
      <c r="FUD8" s="5"/>
      <c r="FUF8" s="15"/>
      <c r="FUP8" s="16"/>
      <c r="FUQ8" s="5"/>
      <c r="FUR8" s="5"/>
      <c r="FUT8" s="15"/>
      <c r="FVD8" s="16"/>
      <c r="FVE8" s="5"/>
      <c r="FVF8" s="5"/>
      <c r="FVH8" s="15"/>
      <c r="FVR8" s="16"/>
      <c r="FVS8" s="5"/>
      <c r="FVT8" s="5"/>
      <c r="FVV8" s="15"/>
      <c r="FWF8" s="16"/>
      <c r="FWG8" s="5"/>
      <c r="FWH8" s="5"/>
      <c r="FWJ8" s="15"/>
      <c r="FWT8" s="16"/>
      <c r="FWU8" s="5"/>
      <c r="FWV8" s="5"/>
      <c r="FWX8" s="15"/>
      <c r="FXH8" s="16"/>
      <c r="FXI8" s="5"/>
      <c r="FXJ8" s="5"/>
      <c r="FXL8" s="15"/>
      <c r="FXV8" s="16"/>
      <c r="FXW8" s="5"/>
      <c r="FXX8" s="5"/>
      <c r="FXZ8" s="15"/>
      <c r="FYJ8" s="16"/>
      <c r="FYK8" s="5"/>
      <c r="FYL8" s="5"/>
      <c r="FYN8" s="15"/>
      <c r="FYX8" s="16"/>
      <c r="FYY8" s="5"/>
      <c r="FYZ8" s="5"/>
      <c r="FZB8" s="15"/>
      <c r="FZL8" s="16"/>
      <c r="FZM8" s="5"/>
      <c r="FZN8" s="5"/>
      <c r="FZP8" s="15"/>
      <c r="FZZ8" s="16"/>
      <c r="GAA8" s="5"/>
      <c r="GAB8" s="5"/>
      <c r="GAD8" s="15"/>
      <c r="GAN8" s="16"/>
      <c r="GAO8" s="5"/>
      <c r="GAP8" s="5"/>
      <c r="GAR8" s="15"/>
      <c r="GBB8" s="16"/>
      <c r="GBC8" s="5"/>
      <c r="GBD8" s="5"/>
      <c r="GBF8" s="15"/>
      <c r="GBP8" s="16"/>
      <c r="GBQ8" s="5"/>
      <c r="GBR8" s="5"/>
      <c r="GBT8" s="15"/>
      <c r="GCD8" s="16"/>
      <c r="GCE8" s="5"/>
      <c r="GCF8" s="5"/>
      <c r="GCH8" s="15"/>
      <c r="GCR8" s="16"/>
      <c r="GCS8" s="5"/>
      <c r="GCT8" s="5"/>
      <c r="GCV8" s="15"/>
      <c r="GDF8" s="16"/>
      <c r="GDG8" s="5"/>
      <c r="GDH8" s="5"/>
      <c r="GDJ8" s="15"/>
      <c r="GDT8" s="16"/>
      <c r="GDU8" s="5"/>
      <c r="GDV8" s="5"/>
      <c r="GDX8" s="15"/>
      <c r="GEH8" s="16"/>
      <c r="GEI8" s="5"/>
      <c r="GEJ8" s="5"/>
      <c r="GEL8" s="15"/>
      <c r="GEV8" s="16"/>
      <c r="GEW8" s="5"/>
      <c r="GEX8" s="5"/>
      <c r="GEZ8" s="15"/>
      <c r="GFJ8" s="16"/>
      <c r="GFK8" s="5"/>
      <c r="GFL8" s="5"/>
      <c r="GFN8" s="15"/>
      <c r="GFX8" s="16"/>
      <c r="GFY8" s="5"/>
      <c r="GFZ8" s="5"/>
      <c r="GGB8" s="15"/>
      <c r="GGL8" s="16"/>
      <c r="GGM8" s="5"/>
      <c r="GGN8" s="5"/>
      <c r="GGP8" s="15"/>
      <c r="GGZ8" s="16"/>
      <c r="GHA8" s="5"/>
      <c r="GHB8" s="5"/>
      <c r="GHD8" s="15"/>
      <c r="GHN8" s="16"/>
      <c r="GHO8" s="5"/>
      <c r="GHP8" s="5"/>
      <c r="GHR8" s="15"/>
      <c r="GIB8" s="16"/>
      <c r="GIC8" s="5"/>
      <c r="GID8" s="5"/>
      <c r="GIF8" s="15"/>
      <c r="GIP8" s="16"/>
      <c r="GIQ8" s="5"/>
      <c r="GIR8" s="5"/>
      <c r="GIT8" s="15"/>
      <c r="GJD8" s="16"/>
      <c r="GJE8" s="5"/>
      <c r="GJF8" s="5"/>
      <c r="GJH8" s="15"/>
      <c r="GJR8" s="16"/>
      <c r="GJS8" s="5"/>
      <c r="GJT8" s="5"/>
      <c r="GJV8" s="15"/>
      <c r="GKF8" s="16"/>
      <c r="GKG8" s="5"/>
      <c r="GKH8" s="5"/>
      <c r="GKJ8" s="15"/>
      <c r="GKT8" s="16"/>
      <c r="GKU8" s="5"/>
      <c r="GKV8" s="5"/>
      <c r="GKX8" s="15"/>
      <c r="GLH8" s="16"/>
      <c r="GLI8" s="5"/>
      <c r="GLJ8" s="5"/>
      <c r="GLL8" s="15"/>
      <c r="GLV8" s="16"/>
      <c r="GLW8" s="5"/>
      <c r="GLX8" s="5"/>
      <c r="GLZ8" s="15"/>
      <c r="GMJ8" s="16"/>
      <c r="GMK8" s="5"/>
      <c r="GML8" s="5"/>
      <c r="GMN8" s="15"/>
      <c r="GMX8" s="16"/>
      <c r="GMY8" s="5"/>
      <c r="GMZ8" s="5"/>
      <c r="GNB8" s="15"/>
      <c r="GNL8" s="16"/>
      <c r="GNM8" s="5"/>
      <c r="GNN8" s="5"/>
      <c r="GNP8" s="15"/>
      <c r="GNZ8" s="16"/>
      <c r="GOA8" s="5"/>
      <c r="GOB8" s="5"/>
      <c r="GOD8" s="15"/>
      <c r="GON8" s="16"/>
      <c r="GOO8" s="5"/>
      <c r="GOP8" s="5"/>
      <c r="GOR8" s="15"/>
      <c r="GPB8" s="16"/>
      <c r="GPC8" s="5"/>
      <c r="GPD8" s="5"/>
      <c r="GPF8" s="15"/>
      <c r="GPP8" s="16"/>
      <c r="GPQ8" s="5"/>
      <c r="GPR8" s="5"/>
      <c r="GPT8" s="15"/>
      <c r="GQD8" s="16"/>
      <c r="GQE8" s="5"/>
      <c r="GQF8" s="5"/>
      <c r="GQH8" s="15"/>
      <c r="GQR8" s="16"/>
      <c r="GQS8" s="5"/>
      <c r="GQT8" s="5"/>
      <c r="GQV8" s="15"/>
      <c r="GRF8" s="16"/>
      <c r="GRG8" s="5"/>
      <c r="GRH8" s="5"/>
      <c r="GRJ8" s="15"/>
      <c r="GRT8" s="16"/>
      <c r="GRU8" s="5"/>
      <c r="GRV8" s="5"/>
      <c r="GRX8" s="15"/>
      <c r="GSH8" s="16"/>
      <c r="GSI8" s="5"/>
      <c r="GSJ8" s="5"/>
      <c r="GSL8" s="15"/>
      <c r="GSV8" s="16"/>
      <c r="GSW8" s="5"/>
      <c r="GSX8" s="5"/>
      <c r="GSZ8" s="15"/>
      <c r="GTJ8" s="16"/>
      <c r="GTK8" s="5"/>
      <c r="GTL8" s="5"/>
      <c r="GTN8" s="15"/>
      <c r="GTX8" s="16"/>
      <c r="GTY8" s="5"/>
      <c r="GTZ8" s="5"/>
      <c r="GUB8" s="15"/>
      <c r="GUL8" s="16"/>
      <c r="GUM8" s="5"/>
      <c r="GUN8" s="5"/>
      <c r="GUP8" s="15"/>
      <c r="GUZ8" s="16"/>
      <c r="GVA8" s="5"/>
      <c r="GVB8" s="5"/>
      <c r="GVD8" s="15"/>
      <c r="GVN8" s="16"/>
      <c r="GVO8" s="5"/>
      <c r="GVP8" s="5"/>
      <c r="GVR8" s="15"/>
      <c r="GWB8" s="16"/>
      <c r="GWC8" s="5"/>
      <c r="GWD8" s="5"/>
      <c r="GWF8" s="15"/>
      <c r="GWP8" s="16"/>
      <c r="GWQ8" s="5"/>
      <c r="GWR8" s="5"/>
      <c r="GWT8" s="15"/>
      <c r="GXD8" s="16"/>
      <c r="GXE8" s="5"/>
      <c r="GXF8" s="5"/>
      <c r="GXH8" s="15"/>
      <c r="GXR8" s="16"/>
      <c r="GXS8" s="5"/>
      <c r="GXT8" s="5"/>
      <c r="GXV8" s="15"/>
      <c r="GYF8" s="16"/>
      <c r="GYG8" s="5"/>
      <c r="GYH8" s="5"/>
      <c r="GYJ8" s="15"/>
      <c r="GYT8" s="16"/>
      <c r="GYU8" s="5"/>
      <c r="GYV8" s="5"/>
      <c r="GYX8" s="15"/>
      <c r="GZH8" s="16"/>
      <c r="GZI8" s="5"/>
      <c r="GZJ8" s="5"/>
      <c r="GZL8" s="15"/>
      <c r="GZV8" s="16"/>
      <c r="GZW8" s="5"/>
      <c r="GZX8" s="5"/>
      <c r="GZZ8" s="15"/>
      <c r="HAJ8" s="16"/>
      <c r="HAK8" s="5"/>
      <c r="HAL8" s="5"/>
      <c r="HAN8" s="15"/>
      <c r="HAX8" s="16"/>
      <c r="HAY8" s="5"/>
      <c r="HAZ8" s="5"/>
      <c r="HBB8" s="15"/>
      <c r="HBL8" s="16"/>
      <c r="HBM8" s="5"/>
      <c r="HBN8" s="5"/>
      <c r="HBP8" s="15"/>
      <c r="HBZ8" s="16"/>
      <c r="HCA8" s="5"/>
      <c r="HCB8" s="5"/>
      <c r="HCD8" s="15"/>
      <c r="HCN8" s="16"/>
      <c r="HCO8" s="5"/>
      <c r="HCP8" s="5"/>
      <c r="HCR8" s="15"/>
      <c r="HDB8" s="16"/>
      <c r="HDC8" s="5"/>
      <c r="HDD8" s="5"/>
      <c r="HDF8" s="15"/>
      <c r="HDP8" s="16"/>
      <c r="HDQ8" s="5"/>
      <c r="HDR8" s="5"/>
      <c r="HDT8" s="15"/>
      <c r="HED8" s="16"/>
      <c r="HEE8" s="5"/>
      <c r="HEF8" s="5"/>
      <c r="HEH8" s="15"/>
      <c r="HER8" s="16"/>
      <c r="HES8" s="5"/>
      <c r="HET8" s="5"/>
      <c r="HEV8" s="15"/>
      <c r="HFF8" s="16"/>
      <c r="HFG8" s="5"/>
      <c r="HFH8" s="5"/>
      <c r="HFJ8" s="15"/>
      <c r="HFT8" s="16"/>
      <c r="HFU8" s="5"/>
      <c r="HFV8" s="5"/>
      <c r="HFX8" s="15"/>
      <c r="HGH8" s="16"/>
      <c r="HGI8" s="5"/>
      <c r="HGJ8" s="5"/>
      <c r="HGL8" s="15"/>
      <c r="HGV8" s="16"/>
      <c r="HGW8" s="5"/>
      <c r="HGX8" s="5"/>
      <c r="HGZ8" s="15"/>
      <c r="HHJ8" s="16"/>
      <c r="HHK8" s="5"/>
      <c r="HHL8" s="5"/>
      <c r="HHN8" s="15"/>
      <c r="HHX8" s="16"/>
      <c r="HHY8" s="5"/>
      <c r="HHZ8" s="5"/>
      <c r="HIB8" s="15"/>
      <c r="HIL8" s="16"/>
      <c r="HIM8" s="5"/>
      <c r="HIN8" s="5"/>
      <c r="HIP8" s="15"/>
      <c r="HIZ8" s="16"/>
      <c r="HJA8" s="5"/>
      <c r="HJB8" s="5"/>
      <c r="HJD8" s="15"/>
      <c r="HJN8" s="16"/>
      <c r="HJO8" s="5"/>
      <c r="HJP8" s="5"/>
      <c r="HJR8" s="15"/>
      <c r="HKB8" s="16"/>
      <c r="HKC8" s="5"/>
      <c r="HKD8" s="5"/>
      <c r="HKF8" s="15"/>
      <c r="HKP8" s="16"/>
      <c r="HKQ8" s="5"/>
      <c r="HKR8" s="5"/>
      <c r="HKT8" s="15"/>
      <c r="HLD8" s="16"/>
      <c r="HLE8" s="5"/>
      <c r="HLF8" s="5"/>
      <c r="HLH8" s="15"/>
      <c r="HLR8" s="16"/>
      <c r="HLS8" s="5"/>
      <c r="HLT8" s="5"/>
      <c r="HLV8" s="15"/>
      <c r="HMF8" s="16"/>
      <c r="HMG8" s="5"/>
      <c r="HMH8" s="5"/>
      <c r="HMJ8" s="15"/>
      <c r="HMT8" s="16"/>
      <c r="HMU8" s="5"/>
      <c r="HMV8" s="5"/>
      <c r="HMX8" s="15"/>
      <c r="HNH8" s="16"/>
      <c r="HNI8" s="5"/>
      <c r="HNJ8" s="5"/>
      <c r="HNL8" s="15"/>
      <c r="HNV8" s="16"/>
      <c r="HNW8" s="5"/>
      <c r="HNX8" s="5"/>
      <c r="HNZ8" s="15"/>
      <c r="HOJ8" s="16"/>
      <c r="HOK8" s="5"/>
      <c r="HOL8" s="5"/>
      <c r="HON8" s="15"/>
      <c r="HOX8" s="16"/>
      <c r="HOY8" s="5"/>
      <c r="HOZ8" s="5"/>
      <c r="HPB8" s="15"/>
      <c r="HPL8" s="16"/>
      <c r="HPM8" s="5"/>
      <c r="HPN8" s="5"/>
      <c r="HPP8" s="15"/>
      <c r="HPZ8" s="16"/>
      <c r="HQA8" s="5"/>
      <c r="HQB8" s="5"/>
      <c r="HQD8" s="15"/>
      <c r="HQN8" s="16"/>
      <c r="HQO8" s="5"/>
      <c r="HQP8" s="5"/>
      <c r="HQR8" s="15"/>
      <c r="HRB8" s="16"/>
      <c r="HRC8" s="5"/>
      <c r="HRD8" s="5"/>
      <c r="HRF8" s="15"/>
      <c r="HRP8" s="16"/>
      <c r="HRQ8" s="5"/>
      <c r="HRR8" s="5"/>
      <c r="HRT8" s="15"/>
      <c r="HSD8" s="16"/>
      <c r="HSE8" s="5"/>
      <c r="HSF8" s="5"/>
      <c r="HSH8" s="15"/>
      <c r="HSR8" s="16"/>
      <c r="HSS8" s="5"/>
      <c r="HST8" s="5"/>
      <c r="HSV8" s="15"/>
      <c r="HTF8" s="16"/>
      <c r="HTG8" s="5"/>
      <c r="HTH8" s="5"/>
      <c r="HTJ8" s="15"/>
      <c r="HTT8" s="16"/>
      <c r="HTU8" s="5"/>
      <c r="HTV8" s="5"/>
      <c r="HTX8" s="15"/>
      <c r="HUH8" s="16"/>
      <c r="HUI8" s="5"/>
      <c r="HUJ8" s="5"/>
      <c r="HUL8" s="15"/>
      <c r="HUV8" s="16"/>
      <c r="HUW8" s="5"/>
      <c r="HUX8" s="5"/>
      <c r="HUZ8" s="15"/>
      <c r="HVJ8" s="16"/>
      <c r="HVK8" s="5"/>
      <c r="HVL8" s="5"/>
      <c r="HVN8" s="15"/>
      <c r="HVX8" s="16"/>
      <c r="HVY8" s="5"/>
      <c r="HVZ8" s="5"/>
      <c r="HWB8" s="15"/>
      <c r="HWL8" s="16"/>
      <c r="HWM8" s="5"/>
      <c r="HWN8" s="5"/>
      <c r="HWP8" s="15"/>
      <c r="HWZ8" s="16"/>
      <c r="HXA8" s="5"/>
      <c r="HXB8" s="5"/>
      <c r="HXD8" s="15"/>
      <c r="HXN8" s="16"/>
      <c r="HXO8" s="5"/>
      <c r="HXP8" s="5"/>
      <c r="HXR8" s="15"/>
      <c r="HYB8" s="16"/>
      <c r="HYC8" s="5"/>
      <c r="HYD8" s="5"/>
      <c r="HYF8" s="15"/>
      <c r="HYP8" s="16"/>
      <c r="HYQ8" s="5"/>
      <c r="HYR8" s="5"/>
      <c r="HYT8" s="15"/>
      <c r="HZD8" s="16"/>
      <c r="HZE8" s="5"/>
      <c r="HZF8" s="5"/>
      <c r="HZH8" s="15"/>
      <c r="HZR8" s="16"/>
      <c r="HZS8" s="5"/>
      <c r="HZT8" s="5"/>
      <c r="HZV8" s="15"/>
      <c r="IAF8" s="16"/>
      <c r="IAG8" s="5"/>
      <c r="IAH8" s="5"/>
      <c r="IAJ8" s="15"/>
      <c r="IAT8" s="16"/>
      <c r="IAU8" s="5"/>
      <c r="IAV8" s="5"/>
      <c r="IAX8" s="15"/>
      <c r="IBH8" s="16"/>
      <c r="IBI8" s="5"/>
      <c r="IBJ8" s="5"/>
      <c r="IBL8" s="15"/>
      <c r="IBV8" s="16"/>
      <c r="IBW8" s="5"/>
      <c r="IBX8" s="5"/>
      <c r="IBZ8" s="15"/>
      <c r="ICJ8" s="16"/>
      <c r="ICK8" s="5"/>
      <c r="ICL8" s="5"/>
      <c r="ICN8" s="15"/>
      <c r="ICX8" s="16"/>
      <c r="ICY8" s="5"/>
      <c r="ICZ8" s="5"/>
      <c r="IDB8" s="15"/>
      <c r="IDL8" s="16"/>
      <c r="IDM8" s="5"/>
      <c r="IDN8" s="5"/>
      <c r="IDP8" s="15"/>
      <c r="IDZ8" s="16"/>
      <c r="IEA8" s="5"/>
      <c r="IEB8" s="5"/>
      <c r="IED8" s="15"/>
      <c r="IEN8" s="16"/>
      <c r="IEO8" s="5"/>
      <c r="IEP8" s="5"/>
      <c r="IER8" s="15"/>
      <c r="IFB8" s="16"/>
      <c r="IFC8" s="5"/>
      <c r="IFD8" s="5"/>
      <c r="IFF8" s="15"/>
      <c r="IFP8" s="16"/>
      <c r="IFQ8" s="5"/>
      <c r="IFR8" s="5"/>
      <c r="IFT8" s="15"/>
      <c r="IGD8" s="16"/>
      <c r="IGE8" s="5"/>
      <c r="IGF8" s="5"/>
      <c r="IGH8" s="15"/>
      <c r="IGR8" s="16"/>
      <c r="IGS8" s="5"/>
      <c r="IGT8" s="5"/>
      <c r="IGV8" s="15"/>
      <c r="IHF8" s="16"/>
      <c r="IHG8" s="5"/>
      <c r="IHH8" s="5"/>
      <c r="IHJ8" s="15"/>
      <c r="IHT8" s="16"/>
      <c r="IHU8" s="5"/>
      <c r="IHV8" s="5"/>
      <c r="IHX8" s="15"/>
      <c r="IIH8" s="16"/>
      <c r="III8" s="5"/>
      <c r="IIJ8" s="5"/>
      <c r="IIL8" s="15"/>
      <c r="IIV8" s="16"/>
      <c r="IIW8" s="5"/>
      <c r="IIX8" s="5"/>
      <c r="IIZ8" s="15"/>
      <c r="IJJ8" s="16"/>
      <c r="IJK8" s="5"/>
      <c r="IJL8" s="5"/>
      <c r="IJN8" s="15"/>
      <c r="IJX8" s="16"/>
      <c r="IJY8" s="5"/>
      <c r="IJZ8" s="5"/>
      <c r="IKB8" s="15"/>
      <c r="IKL8" s="16"/>
      <c r="IKM8" s="5"/>
      <c r="IKN8" s="5"/>
      <c r="IKP8" s="15"/>
      <c r="IKZ8" s="16"/>
      <c r="ILA8" s="5"/>
      <c r="ILB8" s="5"/>
      <c r="ILD8" s="15"/>
      <c r="ILN8" s="16"/>
      <c r="ILO8" s="5"/>
      <c r="ILP8" s="5"/>
      <c r="ILR8" s="15"/>
      <c r="IMB8" s="16"/>
      <c r="IMC8" s="5"/>
      <c r="IMD8" s="5"/>
      <c r="IMF8" s="15"/>
      <c r="IMP8" s="16"/>
      <c r="IMQ8" s="5"/>
      <c r="IMR8" s="5"/>
      <c r="IMT8" s="15"/>
      <c r="IND8" s="16"/>
      <c r="INE8" s="5"/>
      <c r="INF8" s="5"/>
      <c r="INH8" s="15"/>
      <c r="INR8" s="16"/>
      <c r="INS8" s="5"/>
      <c r="INT8" s="5"/>
      <c r="INV8" s="15"/>
      <c r="IOF8" s="16"/>
      <c r="IOG8" s="5"/>
      <c r="IOH8" s="5"/>
      <c r="IOJ8" s="15"/>
      <c r="IOT8" s="16"/>
      <c r="IOU8" s="5"/>
      <c r="IOV8" s="5"/>
      <c r="IOX8" s="15"/>
      <c r="IPH8" s="16"/>
      <c r="IPI8" s="5"/>
      <c r="IPJ8" s="5"/>
      <c r="IPL8" s="15"/>
      <c r="IPV8" s="16"/>
      <c r="IPW8" s="5"/>
      <c r="IPX8" s="5"/>
      <c r="IPZ8" s="15"/>
      <c r="IQJ8" s="16"/>
      <c r="IQK8" s="5"/>
      <c r="IQL8" s="5"/>
      <c r="IQN8" s="15"/>
      <c r="IQX8" s="16"/>
      <c r="IQY8" s="5"/>
      <c r="IQZ8" s="5"/>
      <c r="IRB8" s="15"/>
      <c r="IRL8" s="16"/>
      <c r="IRM8" s="5"/>
      <c r="IRN8" s="5"/>
      <c r="IRP8" s="15"/>
      <c r="IRZ8" s="16"/>
      <c r="ISA8" s="5"/>
      <c r="ISB8" s="5"/>
      <c r="ISD8" s="15"/>
      <c r="ISN8" s="16"/>
      <c r="ISO8" s="5"/>
      <c r="ISP8" s="5"/>
      <c r="ISR8" s="15"/>
      <c r="ITB8" s="16"/>
      <c r="ITC8" s="5"/>
      <c r="ITD8" s="5"/>
      <c r="ITF8" s="15"/>
      <c r="ITP8" s="16"/>
      <c r="ITQ8" s="5"/>
      <c r="ITR8" s="5"/>
      <c r="ITT8" s="15"/>
      <c r="IUD8" s="16"/>
      <c r="IUE8" s="5"/>
      <c r="IUF8" s="5"/>
      <c r="IUH8" s="15"/>
      <c r="IUR8" s="16"/>
      <c r="IUS8" s="5"/>
      <c r="IUT8" s="5"/>
      <c r="IUV8" s="15"/>
      <c r="IVF8" s="16"/>
      <c r="IVG8" s="5"/>
      <c r="IVH8" s="5"/>
      <c r="IVJ8" s="15"/>
      <c r="IVT8" s="16"/>
      <c r="IVU8" s="5"/>
      <c r="IVV8" s="5"/>
      <c r="IVX8" s="15"/>
      <c r="IWH8" s="16"/>
      <c r="IWI8" s="5"/>
      <c r="IWJ8" s="5"/>
      <c r="IWL8" s="15"/>
      <c r="IWV8" s="16"/>
      <c r="IWW8" s="5"/>
      <c r="IWX8" s="5"/>
      <c r="IWZ8" s="15"/>
      <c r="IXJ8" s="16"/>
      <c r="IXK8" s="5"/>
      <c r="IXL8" s="5"/>
      <c r="IXN8" s="15"/>
      <c r="IXX8" s="16"/>
      <c r="IXY8" s="5"/>
      <c r="IXZ8" s="5"/>
      <c r="IYB8" s="15"/>
      <c r="IYL8" s="16"/>
      <c r="IYM8" s="5"/>
      <c r="IYN8" s="5"/>
      <c r="IYP8" s="15"/>
      <c r="IYZ8" s="16"/>
      <c r="IZA8" s="5"/>
      <c r="IZB8" s="5"/>
      <c r="IZD8" s="15"/>
      <c r="IZN8" s="16"/>
      <c r="IZO8" s="5"/>
      <c r="IZP8" s="5"/>
      <c r="IZR8" s="15"/>
      <c r="JAB8" s="16"/>
      <c r="JAC8" s="5"/>
      <c r="JAD8" s="5"/>
      <c r="JAF8" s="15"/>
      <c r="JAP8" s="16"/>
      <c r="JAQ8" s="5"/>
      <c r="JAR8" s="5"/>
      <c r="JAT8" s="15"/>
      <c r="JBD8" s="16"/>
      <c r="JBE8" s="5"/>
      <c r="JBF8" s="5"/>
      <c r="JBH8" s="15"/>
      <c r="JBR8" s="16"/>
      <c r="JBS8" s="5"/>
      <c r="JBT8" s="5"/>
      <c r="JBV8" s="15"/>
      <c r="JCF8" s="16"/>
      <c r="JCG8" s="5"/>
      <c r="JCH8" s="5"/>
      <c r="JCJ8" s="15"/>
      <c r="JCT8" s="16"/>
      <c r="JCU8" s="5"/>
      <c r="JCV8" s="5"/>
      <c r="JCX8" s="15"/>
      <c r="JDH8" s="16"/>
      <c r="JDI8" s="5"/>
      <c r="JDJ8" s="5"/>
      <c r="JDL8" s="15"/>
      <c r="JDV8" s="16"/>
      <c r="JDW8" s="5"/>
      <c r="JDX8" s="5"/>
      <c r="JDZ8" s="15"/>
      <c r="JEJ8" s="16"/>
      <c r="JEK8" s="5"/>
      <c r="JEL8" s="5"/>
      <c r="JEN8" s="15"/>
      <c r="JEX8" s="16"/>
      <c r="JEY8" s="5"/>
      <c r="JEZ8" s="5"/>
      <c r="JFB8" s="15"/>
      <c r="JFL8" s="16"/>
      <c r="JFM8" s="5"/>
      <c r="JFN8" s="5"/>
      <c r="JFP8" s="15"/>
      <c r="JFZ8" s="16"/>
      <c r="JGA8" s="5"/>
      <c r="JGB8" s="5"/>
      <c r="JGD8" s="15"/>
      <c r="JGN8" s="16"/>
      <c r="JGO8" s="5"/>
      <c r="JGP8" s="5"/>
      <c r="JGR8" s="15"/>
      <c r="JHB8" s="16"/>
      <c r="JHC8" s="5"/>
      <c r="JHD8" s="5"/>
      <c r="JHF8" s="15"/>
      <c r="JHP8" s="16"/>
      <c r="JHQ8" s="5"/>
      <c r="JHR8" s="5"/>
      <c r="JHT8" s="15"/>
      <c r="JID8" s="16"/>
      <c r="JIE8" s="5"/>
      <c r="JIF8" s="5"/>
      <c r="JIH8" s="15"/>
      <c r="JIR8" s="16"/>
      <c r="JIS8" s="5"/>
      <c r="JIT8" s="5"/>
      <c r="JIV8" s="15"/>
      <c r="JJF8" s="16"/>
      <c r="JJG8" s="5"/>
      <c r="JJH8" s="5"/>
      <c r="JJJ8" s="15"/>
      <c r="JJT8" s="16"/>
      <c r="JJU8" s="5"/>
      <c r="JJV8" s="5"/>
      <c r="JJX8" s="15"/>
      <c r="JKH8" s="16"/>
      <c r="JKI8" s="5"/>
      <c r="JKJ8" s="5"/>
      <c r="JKL8" s="15"/>
      <c r="JKV8" s="16"/>
      <c r="JKW8" s="5"/>
      <c r="JKX8" s="5"/>
      <c r="JKZ8" s="15"/>
      <c r="JLJ8" s="16"/>
      <c r="JLK8" s="5"/>
      <c r="JLL8" s="5"/>
      <c r="JLN8" s="15"/>
      <c r="JLX8" s="16"/>
      <c r="JLY8" s="5"/>
      <c r="JLZ8" s="5"/>
      <c r="JMB8" s="15"/>
      <c r="JML8" s="16"/>
      <c r="JMM8" s="5"/>
      <c r="JMN8" s="5"/>
      <c r="JMP8" s="15"/>
      <c r="JMZ8" s="16"/>
      <c r="JNA8" s="5"/>
      <c r="JNB8" s="5"/>
      <c r="JND8" s="15"/>
      <c r="JNN8" s="16"/>
      <c r="JNO8" s="5"/>
      <c r="JNP8" s="5"/>
      <c r="JNR8" s="15"/>
      <c r="JOB8" s="16"/>
      <c r="JOC8" s="5"/>
      <c r="JOD8" s="5"/>
      <c r="JOF8" s="15"/>
      <c r="JOP8" s="16"/>
      <c r="JOQ8" s="5"/>
      <c r="JOR8" s="5"/>
      <c r="JOT8" s="15"/>
      <c r="JPD8" s="16"/>
      <c r="JPE8" s="5"/>
      <c r="JPF8" s="5"/>
      <c r="JPH8" s="15"/>
      <c r="JPR8" s="16"/>
      <c r="JPS8" s="5"/>
      <c r="JPT8" s="5"/>
      <c r="JPV8" s="15"/>
      <c r="JQF8" s="16"/>
      <c r="JQG8" s="5"/>
      <c r="JQH8" s="5"/>
      <c r="JQJ8" s="15"/>
      <c r="JQT8" s="16"/>
      <c r="JQU8" s="5"/>
      <c r="JQV8" s="5"/>
      <c r="JQX8" s="15"/>
      <c r="JRH8" s="16"/>
      <c r="JRI8" s="5"/>
      <c r="JRJ8" s="5"/>
      <c r="JRL8" s="15"/>
      <c r="JRV8" s="16"/>
      <c r="JRW8" s="5"/>
      <c r="JRX8" s="5"/>
      <c r="JRZ8" s="15"/>
      <c r="JSJ8" s="16"/>
      <c r="JSK8" s="5"/>
      <c r="JSL8" s="5"/>
      <c r="JSN8" s="15"/>
      <c r="JSX8" s="16"/>
      <c r="JSY8" s="5"/>
      <c r="JSZ8" s="5"/>
      <c r="JTB8" s="15"/>
      <c r="JTL8" s="16"/>
      <c r="JTM8" s="5"/>
      <c r="JTN8" s="5"/>
      <c r="JTP8" s="15"/>
      <c r="JTZ8" s="16"/>
      <c r="JUA8" s="5"/>
      <c r="JUB8" s="5"/>
      <c r="JUD8" s="15"/>
      <c r="JUN8" s="16"/>
      <c r="JUO8" s="5"/>
      <c r="JUP8" s="5"/>
      <c r="JUR8" s="15"/>
      <c r="JVB8" s="16"/>
      <c r="JVC8" s="5"/>
      <c r="JVD8" s="5"/>
      <c r="JVF8" s="15"/>
      <c r="JVP8" s="16"/>
      <c r="JVQ8" s="5"/>
      <c r="JVR8" s="5"/>
      <c r="JVT8" s="15"/>
      <c r="JWD8" s="16"/>
      <c r="JWE8" s="5"/>
      <c r="JWF8" s="5"/>
      <c r="JWH8" s="15"/>
      <c r="JWR8" s="16"/>
      <c r="JWS8" s="5"/>
      <c r="JWT8" s="5"/>
      <c r="JWV8" s="15"/>
      <c r="JXF8" s="16"/>
      <c r="JXG8" s="5"/>
      <c r="JXH8" s="5"/>
      <c r="JXJ8" s="15"/>
      <c r="JXT8" s="16"/>
      <c r="JXU8" s="5"/>
      <c r="JXV8" s="5"/>
      <c r="JXX8" s="15"/>
      <c r="JYH8" s="16"/>
      <c r="JYI8" s="5"/>
      <c r="JYJ8" s="5"/>
      <c r="JYL8" s="15"/>
      <c r="JYV8" s="16"/>
      <c r="JYW8" s="5"/>
      <c r="JYX8" s="5"/>
      <c r="JYZ8" s="15"/>
      <c r="JZJ8" s="16"/>
      <c r="JZK8" s="5"/>
      <c r="JZL8" s="5"/>
      <c r="JZN8" s="15"/>
      <c r="JZX8" s="16"/>
      <c r="JZY8" s="5"/>
      <c r="JZZ8" s="5"/>
      <c r="KAB8" s="15"/>
      <c r="KAL8" s="16"/>
      <c r="KAM8" s="5"/>
      <c r="KAN8" s="5"/>
      <c r="KAP8" s="15"/>
      <c r="KAZ8" s="16"/>
      <c r="KBA8" s="5"/>
      <c r="KBB8" s="5"/>
      <c r="KBD8" s="15"/>
      <c r="KBN8" s="16"/>
      <c r="KBO8" s="5"/>
      <c r="KBP8" s="5"/>
      <c r="KBR8" s="15"/>
      <c r="KCB8" s="16"/>
      <c r="KCC8" s="5"/>
      <c r="KCD8" s="5"/>
      <c r="KCF8" s="15"/>
      <c r="KCP8" s="16"/>
      <c r="KCQ8" s="5"/>
      <c r="KCR8" s="5"/>
      <c r="KCT8" s="15"/>
      <c r="KDD8" s="16"/>
      <c r="KDE8" s="5"/>
      <c r="KDF8" s="5"/>
      <c r="KDH8" s="15"/>
      <c r="KDR8" s="16"/>
      <c r="KDS8" s="5"/>
      <c r="KDT8" s="5"/>
      <c r="KDV8" s="15"/>
      <c r="KEF8" s="16"/>
      <c r="KEG8" s="5"/>
      <c r="KEH8" s="5"/>
      <c r="KEJ8" s="15"/>
      <c r="KET8" s="16"/>
      <c r="KEU8" s="5"/>
      <c r="KEV8" s="5"/>
      <c r="KEX8" s="15"/>
      <c r="KFH8" s="16"/>
      <c r="KFI8" s="5"/>
      <c r="KFJ8" s="5"/>
      <c r="KFL8" s="15"/>
      <c r="KFV8" s="16"/>
      <c r="KFW8" s="5"/>
      <c r="KFX8" s="5"/>
      <c r="KFZ8" s="15"/>
      <c r="KGJ8" s="16"/>
      <c r="KGK8" s="5"/>
      <c r="KGL8" s="5"/>
      <c r="KGN8" s="15"/>
      <c r="KGX8" s="16"/>
      <c r="KGY8" s="5"/>
      <c r="KGZ8" s="5"/>
      <c r="KHB8" s="15"/>
      <c r="KHL8" s="16"/>
      <c r="KHM8" s="5"/>
      <c r="KHN8" s="5"/>
      <c r="KHP8" s="15"/>
      <c r="KHZ8" s="16"/>
      <c r="KIA8" s="5"/>
      <c r="KIB8" s="5"/>
      <c r="KID8" s="15"/>
      <c r="KIN8" s="16"/>
      <c r="KIO8" s="5"/>
      <c r="KIP8" s="5"/>
      <c r="KIR8" s="15"/>
      <c r="KJB8" s="16"/>
      <c r="KJC8" s="5"/>
      <c r="KJD8" s="5"/>
      <c r="KJF8" s="15"/>
      <c r="KJP8" s="16"/>
      <c r="KJQ8" s="5"/>
      <c r="KJR8" s="5"/>
      <c r="KJT8" s="15"/>
      <c r="KKD8" s="16"/>
      <c r="KKE8" s="5"/>
      <c r="KKF8" s="5"/>
      <c r="KKH8" s="15"/>
      <c r="KKR8" s="16"/>
      <c r="KKS8" s="5"/>
      <c r="KKT8" s="5"/>
      <c r="KKV8" s="15"/>
      <c r="KLF8" s="16"/>
      <c r="KLG8" s="5"/>
      <c r="KLH8" s="5"/>
      <c r="KLJ8" s="15"/>
      <c r="KLT8" s="16"/>
      <c r="KLU8" s="5"/>
      <c r="KLV8" s="5"/>
      <c r="KLX8" s="15"/>
      <c r="KMH8" s="16"/>
      <c r="KMI8" s="5"/>
      <c r="KMJ8" s="5"/>
      <c r="KML8" s="15"/>
      <c r="KMV8" s="16"/>
      <c r="KMW8" s="5"/>
      <c r="KMX8" s="5"/>
      <c r="KMZ8" s="15"/>
      <c r="KNJ8" s="16"/>
      <c r="KNK8" s="5"/>
      <c r="KNL8" s="5"/>
      <c r="KNN8" s="15"/>
      <c r="KNX8" s="16"/>
      <c r="KNY8" s="5"/>
      <c r="KNZ8" s="5"/>
      <c r="KOB8" s="15"/>
      <c r="KOL8" s="16"/>
      <c r="KOM8" s="5"/>
      <c r="KON8" s="5"/>
      <c r="KOP8" s="15"/>
      <c r="KOZ8" s="16"/>
      <c r="KPA8" s="5"/>
      <c r="KPB8" s="5"/>
      <c r="KPD8" s="15"/>
      <c r="KPN8" s="16"/>
      <c r="KPO8" s="5"/>
      <c r="KPP8" s="5"/>
      <c r="KPR8" s="15"/>
      <c r="KQB8" s="16"/>
      <c r="KQC8" s="5"/>
      <c r="KQD8" s="5"/>
      <c r="KQF8" s="15"/>
      <c r="KQP8" s="16"/>
      <c r="KQQ8" s="5"/>
      <c r="KQR8" s="5"/>
      <c r="KQT8" s="15"/>
      <c r="KRD8" s="16"/>
      <c r="KRE8" s="5"/>
      <c r="KRF8" s="5"/>
      <c r="KRH8" s="15"/>
      <c r="KRR8" s="16"/>
      <c r="KRS8" s="5"/>
      <c r="KRT8" s="5"/>
      <c r="KRV8" s="15"/>
      <c r="KSF8" s="16"/>
      <c r="KSG8" s="5"/>
      <c r="KSH8" s="5"/>
      <c r="KSJ8" s="15"/>
      <c r="KST8" s="16"/>
      <c r="KSU8" s="5"/>
      <c r="KSV8" s="5"/>
      <c r="KSX8" s="15"/>
      <c r="KTH8" s="16"/>
      <c r="KTI8" s="5"/>
      <c r="KTJ8" s="5"/>
      <c r="KTL8" s="15"/>
      <c r="KTV8" s="16"/>
      <c r="KTW8" s="5"/>
      <c r="KTX8" s="5"/>
      <c r="KTZ8" s="15"/>
      <c r="KUJ8" s="16"/>
      <c r="KUK8" s="5"/>
      <c r="KUL8" s="5"/>
      <c r="KUN8" s="15"/>
      <c r="KUX8" s="16"/>
      <c r="KUY8" s="5"/>
      <c r="KUZ8" s="5"/>
      <c r="KVB8" s="15"/>
      <c r="KVL8" s="16"/>
      <c r="KVM8" s="5"/>
      <c r="KVN8" s="5"/>
      <c r="KVP8" s="15"/>
      <c r="KVZ8" s="16"/>
      <c r="KWA8" s="5"/>
      <c r="KWB8" s="5"/>
      <c r="KWD8" s="15"/>
      <c r="KWN8" s="16"/>
      <c r="KWO8" s="5"/>
      <c r="KWP8" s="5"/>
      <c r="KWR8" s="15"/>
      <c r="KXB8" s="16"/>
      <c r="KXC8" s="5"/>
      <c r="KXD8" s="5"/>
      <c r="KXF8" s="15"/>
      <c r="KXP8" s="16"/>
      <c r="KXQ8" s="5"/>
      <c r="KXR8" s="5"/>
      <c r="KXT8" s="15"/>
      <c r="KYD8" s="16"/>
      <c r="KYE8" s="5"/>
      <c r="KYF8" s="5"/>
      <c r="KYH8" s="15"/>
      <c r="KYR8" s="16"/>
      <c r="KYS8" s="5"/>
      <c r="KYT8" s="5"/>
      <c r="KYV8" s="15"/>
      <c r="KZF8" s="16"/>
      <c r="KZG8" s="5"/>
      <c r="KZH8" s="5"/>
      <c r="KZJ8" s="15"/>
      <c r="KZT8" s="16"/>
      <c r="KZU8" s="5"/>
      <c r="KZV8" s="5"/>
      <c r="KZX8" s="15"/>
      <c r="LAH8" s="16"/>
      <c r="LAI8" s="5"/>
      <c r="LAJ8" s="5"/>
      <c r="LAL8" s="15"/>
      <c r="LAV8" s="16"/>
      <c r="LAW8" s="5"/>
      <c r="LAX8" s="5"/>
      <c r="LAZ8" s="15"/>
      <c r="LBJ8" s="16"/>
      <c r="LBK8" s="5"/>
      <c r="LBL8" s="5"/>
      <c r="LBN8" s="15"/>
      <c r="LBX8" s="16"/>
      <c r="LBY8" s="5"/>
      <c r="LBZ8" s="5"/>
      <c r="LCB8" s="15"/>
      <c r="LCL8" s="16"/>
      <c r="LCM8" s="5"/>
      <c r="LCN8" s="5"/>
      <c r="LCP8" s="15"/>
      <c r="LCZ8" s="16"/>
      <c r="LDA8" s="5"/>
      <c r="LDB8" s="5"/>
      <c r="LDD8" s="15"/>
      <c r="LDN8" s="16"/>
      <c r="LDO8" s="5"/>
      <c r="LDP8" s="5"/>
      <c r="LDR8" s="15"/>
      <c r="LEB8" s="16"/>
      <c r="LEC8" s="5"/>
      <c r="LED8" s="5"/>
      <c r="LEF8" s="15"/>
      <c r="LEP8" s="16"/>
      <c r="LEQ8" s="5"/>
      <c r="LER8" s="5"/>
      <c r="LET8" s="15"/>
      <c r="LFD8" s="16"/>
      <c r="LFE8" s="5"/>
      <c r="LFF8" s="5"/>
      <c r="LFH8" s="15"/>
      <c r="LFR8" s="16"/>
      <c r="LFS8" s="5"/>
      <c r="LFT8" s="5"/>
      <c r="LFV8" s="15"/>
      <c r="LGF8" s="16"/>
      <c r="LGG8" s="5"/>
      <c r="LGH8" s="5"/>
      <c r="LGJ8" s="15"/>
      <c r="LGT8" s="16"/>
      <c r="LGU8" s="5"/>
      <c r="LGV8" s="5"/>
      <c r="LGX8" s="15"/>
      <c r="LHH8" s="16"/>
      <c r="LHI8" s="5"/>
      <c r="LHJ8" s="5"/>
      <c r="LHL8" s="15"/>
      <c r="LHV8" s="16"/>
      <c r="LHW8" s="5"/>
      <c r="LHX8" s="5"/>
      <c r="LHZ8" s="15"/>
      <c r="LIJ8" s="16"/>
      <c r="LIK8" s="5"/>
      <c r="LIL8" s="5"/>
      <c r="LIN8" s="15"/>
      <c r="LIX8" s="16"/>
      <c r="LIY8" s="5"/>
      <c r="LIZ8" s="5"/>
      <c r="LJB8" s="15"/>
      <c r="LJL8" s="16"/>
      <c r="LJM8" s="5"/>
      <c r="LJN8" s="5"/>
      <c r="LJP8" s="15"/>
      <c r="LJZ8" s="16"/>
      <c r="LKA8" s="5"/>
      <c r="LKB8" s="5"/>
      <c r="LKD8" s="15"/>
      <c r="LKN8" s="16"/>
      <c r="LKO8" s="5"/>
      <c r="LKP8" s="5"/>
      <c r="LKR8" s="15"/>
      <c r="LLB8" s="16"/>
      <c r="LLC8" s="5"/>
      <c r="LLD8" s="5"/>
      <c r="LLF8" s="15"/>
      <c r="LLP8" s="16"/>
      <c r="LLQ8" s="5"/>
      <c r="LLR8" s="5"/>
      <c r="LLT8" s="15"/>
      <c r="LMD8" s="16"/>
      <c r="LME8" s="5"/>
      <c r="LMF8" s="5"/>
      <c r="LMH8" s="15"/>
      <c r="LMR8" s="16"/>
      <c r="LMS8" s="5"/>
      <c r="LMT8" s="5"/>
      <c r="LMV8" s="15"/>
      <c r="LNF8" s="16"/>
      <c r="LNG8" s="5"/>
      <c r="LNH8" s="5"/>
      <c r="LNJ8" s="15"/>
      <c r="LNT8" s="16"/>
      <c r="LNU8" s="5"/>
      <c r="LNV8" s="5"/>
      <c r="LNX8" s="15"/>
      <c r="LOH8" s="16"/>
      <c r="LOI8" s="5"/>
      <c r="LOJ8" s="5"/>
      <c r="LOL8" s="15"/>
      <c r="LOV8" s="16"/>
      <c r="LOW8" s="5"/>
      <c r="LOX8" s="5"/>
      <c r="LOZ8" s="15"/>
      <c r="LPJ8" s="16"/>
      <c r="LPK8" s="5"/>
      <c r="LPL8" s="5"/>
      <c r="LPN8" s="15"/>
      <c r="LPX8" s="16"/>
      <c r="LPY8" s="5"/>
      <c r="LPZ8" s="5"/>
      <c r="LQB8" s="15"/>
      <c r="LQL8" s="16"/>
      <c r="LQM8" s="5"/>
      <c r="LQN8" s="5"/>
      <c r="LQP8" s="15"/>
      <c r="LQZ8" s="16"/>
      <c r="LRA8" s="5"/>
      <c r="LRB8" s="5"/>
      <c r="LRD8" s="15"/>
      <c r="LRN8" s="16"/>
      <c r="LRO8" s="5"/>
      <c r="LRP8" s="5"/>
      <c r="LRR8" s="15"/>
      <c r="LSB8" s="16"/>
      <c r="LSC8" s="5"/>
      <c r="LSD8" s="5"/>
      <c r="LSF8" s="15"/>
      <c r="LSP8" s="16"/>
      <c r="LSQ8" s="5"/>
      <c r="LSR8" s="5"/>
      <c r="LST8" s="15"/>
      <c r="LTD8" s="16"/>
      <c r="LTE8" s="5"/>
      <c r="LTF8" s="5"/>
      <c r="LTH8" s="15"/>
      <c r="LTR8" s="16"/>
      <c r="LTS8" s="5"/>
      <c r="LTT8" s="5"/>
      <c r="LTV8" s="15"/>
      <c r="LUF8" s="16"/>
      <c r="LUG8" s="5"/>
      <c r="LUH8" s="5"/>
      <c r="LUJ8" s="15"/>
      <c r="LUT8" s="16"/>
      <c r="LUU8" s="5"/>
      <c r="LUV8" s="5"/>
      <c r="LUX8" s="15"/>
      <c r="LVH8" s="16"/>
      <c r="LVI8" s="5"/>
      <c r="LVJ8" s="5"/>
      <c r="LVL8" s="15"/>
      <c r="LVV8" s="16"/>
      <c r="LVW8" s="5"/>
      <c r="LVX8" s="5"/>
      <c r="LVZ8" s="15"/>
      <c r="LWJ8" s="16"/>
      <c r="LWK8" s="5"/>
      <c r="LWL8" s="5"/>
      <c r="LWN8" s="15"/>
      <c r="LWX8" s="16"/>
      <c r="LWY8" s="5"/>
      <c r="LWZ8" s="5"/>
      <c r="LXB8" s="15"/>
      <c r="LXL8" s="16"/>
      <c r="LXM8" s="5"/>
      <c r="LXN8" s="5"/>
      <c r="LXP8" s="15"/>
      <c r="LXZ8" s="16"/>
      <c r="LYA8" s="5"/>
      <c r="LYB8" s="5"/>
      <c r="LYD8" s="15"/>
      <c r="LYN8" s="16"/>
      <c r="LYO8" s="5"/>
      <c r="LYP8" s="5"/>
      <c r="LYR8" s="15"/>
      <c r="LZB8" s="16"/>
      <c r="LZC8" s="5"/>
      <c r="LZD8" s="5"/>
      <c r="LZF8" s="15"/>
      <c r="LZP8" s="16"/>
      <c r="LZQ8" s="5"/>
      <c r="LZR8" s="5"/>
      <c r="LZT8" s="15"/>
      <c r="MAD8" s="16"/>
      <c r="MAE8" s="5"/>
      <c r="MAF8" s="5"/>
      <c r="MAH8" s="15"/>
      <c r="MAR8" s="16"/>
      <c r="MAS8" s="5"/>
      <c r="MAT8" s="5"/>
      <c r="MAV8" s="15"/>
      <c r="MBF8" s="16"/>
      <c r="MBG8" s="5"/>
      <c r="MBH8" s="5"/>
      <c r="MBJ8" s="15"/>
      <c r="MBT8" s="16"/>
      <c r="MBU8" s="5"/>
      <c r="MBV8" s="5"/>
      <c r="MBX8" s="15"/>
      <c r="MCH8" s="16"/>
      <c r="MCI8" s="5"/>
      <c r="MCJ8" s="5"/>
      <c r="MCL8" s="15"/>
      <c r="MCV8" s="16"/>
      <c r="MCW8" s="5"/>
      <c r="MCX8" s="5"/>
      <c r="MCZ8" s="15"/>
      <c r="MDJ8" s="16"/>
      <c r="MDK8" s="5"/>
      <c r="MDL8" s="5"/>
      <c r="MDN8" s="15"/>
      <c r="MDX8" s="16"/>
      <c r="MDY8" s="5"/>
      <c r="MDZ8" s="5"/>
      <c r="MEB8" s="15"/>
      <c r="MEL8" s="16"/>
      <c r="MEM8" s="5"/>
      <c r="MEN8" s="5"/>
      <c r="MEP8" s="15"/>
      <c r="MEZ8" s="16"/>
      <c r="MFA8" s="5"/>
      <c r="MFB8" s="5"/>
      <c r="MFD8" s="15"/>
      <c r="MFN8" s="16"/>
      <c r="MFO8" s="5"/>
      <c r="MFP8" s="5"/>
      <c r="MFR8" s="15"/>
      <c r="MGB8" s="16"/>
      <c r="MGC8" s="5"/>
      <c r="MGD8" s="5"/>
      <c r="MGF8" s="15"/>
      <c r="MGP8" s="16"/>
      <c r="MGQ8" s="5"/>
      <c r="MGR8" s="5"/>
      <c r="MGT8" s="15"/>
      <c r="MHD8" s="16"/>
      <c r="MHE8" s="5"/>
      <c r="MHF8" s="5"/>
      <c r="MHH8" s="15"/>
      <c r="MHR8" s="16"/>
      <c r="MHS8" s="5"/>
      <c r="MHT8" s="5"/>
      <c r="MHV8" s="15"/>
      <c r="MIF8" s="16"/>
      <c r="MIG8" s="5"/>
      <c r="MIH8" s="5"/>
      <c r="MIJ8" s="15"/>
      <c r="MIT8" s="16"/>
      <c r="MIU8" s="5"/>
      <c r="MIV8" s="5"/>
      <c r="MIX8" s="15"/>
      <c r="MJH8" s="16"/>
      <c r="MJI8" s="5"/>
      <c r="MJJ8" s="5"/>
      <c r="MJL8" s="15"/>
      <c r="MJV8" s="16"/>
      <c r="MJW8" s="5"/>
      <c r="MJX8" s="5"/>
      <c r="MJZ8" s="15"/>
      <c r="MKJ8" s="16"/>
      <c r="MKK8" s="5"/>
      <c r="MKL8" s="5"/>
      <c r="MKN8" s="15"/>
      <c r="MKX8" s="16"/>
      <c r="MKY8" s="5"/>
      <c r="MKZ8" s="5"/>
      <c r="MLB8" s="15"/>
      <c r="MLL8" s="16"/>
      <c r="MLM8" s="5"/>
      <c r="MLN8" s="5"/>
      <c r="MLP8" s="15"/>
      <c r="MLZ8" s="16"/>
      <c r="MMA8" s="5"/>
      <c r="MMB8" s="5"/>
      <c r="MMD8" s="15"/>
      <c r="MMN8" s="16"/>
      <c r="MMO8" s="5"/>
      <c r="MMP8" s="5"/>
      <c r="MMR8" s="15"/>
      <c r="MNB8" s="16"/>
      <c r="MNC8" s="5"/>
      <c r="MND8" s="5"/>
      <c r="MNF8" s="15"/>
      <c r="MNP8" s="16"/>
      <c r="MNQ8" s="5"/>
      <c r="MNR8" s="5"/>
      <c r="MNT8" s="15"/>
      <c r="MOD8" s="16"/>
      <c r="MOE8" s="5"/>
      <c r="MOF8" s="5"/>
      <c r="MOH8" s="15"/>
      <c r="MOR8" s="16"/>
      <c r="MOS8" s="5"/>
      <c r="MOT8" s="5"/>
      <c r="MOV8" s="15"/>
      <c r="MPF8" s="16"/>
      <c r="MPG8" s="5"/>
      <c r="MPH8" s="5"/>
      <c r="MPJ8" s="15"/>
      <c r="MPT8" s="16"/>
      <c r="MPU8" s="5"/>
      <c r="MPV8" s="5"/>
      <c r="MPX8" s="15"/>
      <c r="MQH8" s="16"/>
      <c r="MQI8" s="5"/>
      <c r="MQJ8" s="5"/>
      <c r="MQL8" s="15"/>
      <c r="MQV8" s="16"/>
      <c r="MQW8" s="5"/>
      <c r="MQX8" s="5"/>
      <c r="MQZ8" s="15"/>
      <c r="MRJ8" s="16"/>
      <c r="MRK8" s="5"/>
      <c r="MRL8" s="5"/>
      <c r="MRN8" s="15"/>
      <c r="MRX8" s="16"/>
      <c r="MRY8" s="5"/>
      <c r="MRZ8" s="5"/>
      <c r="MSB8" s="15"/>
      <c r="MSL8" s="16"/>
      <c r="MSM8" s="5"/>
      <c r="MSN8" s="5"/>
      <c r="MSP8" s="15"/>
      <c r="MSZ8" s="16"/>
      <c r="MTA8" s="5"/>
      <c r="MTB8" s="5"/>
      <c r="MTD8" s="15"/>
      <c r="MTN8" s="16"/>
      <c r="MTO8" s="5"/>
      <c r="MTP8" s="5"/>
      <c r="MTR8" s="15"/>
      <c r="MUB8" s="16"/>
      <c r="MUC8" s="5"/>
      <c r="MUD8" s="5"/>
      <c r="MUF8" s="15"/>
      <c r="MUP8" s="16"/>
      <c r="MUQ8" s="5"/>
      <c r="MUR8" s="5"/>
      <c r="MUT8" s="15"/>
      <c r="MVD8" s="16"/>
      <c r="MVE8" s="5"/>
      <c r="MVF8" s="5"/>
      <c r="MVH8" s="15"/>
      <c r="MVR8" s="16"/>
      <c r="MVS8" s="5"/>
      <c r="MVT8" s="5"/>
      <c r="MVV8" s="15"/>
      <c r="MWF8" s="16"/>
      <c r="MWG8" s="5"/>
      <c r="MWH8" s="5"/>
      <c r="MWJ8" s="15"/>
      <c r="MWT8" s="16"/>
      <c r="MWU8" s="5"/>
      <c r="MWV8" s="5"/>
      <c r="MWX8" s="15"/>
      <c r="MXH8" s="16"/>
      <c r="MXI8" s="5"/>
      <c r="MXJ8" s="5"/>
      <c r="MXL8" s="15"/>
      <c r="MXV8" s="16"/>
      <c r="MXW8" s="5"/>
      <c r="MXX8" s="5"/>
      <c r="MXZ8" s="15"/>
      <c r="MYJ8" s="16"/>
      <c r="MYK8" s="5"/>
      <c r="MYL8" s="5"/>
      <c r="MYN8" s="15"/>
      <c r="MYX8" s="16"/>
      <c r="MYY8" s="5"/>
      <c r="MYZ8" s="5"/>
      <c r="MZB8" s="15"/>
      <c r="MZL8" s="16"/>
      <c r="MZM8" s="5"/>
      <c r="MZN8" s="5"/>
      <c r="MZP8" s="15"/>
      <c r="MZZ8" s="16"/>
      <c r="NAA8" s="5"/>
      <c r="NAB8" s="5"/>
      <c r="NAD8" s="15"/>
      <c r="NAN8" s="16"/>
      <c r="NAO8" s="5"/>
      <c r="NAP8" s="5"/>
      <c r="NAR8" s="15"/>
      <c r="NBB8" s="16"/>
      <c r="NBC8" s="5"/>
      <c r="NBD8" s="5"/>
      <c r="NBF8" s="15"/>
      <c r="NBP8" s="16"/>
      <c r="NBQ8" s="5"/>
      <c r="NBR8" s="5"/>
      <c r="NBT8" s="15"/>
      <c r="NCD8" s="16"/>
      <c r="NCE8" s="5"/>
      <c r="NCF8" s="5"/>
      <c r="NCH8" s="15"/>
      <c r="NCR8" s="16"/>
      <c r="NCS8" s="5"/>
      <c r="NCT8" s="5"/>
      <c r="NCV8" s="15"/>
      <c r="NDF8" s="16"/>
      <c r="NDG8" s="5"/>
      <c r="NDH8" s="5"/>
      <c r="NDJ8" s="15"/>
      <c r="NDT8" s="16"/>
      <c r="NDU8" s="5"/>
      <c r="NDV8" s="5"/>
      <c r="NDX8" s="15"/>
      <c r="NEH8" s="16"/>
      <c r="NEI8" s="5"/>
      <c r="NEJ8" s="5"/>
      <c r="NEL8" s="15"/>
      <c r="NEV8" s="16"/>
      <c r="NEW8" s="5"/>
      <c r="NEX8" s="5"/>
      <c r="NEZ8" s="15"/>
      <c r="NFJ8" s="16"/>
      <c r="NFK8" s="5"/>
      <c r="NFL8" s="5"/>
      <c r="NFN8" s="15"/>
      <c r="NFX8" s="16"/>
      <c r="NFY8" s="5"/>
      <c r="NFZ8" s="5"/>
      <c r="NGB8" s="15"/>
      <c r="NGL8" s="16"/>
      <c r="NGM8" s="5"/>
      <c r="NGN8" s="5"/>
      <c r="NGP8" s="15"/>
      <c r="NGZ8" s="16"/>
      <c r="NHA8" s="5"/>
      <c r="NHB8" s="5"/>
      <c r="NHD8" s="15"/>
      <c r="NHN8" s="16"/>
      <c r="NHO8" s="5"/>
      <c r="NHP8" s="5"/>
      <c r="NHR8" s="15"/>
      <c r="NIB8" s="16"/>
      <c r="NIC8" s="5"/>
      <c r="NID8" s="5"/>
      <c r="NIF8" s="15"/>
      <c r="NIP8" s="16"/>
      <c r="NIQ8" s="5"/>
      <c r="NIR8" s="5"/>
      <c r="NIT8" s="15"/>
      <c r="NJD8" s="16"/>
      <c r="NJE8" s="5"/>
      <c r="NJF8" s="5"/>
      <c r="NJH8" s="15"/>
      <c r="NJR8" s="16"/>
      <c r="NJS8" s="5"/>
      <c r="NJT8" s="5"/>
      <c r="NJV8" s="15"/>
      <c r="NKF8" s="16"/>
      <c r="NKG8" s="5"/>
      <c r="NKH8" s="5"/>
      <c r="NKJ8" s="15"/>
      <c r="NKT8" s="16"/>
      <c r="NKU8" s="5"/>
      <c r="NKV8" s="5"/>
      <c r="NKX8" s="15"/>
      <c r="NLH8" s="16"/>
      <c r="NLI8" s="5"/>
      <c r="NLJ8" s="5"/>
      <c r="NLL8" s="15"/>
      <c r="NLV8" s="16"/>
      <c r="NLW8" s="5"/>
      <c r="NLX8" s="5"/>
      <c r="NLZ8" s="15"/>
      <c r="NMJ8" s="16"/>
      <c r="NMK8" s="5"/>
      <c r="NML8" s="5"/>
      <c r="NMN8" s="15"/>
      <c r="NMX8" s="16"/>
      <c r="NMY8" s="5"/>
      <c r="NMZ8" s="5"/>
      <c r="NNB8" s="15"/>
      <c r="NNL8" s="16"/>
      <c r="NNM8" s="5"/>
      <c r="NNN8" s="5"/>
      <c r="NNP8" s="15"/>
      <c r="NNZ8" s="16"/>
      <c r="NOA8" s="5"/>
      <c r="NOB8" s="5"/>
      <c r="NOD8" s="15"/>
      <c r="NON8" s="16"/>
      <c r="NOO8" s="5"/>
      <c r="NOP8" s="5"/>
      <c r="NOR8" s="15"/>
      <c r="NPB8" s="16"/>
      <c r="NPC8" s="5"/>
      <c r="NPD8" s="5"/>
      <c r="NPF8" s="15"/>
      <c r="NPP8" s="16"/>
      <c r="NPQ8" s="5"/>
      <c r="NPR8" s="5"/>
      <c r="NPT8" s="15"/>
      <c r="NQD8" s="16"/>
      <c r="NQE8" s="5"/>
      <c r="NQF8" s="5"/>
      <c r="NQH8" s="15"/>
      <c r="NQR8" s="16"/>
      <c r="NQS8" s="5"/>
      <c r="NQT8" s="5"/>
      <c r="NQV8" s="15"/>
      <c r="NRF8" s="16"/>
      <c r="NRG8" s="5"/>
      <c r="NRH8" s="5"/>
      <c r="NRJ8" s="15"/>
      <c r="NRT8" s="16"/>
      <c r="NRU8" s="5"/>
      <c r="NRV8" s="5"/>
      <c r="NRX8" s="15"/>
      <c r="NSH8" s="16"/>
      <c r="NSI8" s="5"/>
      <c r="NSJ8" s="5"/>
      <c r="NSL8" s="15"/>
      <c r="NSV8" s="16"/>
      <c r="NSW8" s="5"/>
      <c r="NSX8" s="5"/>
      <c r="NSZ8" s="15"/>
      <c r="NTJ8" s="16"/>
      <c r="NTK8" s="5"/>
      <c r="NTL8" s="5"/>
      <c r="NTN8" s="15"/>
      <c r="NTX8" s="16"/>
      <c r="NTY8" s="5"/>
      <c r="NTZ8" s="5"/>
      <c r="NUB8" s="15"/>
      <c r="NUL8" s="16"/>
      <c r="NUM8" s="5"/>
      <c r="NUN8" s="5"/>
      <c r="NUP8" s="15"/>
      <c r="NUZ8" s="16"/>
      <c r="NVA8" s="5"/>
      <c r="NVB8" s="5"/>
      <c r="NVD8" s="15"/>
      <c r="NVN8" s="16"/>
      <c r="NVO8" s="5"/>
      <c r="NVP8" s="5"/>
      <c r="NVR8" s="15"/>
      <c r="NWB8" s="16"/>
      <c r="NWC8" s="5"/>
      <c r="NWD8" s="5"/>
      <c r="NWF8" s="15"/>
      <c r="NWP8" s="16"/>
      <c r="NWQ8" s="5"/>
      <c r="NWR8" s="5"/>
      <c r="NWT8" s="15"/>
      <c r="NXD8" s="16"/>
      <c r="NXE8" s="5"/>
      <c r="NXF8" s="5"/>
      <c r="NXH8" s="15"/>
      <c r="NXR8" s="16"/>
      <c r="NXS8" s="5"/>
      <c r="NXT8" s="5"/>
      <c r="NXV8" s="15"/>
      <c r="NYF8" s="16"/>
      <c r="NYG8" s="5"/>
      <c r="NYH8" s="5"/>
      <c r="NYJ8" s="15"/>
      <c r="NYT8" s="16"/>
      <c r="NYU8" s="5"/>
      <c r="NYV8" s="5"/>
      <c r="NYX8" s="15"/>
      <c r="NZH8" s="16"/>
      <c r="NZI8" s="5"/>
      <c r="NZJ8" s="5"/>
      <c r="NZL8" s="15"/>
      <c r="NZV8" s="16"/>
      <c r="NZW8" s="5"/>
      <c r="NZX8" s="5"/>
      <c r="NZZ8" s="15"/>
      <c r="OAJ8" s="16"/>
      <c r="OAK8" s="5"/>
      <c r="OAL8" s="5"/>
      <c r="OAN8" s="15"/>
      <c r="OAX8" s="16"/>
      <c r="OAY8" s="5"/>
      <c r="OAZ8" s="5"/>
      <c r="OBB8" s="15"/>
      <c r="OBL8" s="16"/>
      <c r="OBM8" s="5"/>
      <c r="OBN8" s="5"/>
      <c r="OBP8" s="15"/>
      <c r="OBZ8" s="16"/>
      <c r="OCA8" s="5"/>
      <c r="OCB8" s="5"/>
      <c r="OCD8" s="15"/>
      <c r="OCN8" s="16"/>
      <c r="OCO8" s="5"/>
      <c r="OCP8" s="5"/>
      <c r="OCR8" s="15"/>
      <c r="ODB8" s="16"/>
      <c r="ODC8" s="5"/>
      <c r="ODD8" s="5"/>
      <c r="ODF8" s="15"/>
      <c r="ODP8" s="16"/>
      <c r="ODQ8" s="5"/>
      <c r="ODR8" s="5"/>
      <c r="ODT8" s="15"/>
      <c r="OED8" s="16"/>
      <c r="OEE8" s="5"/>
      <c r="OEF8" s="5"/>
      <c r="OEH8" s="15"/>
      <c r="OER8" s="16"/>
      <c r="OES8" s="5"/>
      <c r="OET8" s="5"/>
      <c r="OEV8" s="15"/>
      <c r="OFF8" s="16"/>
      <c r="OFG8" s="5"/>
      <c r="OFH8" s="5"/>
      <c r="OFJ8" s="15"/>
      <c r="OFT8" s="16"/>
      <c r="OFU8" s="5"/>
      <c r="OFV8" s="5"/>
      <c r="OFX8" s="15"/>
      <c r="OGH8" s="16"/>
      <c r="OGI8" s="5"/>
      <c r="OGJ8" s="5"/>
      <c r="OGL8" s="15"/>
      <c r="OGV8" s="16"/>
      <c r="OGW8" s="5"/>
      <c r="OGX8" s="5"/>
      <c r="OGZ8" s="15"/>
      <c r="OHJ8" s="16"/>
      <c r="OHK8" s="5"/>
      <c r="OHL8" s="5"/>
      <c r="OHN8" s="15"/>
      <c r="OHX8" s="16"/>
      <c r="OHY8" s="5"/>
      <c r="OHZ8" s="5"/>
      <c r="OIB8" s="15"/>
      <c r="OIL8" s="16"/>
      <c r="OIM8" s="5"/>
      <c r="OIN8" s="5"/>
      <c r="OIP8" s="15"/>
      <c r="OIZ8" s="16"/>
      <c r="OJA8" s="5"/>
      <c r="OJB8" s="5"/>
      <c r="OJD8" s="15"/>
      <c r="OJN8" s="16"/>
      <c r="OJO8" s="5"/>
      <c r="OJP8" s="5"/>
      <c r="OJR8" s="15"/>
      <c r="OKB8" s="16"/>
      <c r="OKC8" s="5"/>
      <c r="OKD8" s="5"/>
      <c r="OKF8" s="15"/>
      <c r="OKP8" s="16"/>
      <c r="OKQ8" s="5"/>
      <c r="OKR8" s="5"/>
      <c r="OKT8" s="15"/>
      <c r="OLD8" s="16"/>
      <c r="OLE8" s="5"/>
      <c r="OLF8" s="5"/>
      <c r="OLH8" s="15"/>
      <c r="OLR8" s="16"/>
      <c r="OLS8" s="5"/>
      <c r="OLT8" s="5"/>
      <c r="OLV8" s="15"/>
      <c r="OMF8" s="16"/>
      <c r="OMG8" s="5"/>
      <c r="OMH8" s="5"/>
      <c r="OMJ8" s="15"/>
      <c r="OMT8" s="16"/>
      <c r="OMU8" s="5"/>
      <c r="OMV8" s="5"/>
      <c r="OMX8" s="15"/>
      <c r="ONH8" s="16"/>
      <c r="ONI8" s="5"/>
      <c r="ONJ8" s="5"/>
      <c r="ONL8" s="15"/>
      <c r="ONV8" s="16"/>
      <c r="ONW8" s="5"/>
      <c r="ONX8" s="5"/>
      <c r="ONZ8" s="15"/>
      <c r="OOJ8" s="16"/>
      <c r="OOK8" s="5"/>
      <c r="OOL8" s="5"/>
      <c r="OON8" s="15"/>
      <c r="OOX8" s="16"/>
      <c r="OOY8" s="5"/>
      <c r="OOZ8" s="5"/>
      <c r="OPB8" s="15"/>
      <c r="OPL8" s="16"/>
      <c r="OPM8" s="5"/>
      <c r="OPN8" s="5"/>
      <c r="OPP8" s="15"/>
      <c r="OPZ8" s="16"/>
      <c r="OQA8" s="5"/>
      <c r="OQB8" s="5"/>
      <c r="OQD8" s="15"/>
      <c r="OQN8" s="16"/>
      <c r="OQO8" s="5"/>
      <c r="OQP8" s="5"/>
      <c r="OQR8" s="15"/>
      <c r="ORB8" s="16"/>
      <c r="ORC8" s="5"/>
      <c r="ORD8" s="5"/>
      <c r="ORF8" s="15"/>
      <c r="ORP8" s="16"/>
      <c r="ORQ8" s="5"/>
      <c r="ORR8" s="5"/>
      <c r="ORT8" s="15"/>
      <c r="OSD8" s="16"/>
      <c r="OSE8" s="5"/>
      <c r="OSF8" s="5"/>
      <c r="OSH8" s="15"/>
      <c r="OSR8" s="16"/>
      <c r="OSS8" s="5"/>
      <c r="OST8" s="5"/>
      <c r="OSV8" s="15"/>
      <c r="OTF8" s="16"/>
      <c r="OTG8" s="5"/>
      <c r="OTH8" s="5"/>
      <c r="OTJ8" s="15"/>
      <c r="OTT8" s="16"/>
      <c r="OTU8" s="5"/>
      <c r="OTV8" s="5"/>
      <c r="OTX8" s="15"/>
      <c r="OUH8" s="16"/>
      <c r="OUI8" s="5"/>
      <c r="OUJ8" s="5"/>
      <c r="OUL8" s="15"/>
      <c r="OUV8" s="16"/>
      <c r="OUW8" s="5"/>
      <c r="OUX8" s="5"/>
      <c r="OUZ8" s="15"/>
      <c r="OVJ8" s="16"/>
      <c r="OVK8" s="5"/>
      <c r="OVL8" s="5"/>
      <c r="OVN8" s="15"/>
      <c r="OVX8" s="16"/>
      <c r="OVY8" s="5"/>
      <c r="OVZ8" s="5"/>
      <c r="OWB8" s="15"/>
      <c r="OWL8" s="16"/>
      <c r="OWM8" s="5"/>
      <c r="OWN8" s="5"/>
      <c r="OWP8" s="15"/>
      <c r="OWZ8" s="16"/>
      <c r="OXA8" s="5"/>
      <c r="OXB8" s="5"/>
      <c r="OXD8" s="15"/>
      <c r="OXN8" s="16"/>
      <c r="OXO8" s="5"/>
      <c r="OXP8" s="5"/>
      <c r="OXR8" s="15"/>
      <c r="OYB8" s="16"/>
      <c r="OYC8" s="5"/>
      <c r="OYD8" s="5"/>
      <c r="OYF8" s="15"/>
      <c r="OYP8" s="16"/>
      <c r="OYQ8" s="5"/>
      <c r="OYR8" s="5"/>
      <c r="OYT8" s="15"/>
      <c r="OZD8" s="16"/>
      <c r="OZE8" s="5"/>
      <c r="OZF8" s="5"/>
      <c r="OZH8" s="15"/>
      <c r="OZR8" s="16"/>
      <c r="OZS8" s="5"/>
      <c r="OZT8" s="5"/>
      <c r="OZV8" s="15"/>
      <c r="PAF8" s="16"/>
      <c r="PAG8" s="5"/>
      <c r="PAH8" s="5"/>
      <c r="PAJ8" s="15"/>
      <c r="PAT8" s="16"/>
      <c r="PAU8" s="5"/>
      <c r="PAV8" s="5"/>
      <c r="PAX8" s="15"/>
      <c r="PBH8" s="16"/>
      <c r="PBI8" s="5"/>
      <c r="PBJ8" s="5"/>
      <c r="PBL8" s="15"/>
      <c r="PBV8" s="16"/>
      <c r="PBW8" s="5"/>
      <c r="PBX8" s="5"/>
      <c r="PBZ8" s="15"/>
      <c r="PCJ8" s="16"/>
      <c r="PCK8" s="5"/>
      <c r="PCL8" s="5"/>
      <c r="PCN8" s="15"/>
      <c r="PCX8" s="16"/>
      <c r="PCY8" s="5"/>
      <c r="PCZ8" s="5"/>
      <c r="PDB8" s="15"/>
      <c r="PDL8" s="16"/>
      <c r="PDM8" s="5"/>
      <c r="PDN8" s="5"/>
      <c r="PDP8" s="15"/>
      <c r="PDZ8" s="16"/>
      <c r="PEA8" s="5"/>
      <c r="PEB8" s="5"/>
      <c r="PED8" s="15"/>
      <c r="PEN8" s="16"/>
      <c r="PEO8" s="5"/>
      <c r="PEP8" s="5"/>
      <c r="PER8" s="15"/>
      <c r="PFB8" s="16"/>
      <c r="PFC8" s="5"/>
      <c r="PFD8" s="5"/>
      <c r="PFF8" s="15"/>
      <c r="PFP8" s="16"/>
      <c r="PFQ8" s="5"/>
      <c r="PFR8" s="5"/>
      <c r="PFT8" s="15"/>
      <c r="PGD8" s="16"/>
      <c r="PGE8" s="5"/>
      <c r="PGF8" s="5"/>
      <c r="PGH8" s="15"/>
      <c r="PGR8" s="16"/>
      <c r="PGS8" s="5"/>
      <c r="PGT8" s="5"/>
      <c r="PGV8" s="15"/>
      <c r="PHF8" s="16"/>
      <c r="PHG8" s="5"/>
      <c r="PHH8" s="5"/>
      <c r="PHJ8" s="15"/>
      <c r="PHT8" s="16"/>
      <c r="PHU8" s="5"/>
      <c r="PHV8" s="5"/>
      <c r="PHX8" s="15"/>
      <c r="PIH8" s="16"/>
      <c r="PII8" s="5"/>
      <c r="PIJ8" s="5"/>
      <c r="PIL8" s="15"/>
      <c r="PIV8" s="16"/>
      <c r="PIW8" s="5"/>
      <c r="PIX8" s="5"/>
      <c r="PIZ8" s="15"/>
      <c r="PJJ8" s="16"/>
      <c r="PJK8" s="5"/>
      <c r="PJL8" s="5"/>
      <c r="PJN8" s="15"/>
      <c r="PJX8" s="16"/>
      <c r="PJY8" s="5"/>
      <c r="PJZ8" s="5"/>
      <c r="PKB8" s="15"/>
      <c r="PKL8" s="16"/>
      <c r="PKM8" s="5"/>
      <c r="PKN8" s="5"/>
      <c r="PKP8" s="15"/>
      <c r="PKZ8" s="16"/>
      <c r="PLA8" s="5"/>
      <c r="PLB8" s="5"/>
      <c r="PLD8" s="15"/>
      <c r="PLN8" s="16"/>
      <c r="PLO8" s="5"/>
      <c r="PLP8" s="5"/>
      <c r="PLR8" s="15"/>
      <c r="PMB8" s="16"/>
      <c r="PMC8" s="5"/>
      <c r="PMD8" s="5"/>
      <c r="PMF8" s="15"/>
      <c r="PMP8" s="16"/>
      <c r="PMQ8" s="5"/>
      <c r="PMR8" s="5"/>
      <c r="PMT8" s="15"/>
      <c r="PND8" s="16"/>
      <c r="PNE8" s="5"/>
      <c r="PNF8" s="5"/>
      <c r="PNH8" s="15"/>
      <c r="PNR8" s="16"/>
      <c r="PNS8" s="5"/>
      <c r="PNT8" s="5"/>
      <c r="PNV8" s="15"/>
      <c r="POF8" s="16"/>
      <c r="POG8" s="5"/>
      <c r="POH8" s="5"/>
      <c r="POJ8" s="15"/>
      <c r="POT8" s="16"/>
      <c r="POU8" s="5"/>
      <c r="POV8" s="5"/>
      <c r="POX8" s="15"/>
      <c r="PPH8" s="16"/>
      <c r="PPI8" s="5"/>
      <c r="PPJ8" s="5"/>
      <c r="PPL8" s="15"/>
      <c r="PPV8" s="16"/>
      <c r="PPW8" s="5"/>
      <c r="PPX8" s="5"/>
      <c r="PPZ8" s="15"/>
      <c r="PQJ8" s="16"/>
      <c r="PQK8" s="5"/>
      <c r="PQL8" s="5"/>
      <c r="PQN8" s="15"/>
      <c r="PQX8" s="16"/>
      <c r="PQY8" s="5"/>
      <c r="PQZ8" s="5"/>
      <c r="PRB8" s="15"/>
      <c r="PRL8" s="16"/>
      <c r="PRM8" s="5"/>
      <c r="PRN8" s="5"/>
      <c r="PRP8" s="15"/>
      <c r="PRZ8" s="16"/>
      <c r="PSA8" s="5"/>
      <c r="PSB8" s="5"/>
      <c r="PSD8" s="15"/>
      <c r="PSN8" s="16"/>
      <c r="PSO8" s="5"/>
      <c r="PSP8" s="5"/>
      <c r="PSR8" s="15"/>
      <c r="PTB8" s="16"/>
      <c r="PTC8" s="5"/>
      <c r="PTD8" s="5"/>
      <c r="PTF8" s="15"/>
      <c r="PTP8" s="16"/>
      <c r="PTQ8" s="5"/>
      <c r="PTR8" s="5"/>
      <c r="PTT8" s="15"/>
      <c r="PUD8" s="16"/>
      <c r="PUE8" s="5"/>
      <c r="PUF8" s="5"/>
      <c r="PUH8" s="15"/>
      <c r="PUR8" s="16"/>
      <c r="PUS8" s="5"/>
      <c r="PUT8" s="5"/>
      <c r="PUV8" s="15"/>
      <c r="PVF8" s="16"/>
      <c r="PVG8" s="5"/>
      <c r="PVH8" s="5"/>
      <c r="PVJ8" s="15"/>
      <c r="PVT8" s="16"/>
      <c r="PVU8" s="5"/>
      <c r="PVV8" s="5"/>
      <c r="PVX8" s="15"/>
      <c r="PWH8" s="16"/>
      <c r="PWI8" s="5"/>
      <c r="PWJ8" s="5"/>
      <c r="PWL8" s="15"/>
      <c r="PWV8" s="16"/>
      <c r="PWW8" s="5"/>
      <c r="PWX8" s="5"/>
      <c r="PWZ8" s="15"/>
      <c r="PXJ8" s="16"/>
      <c r="PXK8" s="5"/>
      <c r="PXL8" s="5"/>
      <c r="PXN8" s="15"/>
      <c r="PXX8" s="16"/>
      <c r="PXY8" s="5"/>
      <c r="PXZ8" s="5"/>
      <c r="PYB8" s="15"/>
      <c r="PYL8" s="16"/>
      <c r="PYM8" s="5"/>
      <c r="PYN8" s="5"/>
      <c r="PYP8" s="15"/>
      <c r="PYZ8" s="16"/>
      <c r="PZA8" s="5"/>
      <c r="PZB8" s="5"/>
      <c r="PZD8" s="15"/>
      <c r="PZN8" s="16"/>
      <c r="PZO8" s="5"/>
      <c r="PZP8" s="5"/>
      <c r="PZR8" s="15"/>
      <c r="QAB8" s="16"/>
      <c r="QAC8" s="5"/>
      <c r="QAD8" s="5"/>
      <c r="QAF8" s="15"/>
      <c r="QAP8" s="16"/>
      <c r="QAQ8" s="5"/>
      <c r="QAR8" s="5"/>
      <c r="QAT8" s="15"/>
      <c r="QBD8" s="16"/>
      <c r="QBE8" s="5"/>
      <c r="QBF8" s="5"/>
      <c r="QBH8" s="15"/>
      <c r="QBR8" s="16"/>
      <c r="QBS8" s="5"/>
      <c r="QBT8" s="5"/>
      <c r="QBV8" s="15"/>
      <c r="QCF8" s="16"/>
      <c r="QCG8" s="5"/>
      <c r="QCH8" s="5"/>
      <c r="QCJ8" s="15"/>
      <c r="QCT8" s="16"/>
      <c r="QCU8" s="5"/>
      <c r="QCV8" s="5"/>
      <c r="QCX8" s="15"/>
      <c r="QDH8" s="16"/>
      <c r="QDI8" s="5"/>
      <c r="QDJ8" s="5"/>
      <c r="QDL8" s="15"/>
      <c r="QDV8" s="16"/>
      <c r="QDW8" s="5"/>
      <c r="QDX8" s="5"/>
      <c r="QDZ8" s="15"/>
      <c r="QEJ8" s="16"/>
      <c r="QEK8" s="5"/>
      <c r="QEL8" s="5"/>
      <c r="QEN8" s="15"/>
      <c r="QEX8" s="16"/>
      <c r="QEY8" s="5"/>
      <c r="QEZ8" s="5"/>
      <c r="QFB8" s="15"/>
      <c r="QFL8" s="16"/>
      <c r="QFM8" s="5"/>
      <c r="QFN8" s="5"/>
      <c r="QFP8" s="15"/>
      <c r="QFZ8" s="16"/>
      <c r="QGA8" s="5"/>
      <c r="QGB8" s="5"/>
      <c r="QGD8" s="15"/>
      <c r="QGN8" s="16"/>
      <c r="QGO8" s="5"/>
      <c r="QGP8" s="5"/>
      <c r="QGR8" s="15"/>
      <c r="QHB8" s="16"/>
      <c r="QHC8" s="5"/>
      <c r="QHD8" s="5"/>
      <c r="QHF8" s="15"/>
      <c r="QHP8" s="16"/>
      <c r="QHQ8" s="5"/>
      <c r="QHR8" s="5"/>
      <c r="QHT8" s="15"/>
      <c r="QID8" s="16"/>
      <c r="QIE8" s="5"/>
      <c r="QIF8" s="5"/>
      <c r="QIH8" s="15"/>
      <c r="QIR8" s="16"/>
      <c r="QIS8" s="5"/>
      <c r="QIT8" s="5"/>
      <c r="QIV8" s="15"/>
      <c r="QJF8" s="16"/>
      <c r="QJG8" s="5"/>
      <c r="QJH8" s="5"/>
      <c r="QJJ8" s="15"/>
      <c r="QJT8" s="16"/>
      <c r="QJU8" s="5"/>
      <c r="QJV8" s="5"/>
      <c r="QJX8" s="15"/>
      <c r="QKH8" s="16"/>
      <c r="QKI8" s="5"/>
      <c r="QKJ8" s="5"/>
      <c r="QKL8" s="15"/>
      <c r="QKV8" s="16"/>
      <c r="QKW8" s="5"/>
      <c r="QKX8" s="5"/>
      <c r="QKZ8" s="15"/>
      <c r="QLJ8" s="16"/>
      <c r="QLK8" s="5"/>
      <c r="QLL8" s="5"/>
      <c r="QLN8" s="15"/>
      <c r="QLX8" s="16"/>
      <c r="QLY8" s="5"/>
      <c r="QLZ8" s="5"/>
      <c r="QMB8" s="15"/>
      <c r="QML8" s="16"/>
      <c r="QMM8" s="5"/>
      <c r="QMN8" s="5"/>
      <c r="QMP8" s="15"/>
      <c r="QMZ8" s="16"/>
      <c r="QNA8" s="5"/>
      <c r="QNB8" s="5"/>
      <c r="QND8" s="15"/>
      <c r="QNN8" s="16"/>
      <c r="QNO8" s="5"/>
      <c r="QNP8" s="5"/>
      <c r="QNR8" s="15"/>
      <c r="QOB8" s="16"/>
      <c r="QOC8" s="5"/>
      <c r="QOD8" s="5"/>
      <c r="QOF8" s="15"/>
      <c r="QOP8" s="16"/>
      <c r="QOQ8" s="5"/>
      <c r="QOR8" s="5"/>
      <c r="QOT8" s="15"/>
      <c r="QPD8" s="16"/>
      <c r="QPE8" s="5"/>
      <c r="QPF8" s="5"/>
      <c r="QPH8" s="15"/>
      <c r="QPR8" s="16"/>
      <c r="QPS8" s="5"/>
      <c r="QPT8" s="5"/>
      <c r="QPV8" s="15"/>
      <c r="QQF8" s="16"/>
      <c r="QQG8" s="5"/>
      <c r="QQH8" s="5"/>
      <c r="QQJ8" s="15"/>
      <c r="QQT8" s="16"/>
      <c r="QQU8" s="5"/>
      <c r="QQV8" s="5"/>
      <c r="QQX8" s="15"/>
      <c r="QRH8" s="16"/>
      <c r="QRI8" s="5"/>
      <c r="QRJ8" s="5"/>
      <c r="QRL8" s="15"/>
      <c r="QRV8" s="16"/>
      <c r="QRW8" s="5"/>
      <c r="QRX8" s="5"/>
      <c r="QRZ8" s="15"/>
      <c r="QSJ8" s="16"/>
      <c r="QSK8" s="5"/>
      <c r="QSL8" s="5"/>
      <c r="QSN8" s="15"/>
      <c r="QSX8" s="16"/>
      <c r="QSY8" s="5"/>
      <c r="QSZ8" s="5"/>
      <c r="QTB8" s="15"/>
      <c r="QTL8" s="16"/>
      <c r="QTM8" s="5"/>
      <c r="QTN8" s="5"/>
      <c r="QTP8" s="15"/>
      <c r="QTZ8" s="16"/>
      <c r="QUA8" s="5"/>
      <c r="QUB8" s="5"/>
      <c r="QUD8" s="15"/>
      <c r="QUN8" s="16"/>
      <c r="QUO8" s="5"/>
      <c r="QUP8" s="5"/>
      <c r="QUR8" s="15"/>
      <c r="QVB8" s="16"/>
      <c r="QVC8" s="5"/>
      <c r="QVD8" s="5"/>
      <c r="QVF8" s="15"/>
      <c r="QVP8" s="16"/>
      <c r="QVQ8" s="5"/>
      <c r="QVR8" s="5"/>
      <c r="QVT8" s="15"/>
      <c r="QWD8" s="16"/>
      <c r="QWE8" s="5"/>
      <c r="QWF8" s="5"/>
      <c r="QWH8" s="15"/>
      <c r="QWR8" s="16"/>
      <c r="QWS8" s="5"/>
      <c r="QWT8" s="5"/>
      <c r="QWV8" s="15"/>
      <c r="QXF8" s="16"/>
      <c r="QXG8" s="5"/>
      <c r="QXH8" s="5"/>
      <c r="QXJ8" s="15"/>
      <c r="QXT8" s="16"/>
      <c r="QXU8" s="5"/>
      <c r="QXV8" s="5"/>
      <c r="QXX8" s="15"/>
      <c r="QYH8" s="16"/>
      <c r="QYI8" s="5"/>
      <c r="QYJ8" s="5"/>
      <c r="QYL8" s="15"/>
      <c r="QYV8" s="16"/>
      <c r="QYW8" s="5"/>
      <c r="QYX8" s="5"/>
      <c r="QYZ8" s="15"/>
      <c r="QZJ8" s="16"/>
      <c r="QZK8" s="5"/>
      <c r="QZL8" s="5"/>
      <c r="QZN8" s="15"/>
      <c r="QZX8" s="16"/>
      <c r="QZY8" s="5"/>
      <c r="QZZ8" s="5"/>
      <c r="RAB8" s="15"/>
      <c r="RAL8" s="16"/>
      <c r="RAM8" s="5"/>
      <c r="RAN8" s="5"/>
      <c r="RAP8" s="15"/>
      <c r="RAZ8" s="16"/>
      <c r="RBA8" s="5"/>
      <c r="RBB8" s="5"/>
      <c r="RBD8" s="15"/>
      <c r="RBN8" s="16"/>
      <c r="RBO8" s="5"/>
      <c r="RBP8" s="5"/>
      <c r="RBR8" s="15"/>
      <c r="RCB8" s="16"/>
      <c r="RCC8" s="5"/>
      <c r="RCD8" s="5"/>
      <c r="RCF8" s="15"/>
      <c r="RCP8" s="16"/>
      <c r="RCQ8" s="5"/>
      <c r="RCR8" s="5"/>
      <c r="RCT8" s="15"/>
      <c r="RDD8" s="16"/>
      <c r="RDE8" s="5"/>
      <c r="RDF8" s="5"/>
      <c r="RDH8" s="15"/>
      <c r="RDR8" s="16"/>
      <c r="RDS8" s="5"/>
      <c r="RDT8" s="5"/>
      <c r="RDV8" s="15"/>
      <c r="REF8" s="16"/>
      <c r="REG8" s="5"/>
      <c r="REH8" s="5"/>
      <c r="REJ8" s="15"/>
      <c r="RET8" s="16"/>
      <c r="REU8" s="5"/>
      <c r="REV8" s="5"/>
      <c r="REX8" s="15"/>
      <c r="RFH8" s="16"/>
      <c r="RFI8" s="5"/>
      <c r="RFJ8" s="5"/>
      <c r="RFL8" s="15"/>
      <c r="RFV8" s="16"/>
      <c r="RFW8" s="5"/>
      <c r="RFX8" s="5"/>
      <c r="RFZ8" s="15"/>
      <c r="RGJ8" s="16"/>
      <c r="RGK8" s="5"/>
      <c r="RGL8" s="5"/>
      <c r="RGN8" s="15"/>
      <c r="RGX8" s="16"/>
      <c r="RGY8" s="5"/>
      <c r="RGZ8" s="5"/>
      <c r="RHB8" s="15"/>
      <c r="RHL8" s="16"/>
      <c r="RHM8" s="5"/>
      <c r="RHN8" s="5"/>
      <c r="RHP8" s="15"/>
      <c r="RHZ8" s="16"/>
      <c r="RIA8" s="5"/>
      <c r="RIB8" s="5"/>
      <c r="RID8" s="15"/>
      <c r="RIN8" s="16"/>
      <c r="RIO8" s="5"/>
      <c r="RIP8" s="5"/>
      <c r="RIR8" s="15"/>
      <c r="RJB8" s="16"/>
      <c r="RJC8" s="5"/>
      <c r="RJD8" s="5"/>
      <c r="RJF8" s="15"/>
      <c r="RJP8" s="16"/>
      <c r="RJQ8" s="5"/>
      <c r="RJR8" s="5"/>
      <c r="RJT8" s="15"/>
      <c r="RKD8" s="16"/>
      <c r="RKE8" s="5"/>
      <c r="RKF8" s="5"/>
      <c r="RKH8" s="15"/>
      <c r="RKR8" s="16"/>
      <c r="RKS8" s="5"/>
      <c r="RKT8" s="5"/>
      <c r="RKV8" s="15"/>
      <c r="RLF8" s="16"/>
      <c r="RLG8" s="5"/>
      <c r="RLH8" s="5"/>
      <c r="RLJ8" s="15"/>
      <c r="RLT8" s="16"/>
      <c r="RLU8" s="5"/>
      <c r="RLV8" s="5"/>
      <c r="RLX8" s="15"/>
      <c r="RMH8" s="16"/>
      <c r="RMI8" s="5"/>
      <c r="RMJ8" s="5"/>
      <c r="RML8" s="15"/>
      <c r="RMV8" s="16"/>
      <c r="RMW8" s="5"/>
      <c r="RMX8" s="5"/>
      <c r="RMZ8" s="15"/>
      <c r="RNJ8" s="16"/>
      <c r="RNK8" s="5"/>
      <c r="RNL8" s="5"/>
      <c r="RNN8" s="15"/>
      <c r="RNX8" s="16"/>
      <c r="RNY8" s="5"/>
      <c r="RNZ8" s="5"/>
      <c r="ROB8" s="15"/>
      <c r="ROL8" s="16"/>
      <c r="ROM8" s="5"/>
      <c r="RON8" s="5"/>
      <c r="ROP8" s="15"/>
      <c r="ROZ8" s="16"/>
      <c r="RPA8" s="5"/>
      <c r="RPB8" s="5"/>
      <c r="RPD8" s="15"/>
      <c r="RPN8" s="16"/>
      <c r="RPO8" s="5"/>
      <c r="RPP8" s="5"/>
      <c r="RPR8" s="15"/>
      <c r="RQB8" s="16"/>
      <c r="RQC8" s="5"/>
      <c r="RQD8" s="5"/>
      <c r="RQF8" s="15"/>
      <c r="RQP8" s="16"/>
      <c r="RQQ8" s="5"/>
      <c r="RQR8" s="5"/>
      <c r="RQT8" s="15"/>
      <c r="RRD8" s="16"/>
      <c r="RRE8" s="5"/>
      <c r="RRF8" s="5"/>
      <c r="RRH8" s="15"/>
      <c r="RRR8" s="16"/>
      <c r="RRS8" s="5"/>
      <c r="RRT8" s="5"/>
      <c r="RRV8" s="15"/>
      <c r="RSF8" s="16"/>
      <c r="RSG8" s="5"/>
      <c r="RSH8" s="5"/>
      <c r="RSJ8" s="15"/>
      <c r="RST8" s="16"/>
      <c r="RSU8" s="5"/>
      <c r="RSV8" s="5"/>
      <c r="RSX8" s="15"/>
      <c r="RTH8" s="16"/>
      <c r="RTI8" s="5"/>
      <c r="RTJ8" s="5"/>
      <c r="RTL8" s="15"/>
      <c r="RTV8" s="16"/>
      <c r="RTW8" s="5"/>
      <c r="RTX8" s="5"/>
      <c r="RTZ8" s="15"/>
      <c r="RUJ8" s="16"/>
      <c r="RUK8" s="5"/>
      <c r="RUL8" s="5"/>
      <c r="RUN8" s="15"/>
      <c r="RUX8" s="16"/>
      <c r="RUY8" s="5"/>
      <c r="RUZ8" s="5"/>
      <c r="RVB8" s="15"/>
      <c r="RVL8" s="16"/>
      <c r="RVM8" s="5"/>
      <c r="RVN8" s="5"/>
      <c r="RVP8" s="15"/>
      <c r="RVZ8" s="16"/>
      <c r="RWA8" s="5"/>
      <c r="RWB8" s="5"/>
      <c r="RWD8" s="15"/>
      <c r="RWN8" s="16"/>
      <c r="RWO8" s="5"/>
      <c r="RWP8" s="5"/>
      <c r="RWR8" s="15"/>
      <c r="RXB8" s="16"/>
      <c r="RXC8" s="5"/>
      <c r="RXD8" s="5"/>
      <c r="RXF8" s="15"/>
      <c r="RXP8" s="16"/>
      <c r="RXQ8" s="5"/>
      <c r="RXR8" s="5"/>
      <c r="RXT8" s="15"/>
      <c r="RYD8" s="16"/>
      <c r="RYE8" s="5"/>
      <c r="RYF8" s="5"/>
      <c r="RYH8" s="15"/>
      <c r="RYR8" s="16"/>
      <c r="RYS8" s="5"/>
      <c r="RYT8" s="5"/>
      <c r="RYV8" s="15"/>
      <c r="RZF8" s="16"/>
      <c r="RZG8" s="5"/>
      <c r="RZH8" s="5"/>
      <c r="RZJ8" s="15"/>
      <c r="RZT8" s="16"/>
      <c r="RZU8" s="5"/>
      <c r="RZV8" s="5"/>
      <c r="RZX8" s="15"/>
      <c r="SAH8" s="16"/>
      <c r="SAI8" s="5"/>
      <c r="SAJ8" s="5"/>
      <c r="SAL8" s="15"/>
      <c r="SAV8" s="16"/>
      <c r="SAW8" s="5"/>
      <c r="SAX8" s="5"/>
      <c r="SAZ8" s="15"/>
      <c r="SBJ8" s="16"/>
      <c r="SBK8" s="5"/>
      <c r="SBL8" s="5"/>
      <c r="SBN8" s="15"/>
      <c r="SBX8" s="16"/>
      <c r="SBY8" s="5"/>
      <c r="SBZ8" s="5"/>
      <c r="SCB8" s="15"/>
      <c r="SCL8" s="16"/>
      <c r="SCM8" s="5"/>
      <c r="SCN8" s="5"/>
      <c r="SCP8" s="15"/>
      <c r="SCZ8" s="16"/>
      <c r="SDA8" s="5"/>
      <c r="SDB8" s="5"/>
      <c r="SDD8" s="15"/>
      <c r="SDN8" s="16"/>
      <c r="SDO8" s="5"/>
      <c r="SDP8" s="5"/>
      <c r="SDR8" s="15"/>
      <c r="SEB8" s="16"/>
      <c r="SEC8" s="5"/>
      <c r="SED8" s="5"/>
      <c r="SEF8" s="15"/>
      <c r="SEP8" s="16"/>
      <c r="SEQ8" s="5"/>
      <c r="SER8" s="5"/>
      <c r="SET8" s="15"/>
      <c r="SFD8" s="16"/>
      <c r="SFE8" s="5"/>
      <c r="SFF8" s="5"/>
      <c r="SFH8" s="15"/>
      <c r="SFR8" s="16"/>
      <c r="SFS8" s="5"/>
      <c r="SFT8" s="5"/>
      <c r="SFV8" s="15"/>
      <c r="SGF8" s="16"/>
      <c r="SGG8" s="5"/>
      <c r="SGH8" s="5"/>
      <c r="SGJ8" s="15"/>
      <c r="SGT8" s="16"/>
      <c r="SGU8" s="5"/>
      <c r="SGV8" s="5"/>
      <c r="SGX8" s="15"/>
      <c r="SHH8" s="16"/>
      <c r="SHI8" s="5"/>
      <c r="SHJ8" s="5"/>
      <c r="SHL8" s="15"/>
      <c r="SHV8" s="16"/>
      <c r="SHW8" s="5"/>
      <c r="SHX8" s="5"/>
      <c r="SHZ8" s="15"/>
      <c r="SIJ8" s="16"/>
      <c r="SIK8" s="5"/>
      <c r="SIL8" s="5"/>
      <c r="SIN8" s="15"/>
      <c r="SIX8" s="16"/>
      <c r="SIY8" s="5"/>
      <c r="SIZ8" s="5"/>
      <c r="SJB8" s="15"/>
      <c r="SJL8" s="16"/>
      <c r="SJM8" s="5"/>
      <c r="SJN8" s="5"/>
      <c r="SJP8" s="15"/>
      <c r="SJZ8" s="16"/>
      <c r="SKA8" s="5"/>
      <c r="SKB8" s="5"/>
      <c r="SKD8" s="15"/>
      <c r="SKN8" s="16"/>
      <c r="SKO8" s="5"/>
      <c r="SKP8" s="5"/>
      <c r="SKR8" s="15"/>
      <c r="SLB8" s="16"/>
      <c r="SLC8" s="5"/>
      <c r="SLD8" s="5"/>
      <c r="SLF8" s="15"/>
      <c r="SLP8" s="16"/>
      <c r="SLQ8" s="5"/>
      <c r="SLR8" s="5"/>
      <c r="SLT8" s="15"/>
      <c r="SMD8" s="16"/>
      <c r="SME8" s="5"/>
      <c r="SMF8" s="5"/>
      <c r="SMH8" s="15"/>
      <c r="SMR8" s="16"/>
      <c r="SMS8" s="5"/>
      <c r="SMT8" s="5"/>
      <c r="SMV8" s="15"/>
      <c r="SNF8" s="16"/>
      <c r="SNG8" s="5"/>
      <c r="SNH8" s="5"/>
      <c r="SNJ8" s="15"/>
      <c r="SNT8" s="16"/>
      <c r="SNU8" s="5"/>
      <c r="SNV8" s="5"/>
      <c r="SNX8" s="15"/>
      <c r="SOH8" s="16"/>
      <c r="SOI8" s="5"/>
      <c r="SOJ8" s="5"/>
      <c r="SOL8" s="15"/>
      <c r="SOV8" s="16"/>
      <c r="SOW8" s="5"/>
      <c r="SOX8" s="5"/>
      <c r="SOZ8" s="15"/>
      <c r="SPJ8" s="16"/>
      <c r="SPK8" s="5"/>
      <c r="SPL8" s="5"/>
      <c r="SPN8" s="15"/>
      <c r="SPX8" s="16"/>
      <c r="SPY8" s="5"/>
      <c r="SPZ8" s="5"/>
      <c r="SQB8" s="15"/>
      <c r="SQL8" s="16"/>
      <c r="SQM8" s="5"/>
      <c r="SQN8" s="5"/>
      <c r="SQP8" s="15"/>
      <c r="SQZ8" s="16"/>
      <c r="SRA8" s="5"/>
      <c r="SRB8" s="5"/>
      <c r="SRD8" s="15"/>
      <c r="SRN8" s="16"/>
      <c r="SRO8" s="5"/>
      <c r="SRP8" s="5"/>
      <c r="SRR8" s="15"/>
      <c r="SSB8" s="16"/>
      <c r="SSC8" s="5"/>
      <c r="SSD8" s="5"/>
      <c r="SSF8" s="15"/>
      <c r="SSP8" s="16"/>
      <c r="SSQ8" s="5"/>
      <c r="SSR8" s="5"/>
      <c r="SST8" s="15"/>
      <c r="STD8" s="16"/>
      <c r="STE8" s="5"/>
      <c r="STF8" s="5"/>
      <c r="STH8" s="15"/>
      <c r="STR8" s="16"/>
      <c r="STS8" s="5"/>
      <c r="STT8" s="5"/>
      <c r="STV8" s="15"/>
      <c r="SUF8" s="16"/>
      <c r="SUG8" s="5"/>
      <c r="SUH8" s="5"/>
      <c r="SUJ8" s="15"/>
      <c r="SUT8" s="16"/>
      <c r="SUU8" s="5"/>
      <c r="SUV8" s="5"/>
      <c r="SUX8" s="15"/>
      <c r="SVH8" s="16"/>
      <c r="SVI8" s="5"/>
      <c r="SVJ8" s="5"/>
      <c r="SVL8" s="15"/>
      <c r="SVV8" s="16"/>
      <c r="SVW8" s="5"/>
      <c r="SVX8" s="5"/>
      <c r="SVZ8" s="15"/>
      <c r="SWJ8" s="16"/>
      <c r="SWK8" s="5"/>
      <c r="SWL8" s="5"/>
      <c r="SWN8" s="15"/>
      <c r="SWX8" s="16"/>
      <c r="SWY8" s="5"/>
      <c r="SWZ8" s="5"/>
      <c r="SXB8" s="15"/>
      <c r="SXL8" s="16"/>
      <c r="SXM8" s="5"/>
      <c r="SXN8" s="5"/>
      <c r="SXP8" s="15"/>
      <c r="SXZ8" s="16"/>
      <c r="SYA8" s="5"/>
      <c r="SYB8" s="5"/>
      <c r="SYD8" s="15"/>
      <c r="SYN8" s="16"/>
      <c r="SYO8" s="5"/>
      <c r="SYP8" s="5"/>
      <c r="SYR8" s="15"/>
      <c r="SZB8" s="16"/>
      <c r="SZC8" s="5"/>
      <c r="SZD8" s="5"/>
      <c r="SZF8" s="15"/>
      <c r="SZP8" s="16"/>
      <c r="SZQ8" s="5"/>
      <c r="SZR8" s="5"/>
      <c r="SZT8" s="15"/>
      <c r="TAD8" s="16"/>
      <c r="TAE8" s="5"/>
      <c r="TAF8" s="5"/>
      <c r="TAH8" s="15"/>
      <c r="TAR8" s="16"/>
      <c r="TAS8" s="5"/>
      <c r="TAT8" s="5"/>
      <c r="TAV8" s="15"/>
      <c r="TBF8" s="16"/>
      <c r="TBG8" s="5"/>
      <c r="TBH8" s="5"/>
      <c r="TBJ8" s="15"/>
      <c r="TBT8" s="16"/>
      <c r="TBU8" s="5"/>
      <c r="TBV8" s="5"/>
      <c r="TBX8" s="15"/>
      <c r="TCH8" s="16"/>
      <c r="TCI8" s="5"/>
      <c r="TCJ8" s="5"/>
      <c r="TCL8" s="15"/>
      <c r="TCV8" s="16"/>
      <c r="TCW8" s="5"/>
      <c r="TCX8" s="5"/>
      <c r="TCZ8" s="15"/>
      <c r="TDJ8" s="16"/>
      <c r="TDK8" s="5"/>
      <c r="TDL8" s="5"/>
      <c r="TDN8" s="15"/>
      <c r="TDX8" s="16"/>
      <c r="TDY8" s="5"/>
      <c r="TDZ8" s="5"/>
      <c r="TEB8" s="15"/>
      <c r="TEL8" s="16"/>
      <c r="TEM8" s="5"/>
      <c r="TEN8" s="5"/>
      <c r="TEP8" s="15"/>
      <c r="TEZ8" s="16"/>
      <c r="TFA8" s="5"/>
      <c r="TFB8" s="5"/>
      <c r="TFD8" s="15"/>
      <c r="TFN8" s="16"/>
      <c r="TFO8" s="5"/>
      <c r="TFP8" s="5"/>
      <c r="TFR8" s="15"/>
      <c r="TGB8" s="16"/>
      <c r="TGC8" s="5"/>
      <c r="TGD8" s="5"/>
      <c r="TGF8" s="15"/>
      <c r="TGP8" s="16"/>
      <c r="TGQ8" s="5"/>
      <c r="TGR8" s="5"/>
      <c r="TGT8" s="15"/>
      <c r="THD8" s="16"/>
      <c r="THE8" s="5"/>
      <c r="THF8" s="5"/>
      <c r="THH8" s="15"/>
      <c r="THR8" s="16"/>
      <c r="THS8" s="5"/>
      <c r="THT8" s="5"/>
      <c r="THV8" s="15"/>
      <c r="TIF8" s="16"/>
      <c r="TIG8" s="5"/>
      <c r="TIH8" s="5"/>
      <c r="TIJ8" s="15"/>
      <c r="TIT8" s="16"/>
      <c r="TIU8" s="5"/>
      <c r="TIV8" s="5"/>
      <c r="TIX8" s="15"/>
      <c r="TJH8" s="16"/>
      <c r="TJI8" s="5"/>
      <c r="TJJ8" s="5"/>
      <c r="TJL8" s="15"/>
      <c r="TJV8" s="16"/>
      <c r="TJW8" s="5"/>
      <c r="TJX8" s="5"/>
      <c r="TJZ8" s="15"/>
      <c r="TKJ8" s="16"/>
      <c r="TKK8" s="5"/>
      <c r="TKL8" s="5"/>
      <c r="TKN8" s="15"/>
      <c r="TKX8" s="16"/>
      <c r="TKY8" s="5"/>
      <c r="TKZ8" s="5"/>
      <c r="TLB8" s="15"/>
      <c r="TLL8" s="16"/>
      <c r="TLM8" s="5"/>
      <c r="TLN8" s="5"/>
      <c r="TLP8" s="15"/>
      <c r="TLZ8" s="16"/>
      <c r="TMA8" s="5"/>
      <c r="TMB8" s="5"/>
      <c r="TMD8" s="15"/>
      <c r="TMN8" s="16"/>
      <c r="TMO8" s="5"/>
      <c r="TMP8" s="5"/>
      <c r="TMR8" s="15"/>
      <c r="TNB8" s="16"/>
      <c r="TNC8" s="5"/>
      <c r="TND8" s="5"/>
      <c r="TNF8" s="15"/>
      <c r="TNP8" s="16"/>
      <c r="TNQ8" s="5"/>
      <c r="TNR8" s="5"/>
      <c r="TNT8" s="15"/>
      <c r="TOD8" s="16"/>
      <c r="TOE8" s="5"/>
      <c r="TOF8" s="5"/>
      <c r="TOH8" s="15"/>
      <c r="TOR8" s="16"/>
      <c r="TOS8" s="5"/>
      <c r="TOT8" s="5"/>
      <c r="TOV8" s="15"/>
      <c r="TPF8" s="16"/>
      <c r="TPG8" s="5"/>
      <c r="TPH8" s="5"/>
      <c r="TPJ8" s="15"/>
      <c r="TPT8" s="16"/>
      <c r="TPU8" s="5"/>
      <c r="TPV8" s="5"/>
      <c r="TPX8" s="15"/>
      <c r="TQH8" s="16"/>
      <c r="TQI8" s="5"/>
      <c r="TQJ8" s="5"/>
      <c r="TQL8" s="15"/>
      <c r="TQV8" s="16"/>
      <c r="TQW8" s="5"/>
      <c r="TQX8" s="5"/>
      <c r="TQZ8" s="15"/>
      <c r="TRJ8" s="16"/>
      <c r="TRK8" s="5"/>
      <c r="TRL8" s="5"/>
      <c r="TRN8" s="15"/>
      <c r="TRX8" s="16"/>
      <c r="TRY8" s="5"/>
      <c r="TRZ8" s="5"/>
      <c r="TSB8" s="15"/>
      <c r="TSL8" s="16"/>
      <c r="TSM8" s="5"/>
      <c r="TSN8" s="5"/>
      <c r="TSP8" s="15"/>
      <c r="TSZ8" s="16"/>
      <c r="TTA8" s="5"/>
      <c r="TTB8" s="5"/>
      <c r="TTD8" s="15"/>
      <c r="TTN8" s="16"/>
      <c r="TTO8" s="5"/>
      <c r="TTP8" s="5"/>
      <c r="TTR8" s="15"/>
      <c r="TUB8" s="16"/>
      <c r="TUC8" s="5"/>
      <c r="TUD8" s="5"/>
      <c r="TUF8" s="15"/>
      <c r="TUP8" s="16"/>
      <c r="TUQ8" s="5"/>
      <c r="TUR8" s="5"/>
      <c r="TUT8" s="15"/>
      <c r="TVD8" s="16"/>
      <c r="TVE8" s="5"/>
      <c r="TVF8" s="5"/>
      <c r="TVH8" s="15"/>
      <c r="TVR8" s="16"/>
      <c r="TVS8" s="5"/>
      <c r="TVT8" s="5"/>
      <c r="TVV8" s="15"/>
      <c r="TWF8" s="16"/>
      <c r="TWG8" s="5"/>
      <c r="TWH8" s="5"/>
      <c r="TWJ8" s="15"/>
      <c r="TWT8" s="16"/>
      <c r="TWU8" s="5"/>
      <c r="TWV8" s="5"/>
      <c r="TWX8" s="15"/>
      <c r="TXH8" s="16"/>
      <c r="TXI8" s="5"/>
      <c r="TXJ8" s="5"/>
      <c r="TXL8" s="15"/>
      <c r="TXV8" s="16"/>
      <c r="TXW8" s="5"/>
      <c r="TXX8" s="5"/>
      <c r="TXZ8" s="15"/>
      <c r="TYJ8" s="16"/>
      <c r="TYK8" s="5"/>
      <c r="TYL8" s="5"/>
      <c r="TYN8" s="15"/>
      <c r="TYX8" s="16"/>
      <c r="TYY8" s="5"/>
      <c r="TYZ8" s="5"/>
      <c r="TZB8" s="15"/>
      <c r="TZL8" s="16"/>
      <c r="TZM8" s="5"/>
      <c r="TZN8" s="5"/>
      <c r="TZP8" s="15"/>
      <c r="TZZ8" s="16"/>
      <c r="UAA8" s="5"/>
      <c r="UAB8" s="5"/>
      <c r="UAD8" s="15"/>
      <c r="UAN8" s="16"/>
      <c r="UAO8" s="5"/>
      <c r="UAP8" s="5"/>
      <c r="UAR8" s="15"/>
      <c r="UBB8" s="16"/>
      <c r="UBC8" s="5"/>
      <c r="UBD8" s="5"/>
      <c r="UBF8" s="15"/>
      <c r="UBP8" s="16"/>
      <c r="UBQ8" s="5"/>
      <c r="UBR8" s="5"/>
      <c r="UBT8" s="15"/>
      <c r="UCD8" s="16"/>
      <c r="UCE8" s="5"/>
      <c r="UCF8" s="5"/>
      <c r="UCH8" s="15"/>
      <c r="UCR8" s="16"/>
      <c r="UCS8" s="5"/>
      <c r="UCT8" s="5"/>
      <c r="UCV8" s="15"/>
      <c r="UDF8" s="16"/>
      <c r="UDG8" s="5"/>
      <c r="UDH8" s="5"/>
      <c r="UDJ8" s="15"/>
      <c r="UDT8" s="16"/>
      <c r="UDU8" s="5"/>
      <c r="UDV8" s="5"/>
      <c r="UDX8" s="15"/>
      <c r="UEH8" s="16"/>
      <c r="UEI8" s="5"/>
      <c r="UEJ8" s="5"/>
      <c r="UEL8" s="15"/>
      <c r="UEV8" s="16"/>
      <c r="UEW8" s="5"/>
      <c r="UEX8" s="5"/>
      <c r="UEZ8" s="15"/>
      <c r="UFJ8" s="16"/>
      <c r="UFK8" s="5"/>
      <c r="UFL8" s="5"/>
      <c r="UFN8" s="15"/>
      <c r="UFX8" s="16"/>
      <c r="UFY8" s="5"/>
      <c r="UFZ8" s="5"/>
      <c r="UGB8" s="15"/>
      <c r="UGL8" s="16"/>
      <c r="UGM8" s="5"/>
      <c r="UGN8" s="5"/>
      <c r="UGP8" s="15"/>
      <c r="UGZ8" s="16"/>
      <c r="UHA8" s="5"/>
      <c r="UHB8" s="5"/>
      <c r="UHD8" s="15"/>
      <c r="UHN8" s="16"/>
      <c r="UHO8" s="5"/>
      <c r="UHP8" s="5"/>
      <c r="UHR8" s="15"/>
      <c r="UIB8" s="16"/>
      <c r="UIC8" s="5"/>
      <c r="UID8" s="5"/>
      <c r="UIF8" s="15"/>
      <c r="UIP8" s="16"/>
      <c r="UIQ8" s="5"/>
      <c r="UIR8" s="5"/>
      <c r="UIT8" s="15"/>
      <c r="UJD8" s="16"/>
      <c r="UJE8" s="5"/>
      <c r="UJF8" s="5"/>
      <c r="UJH8" s="15"/>
      <c r="UJR8" s="16"/>
      <c r="UJS8" s="5"/>
      <c r="UJT8" s="5"/>
      <c r="UJV8" s="15"/>
      <c r="UKF8" s="16"/>
      <c r="UKG8" s="5"/>
      <c r="UKH8" s="5"/>
      <c r="UKJ8" s="15"/>
      <c r="UKT8" s="16"/>
      <c r="UKU8" s="5"/>
      <c r="UKV8" s="5"/>
      <c r="UKX8" s="15"/>
      <c r="ULH8" s="16"/>
      <c r="ULI8" s="5"/>
      <c r="ULJ8" s="5"/>
      <c r="ULL8" s="15"/>
      <c r="ULV8" s="16"/>
      <c r="ULW8" s="5"/>
      <c r="ULX8" s="5"/>
      <c r="ULZ8" s="15"/>
      <c r="UMJ8" s="16"/>
      <c r="UMK8" s="5"/>
      <c r="UML8" s="5"/>
      <c r="UMN8" s="15"/>
      <c r="UMX8" s="16"/>
      <c r="UMY8" s="5"/>
      <c r="UMZ8" s="5"/>
      <c r="UNB8" s="15"/>
      <c r="UNL8" s="16"/>
      <c r="UNM8" s="5"/>
      <c r="UNN8" s="5"/>
      <c r="UNP8" s="15"/>
      <c r="UNZ8" s="16"/>
      <c r="UOA8" s="5"/>
      <c r="UOB8" s="5"/>
      <c r="UOD8" s="15"/>
      <c r="UON8" s="16"/>
      <c r="UOO8" s="5"/>
      <c r="UOP8" s="5"/>
      <c r="UOR8" s="15"/>
      <c r="UPB8" s="16"/>
      <c r="UPC8" s="5"/>
      <c r="UPD8" s="5"/>
      <c r="UPF8" s="15"/>
      <c r="UPP8" s="16"/>
      <c r="UPQ8" s="5"/>
      <c r="UPR8" s="5"/>
      <c r="UPT8" s="15"/>
      <c r="UQD8" s="16"/>
      <c r="UQE8" s="5"/>
      <c r="UQF8" s="5"/>
      <c r="UQH8" s="15"/>
      <c r="UQR8" s="16"/>
      <c r="UQS8" s="5"/>
      <c r="UQT8" s="5"/>
      <c r="UQV8" s="15"/>
      <c r="URF8" s="16"/>
      <c r="URG8" s="5"/>
      <c r="URH8" s="5"/>
      <c r="URJ8" s="15"/>
      <c r="URT8" s="16"/>
      <c r="URU8" s="5"/>
      <c r="URV8" s="5"/>
      <c r="URX8" s="15"/>
      <c r="USH8" s="16"/>
      <c r="USI8" s="5"/>
      <c r="USJ8" s="5"/>
      <c r="USL8" s="15"/>
      <c r="USV8" s="16"/>
      <c r="USW8" s="5"/>
      <c r="USX8" s="5"/>
      <c r="USZ8" s="15"/>
      <c r="UTJ8" s="16"/>
      <c r="UTK8" s="5"/>
      <c r="UTL8" s="5"/>
      <c r="UTN8" s="15"/>
      <c r="UTX8" s="16"/>
      <c r="UTY8" s="5"/>
      <c r="UTZ8" s="5"/>
      <c r="UUB8" s="15"/>
      <c r="UUL8" s="16"/>
      <c r="UUM8" s="5"/>
      <c r="UUN8" s="5"/>
      <c r="UUP8" s="15"/>
      <c r="UUZ8" s="16"/>
      <c r="UVA8" s="5"/>
      <c r="UVB8" s="5"/>
      <c r="UVD8" s="15"/>
      <c r="UVN8" s="16"/>
      <c r="UVO8" s="5"/>
      <c r="UVP8" s="5"/>
      <c r="UVR8" s="15"/>
      <c r="UWB8" s="16"/>
      <c r="UWC8" s="5"/>
      <c r="UWD8" s="5"/>
      <c r="UWF8" s="15"/>
      <c r="UWP8" s="16"/>
      <c r="UWQ8" s="5"/>
      <c r="UWR8" s="5"/>
      <c r="UWT8" s="15"/>
      <c r="UXD8" s="16"/>
      <c r="UXE8" s="5"/>
      <c r="UXF8" s="5"/>
      <c r="UXH8" s="15"/>
      <c r="UXR8" s="16"/>
      <c r="UXS8" s="5"/>
      <c r="UXT8" s="5"/>
      <c r="UXV8" s="15"/>
      <c r="UYF8" s="16"/>
      <c r="UYG8" s="5"/>
      <c r="UYH8" s="5"/>
      <c r="UYJ8" s="15"/>
      <c r="UYT8" s="16"/>
      <c r="UYU8" s="5"/>
      <c r="UYV8" s="5"/>
      <c r="UYX8" s="15"/>
      <c r="UZH8" s="16"/>
      <c r="UZI8" s="5"/>
      <c r="UZJ8" s="5"/>
      <c r="UZL8" s="15"/>
      <c r="UZV8" s="16"/>
      <c r="UZW8" s="5"/>
      <c r="UZX8" s="5"/>
      <c r="UZZ8" s="15"/>
      <c r="VAJ8" s="16"/>
      <c r="VAK8" s="5"/>
      <c r="VAL8" s="5"/>
      <c r="VAN8" s="15"/>
      <c r="VAX8" s="16"/>
      <c r="VAY8" s="5"/>
      <c r="VAZ8" s="5"/>
      <c r="VBB8" s="15"/>
      <c r="VBL8" s="16"/>
      <c r="VBM8" s="5"/>
      <c r="VBN8" s="5"/>
      <c r="VBP8" s="15"/>
      <c r="VBZ8" s="16"/>
      <c r="VCA8" s="5"/>
      <c r="VCB8" s="5"/>
      <c r="VCD8" s="15"/>
      <c r="VCN8" s="16"/>
      <c r="VCO8" s="5"/>
      <c r="VCP8" s="5"/>
      <c r="VCR8" s="15"/>
      <c r="VDB8" s="16"/>
      <c r="VDC8" s="5"/>
      <c r="VDD8" s="5"/>
      <c r="VDF8" s="15"/>
      <c r="VDP8" s="16"/>
      <c r="VDQ8" s="5"/>
      <c r="VDR8" s="5"/>
      <c r="VDT8" s="15"/>
      <c r="VED8" s="16"/>
      <c r="VEE8" s="5"/>
      <c r="VEF8" s="5"/>
      <c r="VEH8" s="15"/>
      <c r="VER8" s="16"/>
      <c r="VES8" s="5"/>
      <c r="VET8" s="5"/>
      <c r="VEV8" s="15"/>
      <c r="VFF8" s="16"/>
      <c r="VFG8" s="5"/>
      <c r="VFH8" s="5"/>
      <c r="VFJ8" s="15"/>
      <c r="VFT8" s="16"/>
      <c r="VFU8" s="5"/>
      <c r="VFV8" s="5"/>
      <c r="VFX8" s="15"/>
      <c r="VGH8" s="16"/>
      <c r="VGI8" s="5"/>
      <c r="VGJ8" s="5"/>
      <c r="VGL8" s="15"/>
      <c r="VGV8" s="16"/>
      <c r="VGW8" s="5"/>
      <c r="VGX8" s="5"/>
      <c r="VGZ8" s="15"/>
      <c r="VHJ8" s="16"/>
      <c r="VHK8" s="5"/>
      <c r="VHL8" s="5"/>
      <c r="VHN8" s="15"/>
      <c r="VHX8" s="16"/>
      <c r="VHY8" s="5"/>
      <c r="VHZ8" s="5"/>
      <c r="VIB8" s="15"/>
      <c r="VIL8" s="16"/>
      <c r="VIM8" s="5"/>
      <c r="VIN8" s="5"/>
      <c r="VIP8" s="15"/>
      <c r="VIZ8" s="16"/>
      <c r="VJA8" s="5"/>
      <c r="VJB8" s="5"/>
      <c r="VJD8" s="15"/>
      <c r="VJN8" s="16"/>
      <c r="VJO8" s="5"/>
      <c r="VJP8" s="5"/>
      <c r="VJR8" s="15"/>
      <c r="VKB8" s="16"/>
      <c r="VKC8" s="5"/>
      <c r="VKD8" s="5"/>
      <c r="VKF8" s="15"/>
      <c r="VKP8" s="16"/>
      <c r="VKQ8" s="5"/>
      <c r="VKR8" s="5"/>
      <c r="VKT8" s="15"/>
      <c r="VLD8" s="16"/>
      <c r="VLE8" s="5"/>
      <c r="VLF8" s="5"/>
      <c r="VLH8" s="15"/>
      <c r="VLR8" s="16"/>
      <c r="VLS8" s="5"/>
      <c r="VLT8" s="5"/>
      <c r="VLV8" s="15"/>
      <c r="VMF8" s="16"/>
      <c r="VMG8" s="5"/>
      <c r="VMH8" s="5"/>
      <c r="VMJ8" s="15"/>
      <c r="VMT8" s="16"/>
      <c r="VMU8" s="5"/>
      <c r="VMV8" s="5"/>
      <c r="VMX8" s="15"/>
      <c r="VNH8" s="16"/>
      <c r="VNI8" s="5"/>
      <c r="VNJ8" s="5"/>
      <c r="VNL8" s="15"/>
      <c r="VNV8" s="16"/>
      <c r="VNW8" s="5"/>
      <c r="VNX8" s="5"/>
      <c r="VNZ8" s="15"/>
      <c r="VOJ8" s="16"/>
      <c r="VOK8" s="5"/>
      <c r="VOL8" s="5"/>
      <c r="VON8" s="15"/>
      <c r="VOX8" s="16"/>
      <c r="VOY8" s="5"/>
      <c r="VOZ8" s="5"/>
      <c r="VPB8" s="15"/>
      <c r="VPL8" s="16"/>
      <c r="VPM8" s="5"/>
      <c r="VPN8" s="5"/>
      <c r="VPP8" s="15"/>
      <c r="VPZ8" s="16"/>
      <c r="VQA8" s="5"/>
      <c r="VQB8" s="5"/>
      <c r="VQD8" s="15"/>
      <c r="VQN8" s="16"/>
      <c r="VQO8" s="5"/>
      <c r="VQP8" s="5"/>
      <c r="VQR8" s="15"/>
      <c r="VRB8" s="16"/>
      <c r="VRC8" s="5"/>
      <c r="VRD8" s="5"/>
      <c r="VRF8" s="15"/>
      <c r="VRP8" s="16"/>
      <c r="VRQ8" s="5"/>
      <c r="VRR8" s="5"/>
      <c r="VRT8" s="15"/>
      <c r="VSD8" s="16"/>
      <c r="VSE8" s="5"/>
      <c r="VSF8" s="5"/>
      <c r="VSH8" s="15"/>
      <c r="VSR8" s="16"/>
      <c r="VSS8" s="5"/>
      <c r="VST8" s="5"/>
      <c r="VSV8" s="15"/>
      <c r="VTF8" s="16"/>
      <c r="VTG8" s="5"/>
      <c r="VTH8" s="5"/>
      <c r="VTJ8" s="15"/>
      <c r="VTT8" s="16"/>
      <c r="VTU8" s="5"/>
      <c r="VTV8" s="5"/>
      <c r="VTX8" s="15"/>
      <c r="VUH8" s="16"/>
      <c r="VUI8" s="5"/>
      <c r="VUJ8" s="5"/>
      <c r="VUL8" s="15"/>
      <c r="VUV8" s="16"/>
      <c r="VUW8" s="5"/>
      <c r="VUX8" s="5"/>
      <c r="VUZ8" s="15"/>
      <c r="VVJ8" s="16"/>
      <c r="VVK8" s="5"/>
      <c r="VVL8" s="5"/>
      <c r="VVN8" s="15"/>
      <c r="VVX8" s="16"/>
      <c r="VVY8" s="5"/>
      <c r="VVZ8" s="5"/>
      <c r="VWB8" s="15"/>
      <c r="VWL8" s="16"/>
      <c r="VWM8" s="5"/>
      <c r="VWN8" s="5"/>
      <c r="VWP8" s="15"/>
      <c r="VWZ8" s="16"/>
      <c r="VXA8" s="5"/>
      <c r="VXB8" s="5"/>
      <c r="VXD8" s="15"/>
      <c r="VXN8" s="16"/>
      <c r="VXO8" s="5"/>
      <c r="VXP8" s="5"/>
      <c r="VXR8" s="15"/>
      <c r="VYB8" s="16"/>
      <c r="VYC8" s="5"/>
      <c r="VYD8" s="5"/>
      <c r="VYF8" s="15"/>
      <c r="VYP8" s="16"/>
      <c r="VYQ8" s="5"/>
      <c r="VYR8" s="5"/>
      <c r="VYT8" s="15"/>
      <c r="VZD8" s="16"/>
      <c r="VZE8" s="5"/>
      <c r="VZF8" s="5"/>
      <c r="VZH8" s="15"/>
      <c r="VZR8" s="16"/>
      <c r="VZS8" s="5"/>
      <c r="VZT8" s="5"/>
      <c r="VZV8" s="15"/>
      <c r="WAF8" s="16"/>
      <c r="WAG8" s="5"/>
      <c r="WAH8" s="5"/>
      <c r="WAJ8" s="15"/>
      <c r="WAT8" s="16"/>
      <c r="WAU8" s="5"/>
      <c r="WAV8" s="5"/>
      <c r="WAX8" s="15"/>
      <c r="WBH8" s="16"/>
      <c r="WBI8" s="5"/>
      <c r="WBJ8" s="5"/>
      <c r="WBL8" s="15"/>
      <c r="WBV8" s="16"/>
      <c r="WBW8" s="5"/>
      <c r="WBX8" s="5"/>
      <c r="WBZ8" s="15"/>
      <c r="WCJ8" s="16"/>
      <c r="WCK8" s="5"/>
      <c r="WCL8" s="5"/>
      <c r="WCN8" s="15"/>
      <c r="WCX8" s="16"/>
      <c r="WCY8" s="5"/>
      <c r="WCZ8" s="5"/>
      <c r="WDB8" s="15"/>
      <c r="WDL8" s="16"/>
      <c r="WDM8" s="5"/>
      <c r="WDN8" s="5"/>
      <c r="WDP8" s="15"/>
      <c r="WDZ8" s="16"/>
      <c r="WEA8" s="5"/>
      <c r="WEB8" s="5"/>
      <c r="WED8" s="15"/>
      <c r="WEN8" s="16"/>
      <c r="WEO8" s="5"/>
      <c r="WEP8" s="5"/>
      <c r="WER8" s="15"/>
      <c r="WFB8" s="16"/>
      <c r="WFC8" s="5"/>
      <c r="WFD8" s="5"/>
      <c r="WFF8" s="15"/>
      <c r="WFP8" s="16"/>
      <c r="WFQ8" s="5"/>
      <c r="WFR8" s="5"/>
      <c r="WFT8" s="15"/>
      <c r="WGD8" s="16"/>
      <c r="WGE8" s="5"/>
      <c r="WGF8" s="5"/>
      <c r="WGH8" s="15"/>
      <c r="WGR8" s="16"/>
      <c r="WGS8" s="5"/>
      <c r="WGT8" s="5"/>
      <c r="WGV8" s="15"/>
      <c r="WHF8" s="16"/>
      <c r="WHG8" s="5"/>
      <c r="WHH8" s="5"/>
      <c r="WHJ8" s="15"/>
      <c r="WHT8" s="16"/>
      <c r="WHU8" s="5"/>
      <c r="WHV8" s="5"/>
      <c r="WHX8" s="15"/>
      <c r="WIH8" s="16"/>
      <c r="WII8" s="5"/>
      <c r="WIJ8" s="5"/>
      <c r="WIL8" s="15"/>
      <c r="WIV8" s="16"/>
      <c r="WIW8" s="5"/>
      <c r="WIX8" s="5"/>
      <c r="WIZ8" s="15"/>
      <c r="WJJ8" s="16"/>
      <c r="WJK8" s="5"/>
      <c r="WJL8" s="5"/>
      <c r="WJN8" s="15"/>
      <c r="WJX8" s="16"/>
      <c r="WJY8" s="5"/>
      <c r="WJZ8" s="5"/>
      <c r="WKB8" s="15"/>
      <c r="WKL8" s="16"/>
      <c r="WKM8" s="5"/>
      <c r="WKN8" s="5"/>
      <c r="WKP8" s="15"/>
      <c r="WKZ8" s="16"/>
      <c r="WLA8" s="5"/>
      <c r="WLB8" s="5"/>
      <c r="WLD8" s="15"/>
      <c r="WLN8" s="16"/>
      <c r="WLO8" s="5"/>
      <c r="WLP8" s="5"/>
      <c r="WLR8" s="15"/>
      <c r="WMB8" s="16"/>
      <c r="WMC8" s="5"/>
      <c r="WMD8" s="5"/>
      <c r="WMF8" s="15"/>
      <c r="WMP8" s="16"/>
      <c r="WMQ8" s="5"/>
      <c r="WMR8" s="5"/>
      <c r="WMT8" s="15"/>
      <c r="WND8" s="16"/>
      <c r="WNE8" s="5"/>
      <c r="WNF8" s="5"/>
      <c r="WNH8" s="15"/>
      <c r="WNR8" s="16"/>
      <c r="WNS8" s="5"/>
      <c r="WNT8" s="5"/>
      <c r="WNV8" s="15"/>
      <c r="WOF8" s="16"/>
      <c r="WOG8" s="5"/>
      <c r="WOH8" s="5"/>
      <c r="WOJ8" s="15"/>
      <c r="WOT8" s="16"/>
      <c r="WOU8" s="5"/>
      <c r="WOV8" s="5"/>
      <c r="WOX8" s="15"/>
      <c r="WPH8" s="16"/>
      <c r="WPI8" s="5"/>
      <c r="WPJ8" s="5"/>
      <c r="WPL8" s="15"/>
      <c r="WPV8" s="16"/>
      <c r="WPW8" s="5"/>
      <c r="WPX8" s="5"/>
      <c r="WPZ8" s="15"/>
      <c r="WQJ8" s="16"/>
      <c r="WQK8" s="5"/>
      <c r="WQL8" s="5"/>
      <c r="WQN8" s="15"/>
      <c r="WQX8" s="16"/>
      <c r="WQY8" s="5"/>
      <c r="WQZ8" s="5"/>
      <c r="WRB8" s="15"/>
      <c r="WRL8" s="16"/>
      <c r="WRM8" s="5"/>
      <c r="WRN8" s="5"/>
      <c r="WRP8" s="15"/>
      <c r="WRZ8" s="16"/>
      <c r="WSA8" s="5"/>
      <c r="WSB8" s="5"/>
      <c r="WSD8" s="15"/>
      <c r="WSN8" s="16"/>
      <c r="WSO8" s="5"/>
      <c r="WSP8" s="5"/>
      <c r="WSR8" s="15"/>
      <c r="WTB8" s="16"/>
      <c r="WTC8" s="5"/>
      <c r="WTD8" s="5"/>
      <c r="WTF8" s="15"/>
      <c r="WTP8" s="16"/>
      <c r="WTQ8" s="5"/>
      <c r="WTR8" s="5"/>
      <c r="WTT8" s="15"/>
      <c r="WUD8" s="16"/>
      <c r="WUE8" s="5"/>
      <c r="WUF8" s="5"/>
      <c r="WUH8" s="15"/>
      <c r="WUR8" s="16"/>
      <c r="WUS8" s="5"/>
      <c r="WUT8" s="5"/>
      <c r="WUV8" s="15"/>
      <c r="WVF8" s="16"/>
      <c r="WVG8" s="5"/>
      <c r="WVH8" s="5"/>
      <c r="WVJ8" s="15"/>
      <c r="WVT8" s="16"/>
      <c r="WVU8" s="5"/>
      <c r="WVV8" s="5"/>
      <c r="WVX8" s="15"/>
      <c r="WWH8" s="16"/>
      <c r="WWI8" s="5"/>
      <c r="WWJ8" s="5"/>
      <c r="WWL8" s="15"/>
      <c r="WWV8" s="16"/>
      <c r="WWW8" s="5"/>
      <c r="WWX8" s="5"/>
      <c r="WWZ8" s="15"/>
      <c r="WXJ8" s="16"/>
      <c r="WXK8" s="5"/>
      <c r="WXL8" s="5"/>
      <c r="WXN8" s="15"/>
      <c r="WXX8" s="16"/>
      <c r="WXY8" s="5"/>
      <c r="WXZ8" s="5"/>
      <c r="WYB8" s="15"/>
      <c r="WYL8" s="16"/>
      <c r="WYM8" s="5"/>
      <c r="WYN8" s="5"/>
      <c r="WYP8" s="15"/>
      <c r="WYZ8" s="16"/>
      <c r="WZA8" s="5"/>
      <c r="WZB8" s="5"/>
      <c r="WZD8" s="15"/>
      <c r="WZN8" s="16"/>
      <c r="WZO8" s="5"/>
      <c r="WZP8" s="5"/>
      <c r="WZR8" s="15"/>
      <c r="XAB8" s="16"/>
      <c r="XAC8" s="5"/>
      <c r="XAD8" s="5"/>
      <c r="XAF8" s="15"/>
      <c r="XAP8" s="16"/>
      <c r="XAQ8" s="5"/>
      <c r="XAR8" s="5"/>
      <c r="XAT8" s="15"/>
      <c r="XBD8" s="16"/>
      <c r="XBE8" s="5"/>
      <c r="XBF8" s="5"/>
      <c r="XBH8" s="15"/>
      <c r="XBR8" s="16"/>
      <c r="XBS8" s="5"/>
      <c r="XBT8" s="5"/>
      <c r="XBV8" s="15"/>
      <c r="XCF8" s="16"/>
      <c r="XCG8" s="5"/>
      <c r="XCH8" s="5"/>
      <c r="XCJ8" s="15"/>
      <c r="XCT8" s="16"/>
      <c r="XCU8" s="5"/>
      <c r="XCV8" s="5"/>
      <c r="XCX8" s="15"/>
      <c r="XDH8" s="16"/>
      <c r="XDI8" s="5"/>
      <c r="XDJ8" s="5"/>
      <c r="XDL8" s="15"/>
      <c r="XDV8" s="16"/>
      <c r="XDW8" s="5"/>
      <c r="XDX8" s="5"/>
      <c r="XDZ8" s="15"/>
      <c r="XEJ8" s="16"/>
      <c r="XEK8" s="5"/>
      <c r="XEL8" s="5"/>
      <c r="XEN8" s="15"/>
      <c r="XEX8" s="16"/>
      <c r="XEY8" s="5"/>
      <c r="XEZ8" s="5"/>
      <c r="XFB8" s="15"/>
    </row>
    <row r="9" spans="1:1024 1034:2046 2056:3068 3078:4090 4100:5112 5122:7168 7170:8192 8202:9214 9224:10236 10246:11258 11268:12280 12290:14336 14338:15360 15370:16382" ht="15" customHeight="1" x14ac:dyDescent="0.35">
      <c r="B9" s="152" t="str">
        <f>IF(Lançamentos!$B4="","",Lançamentos!$B4)</f>
        <v/>
      </c>
      <c r="C9" s="153" t="str">
        <f>IF($B9="","",IFERROR(INDEX(Lançamentos!$J$3:$J$1001,MATCH($B9,Lançamentos!$B$3:$B$1001,0)),""))</f>
        <v/>
      </c>
      <c r="D9" s="417" t="str">
        <f>IF($B9="","",IFERROR(INDEX('E2 — Triagem'!$D$8:$D$507,MATCH($B9,'E2 — Triagem'!$B$8:$B$507,0)),""))</f>
        <v/>
      </c>
      <c r="E9" s="154"/>
      <c r="F9" s="154"/>
      <c r="G9" s="154"/>
      <c r="H9" s="154"/>
      <c r="I9" s="154"/>
      <c r="J9" s="155" t="str">
        <f t="shared" ref="J9:J72" si="0">IF(B9="","",IF(COUNTIF(E9:I9,"N/A")=5,0,IF(COUNTIF(E9:I9,"✔ Concluído")=5,1,MIN(99%,COUNTIF(E9:I9,"✔ Concluído")/(5-COUNTIF(E9:I9,"N/A"))))))</f>
        <v/>
      </c>
      <c r="K9" s="153"/>
      <c r="L9" s="156"/>
    </row>
    <row r="10" spans="1:1024 1034:2046 2056:3068 3078:4090 4100:5112 5122:7168 7170:8192 8202:9214 9224:10236 10246:11258 11268:12280 12290:14336 14338:15360 15370:16382" ht="15" customHeight="1" x14ac:dyDescent="0.35">
      <c r="B10" s="152" t="str">
        <f>IF(Lançamentos!$B5="","",Lançamentos!$B5)</f>
        <v/>
      </c>
      <c r="C10" s="153" t="str">
        <f>IF($B10="","",IFERROR(INDEX(Lançamentos!$J$3:$J$1001,MATCH($B10,Lançamentos!$B$3:$B$1001,0)),""))</f>
        <v/>
      </c>
      <c r="D10" s="417" t="str">
        <f>IF($B10="","",IFERROR(INDEX('E2 — Triagem'!$D$8:$D$507,MATCH($B10,'E2 — Triagem'!$B$8:$B$507,0)),""))</f>
        <v/>
      </c>
      <c r="E10" s="154"/>
      <c r="F10" s="154"/>
      <c r="G10" s="154"/>
      <c r="H10" s="154"/>
      <c r="I10" s="154"/>
      <c r="J10" s="155" t="str">
        <f t="shared" si="0"/>
        <v/>
      </c>
      <c r="K10" s="153"/>
      <c r="L10" s="156"/>
    </row>
    <row r="11" spans="1:1024 1034:2046 2056:3068 3078:4090 4100:5112 5122:7168 7170:8192 8202:9214 9224:10236 10246:11258 11268:12280 12290:14336 14338:15360 15370:16382" ht="15" customHeight="1" x14ac:dyDescent="0.35">
      <c r="B11" s="152" t="str">
        <f>IF(Lançamentos!$B6="","",Lançamentos!$B6)</f>
        <v/>
      </c>
      <c r="C11" s="153" t="str">
        <f>IF($B11="","",IFERROR(INDEX(Lançamentos!$J$3:$J$1001,MATCH($B11,Lançamentos!$B$3:$B$1001,0)),""))</f>
        <v/>
      </c>
      <c r="D11" s="417" t="str">
        <f>IF($B11="","",IFERROR(INDEX('E2 — Triagem'!$D$8:$D$507,MATCH($B11,'E2 — Triagem'!$B$8:$B$507,0)),""))</f>
        <v/>
      </c>
      <c r="E11" s="154"/>
      <c r="F11" s="154"/>
      <c r="G11" s="154"/>
      <c r="H11" s="154"/>
      <c r="I11" s="154"/>
      <c r="J11" s="155" t="str">
        <f t="shared" si="0"/>
        <v/>
      </c>
      <c r="K11" s="153"/>
      <c r="L11" s="156"/>
    </row>
    <row r="12" spans="1:1024 1034:2046 2056:3068 3078:4090 4100:5112 5122:7168 7170:8192 8202:9214 9224:10236 10246:11258 11268:12280 12290:14336 14338:15360 15370:16382" ht="15" customHeight="1" x14ac:dyDescent="0.35">
      <c r="B12" s="152" t="str">
        <f>IF(Lançamentos!$B7="","",Lançamentos!$B7)</f>
        <v/>
      </c>
      <c r="C12" s="153" t="str">
        <f>IF($B12="","",IFERROR(INDEX(Lançamentos!$J$3:$J$1001,MATCH($B12,Lançamentos!$B$3:$B$1001,0)),""))</f>
        <v/>
      </c>
      <c r="D12" s="417" t="str">
        <f>IF($B12="","",IFERROR(INDEX('E2 — Triagem'!$D$8:$D$507,MATCH($B12,'E2 — Triagem'!$B$8:$B$507,0)),""))</f>
        <v/>
      </c>
      <c r="E12" s="154"/>
      <c r="F12" s="154"/>
      <c r="G12" s="154"/>
      <c r="H12" s="154"/>
      <c r="I12" s="154"/>
      <c r="J12" s="155" t="str">
        <f t="shared" si="0"/>
        <v/>
      </c>
      <c r="K12" s="153"/>
      <c r="L12" s="156"/>
    </row>
    <row r="13" spans="1:1024 1034:2046 2056:3068 3078:4090 4100:5112 5122:7168 7170:8192 8202:9214 9224:10236 10246:11258 11268:12280 12290:14336 14338:15360 15370:16382" ht="15" customHeight="1" x14ac:dyDescent="0.35">
      <c r="B13" s="152" t="str">
        <f>IF(Lançamentos!$B8="","",Lançamentos!$B8)</f>
        <v/>
      </c>
      <c r="C13" s="153" t="str">
        <f>IF($B13="","",IFERROR(INDEX(Lançamentos!$J$3:$J$1001,MATCH($B13,Lançamentos!$B$3:$B$1001,0)),""))</f>
        <v/>
      </c>
      <c r="D13" s="417" t="str">
        <f>IF($B13="","",IFERROR(INDEX('E2 — Triagem'!$D$8:$D$507,MATCH($B13,'E2 — Triagem'!$B$8:$B$507,0)),""))</f>
        <v/>
      </c>
      <c r="E13" s="154"/>
      <c r="F13" s="154"/>
      <c r="G13" s="154"/>
      <c r="H13" s="154"/>
      <c r="I13" s="154"/>
      <c r="J13" s="155" t="str">
        <f t="shared" si="0"/>
        <v/>
      </c>
      <c r="K13" s="153"/>
      <c r="L13" s="156"/>
    </row>
    <row r="14" spans="1:1024 1034:2046 2056:3068 3078:4090 4100:5112 5122:7168 7170:8192 8202:9214 9224:10236 10246:11258 11268:12280 12290:14336 14338:15360 15370:16382" ht="15" customHeight="1" x14ac:dyDescent="0.35">
      <c r="B14" s="152" t="str">
        <f>IF(Lançamentos!$B9="","",Lançamentos!$B9)</f>
        <v/>
      </c>
      <c r="C14" s="153" t="str">
        <f>IF($B14="","",IFERROR(INDEX(Lançamentos!$J$3:$J$1001,MATCH($B14,Lançamentos!$B$3:$B$1001,0)),""))</f>
        <v/>
      </c>
      <c r="D14" s="417" t="str">
        <f>IF($B14="","",IFERROR(INDEX('E2 — Triagem'!$D$8:$D$507,MATCH($B14,'E2 — Triagem'!$B$8:$B$507,0)),""))</f>
        <v/>
      </c>
      <c r="E14" s="154"/>
      <c r="F14" s="154"/>
      <c r="G14" s="154"/>
      <c r="H14" s="154"/>
      <c r="I14" s="154"/>
      <c r="J14" s="155" t="str">
        <f t="shared" si="0"/>
        <v/>
      </c>
      <c r="K14" s="153"/>
      <c r="L14" s="156"/>
    </row>
    <row r="15" spans="1:1024 1034:2046 2056:3068 3078:4090 4100:5112 5122:7168 7170:8192 8202:9214 9224:10236 10246:11258 11268:12280 12290:14336 14338:15360 15370:16382" ht="15" customHeight="1" x14ac:dyDescent="0.35">
      <c r="B15" s="152" t="str">
        <f>IF(Lançamentos!$B10="","",Lançamentos!$B10)</f>
        <v/>
      </c>
      <c r="C15" s="153" t="str">
        <f>IF($B15="","",IFERROR(INDEX(Lançamentos!$J$3:$J$1001,MATCH($B15,Lançamentos!$B$3:$B$1001,0)),""))</f>
        <v/>
      </c>
      <c r="D15" s="417" t="str">
        <f>IF($B15="","",IFERROR(INDEX('E2 — Triagem'!$D$8:$D$507,MATCH($B15,'E2 — Triagem'!$B$8:$B$507,0)),""))</f>
        <v/>
      </c>
      <c r="E15" s="154"/>
      <c r="F15" s="154"/>
      <c r="G15" s="154"/>
      <c r="H15" s="154"/>
      <c r="I15" s="154"/>
      <c r="J15" s="155" t="str">
        <f t="shared" si="0"/>
        <v/>
      </c>
      <c r="K15" s="153"/>
      <c r="L15" s="156"/>
    </row>
    <row r="16" spans="1:1024 1034:2046 2056:3068 3078:4090 4100:5112 5122:7168 7170:8192 8202:9214 9224:10236 10246:11258 11268:12280 12290:14336 14338:15360 15370:16382" ht="15" customHeight="1" x14ac:dyDescent="0.35">
      <c r="B16" s="152" t="str">
        <f>IF(Lançamentos!$B11="","",Lançamentos!$B11)</f>
        <v/>
      </c>
      <c r="C16" s="153" t="str">
        <f>IF($B16="","",IFERROR(INDEX(Lançamentos!$J$3:$J$1001,MATCH($B16,Lançamentos!$B$3:$B$1001,0)),""))</f>
        <v/>
      </c>
      <c r="D16" s="417" t="str">
        <f>IF($B16="","",IFERROR(INDEX('E2 — Triagem'!$D$8:$D$507,MATCH($B16,'E2 — Triagem'!$B$8:$B$507,0)),""))</f>
        <v/>
      </c>
      <c r="E16" s="154"/>
      <c r="F16" s="154"/>
      <c r="G16" s="154"/>
      <c r="H16" s="154"/>
      <c r="I16" s="154"/>
      <c r="J16" s="155" t="str">
        <f t="shared" si="0"/>
        <v/>
      </c>
      <c r="K16" s="153"/>
      <c r="L16" s="156"/>
    </row>
    <row r="17" spans="2:12" ht="15" customHeight="1" x14ac:dyDescent="0.35">
      <c r="B17" s="152" t="str">
        <f>IF(Lançamentos!$B12="","",Lançamentos!$B12)</f>
        <v/>
      </c>
      <c r="C17" s="153" t="str">
        <f>IF($B17="","",IFERROR(INDEX(Lançamentos!$J$3:$J$1001,MATCH($B17,Lançamentos!$B$3:$B$1001,0)),""))</f>
        <v/>
      </c>
      <c r="D17" s="417" t="str">
        <f>IF($B17="","",IFERROR(INDEX('E2 — Triagem'!$D$8:$D$507,MATCH($B17,'E2 — Triagem'!$B$8:$B$507,0)),""))</f>
        <v/>
      </c>
      <c r="E17" s="154"/>
      <c r="F17" s="154"/>
      <c r="G17" s="154"/>
      <c r="H17" s="154"/>
      <c r="I17" s="154"/>
      <c r="J17" s="155" t="str">
        <f t="shared" si="0"/>
        <v/>
      </c>
      <c r="K17" s="153"/>
      <c r="L17" s="156"/>
    </row>
    <row r="18" spans="2:12" ht="15" customHeight="1" x14ac:dyDescent="0.35">
      <c r="B18" s="152" t="str">
        <f>IF(Lançamentos!$B13="","",Lançamentos!$B13)</f>
        <v/>
      </c>
      <c r="C18" s="153" t="str">
        <f>IF($B18="","",IFERROR(INDEX(Lançamentos!$J$3:$J$1001,MATCH($B18,Lançamentos!$B$3:$B$1001,0)),""))</f>
        <v/>
      </c>
      <c r="D18" s="417" t="str">
        <f>IF($B18="","",IFERROR(INDEX('E2 — Triagem'!$D$8:$D$507,MATCH($B18,'E2 — Triagem'!$B$8:$B$507,0)),""))</f>
        <v/>
      </c>
      <c r="E18" s="154"/>
      <c r="F18" s="154"/>
      <c r="G18" s="154"/>
      <c r="H18" s="154"/>
      <c r="I18" s="154"/>
      <c r="J18" s="155" t="str">
        <f t="shared" si="0"/>
        <v/>
      </c>
      <c r="K18" s="153"/>
      <c r="L18" s="156"/>
    </row>
    <row r="19" spans="2:12" ht="15" customHeight="1" x14ac:dyDescent="0.35">
      <c r="B19" s="152" t="str">
        <f>IF(Lançamentos!$B14="","",Lançamentos!$B14)</f>
        <v/>
      </c>
      <c r="C19" s="153" t="str">
        <f>IF($B19="","",IFERROR(INDEX(Lançamentos!$J$3:$J$1001,MATCH($B19,Lançamentos!$B$3:$B$1001,0)),""))</f>
        <v/>
      </c>
      <c r="D19" s="417" t="str">
        <f>IF($B19="","",IFERROR(INDEX('E2 — Triagem'!$D$8:$D$507,MATCH($B19,'E2 — Triagem'!$B$8:$B$507,0)),""))</f>
        <v/>
      </c>
      <c r="E19" s="154"/>
      <c r="F19" s="154"/>
      <c r="G19" s="154"/>
      <c r="H19" s="154"/>
      <c r="I19" s="154"/>
      <c r="J19" s="155" t="str">
        <f t="shared" si="0"/>
        <v/>
      </c>
      <c r="K19" s="153"/>
      <c r="L19" s="156"/>
    </row>
    <row r="20" spans="2:12" ht="15" customHeight="1" x14ac:dyDescent="0.35">
      <c r="B20" s="152" t="str">
        <f>IF(Lançamentos!$B15="","",Lançamentos!$B15)</f>
        <v/>
      </c>
      <c r="C20" s="153" t="str">
        <f>IF($B20="","",IFERROR(INDEX(Lançamentos!$J$3:$J$1001,MATCH($B20,Lançamentos!$B$3:$B$1001,0)),""))</f>
        <v/>
      </c>
      <c r="D20" s="417" t="str">
        <f>IF($B20="","",IFERROR(INDEX('E2 — Triagem'!$D$8:$D$507,MATCH($B20,'E2 — Triagem'!$B$8:$B$507,0)),""))</f>
        <v/>
      </c>
      <c r="E20" s="154"/>
      <c r="F20" s="154"/>
      <c r="G20" s="154"/>
      <c r="H20" s="154"/>
      <c r="I20" s="154"/>
      <c r="J20" s="155" t="str">
        <f t="shared" si="0"/>
        <v/>
      </c>
      <c r="K20" s="153"/>
      <c r="L20" s="156"/>
    </row>
    <row r="21" spans="2:12" ht="15" customHeight="1" x14ac:dyDescent="0.35">
      <c r="B21" s="152" t="str">
        <f>IF(Lançamentos!$B16="","",Lançamentos!$B16)</f>
        <v/>
      </c>
      <c r="C21" s="153" t="str">
        <f>IF($B21="","",IFERROR(INDEX(Lançamentos!$J$3:$J$1001,MATCH($B21,Lançamentos!$B$3:$B$1001,0)),""))</f>
        <v/>
      </c>
      <c r="D21" s="417" t="str">
        <f>IF($B21="","",IFERROR(INDEX('E2 — Triagem'!$D$8:$D$507,MATCH($B21,'E2 — Triagem'!$B$8:$B$507,0)),""))</f>
        <v/>
      </c>
      <c r="E21" s="154"/>
      <c r="F21" s="154"/>
      <c r="G21" s="154"/>
      <c r="H21" s="154"/>
      <c r="I21" s="154"/>
      <c r="J21" s="155" t="str">
        <f t="shared" si="0"/>
        <v/>
      </c>
      <c r="K21" s="153"/>
      <c r="L21" s="156"/>
    </row>
    <row r="22" spans="2:12" ht="15" customHeight="1" x14ac:dyDescent="0.35">
      <c r="B22" s="152" t="str">
        <f>IF(Lançamentos!$B17="","",Lançamentos!$B17)</f>
        <v/>
      </c>
      <c r="C22" s="153" t="str">
        <f>IF($B22="","",IFERROR(INDEX(Lançamentos!$J$3:$J$1001,MATCH($B22,Lançamentos!$B$3:$B$1001,0)),""))</f>
        <v/>
      </c>
      <c r="D22" s="417" t="str">
        <f>IF($B22="","",IFERROR(INDEX('E2 — Triagem'!$D$8:$D$507,MATCH($B22,'E2 — Triagem'!$B$8:$B$507,0)),""))</f>
        <v/>
      </c>
      <c r="E22" s="154"/>
      <c r="F22" s="154"/>
      <c r="G22" s="154"/>
      <c r="H22" s="154"/>
      <c r="I22" s="154"/>
      <c r="J22" s="155" t="str">
        <f t="shared" si="0"/>
        <v/>
      </c>
      <c r="K22" s="153"/>
      <c r="L22" s="156"/>
    </row>
    <row r="23" spans="2:12" ht="15" customHeight="1" x14ac:dyDescent="0.35">
      <c r="B23" s="152" t="str">
        <f>IF(Lançamentos!$B18="","",Lançamentos!$B18)</f>
        <v/>
      </c>
      <c r="C23" s="153" t="str">
        <f>IF($B23="","",IFERROR(INDEX(Lançamentos!$J$3:$J$1001,MATCH($B23,Lançamentos!$B$3:$B$1001,0)),""))</f>
        <v/>
      </c>
      <c r="D23" s="417" t="str">
        <f>IF($B23="","",IFERROR(INDEX('E2 — Triagem'!$D$8:$D$507,MATCH($B23,'E2 — Triagem'!$B$8:$B$507,0)),""))</f>
        <v/>
      </c>
      <c r="E23" s="154"/>
      <c r="F23" s="154"/>
      <c r="G23" s="154"/>
      <c r="H23" s="154"/>
      <c r="I23" s="154"/>
      <c r="J23" s="155" t="str">
        <f t="shared" si="0"/>
        <v/>
      </c>
      <c r="K23" s="153"/>
      <c r="L23" s="156"/>
    </row>
    <row r="24" spans="2:12" ht="15" customHeight="1" x14ac:dyDescent="0.35">
      <c r="B24" s="152" t="str">
        <f>IF(Lançamentos!$B19="","",Lançamentos!$B19)</f>
        <v/>
      </c>
      <c r="C24" s="153" t="str">
        <f>IF($B24="","",IFERROR(INDEX(Lançamentos!$J$3:$J$1001,MATCH($B24,Lançamentos!$B$3:$B$1001,0)),""))</f>
        <v/>
      </c>
      <c r="D24" s="417" t="str">
        <f>IF($B24="","",IFERROR(INDEX('E2 — Triagem'!$D$8:$D$507,MATCH($B24,'E2 — Triagem'!$B$8:$B$507,0)),""))</f>
        <v/>
      </c>
      <c r="E24" s="154"/>
      <c r="F24" s="154"/>
      <c r="G24" s="154"/>
      <c r="H24" s="154"/>
      <c r="I24" s="154"/>
      <c r="J24" s="155" t="str">
        <f t="shared" si="0"/>
        <v/>
      </c>
      <c r="K24" s="153"/>
      <c r="L24" s="156"/>
    </row>
    <row r="25" spans="2:12" ht="15" customHeight="1" x14ac:dyDescent="0.35">
      <c r="B25" s="152" t="str">
        <f>IF(Lançamentos!$B20="","",Lançamentos!$B20)</f>
        <v/>
      </c>
      <c r="C25" s="153" t="str">
        <f>IF($B25="","",IFERROR(INDEX(Lançamentos!$J$3:$J$1001,MATCH($B25,Lançamentos!$B$3:$B$1001,0)),""))</f>
        <v/>
      </c>
      <c r="D25" s="417" t="str">
        <f>IF($B25="","",IFERROR(INDEX('E2 — Triagem'!$D$8:$D$507,MATCH($B25,'E2 — Triagem'!$B$8:$B$507,0)),""))</f>
        <v/>
      </c>
      <c r="E25" s="154"/>
      <c r="F25" s="154"/>
      <c r="G25" s="154"/>
      <c r="H25" s="154"/>
      <c r="I25" s="154"/>
      <c r="J25" s="155" t="str">
        <f t="shared" si="0"/>
        <v/>
      </c>
      <c r="K25" s="153"/>
      <c r="L25" s="156"/>
    </row>
    <row r="26" spans="2:12" ht="15" customHeight="1" x14ac:dyDescent="0.35">
      <c r="B26" s="152" t="str">
        <f>IF(Lançamentos!$B21="","",Lançamentos!$B21)</f>
        <v/>
      </c>
      <c r="C26" s="153" t="str">
        <f>IF($B26="","",IFERROR(INDEX(Lançamentos!$J$3:$J$1001,MATCH($B26,Lançamentos!$B$3:$B$1001,0)),""))</f>
        <v/>
      </c>
      <c r="D26" s="417" t="str">
        <f>IF($B26="","",IFERROR(INDEX('E2 — Triagem'!$D$8:$D$507,MATCH($B26,'E2 — Triagem'!$B$8:$B$507,0)),""))</f>
        <v/>
      </c>
      <c r="E26" s="154"/>
      <c r="F26" s="154"/>
      <c r="G26" s="154"/>
      <c r="H26" s="154"/>
      <c r="I26" s="154"/>
      <c r="J26" s="155" t="str">
        <f t="shared" si="0"/>
        <v/>
      </c>
      <c r="K26" s="153"/>
      <c r="L26" s="156"/>
    </row>
    <row r="27" spans="2:12" ht="15" customHeight="1" x14ac:dyDescent="0.35">
      <c r="B27" s="152" t="str">
        <f>IF(Lançamentos!$B22="","",Lançamentos!$B22)</f>
        <v/>
      </c>
      <c r="C27" s="153" t="str">
        <f>IF($B27="","",IFERROR(INDEX(Lançamentos!$J$3:$J$1001,MATCH($B27,Lançamentos!$B$3:$B$1001,0)),""))</f>
        <v/>
      </c>
      <c r="D27" s="417" t="str">
        <f>IF($B27="","",IFERROR(INDEX('E2 — Triagem'!$D$8:$D$507,MATCH($B27,'E2 — Triagem'!$B$8:$B$507,0)),""))</f>
        <v/>
      </c>
      <c r="E27" s="154"/>
      <c r="F27" s="154"/>
      <c r="G27" s="154"/>
      <c r="H27" s="154"/>
      <c r="I27" s="154"/>
      <c r="J27" s="155" t="str">
        <f t="shared" si="0"/>
        <v/>
      </c>
      <c r="K27" s="153"/>
      <c r="L27" s="156"/>
    </row>
    <row r="28" spans="2:12" ht="15" customHeight="1" x14ac:dyDescent="0.35">
      <c r="B28" s="152" t="str">
        <f>IF(Lançamentos!$B23="","",Lançamentos!$B23)</f>
        <v/>
      </c>
      <c r="C28" s="153" t="str">
        <f>IF($B28="","",IFERROR(INDEX(Lançamentos!$J$3:$J$1001,MATCH($B28,Lançamentos!$B$3:$B$1001,0)),""))</f>
        <v/>
      </c>
      <c r="D28" s="417" t="str">
        <f>IF($B28="","",IFERROR(INDEX('E2 — Triagem'!$D$8:$D$507,MATCH($B28,'E2 — Triagem'!$B$8:$B$507,0)),""))</f>
        <v/>
      </c>
      <c r="E28" s="154"/>
      <c r="F28" s="154"/>
      <c r="G28" s="154"/>
      <c r="H28" s="154"/>
      <c r="I28" s="154"/>
      <c r="J28" s="155" t="str">
        <f t="shared" si="0"/>
        <v/>
      </c>
      <c r="K28" s="153"/>
      <c r="L28" s="156"/>
    </row>
    <row r="29" spans="2:12" ht="15" customHeight="1" x14ac:dyDescent="0.35">
      <c r="B29" s="152" t="str">
        <f>IF(Lançamentos!$B24="","",Lançamentos!$B24)</f>
        <v/>
      </c>
      <c r="C29" s="153" t="str">
        <f>IF($B29="","",IFERROR(INDEX(Lançamentos!$J$3:$J$1001,MATCH($B29,Lançamentos!$B$3:$B$1001,0)),""))</f>
        <v/>
      </c>
      <c r="D29" s="417" t="str">
        <f>IF($B29="","",IFERROR(INDEX('E2 — Triagem'!$D$8:$D$507,MATCH($B29,'E2 — Triagem'!$B$8:$B$507,0)),""))</f>
        <v/>
      </c>
      <c r="E29" s="154"/>
      <c r="F29" s="154"/>
      <c r="G29" s="154"/>
      <c r="H29" s="154"/>
      <c r="I29" s="154"/>
      <c r="J29" s="155" t="str">
        <f t="shared" si="0"/>
        <v/>
      </c>
      <c r="K29" s="153"/>
      <c r="L29" s="156"/>
    </row>
    <row r="30" spans="2:12" ht="15" customHeight="1" x14ac:dyDescent="0.35">
      <c r="B30" s="152" t="str">
        <f>IF(Lançamentos!$B25="","",Lançamentos!$B25)</f>
        <v/>
      </c>
      <c r="C30" s="153" t="str">
        <f>IF($B30="","",IFERROR(INDEX(Lançamentos!$J$3:$J$1001,MATCH($B30,Lançamentos!$B$3:$B$1001,0)),""))</f>
        <v/>
      </c>
      <c r="D30" s="417" t="str">
        <f>IF($B30="","",IFERROR(INDEX('E2 — Triagem'!$D$8:$D$507,MATCH($B30,'E2 — Triagem'!$B$8:$B$507,0)),""))</f>
        <v/>
      </c>
      <c r="E30" s="154"/>
      <c r="F30" s="154"/>
      <c r="G30" s="154"/>
      <c r="H30" s="154"/>
      <c r="I30" s="154"/>
      <c r="J30" s="155" t="str">
        <f t="shared" si="0"/>
        <v/>
      </c>
      <c r="K30" s="153"/>
      <c r="L30" s="156"/>
    </row>
    <row r="31" spans="2:12" ht="15" customHeight="1" x14ac:dyDescent="0.35">
      <c r="B31" s="152" t="str">
        <f>IF(Lançamentos!$B26="","",Lançamentos!$B26)</f>
        <v/>
      </c>
      <c r="C31" s="153" t="str">
        <f>IF($B31="","",IFERROR(INDEX(Lançamentos!$J$3:$J$1001,MATCH($B31,Lançamentos!$B$3:$B$1001,0)),""))</f>
        <v/>
      </c>
      <c r="D31" s="417" t="str">
        <f>IF($B31="","",IFERROR(INDEX('E2 — Triagem'!$D$8:$D$507,MATCH($B31,'E2 — Triagem'!$B$8:$B$507,0)),""))</f>
        <v/>
      </c>
      <c r="E31" s="154"/>
      <c r="F31" s="154"/>
      <c r="G31" s="154"/>
      <c r="H31" s="154"/>
      <c r="I31" s="154"/>
      <c r="J31" s="155" t="str">
        <f t="shared" si="0"/>
        <v/>
      </c>
      <c r="K31" s="153"/>
      <c r="L31" s="156"/>
    </row>
    <row r="32" spans="2:12" ht="15" customHeight="1" x14ac:dyDescent="0.35">
      <c r="B32" s="152" t="str">
        <f>IF(Lançamentos!$B27="","",Lançamentos!$B27)</f>
        <v/>
      </c>
      <c r="C32" s="153" t="str">
        <f>IF($B32="","",IFERROR(INDEX(Lançamentos!$J$3:$J$1001,MATCH($B32,Lançamentos!$B$3:$B$1001,0)),""))</f>
        <v/>
      </c>
      <c r="D32" s="417" t="str">
        <f>IF($B32="","",IFERROR(INDEX('E2 — Triagem'!$D$8:$D$507,MATCH($B32,'E2 — Triagem'!$B$8:$B$507,0)),""))</f>
        <v/>
      </c>
      <c r="E32" s="154"/>
      <c r="F32" s="154"/>
      <c r="G32" s="154"/>
      <c r="H32" s="154"/>
      <c r="I32" s="154"/>
      <c r="J32" s="155" t="str">
        <f t="shared" si="0"/>
        <v/>
      </c>
      <c r="K32" s="153"/>
      <c r="L32" s="156"/>
    </row>
    <row r="33" spans="2:12" ht="15" customHeight="1" x14ac:dyDescent="0.35">
      <c r="B33" s="152" t="str">
        <f>IF(Lançamentos!$B28="","",Lançamentos!$B28)</f>
        <v/>
      </c>
      <c r="C33" s="153" t="str">
        <f>IF($B33="","",IFERROR(INDEX(Lançamentos!$J$3:$J$1001,MATCH($B33,Lançamentos!$B$3:$B$1001,0)),""))</f>
        <v/>
      </c>
      <c r="D33" s="417" t="str">
        <f>IF($B33="","",IFERROR(INDEX('E2 — Triagem'!$D$8:$D$507,MATCH($B33,'E2 — Triagem'!$B$8:$B$507,0)),""))</f>
        <v/>
      </c>
      <c r="E33" s="154"/>
      <c r="F33" s="154"/>
      <c r="G33" s="154"/>
      <c r="H33" s="154"/>
      <c r="I33" s="154"/>
      <c r="J33" s="155" t="str">
        <f t="shared" si="0"/>
        <v/>
      </c>
      <c r="K33" s="153"/>
      <c r="L33" s="156"/>
    </row>
    <row r="34" spans="2:12" ht="15" customHeight="1" x14ac:dyDescent="0.35">
      <c r="B34" s="152" t="str">
        <f>IF(Lançamentos!$B29="","",Lançamentos!$B29)</f>
        <v/>
      </c>
      <c r="C34" s="153" t="str">
        <f>IF($B34="","",IFERROR(INDEX(Lançamentos!$J$3:$J$1001,MATCH($B34,Lançamentos!$B$3:$B$1001,0)),""))</f>
        <v/>
      </c>
      <c r="D34" s="417" t="str">
        <f>IF($B34="","",IFERROR(INDEX('E2 — Triagem'!$D$8:$D$507,MATCH($B34,'E2 — Triagem'!$B$8:$B$507,0)),""))</f>
        <v/>
      </c>
      <c r="E34" s="154"/>
      <c r="F34" s="154"/>
      <c r="G34" s="154"/>
      <c r="H34" s="154"/>
      <c r="I34" s="154"/>
      <c r="J34" s="155" t="str">
        <f t="shared" si="0"/>
        <v/>
      </c>
      <c r="K34" s="153"/>
      <c r="L34" s="156"/>
    </row>
    <row r="35" spans="2:12" ht="15" customHeight="1" x14ac:dyDescent="0.35">
      <c r="B35" s="152" t="str">
        <f>IF(Lançamentos!$B30="","",Lançamentos!$B30)</f>
        <v/>
      </c>
      <c r="C35" s="153" t="str">
        <f>IF($B35="","",IFERROR(INDEX(Lançamentos!$J$3:$J$1001,MATCH($B35,Lançamentos!$B$3:$B$1001,0)),""))</f>
        <v/>
      </c>
      <c r="D35" s="417" t="str">
        <f>IF($B35="","",IFERROR(INDEX('E2 — Triagem'!$D$8:$D$507,MATCH($B35,'E2 — Triagem'!$B$8:$B$507,0)),""))</f>
        <v/>
      </c>
      <c r="E35" s="154"/>
      <c r="F35" s="154"/>
      <c r="G35" s="154"/>
      <c r="H35" s="154"/>
      <c r="I35" s="154"/>
      <c r="J35" s="155" t="str">
        <f t="shared" si="0"/>
        <v/>
      </c>
      <c r="K35" s="153"/>
      <c r="L35" s="156"/>
    </row>
    <row r="36" spans="2:12" ht="15" customHeight="1" x14ac:dyDescent="0.35">
      <c r="B36" s="152" t="str">
        <f>IF(Lançamentos!$B31="","",Lançamentos!$B31)</f>
        <v/>
      </c>
      <c r="C36" s="153" t="str">
        <f>IF($B36="","",IFERROR(INDEX(Lançamentos!$J$3:$J$1001,MATCH($B36,Lançamentos!$B$3:$B$1001,0)),""))</f>
        <v/>
      </c>
      <c r="D36" s="417" t="str">
        <f>IF($B36="","",IFERROR(INDEX('E2 — Triagem'!$D$8:$D$507,MATCH($B36,'E2 — Triagem'!$B$8:$B$507,0)),""))</f>
        <v/>
      </c>
      <c r="E36" s="154"/>
      <c r="F36" s="154"/>
      <c r="G36" s="154"/>
      <c r="H36" s="154"/>
      <c r="I36" s="154"/>
      <c r="J36" s="155" t="str">
        <f t="shared" si="0"/>
        <v/>
      </c>
      <c r="K36" s="153"/>
      <c r="L36" s="156"/>
    </row>
    <row r="37" spans="2:12" ht="15" customHeight="1" x14ac:dyDescent="0.35">
      <c r="B37" s="152" t="str">
        <f>IF(Lançamentos!$B32="","",Lançamentos!$B32)</f>
        <v/>
      </c>
      <c r="C37" s="153" t="str">
        <f>IF($B37="","",IFERROR(INDEX(Lançamentos!$J$3:$J$1001,MATCH($B37,Lançamentos!$B$3:$B$1001,0)),""))</f>
        <v/>
      </c>
      <c r="D37" s="417" t="str">
        <f>IF($B37="","",IFERROR(INDEX('E2 — Triagem'!$D$8:$D$507,MATCH($B37,'E2 — Triagem'!$B$8:$B$507,0)),""))</f>
        <v/>
      </c>
      <c r="E37" s="154"/>
      <c r="F37" s="154"/>
      <c r="G37" s="154"/>
      <c r="H37" s="154"/>
      <c r="I37" s="154"/>
      <c r="J37" s="155" t="str">
        <f t="shared" si="0"/>
        <v/>
      </c>
      <c r="K37" s="153"/>
      <c r="L37" s="156"/>
    </row>
    <row r="38" spans="2:12" ht="15" customHeight="1" x14ac:dyDescent="0.35">
      <c r="B38" s="152" t="str">
        <f>IF(Lançamentos!$B33="","",Lançamentos!$B33)</f>
        <v/>
      </c>
      <c r="C38" s="153" t="str">
        <f>IF($B38="","",IFERROR(INDEX(Lançamentos!$J$3:$J$1001,MATCH($B38,Lançamentos!$B$3:$B$1001,0)),""))</f>
        <v/>
      </c>
      <c r="D38" s="417" t="str">
        <f>IF($B38="","",IFERROR(INDEX('E2 — Triagem'!$D$8:$D$507,MATCH($B38,'E2 — Triagem'!$B$8:$B$507,0)),""))</f>
        <v/>
      </c>
      <c r="E38" s="154"/>
      <c r="F38" s="154"/>
      <c r="G38" s="154"/>
      <c r="H38" s="154"/>
      <c r="I38" s="154"/>
      <c r="J38" s="155" t="str">
        <f t="shared" si="0"/>
        <v/>
      </c>
      <c r="K38" s="153"/>
      <c r="L38" s="156"/>
    </row>
    <row r="39" spans="2:12" ht="15" customHeight="1" x14ac:dyDescent="0.35">
      <c r="B39" s="152" t="str">
        <f>IF(Lançamentos!$B34="","",Lançamentos!$B34)</f>
        <v/>
      </c>
      <c r="C39" s="153" t="str">
        <f>IF($B39="","",IFERROR(INDEX(Lançamentos!$J$3:$J$1001,MATCH($B39,Lançamentos!$B$3:$B$1001,0)),""))</f>
        <v/>
      </c>
      <c r="D39" s="417" t="str">
        <f>IF($B39="","",IFERROR(INDEX('E2 — Triagem'!$D$8:$D$507,MATCH($B39,'E2 — Triagem'!$B$8:$B$507,0)),""))</f>
        <v/>
      </c>
      <c r="E39" s="154"/>
      <c r="F39" s="154"/>
      <c r="G39" s="154"/>
      <c r="H39" s="154"/>
      <c r="I39" s="154"/>
      <c r="J39" s="155" t="str">
        <f t="shared" si="0"/>
        <v/>
      </c>
      <c r="K39" s="153"/>
      <c r="L39" s="156"/>
    </row>
    <row r="40" spans="2:12" ht="15" customHeight="1" x14ac:dyDescent="0.35">
      <c r="B40" s="152" t="str">
        <f>IF(Lançamentos!$B35="","",Lançamentos!$B35)</f>
        <v/>
      </c>
      <c r="C40" s="153" t="str">
        <f>IF($B40="","",IFERROR(INDEX(Lançamentos!$J$3:$J$1001,MATCH($B40,Lançamentos!$B$3:$B$1001,0)),""))</f>
        <v/>
      </c>
      <c r="D40" s="417" t="str">
        <f>IF($B40="","",IFERROR(INDEX('E2 — Triagem'!$D$8:$D$507,MATCH($B40,'E2 — Triagem'!$B$8:$B$507,0)),""))</f>
        <v/>
      </c>
      <c r="E40" s="154"/>
      <c r="F40" s="154"/>
      <c r="G40" s="154"/>
      <c r="H40" s="154"/>
      <c r="I40" s="154"/>
      <c r="J40" s="155" t="str">
        <f t="shared" si="0"/>
        <v/>
      </c>
      <c r="K40" s="153"/>
      <c r="L40" s="156"/>
    </row>
    <row r="41" spans="2:12" ht="15" customHeight="1" x14ac:dyDescent="0.35">
      <c r="B41" s="152" t="str">
        <f>IF(Lançamentos!$B36="","",Lançamentos!$B36)</f>
        <v/>
      </c>
      <c r="C41" s="153" t="str">
        <f>IF($B41="","",IFERROR(INDEX(Lançamentos!$J$3:$J$1001,MATCH($B41,Lançamentos!$B$3:$B$1001,0)),""))</f>
        <v/>
      </c>
      <c r="D41" s="417" t="str">
        <f>IF($B41="","",IFERROR(INDEX('E2 — Triagem'!$D$8:$D$507,MATCH($B41,'E2 — Triagem'!$B$8:$B$507,0)),""))</f>
        <v/>
      </c>
      <c r="E41" s="154"/>
      <c r="F41" s="154"/>
      <c r="G41" s="154"/>
      <c r="H41" s="154"/>
      <c r="I41" s="154"/>
      <c r="J41" s="155" t="str">
        <f t="shared" si="0"/>
        <v/>
      </c>
      <c r="K41" s="153"/>
      <c r="L41" s="156"/>
    </row>
    <row r="42" spans="2:12" ht="15" customHeight="1" x14ac:dyDescent="0.35">
      <c r="B42" s="152" t="str">
        <f>IF(Lançamentos!$B37="","",Lançamentos!$B37)</f>
        <v/>
      </c>
      <c r="C42" s="153" t="str">
        <f>IF($B42="","",IFERROR(INDEX(Lançamentos!$J$3:$J$1001,MATCH($B42,Lançamentos!$B$3:$B$1001,0)),""))</f>
        <v/>
      </c>
      <c r="D42" s="417" t="str">
        <f>IF($B42="","",IFERROR(INDEX('E2 — Triagem'!$D$8:$D$507,MATCH($B42,'E2 — Triagem'!$B$8:$B$507,0)),""))</f>
        <v/>
      </c>
      <c r="E42" s="154"/>
      <c r="F42" s="154"/>
      <c r="G42" s="154"/>
      <c r="H42" s="154"/>
      <c r="I42" s="154"/>
      <c r="J42" s="155" t="str">
        <f t="shared" si="0"/>
        <v/>
      </c>
      <c r="K42" s="153"/>
      <c r="L42" s="156"/>
    </row>
    <row r="43" spans="2:12" ht="15" customHeight="1" x14ac:dyDescent="0.35">
      <c r="B43" s="152" t="str">
        <f>IF(Lançamentos!$B38="","",Lançamentos!$B38)</f>
        <v/>
      </c>
      <c r="C43" s="153" t="str">
        <f>IF($B43="","",IFERROR(INDEX(Lançamentos!$J$3:$J$1001,MATCH($B43,Lançamentos!$B$3:$B$1001,0)),""))</f>
        <v/>
      </c>
      <c r="D43" s="417" t="str">
        <f>IF($B43="","",IFERROR(INDEX('E2 — Triagem'!$D$8:$D$507,MATCH($B43,'E2 — Triagem'!$B$8:$B$507,0)),""))</f>
        <v/>
      </c>
      <c r="E43" s="154"/>
      <c r="F43" s="154"/>
      <c r="G43" s="154"/>
      <c r="H43" s="154"/>
      <c r="I43" s="154"/>
      <c r="J43" s="155" t="str">
        <f t="shared" si="0"/>
        <v/>
      </c>
      <c r="K43" s="153"/>
      <c r="L43" s="156"/>
    </row>
    <row r="44" spans="2:12" ht="15" customHeight="1" x14ac:dyDescent="0.35">
      <c r="B44" s="152" t="str">
        <f>IF(Lançamentos!$B39="","",Lançamentos!$B39)</f>
        <v/>
      </c>
      <c r="C44" s="153" t="str">
        <f>IF($B44="","",IFERROR(INDEX(Lançamentos!$J$3:$J$1001,MATCH($B44,Lançamentos!$B$3:$B$1001,0)),""))</f>
        <v/>
      </c>
      <c r="D44" s="417" t="str">
        <f>IF($B44="","",IFERROR(INDEX('E2 — Triagem'!$D$8:$D$507,MATCH($B44,'E2 — Triagem'!$B$8:$B$507,0)),""))</f>
        <v/>
      </c>
      <c r="E44" s="154"/>
      <c r="F44" s="154"/>
      <c r="G44" s="154"/>
      <c r="H44" s="154"/>
      <c r="I44" s="154"/>
      <c r="J44" s="155" t="str">
        <f t="shared" si="0"/>
        <v/>
      </c>
      <c r="K44" s="153"/>
      <c r="L44" s="156"/>
    </row>
    <row r="45" spans="2:12" ht="15" customHeight="1" x14ac:dyDescent="0.35">
      <c r="B45" s="152" t="str">
        <f>IF(Lançamentos!$B40="","",Lançamentos!$B40)</f>
        <v/>
      </c>
      <c r="C45" s="153" t="str">
        <f>IF($B45="","",IFERROR(INDEX(Lançamentos!$J$3:$J$1001,MATCH($B45,Lançamentos!$B$3:$B$1001,0)),""))</f>
        <v/>
      </c>
      <c r="D45" s="417" t="str">
        <f>IF($B45="","",IFERROR(INDEX('E2 — Triagem'!$D$8:$D$507,MATCH($B45,'E2 — Triagem'!$B$8:$B$507,0)),""))</f>
        <v/>
      </c>
      <c r="E45" s="154"/>
      <c r="F45" s="154"/>
      <c r="G45" s="154"/>
      <c r="H45" s="154"/>
      <c r="I45" s="154"/>
      <c r="J45" s="155" t="str">
        <f t="shared" si="0"/>
        <v/>
      </c>
      <c r="K45" s="153"/>
      <c r="L45" s="156"/>
    </row>
    <row r="46" spans="2:12" ht="15" customHeight="1" x14ac:dyDescent="0.35">
      <c r="B46" s="152" t="str">
        <f>IF(Lançamentos!$B41="","",Lançamentos!$B41)</f>
        <v/>
      </c>
      <c r="C46" s="153" t="str">
        <f>IF($B46="","",IFERROR(INDEX(Lançamentos!$J$3:$J$1001,MATCH($B46,Lançamentos!$B$3:$B$1001,0)),""))</f>
        <v/>
      </c>
      <c r="D46" s="417" t="str">
        <f>IF($B46="","",IFERROR(INDEX('E2 — Triagem'!$D$8:$D$507,MATCH($B46,'E2 — Triagem'!$B$8:$B$507,0)),""))</f>
        <v/>
      </c>
      <c r="E46" s="154"/>
      <c r="F46" s="154"/>
      <c r="G46" s="154"/>
      <c r="H46" s="154"/>
      <c r="I46" s="154"/>
      <c r="J46" s="155" t="str">
        <f t="shared" si="0"/>
        <v/>
      </c>
      <c r="K46" s="153"/>
      <c r="L46" s="156"/>
    </row>
    <row r="47" spans="2:12" ht="15" customHeight="1" x14ac:dyDescent="0.35">
      <c r="B47" s="152" t="str">
        <f>IF(Lançamentos!$B42="","",Lançamentos!$B42)</f>
        <v/>
      </c>
      <c r="C47" s="153" t="str">
        <f>IF($B47="","",IFERROR(INDEX(Lançamentos!$J$3:$J$1001,MATCH($B47,Lançamentos!$B$3:$B$1001,0)),""))</f>
        <v/>
      </c>
      <c r="D47" s="417" t="str">
        <f>IF($B47="","",IFERROR(INDEX('E2 — Triagem'!$D$8:$D$507,MATCH($B47,'E2 — Triagem'!$B$8:$B$507,0)),""))</f>
        <v/>
      </c>
      <c r="E47" s="154"/>
      <c r="F47" s="154"/>
      <c r="G47" s="154"/>
      <c r="H47" s="154"/>
      <c r="I47" s="154"/>
      <c r="J47" s="155" t="str">
        <f t="shared" si="0"/>
        <v/>
      </c>
      <c r="K47" s="153"/>
      <c r="L47" s="156"/>
    </row>
    <row r="48" spans="2:12" ht="15" customHeight="1" x14ac:dyDescent="0.35">
      <c r="B48" s="152" t="str">
        <f>IF(Lançamentos!$B43="","",Lançamentos!$B43)</f>
        <v/>
      </c>
      <c r="C48" s="153" t="str">
        <f>IF($B48="","",IFERROR(INDEX(Lançamentos!$J$3:$J$1001,MATCH($B48,Lançamentos!$B$3:$B$1001,0)),""))</f>
        <v/>
      </c>
      <c r="D48" s="417" t="str">
        <f>IF($B48="","",IFERROR(INDEX('E2 — Triagem'!$D$8:$D$507,MATCH($B48,'E2 — Triagem'!$B$8:$B$507,0)),""))</f>
        <v/>
      </c>
      <c r="E48" s="154"/>
      <c r="F48" s="154"/>
      <c r="G48" s="154"/>
      <c r="H48" s="154"/>
      <c r="I48" s="154"/>
      <c r="J48" s="155" t="str">
        <f t="shared" si="0"/>
        <v/>
      </c>
      <c r="K48" s="153"/>
      <c r="L48" s="156"/>
    </row>
    <row r="49" spans="2:12" ht="15" customHeight="1" x14ac:dyDescent="0.35">
      <c r="B49" s="152" t="str">
        <f>IF(Lançamentos!$B44="","",Lançamentos!$B44)</f>
        <v/>
      </c>
      <c r="C49" s="153" t="str">
        <f>IF($B49="","",IFERROR(INDEX(Lançamentos!$J$3:$J$1001,MATCH($B49,Lançamentos!$B$3:$B$1001,0)),""))</f>
        <v/>
      </c>
      <c r="D49" s="417" t="str">
        <f>IF($B49="","",IFERROR(INDEX('E2 — Triagem'!$D$8:$D$507,MATCH($B49,'E2 — Triagem'!$B$8:$B$507,0)),""))</f>
        <v/>
      </c>
      <c r="E49" s="154"/>
      <c r="F49" s="154"/>
      <c r="G49" s="154"/>
      <c r="H49" s="154"/>
      <c r="I49" s="154"/>
      <c r="J49" s="155" t="str">
        <f t="shared" si="0"/>
        <v/>
      </c>
      <c r="K49" s="153"/>
      <c r="L49" s="156"/>
    </row>
    <row r="50" spans="2:12" ht="15" customHeight="1" x14ac:dyDescent="0.35">
      <c r="B50" s="152" t="str">
        <f>IF(Lançamentos!$B45="","",Lançamentos!$B45)</f>
        <v/>
      </c>
      <c r="C50" s="153" t="str">
        <f>IF($B50="","",IFERROR(INDEX(Lançamentos!$J$3:$J$1001,MATCH($B50,Lançamentos!$B$3:$B$1001,0)),""))</f>
        <v/>
      </c>
      <c r="D50" s="417" t="str">
        <f>IF($B50="","",IFERROR(INDEX('E2 — Triagem'!$D$8:$D$507,MATCH($B50,'E2 — Triagem'!$B$8:$B$507,0)),""))</f>
        <v/>
      </c>
      <c r="E50" s="154"/>
      <c r="F50" s="154"/>
      <c r="G50" s="154"/>
      <c r="H50" s="154"/>
      <c r="I50" s="154"/>
      <c r="J50" s="155" t="str">
        <f t="shared" si="0"/>
        <v/>
      </c>
      <c r="K50" s="153"/>
      <c r="L50" s="156"/>
    </row>
    <row r="51" spans="2:12" ht="15" customHeight="1" x14ac:dyDescent="0.35">
      <c r="B51" s="152" t="str">
        <f>IF(Lançamentos!$B46="","",Lançamentos!$B46)</f>
        <v/>
      </c>
      <c r="C51" s="153" t="str">
        <f>IF($B51="","",IFERROR(INDEX(Lançamentos!$J$3:$J$1001,MATCH($B51,Lançamentos!$B$3:$B$1001,0)),""))</f>
        <v/>
      </c>
      <c r="D51" s="417" t="str">
        <f>IF($B51="","",IFERROR(INDEX('E2 — Triagem'!$D$8:$D$507,MATCH($B51,'E2 — Triagem'!$B$8:$B$507,0)),""))</f>
        <v/>
      </c>
      <c r="E51" s="154"/>
      <c r="F51" s="154"/>
      <c r="G51" s="154"/>
      <c r="H51" s="154"/>
      <c r="I51" s="154"/>
      <c r="J51" s="155" t="str">
        <f t="shared" si="0"/>
        <v/>
      </c>
      <c r="K51" s="153"/>
      <c r="L51" s="156"/>
    </row>
    <row r="52" spans="2:12" ht="15" customHeight="1" x14ac:dyDescent="0.35">
      <c r="B52" s="152" t="str">
        <f>IF(Lançamentos!$B47="","",Lançamentos!$B47)</f>
        <v/>
      </c>
      <c r="C52" s="153" t="str">
        <f>IF($B52="","",IFERROR(INDEX(Lançamentos!$J$3:$J$1001,MATCH($B52,Lançamentos!$B$3:$B$1001,0)),""))</f>
        <v/>
      </c>
      <c r="D52" s="417" t="str">
        <f>IF($B52="","",IFERROR(INDEX('E2 — Triagem'!$D$8:$D$507,MATCH($B52,'E2 — Triagem'!$B$8:$B$507,0)),""))</f>
        <v/>
      </c>
      <c r="E52" s="154"/>
      <c r="F52" s="154"/>
      <c r="G52" s="154"/>
      <c r="H52" s="154"/>
      <c r="I52" s="154"/>
      <c r="J52" s="155" t="str">
        <f t="shared" si="0"/>
        <v/>
      </c>
      <c r="K52" s="153"/>
      <c r="L52" s="156"/>
    </row>
    <row r="53" spans="2:12" ht="15" customHeight="1" x14ac:dyDescent="0.35">
      <c r="B53" s="152" t="str">
        <f>IF(Lançamentos!$B48="","",Lançamentos!$B48)</f>
        <v/>
      </c>
      <c r="C53" s="153" t="str">
        <f>IF($B53="","",IFERROR(INDEX(Lançamentos!$J$3:$J$1001,MATCH($B53,Lançamentos!$B$3:$B$1001,0)),""))</f>
        <v/>
      </c>
      <c r="D53" s="417" t="str">
        <f>IF($B53="","",IFERROR(INDEX('E2 — Triagem'!$D$8:$D$507,MATCH($B53,'E2 — Triagem'!$B$8:$B$507,0)),""))</f>
        <v/>
      </c>
      <c r="E53" s="154"/>
      <c r="F53" s="154"/>
      <c r="G53" s="154"/>
      <c r="H53" s="154"/>
      <c r="I53" s="154"/>
      <c r="J53" s="155" t="str">
        <f t="shared" si="0"/>
        <v/>
      </c>
      <c r="K53" s="153"/>
      <c r="L53" s="156"/>
    </row>
    <row r="54" spans="2:12" ht="15" customHeight="1" x14ac:dyDescent="0.35">
      <c r="B54" s="152" t="str">
        <f>IF(Lançamentos!$B49="","",Lançamentos!$B49)</f>
        <v/>
      </c>
      <c r="C54" s="153" t="str">
        <f>IF($B54="","",IFERROR(INDEX(Lançamentos!$J$3:$J$1001,MATCH($B54,Lançamentos!$B$3:$B$1001,0)),""))</f>
        <v/>
      </c>
      <c r="D54" s="417" t="str">
        <f>IF($B54="","",IFERROR(INDEX('E2 — Triagem'!$D$8:$D$507,MATCH($B54,'E2 — Triagem'!$B$8:$B$507,0)),""))</f>
        <v/>
      </c>
      <c r="E54" s="154"/>
      <c r="F54" s="154"/>
      <c r="G54" s="154"/>
      <c r="H54" s="154"/>
      <c r="I54" s="154"/>
      <c r="J54" s="155" t="str">
        <f t="shared" si="0"/>
        <v/>
      </c>
      <c r="K54" s="153"/>
      <c r="L54" s="156"/>
    </row>
    <row r="55" spans="2:12" ht="15" customHeight="1" x14ac:dyDescent="0.35">
      <c r="B55" s="152" t="str">
        <f>IF(Lançamentos!$B50="","",Lançamentos!$B50)</f>
        <v/>
      </c>
      <c r="C55" s="153" t="str">
        <f>IF($B55="","",IFERROR(INDEX(Lançamentos!$J$3:$J$1001,MATCH($B55,Lançamentos!$B$3:$B$1001,0)),""))</f>
        <v/>
      </c>
      <c r="D55" s="417" t="str">
        <f>IF($B55="","",IFERROR(INDEX('E2 — Triagem'!$D$8:$D$507,MATCH($B55,'E2 — Triagem'!$B$8:$B$507,0)),""))</f>
        <v/>
      </c>
      <c r="E55" s="154"/>
      <c r="F55" s="154"/>
      <c r="G55" s="154"/>
      <c r="H55" s="154"/>
      <c r="I55" s="154"/>
      <c r="J55" s="155" t="str">
        <f t="shared" si="0"/>
        <v/>
      </c>
      <c r="K55" s="153"/>
      <c r="L55" s="156"/>
    </row>
    <row r="56" spans="2:12" ht="15" customHeight="1" x14ac:dyDescent="0.35">
      <c r="B56" s="152" t="str">
        <f>IF(Lançamentos!$B51="","",Lançamentos!$B51)</f>
        <v/>
      </c>
      <c r="C56" s="153" t="str">
        <f>IF($B56="","",IFERROR(INDEX(Lançamentos!$J$3:$J$1001,MATCH($B56,Lançamentos!$B$3:$B$1001,0)),""))</f>
        <v/>
      </c>
      <c r="D56" s="417" t="str">
        <f>IF($B56="","",IFERROR(INDEX('E2 — Triagem'!$D$8:$D$507,MATCH($B56,'E2 — Triagem'!$B$8:$B$507,0)),""))</f>
        <v/>
      </c>
      <c r="E56" s="154"/>
      <c r="F56" s="154"/>
      <c r="G56" s="154"/>
      <c r="H56" s="154"/>
      <c r="I56" s="154"/>
      <c r="J56" s="155" t="str">
        <f t="shared" si="0"/>
        <v/>
      </c>
      <c r="K56" s="153"/>
      <c r="L56" s="156"/>
    </row>
    <row r="57" spans="2:12" ht="15" customHeight="1" x14ac:dyDescent="0.35">
      <c r="B57" s="152" t="str">
        <f>IF(Lançamentos!$B52="","",Lançamentos!$B52)</f>
        <v/>
      </c>
      <c r="C57" s="153" t="str">
        <f>IF($B57="","",IFERROR(INDEX(Lançamentos!$J$3:$J$1001,MATCH($B57,Lançamentos!$B$3:$B$1001,0)),""))</f>
        <v/>
      </c>
      <c r="D57" s="417" t="str">
        <f>IF($B57="","",IFERROR(INDEX('E2 — Triagem'!$D$8:$D$507,MATCH($B57,'E2 — Triagem'!$B$8:$B$507,0)),""))</f>
        <v/>
      </c>
      <c r="E57" s="154"/>
      <c r="F57" s="154"/>
      <c r="G57" s="154"/>
      <c r="H57" s="154"/>
      <c r="I57" s="154"/>
      <c r="J57" s="155" t="str">
        <f t="shared" si="0"/>
        <v/>
      </c>
      <c r="K57" s="153"/>
      <c r="L57" s="156"/>
    </row>
    <row r="58" spans="2:12" ht="15" customHeight="1" x14ac:dyDescent="0.35">
      <c r="B58" s="152" t="str">
        <f>IF(Lançamentos!$B53="","",Lançamentos!$B53)</f>
        <v/>
      </c>
      <c r="C58" s="153" t="str">
        <f>IF($B58="","",IFERROR(INDEX(Lançamentos!$J$3:$J$1001,MATCH($B58,Lançamentos!$B$3:$B$1001,0)),""))</f>
        <v/>
      </c>
      <c r="D58" s="417" t="str">
        <f>IF($B58="","",IFERROR(INDEX('E2 — Triagem'!$D$8:$D$507,MATCH($B58,'E2 — Triagem'!$B$8:$B$507,0)),""))</f>
        <v/>
      </c>
      <c r="E58" s="154"/>
      <c r="F58" s="154"/>
      <c r="G58" s="154"/>
      <c r="H58" s="154"/>
      <c r="I58" s="154"/>
      <c r="J58" s="155" t="str">
        <f t="shared" si="0"/>
        <v/>
      </c>
      <c r="K58" s="153"/>
      <c r="L58" s="156"/>
    </row>
    <row r="59" spans="2:12" ht="15" customHeight="1" x14ac:dyDescent="0.35">
      <c r="B59" s="152" t="str">
        <f>IF(Lançamentos!$B54="","",Lançamentos!$B54)</f>
        <v/>
      </c>
      <c r="C59" s="153" t="str">
        <f>IF($B59="","",IFERROR(INDEX(Lançamentos!$J$3:$J$1001,MATCH($B59,Lançamentos!$B$3:$B$1001,0)),""))</f>
        <v/>
      </c>
      <c r="D59" s="417" t="str">
        <f>IF($B59="","",IFERROR(INDEX('E2 — Triagem'!$D$8:$D$507,MATCH($B59,'E2 — Triagem'!$B$8:$B$507,0)),""))</f>
        <v/>
      </c>
      <c r="E59" s="154"/>
      <c r="F59" s="154"/>
      <c r="G59" s="154"/>
      <c r="H59" s="154"/>
      <c r="I59" s="154"/>
      <c r="J59" s="155" t="str">
        <f t="shared" si="0"/>
        <v/>
      </c>
      <c r="K59" s="153"/>
      <c r="L59" s="156"/>
    </row>
    <row r="60" spans="2:12" ht="15" customHeight="1" x14ac:dyDescent="0.35">
      <c r="B60" s="152" t="str">
        <f>IF(Lançamentos!$B55="","",Lançamentos!$B55)</f>
        <v/>
      </c>
      <c r="C60" s="153" t="str">
        <f>IF($B60="","",IFERROR(INDEX(Lançamentos!$J$3:$J$1001,MATCH($B60,Lançamentos!$B$3:$B$1001,0)),""))</f>
        <v/>
      </c>
      <c r="D60" s="417" t="str">
        <f>IF($B60="","",IFERROR(INDEX('E2 — Triagem'!$D$8:$D$507,MATCH($B60,'E2 — Triagem'!$B$8:$B$507,0)),""))</f>
        <v/>
      </c>
      <c r="E60" s="154"/>
      <c r="F60" s="154"/>
      <c r="G60" s="154"/>
      <c r="H60" s="154"/>
      <c r="I60" s="154"/>
      <c r="J60" s="155" t="str">
        <f t="shared" si="0"/>
        <v/>
      </c>
      <c r="K60" s="153"/>
      <c r="L60" s="156"/>
    </row>
    <row r="61" spans="2:12" ht="15" customHeight="1" x14ac:dyDescent="0.35">
      <c r="B61" s="152" t="str">
        <f>IF(Lançamentos!$B56="","",Lançamentos!$B56)</f>
        <v/>
      </c>
      <c r="C61" s="153" t="str">
        <f>IF($B61="","",IFERROR(INDEX(Lançamentos!$J$3:$J$1001,MATCH($B61,Lançamentos!$B$3:$B$1001,0)),""))</f>
        <v/>
      </c>
      <c r="D61" s="417" t="str">
        <f>IF($B61="","",IFERROR(INDEX('E2 — Triagem'!$D$8:$D$507,MATCH($B61,'E2 — Triagem'!$B$8:$B$507,0)),""))</f>
        <v/>
      </c>
      <c r="E61" s="154"/>
      <c r="F61" s="154"/>
      <c r="G61" s="154"/>
      <c r="H61" s="154"/>
      <c r="I61" s="154"/>
      <c r="J61" s="155" t="str">
        <f t="shared" si="0"/>
        <v/>
      </c>
      <c r="K61" s="153"/>
      <c r="L61" s="156"/>
    </row>
    <row r="62" spans="2:12" ht="15" customHeight="1" x14ac:dyDescent="0.35">
      <c r="B62" s="152" t="str">
        <f>IF(Lançamentos!$B57="","",Lançamentos!$B57)</f>
        <v/>
      </c>
      <c r="C62" s="153" t="str">
        <f>IF($B62="","",IFERROR(INDEX(Lançamentos!$J$3:$J$1001,MATCH($B62,Lançamentos!$B$3:$B$1001,0)),""))</f>
        <v/>
      </c>
      <c r="D62" s="417" t="str">
        <f>IF($B62="","",IFERROR(INDEX('E2 — Triagem'!$D$8:$D$507,MATCH($B62,'E2 — Triagem'!$B$8:$B$507,0)),""))</f>
        <v/>
      </c>
      <c r="E62" s="154"/>
      <c r="F62" s="154"/>
      <c r="G62" s="154"/>
      <c r="H62" s="154"/>
      <c r="I62" s="154"/>
      <c r="J62" s="155" t="str">
        <f t="shared" si="0"/>
        <v/>
      </c>
      <c r="K62" s="153"/>
      <c r="L62" s="156"/>
    </row>
    <row r="63" spans="2:12" ht="15" customHeight="1" x14ac:dyDescent="0.35">
      <c r="B63" s="152" t="str">
        <f>IF(Lançamentos!$B58="","",Lançamentos!$B58)</f>
        <v/>
      </c>
      <c r="C63" s="153" t="str">
        <f>IF($B63="","",IFERROR(INDEX(Lançamentos!$J$3:$J$1001,MATCH($B63,Lançamentos!$B$3:$B$1001,0)),""))</f>
        <v/>
      </c>
      <c r="D63" s="417" t="str">
        <f>IF($B63="","",IFERROR(INDEX('E2 — Triagem'!$D$8:$D$507,MATCH($B63,'E2 — Triagem'!$B$8:$B$507,0)),""))</f>
        <v/>
      </c>
      <c r="E63" s="154"/>
      <c r="F63" s="154"/>
      <c r="G63" s="154"/>
      <c r="H63" s="154"/>
      <c r="I63" s="154"/>
      <c r="J63" s="155" t="str">
        <f t="shared" si="0"/>
        <v/>
      </c>
      <c r="K63" s="153"/>
      <c r="L63" s="156"/>
    </row>
    <row r="64" spans="2:12" ht="15" customHeight="1" x14ac:dyDescent="0.35">
      <c r="B64" s="152" t="str">
        <f>IF(Lançamentos!$B59="","",Lançamentos!$B59)</f>
        <v/>
      </c>
      <c r="C64" s="153" t="str">
        <f>IF($B64="","",IFERROR(INDEX(Lançamentos!$J$3:$J$1001,MATCH($B64,Lançamentos!$B$3:$B$1001,0)),""))</f>
        <v/>
      </c>
      <c r="D64" s="417" t="str">
        <f>IF($B64="","",IFERROR(INDEX('E2 — Triagem'!$D$8:$D$507,MATCH($B64,'E2 — Triagem'!$B$8:$B$507,0)),""))</f>
        <v/>
      </c>
      <c r="E64" s="154"/>
      <c r="F64" s="154"/>
      <c r="G64" s="154"/>
      <c r="H64" s="154"/>
      <c r="I64" s="154"/>
      <c r="J64" s="155" t="str">
        <f t="shared" si="0"/>
        <v/>
      </c>
      <c r="K64" s="153"/>
      <c r="L64" s="156"/>
    </row>
    <row r="65" spans="2:12" ht="15" customHeight="1" x14ac:dyDescent="0.35">
      <c r="B65" s="152" t="str">
        <f>IF(Lançamentos!$B60="","",Lançamentos!$B60)</f>
        <v/>
      </c>
      <c r="C65" s="153" t="str">
        <f>IF($B65="","",IFERROR(INDEX(Lançamentos!$J$3:$J$1001,MATCH($B65,Lançamentos!$B$3:$B$1001,0)),""))</f>
        <v/>
      </c>
      <c r="D65" s="417" t="str">
        <f>IF($B65="","",IFERROR(INDEX('E2 — Triagem'!$D$8:$D$507,MATCH($B65,'E2 — Triagem'!$B$8:$B$507,0)),""))</f>
        <v/>
      </c>
      <c r="E65" s="154"/>
      <c r="F65" s="154"/>
      <c r="G65" s="154"/>
      <c r="H65" s="154"/>
      <c r="I65" s="154"/>
      <c r="J65" s="155" t="str">
        <f t="shared" si="0"/>
        <v/>
      </c>
      <c r="K65" s="153"/>
      <c r="L65" s="156"/>
    </row>
    <row r="66" spans="2:12" ht="15" customHeight="1" x14ac:dyDescent="0.35">
      <c r="B66" s="152" t="str">
        <f>IF(Lançamentos!$B61="","",Lançamentos!$B61)</f>
        <v/>
      </c>
      <c r="C66" s="153" t="str">
        <f>IF($B66="","",IFERROR(INDEX(Lançamentos!$J$3:$J$1001,MATCH($B66,Lançamentos!$B$3:$B$1001,0)),""))</f>
        <v/>
      </c>
      <c r="D66" s="417" t="str">
        <f>IF($B66="","",IFERROR(INDEX('E2 — Triagem'!$D$8:$D$507,MATCH($B66,'E2 — Triagem'!$B$8:$B$507,0)),""))</f>
        <v/>
      </c>
      <c r="E66" s="154"/>
      <c r="F66" s="154"/>
      <c r="G66" s="154"/>
      <c r="H66" s="154"/>
      <c r="I66" s="154"/>
      <c r="J66" s="155" t="str">
        <f t="shared" si="0"/>
        <v/>
      </c>
      <c r="K66" s="153"/>
      <c r="L66" s="156"/>
    </row>
    <row r="67" spans="2:12" ht="15" customHeight="1" x14ac:dyDescent="0.35">
      <c r="B67" s="152" t="str">
        <f>IF(Lançamentos!$B62="","",Lançamentos!$B62)</f>
        <v/>
      </c>
      <c r="C67" s="153" t="str">
        <f>IF($B67="","",IFERROR(INDEX(Lançamentos!$J$3:$J$1001,MATCH($B67,Lançamentos!$B$3:$B$1001,0)),""))</f>
        <v/>
      </c>
      <c r="D67" s="417" t="str">
        <f>IF($B67="","",IFERROR(INDEX('E2 — Triagem'!$D$8:$D$507,MATCH($B67,'E2 — Triagem'!$B$8:$B$507,0)),""))</f>
        <v/>
      </c>
      <c r="E67" s="154"/>
      <c r="F67" s="154"/>
      <c r="G67" s="154"/>
      <c r="H67" s="154"/>
      <c r="I67" s="154"/>
      <c r="J67" s="155" t="str">
        <f t="shared" si="0"/>
        <v/>
      </c>
      <c r="K67" s="153"/>
      <c r="L67" s="156"/>
    </row>
    <row r="68" spans="2:12" ht="15" customHeight="1" x14ac:dyDescent="0.35">
      <c r="B68" s="152" t="str">
        <f>IF(Lançamentos!$B63="","",Lançamentos!$B63)</f>
        <v/>
      </c>
      <c r="C68" s="153" t="str">
        <f>IF($B68="","",IFERROR(INDEX(Lançamentos!$J$3:$J$1001,MATCH($B68,Lançamentos!$B$3:$B$1001,0)),""))</f>
        <v/>
      </c>
      <c r="D68" s="417" t="str">
        <f>IF($B68="","",IFERROR(INDEX('E2 — Triagem'!$D$8:$D$507,MATCH($B68,'E2 — Triagem'!$B$8:$B$507,0)),""))</f>
        <v/>
      </c>
      <c r="E68" s="154"/>
      <c r="F68" s="154"/>
      <c r="G68" s="154"/>
      <c r="H68" s="154"/>
      <c r="I68" s="154"/>
      <c r="J68" s="155" t="str">
        <f t="shared" si="0"/>
        <v/>
      </c>
      <c r="K68" s="153"/>
      <c r="L68" s="156"/>
    </row>
    <row r="69" spans="2:12" ht="15" customHeight="1" x14ac:dyDescent="0.35">
      <c r="B69" s="152" t="str">
        <f>IF(Lançamentos!$B64="","",Lançamentos!$B64)</f>
        <v/>
      </c>
      <c r="C69" s="153" t="str">
        <f>IF($B69="","",IFERROR(INDEX(Lançamentos!$J$3:$J$1001,MATCH($B69,Lançamentos!$B$3:$B$1001,0)),""))</f>
        <v/>
      </c>
      <c r="D69" s="417" t="str">
        <f>IF($B69="","",IFERROR(INDEX('E2 — Triagem'!$D$8:$D$507,MATCH($B69,'E2 — Triagem'!$B$8:$B$507,0)),""))</f>
        <v/>
      </c>
      <c r="E69" s="154"/>
      <c r="F69" s="154"/>
      <c r="G69" s="154"/>
      <c r="H69" s="154"/>
      <c r="I69" s="154"/>
      <c r="J69" s="155" t="str">
        <f t="shared" si="0"/>
        <v/>
      </c>
      <c r="K69" s="153"/>
      <c r="L69" s="156"/>
    </row>
    <row r="70" spans="2:12" ht="15" customHeight="1" x14ac:dyDescent="0.35">
      <c r="B70" s="152" t="str">
        <f>IF(Lançamentos!$B65="","",Lançamentos!$B65)</f>
        <v/>
      </c>
      <c r="C70" s="153" t="str">
        <f>IF($B70="","",IFERROR(INDEX(Lançamentos!$J$3:$J$1001,MATCH($B70,Lançamentos!$B$3:$B$1001,0)),""))</f>
        <v/>
      </c>
      <c r="D70" s="417" t="str">
        <f>IF($B70="","",IFERROR(INDEX('E2 — Triagem'!$D$8:$D$507,MATCH($B70,'E2 — Triagem'!$B$8:$B$507,0)),""))</f>
        <v/>
      </c>
      <c r="E70" s="154"/>
      <c r="F70" s="154"/>
      <c r="G70" s="154"/>
      <c r="H70" s="154"/>
      <c r="I70" s="154"/>
      <c r="J70" s="155" t="str">
        <f t="shared" si="0"/>
        <v/>
      </c>
      <c r="K70" s="153"/>
      <c r="L70" s="156"/>
    </row>
    <row r="71" spans="2:12" ht="15" customHeight="1" x14ac:dyDescent="0.35">
      <c r="B71" s="152" t="str">
        <f>IF(Lançamentos!$B66="","",Lançamentos!$B66)</f>
        <v/>
      </c>
      <c r="C71" s="153" t="str">
        <f>IF($B71="","",IFERROR(INDEX(Lançamentos!$J$3:$J$1001,MATCH($B71,Lançamentos!$B$3:$B$1001,0)),""))</f>
        <v/>
      </c>
      <c r="D71" s="417" t="str">
        <f>IF($B71="","",IFERROR(INDEX('E2 — Triagem'!$D$8:$D$507,MATCH($B71,'E2 — Triagem'!$B$8:$B$507,0)),""))</f>
        <v/>
      </c>
      <c r="E71" s="154"/>
      <c r="F71" s="154"/>
      <c r="G71" s="154"/>
      <c r="H71" s="154"/>
      <c r="I71" s="154"/>
      <c r="J71" s="155" t="str">
        <f t="shared" si="0"/>
        <v/>
      </c>
      <c r="K71" s="153"/>
      <c r="L71" s="156"/>
    </row>
    <row r="72" spans="2:12" ht="15" customHeight="1" x14ac:dyDescent="0.35">
      <c r="B72" s="152" t="str">
        <f>IF(Lançamentos!$B67="","",Lançamentos!$B67)</f>
        <v/>
      </c>
      <c r="C72" s="153" t="str">
        <f>IF($B72="","",IFERROR(INDEX(Lançamentos!$J$3:$J$1001,MATCH($B72,Lançamentos!$B$3:$B$1001,0)),""))</f>
        <v/>
      </c>
      <c r="D72" s="417" t="str">
        <f>IF($B72="","",IFERROR(INDEX('E2 — Triagem'!$D$8:$D$507,MATCH($B72,'E2 — Triagem'!$B$8:$B$507,0)),""))</f>
        <v/>
      </c>
      <c r="E72" s="154"/>
      <c r="F72" s="154"/>
      <c r="G72" s="154"/>
      <c r="H72" s="154"/>
      <c r="I72" s="154"/>
      <c r="J72" s="155" t="str">
        <f t="shared" si="0"/>
        <v/>
      </c>
      <c r="K72" s="153"/>
      <c r="L72" s="156"/>
    </row>
    <row r="73" spans="2:12" ht="15" customHeight="1" x14ac:dyDescent="0.35">
      <c r="B73" s="152" t="str">
        <f>IF(Lançamentos!$B68="","",Lançamentos!$B68)</f>
        <v/>
      </c>
      <c r="C73" s="153" t="str">
        <f>IF($B73="","",IFERROR(INDEX(Lançamentos!$J$3:$J$1001,MATCH($B73,Lançamentos!$B$3:$B$1001,0)),""))</f>
        <v/>
      </c>
      <c r="D73" s="417" t="str">
        <f>IF($B73="","",IFERROR(INDEX('E2 — Triagem'!$D$8:$D$507,MATCH($B73,'E2 — Triagem'!$B$8:$B$507,0)),""))</f>
        <v/>
      </c>
      <c r="E73" s="154"/>
      <c r="F73" s="154"/>
      <c r="G73" s="154"/>
      <c r="H73" s="154"/>
      <c r="I73" s="154"/>
      <c r="J73" s="155" t="str">
        <f t="shared" ref="J73:J136" si="1">IF(B73="","",IF(COUNTIF(E73:I73,"N/A")=5,0,IF(COUNTIF(E73:I73,"✔ Concluído")=5,1,MIN(99%,COUNTIF(E73:I73,"✔ Concluído")/(5-COUNTIF(E73:I73,"N/A"))))))</f>
        <v/>
      </c>
      <c r="K73" s="153"/>
      <c r="L73" s="156"/>
    </row>
    <row r="74" spans="2:12" ht="15" customHeight="1" x14ac:dyDescent="0.35">
      <c r="B74" s="152" t="str">
        <f>IF(Lançamentos!$B69="","",Lançamentos!$B69)</f>
        <v/>
      </c>
      <c r="C74" s="153" t="str">
        <f>IF($B74="","",IFERROR(INDEX(Lançamentos!$J$3:$J$1001,MATCH($B74,Lançamentos!$B$3:$B$1001,0)),""))</f>
        <v/>
      </c>
      <c r="D74" s="417" t="str">
        <f>IF($B74="","",IFERROR(INDEX('E2 — Triagem'!$D$8:$D$507,MATCH($B74,'E2 — Triagem'!$B$8:$B$507,0)),""))</f>
        <v/>
      </c>
      <c r="E74" s="154"/>
      <c r="F74" s="154"/>
      <c r="G74" s="154"/>
      <c r="H74" s="154"/>
      <c r="I74" s="154"/>
      <c r="J74" s="155" t="str">
        <f t="shared" si="1"/>
        <v/>
      </c>
      <c r="K74" s="153"/>
      <c r="L74" s="156"/>
    </row>
    <row r="75" spans="2:12" ht="15" customHeight="1" x14ac:dyDescent="0.35">
      <c r="B75" s="152" t="str">
        <f>IF(Lançamentos!$B70="","",Lançamentos!$B70)</f>
        <v/>
      </c>
      <c r="C75" s="153" t="str">
        <f>IF($B75="","",IFERROR(INDEX(Lançamentos!$J$3:$J$1001,MATCH($B75,Lançamentos!$B$3:$B$1001,0)),""))</f>
        <v/>
      </c>
      <c r="D75" s="417" t="str">
        <f>IF($B75="","",IFERROR(INDEX('E2 — Triagem'!$D$8:$D$507,MATCH($B75,'E2 — Triagem'!$B$8:$B$507,0)),""))</f>
        <v/>
      </c>
      <c r="E75" s="154"/>
      <c r="F75" s="154"/>
      <c r="G75" s="154"/>
      <c r="H75" s="154"/>
      <c r="I75" s="154"/>
      <c r="J75" s="155" t="str">
        <f t="shared" si="1"/>
        <v/>
      </c>
      <c r="K75" s="153"/>
      <c r="L75" s="156"/>
    </row>
    <row r="76" spans="2:12" ht="15" customHeight="1" x14ac:dyDescent="0.35">
      <c r="B76" s="152" t="str">
        <f>IF(Lançamentos!$B71="","",Lançamentos!$B71)</f>
        <v/>
      </c>
      <c r="C76" s="153" t="str">
        <f>IF($B76="","",IFERROR(INDEX(Lançamentos!$J$3:$J$1001,MATCH($B76,Lançamentos!$B$3:$B$1001,0)),""))</f>
        <v/>
      </c>
      <c r="D76" s="417" t="str">
        <f>IF($B76="","",IFERROR(INDEX('E2 — Triagem'!$D$8:$D$507,MATCH($B76,'E2 — Triagem'!$B$8:$B$507,0)),""))</f>
        <v/>
      </c>
      <c r="E76" s="154"/>
      <c r="F76" s="154"/>
      <c r="G76" s="154"/>
      <c r="H76" s="154"/>
      <c r="I76" s="154"/>
      <c r="J76" s="155" t="str">
        <f t="shared" si="1"/>
        <v/>
      </c>
      <c r="K76" s="153"/>
      <c r="L76" s="156"/>
    </row>
    <row r="77" spans="2:12" ht="15" customHeight="1" x14ac:dyDescent="0.35">
      <c r="B77" s="152" t="str">
        <f>IF(Lançamentos!$B72="","",Lançamentos!$B72)</f>
        <v/>
      </c>
      <c r="C77" s="153" t="str">
        <f>IF($B77="","",IFERROR(INDEX(Lançamentos!$J$3:$J$1001,MATCH($B77,Lançamentos!$B$3:$B$1001,0)),""))</f>
        <v/>
      </c>
      <c r="D77" s="417" t="str">
        <f>IF($B77="","",IFERROR(INDEX('E2 — Triagem'!$D$8:$D$507,MATCH($B77,'E2 — Triagem'!$B$8:$B$507,0)),""))</f>
        <v/>
      </c>
      <c r="E77" s="154"/>
      <c r="F77" s="154"/>
      <c r="G77" s="154"/>
      <c r="H77" s="154"/>
      <c r="I77" s="154"/>
      <c r="J77" s="155" t="str">
        <f t="shared" si="1"/>
        <v/>
      </c>
      <c r="K77" s="153"/>
      <c r="L77" s="156"/>
    </row>
    <row r="78" spans="2:12" ht="15" customHeight="1" x14ac:dyDescent="0.35">
      <c r="B78" s="152" t="str">
        <f>IF(Lançamentos!$B73="","",Lançamentos!$B73)</f>
        <v/>
      </c>
      <c r="C78" s="153" t="str">
        <f>IF($B78="","",IFERROR(INDEX(Lançamentos!$J$3:$J$1001,MATCH($B78,Lançamentos!$B$3:$B$1001,0)),""))</f>
        <v/>
      </c>
      <c r="D78" s="417" t="str">
        <f>IF($B78="","",IFERROR(INDEX('E2 — Triagem'!$D$8:$D$507,MATCH($B78,'E2 — Triagem'!$B$8:$B$507,0)),""))</f>
        <v/>
      </c>
      <c r="E78" s="154"/>
      <c r="F78" s="154"/>
      <c r="G78" s="154"/>
      <c r="H78" s="154"/>
      <c r="I78" s="154"/>
      <c r="J78" s="155" t="str">
        <f t="shared" si="1"/>
        <v/>
      </c>
      <c r="K78" s="153"/>
      <c r="L78" s="156"/>
    </row>
    <row r="79" spans="2:12" ht="15" customHeight="1" x14ac:dyDescent="0.35">
      <c r="B79" s="152" t="str">
        <f>IF(Lançamentos!$B74="","",Lançamentos!$B74)</f>
        <v/>
      </c>
      <c r="C79" s="153" t="str">
        <f>IF($B79="","",IFERROR(INDEX(Lançamentos!$J$3:$J$1001,MATCH($B79,Lançamentos!$B$3:$B$1001,0)),""))</f>
        <v/>
      </c>
      <c r="D79" s="417" t="str">
        <f>IF($B79="","",IFERROR(INDEX('E2 — Triagem'!$D$8:$D$507,MATCH($B79,'E2 — Triagem'!$B$8:$B$507,0)),""))</f>
        <v/>
      </c>
      <c r="E79" s="154"/>
      <c r="F79" s="154"/>
      <c r="G79" s="154"/>
      <c r="H79" s="154"/>
      <c r="I79" s="154"/>
      <c r="J79" s="155" t="str">
        <f t="shared" si="1"/>
        <v/>
      </c>
      <c r="K79" s="153"/>
      <c r="L79" s="156"/>
    </row>
    <row r="80" spans="2:12" ht="15" customHeight="1" x14ac:dyDescent="0.35">
      <c r="B80" s="152" t="str">
        <f>IF(Lançamentos!$B75="","",Lançamentos!$B75)</f>
        <v/>
      </c>
      <c r="C80" s="153" t="str">
        <f>IF($B80="","",IFERROR(INDEX(Lançamentos!$J$3:$J$1001,MATCH($B80,Lançamentos!$B$3:$B$1001,0)),""))</f>
        <v/>
      </c>
      <c r="D80" s="417" t="str">
        <f>IF($B80="","",IFERROR(INDEX('E2 — Triagem'!$D$8:$D$507,MATCH($B80,'E2 — Triagem'!$B$8:$B$507,0)),""))</f>
        <v/>
      </c>
      <c r="E80" s="154"/>
      <c r="F80" s="154"/>
      <c r="G80" s="154"/>
      <c r="H80" s="154"/>
      <c r="I80" s="154"/>
      <c r="J80" s="155" t="str">
        <f t="shared" si="1"/>
        <v/>
      </c>
      <c r="K80" s="153"/>
      <c r="L80" s="156"/>
    </row>
    <row r="81" spans="2:12" ht="15" customHeight="1" x14ac:dyDescent="0.35">
      <c r="B81" s="152" t="str">
        <f>IF(Lançamentos!$B76="","",Lançamentos!$B76)</f>
        <v/>
      </c>
      <c r="C81" s="153" t="str">
        <f>IF($B81="","",IFERROR(INDEX(Lançamentos!$J$3:$J$1001,MATCH($B81,Lançamentos!$B$3:$B$1001,0)),""))</f>
        <v/>
      </c>
      <c r="D81" s="417" t="str">
        <f>IF($B81="","",IFERROR(INDEX('E2 — Triagem'!$D$8:$D$507,MATCH($B81,'E2 — Triagem'!$B$8:$B$507,0)),""))</f>
        <v/>
      </c>
      <c r="E81" s="154"/>
      <c r="F81" s="154"/>
      <c r="G81" s="154"/>
      <c r="H81" s="154"/>
      <c r="I81" s="154"/>
      <c r="J81" s="155" t="str">
        <f t="shared" si="1"/>
        <v/>
      </c>
      <c r="K81" s="153"/>
      <c r="L81" s="156"/>
    </row>
    <row r="82" spans="2:12" ht="15" customHeight="1" x14ac:dyDescent="0.35">
      <c r="B82" s="152" t="str">
        <f>IF(Lançamentos!$B77="","",Lançamentos!$B77)</f>
        <v/>
      </c>
      <c r="C82" s="153" t="str">
        <f>IF($B82="","",IFERROR(INDEX(Lançamentos!$J$3:$J$1001,MATCH($B82,Lançamentos!$B$3:$B$1001,0)),""))</f>
        <v/>
      </c>
      <c r="D82" s="417" t="str">
        <f>IF($B82="","",IFERROR(INDEX('E2 — Triagem'!$D$8:$D$507,MATCH($B82,'E2 — Triagem'!$B$8:$B$507,0)),""))</f>
        <v/>
      </c>
      <c r="E82" s="154"/>
      <c r="F82" s="154"/>
      <c r="G82" s="154"/>
      <c r="H82" s="154"/>
      <c r="I82" s="154"/>
      <c r="J82" s="155" t="str">
        <f t="shared" si="1"/>
        <v/>
      </c>
      <c r="K82" s="153"/>
      <c r="L82" s="156"/>
    </row>
    <row r="83" spans="2:12" ht="15" customHeight="1" x14ac:dyDescent="0.35">
      <c r="B83" s="152" t="str">
        <f>IF(Lançamentos!$B78="","",Lançamentos!$B78)</f>
        <v/>
      </c>
      <c r="C83" s="153" t="str">
        <f>IF($B83="","",IFERROR(INDEX(Lançamentos!$J$3:$J$1001,MATCH($B83,Lançamentos!$B$3:$B$1001,0)),""))</f>
        <v/>
      </c>
      <c r="D83" s="417" t="str">
        <f>IF($B83="","",IFERROR(INDEX('E2 — Triagem'!$D$8:$D$507,MATCH($B83,'E2 — Triagem'!$B$8:$B$507,0)),""))</f>
        <v/>
      </c>
      <c r="E83" s="154"/>
      <c r="F83" s="154"/>
      <c r="G83" s="154"/>
      <c r="H83" s="154"/>
      <c r="I83" s="154"/>
      <c r="J83" s="155" t="str">
        <f t="shared" si="1"/>
        <v/>
      </c>
      <c r="K83" s="153"/>
      <c r="L83" s="156"/>
    </row>
    <row r="84" spans="2:12" ht="15" customHeight="1" x14ac:dyDescent="0.35">
      <c r="B84" s="152" t="str">
        <f>IF(Lançamentos!$B79="","",Lançamentos!$B79)</f>
        <v/>
      </c>
      <c r="C84" s="153" t="str">
        <f>IF($B84="","",IFERROR(INDEX(Lançamentos!$J$3:$J$1001,MATCH($B84,Lançamentos!$B$3:$B$1001,0)),""))</f>
        <v/>
      </c>
      <c r="D84" s="417" t="str">
        <f>IF($B84="","",IFERROR(INDEX('E2 — Triagem'!$D$8:$D$507,MATCH($B84,'E2 — Triagem'!$B$8:$B$507,0)),""))</f>
        <v/>
      </c>
      <c r="E84" s="154"/>
      <c r="F84" s="154"/>
      <c r="G84" s="154"/>
      <c r="H84" s="154"/>
      <c r="I84" s="154"/>
      <c r="J84" s="155" t="str">
        <f t="shared" si="1"/>
        <v/>
      </c>
      <c r="K84" s="153"/>
      <c r="L84" s="156"/>
    </row>
    <row r="85" spans="2:12" ht="15" customHeight="1" x14ac:dyDescent="0.35">
      <c r="B85" s="152" t="str">
        <f>IF(Lançamentos!$B80="","",Lançamentos!$B80)</f>
        <v/>
      </c>
      <c r="C85" s="153" t="str">
        <f>IF($B85="","",IFERROR(INDEX(Lançamentos!$J$3:$J$1001,MATCH($B85,Lançamentos!$B$3:$B$1001,0)),""))</f>
        <v/>
      </c>
      <c r="D85" s="417" t="str">
        <f>IF($B85="","",IFERROR(INDEX('E2 — Triagem'!$D$8:$D$507,MATCH($B85,'E2 — Triagem'!$B$8:$B$507,0)),""))</f>
        <v/>
      </c>
      <c r="E85" s="154"/>
      <c r="F85" s="154"/>
      <c r="G85" s="154"/>
      <c r="H85" s="154"/>
      <c r="I85" s="154"/>
      <c r="J85" s="155" t="str">
        <f t="shared" si="1"/>
        <v/>
      </c>
      <c r="K85" s="153"/>
      <c r="L85" s="156"/>
    </row>
    <row r="86" spans="2:12" ht="15" customHeight="1" x14ac:dyDescent="0.35">
      <c r="B86" s="152" t="str">
        <f>IF(Lançamentos!$B81="","",Lançamentos!$B81)</f>
        <v/>
      </c>
      <c r="C86" s="153" t="str">
        <f>IF($B86="","",IFERROR(INDEX(Lançamentos!$J$3:$J$1001,MATCH($B86,Lançamentos!$B$3:$B$1001,0)),""))</f>
        <v/>
      </c>
      <c r="D86" s="417" t="str">
        <f>IF($B86="","",IFERROR(INDEX('E2 — Triagem'!$D$8:$D$507,MATCH($B86,'E2 — Triagem'!$B$8:$B$507,0)),""))</f>
        <v/>
      </c>
      <c r="E86" s="154"/>
      <c r="F86" s="154"/>
      <c r="G86" s="154"/>
      <c r="H86" s="154"/>
      <c r="I86" s="154"/>
      <c r="J86" s="155" t="str">
        <f t="shared" si="1"/>
        <v/>
      </c>
      <c r="K86" s="153"/>
      <c r="L86" s="156"/>
    </row>
    <row r="87" spans="2:12" ht="15" customHeight="1" x14ac:dyDescent="0.35">
      <c r="B87" s="152" t="str">
        <f>IF(Lançamentos!$B82="","",Lançamentos!$B82)</f>
        <v/>
      </c>
      <c r="C87" s="153" t="str">
        <f>IF($B87="","",IFERROR(INDEX(Lançamentos!$J$3:$J$1001,MATCH($B87,Lançamentos!$B$3:$B$1001,0)),""))</f>
        <v/>
      </c>
      <c r="D87" s="417" t="str">
        <f>IF($B87="","",IFERROR(INDEX('E2 — Triagem'!$D$8:$D$507,MATCH($B87,'E2 — Triagem'!$B$8:$B$507,0)),""))</f>
        <v/>
      </c>
      <c r="E87" s="154"/>
      <c r="F87" s="154"/>
      <c r="G87" s="154"/>
      <c r="H87" s="154"/>
      <c r="I87" s="154"/>
      <c r="J87" s="155" t="str">
        <f t="shared" si="1"/>
        <v/>
      </c>
      <c r="K87" s="153"/>
      <c r="L87" s="156"/>
    </row>
    <row r="88" spans="2:12" ht="15" customHeight="1" x14ac:dyDescent="0.35">
      <c r="B88" s="152" t="str">
        <f>IF(Lançamentos!$B83="","",Lançamentos!$B83)</f>
        <v/>
      </c>
      <c r="C88" s="153" t="str">
        <f>IF($B88="","",IFERROR(INDEX(Lançamentos!$J$3:$J$1001,MATCH($B88,Lançamentos!$B$3:$B$1001,0)),""))</f>
        <v/>
      </c>
      <c r="D88" s="417" t="str">
        <f>IF($B88="","",IFERROR(INDEX('E2 — Triagem'!$D$8:$D$507,MATCH($B88,'E2 — Triagem'!$B$8:$B$507,0)),""))</f>
        <v/>
      </c>
      <c r="E88" s="154"/>
      <c r="F88" s="154"/>
      <c r="G88" s="154"/>
      <c r="H88" s="154"/>
      <c r="I88" s="154"/>
      <c r="J88" s="155" t="str">
        <f t="shared" si="1"/>
        <v/>
      </c>
      <c r="K88" s="153"/>
      <c r="L88" s="156"/>
    </row>
    <row r="89" spans="2:12" ht="15" customHeight="1" x14ac:dyDescent="0.35">
      <c r="B89" s="152" t="str">
        <f>IF(Lançamentos!$B84="","",Lançamentos!$B84)</f>
        <v/>
      </c>
      <c r="C89" s="153" t="str">
        <f>IF($B89="","",IFERROR(INDEX(Lançamentos!$J$3:$J$1001,MATCH($B89,Lançamentos!$B$3:$B$1001,0)),""))</f>
        <v/>
      </c>
      <c r="D89" s="417" t="str">
        <f>IF($B89="","",IFERROR(INDEX('E2 — Triagem'!$D$8:$D$507,MATCH($B89,'E2 — Triagem'!$B$8:$B$507,0)),""))</f>
        <v/>
      </c>
      <c r="E89" s="154"/>
      <c r="F89" s="154"/>
      <c r="G89" s="154"/>
      <c r="H89" s="154"/>
      <c r="I89" s="154"/>
      <c r="J89" s="155" t="str">
        <f t="shared" si="1"/>
        <v/>
      </c>
      <c r="K89" s="153"/>
      <c r="L89" s="156"/>
    </row>
    <row r="90" spans="2:12" ht="15" customHeight="1" x14ac:dyDescent="0.35">
      <c r="B90" s="152" t="str">
        <f>IF(Lançamentos!$B85="","",Lançamentos!$B85)</f>
        <v/>
      </c>
      <c r="C90" s="153" t="str">
        <f>IF($B90="","",IFERROR(INDEX(Lançamentos!$J$3:$J$1001,MATCH($B90,Lançamentos!$B$3:$B$1001,0)),""))</f>
        <v/>
      </c>
      <c r="D90" s="417" t="str">
        <f>IF($B90="","",IFERROR(INDEX('E2 — Triagem'!$D$8:$D$507,MATCH($B90,'E2 — Triagem'!$B$8:$B$507,0)),""))</f>
        <v/>
      </c>
      <c r="E90" s="154"/>
      <c r="F90" s="154"/>
      <c r="G90" s="154"/>
      <c r="H90" s="154"/>
      <c r="I90" s="154"/>
      <c r="J90" s="155" t="str">
        <f t="shared" si="1"/>
        <v/>
      </c>
      <c r="K90" s="153"/>
      <c r="L90" s="156"/>
    </row>
    <row r="91" spans="2:12" ht="15" customHeight="1" x14ac:dyDescent="0.35">
      <c r="B91" s="152" t="str">
        <f>IF(Lançamentos!$B86="","",Lançamentos!$B86)</f>
        <v/>
      </c>
      <c r="C91" s="153" t="str">
        <f>IF($B91="","",IFERROR(INDEX(Lançamentos!$J$3:$J$1001,MATCH($B91,Lançamentos!$B$3:$B$1001,0)),""))</f>
        <v/>
      </c>
      <c r="D91" s="417" t="str">
        <f>IF($B91="","",IFERROR(INDEX('E2 — Triagem'!$D$8:$D$507,MATCH($B91,'E2 — Triagem'!$B$8:$B$507,0)),""))</f>
        <v/>
      </c>
      <c r="E91" s="154"/>
      <c r="F91" s="154"/>
      <c r="G91" s="154"/>
      <c r="H91" s="154"/>
      <c r="I91" s="154"/>
      <c r="J91" s="155" t="str">
        <f t="shared" si="1"/>
        <v/>
      </c>
      <c r="K91" s="153"/>
      <c r="L91" s="156"/>
    </row>
    <row r="92" spans="2:12" ht="15" customHeight="1" x14ac:dyDescent="0.35">
      <c r="B92" s="152" t="str">
        <f>IF(Lançamentos!$B87="","",Lançamentos!$B87)</f>
        <v/>
      </c>
      <c r="C92" s="153" t="str">
        <f>IF($B92="","",IFERROR(INDEX(Lançamentos!$J$3:$J$1001,MATCH($B92,Lançamentos!$B$3:$B$1001,0)),""))</f>
        <v/>
      </c>
      <c r="D92" s="417" t="str">
        <f>IF($B92="","",IFERROR(INDEX('E2 — Triagem'!$D$8:$D$507,MATCH($B92,'E2 — Triagem'!$B$8:$B$507,0)),""))</f>
        <v/>
      </c>
      <c r="E92" s="154"/>
      <c r="F92" s="154"/>
      <c r="G92" s="154"/>
      <c r="H92" s="154"/>
      <c r="I92" s="154"/>
      <c r="J92" s="155" t="str">
        <f t="shared" si="1"/>
        <v/>
      </c>
      <c r="K92" s="153"/>
      <c r="L92" s="156"/>
    </row>
    <row r="93" spans="2:12" ht="15" customHeight="1" x14ac:dyDescent="0.35">
      <c r="B93" s="152" t="str">
        <f>IF(Lançamentos!$B88="","",Lançamentos!$B88)</f>
        <v/>
      </c>
      <c r="C93" s="153" t="str">
        <f>IF($B93="","",IFERROR(INDEX(Lançamentos!$J$3:$J$1001,MATCH($B93,Lançamentos!$B$3:$B$1001,0)),""))</f>
        <v/>
      </c>
      <c r="D93" s="417" t="str">
        <f>IF($B93="","",IFERROR(INDEX('E2 — Triagem'!$D$8:$D$507,MATCH($B93,'E2 — Triagem'!$B$8:$B$507,0)),""))</f>
        <v/>
      </c>
      <c r="E93" s="154"/>
      <c r="F93" s="154"/>
      <c r="G93" s="154"/>
      <c r="H93" s="154"/>
      <c r="I93" s="154"/>
      <c r="J93" s="155" t="str">
        <f t="shared" si="1"/>
        <v/>
      </c>
      <c r="K93" s="153"/>
      <c r="L93" s="156"/>
    </row>
    <row r="94" spans="2:12" ht="15" customHeight="1" x14ac:dyDescent="0.35">
      <c r="B94" s="152" t="str">
        <f>IF(Lançamentos!$B89="","",Lançamentos!$B89)</f>
        <v/>
      </c>
      <c r="C94" s="153" t="str">
        <f>IF($B94="","",IFERROR(INDEX(Lançamentos!$J$3:$J$1001,MATCH($B94,Lançamentos!$B$3:$B$1001,0)),""))</f>
        <v/>
      </c>
      <c r="D94" s="417" t="str">
        <f>IF($B94="","",IFERROR(INDEX('E2 — Triagem'!$D$8:$D$507,MATCH($B94,'E2 — Triagem'!$B$8:$B$507,0)),""))</f>
        <v/>
      </c>
      <c r="E94" s="154"/>
      <c r="F94" s="154"/>
      <c r="G94" s="154"/>
      <c r="H94" s="154"/>
      <c r="I94" s="154"/>
      <c r="J94" s="155" t="str">
        <f t="shared" si="1"/>
        <v/>
      </c>
      <c r="K94" s="153"/>
      <c r="L94" s="156"/>
    </row>
    <row r="95" spans="2:12" ht="15" customHeight="1" x14ac:dyDescent="0.35">
      <c r="B95" s="152" t="str">
        <f>IF(Lançamentos!$B90="","",Lançamentos!$B90)</f>
        <v/>
      </c>
      <c r="C95" s="153" t="str">
        <f>IF($B95="","",IFERROR(INDEX(Lançamentos!$J$3:$J$1001,MATCH($B95,Lançamentos!$B$3:$B$1001,0)),""))</f>
        <v/>
      </c>
      <c r="D95" s="417" t="str">
        <f>IF($B95="","",IFERROR(INDEX('E2 — Triagem'!$D$8:$D$507,MATCH($B95,'E2 — Triagem'!$B$8:$B$507,0)),""))</f>
        <v/>
      </c>
      <c r="E95" s="154"/>
      <c r="F95" s="154"/>
      <c r="G95" s="154"/>
      <c r="H95" s="154"/>
      <c r="I95" s="154"/>
      <c r="J95" s="155" t="str">
        <f t="shared" si="1"/>
        <v/>
      </c>
      <c r="K95" s="153"/>
      <c r="L95" s="156"/>
    </row>
    <row r="96" spans="2:12" ht="15" customHeight="1" x14ac:dyDescent="0.35">
      <c r="B96" s="152" t="str">
        <f>IF(Lançamentos!$B91="","",Lançamentos!$B91)</f>
        <v/>
      </c>
      <c r="C96" s="153" t="str">
        <f>IF($B96="","",IFERROR(INDEX(Lançamentos!$J$3:$J$1001,MATCH($B96,Lançamentos!$B$3:$B$1001,0)),""))</f>
        <v/>
      </c>
      <c r="D96" s="417" t="str">
        <f>IF($B96="","",IFERROR(INDEX('E2 — Triagem'!$D$8:$D$507,MATCH($B96,'E2 — Triagem'!$B$8:$B$507,0)),""))</f>
        <v/>
      </c>
      <c r="E96" s="154"/>
      <c r="F96" s="154"/>
      <c r="G96" s="154"/>
      <c r="H96" s="154"/>
      <c r="I96" s="154"/>
      <c r="J96" s="155" t="str">
        <f t="shared" si="1"/>
        <v/>
      </c>
      <c r="K96" s="153"/>
      <c r="L96" s="156"/>
    </row>
    <row r="97" spans="2:12" ht="15" customHeight="1" x14ac:dyDescent="0.35">
      <c r="B97" s="152" t="str">
        <f>IF(Lançamentos!$B92="","",Lançamentos!$B92)</f>
        <v/>
      </c>
      <c r="C97" s="153" t="str">
        <f>IF($B97="","",IFERROR(INDEX(Lançamentos!$J$3:$J$1001,MATCH($B97,Lançamentos!$B$3:$B$1001,0)),""))</f>
        <v/>
      </c>
      <c r="D97" s="417" t="str">
        <f>IF($B97="","",IFERROR(INDEX('E2 — Triagem'!$D$8:$D$507,MATCH($B97,'E2 — Triagem'!$B$8:$B$507,0)),""))</f>
        <v/>
      </c>
      <c r="E97" s="154"/>
      <c r="F97" s="154"/>
      <c r="G97" s="154"/>
      <c r="H97" s="154"/>
      <c r="I97" s="154"/>
      <c r="J97" s="155" t="str">
        <f t="shared" si="1"/>
        <v/>
      </c>
      <c r="K97" s="153"/>
      <c r="L97" s="156"/>
    </row>
    <row r="98" spans="2:12" ht="15" customHeight="1" x14ac:dyDescent="0.35">
      <c r="B98" s="152" t="str">
        <f>IF(Lançamentos!$B93="","",Lançamentos!$B93)</f>
        <v/>
      </c>
      <c r="C98" s="153" t="str">
        <f>IF($B98="","",IFERROR(INDEX(Lançamentos!$J$3:$J$1001,MATCH($B98,Lançamentos!$B$3:$B$1001,0)),""))</f>
        <v/>
      </c>
      <c r="D98" s="417" t="str">
        <f>IF($B98="","",IFERROR(INDEX('E2 — Triagem'!$D$8:$D$507,MATCH($B98,'E2 — Triagem'!$B$8:$B$507,0)),""))</f>
        <v/>
      </c>
      <c r="E98" s="154"/>
      <c r="F98" s="154"/>
      <c r="G98" s="154"/>
      <c r="H98" s="154"/>
      <c r="I98" s="154"/>
      <c r="J98" s="155" t="str">
        <f t="shared" si="1"/>
        <v/>
      </c>
      <c r="K98" s="153"/>
      <c r="L98" s="156"/>
    </row>
    <row r="99" spans="2:12" ht="15" customHeight="1" x14ac:dyDescent="0.35">
      <c r="B99" s="152" t="str">
        <f>IF(Lançamentos!$B94="","",Lançamentos!$B94)</f>
        <v/>
      </c>
      <c r="C99" s="153" t="str">
        <f>IF($B99="","",IFERROR(INDEX(Lançamentos!$J$3:$J$1001,MATCH($B99,Lançamentos!$B$3:$B$1001,0)),""))</f>
        <v/>
      </c>
      <c r="D99" s="417" t="str">
        <f>IF($B99="","",IFERROR(INDEX('E2 — Triagem'!$D$8:$D$507,MATCH($B99,'E2 — Triagem'!$B$8:$B$507,0)),""))</f>
        <v/>
      </c>
      <c r="E99" s="154"/>
      <c r="F99" s="154"/>
      <c r="G99" s="154"/>
      <c r="H99" s="154"/>
      <c r="I99" s="154"/>
      <c r="J99" s="155" t="str">
        <f t="shared" si="1"/>
        <v/>
      </c>
      <c r="K99" s="153"/>
      <c r="L99" s="156"/>
    </row>
    <row r="100" spans="2:12" ht="15" customHeight="1" x14ac:dyDescent="0.35">
      <c r="B100" s="152" t="str">
        <f>IF(Lançamentos!$B95="","",Lançamentos!$B95)</f>
        <v/>
      </c>
      <c r="C100" s="153" t="str">
        <f>IF($B100="","",IFERROR(INDEX(Lançamentos!$J$3:$J$1001,MATCH($B100,Lançamentos!$B$3:$B$1001,0)),""))</f>
        <v/>
      </c>
      <c r="D100" s="417" t="str">
        <f>IF($B100="","",IFERROR(INDEX('E2 — Triagem'!$D$8:$D$507,MATCH($B100,'E2 — Triagem'!$B$8:$B$507,0)),""))</f>
        <v/>
      </c>
      <c r="E100" s="154"/>
      <c r="F100" s="154"/>
      <c r="G100" s="154"/>
      <c r="H100" s="154"/>
      <c r="I100" s="154"/>
      <c r="J100" s="155" t="str">
        <f t="shared" si="1"/>
        <v/>
      </c>
      <c r="K100" s="153"/>
      <c r="L100" s="156"/>
    </row>
    <row r="101" spans="2:12" ht="15" customHeight="1" x14ac:dyDescent="0.35">
      <c r="B101" s="152" t="str">
        <f>IF(Lançamentos!$B96="","",Lançamentos!$B96)</f>
        <v/>
      </c>
      <c r="C101" s="153" t="str">
        <f>IF($B101="","",IFERROR(INDEX(Lançamentos!$J$3:$J$1001,MATCH($B101,Lançamentos!$B$3:$B$1001,0)),""))</f>
        <v/>
      </c>
      <c r="D101" s="417" t="str">
        <f>IF($B101="","",IFERROR(INDEX('E2 — Triagem'!$D$8:$D$507,MATCH($B101,'E2 — Triagem'!$B$8:$B$507,0)),""))</f>
        <v/>
      </c>
      <c r="E101" s="154"/>
      <c r="F101" s="154"/>
      <c r="G101" s="154"/>
      <c r="H101" s="154"/>
      <c r="I101" s="154"/>
      <c r="J101" s="155" t="str">
        <f t="shared" si="1"/>
        <v/>
      </c>
      <c r="K101" s="153"/>
      <c r="L101" s="156"/>
    </row>
    <row r="102" spans="2:12" ht="15" customHeight="1" x14ac:dyDescent="0.35">
      <c r="B102" s="152" t="str">
        <f>IF(Lançamentos!$B97="","",Lançamentos!$B97)</f>
        <v/>
      </c>
      <c r="C102" s="153" t="str">
        <f>IF($B102="","",IFERROR(INDEX(Lançamentos!$J$3:$J$1001,MATCH($B102,Lançamentos!$B$3:$B$1001,0)),""))</f>
        <v/>
      </c>
      <c r="D102" s="417" t="str">
        <f>IF($B102="","",IFERROR(INDEX('E2 — Triagem'!$D$8:$D$507,MATCH($B102,'E2 — Triagem'!$B$8:$B$507,0)),""))</f>
        <v/>
      </c>
      <c r="E102" s="154"/>
      <c r="F102" s="154"/>
      <c r="G102" s="154"/>
      <c r="H102" s="154"/>
      <c r="I102" s="154"/>
      <c r="J102" s="155" t="str">
        <f t="shared" si="1"/>
        <v/>
      </c>
      <c r="K102" s="153"/>
      <c r="L102" s="156"/>
    </row>
    <row r="103" spans="2:12" ht="15" customHeight="1" x14ac:dyDescent="0.35">
      <c r="B103" s="152" t="str">
        <f>IF(Lançamentos!$B98="","",Lançamentos!$B98)</f>
        <v/>
      </c>
      <c r="C103" s="153" t="str">
        <f>IF($B103="","",IFERROR(INDEX(Lançamentos!$J$3:$J$1001,MATCH($B103,Lançamentos!$B$3:$B$1001,0)),""))</f>
        <v/>
      </c>
      <c r="D103" s="417" t="str">
        <f>IF($B103="","",IFERROR(INDEX('E2 — Triagem'!$D$8:$D$507,MATCH($B103,'E2 — Triagem'!$B$8:$B$507,0)),""))</f>
        <v/>
      </c>
      <c r="E103" s="154"/>
      <c r="F103" s="154"/>
      <c r="G103" s="154"/>
      <c r="H103" s="154"/>
      <c r="I103" s="154"/>
      <c r="J103" s="155" t="str">
        <f t="shared" si="1"/>
        <v/>
      </c>
      <c r="K103" s="153"/>
      <c r="L103" s="156"/>
    </row>
    <row r="104" spans="2:12" ht="15" customHeight="1" x14ac:dyDescent="0.35">
      <c r="B104" s="152" t="str">
        <f>IF(Lançamentos!$B99="","",Lançamentos!$B99)</f>
        <v/>
      </c>
      <c r="C104" s="153" t="str">
        <f>IF($B104="","",IFERROR(INDEX(Lançamentos!$J$3:$J$1001,MATCH($B104,Lançamentos!$B$3:$B$1001,0)),""))</f>
        <v/>
      </c>
      <c r="D104" s="417" t="str">
        <f>IF($B104="","",IFERROR(INDEX('E2 — Triagem'!$D$8:$D$507,MATCH($B104,'E2 — Triagem'!$B$8:$B$507,0)),""))</f>
        <v/>
      </c>
      <c r="E104" s="154"/>
      <c r="F104" s="154"/>
      <c r="G104" s="154"/>
      <c r="H104" s="154"/>
      <c r="I104" s="154"/>
      <c r="J104" s="155" t="str">
        <f t="shared" si="1"/>
        <v/>
      </c>
      <c r="K104" s="153"/>
      <c r="L104" s="156"/>
    </row>
    <row r="105" spans="2:12" ht="15" customHeight="1" x14ac:dyDescent="0.35">
      <c r="B105" s="152" t="str">
        <f>IF(Lançamentos!$B100="","",Lançamentos!$B100)</f>
        <v/>
      </c>
      <c r="C105" s="153" t="str">
        <f>IF($B105="","",IFERROR(INDEX(Lançamentos!$J$3:$J$1001,MATCH($B105,Lançamentos!$B$3:$B$1001,0)),""))</f>
        <v/>
      </c>
      <c r="D105" s="417" t="str">
        <f>IF($B105="","",IFERROR(INDEX('E2 — Triagem'!$D$8:$D$507,MATCH($B105,'E2 — Triagem'!$B$8:$B$507,0)),""))</f>
        <v/>
      </c>
      <c r="E105" s="154"/>
      <c r="F105" s="154"/>
      <c r="G105" s="154"/>
      <c r="H105" s="154"/>
      <c r="I105" s="154"/>
      <c r="J105" s="155" t="str">
        <f t="shared" si="1"/>
        <v/>
      </c>
      <c r="K105" s="153"/>
      <c r="L105" s="156"/>
    </row>
    <row r="106" spans="2:12" ht="15" customHeight="1" x14ac:dyDescent="0.35">
      <c r="B106" s="152" t="str">
        <f>IF(Lançamentos!$B101="","",Lançamentos!$B101)</f>
        <v/>
      </c>
      <c r="C106" s="153" t="str">
        <f>IF($B106="","",IFERROR(INDEX(Lançamentos!$J$3:$J$1001,MATCH($B106,Lançamentos!$B$3:$B$1001,0)),""))</f>
        <v/>
      </c>
      <c r="D106" s="417" t="str">
        <f>IF($B106="","",IFERROR(INDEX('E2 — Triagem'!$D$8:$D$507,MATCH($B106,'E2 — Triagem'!$B$8:$B$507,0)),""))</f>
        <v/>
      </c>
      <c r="E106" s="154"/>
      <c r="F106" s="154"/>
      <c r="G106" s="154"/>
      <c r="H106" s="154"/>
      <c r="I106" s="154"/>
      <c r="J106" s="155" t="str">
        <f t="shared" si="1"/>
        <v/>
      </c>
      <c r="K106" s="153"/>
      <c r="L106" s="156"/>
    </row>
    <row r="107" spans="2:12" ht="15" customHeight="1" x14ac:dyDescent="0.35">
      <c r="B107" s="152" t="str">
        <f>IF(Lançamentos!$B102="","",Lançamentos!$B102)</f>
        <v/>
      </c>
      <c r="C107" s="153" t="str">
        <f>IF($B107="","",IFERROR(INDEX(Lançamentos!$J$3:$J$1001,MATCH($B107,Lançamentos!$B$3:$B$1001,0)),""))</f>
        <v/>
      </c>
      <c r="D107" s="417" t="str">
        <f>IF($B107="","",IFERROR(INDEX('E2 — Triagem'!$D$8:$D$507,MATCH($B107,'E2 — Triagem'!$B$8:$B$507,0)),""))</f>
        <v/>
      </c>
      <c r="E107" s="154"/>
      <c r="F107" s="154"/>
      <c r="G107" s="154"/>
      <c r="H107" s="154"/>
      <c r="I107" s="154"/>
      <c r="J107" s="155" t="str">
        <f t="shared" si="1"/>
        <v/>
      </c>
      <c r="K107" s="153"/>
      <c r="L107" s="156"/>
    </row>
    <row r="108" spans="2:12" ht="15" customHeight="1" x14ac:dyDescent="0.35">
      <c r="B108" s="152" t="str">
        <f>IF(Lançamentos!$B103="","",Lançamentos!$B103)</f>
        <v/>
      </c>
      <c r="C108" s="153" t="str">
        <f>IF($B108="","",IFERROR(INDEX(Lançamentos!$J$3:$J$1001,MATCH($B108,Lançamentos!$B$3:$B$1001,0)),""))</f>
        <v/>
      </c>
      <c r="D108" s="417" t="str">
        <f>IF($B108="","",IFERROR(INDEX('E2 — Triagem'!$D$8:$D$507,MATCH($B108,'E2 — Triagem'!$B$8:$B$507,0)),""))</f>
        <v/>
      </c>
      <c r="E108" s="154"/>
      <c r="F108" s="154"/>
      <c r="G108" s="154"/>
      <c r="H108" s="154"/>
      <c r="I108" s="154"/>
      <c r="J108" s="155" t="str">
        <f t="shared" si="1"/>
        <v/>
      </c>
      <c r="K108" s="153"/>
      <c r="L108" s="156"/>
    </row>
    <row r="109" spans="2:12" ht="15" customHeight="1" x14ac:dyDescent="0.35">
      <c r="B109" s="152" t="str">
        <f>IF(Lançamentos!$B104="","",Lançamentos!$B104)</f>
        <v/>
      </c>
      <c r="C109" s="153" t="str">
        <f>IF($B109="","",IFERROR(INDEX(Lançamentos!$J$3:$J$1001,MATCH($B109,Lançamentos!$B$3:$B$1001,0)),""))</f>
        <v/>
      </c>
      <c r="D109" s="417" t="str">
        <f>IF($B109="","",IFERROR(INDEX('E2 — Triagem'!$D$8:$D$507,MATCH($B109,'E2 — Triagem'!$B$8:$B$507,0)),""))</f>
        <v/>
      </c>
      <c r="E109" s="154"/>
      <c r="F109" s="154"/>
      <c r="G109" s="154"/>
      <c r="H109" s="154"/>
      <c r="I109" s="154"/>
      <c r="J109" s="155" t="str">
        <f t="shared" si="1"/>
        <v/>
      </c>
      <c r="K109" s="153"/>
      <c r="L109" s="156"/>
    </row>
    <row r="110" spans="2:12" ht="15" customHeight="1" x14ac:dyDescent="0.35">
      <c r="B110" s="152" t="str">
        <f>IF(Lançamentos!$B105="","",Lançamentos!$B105)</f>
        <v/>
      </c>
      <c r="C110" s="153" t="str">
        <f>IF($B110="","",IFERROR(INDEX(Lançamentos!$J$3:$J$1001,MATCH($B110,Lançamentos!$B$3:$B$1001,0)),""))</f>
        <v/>
      </c>
      <c r="D110" s="417" t="str">
        <f>IF($B110="","",IFERROR(INDEX('E2 — Triagem'!$D$8:$D$507,MATCH($B110,'E2 — Triagem'!$B$8:$B$507,0)),""))</f>
        <v/>
      </c>
      <c r="E110" s="154"/>
      <c r="F110" s="154"/>
      <c r="G110" s="154"/>
      <c r="H110" s="154"/>
      <c r="I110" s="154"/>
      <c r="J110" s="155" t="str">
        <f t="shared" si="1"/>
        <v/>
      </c>
      <c r="K110" s="153"/>
      <c r="L110" s="156"/>
    </row>
    <row r="111" spans="2:12" ht="15" customHeight="1" x14ac:dyDescent="0.35">
      <c r="B111" s="152" t="str">
        <f>IF(Lançamentos!$B106="","",Lançamentos!$B106)</f>
        <v/>
      </c>
      <c r="C111" s="153" t="str">
        <f>IF($B111="","",IFERROR(INDEX(Lançamentos!$J$3:$J$1001,MATCH($B111,Lançamentos!$B$3:$B$1001,0)),""))</f>
        <v/>
      </c>
      <c r="D111" s="417" t="str">
        <f>IF($B111="","",IFERROR(INDEX('E2 — Triagem'!$D$8:$D$507,MATCH($B111,'E2 — Triagem'!$B$8:$B$507,0)),""))</f>
        <v/>
      </c>
      <c r="E111" s="154"/>
      <c r="F111" s="154"/>
      <c r="G111" s="154"/>
      <c r="H111" s="154"/>
      <c r="I111" s="154"/>
      <c r="J111" s="155" t="str">
        <f t="shared" si="1"/>
        <v/>
      </c>
      <c r="K111" s="153"/>
      <c r="L111" s="156"/>
    </row>
    <row r="112" spans="2:12" ht="15" customHeight="1" x14ac:dyDescent="0.35">
      <c r="B112" s="152" t="str">
        <f>IF(Lançamentos!$B107="","",Lançamentos!$B107)</f>
        <v/>
      </c>
      <c r="C112" s="153" t="str">
        <f>IF($B112="","",IFERROR(INDEX(Lançamentos!$J$3:$J$1001,MATCH($B112,Lançamentos!$B$3:$B$1001,0)),""))</f>
        <v/>
      </c>
      <c r="D112" s="417" t="str">
        <f>IF($B112="","",IFERROR(INDEX('E2 — Triagem'!$D$8:$D$507,MATCH($B112,'E2 — Triagem'!$B$8:$B$507,0)),""))</f>
        <v/>
      </c>
      <c r="E112" s="154"/>
      <c r="F112" s="154"/>
      <c r="G112" s="154"/>
      <c r="H112" s="154"/>
      <c r="I112" s="154"/>
      <c r="J112" s="155" t="str">
        <f t="shared" si="1"/>
        <v/>
      </c>
      <c r="K112" s="153"/>
      <c r="L112" s="156"/>
    </row>
    <row r="113" spans="2:12" ht="15" customHeight="1" x14ac:dyDescent="0.35">
      <c r="B113" s="152" t="str">
        <f>IF(Lançamentos!$B108="","",Lançamentos!$B108)</f>
        <v/>
      </c>
      <c r="C113" s="153" t="str">
        <f>IF($B113="","",IFERROR(INDEX(Lançamentos!$J$3:$J$1001,MATCH($B113,Lançamentos!$B$3:$B$1001,0)),""))</f>
        <v/>
      </c>
      <c r="D113" s="417" t="str">
        <f>IF($B113="","",IFERROR(INDEX('E2 — Triagem'!$D$8:$D$507,MATCH($B113,'E2 — Triagem'!$B$8:$B$507,0)),""))</f>
        <v/>
      </c>
      <c r="E113" s="154"/>
      <c r="F113" s="154"/>
      <c r="G113" s="154"/>
      <c r="H113" s="154"/>
      <c r="I113" s="154"/>
      <c r="J113" s="155" t="str">
        <f t="shared" si="1"/>
        <v/>
      </c>
      <c r="K113" s="153"/>
      <c r="L113" s="156"/>
    </row>
    <row r="114" spans="2:12" ht="15" customHeight="1" x14ac:dyDescent="0.35">
      <c r="B114" s="152" t="str">
        <f>IF(Lançamentos!$B109="","",Lançamentos!$B109)</f>
        <v/>
      </c>
      <c r="C114" s="153" t="str">
        <f>IF($B114="","",IFERROR(INDEX(Lançamentos!$J$3:$J$1001,MATCH($B114,Lançamentos!$B$3:$B$1001,0)),""))</f>
        <v/>
      </c>
      <c r="D114" s="417" t="str">
        <f>IF($B114="","",IFERROR(INDEX('E2 — Triagem'!$D$8:$D$507,MATCH($B114,'E2 — Triagem'!$B$8:$B$507,0)),""))</f>
        <v/>
      </c>
      <c r="E114" s="154"/>
      <c r="F114" s="154"/>
      <c r="G114" s="154"/>
      <c r="H114" s="154"/>
      <c r="I114" s="154"/>
      <c r="J114" s="155" t="str">
        <f t="shared" si="1"/>
        <v/>
      </c>
      <c r="K114" s="153"/>
      <c r="L114" s="156"/>
    </row>
    <row r="115" spans="2:12" ht="15" customHeight="1" x14ac:dyDescent="0.35">
      <c r="B115" s="152" t="str">
        <f>IF(Lançamentos!$B110="","",Lançamentos!$B110)</f>
        <v/>
      </c>
      <c r="C115" s="153" t="str">
        <f>IF($B115="","",IFERROR(INDEX(Lançamentos!$J$3:$J$1001,MATCH($B115,Lançamentos!$B$3:$B$1001,0)),""))</f>
        <v/>
      </c>
      <c r="D115" s="417" t="str">
        <f>IF($B115="","",IFERROR(INDEX('E2 — Triagem'!$D$8:$D$507,MATCH($B115,'E2 — Triagem'!$B$8:$B$507,0)),""))</f>
        <v/>
      </c>
      <c r="E115" s="154"/>
      <c r="F115" s="154"/>
      <c r="G115" s="154"/>
      <c r="H115" s="154"/>
      <c r="I115" s="154"/>
      <c r="J115" s="155" t="str">
        <f t="shared" si="1"/>
        <v/>
      </c>
      <c r="K115" s="153"/>
      <c r="L115" s="156"/>
    </row>
    <row r="116" spans="2:12" ht="15" customHeight="1" x14ac:dyDescent="0.35">
      <c r="B116" s="152" t="str">
        <f>IF(Lançamentos!$B111="","",Lançamentos!$B111)</f>
        <v/>
      </c>
      <c r="C116" s="153" t="str">
        <f>IF($B116="","",IFERROR(INDEX(Lançamentos!$J$3:$J$1001,MATCH($B116,Lançamentos!$B$3:$B$1001,0)),""))</f>
        <v/>
      </c>
      <c r="D116" s="417" t="str">
        <f>IF($B116="","",IFERROR(INDEX('E2 — Triagem'!$D$8:$D$507,MATCH($B116,'E2 — Triagem'!$B$8:$B$507,0)),""))</f>
        <v/>
      </c>
      <c r="E116" s="154"/>
      <c r="F116" s="154"/>
      <c r="G116" s="154"/>
      <c r="H116" s="154"/>
      <c r="I116" s="154"/>
      <c r="J116" s="155" t="str">
        <f t="shared" si="1"/>
        <v/>
      </c>
      <c r="K116" s="153"/>
      <c r="L116" s="156"/>
    </row>
    <row r="117" spans="2:12" ht="15" customHeight="1" x14ac:dyDescent="0.35">
      <c r="B117" s="152" t="str">
        <f>IF(Lançamentos!$B112="","",Lançamentos!$B112)</f>
        <v/>
      </c>
      <c r="C117" s="153" t="str">
        <f>IF($B117="","",IFERROR(INDEX(Lançamentos!$J$3:$J$1001,MATCH($B117,Lançamentos!$B$3:$B$1001,0)),""))</f>
        <v/>
      </c>
      <c r="D117" s="417" t="str">
        <f>IF($B117="","",IFERROR(INDEX('E2 — Triagem'!$D$8:$D$507,MATCH($B117,'E2 — Triagem'!$B$8:$B$507,0)),""))</f>
        <v/>
      </c>
      <c r="E117" s="154"/>
      <c r="F117" s="154"/>
      <c r="G117" s="154"/>
      <c r="H117" s="154"/>
      <c r="I117" s="154"/>
      <c r="J117" s="155" t="str">
        <f t="shared" si="1"/>
        <v/>
      </c>
      <c r="K117" s="153"/>
      <c r="L117" s="156"/>
    </row>
    <row r="118" spans="2:12" ht="15" customHeight="1" x14ac:dyDescent="0.35">
      <c r="B118" s="152" t="str">
        <f>IF(Lançamentos!$B113="","",Lançamentos!$B113)</f>
        <v/>
      </c>
      <c r="C118" s="153" t="str">
        <f>IF($B118="","",IFERROR(INDEX(Lançamentos!$J$3:$J$1001,MATCH($B118,Lançamentos!$B$3:$B$1001,0)),""))</f>
        <v/>
      </c>
      <c r="D118" s="417" t="str">
        <f>IF($B118="","",IFERROR(INDEX('E2 — Triagem'!$D$8:$D$507,MATCH($B118,'E2 — Triagem'!$B$8:$B$507,0)),""))</f>
        <v/>
      </c>
      <c r="E118" s="154"/>
      <c r="F118" s="154"/>
      <c r="G118" s="154"/>
      <c r="H118" s="154"/>
      <c r="I118" s="154"/>
      <c r="J118" s="155" t="str">
        <f t="shared" si="1"/>
        <v/>
      </c>
      <c r="K118" s="153"/>
      <c r="L118" s="156"/>
    </row>
    <row r="119" spans="2:12" ht="15" customHeight="1" x14ac:dyDescent="0.35">
      <c r="B119" s="152" t="str">
        <f>IF(Lançamentos!$B114="","",Lançamentos!$B114)</f>
        <v/>
      </c>
      <c r="C119" s="153" t="str">
        <f>IF($B119="","",IFERROR(INDEX(Lançamentos!$J$3:$J$1001,MATCH($B119,Lançamentos!$B$3:$B$1001,0)),""))</f>
        <v/>
      </c>
      <c r="D119" s="417" t="str">
        <f>IF($B119="","",IFERROR(INDEX('E2 — Triagem'!$D$8:$D$507,MATCH($B119,'E2 — Triagem'!$B$8:$B$507,0)),""))</f>
        <v/>
      </c>
      <c r="E119" s="154"/>
      <c r="F119" s="154"/>
      <c r="G119" s="154"/>
      <c r="H119" s="154"/>
      <c r="I119" s="154"/>
      <c r="J119" s="155" t="str">
        <f t="shared" si="1"/>
        <v/>
      </c>
      <c r="K119" s="153"/>
      <c r="L119" s="156"/>
    </row>
    <row r="120" spans="2:12" ht="15" customHeight="1" x14ac:dyDescent="0.35">
      <c r="B120" s="152" t="str">
        <f>IF(Lançamentos!$B115="","",Lançamentos!$B115)</f>
        <v/>
      </c>
      <c r="C120" s="153" t="str">
        <f>IF($B120="","",IFERROR(INDEX(Lançamentos!$J$3:$J$1001,MATCH($B120,Lançamentos!$B$3:$B$1001,0)),""))</f>
        <v/>
      </c>
      <c r="D120" s="417" t="str">
        <f>IF($B120="","",IFERROR(INDEX('E2 — Triagem'!$D$8:$D$507,MATCH($B120,'E2 — Triagem'!$B$8:$B$507,0)),""))</f>
        <v/>
      </c>
      <c r="E120" s="154"/>
      <c r="F120" s="154"/>
      <c r="G120" s="154"/>
      <c r="H120" s="154"/>
      <c r="I120" s="154"/>
      <c r="J120" s="155" t="str">
        <f t="shared" si="1"/>
        <v/>
      </c>
      <c r="K120" s="153"/>
      <c r="L120" s="156"/>
    </row>
    <row r="121" spans="2:12" ht="15" customHeight="1" x14ac:dyDescent="0.35">
      <c r="B121" s="152" t="str">
        <f>IF(Lançamentos!$B116="","",Lançamentos!$B116)</f>
        <v/>
      </c>
      <c r="C121" s="153" t="str">
        <f>IF($B121="","",IFERROR(INDEX(Lançamentos!$J$3:$J$1001,MATCH($B121,Lançamentos!$B$3:$B$1001,0)),""))</f>
        <v/>
      </c>
      <c r="D121" s="417" t="str">
        <f>IF($B121="","",IFERROR(INDEX('E2 — Triagem'!$D$8:$D$507,MATCH($B121,'E2 — Triagem'!$B$8:$B$507,0)),""))</f>
        <v/>
      </c>
      <c r="E121" s="154"/>
      <c r="F121" s="154"/>
      <c r="G121" s="154"/>
      <c r="H121" s="154"/>
      <c r="I121" s="154"/>
      <c r="J121" s="155" t="str">
        <f t="shared" si="1"/>
        <v/>
      </c>
      <c r="K121" s="153"/>
      <c r="L121" s="156"/>
    </row>
    <row r="122" spans="2:12" ht="15" customHeight="1" x14ac:dyDescent="0.35">
      <c r="B122" s="152" t="str">
        <f>IF(Lançamentos!$B117="","",Lançamentos!$B117)</f>
        <v/>
      </c>
      <c r="C122" s="153" t="str">
        <f>IF($B122="","",IFERROR(INDEX(Lançamentos!$J$3:$J$1001,MATCH($B122,Lançamentos!$B$3:$B$1001,0)),""))</f>
        <v/>
      </c>
      <c r="D122" s="417" t="str">
        <f>IF($B122="","",IFERROR(INDEX('E2 — Triagem'!$D$8:$D$507,MATCH($B122,'E2 — Triagem'!$B$8:$B$507,0)),""))</f>
        <v/>
      </c>
      <c r="E122" s="154"/>
      <c r="F122" s="154"/>
      <c r="G122" s="154"/>
      <c r="H122" s="154"/>
      <c r="I122" s="154"/>
      <c r="J122" s="155" t="str">
        <f t="shared" si="1"/>
        <v/>
      </c>
      <c r="K122" s="153"/>
      <c r="L122" s="156"/>
    </row>
    <row r="123" spans="2:12" ht="15" customHeight="1" x14ac:dyDescent="0.35">
      <c r="B123" s="152" t="str">
        <f>IF(Lançamentos!$B118="","",Lançamentos!$B118)</f>
        <v/>
      </c>
      <c r="C123" s="153" t="str">
        <f>IF($B123="","",IFERROR(INDEX(Lançamentos!$J$3:$J$1001,MATCH($B123,Lançamentos!$B$3:$B$1001,0)),""))</f>
        <v/>
      </c>
      <c r="D123" s="417" t="str">
        <f>IF($B123="","",IFERROR(INDEX('E2 — Triagem'!$D$8:$D$507,MATCH($B123,'E2 — Triagem'!$B$8:$B$507,0)),""))</f>
        <v/>
      </c>
      <c r="E123" s="154"/>
      <c r="F123" s="154"/>
      <c r="G123" s="154"/>
      <c r="H123" s="154"/>
      <c r="I123" s="154"/>
      <c r="J123" s="155" t="str">
        <f t="shared" si="1"/>
        <v/>
      </c>
      <c r="K123" s="153"/>
      <c r="L123" s="156"/>
    </row>
    <row r="124" spans="2:12" ht="15" customHeight="1" x14ac:dyDescent="0.35">
      <c r="B124" s="152" t="str">
        <f>IF(Lançamentos!$B119="","",Lançamentos!$B119)</f>
        <v/>
      </c>
      <c r="C124" s="153" t="str">
        <f>IF($B124="","",IFERROR(INDEX(Lançamentos!$J$3:$J$1001,MATCH($B124,Lançamentos!$B$3:$B$1001,0)),""))</f>
        <v/>
      </c>
      <c r="D124" s="417" t="str">
        <f>IF($B124="","",IFERROR(INDEX('E2 — Triagem'!$D$8:$D$507,MATCH($B124,'E2 — Triagem'!$B$8:$B$507,0)),""))</f>
        <v/>
      </c>
      <c r="E124" s="154"/>
      <c r="F124" s="154"/>
      <c r="G124" s="154"/>
      <c r="H124" s="154"/>
      <c r="I124" s="154"/>
      <c r="J124" s="155" t="str">
        <f t="shared" si="1"/>
        <v/>
      </c>
      <c r="K124" s="153"/>
      <c r="L124" s="156"/>
    </row>
    <row r="125" spans="2:12" ht="15" customHeight="1" x14ac:dyDescent="0.35">
      <c r="B125" s="152" t="str">
        <f>IF(Lançamentos!$B120="","",Lançamentos!$B120)</f>
        <v/>
      </c>
      <c r="C125" s="153" t="str">
        <f>IF($B125="","",IFERROR(INDEX(Lançamentos!$J$3:$J$1001,MATCH($B125,Lançamentos!$B$3:$B$1001,0)),""))</f>
        <v/>
      </c>
      <c r="D125" s="417" t="str">
        <f>IF($B125="","",IFERROR(INDEX('E2 — Triagem'!$D$8:$D$507,MATCH($B125,'E2 — Triagem'!$B$8:$B$507,0)),""))</f>
        <v/>
      </c>
      <c r="E125" s="154"/>
      <c r="F125" s="154"/>
      <c r="G125" s="154"/>
      <c r="H125" s="154"/>
      <c r="I125" s="154"/>
      <c r="J125" s="155" t="str">
        <f t="shared" si="1"/>
        <v/>
      </c>
      <c r="K125" s="153"/>
      <c r="L125" s="156"/>
    </row>
    <row r="126" spans="2:12" ht="15" customHeight="1" x14ac:dyDescent="0.35">
      <c r="B126" s="152" t="str">
        <f>IF(Lançamentos!$B121="","",Lançamentos!$B121)</f>
        <v/>
      </c>
      <c r="C126" s="153" t="str">
        <f>IF($B126="","",IFERROR(INDEX(Lançamentos!$J$3:$J$1001,MATCH($B126,Lançamentos!$B$3:$B$1001,0)),""))</f>
        <v/>
      </c>
      <c r="D126" s="417" t="str">
        <f>IF($B126="","",IFERROR(INDEX('E2 — Triagem'!$D$8:$D$507,MATCH($B126,'E2 — Triagem'!$B$8:$B$507,0)),""))</f>
        <v/>
      </c>
      <c r="E126" s="154"/>
      <c r="F126" s="154"/>
      <c r="G126" s="154"/>
      <c r="H126" s="154"/>
      <c r="I126" s="154"/>
      <c r="J126" s="155" t="str">
        <f t="shared" si="1"/>
        <v/>
      </c>
      <c r="K126" s="153"/>
      <c r="L126" s="156"/>
    </row>
    <row r="127" spans="2:12" ht="15" customHeight="1" x14ac:dyDescent="0.35">
      <c r="B127" s="152" t="str">
        <f>IF(Lançamentos!$B122="","",Lançamentos!$B122)</f>
        <v/>
      </c>
      <c r="C127" s="153" t="str">
        <f>IF($B127="","",IFERROR(INDEX(Lançamentos!$J$3:$J$1001,MATCH($B127,Lançamentos!$B$3:$B$1001,0)),""))</f>
        <v/>
      </c>
      <c r="D127" s="417" t="str">
        <f>IF($B127="","",IFERROR(INDEX('E2 — Triagem'!$D$8:$D$507,MATCH($B127,'E2 — Triagem'!$B$8:$B$507,0)),""))</f>
        <v/>
      </c>
      <c r="E127" s="154"/>
      <c r="F127" s="154"/>
      <c r="G127" s="154"/>
      <c r="H127" s="154"/>
      <c r="I127" s="154"/>
      <c r="J127" s="155" t="str">
        <f t="shared" si="1"/>
        <v/>
      </c>
      <c r="K127" s="153"/>
      <c r="L127" s="156"/>
    </row>
    <row r="128" spans="2:12" ht="15" customHeight="1" x14ac:dyDescent="0.35">
      <c r="B128" s="152" t="str">
        <f>IF(Lançamentos!$B123="","",Lançamentos!$B123)</f>
        <v/>
      </c>
      <c r="C128" s="153" t="str">
        <f>IF($B128="","",IFERROR(INDEX(Lançamentos!$J$3:$J$1001,MATCH($B128,Lançamentos!$B$3:$B$1001,0)),""))</f>
        <v/>
      </c>
      <c r="D128" s="417" t="str">
        <f>IF($B128="","",IFERROR(INDEX('E2 — Triagem'!$D$8:$D$507,MATCH($B128,'E2 — Triagem'!$B$8:$B$507,0)),""))</f>
        <v/>
      </c>
      <c r="E128" s="154"/>
      <c r="F128" s="154"/>
      <c r="G128" s="154"/>
      <c r="H128" s="154"/>
      <c r="I128" s="154"/>
      <c r="J128" s="155" t="str">
        <f t="shared" si="1"/>
        <v/>
      </c>
      <c r="K128" s="153"/>
      <c r="L128" s="156"/>
    </row>
    <row r="129" spans="2:12" ht="15" customHeight="1" x14ac:dyDescent="0.35">
      <c r="B129" s="152" t="str">
        <f>IF(Lançamentos!$B124="","",Lançamentos!$B124)</f>
        <v/>
      </c>
      <c r="C129" s="153" t="str">
        <f>IF($B129="","",IFERROR(INDEX(Lançamentos!$J$3:$J$1001,MATCH($B129,Lançamentos!$B$3:$B$1001,0)),""))</f>
        <v/>
      </c>
      <c r="D129" s="417" t="str">
        <f>IF($B129="","",IFERROR(INDEX('E2 — Triagem'!$D$8:$D$507,MATCH($B129,'E2 — Triagem'!$B$8:$B$507,0)),""))</f>
        <v/>
      </c>
      <c r="E129" s="154"/>
      <c r="F129" s="154"/>
      <c r="G129" s="154"/>
      <c r="H129" s="154"/>
      <c r="I129" s="154"/>
      <c r="J129" s="155" t="str">
        <f t="shared" si="1"/>
        <v/>
      </c>
      <c r="K129" s="153"/>
      <c r="L129" s="156"/>
    </row>
    <row r="130" spans="2:12" ht="15" customHeight="1" x14ac:dyDescent="0.35">
      <c r="B130" s="152" t="str">
        <f>IF(Lançamentos!$B125="","",Lançamentos!$B125)</f>
        <v/>
      </c>
      <c r="C130" s="153" t="str">
        <f>IF($B130="","",IFERROR(INDEX(Lançamentos!$J$3:$J$1001,MATCH($B130,Lançamentos!$B$3:$B$1001,0)),""))</f>
        <v/>
      </c>
      <c r="D130" s="417" t="str">
        <f>IF($B130="","",IFERROR(INDEX('E2 — Triagem'!$D$8:$D$507,MATCH($B130,'E2 — Triagem'!$B$8:$B$507,0)),""))</f>
        <v/>
      </c>
      <c r="E130" s="154"/>
      <c r="F130" s="154"/>
      <c r="G130" s="154"/>
      <c r="H130" s="154"/>
      <c r="I130" s="154"/>
      <c r="J130" s="155" t="str">
        <f t="shared" si="1"/>
        <v/>
      </c>
      <c r="K130" s="153"/>
      <c r="L130" s="156"/>
    </row>
    <row r="131" spans="2:12" ht="15" customHeight="1" x14ac:dyDescent="0.35">
      <c r="B131" s="152" t="str">
        <f>IF(Lançamentos!$B126="","",Lançamentos!$B126)</f>
        <v/>
      </c>
      <c r="C131" s="153" t="str">
        <f>IF($B131="","",IFERROR(INDEX(Lançamentos!$J$3:$J$1001,MATCH($B131,Lançamentos!$B$3:$B$1001,0)),""))</f>
        <v/>
      </c>
      <c r="D131" s="417" t="str">
        <f>IF($B131="","",IFERROR(INDEX('E2 — Triagem'!$D$8:$D$507,MATCH($B131,'E2 — Triagem'!$B$8:$B$507,0)),""))</f>
        <v/>
      </c>
      <c r="E131" s="154"/>
      <c r="F131" s="154"/>
      <c r="G131" s="154"/>
      <c r="H131" s="154"/>
      <c r="I131" s="154"/>
      <c r="J131" s="155" t="str">
        <f t="shared" si="1"/>
        <v/>
      </c>
      <c r="K131" s="153"/>
      <c r="L131" s="156"/>
    </row>
    <row r="132" spans="2:12" ht="15" customHeight="1" x14ac:dyDescent="0.35">
      <c r="B132" s="152" t="str">
        <f>IF(Lançamentos!$B127="","",Lançamentos!$B127)</f>
        <v/>
      </c>
      <c r="C132" s="153" t="str">
        <f>IF($B132="","",IFERROR(INDEX(Lançamentos!$J$3:$J$1001,MATCH($B132,Lançamentos!$B$3:$B$1001,0)),""))</f>
        <v/>
      </c>
      <c r="D132" s="417" t="str">
        <f>IF($B132="","",IFERROR(INDEX('E2 — Triagem'!$D$8:$D$507,MATCH($B132,'E2 — Triagem'!$B$8:$B$507,0)),""))</f>
        <v/>
      </c>
      <c r="E132" s="154"/>
      <c r="F132" s="154"/>
      <c r="G132" s="154"/>
      <c r="H132" s="154"/>
      <c r="I132" s="154"/>
      <c r="J132" s="155" t="str">
        <f t="shared" si="1"/>
        <v/>
      </c>
      <c r="K132" s="153"/>
      <c r="L132" s="156"/>
    </row>
    <row r="133" spans="2:12" ht="15" customHeight="1" x14ac:dyDescent="0.35">
      <c r="B133" s="152" t="str">
        <f>IF(Lançamentos!$B128="","",Lançamentos!$B128)</f>
        <v/>
      </c>
      <c r="C133" s="153" t="str">
        <f>IF($B133="","",IFERROR(INDEX(Lançamentos!$J$3:$J$1001,MATCH($B133,Lançamentos!$B$3:$B$1001,0)),""))</f>
        <v/>
      </c>
      <c r="D133" s="417" t="str">
        <f>IF($B133="","",IFERROR(INDEX('E2 — Triagem'!$D$8:$D$507,MATCH($B133,'E2 — Triagem'!$B$8:$B$507,0)),""))</f>
        <v/>
      </c>
      <c r="E133" s="154"/>
      <c r="F133" s="154"/>
      <c r="G133" s="154"/>
      <c r="H133" s="154"/>
      <c r="I133" s="154"/>
      <c r="J133" s="155" t="str">
        <f t="shared" si="1"/>
        <v/>
      </c>
      <c r="K133" s="153"/>
      <c r="L133" s="156"/>
    </row>
    <row r="134" spans="2:12" ht="15" customHeight="1" x14ac:dyDescent="0.35">
      <c r="B134" s="152" t="str">
        <f>IF(Lançamentos!$B129="","",Lançamentos!$B129)</f>
        <v/>
      </c>
      <c r="C134" s="153" t="str">
        <f>IF($B134="","",IFERROR(INDEX(Lançamentos!$J$3:$J$1001,MATCH($B134,Lançamentos!$B$3:$B$1001,0)),""))</f>
        <v/>
      </c>
      <c r="D134" s="417" t="str">
        <f>IF($B134="","",IFERROR(INDEX('E2 — Triagem'!$D$8:$D$507,MATCH($B134,'E2 — Triagem'!$B$8:$B$507,0)),""))</f>
        <v/>
      </c>
      <c r="E134" s="154"/>
      <c r="F134" s="154"/>
      <c r="G134" s="154"/>
      <c r="H134" s="154"/>
      <c r="I134" s="154"/>
      <c r="J134" s="155" t="str">
        <f t="shared" si="1"/>
        <v/>
      </c>
      <c r="K134" s="153"/>
      <c r="L134" s="156"/>
    </row>
    <row r="135" spans="2:12" ht="15" customHeight="1" x14ac:dyDescent="0.35">
      <c r="B135" s="152" t="str">
        <f>IF(Lançamentos!$B130="","",Lançamentos!$B130)</f>
        <v/>
      </c>
      <c r="C135" s="153" t="str">
        <f>IF($B135="","",IFERROR(INDEX(Lançamentos!$J$3:$J$1001,MATCH($B135,Lançamentos!$B$3:$B$1001,0)),""))</f>
        <v/>
      </c>
      <c r="D135" s="417" t="str">
        <f>IF($B135="","",IFERROR(INDEX('E2 — Triagem'!$D$8:$D$507,MATCH($B135,'E2 — Triagem'!$B$8:$B$507,0)),""))</f>
        <v/>
      </c>
      <c r="E135" s="154"/>
      <c r="F135" s="154"/>
      <c r="G135" s="154"/>
      <c r="H135" s="154"/>
      <c r="I135" s="154"/>
      <c r="J135" s="155" t="str">
        <f t="shared" si="1"/>
        <v/>
      </c>
      <c r="K135" s="153"/>
      <c r="L135" s="156"/>
    </row>
    <row r="136" spans="2:12" ht="15" customHeight="1" x14ac:dyDescent="0.35">
      <c r="B136" s="152" t="str">
        <f>IF(Lançamentos!$B131="","",Lançamentos!$B131)</f>
        <v/>
      </c>
      <c r="C136" s="153" t="str">
        <f>IF($B136="","",IFERROR(INDEX(Lançamentos!$J$3:$J$1001,MATCH($B136,Lançamentos!$B$3:$B$1001,0)),""))</f>
        <v/>
      </c>
      <c r="D136" s="417" t="str">
        <f>IF($B136="","",IFERROR(INDEX('E2 — Triagem'!$D$8:$D$507,MATCH($B136,'E2 — Triagem'!$B$8:$B$507,0)),""))</f>
        <v/>
      </c>
      <c r="E136" s="154"/>
      <c r="F136" s="154"/>
      <c r="G136" s="154"/>
      <c r="H136" s="154"/>
      <c r="I136" s="154"/>
      <c r="J136" s="155" t="str">
        <f t="shared" si="1"/>
        <v/>
      </c>
      <c r="K136" s="153"/>
      <c r="L136" s="156"/>
    </row>
    <row r="137" spans="2:12" ht="15" customHeight="1" x14ac:dyDescent="0.35">
      <c r="B137" s="152" t="str">
        <f>IF(Lançamentos!$B132="","",Lançamentos!$B132)</f>
        <v/>
      </c>
      <c r="C137" s="153" t="str">
        <f>IF($B137="","",IFERROR(INDEX(Lançamentos!$J$3:$J$1001,MATCH($B137,Lançamentos!$B$3:$B$1001,0)),""))</f>
        <v/>
      </c>
      <c r="D137" s="417" t="str">
        <f>IF($B137="","",IFERROR(INDEX('E2 — Triagem'!$D$8:$D$507,MATCH($B137,'E2 — Triagem'!$B$8:$B$507,0)),""))</f>
        <v/>
      </c>
      <c r="E137" s="154"/>
      <c r="F137" s="154"/>
      <c r="G137" s="154"/>
      <c r="H137" s="154"/>
      <c r="I137" s="154"/>
      <c r="J137" s="155" t="str">
        <f t="shared" ref="J137:J200" si="2">IF(B137="","",IF(COUNTIF(E137:I137,"N/A")=5,0,IF(COUNTIF(E137:I137,"✔ Concluído")=5,1,MIN(99%,COUNTIF(E137:I137,"✔ Concluído")/(5-COUNTIF(E137:I137,"N/A"))))))</f>
        <v/>
      </c>
      <c r="K137" s="153"/>
      <c r="L137" s="156"/>
    </row>
    <row r="138" spans="2:12" ht="15" customHeight="1" x14ac:dyDescent="0.35">
      <c r="B138" s="152" t="str">
        <f>IF(Lançamentos!$B133="","",Lançamentos!$B133)</f>
        <v/>
      </c>
      <c r="C138" s="153" t="str">
        <f>IF($B138="","",IFERROR(INDEX(Lançamentos!$J$3:$J$1001,MATCH($B138,Lançamentos!$B$3:$B$1001,0)),""))</f>
        <v/>
      </c>
      <c r="D138" s="417" t="str">
        <f>IF($B138="","",IFERROR(INDEX('E2 — Triagem'!$D$8:$D$507,MATCH($B138,'E2 — Triagem'!$B$8:$B$507,0)),""))</f>
        <v/>
      </c>
      <c r="E138" s="154"/>
      <c r="F138" s="154"/>
      <c r="G138" s="154"/>
      <c r="H138" s="154"/>
      <c r="I138" s="154"/>
      <c r="J138" s="155" t="str">
        <f t="shared" si="2"/>
        <v/>
      </c>
      <c r="K138" s="153"/>
      <c r="L138" s="156"/>
    </row>
    <row r="139" spans="2:12" ht="15" customHeight="1" x14ac:dyDescent="0.35">
      <c r="B139" s="152" t="str">
        <f>IF(Lançamentos!$B134="","",Lançamentos!$B134)</f>
        <v/>
      </c>
      <c r="C139" s="153" t="str">
        <f>IF($B139="","",IFERROR(INDEX(Lançamentos!$J$3:$J$1001,MATCH($B139,Lançamentos!$B$3:$B$1001,0)),""))</f>
        <v/>
      </c>
      <c r="D139" s="417" t="str">
        <f>IF($B139="","",IFERROR(INDEX('E2 — Triagem'!$D$8:$D$507,MATCH($B139,'E2 — Triagem'!$B$8:$B$507,0)),""))</f>
        <v/>
      </c>
      <c r="E139" s="154"/>
      <c r="F139" s="154"/>
      <c r="G139" s="154"/>
      <c r="H139" s="154"/>
      <c r="I139" s="154"/>
      <c r="J139" s="155" t="str">
        <f t="shared" si="2"/>
        <v/>
      </c>
      <c r="K139" s="153"/>
      <c r="L139" s="156"/>
    </row>
    <row r="140" spans="2:12" ht="15" customHeight="1" x14ac:dyDescent="0.35">
      <c r="B140" s="152" t="str">
        <f>IF(Lançamentos!$B135="","",Lançamentos!$B135)</f>
        <v/>
      </c>
      <c r="C140" s="153" t="str">
        <f>IF($B140="","",IFERROR(INDEX(Lançamentos!$J$3:$J$1001,MATCH($B140,Lançamentos!$B$3:$B$1001,0)),""))</f>
        <v/>
      </c>
      <c r="D140" s="417" t="str">
        <f>IF($B140="","",IFERROR(INDEX('E2 — Triagem'!$D$8:$D$507,MATCH($B140,'E2 — Triagem'!$B$8:$B$507,0)),""))</f>
        <v/>
      </c>
      <c r="E140" s="154"/>
      <c r="F140" s="154"/>
      <c r="G140" s="154"/>
      <c r="H140" s="154"/>
      <c r="I140" s="154"/>
      <c r="J140" s="155" t="str">
        <f t="shared" si="2"/>
        <v/>
      </c>
      <c r="K140" s="153"/>
      <c r="L140" s="156"/>
    </row>
    <row r="141" spans="2:12" ht="15" customHeight="1" x14ac:dyDescent="0.35">
      <c r="B141" s="152" t="str">
        <f>IF(Lançamentos!$B136="","",Lançamentos!$B136)</f>
        <v/>
      </c>
      <c r="C141" s="153" t="str">
        <f>IF($B141="","",IFERROR(INDEX(Lançamentos!$J$3:$J$1001,MATCH($B141,Lançamentos!$B$3:$B$1001,0)),""))</f>
        <v/>
      </c>
      <c r="D141" s="417" t="str">
        <f>IF($B141="","",IFERROR(INDEX('E2 — Triagem'!$D$8:$D$507,MATCH($B141,'E2 — Triagem'!$B$8:$B$507,0)),""))</f>
        <v/>
      </c>
      <c r="E141" s="154"/>
      <c r="F141" s="154"/>
      <c r="G141" s="154"/>
      <c r="H141" s="154"/>
      <c r="I141" s="154"/>
      <c r="J141" s="155" t="str">
        <f t="shared" si="2"/>
        <v/>
      </c>
      <c r="K141" s="153"/>
      <c r="L141" s="156"/>
    </row>
    <row r="142" spans="2:12" ht="15" customHeight="1" x14ac:dyDescent="0.35">
      <c r="B142" s="152" t="str">
        <f>IF(Lançamentos!$B137="","",Lançamentos!$B137)</f>
        <v/>
      </c>
      <c r="C142" s="153" t="str">
        <f>IF($B142="","",IFERROR(INDEX(Lançamentos!$J$3:$J$1001,MATCH($B142,Lançamentos!$B$3:$B$1001,0)),""))</f>
        <v/>
      </c>
      <c r="D142" s="417" t="str">
        <f>IF($B142="","",IFERROR(INDEX('E2 — Triagem'!$D$8:$D$507,MATCH($B142,'E2 — Triagem'!$B$8:$B$507,0)),""))</f>
        <v/>
      </c>
      <c r="E142" s="154"/>
      <c r="F142" s="154"/>
      <c r="G142" s="154"/>
      <c r="H142" s="154"/>
      <c r="I142" s="154"/>
      <c r="J142" s="155" t="str">
        <f t="shared" si="2"/>
        <v/>
      </c>
      <c r="K142" s="153"/>
      <c r="L142" s="156"/>
    </row>
    <row r="143" spans="2:12" ht="15" customHeight="1" x14ac:dyDescent="0.35">
      <c r="B143" s="152" t="str">
        <f>IF(Lançamentos!$B138="","",Lançamentos!$B138)</f>
        <v/>
      </c>
      <c r="C143" s="153" t="str">
        <f>IF($B143="","",IFERROR(INDEX(Lançamentos!$J$3:$J$1001,MATCH($B143,Lançamentos!$B$3:$B$1001,0)),""))</f>
        <v/>
      </c>
      <c r="D143" s="417" t="str">
        <f>IF($B143="","",IFERROR(INDEX('E2 — Triagem'!$D$8:$D$507,MATCH($B143,'E2 — Triagem'!$B$8:$B$507,0)),""))</f>
        <v/>
      </c>
      <c r="E143" s="154"/>
      <c r="F143" s="154"/>
      <c r="G143" s="154"/>
      <c r="H143" s="154"/>
      <c r="I143" s="154"/>
      <c r="J143" s="155" t="str">
        <f t="shared" si="2"/>
        <v/>
      </c>
      <c r="K143" s="153"/>
      <c r="L143" s="156"/>
    </row>
    <row r="144" spans="2:12" ht="15" customHeight="1" x14ac:dyDescent="0.35">
      <c r="B144" s="152" t="str">
        <f>IF(Lançamentos!$B139="","",Lançamentos!$B139)</f>
        <v/>
      </c>
      <c r="C144" s="153" t="str">
        <f>IF($B144="","",IFERROR(INDEX(Lançamentos!$J$3:$J$1001,MATCH($B144,Lançamentos!$B$3:$B$1001,0)),""))</f>
        <v/>
      </c>
      <c r="D144" s="417" t="str">
        <f>IF($B144="","",IFERROR(INDEX('E2 — Triagem'!$D$8:$D$507,MATCH($B144,'E2 — Triagem'!$B$8:$B$507,0)),""))</f>
        <v/>
      </c>
      <c r="E144" s="154"/>
      <c r="F144" s="154"/>
      <c r="G144" s="154"/>
      <c r="H144" s="154"/>
      <c r="I144" s="154"/>
      <c r="J144" s="155" t="str">
        <f t="shared" si="2"/>
        <v/>
      </c>
      <c r="K144" s="153"/>
      <c r="L144" s="156"/>
    </row>
    <row r="145" spans="2:12" ht="15" customHeight="1" x14ac:dyDescent="0.35">
      <c r="B145" s="152" t="str">
        <f>IF(Lançamentos!$B140="","",Lançamentos!$B140)</f>
        <v/>
      </c>
      <c r="C145" s="153" t="str">
        <f>IF($B145="","",IFERROR(INDEX(Lançamentos!$J$3:$J$1001,MATCH($B145,Lançamentos!$B$3:$B$1001,0)),""))</f>
        <v/>
      </c>
      <c r="D145" s="417" t="str">
        <f>IF($B145="","",IFERROR(INDEX('E2 — Triagem'!$D$8:$D$507,MATCH($B145,'E2 — Triagem'!$B$8:$B$507,0)),""))</f>
        <v/>
      </c>
      <c r="E145" s="154"/>
      <c r="F145" s="154"/>
      <c r="G145" s="154"/>
      <c r="H145" s="154"/>
      <c r="I145" s="154"/>
      <c r="J145" s="155" t="str">
        <f t="shared" si="2"/>
        <v/>
      </c>
      <c r="K145" s="153"/>
      <c r="L145" s="156"/>
    </row>
    <row r="146" spans="2:12" ht="15" customHeight="1" x14ac:dyDescent="0.35">
      <c r="B146" s="152" t="str">
        <f>IF(Lançamentos!$B141="","",Lançamentos!$B141)</f>
        <v/>
      </c>
      <c r="C146" s="153" t="str">
        <f>IF($B146="","",IFERROR(INDEX(Lançamentos!$J$3:$J$1001,MATCH($B146,Lançamentos!$B$3:$B$1001,0)),""))</f>
        <v/>
      </c>
      <c r="D146" s="417" t="str">
        <f>IF($B146="","",IFERROR(INDEX('E2 — Triagem'!$D$8:$D$507,MATCH($B146,'E2 — Triagem'!$B$8:$B$507,0)),""))</f>
        <v/>
      </c>
      <c r="E146" s="154"/>
      <c r="F146" s="154"/>
      <c r="G146" s="154"/>
      <c r="H146" s="154"/>
      <c r="I146" s="154"/>
      <c r="J146" s="155" t="str">
        <f t="shared" si="2"/>
        <v/>
      </c>
      <c r="K146" s="153"/>
      <c r="L146" s="156"/>
    </row>
    <row r="147" spans="2:12" ht="15" customHeight="1" x14ac:dyDescent="0.35">
      <c r="B147" s="152" t="str">
        <f>IF(Lançamentos!$B142="","",Lançamentos!$B142)</f>
        <v/>
      </c>
      <c r="C147" s="153" t="str">
        <f>IF($B147="","",IFERROR(INDEX(Lançamentos!$J$3:$J$1001,MATCH($B147,Lançamentos!$B$3:$B$1001,0)),""))</f>
        <v/>
      </c>
      <c r="D147" s="417" t="str">
        <f>IF($B147="","",IFERROR(INDEX('E2 — Triagem'!$D$8:$D$507,MATCH($B147,'E2 — Triagem'!$B$8:$B$507,0)),""))</f>
        <v/>
      </c>
      <c r="E147" s="154"/>
      <c r="F147" s="154"/>
      <c r="G147" s="154"/>
      <c r="H147" s="154"/>
      <c r="I147" s="154"/>
      <c r="J147" s="155" t="str">
        <f t="shared" si="2"/>
        <v/>
      </c>
      <c r="K147" s="153"/>
      <c r="L147" s="156"/>
    </row>
    <row r="148" spans="2:12" ht="15" customHeight="1" x14ac:dyDescent="0.35">
      <c r="B148" s="152" t="str">
        <f>IF(Lançamentos!$B143="","",Lançamentos!$B143)</f>
        <v/>
      </c>
      <c r="C148" s="153" t="str">
        <f>IF($B148="","",IFERROR(INDEX(Lançamentos!$J$3:$J$1001,MATCH($B148,Lançamentos!$B$3:$B$1001,0)),""))</f>
        <v/>
      </c>
      <c r="D148" s="417" t="str">
        <f>IF($B148="","",IFERROR(INDEX('E2 — Triagem'!$D$8:$D$507,MATCH($B148,'E2 — Triagem'!$B$8:$B$507,0)),""))</f>
        <v/>
      </c>
      <c r="E148" s="154"/>
      <c r="F148" s="154"/>
      <c r="G148" s="154"/>
      <c r="H148" s="154"/>
      <c r="I148" s="154"/>
      <c r="J148" s="155" t="str">
        <f t="shared" si="2"/>
        <v/>
      </c>
      <c r="K148" s="153"/>
      <c r="L148" s="156"/>
    </row>
    <row r="149" spans="2:12" ht="15" customHeight="1" x14ac:dyDescent="0.35">
      <c r="B149" s="152" t="str">
        <f>IF(Lançamentos!$B144="","",Lançamentos!$B144)</f>
        <v/>
      </c>
      <c r="C149" s="153" t="str">
        <f>IF($B149="","",IFERROR(INDEX(Lançamentos!$J$3:$J$1001,MATCH($B149,Lançamentos!$B$3:$B$1001,0)),""))</f>
        <v/>
      </c>
      <c r="D149" s="417" t="str">
        <f>IF($B149="","",IFERROR(INDEX('E2 — Triagem'!$D$8:$D$507,MATCH($B149,'E2 — Triagem'!$B$8:$B$507,0)),""))</f>
        <v/>
      </c>
      <c r="E149" s="154"/>
      <c r="F149" s="154"/>
      <c r="G149" s="154"/>
      <c r="H149" s="154"/>
      <c r="I149" s="154"/>
      <c r="J149" s="155" t="str">
        <f t="shared" si="2"/>
        <v/>
      </c>
      <c r="K149" s="153"/>
      <c r="L149" s="156"/>
    </row>
    <row r="150" spans="2:12" ht="15" customHeight="1" x14ac:dyDescent="0.35">
      <c r="B150" s="152" t="str">
        <f>IF(Lançamentos!$B145="","",Lançamentos!$B145)</f>
        <v/>
      </c>
      <c r="C150" s="153" t="str">
        <f>IF($B150="","",IFERROR(INDEX(Lançamentos!$J$3:$J$1001,MATCH($B150,Lançamentos!$B$3:$B$1001,0)),""))</f>
        <v/>
      </c>
      <c r="D150" s="417" t="str">
        <f>IF($B150="","",IFERROR(INDEX('E2 — Triagem'!$D$8:$D$507,MATCH($B150,'E2 — Triagem'!$B$8:$B$507,0)),""))</f>
        <v/>
      </c>
      <c r="E150" s="154"/>
      <c r="F150" s="154"/>
      <c r="G150" s="154"/>
      <c r="H150" s="154"/>
      <c r="I150" s="154"/>
      <c r="J150" s="155" t="str">
        <f t="shared" si="2"/>
        <v/>
      </c>
      <c r="K150" s="153"/>
      <c r="L150" s="156"/>
    </row>
    <row r="151" spans="2:12" ht="15" customHeight="1" x14ac:dyDescent="0.35">
      <c r="B151" s="152" t="str">
        <f>IF(Lançamentos!$B146="","",Lançamentos!$B146)</f>
        <v/>
      </c>
      <c r="C151" s="153" t="str">
        <f>IF($B151="","",IFERROR(INDEX(Lançamentos!$J$3:$J$1001,MATCH($B151,Lançamentos!$B$3:$B$1001,0)),""))</f>
        <v/>
      </c>
      <c r="D151" s="417" t="str">
        <f>IF($B151="","",IFERROR(INDEX('E2 — Triagem'!$D$8:$D$507,MATCH($B151,'E2 — Triagem'!$B$8:$B$507,0)),""))</f>
        <v/>
      </c>
      <c r="E151" s="154"/>
      <c r="F151" s="154"/>
      <c r="G151" s="154"/>
      <c r="H151" s="154"/>
      <c r="I151" s="154"/>
      <c r="J151" s="155" t="str">
        <f t="shared" si="2"/>
        <v/>
      </c>
      <c r="K151" s="153"/>
      <c r="L151" s="156"/>
    </row>
    <row r="152" spans="2:12" ht="15" customHeight="1" x14ac:dyDescent="0.35">
      <c r="B152" s="152" t="str">
        <f>IF(Lançamentos!$B147="","",Lançamentos!$B147)</f>
        <v/>
      </c>
      <c r="C152" s="153" t="str">
        <f>IF($B152="","",IFERROR(INDEX(Lançamentos!$J$3:$J$1001,MATCH($B152,Lançamentos!$B$3:$B$1001,0)),""))</f>
        <v/>
      </c>
      <c r="D152" s="417" t="str">
        <f>IF($B152="","",IFERROR(INDEX('E2 — Triagem'!$D$8:$D$507,MATCH($B152,'E2 — Triagem'!$B$8:$B$507,0)),""))</f>
        <v/>
      </c>
      <c r="E152" s="154"/>
      <c r="F152" s="154"/>
      <c r="G152" s="154"/>
      <c r="H152" s="154"/>
      <c r="I152" s="154"/>
      <c r="J152" s="155" t="str">
        <f t="shared" si="2"/>
        <v/>
      </c>
      <c r="K152" s="153"/>
      <c r="L152" s="156"/>
    </row>
    <row r="153" spans="2:12" ht="15" customHeight="1" x14ac:dyDescent="0.35">
      <c r="B153" s="152" t="str">
        <f>IF(Lançamentos!$B148="","",Lançamentos!$B148)</f>
        <v/>
      </c>
      <c r="C153" s="153" t="str">
        <f>IF($B153="","",IFERROR(INDEX(Lançamentos!$J$3:$J$1001,MATCH($B153,Lançamentos!$B$3:$B$1001,0)),""))</f>
        <v/>
      </c>
      <c r="D153" s="417" t="str">
        <f>IF($B153="","",IFERROR(INDEX('E2 — Triagem'!$D$8:$D$507,MATCH($B153,'E2 — Triagem'!$B$8:$B$507,0)),""))</f>
        <v/>
      </c>
      <c r="E153" s="154"/>
      <c r="F153" s="154"/>
      <c r="G153" s="154"/>
      <c r="H153" s="154"/>
      <c r="I153" s="154"/>
      <c r="J153" s="155" t="str">
        <f t="shared" si="2"/>
        <v/>
      </c>
      <c r="K153" s="153"/>
      <c r="L153" s="156"/>
    </row>
    <row r="154" spans="2:12" ht="15" customHeight="1" x14ac:dyDescent="0.35">
      <c r="B154" s="152" t="str">
        <f>IF(Lançamentos!$B149="","",Lançamentos!$B149)</f>
        <v/>
      </c>
      <c r="C154" s="153" t="str">
        <f>IF($B154="","",IFERROR(INDEX(Lançamentos!$J$3:$J$1001,MATCH($B154,Lançamentos!$B$3:$B$1001,0)),""))</f>
        <v/>
      </c>
      <c r="D154" s="417" t="str">
        <f>IF($B154="","",IFERROR(INDEX('E2 — Triagem'!$D$8:$D$507,MATCH($B154,'E2 — Triagem'!$B$8:$B$507,0)),""))</f>
        <v/>
      </c>
      <c r="E154" s="154"/>
      <c r="F154" s="154"/>
      <c r="G154" s="154"/>
      <c r="H154" s="154"/>
      <c r="I154" s="154"/>
      <c r="J154" s="155" t="str">
        <f t="shared" si="2"/>
        <v/>
      </c>
      <c r="K154" s="153"/>
      <c r="L154" s="156"/>
    </row>
    <row r="155" spans="2:12" ht="15" customHeight="1" x14ac:dyDescent="0.35">
      <c r="B155" s="152" t="str">
        <f>IF(Lançamentos!$B150="","",Lançamentos!$B150)</f>
        <v/>
      </c>
      <c r="C155" s="153" t="str">
        <f>IF($B155="","",IFERROR(INDEX(Lançamentos!$J$3:$J$1001,MATCH($B155,Lançamentos!$B$3:$B$1001,0)),""))</f>
        <v/>
      </c>
      <c r="D155" s="417" t="str">
        <f>IF($B155="","",IFERROR(INDEX('E2 — Triagem'!$D$8:$D$507,MATCH($B155,'E2 — Triagem'!$B$8:$B$507,0)),""))</f>
        <v/>
      </c>
      <c r="E155" s="154"/>
      <c r="F155" s="154"/>
      <c r="G155" s="154"/>
      <c r="H155" s="154"/>
      <c r="I155" s="154"/>
      <c r="J155" s="155" t="str">
        <f t="shared" si="2"/>
        <v/>
      </c>
      <c r="K155" s="153"/>
      <c r="L155" s="156"/>
    </row>
    <row r="156" spans="2:12" ht="15" customHeight="1" x14ac:dyDescent="0.35">
      <c r="B156" s="152" t="str">
        <f>IF(Lançamentos!$B151="","",Lançamentos!$B151)</f>
        <v/>
      </c>
      <c r="C156" s="153" t="str">
        <f>IF($B156="","",IFERROR(INDEX(Lançamentos!$J$3:$J$1001,MATCH($B156,Lançamentos!$B$3:$B$1001,0)),""))</f>
        <v/>
      </c>
      <c r="D156" s="417" t="str">
        <f>IF($B156="","",IFERROR(INDEX('E2 — Triagem'!$D$8:$D$507,MATCH($B156,'E2 — Triagem'!$B$8:$B$507,0)),""))</f>
        <v/>
      </c>
      <c r="E156" s="154"/>
      <c r="F156" s="154"/>
      <c r="G156" s="154"/>
      <c r="H156" s="154"/>
      <c r="I156" s="154"/>
      <c r="J156" s="155" t="str">
        <f t="shared" si="2"/>
        <v/>
      </c>
      <c r="K156" s="153"/>
      <c r="L156" s="156"/>
    </row>
    <row r="157" spans="2:12" ht="15" customHeight="1" x14ac:dyDescent="0.35">
      <c r="B157" s="152" t="str">
        <f>IF(Lançamentos!$B152="","",Lançamentos!$B152)</f>
        <v/>
      </c>
      <c r="C157" s="153" t="str">
        <f>IF($B157="","",IFERROR(INDEX(Lançamentos!$J$3:$J$1001,MATCH($B157,Lançamentos!$B$3:$B$1001,0)),""))</f>
        <v/>
      </c>
      <c r="D157" s="417" t="str">
        <f>IF($B157="","",IFERROR(INDEX('E2 — Triagem'!$D$8:$D$507,MATCH($B157,'E2 — Triagem'!$B$8:$B$507,0)),""))</f>
        <v/>
      </c>
      <c r="E157" s="154"/>
      <c r="F157" s="154"/>
      <c r="G157" s="154"/>
      <c r="H157" s="154"/>
      <c r="I157" s="154"/>
      <c r="J157" s="155" t="str">
        <f t="shared" si="2"/>
        <v/>
      </c>
      <c r="K157" s="153"/>
      <c r="L157" s="156"/>
    </row>
    <row r="158" spans="2:12" ht="15" customHeight="1" x14ac:dyDescent="0.35">
      <c r="B158" s="152" t="str">
        <f>IF(Lançamentos!$B153="","",Lançamentos!$B153)</f>
        <v/>
      </c>
      <c r="C158" s="153" t="str">
        <f>IF($B158="","",IFERROR(INDEX(Lançamentos!$J$3:$J$1001,MATCH($B158,Lançamentos!$B$3:$B$1001,0)),""))</f>
        <v/>
      </c>
      <c r="D158" s="417" t="str">
        <f>IF($B158="","",IFERROR(INDEX('E2 — Triagem'!$D$8:$D$507,MATCH($B158,'E2 — Triagem'!$B$8:$B$507,0)),""))</f>
        <v/>
      </c>
      <c r="E158" s="154"/>
      <c r="F158" s="154"/>
      <c r="G158" s="154"/>
      <c r="H158" s="154"/>
      <c r="I158" s="154"/>
      <c r="J158" s="155" t="str">
        <f t="shared" si="2"/>
        <v/>
      </c>
      <c r="K158" s="153"/>
      <c r="L158" s="156"/>
    </row>
    <row r="159" spans="2:12" ht="15" customHeight="1" x14ac:dyDescent="0.35">
      <c r="B159" s="152" t="str">
        <f>IF(Lançamentos!$B154="","",Lançamentos!$B154)</f>
        <v/>
      </c>
      <c r="C159" s="153" t="str">
        <f>IF($B159="","",IFERROR(INDEX(Lançamentos!$J$3:$J$1001,MATCH($B159,Lançamentos!$B$3:$B$1001,0)),""))</f>
        <v/>
      </c>
      <c r="D159" s="417" t="str">
        <f>IF($B159="","",IFERROR(INDEX('E2 — Triagem'!$D$8:$D$507,MATCH($B159,'E2 — Triagem'!$B$8:$B$507,0)),""))</f>
        <v/>
      </c>
      <c r="E159" s="154"/>
      <c r="F159" s="154"/>
      <c r="G159" s="154"/>
      <c r="H159" s="154"/>
      <c r="I159" s="154"/>
      <c r="J159" s="155" t="str">
        <f t="shared" si="2"/>
        <v/>
      </c>
      <c r="K159" s="153"/>
      <c r="L159" s="156"/>
    </row>
    <row r="160" spans="2:12" ht="15" customHeight="1" x14ac:dyDescent="0.35">
      <c r="B160" s="152" t="str">
        <f>IF(Lançamentos!$B155="","",Lançamentos!$B155)</f>
        <v/>
      </c>
      <c r="C160" s="153" t="str">
        <f>IF($B160="","",IFERROR(INDEX(Lançamentos!$J$3:$J$1001,MATCH($B160,Lançamentos!$B$3:$B$1001,0)),""))</f>
        <v/>
      </c>
      <c r="D160" s="417" t="str">
        <f>IF($B160="","",IFERROR(INDEX('E2 — Triagem'!$D$8:$D$507,MATCH($B160,'E2 — Triagem'!$B$8:$B$507,0)),""))</f>
        <v/>
      </c>
      <c r="E160" s="154"/>
      <c r="F160" s="154"/>
      <c r="G160" s="154"/>
      <c r="H160" s="154"/>
      <c r="I160" s="154"/>
      <c r="J160" s="155" t="str">
        <f t="shared" si="2"/>
        <v/>
      </c>
      <c r="K160" s="153"/>
      <c r="L160" s="156"/>
    </row>
    <row r="161" spans="2:12" ht="15" customHeight="1" x14ac:dyDescent="0.35">
      <c r="B161" s="152" t="str">
        <f>IF(Lançamentos!$B156="","",Lançamentos!$B156)</f>
        <v/>
      </c>
      <c r="C161" s="153" t="str">
        <f>IF($B161="","",IFERROR(INDEX(Lançamentos!$J$3:$J$1001,MATCH($B161,Lançamentos!$B$3:$B$1001,0)),""))</f>
        <v/>
      </c>
      <c r="D161" s="417" t="str">
        <f>IF($B161="","",IFERROR(INDEX('E2 — Triagem'!$D$8:$D$507,MATCH($B161,'E2 — Triagem'!$B$8:$B$507,0)),""))</f>
        <v/>
      </c>
      <c r="E161" s="154"/>
      <c r="F161" s="154"/>
      <c r="G161" s="154"/>
      <c r="H161" s="154"/>
      <c r="I161" s="154"/>
      <c r="J161" s="155" t="str">
        <f t="shared" si="2"/>
        <v/>
      </c>
      <c r="K161" s="153"/>
      <c r="L161" s="156"/>
    </row>
    <row r="162" spans="2:12" ht="15" customHeight="1" x14ac:dyDescent="0.35">
      <c r="B162" s="152" t="str">
        <f>IF(Lançamentos!$B157="","",Lançamentos!$B157)</f>
        <v/>
      </c>
      <c r="C162" s="153" t="str">
        <f>IF($B162="","",IFERROR(INDEX(Lançamentos!$J$3:$J$1001,MATCH($B162,Lançamentos!$B$3:$B$1001,0)),""))</f>
        <v/>
      </c>
      <c r="D162" s="417" t="str">
        <f>IF($B162="","",IFERROR(INDEX('E2 — Triagem'!$D$8:$D$507,MATCH($B162,'E2 — Triagem'!$B$8:$B$507,0)),""))</f>
        <v/>
      </c>
      <c r="E162" s="154"/>
      <c r="F162" s="154"/>
      <c r="G162" s="154"/>
      <c r="H162" s="154"/>
      <c r="I162" s="154"/>
      <c r="J162" s="155" t="str">
        <f t="shared" si="2"/>
        <v/>
      </c>
      <c r="K162" s="153"/>
      <c r="L162" s="156"/>
    </row>
    <row r="163" spans="2:12" ht="15" customHeight="1" x14ac:dyDescent="0.35">
      <c r="B163" s="152" t="str">
        <f>IF(Lançamentos!$B158="","",Lançamentos!$B158)</f>
        <v/>
      </c>
      <c r="C163" s="153" t="str">
        <f>IF($B163="","",IFERROR(INDEX(Lançamentos!$J$3:$J$1001,MATCH($B163,Lançamentos!$B$3:$B$1001,0)),""))</f>
        <v/>
      </c>
      <c r="D163" s="417" t="str">
        <f>IF($B163="","",IFERROR(INDEX('E2 — Triagem'!$D$8:$D$507,MATCH($B163,'E2 — Triagem'!$B$8:$B$507,0)),""))</f>
        <v/>
      </c>
      <c r="E163" s="154"/>
      <c r="F163" s="154"/>
      <c r="G163" s="154"/>
      <c r="H163" s="154"/>
      <c r="I163" s="154"/>
      <c r="J163" s="155" t="str">
        <f t="shared" si="2"/>
        <v/>
      </c>
      <c r="K163" s="153"/>
      <c r="L163" s="156"/>
    </row>
    <row r="164" spans="2:12" ht="15" customHeight="1" x14ac:dyDescent="0.35">
      <c r="B164" s="152" t="str">
        <f>IF(Lançamentos!$B159="","",Lançamentos!$B159)</f>
        <v/>
      </c>
      <c r="C164" s="153" t="str">
        <f>IF($B164="","",IFERROR(INDEX(Lançamentos!$J$3:$J$1001,MATCH($B164,Lançamentos!$B$3:$B$1001,0)),""))</f>
        <v/>
      </c>
      <c r="D164" s="417" t="str">
        <f>IF($B164="","",IFERROR(INDEX('E2 — Triagem'!$D$8:$D$507,MATCH($B164,'E2 — Triagem'!$B$8:$B$507,0)),""))</f>
        <v/>
      </c>
      <c r="E164" s="154"/>
      <c r="F164" s="154"/>
      <c r="G164" s="154"/>
      <c r="H164" s="154"/>
      <c r="I164" s="154"/>
      <c r="J164" s="155" t="str">
        <f t="shared" si="2"/>
        <v/>
      </c>
      <c r="K164" s="153"/>
      <c r="L164" s="156"/>
    </row>
    <row r="165" spans="2:12" ht="15" customHeight="1" x14ac:dyDescent="0.35">
      <c r="B165" s="152" t="str">
        <f>IF(Lançamentos!$B160="","",Lançamentos!$B160)</f>
        <v/>
      </c>
      <c r="C165" s="153" t="str">
        <f>IF($B165="","",IFERROR(INDEX(Lançamentos!$J$3:$J$1001,MATCH($B165,Lançamentos!$B$3:$B$1001,0)),""))</f>
        <v/>
      </c>
      <c r="D165" s="417" t="str">
        <f>IF($B165="","",IFERROR(INDEX('E2 — Triagem'!$D$8:$D$507,MATCH($B165,'E2 — Triagem'!$B$8:$B$507,0)),""))</f>
        <v/>
      </c>
      <c r="E165" s="154"/>
      <c r="F165" s="154"/>
      <c r="G165" s="154"/>
      <c r="H165" s="154"/>
      <c r="I165" s="154"/>
      <c r="J165" s="155" t="str">
        <f t="shared" si="2"/>
        <v/>
      </c>
      <c r="K165" s="153"/>
      <c r="L165" s="156"/>
    </row>
    <row r="166" spans="2:12" ht="15" customHeight="1" x14ac:dyDescent="0.35">
      <c r="B166" s="152" t="str">
        <f>IF(Lançamentos!$B161="","",Lançamentos!$B161)</f>
        <v/>
      </c>
      <c r="C166" s="153" t="str">
        <f>IF($B166="","",IFERROR(INDEX(Lançamentos!$J$3:$J$1001,MATCH($B166,Lançamentos!$B$3:$B$1001,0)),""))</f>
        <v/>
      </c>
      <c r="D166" s="417" t="str">
        <f>IF($B166="","",IFERROR(INDEX('E2 — Triagem'!$D$8:$D$507,MATCH($B166,'E2 — Triagem'!$B$8:$B$507,0)),""))</f>
        <v/>
      </c>
      <c r="E166" s="154"/>
      <c r="F166" s="154"/>
      <c r="G166" s="154"/>
      <c r="H166" s="154"/>
      <c r="I166" s="154"/>
      <c r="J166" s="155" t="str">
        <f t="shared" si="2"/>
        <v/>
      </c>
      <c r="K166" s="153"/>
      <c r="L166" s="156"/>
    </row>
    <row r="167" spans="2:12" ht="15" customHeight="1" x14ac:dyDescent="0.35">
      <c r="B167" s="152" t="str">
        <f>IF(Lançamentos!$B162="","",Lançamentos!$B162)</f>
        <v/>
      </c>
      <c r="C167" s="153" t="str">
        <f>IF($B167="","",IFERROR(INDEX(Lançamentos!$J$3:$J$1001,MATCH($B167,Lançamentos!$B$3:$B$1001,0)),""))</f>
        <v/>
      </c>
      <c r="D167" s="417" t="str">
        <f>IF($B167="","",IFERROR(INDEX('E2 — Triagem'!$D$8:$D$507,MATCH($B167,'E2 — Triagem'!$B$8:$B$507,0)),""))</f>
        <v/>
      </c>
      <c r="E167" s="154"/>
      <c r="F167" s="154"/>
      <c r="G167" s="154"/>
      <c r="H167" s="154"/>
      <c r="I167" s="154"/>
      <c r="J167" s="155" t="str">
        <f t="shared" si="2"/>
        <v/>
      </c>
      <c r="K167" s="153"/>
      <c r="L167" s="156"/>
    </row>
    <row r="168" spans="2:12" ht="15" customHeight="1" x14ac:dyDescent="0.35">
      <c r="B168" s="152" t="str">
        <f>IF(Lançamentos!$B163="","",Lançamentos!$B163)</f>
        <v/>
      </c>
      <c r="C168" s="153" t="str">
        <f>IF($B168="","",IFERROR(INDEX(Lançamentos!$J$3:$J$1001,MATCH($B168,Lançamentos!$B$3:$B$1001,0)),""))</f>
        <v/>
      </c>
      <c r="D168" s="417" t="str">
        <f>IF($B168="","",IFERROR(INDEX('E2 — Triagem'!$D$8:$D$507,MATCH($B168,'E2 — Triagem'!$B$8:$B$507,0)),""))</f>
        <v/>
      </c>
      <c r="E168" s="154"/>
      <c r="F168" s="154"/>
      <c r="G168" s="154"/>
      <c r="H168" s="154"/>
      <c r="I168" s="154"/>
      <c r="J168" s="155" t="str">
        <f t="shared" si="2"/>
        <v/>
      </c>
      <c r="K168" s="153"/>
      <c r="L168" s="156"/>
    </row>
    <row r="169" spans="2:12" ht="15" customHeight="1" x14ac:dyDescent="0.35">
      <c r="B169" s="152" t="str">
        <f>IF(Lançamentos!$B164="","",Lançamentos!$B164)</f>
        <v/>
      </c>
      <c r="C169" s="153" t="str">
        <f>IF($B169="","",IFERROR(INDEX(Lançamentos!$J$3:$J$1001,MATCH($B169,Lançamentos!$B$3:$B$1001,0)),""))</f>
        <v/>
      </c>
      <c r="D169" s="417" t="str">
        <f>IF($B169="","",IFERROR(INDEX('E2 — Triagem'!$D$8:$D$507,MATCH($B169,'E2 — Triagem'!$B$8:$B$507,0)),""))</f>
        <v/>
      </c>
      <c r="E169" s="154"/>
      <c r="F169" s="154"/>
      <c r="G169" s="154"/>
      <c r="H169" s="154"/>
      <c r="I169" s="154"/>
      <c r="J169" s="155" t="str">
        <f t="shared" si="2"/>
        <v/>
      </c>
      <c r="K169" s="153"/>
      <c r="L169" s="156"/>
    </row>
    <row r="170" spans="2:12" ht="15" customHeight="1" x14ac:dyDescent="0.35">
      <c r="B170" s="152" t="str">
        <f>IF(Lançamentos!$B165="","",Lançamentos!$B165)</f>
        <v/>
      </c>
      <c r="C170" s="153" t="str">
        <f>IF($B170="","",IFERROR(INDEX(Lançamentos!$J$3:$J$1001,MATCH($B170,Lançamentos!$B$3:$B$1001,0)),""))</f>
        <v/>
      </c>
      <c r="D170" s="417" t="str">
        <f>IF($B170="","",IFERROR(INDEX('E2 — Triagem'!$D$8:$D$507,MATCH($B170,'E2 — Triagem'!$B$8:$B$507,0)),""))</f>
        <v/>
      </c>
      <c r="E170" s="154"/>
      <c r="F170" s="154"/>
      <c r="G170" s="154"/>
      <c r="H170" s="154"/>
      <c r="I170" s="154"/>
      <c r="J170" s="155" t="str">
        <f t="shared" si="2"/>
        <v/>
      </c>
      <c r="K170" s="153"/>
      <c r="L170" s="156"/>
    </row>
    <row r="171" spans="2:12" ht="15" customHeight="1" x14ac:dyDescent="0.35">
      <c r="B171" s="152" t="str">
        <f>IF(Lançamentos!$B166="","",Lançamentos!$B166)</f>
        <v/>
      </c>
      <c r="C171" s="153" t="str">
        <f>IF($B171="","",IFERROR(INDEX(Lançamentos!$J$3:$J$1001,MATCH($B171,Lançamentos!$B$3:$B$1001,0)),""))</f>
        <v/>
      </c>
      <c r="D171" s="417" t="str">
        <f>IF($B171="","",IFERROR(INDEX('E2 — Triagem'!$D$8:$D$507,MATCH($B171,'E2 — Triagem'!$B$8:$B$507,0)),""))</f>
        <v/>
      </c>
      <c r="E171" s="154"/>
      <c r="F171" s="154"/>
      <c r="G171" s="154"/>
      <c r="H171" s="154"/>
      <c r="I171" s="154"/>
      <c r="J171" s="155" t="str">
        <f t="shared" si="2"/>
        <v/>
      </c>
      <c r="K171" s="153"/>
      <c r="L171" s="156"/>
    </row>
    <row r="172" spans="2:12" ht="15" customHeight="1" x14ac:dyDescent="0.35">
      <c r="B172" s="152" t="str">
        <f>IF(Lançamentos!$B167="","",Lançamentos!$B167)</f>
        <v/>
      </c>
      <c r="C172" s="153" t="str">
        <f>IF($B172="","",IFERROR(INDEX(Lançamentos!$J$3:$J$1001,MATCH($B172,Lançamentos!$B$3:$B$1001,0)),""))</f>
        <v/>
      </c>
      <c r="D172" s="417" t="str">
        <f>IF($B172="","",IFERROR(INDEX('E2 — Triagem'!$D$8:$D$507,MATCH($B172,'E2 — Triagem'!$B$8:$B$507,0)),""))</f>
        <v/>
      </c>
      <c r="E172" s="154"/>
      <c r="F172" s="154"/>
      <c r="G172" s="154"/>
      <c r="H172" s="154"/>
      <c r="I172" s="154"/>
      <c r="J172" s="155" t="str">
        <f t="shared" si="2"/>
        <v/>
      </c>
      <c r="K172" s="153"/>
      <c r="L172" s="156"/>
    </row>
    <row r="173" spans="2:12" ht="15" customHeight="1" x14ac:dyDescent="0.35">
      <c r="B173" s="152" t="str">
        <f>IF(Lançamentos!$B168="","",Lançamentos!$B168)</f>
        <v/>
      </c>
      <c r="C173" s="153" t="str">
        <f>IF($B173="","",IFERROR(INDEX(Lançamentos!$J$3:$J$1001,MATCH($B173,Lançamentos!$B$3:$B$1001,0)),""))</f>
        <v/>
      </c>
      <c r="D173" s="417" t="str">
        <f>IF($B173="","",IFERROR(INDEX('E2 — Triagem'!$D$8:$D$507,MATCH($B173,'E2 — Triagem'!$B$8:$B$507,0)),""))</f>
        <v/>
      </c>
      <c r="E173" s="154"/>
      <c r="F173" s="154"/>
      <c r="G173" s="154"/>
      <c r="H173" s="154"/>
      <c r="I173" s="154"/>
      <c r="J173" s="155" t="str">
        <f t="shared" si="2"/>
        <v/>
      </c>
      <c r="K173" s="153"/>
      <c r="L173" s="156"/>
    </row>
    <row r="174" spans="2:12" ht="15" customHeight="1" x14ac:dyDescent="0.35">
      <c r="B174" s="152" t="str">
        <f>IF(Lançamentos!$B169="","",Lançamentos!$B169)</f>
        <v/>
      </c>
      <c r="C174" s="153" t="str">
        <f>IF($B174="","",IFERROR(INDEX(Lançamentos!$J$3:$J$1001,MATCH($B174,Lançamentos!$B$3:$B$1001,0)),""))</f>
        <v/>
      </c>
      <c r="D174" s="417" t="str">
        <f>IF($B174="","",IFERROR(INDEX('E2 — Triagem'!$D$8:$D$507,MATCH($B174,'E2 — Triagem'!$B$8:$B$507,0)),""))</f>
        <v/>
      </c>
      <c r="E174" s="154"/>
      <c r="F174" s="154"/>
      <c r="G174" s="154"/>
      <c r="H174" s="154"/>
      <c r="I174" s="154"/>
      <c r="J174" s="155" t="str">
        <f t="shared" si="2"/>
        <v/>
      </c>
      <c r="K174" s="153"/>
      <c r="L174" s="156"/>
    </row>
    <row r="175" spans="2:12" ht="15" customHeight="1" x14ac:dyDescent="0.35">
      <c r="B175" s="152" t="str">
        <f>IF(Lançamentos!$B170="","",Lançamentos!$B170)</f>
        <v/>
      </c>
      <c r="C175" s="153" t="str">
        <f>IF($B175="","",IFERROR(INDEX(Lançamentos!$J$3:$J$1001,MATCH($B175,Lançamentos!$B$3:$B$1001,0)),""))</f>
        <v/>
      </c>
      <c r="D175" s="417" t="str">
        <f>IF($B175="","",IFERROR(INDEX('E2 — Triagem'!$D$8:$D$507,MATCH($B175,'E2 — Triagem'!$B$8:$B$507,0)),""))</f>
        <v/>
      </c>
      <c r="E175" s="154"/>
      <c r="F175" s="154"/>
      <c r="G175" s="154"/>
      <c r="H175" s="154"/>
      <c r="I175" s="154"/>
      <c r="J175" s="155" t="str">
        <f t="shared" si="2"/>
        <v/>
      </c>
      <c r="K175" s="153"/>
      <c r="L175" s="156"/>
    </row>
    <row r="176" spans="2:12" ht="15" customHeight="1" x14ac:dyDescent="0.35">
      <c r="B176" s="152" t="str">
        <f>IF(Lançamentos!$B171="","",Lançamentos!$B171)</f>
        <v/>
      </c>
      <c r="C176" s="153" t="str">
        <f>IF($B176="","",IFERROR(INDEX(Lançamentos!$J$3:$J$1001,MATCH($B176,Lançamentos!$B$3:$B$1001,0)),""))</f>
        <v/>
      </c>
      <c r="D176" s="417" t="str">
        <f>IF($B176="","",IFERROR(INDEX('E2 — Triagem'!$D$8:$D$507,MATCH($B176,'E2 — Triagem'!$B$8:$B$507,0)),""))</f>
        <v/>
      </c>
      <c r="E176" s="154"/>
      <c r="F176" s="154"/>
      <c r="G176" s="154"/>
      <c r="H176" s="154"/>
      <c r="I176" s="154"/>
      <c r="J176" s="155" t="str">
        <f t="shared" si="2"/>
        <v/>
      </c>
      <c r="K176" s="153"/>
      <c r="L176" s="156"/>
    </row>
    <row r="177" spans="2:12" ht="15" customHeight="1" x14ac:dyDescent="0.35">
      <c r="B177" s="152" t="str">
        <f>IF(Lançamentos!$B172="","",Lançamentos!$B172)</f>
        <v/>
      </c>
      <c r="C177" s="153" t="str">
        <f>IF($B177="","",IFERROR(INDEX(Lançamentos!$J$3:$J$1001,MATCH($B177,Lançamentos!$B$3:$B$1001,0)),""))</f>
        <v/>
      </c>
      <c r="D177" s="417" t="str">
        <f>IF($B177="","",IFERROR(INDEX('E2 — Triagem'!$D$8:$D$507,MATCH($B177,'E2 — Triagem'!$B$8:$B$507,0)),""))</f>
        <v/>
      </c>
      <c r="E177" s="154"/>
      <c r="F177" s="154"/>
      <c r="G177" s="154"/>
      <c r="H177" s="154"/>
      <c r="I177" s="154"/>
      <c r="J177" s="155" t="str">
        <f t="shared" si="2"/>
        <v/>
      </c>
      <c r="K177" s="153"/>
      <c r="L177" s="156"/>
    </row>
    <row r="178" spans="2:12" ht="15" customHeight="1" x14ac:dyDescent="0.35">
      <c r="B178" s="152" t="str">
        <f>IF(Lançamentos!$B173="","",Lançamentos!$B173)</f>
        <v/>
      </c>
      <c r="C178" s="153" t="str">
        <f>IF($B178="","",IFERROR(INDEX(Lançamentos!$J$3:$J$1001,MATCH($B178,Lançamentos!$B$3:$B$1001,0)),""))</f>
        <v/>
      </c>
      <c r="D178" s="417" t="str">
        <f>IF($B178="","",IFERROR(INDEX('E2 — Triagem'!$D$8:$D$507,MATCH($B178,'E2 — Triagem'!$B$8:$B$507,0)),""))</f>
        <v/>
      </c>
      <c r="E178" s="154"/>
      <c r="F178" s="154"/>
      <c r="G178" s="154"/>
      <c r="H178" s="154"/>
      <c r="I178" s="154"/>
      <c r="J178" s="155" t="str">
        <f t="shared" si="2"/>
        <v/>
      </c>
      <c r="K178" s="153"/>
      <c r="L178" s="156"/>
    </row>
    <row r="179" spans="2:12" ht="15" customHeight="1" x14ac:dyDescent="0.35">
      <c r="B179" s="152" t="str">
        <f>IF(Lançamentos!$B174="","",Lançamentos!$B174)</f>
        <v/>
      </c>
      <c r="C179" s="153" t="str">
        <f>IF($B179="","",IFERROR(INDEX(Lançamentos!$J$3:$J$1001,MATCH($B179,Lançamentos!$B$3:$B$1001,0)),""))</f>
        <v/>
      </c>
      <c r="D179" s="417" t="str">
        <f>IF($B179="","",IFERROR(INDEX('E2 — Triagem'!$D$8:$D$507,MATCH($B179,'E2 — Triagem'!$B$8:$B$507,0)),""))</f>
        <v/>
      </c>
      <c r="E179" s="154"/>
      <c r="F179" s="154"/>
      <c r="G179" s="154"/>
      <c r="H179" s="154"/>
      <c r="I179" s="154"/>
      <c r="J179" s="155" t="str">
        <f t="shared" si="2"/>
        <v/>
      </c>
      <c r="K179" s="153"/>
      <c r="L179" s="156"/>
    </row>
    <row r="180" spans="2:12" ht="15" customHeight="1" x14ac:dyDescent="0.35">
      <c r="B180" s="152" t="str">
        <f>IF(Lançamentos!$B175="","",Lançamentos!$B175)</f>
        <v/>
      </c>
      <c r="C180" s="153" t="str">
        <f>IF($B180="","",IFERROR(INDEX(Lançamentos!$J$3:$J$1001,MATCH($B180,Lançamentos!$B$3:$B$1001,0)),""))</f>
        <v/>
      </c>
      <c r="D180" s="417" t="str">
        <f>IF($B180="","",IFERROR(INDEX('E2 — Triagem'!$D$8:$D$507,MATCH($B180,'E2 — Triagem'!$B$8:$B$507,0)),""))</f>
        <v/>
      </c>
      <c r="E180" s="154"/>
      <c r="F180" s="154"/>
      <c r="G180" s="154"/>
      <c r="H180" s="154"/>
      <c r="I180" s="154"/>
      <c r="J180" s="155" t="str">
        <f t="shared" si="2"/>
        <v/>
      </c>
      <c r="K180" s="153"/>
      <c r="L180" s="156"/>
    </row>
    <row r="181" spans="2:12" ht="15" customHeight="1" x14ac:dyDescent="0.35">
      <c r="B181" s="152" t="str">
        <f>IF(Lançamentos!$B176="","",Lançamentos!$B176)</f>
        <v/>
      </c>
      <c r="C181" s="153" t="str">
        <f>IF($B181="","",IFERROR(INDEX(Lançamentos!$J$3:$J$1001,MATCH($B181,Lançamentos!$B$3:$B$1001,0)),""))</f>
        <v/>
      </c>
      <c r="D181" s="417" t="str">
        <f>IF($B181="","",IFERROR(INDEX('E2 — Triagem'!$D$8:$D$507,MATCH($B181,'E2 — Triagem'!$B$8:$B$507,0)),""))</f>
        <v/>
      </c>
      <c r="E181" s="154"/>
      <c r="F181" s="154"/>
      <c r="G181" s="154"/>
      <c r="H181" s="154"/>
      <c r="I181" s="154"/>
      <c r="J181" s="155" t="str">
        <f t="shared" si="2"/>
        <v/>
      </c>
      <c r="K181" s="153"/>
      <c r="L181" s="156"/>
    </row>
    <row r="182" spans="2:12" ht="15" customHeight="1" x14ac:dyDescent="0.35">
      <c r="B182" s="152" t="str">
        <f>IF(Lançamentos!$B177="","",Lançamentos!$B177)</f>
        <v/>
      </c>
      <c r="C182" s="153" t="str">
        <f>IF($B182="","",IFERROR(INDEX(Lançamentos!$J$3:$J$1001,MATCH($B182,Lançamentos!$B$3:$B$1001,0)),""))</f>
        <v/>
      </c>
      <c r="D182" s="417" t="str">
        <f>IF($B182="","",IFERROR(INDEX('E2 — Triagem'!$D$8:$D$507,MATCH($B182,'E2 — Triagem'!$B$8:$B$507,0)),""))</f>
        <v/>
      </c>
      <c r="E182" s="154"/>
      <c r="F182" s="154"/>
      <c r="G182" s="154"/>
      <c r="H182" s="154"/>
      <c r="I182" s="154"/>
      <c r="J182" s="155" t="str">
        <f t="shared" si="2"/>
        <v/>
      </c>
      <c r="K182" s="153"/>
      <c r="L182" s="156"/>
    </row>
    <row r="183" spans="2:12" ht="15" customHeight="1" x14ac:dyDescent="0.35">
      <c r="B183" s="152" t="str">
        <f>IF(Lançamentos!$B178="","",Lançamentos!$B178)</f>
        <v/>
      </c>
      <c r="C183" s="153" t="str">
        <f>IF($B183="","",IFERROR(INDEX(Lançamentos!$J$3:$J$1001,MATCH($B183,Lançamentos!$B$3:$B$1001,0)),""))</f>
        <v/>
      </c>
      <c r="D183" s="417" t="str">
        <f>IF($B183="","",IFERROR(INDEX('E2 — Triagem'!$D$8:$D$507,MATCH($B183,'E2 — Triagem'!$B$8:$B$507,0)),""))</f>
        <v/>
      </c>
      <c r="E183" s="154"/>
      <c r="F183" s="154"/>
      <c r="G183" s="154"/>
      <c r="H183" s="154"/>
      <c r="I183" s="154"/>
      <c r="J183" s="155" t="str">
        <f t="shared" si="2"/>
        <v/>
      </c>
      <c r="K183" s="153"/>
      <c r="L183" s="156"/>
    </row>
    <row r="184" spans="2:12" ht="15" customHeight="1" x14ac:dyDescent="0.35">
      <c r="B184" s="152" t="str">
        <f>IF(Lançamentos!$B179="","",Lançamentos!$B179)</f>
        <v/>
      </c>
      <c r="C184" s="153" t="str">
        <f>IF($B184="","",IFERROR(INDEX(Lançamentos!$J$3:$J$1001,MATCH($B184,Lançamentos!$B$3:$B$1001,0)),""))</f>
        <v/>
      </c>
      <c r="D184" s="417" t="str">
        <f>IF($B184="","",IFERROR(INDEX('E2 — Triagem'!$D$8:$D$507,MATCH($B184,'E2 — Triagem'!$B$8:$B$507,0)),""))</f>
        <v/>
      </c>
      <c r="E184" s="154"/>
      <c r="F184" s="154"/>
      <c r="G184" s="154"/>
      <c r="H184" s="154"/>
      <c r="I184" s="154"/>
      <c r="J184" s="155" t="str">
        <f t="shared" si="2"/>
        <v/>
      </c>
      <c r="K184" s="153"/>
      <c r="L184" s="156"/>
    </row>
    <row r="185" spans="2:12" ht="15" customHeight="1" x14ac:dyDescent="0.35">
      <c r="B185" s="152" t="str">
        <f>IF(Lançamentos!$B180="","",Lançamentos!$B180)</f>
        <v/>
      </c>
      <c r="C185" s="153" t="str">
        <f>IF($B185="","",IFERROR(INDEX(Lançamentos!$J$3:$J$1001,MATCH($B185,Lançamentos!$B$3:$B$1001,0)),""))</f>
        <v/>
      </c>
      <c r="D185" s="417" t="str">
        <f>IF($B185="","",IFERROR(INDEX('E2 — Triagem'!$D$8:$D$507,MATCH($B185,'E2 — Triagem'!$B$8:$B$507,0)),""))</f>
        <v/>
      </c>
      <c r="E185" s="154"/>
      <c r="F185" s="154"/>
      <c r="G185" s="154"/>
      <c r="H185" s="154"/>
      <c r="I185" s="154"/>
      <c r="J185" s="155" t="str">
        <f t="shared" si="2"/>
        <v/>
      </c>
      <c r="K185" s="153"/>
      <c r="L185" s="156"/>
    </row>
    <row r="186" spans="2:12" ht="15" customHeight="1" x14ac:dyDescent="0.35">
      <c r="B186" s="152" t="str">
        <f>IF(Lançamentos!$B181="","",Lançamentos!$B181)</f>
        <v/>
      </c>
      <c r="C186" s="153" t="str">
        <f>IF($B186="","",IFERROR(INDEX(Lançamentos!$J$3:$J$1001,MATCH($B186,Lançamentos!$B$3:$B$1001,0)),""))</f>
        <v/>
      </c>
      <c r="D186" s="417" t="str">
        <f>IF($B186="","",IFERROR(INDEX('E2 — Triagem'!$D$8:$D$507,MATCH($B186,'E2 — Triagem'!$B$8:$B$507,0)),""))</f>
        <v/>
      </c>
      <c r="E186" s="154"/>
      <c r="F186" s="154"/>
      <c r="G186" s="154"/>
      <c r="H186" s="154"/>
      <c r="I186" s="154"/>
      <c r="J186" s="155" t="str">
        <f t="shared" si="2"/>
        <v/>
      </c>
      <c r="K186" s="153"/>
      <c r="L186" s="156"/>
    </row>
    <row r="187" spans="2:12" ht="15" customHeight="1" x14ac:dyDescent="0.35">
      <c r="B187" s="152" t="str">
        <f>IF(Lançamentos!$B182="","",Lançamentos!$B182)</f>
        <v/>
      </c>
      <c r="C187" s="153" t="str">
        <f>IF($B187="","",IFERROR(INDEX(Lançamentos!$J$3:$J$1001,MATCH($B187,Lançamentos!$B$3:$B$1001,0)),""))</f>
        <v/>
      </c>
      <c r="D187" s="417" t="str">
        <f>IF($B187="","",IFERROR(INDEX('E2 — Triagem'!$D$8:$D$507,MATCH($B187,'E2 — Triagem'!$B$8:$B$507,0)),""))</f>
        <v/>
      </c>
      <c r="E187" s="154"/>
      <c r="F187" s="154"/>
      <c r="G187" s="154"/>
      <c r="H187" s="154"/>
      <c r="I187" s="154"/>
      <c r="J187" s="155" t="str">
        <f t="shared" si="2"/>
        <v/>
      </c>
      <c r="K187" s="153"/>
      <c r="L187" s="156"/>
    </row>
    <row r="188" spans="2:12" ht="15" customHeight="1" x14ac:dyDescent="0.35">
      <c r="B188" s="152" t="str">
        <f>IF(Lançamentos!$B183="","",Lançamentos!$B183)</f>
        <v/>
      </c>
      <c r="C188" s="153" t="str">
        <f>IF($B188="","",IFERROR(INDEX(Lançamentos!$J$3:$J$1001,MATCH($B188,Lançamentos!$B$3:$B$1001,0)),""))</f>
        <v/>
      </c>
      <c r="D188" s="417" t="str">
        <f>IF($B188="","",IFERROR(INDEX('E2 — Triagem'!$D$8:$D$507,MATCH($B188,'E2 — Triagem'!$B$8:$B$507,0)),""))</f>
        <v/>
      </c>
      <c r="E188" s="154"/>
      <c r="F188" s="154"/>
      <c r="G188" s="154"/>
      <c r="H188" s="154"/>
      <c r="I188" s="154"/>
      <c r="J188" s="155" t="str">
        <f t="shared" si="2"/>
        <v/>
      </c>
      <c r="K188" s="153"/>
      <c r="L188" s="156"/>
    </row>
    <row r="189" spans="2:12" ht="15" customHeight="1" x14ac:dyDescent="0.35">
      <c r="B189" s="152" t="str">
        <f>IF(Lançamentos!$B184="","",Lançamentos!$B184)</f>
        <v/>
      </c>
      <c r="C189" s="153" t="str">
        <f>IF($B189="","",IFERROR(INDEX(Lançamentos!$J$3:$J$1001,MATCH($B189,Lançamentos!$B$3:$B$1001,0)),""))</f>
        <v/>
      </c>
      <c r="D189" s="417" t="str">
        <f>IF($B189="","",IFERROR(INDEX('E2 — Triagem'!$D$8:$D$507,MATCH($B189,'E2 — Triagem'!$B$8:$B$507,0)),""))</f>
        <v/>
      </c>
      <c r="E189" s="154"/>
      <c r="F189" s="154"/>
      <c r="G189" s="154"/>
      <c r="H189" s="154"/>
      <c r="I189" s="154"/>
      <c r="J189" s="155" t="str">
        <f t="shared" si="2"/>
        <v/>
      </c>
      <c r="K189" s="153"/>
      <c r="L189" s="156"/>
    </row>
    <row r="190" spans="2:12" ht="15" customHeight="1" x14ac:dyDescent="0.35">
      <c r="B190" s="152" t="str">
        <f>IF(Lançamentos!$B185="","",Lançamentos!$B185)</f>
        <v/>
      </c>
      <c r="C190" s="153" t="str">
        <f>IF($B190="","",IFERROR(INDEX(Lançamentos!$J$3:$J$1001,MATCH($B190,Lançamentos!$B$3:$B$1001,0)),""))</f>
        <v/>
      </c>
      <c r="D190" s="417" t="str">
        <f>IF($B190="","",IFERROR(INDEX('E2 — Triagem'!$D$8:$D$507,MATCH($B190,'E2 — Triagem'!$B$8:$B$507,0)),""))</f>
        <v/>
      </c>
      <c r="E190" s="154"/>
      <c r="F190" s="154"/>
      <c r="G190" s="154"/>
      <c r="H190" s="154"/>
      <c r="I190" s="154"/>
      <c r="J190" s="155" t="str">
        <f t="shared" si="2"/>
        <v/>
      </c>
      <c r="K190" s="153"/>
      <c r="L190" s="156"/>
    </row>
    <row r="191" spans="2:12" ht="15" customHeight="1" x14ac:dyDescent="0.35">
      <c r="B191" s="152" t="str">
        <f>IF(Lançamentos!$B186="","",Lançamentos!$B186)</f>
        <v/>
      </c>
      <c r="C191" s="153" t="str">
        <f>IF($B191="","",IFERROR(INDEX(Lançamentos!$J$3:$J$1001,MATCH($B191,Lançamentos!$B$3:$B$1001,0)),""))</f>
        <v/>
      </c>
      <c r="D191" s="417" t="str">
        <f>IF($B191="","",IFERROR(INDEX('E2 — Triagem'!$D$8:$D$507,MATCH($B191,'E2 — Triagem'!$B$8:$B$507,0)),""))</f>
        <v/>
      </c>
      <c r="E191" s="154"/>
      <c r="F191" s="154"/>
      <c r="G191" s="154"/>
      <c r="H191" s="154"/>
      <c r="I191" s="154"/>
      <c r="J191" s="155" t="str">
        <f t="shared" si="2"/>
        <v/>
      </c>
      <c r="K191" s="153"/>
      <c r="L191" s="156"/>
    </row>
    <row r="192" spans="2:12" ht="15" customHeight="1" x14ac:dyDescent="0.35">
      <c r="B192" s="152" t="str">
        <f>IF(Lançamentos!$B187="","",Lançamentos!$B187)</f>
        <v/>
      </c>
      <c r="C192" s="153" t="str">
        <f>IF($B192="","",IFERROR(INDEX(Lançamentos!$J$3:$J$1001,MATCH($B192,Lançamentos!$B$3:$B$1001,0)),""))</f>
        <v/>
      </c>
      <c r="D192" s="417" t="str">
        <f>IF($B192="","",IFERROR(INDEX('E2 — Triagem'!$D$8:$D$507,MATCH($B192,'E2 — Triagem'!$B$8:$B$507,0)),""))</f>
        <v/>
      </c>
      <c r="E192" s="154"/>
      <c r="F192" s="154"/>
      <c r="G192" s="154"/>
      <c r="H192" s="154"/>
      <c r="I192" s="154"/>
      <c r="J192" s="155" t="str">
        <f t="shared" si="2"/>
        <v/>
      </c>
      <c r="K192" s="153"/>
      <c r="L192" s="156"/>
    </row>
    <row r="193" spans="2:12" ht="15" customHeight="1" x14ac:dyDescent="0.35">
      <c r="B193" s="152" t="str">
        <f>IF(Lançamentos!$B188="","",Lançamentos!$B188)</f>
        <v/>
      </c>
      <c r="C193" s="153" t="str">
        <f>IF($B193="","",IFERROR(INDEX(Lançamentos!$J$3:$J$1001,MATCH($B193,Lançamentos!$B$3:$B$1001,0)),""))</f>
        <v/>
      </c>
      <c r="D193" s="417" t="str">
        <f>IF($B193="","",IFERROR(INDEX('E2 — Triagem'!$D$8:$D$507,MATCH($B193,'E2 — Triagem'!$B$8:$B$507,0)),""))</f>
        <v/>
      </c>
      <c r="E193" s="154"/>
      <c r="F193" s="154"/>
      <c r="G193" s="154"/>
      <c r="H193" s="154"/>
      <c r="I193" s="154"/>
      <c r="J193" s="155" t="str">
        <f t="shared" si="2"/>
        <v/>
      </c>
      <c r="K193" s="153"/>
      <c r="L193" s="156"/>
    </row>
    <row r="194" spans="2:12" ht="15" customHeight="1" x14ac:dyDescent="0.35">
      <c r="B194" s="152" t="str">
        <f>IF(Lançamentos!$B189="","",Lançamentos!$B189)</f>
        <v/>
      </c>
      <c r="C194" s="153" t="str">
        <f>IF($B194="","",IFERROR(INDEX(Lançamentos!$J$3:$J$1001,MATCH($B194,Lançamentos!$B$3:$B$1001,0)),""))</f>
        <v/>
      </c>
      <c r="D194" s="417" t="str">
        <f>IF($B194="","",IFERROR(INDEX('E2 — Triagem'!$D$8:$D$507,MATCH($B194,'E2 — Triagem'!$B$8:$B$507,0)),""))</f>
        <v/>
      </c>
      <c r="E194" s="154"/>
      <c r="F194" s="154"/>
      <c r="G194" s="154"/>
      <c r="H194" s="154"/>
      <c r="I194" s="154"/>
      <c r="J194" s="155" t="str">
        <f t="shared" si="2"/>
        <v/>
      </c>
      <c r="K194" s="153"/>
      <c r="L194" s="156"/>
    </row>
    <row r="195" spans="2:12" ht="15" customHeight="1" x14ac:dyDescent="0.35">
      <c r="B195" s="152" t="str">
        <f>IF(Lançamentos!$B190="","",Lançamentos!$B190)</f>
        <v/>
      </c>
      <c r="C195" s="153" t="str">
        <f>IF($B195="","",IFERROR(INDEX(Lançamentos!$J$3:$J$1001,MATCH($B195,Lançamentos!$B$3:$B$1001,0)),""))</f>
        <v/>
      </c>
      <c r="D195" s="417" t="str">
        <f>IF($B195="","",IFERROR(INDEX('E2 — Triagem'!$D$8:$D$507,MATCH($B195,'E2 — Triagem'!$B$8:$B$507,0)),""))</f>
        <v/>
      </c>
      <c r="E195" s="154"/>
      <c r="F195" s="154"/>
      <c r="G195" s="154"/>
      <c r="H195" s="154"/>
      <c r="I195" s="154"/>
      <c r="J195" s="155" t="str">
        <f t="shared" si="2"/>
        <v/>
      </c>
      <c r="K195" s="153"/>
      <c r="L195" s="156"/>
    </row>
    <row r="196" spans="2:12" ht="15" customHeight="1" x14ac:dyDescent="0.35">
      <c r="B196" s="152" t="str">
        <f>IF(Lançamentos!$B191="","",Lançamentos!$B191)</f>
        <v/>
      </c>
      <c r="C196" s="153" t="str">
        <f>IF($B196="","",IFERROR(INDEX(Lançamentos!$J$3:$J$1001,MATCH($B196,Lançamentos!$B$3:$B$1001,0)),""))</f>
        <v/>
      </c>
      <c r="D196" s="417" t="str">
        <f>IF($B196="","",IFERROR(INDEX('E2 — Triagem'!$D$8:$D$507,MATCH($B196,'E2 — Triagem'!$B$8:$B$507,0)),""))</f>
        <v/>
      </c>
      <c r="E196" s="154"/>
      <c r="F196" s="154"/>
      <c r="G196" s="154"/>
      <c r="H196" s="154"/>
      <c r="I196" s="154"/>
      <c r="J196" s="155" t="str">
        <f t="shared" si="2"/>
        <v/>
      </c>
      <c r="K196" s="153"/>
      <c r="L196" s="156"/>
    </row>
    <row r="197" spans="2:12" ht="15" customHeight="1" x14ac:dyDescent="0.35">
      <c r="B197" s="152" t="str">
        <f>IF(Lançamentos!$B192="","",Lançamentos!$B192)</f>
        <v/>
      </c>
      <c r="C197" s="153" t="str">
        <f>IF($B197="","",IFERROR(INDEX(Lançamentos!$J$3:$J$1001,MATCH($B197,Lançamentos!$B$3:$B$1001,0)),""))</f>
        <v/>
      </c>
      <c r="D197" s="417" t="str">
        <f>IF($B197="","",IFERROR(INDEX('E2 — Triagem'!$D$8:$D$507,MATCH($B197,'E2 — Triagem'!$B$8:$B$507,0)),""))</f>
        <v/>
      </c>
      <c r="E197" s="154"/>
      <c r="F197" s="154"/>
      <c r="G197" s="154"/>
      <c r="H197" s="154"/>
      <c r="I197" s="154"/>
      <c r="J197" s="155" t="str">
        <f t="shared" si="2"/>
        <v/>
      </c>
      <c r="K197" s="153"/>
      <c r="L197" s="156"/>
    </row>
    <row r="198" spans="2:12" ht="15" customHeight="1" x14ac:dyDescent="0.35">
      <c r="B198" s="152" t="str">
        <f>IF(Lançamentos!$B193="","",Lançamentos!$B193)</f>
        <v/>
      </c>
      <c r="C198" s="153" t="str">
        <f>IF($B198="","",IFERROR(INDEX(Lançamentos!$J$3:$J$1001,MATCH($B198,Lançamentos!$B$3:$B$1001,0)),""))</f>
        <v/>
      </c>
      <c r="D198" s="417" t="str">
        <f>IF($B198="","",IFERROR(INDEX('E2 — Triagem'!$D$8:$D$507,MATCH($B198,'E2 — Triagem'!$B$8:$B$507,0)),""))</f>
        <v/>
      </c>
      <c r="E198" s="154"/>
      <c r="F198" s="154"/>
      <c r="G198" s="154"/>
      <c r="H198" s="154"/>
      <c r="I198" s="154"/>
      <c r="J198" s="155" t="str">
        <f t="shared" si="2"/>
        <v/>
      </c>
      <c r="K198" s="153"/>
      <c r="L198" s="156"/>
    </row>
    <row r="199" spans="2:12" ht="15" customHeight="1" x14ac:dyDescent="0.35">
      <c r="B199" s="152" t="str">
        <f>IF(Lançamentos!$B194="","",Lançamentos!$B194)</f>
        <v/>
      </c>
      <c r="C199" s="153" t="str">
        <f>IF($B199="","",IFERROR(INDEX(Lançamentos!$J$3:$J$1001,MATCH($B199,Lançamentos!$B$3:$B$1001,0)),""))</f>
        <v/>
      </c>
      <c r="D199" s="417" t="str">
        <f>IF($B199="","",IFERROR(INDEX('E2 — Triagem'!$D$8:$D$507,MATCH($B199,'E2 — Triagem'!$B$8:$B$507,0)),""))</f>
        <v/>
      </c>
      <c r="E199" s="154"/>
      <c r="F199" s="154"/>
      <c r="G199" s="154"/>
      <c r="H199" s="154"/>
      <c r="I199" s="154"/>
      <c r="J199" s="155" t="str">
        <f t="shared" si="2"/>
        <v/>
      </c>
      <c r="K199" s="153"/>
      <c r="L199" s="156"/>
    </row>
    <row r="200" spans="2:12" ht="15" customHeight="1" x14ac:dyDescent="0.35">
      <c r="B200" s="152" t="str">
        <f>IF(Lançamentos!$B195="","",Lançamentos!$B195)</f>
        <v/>
      </c>
      <c r="C200" s="153" t="str">
        <f>IF($B200="","",IFERROR(INDEX(Lançamentos!$J$3:$J$1001,MATCH($B200,Lançamentos!$B$3:$B$1001,0)),""))</f>
        <v/>
      </c>
      <c r="D200" s="417" t="str">
        <f>IF($B200="","",IFERROR(INDEX('E2 — Triagem'!$D$8:$D$507,MATCH($B200,'E2 — Triagem'!$B$8:$B$507,0)),""))</f>
        <v/>
      </c>
      <c r="E200" s="154"/>
      <c r="F200" s="154"/>
      <c r="G200" s="154"/>
      <c r="H200" s="154"/>
      <c r="I200" s="154"/>
      <c r="J200" s="155" t="str">
        <f t="shared" si="2"/>
        <v/>
      </c>
      <c r="K200" s="153"/>
      <c r="L200" s="156"/>
    </row>
    <row r="201" spans="2:12" ht="15" customHeight="1" x14ac:dyDescent="0.35">
      <c r="B201" s="152" t="str">
        <f>IF(Lançamentos!$B196="","",Lançamentos!$B196)</f>
        <v/>
      </c>
      <c r="C201" s="153" t="str">
        <f>IF($B201="","",IFERROR(INDEX(Lançamentos!$J$3:$J$1001,MATCH($B201,Lançamentos!$B$3:$B$1001,0)),""))</f>
        <v/>
      </c>
      <c r="D201" s="417" t="str">
        <f>IF($B201="","",IFERROR(INDEX('E2 — Triagem'!$D$8:$D$507,MATCH($B201,'E2 — Triagem'!$B$8:$B$507,0)),""))</f>
        <v/>
      </c>
      <c r="E201" s="154"/>
      <c r="F201" s="154"/>
      <c r="G201" s="154"/>
      <c r="H201" s="154"/>
      <c r="I201" s="154"/>
      <c r="J201" s="155" t="str">
        <f t="shared" ref="J201:J207" si="3">IF(B201="","",IF(COUNTIF(E201:I201,"N/A")=5,0,IF(COUNTIF(E201:I201,"✔ Concluído")=5,1,MIN(99%,COUNTIF(E201:I201,"✔ Concluído")/(5-COUNTIF(E201:I201,"N/A"))))))</f>
        <v/>
      </c>
      <c r="K201" s="153"/>
      <c r="L201" s="156"/>
    </row>
    <row r="202" spans="2:12" ht="15" customHeight="1" x14ac:dyDescent="0.35">
      <c r="B202" s="152" t="str">
        <f>IF(Lançamentos!$B197="","",Lançamentos!$B197)</f>
        <v/>
      </c>
      <c r="C202" s="153" t="str">
        <f>IF($B202="","",IFERROR(INDEX(Lançamentos!$J$3:$J$1001,MATCH($B202,Lançamentos!$B$3:$B$1001,0)),""))</f>
        <v/>
      </c>
      <c r="D202" s="417" t="str">
        <f>IF($B202="","",IFERROR(INDEX('E2 — Triagem'!$D$8:$D$507,MATCH($B202,'E2 — Triagem'!$B$8:$B$507,0)),""))</f>
        <v/>
      </c>
      <c r="E202" s="154"/>
      <c r="F202" s="154"/>
      <c r="G202" s="154"/>
      <c r="H202" s="154"/>
      <c r="I202" s="154"/>
      <c r="J202" s="155" t="str">
        <f t="shared" si="3"/>
        <v/>
      </c>
      <c r="K202" s="153"/>
      <c r="L202" s="156"/>
    </row>
    <row r="203" spans="2:12" ht="15" customHeight="1" x14ac:dyDescent="0.35">
      <c r="B203" s="152" t="str">
        <f>IF(Lançamentos!$B198="","",Lançamentos!$B198)</f>
        <v/>
      </c>
      <c r="C203" s="153" t="str">
        <f>IF($B203="","",IFERROR(INDEX(Lançamentos!$J$3:$J$1001,MATCH($B203,Lançamentos!$B$3:$B$1001,0)),""))</f>
        <v/>
      </c>
      <c r="D203" s="417" t="str">
        <f>IF($B203="","",IFERROR(INDEX('E2 — Triagem'!$D$8:$D$507,MATCH($B203,'E2 — Triagem'!$B$8:$B$507,0)),""))</f>
        <v/>
      </c>
      <c r="E203" s="154"/>
      <c r="F203" s="154"/>
      <c r="G203" s="154"/>
      <c r="H203" s="154"/>
      <c r="I203" s="154"/>
      <c r="J203" s="155" t="str">
        <f t="shared" si="3"/>
        <v/>
      </c>
      <c r="K203" s="153"/>
      <c r="L203" s="156"/>
    </row>
    <row r="204" spans="2:12" ht="15" customHeight="1" x14ac:dyDescent="0.35">
      <c r="B204" s="152" t="str">
        <f>IF(Lançamentos!$B199="","",Lançamentos!$B199)</f>
        <v/>
      </c>
      <c r="C204" s="153" t="str">
        <f>IF($B204="","",IFERROR(INDEX(Lançamentos!$J$3:$J$1001,MATCH($B204,Lançamentos!$B$3:$B$1001,0)),""))</f>
        <v/>
      </c>
      <c r="D204" s="417" t="str">
        <f>IF($B204="","",IFERROR(INDEX('E2 — Triagem'!$D$8:$D$507,MATCH($B204,'E2 — Triagem'!$B$8:$B$507,0)),""))</f>
        <v/>
      </c>
      <c r="E204" s="154"/>
      <c r="F204" s="154"/>
      <c r="G204" s="154"/>
      <c r="H204" s="154"/>
      <c r="I204" s="154"/>
      <c r="J204" s="155" t="str">
        <f t="shared" si="3"/>
        <v/>
      </c>
      <c r="K204" s="153"/>
      <c r="L204" s="156"/>
    </row>
    <row r="205" spans="2:12" ht="15" customHeight="1" x14ac:dyDescent="0.35">
      <c r="B205" s="152" t="str">
        <f>IF(Lançamentos!$B200="","",Lançamentos!$B200)</f>
        <v/>
      </c>
      <c r="C205" s="153" t="str">
        <f>IF($B205="","",IFERROR(INDEX(Lançamentos!$J$3:$J$1001,MATCH($B205,Lançamentos!$B$3:$B$1001,0)),""))</f>
        <v/>
      </c>
      <c r="D205" s="417" t="str">
        <f>IF($B205="","",IFERROR(INDEX('E2 — Triagem'!$D$8:$D$507,MATCH($B205,'E2 — Triagem'!$B$8:$B$507,0)),""))</f>
        <v/>
      </c>
      <c r="E205" s="154"/>
      <c r="F205" s="154"/>
      <c r="G205" s="154"/>
      <c r="H205" s="154"/>
      <c r="I205" s="154"/>
      <c r="J205" s="155" t="str">
        <f t="shared" si="3"/>
        <v/>
      </c>
      <c r="K205" s="153"/>
      <c r="L205" s="156"/>
    </row>
    <row r="206" spans="2:12" ht="15" customHeight="1" x14ac:dyDescent="0.35">
      <c r="B206" s="152" t="str">
        <f>IF(Lançamentos!$B201="","",Lançamentos!$B201)</f>
        <v/>
      </c>
      <c r="C206" s="153" t="str">
        <f>IF($B206="","",IFERROR(INDEX(Lançamentos!$J$3:$J$1001,MATCH($B206,Lançamentos!$B$3:$B$1001,0)),""))</f>
        <v/>
      </c>
      <c r="D206" s="417" t="str">
        <f>IF($B206="","",IFERROR(INDEX('E2 — Triagem'!$D$8:$D$507,MATCH($B206,'E2 — Triagem'!$B$8:$B$507,0)),""))</f>
        <v/>
      </c>
      <c r="E206" s="154"/>
      <c r="F206" s="154"/>
      <c r="G206" s="154"/>
      <c r="H206" s="154"/>
      <c r="I206" s="154"/>
      <c r="J206" s="155" t="str">
        <f t="shared" si="3"/>
        <v/>
      </c>
      <c r="K206" s="153"/>
      <c r="L206" s="156"/>
    </row>
    <row r="207" spans="2:12" ht="15" customHeight="1" x14ac:dyDescent="0.35">
      <c r="B207" s="157" t="str">
        <f>IF(Lançamentos!$B202="","",Lançamentos!$B202)</f>
        <v/>
      </c>
      <c r="C207" s="158" t="str">
        <f>IF($B207="","",IFERROR(INDEX(Lançamentos!$J$3:$J$1001,MATCH($B207,Lançamentos!$B$3:$B$1001,0)),""))</f>
        <v/>
      </c>
      <c r="D207" s="418" t="str">
        <f>IF($B207="","",IFERROR(INDEX('E2 — Triagem'!$D$8:$D$507,MATCH($B207,'E2 — Triagem'!$B$8:$B$507,0)),""))</f>
        <v/>
      </c>
      <c r="E207" s="159"/>
      <c r="F207" s="159"/>
      <c r="G207" s="159"/>
      <c r="H207" s="159"/>
      <c r="I207" s="159"/>
      <c r="J207" s="160" t="str">
        <f t="shared" si="3"/>
        <v/>
      </c>
      <c r="K207" s="158"/>
      <c r="L207" s="161"/>
    </row>
    <row r="208" spans="2:12" x14ac:dyDescent="0.35">
      <c r="B208" s="421" t="str">
        <f>IF(Lançamentos!$B203="","",Lançamentos!$B203)</f>
        <v/>
      </c>
      <c r="C208" s="422" t="str">
        <f>IF($B208="","",IFERROR(INDEX(Lançamentos!$J$3:$J$1001,MATCH($B208,Lançamentos!$B$3:$B$1001,0)),""))</f>
        <v/>
      </c>
      <c r="D208" s="423" t="str">
        <f>IF($B208="","",IFERROR(INDEX('E2 — Triagem'!$D$8:$D$507,MATCH($B208,'E2 — Triagem'!$B$8:$B$507,0)),""))</f>
        <v/>
      </c>
      <c r="E208" s="423"/>
      <c r="F208" s="423"/>
      <c r="G208" s="423"/>
      <c r="H208" s="423"/>
      <c r="I208" s="424"/>
      <c r="J208" s="425" t="str">
        <f t="shared" ref="J208:J271" si="4">IF(B208="","",IF(COUNTIF(E208:I208,"N/A")=5,0,IF(COUNTIF(E208:I208,"✔ Concluído")=5,1,MIN(99%,COUNTIF(E208:I208,"✔ Concluído")/(5-COUNTIF(E208:I208,"N/A"))))))</f>
        <v/>
      </c>
      <c r="K208" s="422"/>
      <c r="L208" s="426"/>
    </row>
    <row r="209" spans="2:12" x14ac:dyDescent="0.35">
      <c r="B209" s="421" t="str">
        <f>IF(Lançamentos!$B204="","",Lançamentos!$B204)</f>
        <v/>
      </c>
      <c r="C209" s="422" t="str">
        <f>IF($B209="","",IFERROR(INDEX(Lançamentos!$J$3:$J$1001,MATCH($B209,Lançamentos!$B$3:$B$1001,0)),""))</f>
        <v/>
      </c>
      <c r="D209" s="423" t="str">
        <f>IF($B209="","",IFERROR(INDEX('E2 — Triagem'!$D$8:$D$507,MATCH($B209,'E2 — Triagem'!$B$8:$B$507,0)),""))</f>
        <v/>
      </c>
      <c r="E209" s="423"/>
      <c r="F209" s="423"/>
      <c r="G209" s="423"/>
      <c r="H209" s="423"/>
      <c r="I209" s="424"/>
      <c r="J209" s="425" t="str">
        <f t="shared" si="4"/>
        <v/>
      </c>
      <c r="K209" s="422"/>
      <c r="L209" s="426"/>
    </row>
    <row r="210" spans="2:12" x14ac:dyDescent="0.35">
      <c r="B210" s="421" t="str">
        <f>IF(Lançamentos!$B205="","",Lançamentos!$B205)</f>
        <v/>
      </c>
      <c r="C210" s="422" t="str">
        <f>IF($B210="","",IFERROR(INDEX(Lançamentos!$J$3:$J$1001,MATCH($B210,Lançamentos!$B$3:$B$1001,0)),""))</f>
        <v/>
      </c>
      <c r="D210" s="423" t="str">
        <f>IF($B210="","",IFERROR(INDEX('E2 — Triagem'!$D$8:$D$507,MATCH($B210,'E2 — Triagem'!$B$8:$B$507,0)),""))</f>
        <v/>
      </c>
      <c r="E210" s="423"/>
      <c r="F210" s="423"/>
      <c r="G210" s="423"/>
      <c r="H210" s="423"/>
      <c r="I210" s="424"/>
      <c r="J210" s="425" t="str">
        <f t="shared" si="4"/>
        <v/>
      </c>
      <c r="K210" s="422"/>
      <c r="L210" s="426"/>
    </row>
    <row r="211" spans="2:12" x14ac:dyDescent="0.35">
      <c r="B211" s="421" t="str">
        <f>IF(Lançamentos!$B206="","",Lançamentos!$B206)</f>
        <v/>
      </c>
      <c r="C211" s="422" t="str">
        <f>IF($B211="","",IFERROR(INDEX(Lançamentos!$J$3:$J$1001,MATCH($B211,Lançamentos!$B$3:$B$1001,0)),""))</f>
        <v/>
      </c>
      <c r="D211" s="423" t="str">
        <f>IF($B211="","",IFERROR(INDEX('E2 — Triagem'!$D$8:$D$507,MATCH($B211,'E2 — Triagem'!$B$8:$B$507,0)),""))</f>
        <v/>
      </c>
      <c r="E211" s="423"/>
      <c r="F211" s="423"/>
      <c r="G211" s="423"/>
      <c r="H211" s="423"/>
      <c r="I211" s="424"/>
      <c r="J211" s="425" t="str">
        <f t="shared" si="4"/>
        <v/>
      </c>
      <c r="K211" s="422"/>
      <c r="L211" s="426"/>
    </row>
    <row r="212" spans="2:12" x14ac:dyDescent="0.35">
      <c r="B212" s="421" t="str">
        <f>IF(Lançamentos!$B207="","",Lançamentos!$B207)</f>
        <v/>
      </c>
      <c r="C212" s="422" t="str">
        <f>IF($B212="","",IFERROR(INDEX(Lançamentos!$J$3:$J$1001,MATCH($B212,Lançamentos!$B$3:$B$1001,0)),""))</f>
        <v/>
      </c>
      <c r="D212" s="423" t="str">
        <f>IF($B212="","",IFERROR(INDEX('E2 — Triagem'!$D$8:$D$507,MATCH($B212,'E2 — Triagem'!$B$8:$B$507,0)),""))</f>
        <v/>
      </c>
      <c r="E212" s="423"/>
      <c r="F212" s="423"/>
      <c r="G212" s="423"/>
      <c r="H212" s="423"/>
      <c r="I212" s="424"/>
      <c r="J212" s="425" t="str">
        <f t="shared" si="4"/>
        <v/>
      </c>
      <c r="K212" s="422"/>
      <c r="L212" s="426"/>
    </row>
    <row r="213" spans="2:12" x14ac:dyDescent="0.35">
      <c r="B213" s="421" t="str">
        <f>IF(Lançamentos!$B208="","",Lançamentos!$B208)</f>
        <v/>
      </c>
      <c r="C213" s="422" t="str">
        <f>IF($B213="","",IFERROR(INDEX(Lançamentos!$J$3:$J$1001,MATCH($B213,Lançamentos!$B$3:$B$1001,0)),""))</f>
        <v/>
      </c>
      <c r="D213" s="423" t="str">
        <f>IF($B213="","",IFERROR(INDEX('E2 — Triagem'!$D$8:$D$507,MATCH($B213,'E2 — Triagem'!$B$8:$B$507,0)),""))</f>
        <v/>
      </c>
      <c r="E213" s="423"/>
      <c r="F213" s="423"/>
      <c r="G213" s="423"/>
      <c r="H213" s="423"/>
      <c r="I213" s="424"/>
      <c r="J213" s="425" t="str">
        <f t="shared" si="4"/>
        <v/>
      </c>
      <c r="K213" s="422"/>
      <c r="L213" s="426"/>
    </row>
    <row r="214" spans="2:12" x14ac:dyDescent="0.35">
      <c r="B214" s="421" t="str">
        <f>IF(Lançamentos!$B209="","",Lançamentos!$B209)</f>
        <v/>
      </c>
      <c r="C214" s="422" t="str">
        <f>IF($B214="","",IFERROR(INDEX(Lançamentos!$J$3:$J$1001,MATCH($B214,Lançamentos!$B$3:$B$1001,0)),""))</f>
        <v/>
      </c>
      <c r="D214" s="423" t="str">
        <f>IF($B214="","",IFERROR(INDEX('E2 — Triagem'!$D$8:$D$507,MATCH($B214,'E2 — Triagem'!$B$8:$B$507,0)),""))</f>
        <v/>
      </c>
      <c r="E214" s="423"/>
      <c r="F214" s="423"/>
      <c r="G214" s="423"/>
      <c r="H214" s="423"/>
      <c r="I214" s="424"/>
      <c r="J214" s="425" t="str">
        <f t="shared" si="4"/>
        <v/>
      </c>
      <c r="K214" s="422"/>
      <c r="L214" s="426"/>
    </row>
    <row r="215" spans="2:12" x14ac:dyDescent="0.35">
      <c r="B215" s="421" t="str">
        <f>IF(Lançamentos!$B210="","",Lançamentos!$B210)</f>
        <v/>
      </c>
      <c r="C215" s="422" t="str">
        <f>IF($B215="","",IFERROR(INDEX(Lançamentos!$J$3:$J$1001,MATCH($B215,Lançamentos!$B$3:$B$1001,0)),""))</f>
        <v/>
      </c>
      <c r="D215" s="423" t="str">
        <f>IF($B215="","",IFERROR(INDEX('E2 — Triagem'!$D$8:$D$507,MATCH($B215,'E2 — Triagem'!$B$8:$B$507,0)),""))</f>
        <v/>
      </c>
      <c r="E215" s="423"/>
      <c r="F215" s="423"/>
      <c r="G215" s="423"/>
      <c r="H215" s="423"/>
      <c r="I215" s="424"/>
      <c r="J215" s="425" t="str">
        <f t="shared" si="4"/>
        <v/>
      </c>
      <c r="K215" s="422"/>
      <c r="L215" s="426"/>
    </row>
    <row r="216" spans="2:12" x14ac:dyDescent="0.35">
      <c r="B216" s="421" t="str">
        <f>IF(Lançamentos!$B211="","",Lançamentos!$B211)</f>
        <v/>
      </c>
      <c r="C216" s="422" t="str">
        <f>IF($B216="","",IFERROR(INDEX(Lançamentos!$J$3:$J$1001,MATCH($B216,Lançamentos!$B$3:$B$1001,0)),""))</f>
        <v/>
      </c>
      <c r="D216" s="423" t="str">
        <f>IF($B216="","",IFERROR(INDEX('E2 — Triagem'!$D$8:$D$507,MATCH($B216,'E2 — Triagem'!$B$8:$B$507,0)),""))</f>
        <v/>
      </c>
      <c r="E216" s="423"/>
      <c r="F216" s="423"/>
      <c r="G216" s="423"/>
      <c r="H216" s="423"/>
      <c r="I216" s="424"/>
      <c r="J216" s="425" t="str">
        <f t="shared" si="4"/>
        <v/>
      </c>
      <c r="K216" s="422"/>
      <c r="L216" s="426"/>
    </row>
    <row r="217" spans="2:12" x14ac:dyDescent="0.35">
      <c r="B217" s="421" t="str">
        <f>IF(Lançamentos!$B212="","",Lançamentos!$B212)</f>
        <v/>
      </c>
      <c r="C217" s="422" t="str">
        <f>IF($B217="","",IFERROR(INDEX(Lançamentos!$J$3:$J$1001,MATCH($B217,Lançamentos!$B$3:$B$1001,0)),""))</f>
        <v/>
      </c>
      <c r="D217" s="423" t="str">
        <f>IF($B217="","",IFERROR(INDEX('E2 — Triagem'!$D$8:$D$507,MATCH($B217,'E2 — Triagem'!$B$8:$B$507,0)),""))</f>
        <v/>
      </c>
      <c r="E217" s="423"/>
      <c r="F217" s="423"/>
      <c r="G217" s="423"/>
      <c r="H217" s="423"/>
      <c r="I217" s="424"/>
      <c r="J217" s="425" t="str">
        <f t="shared" si="4"/>
        <v/>
      </c>
      <c r="K217" s="422"/>
      <c r="L217" s="426"/>
    </row>
    <row r="218" spans="2:12" x14ac:dyDescent="0.35">
      <c r="B218" s="421" t="str">
        <f>IF(Lançamentos!$B213="","",Lançamentos!$B213)</f>
        <v/>
      </c>
      <c r="C218" s="422" t="str">
        <f>IF($B218="","",IFERROR(INDEX(Lançamentos!$J$3:$J$1001,MATCH($B218,Lançamentos!$B$3:$B$1001,0)),""))</f>
        <v/>
      </c>
      <c r="D218" s="423" t="str">
        <f>IF($B218="","",IFERROR(INDEX('E2 — Triagem'!$D$8:$D$507,MATCH($B218,'E2 — Triagem'!$B$8:$B$507,0)),""))</f>
        <v/>
      </c>
      <c r="E218" s="423"/>
      <c r="F218" s="423"/>
      <c r="G218" s="423"/>
      <c r="H218" s="423"/>
      <c r="I218" s="424"/>
      <c r="J218" s="425" t="str">
        <f t="shared" si="4"/>
        <v/>
      </c>
      <c r="K218" s="422"/>
      <c r="L218" s="426"/>
    </row>
    <row r="219" spans="2:12" x14ac:dyDescent="0.35">
      <c r="B219" s="421" t="str">
        <f>IF(Lançamentos!$B214="","",Lançamentos!$B214)</f>
        <v/>
      </c>
      <c r="C219" s="422" t="str">
        <f>IF($B219="","",IFERROR(INDEX(Lançamentos!$J$3:$J$1001,MATCH($B219,Lançamentos!$B$3:$B$1001,0)),""))</f>
        <v/>
      </c>
      <c r="D219" s="423" t="str">
        <f>IF($B219="","",IFERROR(INDEX('E2 — Triagem'!$D$8:$D$507,MATCH($B219,'E2 — Triagem'!$B$8:$B$507,0)),""))</f>
        <v/>
      </c>
      <c r="E219" s="423"/>
      <c r="F219" s="423"/>
      <c r="G219" s="423"/>
      <c r="H219" s="423"/>
      <c r="I219" s="424"/>
      <c r="J219" s="425" t="str">
        <f t="shared" si="4"/>
        <v/>
      </c>
      <c r="K219" s="422"/>
      <c r="L219" s="426"/>
    </row>
    <row r="220" spans="2:12" x14ac:dyDescent="0.35">
      <c r="B220" s="421" t="str">
        <f>IF(Lançamentos!$B215="","",Lançamentos!$B215)</f>
        <v/>
      </c>
      <c r="C220" s="422" t="str">
        <f>IF($B220="","",IFERROR(INDEX(Lançamentos!$J$3:$J$1001,MATCH($B220,Lançamentos!$B$3:$B$1001,0)),""))</f>
        <v/>
      </c>
      <c r="D220" s="423" t="str">
        <f>IF($B220="","",IFERROR(INDEX('E2 — Triagem'!$D$8:$D$507,MATCH($B220,'E2 — Triagem'!$B$8:$B$507,0)),""))</f>
        <v/>
      </c>
      <c r="E220" s="423"/>
      <c r="F220" s="423"/>
      <c r="G220" s="423"/>
      <c r="H220" s="423"/>
      <c r="I220" s="424"/>
      <c r="J220" s="425" t="str">
        <f t="shared" si="4"/>
        <v/>
      </c>
      <c r="K220" s="422"/>
      <c r="L220" s="426"/>
    </row>
    <row r="221" spans="2:12" x14ac:dyDescent="0.35">
      <c r="B221" s="421" t="str">
        <f>IF(Lançamentos!$B216="","",Lançamentos!$B216)</f>
        <v/>
      </c>
      <c r="C221" s="422" t="str">
        <f>IF($B221="","",IFERROR(INDEX(Lançamentos!$J$3:$J$1001,MATCH($B221,Lançamentos!$B$3:$B$1001,0)),""))</f>
        <v/>
      </c>
      <c r="D221" s="423" t="str">
        <f>IF($B221="","",IFERROR(INDEX('E2 — Triagem'!$D$8:$D$507,MATCH($B221,'E2 — Triagem'!$B$8:$B$507,0)),""))</f>
        <v/>
      </c>
      <c r="E221" s="423"/>
      <c r="F221" s="423"/>
      <c r="G221" s="423"/>
      <c r="H221" s="423"/>
      <c r="I221" s="424"/>
      <c r="J221" s="425" t="str">
        <f t="shared" si="4"/>
        <v/>
      </c>
      <c r="K221" s="422"/>
      <c r="L221" s="426"/>
    </row>
    <row r="222" spans="2:12" x14ac:dyDescent="0.35">
      <c r="B222" s="421" t="str">
        <f>IF(Lançamentos!$B217="","",Lançamentos!$B217)</f>
        <v/>
      </c>
      <c r="C222" s="422" t="str">
        <f>IF($B222="","",IFERROR(INDEX(Lançamentos!$J$3:$J$1001,MATCH($B222,Lançamentos!$B$3:$B$1001,0)),""))</f>
        <v/>
      </c>
      <c r="D222" s="423" t="str">
        <f>IF($B222="","",IFERROR(INDEX('E2 — Triagem'!$D$8:$D$507,MATCH($B222,'E2 — Triagem'!$B$8:$B$507,0)),""))</f>
        <v/>
      </c>
      <c r="E222" s="423"/>
      <c r="F222" s="423"/>
      <c r="G222" s="423"/>
      <c r="H222" s="423"/>
      <c r="I222" s="424"/>
      <c r="J222" s="425" t="str">
        <f t="shared" si="4"/>
        <v/>
      </c>
      <c r="K222" s="422"/>
      <c r="L222" s="426"/>
    </row>
    <row r="223" spans="2:12" x14ac:dyDescent="0.35">
      <c r="B223" s="421" t="str">
        <f>IF(Lançamentos!$B218="","",Lançamentos!$B218)</f>
        <v/>
      </c>
      <c r="C223" s="422" t="str">
        <f>IF($B223="","",IFERROR(INDEX(Lançamentos!$J$3:$J$1001,MATCH($B223,Lançamentos!$B$3:$B$1001,0)),""))</f>
        <v/>
      </c>
      <c r="D223" s="423" t="str">
        <f>IF($B223="","",IFERROR(INDEX('E2 — Triagem'!$D$8:$D$507,MATCH($B223,'E2 — Triagem'!$B$8:$B$507,0)),""))</f>
        <v/>
      </c>
      <c r="E223" s="423"/>
      <c r="F223" s="423"/>
      <c r="G223" s="423"/>
      <c r="H223" s="423"/>
      <c r="I223" s="424"/>
      <c r="J223" s="425" t="str">
        <f t="shared" si="4"/>
        <v/>
      </c>
      <c r="K223" s="422"/>
      <c r="L223" s="426"/>
    </row>
    <row r="224" spans="2:12" x14ac:dyDescent="0.35">
      <c r="B224" s="421" t="str">
        <f>IF(Lançamentos!$B219="","",Lançamentos!$B219)</f>
        <v/>
      </c>
      <c r="C224" s="422" t="str">
        <f>IF($B224="","",IFERROR(INDEX(Lançamentos!$J$3:$J$1001,MATCH($B224,Lançamentos!$B$3:$B$1001,0)),""))</f>
        <v/>
      </c>
      <c r="D224" s="423" t="str">
        <f>IF($B224="","",IFERROR(INDEX('E2 — Triagem'!$D$8:$D$507,MATCH($B224,'E2 — Triagem'!$B$8:$B$507,0)),""))</f>
        <v/>
      </c>
      <c r="E224" s="423"/>
      <c r="F224" s="423"/>
      <c r="G224" s="423"/>
      <c r="H224" s="423"/>
      <c r="I224" s="424"/>
      <c r="J224" s="425" t="str">
        <f t="shared" si="4"/>
        <v/>
      </c>
      <c r="K224" s="422"/>
      <c r="L224" s="426"/>
    </row>
    <row r="225" spans="2:12" x14ac:dyDescent="0.35">
      <c r="B225" s="421" t="str">
        <f>IF(Lançamentos!$B220="","",Lançamentos!$B220)</f>
        <v/>
      </c>
      <c r="C225" s="422" t="str">
        <f>IF($B225="","",IFERROR(INDEX(Lançamentos!$J$3:$J$1001,MATCH($B225,Lançamentos!$B$3:$B$1001,0)),""))</f>
        <v/>
      </c>
      <c r="D225" s="423" t="str">
        <f>IF($B225="","",IFERROR(INDEX('E2 — Triagem'!$D$8:$D$507,MATCH($B225,'E2 — Triagem'!$B$8:$B$507,0)),""))</f>
        <v/>
      </c>
      <c r="E225" s="423"/>
      <c r="F225" s="423"/>
      <c r="G225" s="423"/>
      <c r="H225" s="423"/>
      <c r="I225" s="424"/>
      <c r="J225" s="425" t="str">
        <f t="shared" si="4"/>
        <v/>
      </c>
      <c r="K225" s="422"/>
      <c r="L225" s="426"/>
    </row>
    <row r="226" spans="2:12" x14ac:dyDescent="0.35">
      <c r="B226" s="421" t="str">
        <f>IF(Lançamentos!$B221="","",Lançamentos!$B221)</f>
        <v/>
      </c>
      <c r="C226" s="422" t="str">
        <f>IF($B226="","",IFERROR(INDEX(Lançamentos!$J$3:$J$1001,MATCH($B226,Lançamentos!$B$3:$B$1001,0)),""))</f>
        <v/>
      </c>
      <c r="D226" s="423" t="str">
        <f>IF($B226="","",IFERROR(INDEX('E2 — Triagem'!$D$8:$D$507,MATCH($B226,'E2 — Triagem'!$B$8:$B$507,0)),""))</f>
        <v/>
      </c>
      <c r="E226" s="423"/>
      <c r="F226" s="423"/>
      <c r="G226" s="423"/>
      <c r="H226" s="423"/>
      <c r="I226" s="424"/>
      <c r="J226" s="425" t="str">
        <f t="shared" si="4"/>
        <v/>
      </c>
      <c r="K226" s="422"/>
      <c r="L226" s="426"/>
    </row>
    <row r="227" spans="2:12" x14ac:dyDescent="0.35">
      <c r="B227" s="421" t="str">
        <f>IF(Lançamentos!$B222="","",Lançamentos!$B222)</f>
        <v/>
      </c>
      <c r="C227" s="422" t="str">
        <f>IF($B227="","",IFERROR(INDEX(Lançamentos!$J$3:$J$1001,MATCH($B227,Lançamentos!$B$3:$B$1001,0)),""))</f>
        <v/>
      </c>
      <c r="D227" s="423" t="str">
        <f>IF($B227="","",IFERROR(INDEX('E2 — Triagem'!$D$8:$D$507,MATCH($B227,'E2 — Triagem'!$B$8:$B$507,0)),""))</f>
        <v/>
      </c>
      <c r="E227" s="423"/>
      <c r="F227" s="423"/>
      <c r="G227" s="423"/>
      <c r="H227" s="423"/>
      <c r="I227" s="424"/>
      <c r="J227" s="425" t="str">
        <f t="shared" si="4"/>
        <v/>
      </c>
      <c r="K227" s="422"/>
      <c r="L227" s="426"/>
    </row>
    <row r="228" spans="2:12" x14ac:dyDescent="0.35">
      <c r="B228" s="421" t="str">
        <f>IF(Lançamentos!$B223="","",Lançamentos!$B223)</f>
        <v/>
      </c>
      <c r="C228" s="422" t="str">
        <f>IF($B228="","",IFERROR(INDEX(Lançamentos!$J$3:$J$1001,MATCH($B228,Lançamentos!$B$3:$B$1001,0)),""))</f>
        <v/>
      </c>
      <c r="D228" s="423" t="str">
        <f>IF($B228="","",IFERROR(INDEX('E2 — Triagem'!$D$8:$D$507,MATCH($B228,'E2 — Triagem'!$B$8:$B$507,0)),""))</f>
        <v/>
      </c>
      <c r="E228" s="423"/>
      <c r="F228" s="423"/>
      <c r="G228" s="423"/>
      <c r="H228" s="423"/>
      <c r="I228" s="424"/>
      <c r="J228" s="425" t="str">
        <f t="shared" si="4"/>
        <v/>
      </c>
      <c r="K228" s="422"/>
      <c r="L228" s="426"/>
    </row>
    <row r="229" spans="2:12" x14ac:dyDescent="0.35">
      <c r="B229" s="421" t="str">
        <f>IF(Lançamentos!$B224="","",Lançamentos!$B224)</f>
        <v/>
      </c>
      <c r="C229" s="422" t="str">
        <f>IF($B229="","",IFERROR(INDEX(Lançamentos!$J$3:$J$1001,MATCH($B229,Lançamentos!$B$3:$B$1001,0)),""))</f>
        <v/>
      </c>
      <c r="D229" s="423" t="str">
        <f>IF($B229="","",IFERROR(INDEX('E2 — Triagem'!$D$8:$D$507,MATCH($B229,'E2 — Triagem'!$B$8:$B$507,0)),""))</f>
        <v/>
      </c>
      <c r="E229" s="423"/>
      <c r="F229" s="423"/>
      <c r="G229" s="423"/>
      <c r="H229" s="423"/>
      <c r="I229" s="424"/>
      <c r="J229" s="425" t="str">
        <f t="shared" si="4"/>
        <v/>
      </c>
      <c r="K229" s="422"/>
      <c r="L229" s="426"/>
    </row>
    <row r="230" spans="2:12" x14ac:dyDescent="0.35">
      <c r="B230" s="421" t="str">
        <f>IF(Lançamentos!$B225="","",Lançamentos!$B225)</f>
        <v/>
      </c>
      <c r="C230" s="422" t="str">
        <f>IF($B230="","",IFERROR(INDEX(Lançamentos!$J$3:$J$1001,MATCH($B230,Lançamentos!$B$3:$B$1001,0)),""))</f>
        <v/>
      </c>
      <c r="D230" s="423" t="str">
        <f>IF($B230="","",IFERROR(INDEX('E2 — Triagem'!$D$8:$D$507,MATCH($B230,'E2 — Triagem'!$B$8:$B$507,0)),""))</f>
        <v/>
      </c>
      <c r="E230" s="423"/>
      <c r="F230" s="423"/>
      <c r="G230" s="423"/>
      <c r="H230" s="423"/>
      <c r="I230" s="424"/>
      <c r="J230" s="425" t="str">
        <f t="shared" si="4"/>
        <v/>
      </c>
      <c r="K230" s="422"/>
      <c r="L230" s="426"/>
    </row>
    <row r="231" spans="2:12" x14ac:dyDescent="0.35">
      <c r="B231" s="421" t="str">
        <f>IF(Lançamentos!$B226="","",Lançamentos!$B226)</f>
        <v/>
      </c>
      <c r="C231" s="422" t="str">
        <f>IF($B231="","",IFERROR(INDEX(Lançamentos!$J$3:$J$1001,MATCH($B231,Lançamentos!$B$3:$B$1001,0)),""))</f>
        <v/>
      </c>
      <c r="D231" s="423" t="str">
        <f>IF($B231="","",IFERROR(INDEX('E2 — Triagem'!$D$8:$D$507,MATCH($B231,'E2 — Triagem'!$B$8:$B$507,0)),""))</f>
        <v/>
      </c>
      <c r="E231" s="423"/>
      <c r="F231" s="423"/>
      <c r="G231" s="423"/>
      <c r="H231" s="423"/>
      <c r="I231" s="424"/>
      <c r="J231" s="425" t="str">
        <f t="shared" si="4"/>
        <v/>
      </c>
      <c r="K231" s="422"/>
      <c r="L231" s="426"/>
    </row>
    <row r="232" spans="2:12" x14ac:dyDescent="0.35">
      <c r="B232" s="421" t="str">
        <f>IF(Lançamentos!$B227="","",Lançamentos!$B227)</f>
        <v/>
      </c>
      <c r="C232" s="422" t="str">
        <f>IF($B232="","",IFERROR(INDEX(Lançamentos!$J$3:$J$1001,MATCH($B232,Lançamentos!$B$3:$B$1001,0)),""))</f>
        <v/>
      </c>
      <c r="D232" s="423" t="str">
        <f>IF($B232="","",IFERROR(INDEX('E2 — Triagem'!$D$8:$D$507,MATCH($B232,'E2 — Triagem'!$B$8:$B$507,0)),""))</f>
        <v/>
      </c>
      <c r="E232" s="423"/>
      <c r="F232" s="423"/>
      <c r="G232" s="423"/>
      <c r="H232" s="423"/>
      <c r="I232" s="424"/>
      <c r="J232" s="425" t="str">
        <f t="shared" si="4"/>
        <v/>
      </c>
      <c r="K232" s="422"/>
      <c r="L232" s="426"/>
    </row>
    <row r="233" spans="2:12" x14ac:dyDescent="0.35">
      <c r="B233" s="421" t="str">
        <f>IF(Lançamentos!$B228="","",Lançamentos!$B228)</f>
        <v/>
      </c>
      <c r="C233" s="422" t="str">
        <f>IF($B233="","",IFERROR(INDEX(Lançamentos!$J$3:$J$1001,MATCH($B233,Lançamentos!$B$3:$B$1001,0)),""))</f>
        <v/>
      </c>
      <c r="D233" s="423" t="str">
        <f>IF($B233="","",IFERROR(INDEX('E2 — Triagem'!$D$8:$D$507,MATCH($B233,'E2 — Triagem'!$B$8:$B$507,0)),""))</f>
        <v/>
      </c>
      <c r="E233" s="423"/>
      <c r="F233" s="423"/>
      <c r="G233" s="423"/>
      <c r="H233" s="423"/>
      <c r="I233" s="424"/>
      <c r="J233" s="425" t="str">
        <f t="shared" si="4"/>
        <v/>
      </c>
      <c r="K233" s="422"/>
      <c r="L233" s="426"/>
    </row>
    <row r="234" spans="2:12" x14ac:dyDescent="0.35">
      <c r="B234" s="421" t="str">
        <f>IF(Lançamentos!$B229="","",Lançamentos!$B229)</f>
        <v/>
      </c>
      <c r="C234" s="422" t="str">
        <f>IF($B234="","",IFERROR(INDEX(Lançamentos!$J$3:$J$1001,MATCH($B234,Lançamentos!$B$3:$B$1001,0)),""))</f>
        <v/>
      </c>
      <c r="D234" s="423" t="str">
        <f>IF($B234="","",IFERROR(INDEX('E2 — Triagem'!$D$8:$D$507,MATCH($B234,'E2 — Triagem'!$B$8:$B$507,0)),""))</f>
        <v/>
      </c>
      <c r="E234" s="423"/>
      <c r="F234" s="423"/>
      <c r="G234" s="423"/>
      <c r="H234" s="423"/>
      <c r="I234" s="424"/>
      <c r="J234" s="425" t="str">
        <f t="shared" si="4"/>
        <v/>
      </c>
      <c r="K234" s="422"/>
      <c r="L234" s="426"/>
    </row>
    <row r="235" spans="2:12" x14ac:dyDescent="0.35">
      <c r="B235" s="421" t="str">
        <f>IF(Lançamentos!$B230="","",Lançamentos!$B230)</f>
        <v/>
      </c>
      <c r="C235" s="422" t="str">
        <f>IF($B235="","",IFERROR(INDEX(Lançamentos!$J$3:$J$1001,MATCH($B235,Lançamentos!$B$3:$B$1001,0)),""))</f>
        <v/>
      </c>
      <c r="D235" s="423" t="str">
        <f>IF($B235="","",IFERROR(INDEX('E2 — Triagem'!$D$8:$D$507,MATCH($B235,'E2 — Triagem'!$B$8:$B$507,0)),""))</f>
        <v/>
      </c>
      <c r="E235" s="423"/>
      <c r="F235" s="423"/>
      <c r="G235" s="423"/>
      <c r="H235" s="423"/>
      <c r="I235" s="424"/>
      <c r="J235" s="425" t="str">
        <f t="shared" si="4"/>
        <v/>
      </c>
      <c r="K235" s="422"/>
      <c r="L235" s="426"/>
    </row>
    <row r="236" spans="2:12" x14ac:dyDescent="0.35">
      <c r="B236" s="421" t="str">
        <f>IF(Lançamentos!$B231="","",Lançamentos!$B231)</f>
        <v/>
      </c>
      <c r="C236" s="422" t="str">
        <f>IF($B236="","",IFERROR(INDEX(Lançamentos!$J$3:$J$1001,MATCH($B236,Lançamentos!$B$3:$B$1001,0)),""))</f>
        <v/>
      </c>
      <c r="D236" s="423" t="str">
        <f>IF($B236="","",IFERROR(INDEX('E2 — Triagem'!$D$8:$D$507,MATCH($B236,'E2 — Triagem'!$B$8:$B$507,0)),""))</f>
        <v/>
      </c>
      <c r="E236" s="423"/>
      <c r="F236" s="423"/>
      <c r="G236" s="423"/>
      <c r="H236" s="423"/>
      <c r="I236" s="424"/>
      <c r="J236" s="425" t="str">
        <f t="shared" si="4"/>
        <v/>
      </c>
      <c r="K236" s="422"/>
      <c r="L236" s="426"/>
    </row>
    <row r="237" spans="2:12" x14ac:dyDescent="0.35">
      <c r="B237" s="421" t="str">
        <f>IF(Lançamentos!$B232="","",Lançamentos!$B232)</f>
        <v/>
      </c>
      <c r="C237" s="422" t="str">
        <f>IF($B237="","",IFERROR(INDEX(Lançamentos!$J$3:$J$1001,MATCH($B237,Lançamentos!$B$3:$B$1001,0)),""))</f>
        <v/>
      </c>
      <c r="D237" s="423" t="str">
        <f>IF($B237="","",IFERROR(INDEX('E2 — Triagem'!$D$8:$D$507,MATCH($B237,'E2 — Triagem'!$B$8:$B$507,0)),""))</f>
        <v/>
      </c>
      <c r="E237" s="423"/>
      <c r="F237" s="423"/>
      <c r="G237" s="423"/>
      <c r="H237" s="423"/>
      <c r="I237" s="424"/>
      <c r="J237" s="425" t="str">
        <f t="shared" si="4"/>
        <v/>
      </c>
      <c r="K237" s="422"/>
      <c r="L237" s="426"/>
    </row>
    <row r="238" spans="2:12" x14ac:dyDescent="0.35">
      <c r="B238" s="421" t="str">
        <f>IF(Lançamentos!$B233="","",Lançamentos!$B233)</f>
        <v/>
      </c>
      <c r="C238" s="422" t="str">
        <f>IF($B238="","",IFERROR(INDEX(Lançamentos!$J$3:$J$1001,MATCH($B238,Lançamentos!$B$3:$B$1001,0)),""))</f>
        <v/>
      </c>
      <c r="D238" s="423" t="str">
        <f>IF($B238="","",IFERROR(INDEX('E2 — Triagem'!$D$8:$D$507,MATCH($B238,'E2 — Triagem'!$B$8:$B$507,0)),""))</f>
        <v/>
      </c>
      <c r="E238" s="423"/>
      <c r="F238" s="423"/>
      <c r="G238" s="423"/>
      <c r="H238" s="423"/>
      <c r="I238" s="424"/>
      <c r="J238" s="425" t="str">
        <f t="shared" si="4"/>
        <v/>
      </c>
      <c r="K238" s="422"/>
      <c r="L238" s="426"/>
    </row>
    <row r="239" spans="2:12" x14ac:dyDescent="0.35">
      <c r="B239" s="421" t="str">
        <f>IF(Lançamentos!$B234="","",Lançamentos!$B234)</f>
        <v/>
      </c>
      <c r="C239" s="422" t="str">
        <f>IF($B239="","",IFERROR(INDEX(Lançamentos!$J$3:$J$1001,MATCH($B239,Lançamentos!$B$3:$B$1001,0)),""))</f>
        <v/>
      </c>
      <c r="D239" s="423" t="str">
        <f>IF($B239="","",IFERROR(INDEX('E2 — Triagem'!$D$8:$D$507,MATCH($B239,'E2 — Triagem'!$B$8:$B$507,0)),""))</f>
        <v/>
      </c>
      <c r="E239" s="423"/>
      <c r="F239" s="423"/>
      <c r="G239" s="423"/>
      <c r="H239" s="423"/>
      <c r="I239" s="424"/>
      <c r="J239" s="425" t="str">
        <f t="shared" si="4"/>
        <v/>
      </c>
      <c r="K239" s="422"/>
      <c r="L239" s="426"/>
    </row>
    <row r="240" spans="2:12" x14ac:dyDescent="0.35">
      <c r="B240" s="421" t="str">
        <f>IF(Lançamentos!$B235="","",Lançamentos!$B235)</f>
        <v/>
      </c>
      <c r="C240" s="422" t="str">
        <f>IF($B240="","",IFERROR(INDEX(Lançamentos!$J$3:$J$1001,MATCH($B240,Lançamentos!$B$3:$B$1001,0)),""))</f>
        <v/>
      </c>
      <c r="D240" s="423" t="str">
        <f>IF($B240="","",IFERROR(INDEX('E2 — Triagem'!$D$8:$D$507,MATCH($B240,'E2 — Triagem'!$B$8:$B$507,0)),""))</f>
        <v/>
      </c>
      <c r="E240" s="423"/>
      <c r="F240" s="423"/>
      <c r="G240" s="423"/>
      <c r="H240" s="423"/>
      <c r="I240" s="424"/>
      <c r="J240" s="425" t="str">
        <f t="shared" si="4"/>
        <v/>
      </c>
      <c r="K240" s="422"/>
      <c r="L240" s="426"/>
    </row>
    <row r="241" spans="2:12" x14ac:dyDescent="0.35">
      <c r="B241" s="421" t="str">
        <f>IF(Lançamentos!$B236="","",Lançamentos!$B236)</f>
        <v/>
      </c>
      <c r="C241" s="422" t="str">
        <f>IF($B241="","",IFERROR(INDEX(Lançamentos!$J$3:$J$1001,MATCH($B241,Lançamentos!$B$3:$B$1001,0)),""))</f>
        <v/>
      </c>
      <c r="D241" s="423" t="str">
        <f>IF($B241="","",IFERROR(INDEX('E2 — Triagem'!$D$8:$D$507,MATCH($B241,'E2 — Triagem'!$B$8:$B$507,0)),""))</f>
        <v/>
      </c>
      <c r="E241" s="423"/>
      <c r="F241" s="423"/>
      <c r="G241" s="423"/>
      <c r="H241" s="423"/>
      <c r="I241" s="424"/>
      <c r="J241" s="425" t="str">
        <f t="shared" si="4"/>
        <v/>
      </c>
      <c r="K241" s="422"/>
      <c r="L241" s="426"/>
    </row>
    <row r="242" spans="2:12" x14ac:dyDescent="0.35">
      <c r="B242" s="421" t="str">
        <f>IF(Lançamentos!$B237="","",Lançamentos!$B237)</f>
        <v/>
      </c>
      <c r="C242" s="422" t="str">
        <f>IF($B242="","",IFERROR(INDEX(Lançamentos!$J$3:$J$1001,MATCH($B242,Lançamentos!$B$3:$B$1001,0)),""))</f>
        <v/>
      </c>
      <c r="D242" s="423" t="str">
        <f>IF($B242="","",IFERROR(INDEX('E2 — Triagem'!$D$8:$D$507,MATCH($B242,'E2 — Triagem'!$B$8:$B$507,0)),""))</f>
        <v/>
      </c>
      <c r="E242" s="423"/>
      <c r="F242" s="423"/>
      <c r="G242" s="423"/>
      <c r="H242" s="423"/>
      <c r="I242" s="424"/>
      <c r="J242" s="425" t="str">
        <f t="shared" si="4"/>
        <v/>
      </c>
      <c r="K242" s="422"/>
      <c r="L242" s="426"/>
    </row>
    <row r="243" spans="2:12" x14ac:dyDescent="0.35">
      <c r="B243" s="421" t="str">
        <f>IF(Lançamentos!$B238="","",Lançamentos!$B238)</f>
        <v/>
      </c>
      <c r="C243" s="422" t="str">
        <f>IF($B243="","",IFERROR(INDEX(Lançamentos!$J$3:$J$1001,MATCH($B243,Lançamentos!$B$3:$B$1001,0)),""))</f>
        <v/>
      </c>
      <c r="D243" s="423" t="str">
        <f>IF($B243="","",IFERROR(INDEX('E2 — Triagem'!$D$8:$D$507,MATCH($B243,'E2 — Triagem'!$B$8:$B$507,0)),""))</f>
        <v/>
      </c>
      <c r="E243" s="423"/>
      <c r="F243" s="423"/>
      <c r="G243" s="423"/>
      <c r="H243" s="423"/>
      <c r="I243" s="424"/>
      <c r="J243" s="425" t="str">
        <f t="shared" si="4"/>
        <v/>
      </c>
      <c r="K243" s="422"/>
      <c r="L243" s="426"/>
    </row>
    <row r="244" spans="2:12" x14ac:dyDescent="0.35">
      <c r="B244" s="421" t="str">
        <f>IF(Lançamentos!$B239="","",Lançamentos!$B239)</f>
        <v/>
      </c>
      <c r="C244" s="422" t="str">
        <f>IF($B244="","",IFERROR(INDEX(Lançamentos!$J$3:$J$1001,MATCH($B244,Lançamentos!$B$3:$B$1001,0)),""))</f>
        <v/>
      </c>
      <c r="D244" s="423" t="str">
        <f>IF($B244="","",IFERROR(INDEX('E2 — Triagem'!$D$8:$D$507,MATCH($B244,'E2 — Triagem'!$B$8:$B$507,0)),""))</f>
        <v/>
      </c>
      <c r="E244" s="423"/>
      <c r="F244" s="423"/>
      <c r="G244" s="423"/>
      <c r="H244" s="423"/>
      <c r="I244" s="424"/>
      <c r="J244" s="425" t="str">
        <f t="shared" si="4"/>
        <v/>
      </c>
      <c r="K244" s="422"/>
      <c r="L244" s="426"/>
    </row>
    <row r="245" spans="2:12" x14ac:dyDescent="0.35">
      <c r="B245" s="421" t="str">
        <f>IF(Lançamentos!$B240="","",Lançamentos!$B240)</f>
        <v/>
      </c>
      <c r="C245" s="422" t="str">
        <f>IF($B245="","",IFERROR(INDEX(Lançamentos!$J$3:$J$1001,MATCH($B245,Lançamentos!$B$3:$B$1001,0)),""))</f>
        <v/>
      </c>
      <c r="D245" s="423" t="str">
        <f>IF($B245="","",IFERROR(INDEX('E2 — Triagem'!$D$8:$D$507,MATCH($B245,'E2 — Triagem'!$B$8:$B$507,0)),""))</f>
        <v/>
      </c>
      <c r="E245" s="423"/>
      <c r="F245" s="423"/>
      <c r="G245" s="423"/>
      <c r="H245" s="423"/>
      <c r="I245" s="424"/>
      <c r="J245" s="425" t="str">
        <f t="shared" si="4"/>
        <v/>
      </c>
      <c r="K245" s="422"/>
      <c r="L245" s="426"/>
    </row>
    <row r="246" spans="2:12" x14ac:dyDescent="0.35">
      <c r="B246" s="421" t="str">
        <f>IF(Lançamentos!$B241="","",Lançamentos!$B241)</f>
        <v/>
      </c>
      <c r="C246" s="422" t="str">
        <f>IF($B246="","",IFERROR(INDEX(Lançamentos!$J$3:$J$1001,MATCH($B246,Lançamentos!$B$3:$B$1001,0)),""))</f>
        <v/>
      </c>
      <c r="D246" s="423" t="str">
        <f>IF($B246="","",IFERROR(INDEX('E2 — Triagem'!$D$8:$D$507,MATCH($B246,'E2 — Triagem'!$B$8:$B$507,0)),""))</f>
        <v/>
      </c>
      <c r="E246" s="423"/>
      <c r="F246" s="423"/>
      <c r="G246" s="423"/>
      <c r="H246" s="423"/>
      <c r="I246" s="424"/>
      <c r="J246" s="425" t="str">
        <f t="shared" si="4"/>
        <v/>
      </c>
      <c r="K246" s="422"/>
      <c r="L246" s="426"/>
    </row>
    <row r="247" spans="2:12" x14ac:dyDescent="0.35">
      <c r="B247" s="421" t="str">
        <f>IF(Lançamentos!$B242="","",Lançamentos!$B242)</f>
        <v/>
      </c>
      <c r="C247" s="422" t="str">
        <f>IF($B247="","",IFERROR(INDEX(Lançamentos!$J$3:$J$1001,MATCH($B247,Lançamentos!$B$3:$B$1001,0)),""))</f>
        <v/>
      </c>
      <c r="D247" s="423" t="str">
        <f>IF($B247="","",IFERROR(INDEX('E2 — Triagem'!$D$8:$D$507,MATCH($B247,'E2 — Triagem'!$B$8:$B$507,0)),""))</f>
        <v/>
      </c>
      <c r="E247" s="423"/>
      <c r="F247" s="423"/>
      <c r="G247" s="423"/>
      <c r="H247" s="423"/>
      <c r="I247" s="424"/>
      <c r="J247" s="425" t="str">
        <f t="shared" si="4"/>
        <v/>
      </c>
      <c r="K247" s="422"/>
      <c r="L247" s="426"/>
    </row>
    <row r="248" spans="2:12" x14ac:dyDescent="0.35">
      <c r="B248" s="421" t="str">
        <f>IF(Lançamentos!$B243="","",Lançamentos!$B243)</f>
        <v/>
      </c>
      <c r="C248" s="422" t="str">
        <f>IF($B248="","",IFERROR(INDEX(Lançamentos!$J$3:$J$1001,MATCH($B248,Lançamentos!$B$3:$B$1001,0)),""))</f>
        <v/>
      </c>
      <c r="D248" s="423" t="str">
        <f>IF($B248="","",IFERROR(INDEX('E2 — Triagem'!$D$8:$D$507,MATCH($B248,'E2 — Triagem'!$B$8:$B$507,0)),""))</f>
        <v/>
      </c>
      <c r="E248" s="423"/>
      <c r="F248" s="423"/>
      <c r="G248" s="423"/>
      <c r="H248" s="423"/>
      <c r="I248" s="424"/>
      <c r="J248" s="425" t="str">
        <f t="shared" si="4"/>
        <v/>
      </c>
      <c r="K248" s="422"/>
      <c r="L248" s="426"/>
    </row>
    <row r="249" spans="2:12" x14ac:dyDescent="0.35">
      <c r="B249" s="421" t="str">
        <f>IF(Lançamentos!$B244="","",Lançamentos!$B244)</f>
        <v/>
      </c>
      <c r="C249" s="422" t="str">
        <f>IF($B249="","",IFERROR(INDEX(Lançamentos!$J$3:$J$1001,MATCH($B249,Lançamentos!$B$3:$B$1001,0)),""))</f>
        <v/>
      </c>
      <c r="D249" s="423" t="str">
        <f>IF($B249="","",IFERROR(INDEX('E2 — Triagem'!$D$8:$D$507,MATCH($B249,'E2 — Triagem'!$B$8:$B$507,0)),""))</f>
        <v/>
      </c>
      <c r="E249" s="423"/>
      <c r="F249" s="423"/>
      <c r="G249" s="423"/>
      <c r="H249" s="423"/>
      <c r="I249" s="424"/>
      <c r="J249" s="425" t="str">
        <f t="shared" si="4"/>
        <v/>
      </c>
      <c r="K249" s="422"/>
      <c r="L249" s="426"/>
    </row>
    <row r="250" spans="2:12" x14ac:dyDescent="0.35">
      <c r="B250" s="421" t="str">
        <f>IF(Lançamentos!$B245="","",Lançamentos!$B245)</f>
        <v/>
      </c>
      <c r="C250" s="422" t="str">
        <f>IF($B250="","",IFERROR(INDEX(Lançamentos!$J$3:$J$1001,MATCH($B250,Lançamentos!$B$3:$B$1001,0)),""))</f>
        <v/>
      </c>
      <c r="D250" s="423" t="str">
        <f>IF($B250="","",IFERROR(INDEX('E2 — Triagem'!$D$8:$D$507,MATCH($B250,'E2 — Triagem'!$B$8:$B$507,0)),""))</f>
        <v/>
      </c>
      <c r="E250" s="423"/>
      <c r="F250" s="423"/>
      <c r="G250" s="423"/>
      <c r="H250" s="423"/>
      <c r="I250" s="424"/>
      <c r="J250" s="425" t="str">
        <f t="shared" si="4"/>
        <v/>
      </c>
      <c r="K250" s="422"/>
      <c r="L250" s="426"/>
    </row>
    <row r="251" spans="2:12" x14ac:dyDescent="0.35">
      <c r="B251" s="421" t="str">
        <f>IF(Lançamentos!$B246="","",Lançamentos!$B246)</f>
        <v/>
      </c>
      <c r="C251" s="422" t="str">
        <f>IF($B251="","",IFERROR(INDEX(Lançamentos!$J$3:$J$1001,MATCH($B251,Lançamentos!$B$3:$B$1001,0)),""))</f>
        <v/>
      </c>
      <c r="D251" s="423" t="str">
        <f>IF($B251="","",IFERROR(INDEX('E2 — Triagem'!$D$8:$D$507,MATCH($B251,'E2 — Triagem'!$B$8:$B$507,0)),""))</f>
        <v/>
      </c>
      <c r="E251" s="423"/>
      <c r="F251" s="423"/>
      <c r="G251" s="423"/>
      <c r="H251" s="423"/>
      <c r="I251" s="424"/>
      <c r="J251" s="425" t="str">
        <f t="shared" si="4"/>
        <v/>
      </c>
      <c r="K251" s="422"/>
      <c r="L251" s="426"/>
    </row>
    <row r="252" spans="2:12" x14ac:dyDescent="0.35">
      <c r="B252" s="421" t="str">
        <f>IF(Lançamentos!$B247="","",Lançamentos!$B247)</f>
        <v/>
      </c>
      <c r="C252" s="422" t="str">
        <f>IF($B252="","",IFERROR(INDEX(Lançamentos!$J$3:$J$1001,MATCH($B252,Lançamentos!$B$3:$B$1001,0)),""))</f>
        <v/>
      </c>
      <c r="D252" s="423" t="str">
        <f>IF($B252="","",IFERROR(INDEX('E2 — Triagem'!$D$8:$D$507,MATCH($B252,'E2 — Triagem'!$B$8:$B$507,0)),""))</f>
        <v/>
      </c>
      <c r="E252" s="423"/>
      <c r="F252" s="423"/>
      <c r="G252" s="423"/>
      <c r="H252" s="423"/>
      <c r="I252" s="424"/>
      <c r="J252" s="425" t="str">
        <f t="shared" si="4"/>
        <v/>
      </c>
      <c r="K252" s="422"/>
      <c r="L252" s="426"/>
    </row>
    <row r="253" spans="2:12" x14ac:dyDescent="0.35">
      <c r="B253" s="421" t="str">
        <f>IF(Lançamentos!$B248="","",Lançamentos!$B248)</f>
        <v/>
      </c>
      <c r="C253" s="422" t="str">
        <f>IF($B253="","",IFERROR(INDEX(Lançamentos!$J$3:$J$1001,MATCH($B253,Lançamentos!$B$3:$B$1001,0)),""))</f>
        <v/>
      </c>
      <c r="D253" s="423" t="str">
        <f>IF($B253="","",IFERROR(INDEX('E2 — Triagem'!$D$8:$D$507,MATCH($B253,'E2 — Triagem'!$B$8:$B$507,0)),""))</f>
        <v/>
      </c>
      <c r="E253" s="423"/>
      <c r="F253" s="423"/>
      <c r="G253" s="423"/>
      <c r="H253" s="423"/>
      <c r="I253" s="424"/>
      <c r="J253" s="425" t="str">
        <f t="shared" si="4"/>
        <v/>
      </c>
      <c r="K253" s="422"/>
      <c r="L253" s="426"/>
    </row>
    <row r="254" spans="2:12" x14ac:dyDescent="0.35">
      <c r="B254" s="421" t="str">
        <f>IF(Lançamentos!$B249="","",Lançamentos!$B249)</f>
        <v/>
      </c>
      <c r="C254" s="422" t="str">
        <f>IF($B254="","",IFERROR(INDEX(Lançamentos!$J$3:$J$1001,MATCH($B254,Lançamentos!$B$3:$B$1001,0)),""))</f>
        <v/>
      </c>
      <c r="D254" s="423" t="str">
        <f>IF($B254="","",IFERROR(INDEX('E2 — Triagem'!$D$8:$D$507,MATCH($B254,'E2 — Triagem'!$B$8:$B$507,0)),""))</f>
        <v/>
      </c>
      <c r="E254" s="423"/>
      <c r="F254" s="423"/>
      <c r="G254" s="423"/>
      <c r="H254" s="423"/>
      <c r="I254" s="424"/>
      <c r="J254" s="425" t="str">
        <f t="shared" si="4"/>
        <v/>
      </c>
      <c r="K254" s="422"/>
      <c r="L254" s="426"/>
    </row>
    <row r="255" spans="2:12" x14ac:dyDescent="0.35">
      <c r="B255" s="421" t="str">
        <f>IF(Lançamentos!$B250="","",Lançamentos!$B250)</f>
        <v/>
      </c>
      <c r="C255" s="422" t="str">
        <f>IF($B255="","",IFERROR(INDEX(Lançamentos!$J$3:$J$1001,MATCH($B255,Lançamentos!$B$3:$B$1001,0)),""))</f>
        <v/>
      </c>
      <c r="D255" s="423" t="str">
        <f>IF($B255="","",IFERROR(INDEX('E2 — Triagem'!$D$8:$D$507,MATCH($B255,'E2 — Triagem'!$B$8:$B$507,0)),""))</f>
        <v/>
      </c>
      <c r="E255" s="423"/>
      <c r="F255" s="423"/>
      <c r="G255" s="423"/>
      <c r="H255" s="423"/>
      <c r="I255" s="424"/>
      <c r="J255" s="425" t="str">
        <f t="shared" si="4"/>
        <v/>
      </c>
      <c r="K255" s="422"/>
      <c r="L255" s="426"/>
    </row>
    <row r="256" spans="2:12" x14ac:dyDescent="0.35">
      <c r="B256" s="421" t="str">
        <f>IF(Lançamentos!$B251="","",Lançamentos!$B251)</f>
        <v/>
      </c>
      <c r="C256" s="422" t="str">
        <f>IF($B256="","",IFERROR(INDEX(Lançamentos!$J$3:$J$1001,MATCH($B256,Lançamentos!$B$3:$B$1001,0)),""))</f>
        <v/>
      </c>
      <c r="D256" s="423" t="str">
        <f>IF($B256="","",IFERROR(INDEX('E2 — Triagem'!$D$8:$D$507,MATCH($B256,'E2 — Triagem'!$B$8:$B$507,0)),""))</f>
        <v/>
      </c>
      <c r="E256" s="423"/>
      <c r="F256" s="423"/>
      <c r="G256" s="423"/>
      <c r="H256" s="423"/>
      <c r="I256" s="424"/>
      <c r="J256" s="425" t="str">
        <f t="shared" si="4"/>
        <v/>
      </c>
      <c r="K256" s="422"/>
      <c r="L256" s="426"/>
    </row>
    <row r="257" spans="2:12" x14ac:dyDescent="0.35">
      <c r="B257" s="421" t="str">
        <f>IF(Lançamentos!$B252="","",Lançamentos!$B252)</f>
        <v/>
      </c>
      <c r="C257" s="422" t="str">
        <f>IF($B257="","",IFERROR(INDEX(Lançamentos!$J$3:$J$1001,MATCH($B257,Lançamentos!$B$3:$B$1001,0)),""))</f>
        <v/>
      </c>
      <c r="D257" s="423" t="str">
        <f>IF($B257="","",IFERROR(INDEX('E2 — Triagem'!$D$8:$D$507,MATCH($B257,'E2 — Triagem'!$B$8:$B$507,0)),""))</f>
        <v/>
      </c>
      <c r="E257" s="423"/>
      <c r="F257" s="423"/>
      <c r="G257" s="423"/>
      <c r="H257" s="423"/>
      <c r="I257" s="424"/>
      <c r="J257" s="425" t="str">
        <f t="shared" si="4"/>
        <v/>
      </c>
      <c r="K257" s="422"/>
      <c r="L257" s="426"/>
    </row>
    <row r="258" spans="2:12" x14ac:dyDescent="0.35">
      <c r="B258" s="421" t="str">
        <f>IF(Lançamentos!$B253="","",Lançamentos!$B253)</f>
        <v/>
      </c>
      <c r="C258" s="422" t="str">
        <f>IF($B258="","",IFERROR(INDEX(Lançamentos!$J$3:$J$1001,MATCH($B258,Lançamentos!$B$3:$B$1001,0)),""))</f>
        <v/>
      </c>
      <c r="D258" s="423" t="str">
        <f>IF($B258="","",IFERROR(INDEX('E2 — Triagem'!$D$8:$D$507,MATCH($B258,'E2 — Triagem'!$B$8:$B$507,0)),""))</f>
        <v/>
      </c>
      <c r="E258" s="423"/>
      <c r="F258" s="423"/>
      <c r="G258" s="423"/>
      <c r="H258" s="423"/>
      <c r="I258" s="424"/>
      <c r="J258" s="425" t="str">
        <f t="shared" si="4"/>
        <v/>
      </c>
      <c r="K258" s="422"/>
      <c r="L258" s="426"/>
    </row>
    <row r="259" spans="2:12" x14ac:dyDescent="0.35">
      <c r="B259" s="421" t="str">
        <f>IF(Lançamentos!$B254="","",Lançamentos!$B254)</f>
        <v/>
      </c>
      <c r="C259" s="422" t="str">
        <f>IF($B259="","",IFERROR(INDEX(Lançamentos!$J$3:$J$1001,MATCH($B259,Lançamentos!$B$3:$B$1001,0)),""))</f>
        <v/>
      </c>
      <c r="D259" s="423" t="str">
        <f>IF($B259="","",IFERROR(INDEX('E2 — Triagem'!$D$8:$D$507,MATCH($B259,'E2 — Triagem'!$B$8:$B$507,0)),""))</f>
        <v/>
      </c>
      <c r="E259" s="423"/>
      <c r="F259" s="423"/>
      <c r="G259" s="423"/>
      <c r="H259" s="423"/>
      <c r="I259" s="424"/>
      <c r="J259" s="425" t="str">
        <f t="shared" si="4"/>
        <v/>
      </c>
      <c r="K259" s="422"/>
      <c r="L259" s="426"/>
    </row>
    <row r="260" spans="2:12" x14ac:dyDescent="0.35">
      <c r="B260" s="421" t="str">
        <f>IF(Lançamentos!$B255="","",Lançamentos!$B255)</f>
        <v/>
      </c>
      <c r="C260" s="422" t="str">
        <f>IF($B260="","",IFERROR(INDEX(Lançamentos!$J$3:$J$1001,MATCH($B260,Lançamentos!$B$3:$B$1001,0)),""))</f>
        <v/>
      </c>
      <c r="D260" s="423" t="str">
        <f>IF($B260="","",IFERROR(INDEX('E2 — Triagem'!$D$8:$D$507,MATCH($B260,'E2 — Triagem'!$B$8:$B$507,0)),""))</f>
        <v/>
      </c>
      <c r="E260" s="423"/>
      <c r="F260" s="423"/>
      <c r="G260" s="423"/>
      <c r="H260" s="423"/>
      <c r="I260" s="424"/>
      <c r="J260" s="425" t="str">
        <f t="shared" si="4"/>
        <v/>
      </c>
      <c r="K260" s="422"/>
      <c r="L260" s="426"/>
    </row>
    <row r="261" spans="2:12" x14ac:dyDescent="0.35">
      <c r="B261" s="421" t="str">
        <f>IF(Lançamentos!$B256="","",Lançamentos!$B256)</f>
        <v/>
      </c>
      <c r="C261" s="422" t="str">
        <f>IF($B261="","",IFERROR(INDEX(Lançamentos!$J$3:$J$1001,MATCH($B261,Lançamentos!$B$3:$B$1001,0)),""))</f>
        <v/>
      </c>
      <c r="D261" s="423" t="str">
        <f>IF($B261="","",IFERROR(INDEX('E2 — Triagem'!$D$8:$D$507,MATCH($B261,'E2 — Triagem'!$B$8:$B$507,0)),""))</f>
        <v/>
      </c>
      <c r="E261" s="423"/>
      <c r="F261" s="423"/>
      <c r="G261" s="423"/>
      <c r="H261" s="423"/>
      <c r="I261" s="424"/>
      <c r="J261" s="425" t="str">
        <f t="shared" si="4"/>
        <v/>
      </c>
      <c r="K261" s="422"/>
      <c r="L261" s="426"/>
    </row>
    <row r="262" spans="2:12" x14ac:dyDescent="0.35">
      <c r="B262" s="421" t="str">
        <f>IF(Lançamentos!$B257="","",Lançamentos!$B257)</f>
        <v/>
      </c>
      <c r="C262" s="422" t="str">
        <f>IF($B262="","",IFERROR(INDEX(Lançamentos!$J$3:$J$1001,MATCH($B262,Lançamentos!$B$3:$B$1001,0)),""))</f>
        <v/>
      </c>
      <c r="D262" s="423" t="str">
        <f>IF($B262="","",IFERROR(INDEX('E2 — Triagem'!$D$8:$D$507,MATCH($B262,'E2 — Triagem'!$B$8:$B$507,0)),""))</f>
        <v/>
      </c>
      <c r="E262" s="423"/>
      <c r="F262" s="423"/>
      <c r="G262" s="423"/>
      <c r="H262" s="423"/>
      <c r="I262" s="424"/>
      <c r="J262" s="425" t="str">
        <f t="shared" si="4"/>
        <v/>
      </c>
      <c r="K262" s="422"/>
      <c r="L262" s="426"/>
    </row>
    <row r="263" spans="2:12" x14ac:dyDescent="0.35">
      <c r="B263" s="421" t="str">
        <f>IF(Lançamentos!$B258="","",Lançamentos!$B258)</f>
        <v/>
      </c>
      <c r="C263" s="422" t="str">
        <f>IF($B263="","",IFERROR(INDEX(Lançamentos!$J$3:$J$1001,MATCH($B263,Lançamentos!$B$3:$B$1001,0)),""))</f>
        <v/>
      </c>
      <c r="D263" s="423" t="str">
        <f>IF($B263="","",IFERROR(INDEX('E2 — Triagem'!$D$8:$D$507,MATCH($B263,'E2 — Triagem'!$B$8:$B$507,0)),""))</f>
        <v/>
      </c>
      <c r="E263" s="423"/>
      <c r="F263" s="423"/>
      <c r="G263" s="423"/>
      <c r="H263" s="423"/>
      <c r="I263" s="424"/>
      <c r="J263" s="425" t="str">
        <f t="shared" si="4"/>
        <v/>
      </c>
      <c r="K263" s="422"/>
      <c r="L263" s="426"/>
    </row>
    <row r="264" spans="2:12" x14ac:dyDescent="0.35">
      <c r="B264" s="421" t="str">
        <f>IF(Lançamentos!$B259="","",Lançamentos!$B259)</f>
        <v/>
      </c>
      <c r="C264" s="422" t="str">
        <f>IF($B264="","",IFERROR(INDEX(Lançamentos!$J$3:$J$1001,MATCH($B264,Lançamentos!$B$3:$B$1001,0)),""))</f>
        <v/>
      </c>
      <c r="D264" s="423" t="str">
        <f>IF($B264="","",IFERROR(INDEX('E2 — Triagem'!$D$8:$D$507,MATCH($B264,'E2 — Triagem'!$B$8:$B$507,0)),""))</f>
        <v/>
      </c>
      <c r="E264" s="423"/>
      <c r="F264" s="423"/>
      <c r="G264" s="423"/>
      <c r="H264" s="423"/>
      <c r="I264" s="424"/>
      <c r="J264" s="425" t="str">
        <f t="shared" si="4"/>
        <v/>
      </c>
      <c r="K264" s="422"/>
      <c r="L264" s="426"/>
    </row>
    <row r="265" spans="2:12" x14ac:dyDescent="0.35">
      <c r="B265" s="421" t="str">
        <f>IF(Lançamentos!$B260="","",Lançamentos!$B260)</f>
        <v/>
      </c>
      <c r="C265" s="422" t="str">
        <f>IF($B265="","",IFERROR(INDEX(Lançamentos!$J$3:$J$1001,MATCH($B265,Lançamentos!$B$3:$B$1001,0)),""))</f>
        <v/>
      </c>
      <c r="D265" s="423" t="str">
        <f>IF($B265="","",IFERROR(INDEX('E2 — Triagem'!$D$8:$D$507,MATCH($B265,'E2 — Triagem'!$B$8:$B$507,0)),""))</f>
        <v/>
      </c>
      <c r="E265" s="423"/>
      <c r="F265" s="423"/>
      <c r="G265" s="423"/>
      <c r="H265" s="423"/>
      <c r="I265" s="424"/>
      <c r="J265" s="425" t="str">
        <f t="shared" si="4"/>
        <v/>
      </c>
      <c r="K265" s="422"/>
      <c r="L265" s="426"/>
    </row>
    <row r="266" spans="2:12" x14ac:dyDescent="0.35">
      <c r="B266" s="421" t="str">
        <f>IF(Lançamentos!$B261="","",Lançamentos!$B261)</f>
        <v/>
      </c>
      <c r="C266" s="422" t="str">
        <f>IF($B266="","",IFERROR(INDEX(Lançamentos!$J$3:$J$1001,MATCH($B266,Lançamentos!$B$3:$B$1001,0)),""))</f>
        <v/>
      </c>
      <c r="D266" s="423" t="str">
        <f>IF($B266="","",IFERROR(INDEX('E2 — Triagem'!$D$8:$D$507,MATCH($B266,'E2 — Triagem'!$B$8:$B$507,0)),""))</f>
        <v/>
      </c>
      <c r="E266" s="423"/>
      <c r="F266" s="423"/>
      <c r="G266" s="423"/>
      <c r="H266" s="423"/>
      <c r="I266" s="424"/>
      <c r="J266" s="425" t="str">
        <f t="shared" si="4"/>
        <v/>
      </c>
      <c r="K266" s="422"/>
      <c r="L266" s="426"/>
    </row>
    <row r="267" spans="2:12" x14ac:dyDescent="0.35">
      <c r="B267" s="421" t="str">
        <f>IF(Lançamentos!$B262="","",Lançamentos!$B262)</f>
        <v/>
      </c>
      <c r="C267" s="422" t="str">
        <f>IF($B267="","",IFERROR(INDEX(Lançamentos!$J$3:$J$1001,MATCH($B267,Lançamentos!$B$3:$B$1001,0)),""))</f>
        <v/>
      </c>
      <c r="D267" s="423" t="str">
        <f>IF($B267="","",IFERROR(INDEX('E2 — Triagem'!$D$8:$D$507,MATCH($B267,'E2 — Triagem'!$B$8:$B$507,0)),""))</f>
        <v/>
      </c>
      <c r="E267" s="423"/>
      <c r="F267" s="423"/>
      <c r="G267" s="423"/>
      <c r="H267" s="423"/>
      <c r="I267" s="424"/>
      <c r="J267" s="425" t="str">
        <f t="shared" si="4"/>
        <v/>
      </c>
      <c r="K267" s="422"/>
      <c r="L267" s="426"/>
    </row>
    <row r="268" spans="2:12" x14ac:dyDescent="0.35">
      <c r="B268" s="421" t="str">
        <f>IF(Lançamentos!$B263="","",Lançamentos!$B263)</f>
        <v/>
      </c>
      <c r="C268" s="422" t="str">
        <f>IF($B268="","",IFERROR(INDEX(Lançamentos!$J$3:$J$1001,MATCH($B268,Lançamentos!$B$3:$B$1001,0)),""))</f>
        <v/>
      </c>
      <c r="D268" s="423" t="str">
        <f>IF($B268="","",IFERROR(INDEX('E2 — Triagem'!$D$8:$D$507,MATCH($B268,'E2 — Triagem'!$B$8:$B$507,0)),""))</f>
        <v/>
      </c>
      <c r="E268" s="423"/>
      <c r="F268" s="423"/>
      <c r="G268" s="423"/>
      <c r="H268" s="423"/>
      <c r="I268" s="424"/>
      <c r="J268" s="425" t="str">
        <f t="shared" si="4"/>
        <v/>
      </c>
      <c r="K268" s="422"/>
      <c r="L268" s="426"/>
    </row>
    <row r="269" spans="2:12" x14ac:dyDescent="0.35">
      <c r="B269" s="421" t="str">
        <f>IF(Lançamentos!$B264="","",Lançamentos!$B264)</f>
        <v/>
      </c>
      <c r="C269" s="422" t="str">
        <f>IF($B269="","",IFERROR(INDEX(Lançamentos!$J$3:$J$1001,MATCH($B269,Lançamentos!$B$3:$B$1001,0)),""))</f>
        <v/>
      </c>
      <c r="D269" s="423" t="str">
        <f>IF($B269="","",IFERROR(INDEX('E2 — Triagem'!$D$8:$D$507,MATCH($B269,'E2 — Triagem'!$B$8:$B$507,0)),""))</f>
        <v/>
      </c>
      <c r="E269" s="423"/>
      <c r="F269" s="423"/>
      <c r="G269" s="423"/>
      <c r="H269" s="423"/>
      <c r="I269" s="424"/>
      <c r="J269" s="425" t="str">
        <f t="shared" si="4"/>
        <v/>
      </c>
      <c r="K269" s="422"/>
      <c r="L269" s="426"/>
    </row>
    <row r="270" spans="2:12" x14ac:dyDescent="0.35">
      <c r="B270" s="421" t="str">
        <f>IF(Lançamentos!$B265="","",Lançamentos!$B265)</f>
        <v/>
      </c>
      <c r="C270" s="422" t="str">
        <f>IF($B270="","",IFERROR(INDEX(Lançamentos!$J$3:$J$1001,MATCH($B270,Lançamentos!$B$3:$B$1001,0)),""))</f>
        <v/>
      </c>
      <c r="D270" s="423" t="str">
        <f>IF($B270="","",IFERROR(INDEX('E2 — Triagem'!$D$8:$D$507,MATCH($B270,'E2 — Triagem'!$B$8:$B$507,0)),""))</f>
        <v/>
      </c>
      <c r="E270" s="423"/>
      <c r="F270" s="423"/>
      <c r="G270" s="423"/>
      <c r="H270" s="423"/>
      <c r="I270" s="424"/>
      <c r="J270" s="425" t="str">
        <f t="shared" si="4"/>
        <v/>
      </c>
      <c r="K270" s="422"/>
      <c r="L270" s="426"/>
    </row>
    <row r="271" spans="2:12" x14ac:dyDescent="0.35">
      <c r="B271" s="421" t="str">
        <f>IF(Lançamentos!$B266="","",Lançamentos!$B266)</f>
        <v/>
      </c>
      <c r="C271" s="422" t="str">
        <f>IF($B271="","",IFERROR(INDEX(Lançamentos!$J$3:$J$1001,MATCH($B271,Lançamentos!$B$3:$B$1001,0)),""))</f>
        <v/>
      </c>
      <c r="D271" s="423" t="str">
        <f>IF($B271="","",IFERROR(INDEX('E2 — Triagem'!$D$8:$D$507,MATCH($B271,'E2 — Triagem'!$B$8:$B$507,0)),""))</f>
        <v/>
      </c>
      <c r="E271" s="423"/>
      <c r="F271" s="423"/>
      <c r="G271" s="423"/>
      <c r="H271" s="423"/>
      <c r="I271" s="424"/>
      <c r="J271" s="425" t="str">
        <f t="shared" si="4"/>
        <v/>
      </c>
      <c r="K271" s="422"/>
      <c r="L271" s="426"/>
    </row>
    <row r="272" spans="2:12" x14ac:dyDescent="0.35">
      <c r="B272" s="421" t="str">
        <f>IF(Lançamentos!$B267="","",Lançamentos!$B267)</f>
        <v/>
      </c>
      <c r="C272" s="422" t="str">
        <f>IF($B272="","",IFERROR(INDEX(Lançamentos!$J$3:$J$1001,MATCH($B272,Lançamentos!$B$3:$B$1001,0)),""))</f>
        <v/>
      </c>
      <c r="D272" s="423" t="str">
        <f>IF($B272="","",IFERROR(INDEX('E2 — Triagem'!$D$8:$D$507,MATCH($B272,'E2 — Triagem'!$B$8:$B$507,0)),""))</f>
        <v/>
      </c>
      <c r="E272" s="423"/>
      <c r="F272" s="423"/>
      <c r="G272" s="423"/>
      <c r="H272" s="423"/>
      <c r="I272" s="424"/>
      <c r="J272" s="425" t="str">
        <f t="shared" ref="J272:J335" si="5">IF(B272="","",IF(COUNTIF(E272:I272,"N/A")=5,0,IF(COUNTIF(E272:I272,"✔ Concluído")=5,1,MIN(99%,COUNTIF(E272:I272,"✔ Concluído")/(5-COUNTIF(E272:I272,"N/A"))))))</f>
        <v/>
      </c>
      <c r="K272" s="422"/>
      <c r="L272" s="426"/>
    </row>
    <row r="273" spans="2:12" x14ac:dyDescent="0.35">
      <c r="B273" s="421" t="str">
        <f>IF(Lançamentos!$B268="","",Lançamentos!$B268)</f>
        <v/>
      </c>
      <c r="C273" s="422" t="str">
        <f>IF($B273="","",IFERROR(INDEX(Lançamentos!$J$3:$J$1001,MATCH($B273,Lançamentos!$B$3:$B$1001,0)),""))</f>
        <v/>
      </c>
      <c r="D273" s="423" t="str">
        <f>IF($B273="","",IFERROR(INDEX('E2 — Triagem'!$D$8:$D$507,MATCH($B273,'E2 — Triagem'!$B$8:$B$507,0)),""))</f>
        <v/>
      </c>
      <c r="E273" s="423"/>
      <c r="F273" s="423"/>
      <c r="G273" s="423"/>
      <c r="H273" s="423"/>
      <c r="I273" s="424"/>
      <c r="J273" s="425" t="str">
        <f t="shared" si="5"/>
        <v/>
      </c>
      <c r="K273" s="422"/>
      <c r="L273" s="426"/>
    </row>
    <row r="274" spans="2:12" x14ac:dyDescent="0.35">
      <c r="B274" s="421" t="str">
        <f>IF(Lançamentos!$B269="","",Lançamentos!$B269)</f>
        <v/>
      </c>
      <c r="C274" s="422" t="str">
        <f>IF($B274="","",IFERROR(INDEX(Lançamentos!$J$3:$J$1001,MATCH($B274,Lançamentos!$B$3:$B$1001,0)),""))</f>
        <v/>
      </c>
      <c r="D274" s="423" t="str">
        <f>IF($B274="","",IFERROR(INDEX('E2 — Triagem'!$D$8:$D$507,MATCH($B274,'E2 — Triagem'!$B$8:$B$507,0)),""))</f>
        <v/>
      </c>
      <c r="E274" s="423"/>
      <c r="F274" s="423"/>
      <c r="G274" s="423"/>
      <c r="H274" s="423"/>
      <c r="I274" s="424"/>
      <c r="J274" s="425" t="str">
        <f t="shared" si="5"/>
        <v/>
      </c>
      <c r="K274" s="422"/>
      <c r="L274" s="426"/>
    </row>
    <row r="275" spans="2:12" x14ac:dyDescent="0.35">
      <c r="B275" s="421" t="str">
        <f>IF(Lançamentos!$B270="","",Lançamentos!$B270)</f>
        <v/>
      </c>
      <c r="C275" s="422" t="str">
        <f>IF($B275="","",IFERROR(INDEX(Lançamentos!$J$3:$J$1001,MATCH($B275,Lançamentos!$B$3:$B$1001,0)),""))</f>
        <v/>
      </c>
      <c r="D275" s="423" t="str">
        <f>IF($B275="","",IFERROR(INDEX('E2 — Triagem'!$D$8:$D$507,MATCH($B275,'E2 — Triagem'!$B$8:$B$507,0)),""))</f>
        <v/>
      </c>
      <c r="E275" s="423"/>
      <c r="F275" s="423"/>
      <c r="G275" s="423"/>
      <c r="H275" s="423"/>
      <c r="I275" s="424"/>
      <c r="J275" s="425" t="str">
        <f t="shared" si="5"/>
        <v/>
      </c>
      <c r="K275" s="422"/>
      <c r="L275" s="426"/>
    </row>
    <row r="276" spans="2:12" x14ac:dyDescent="0.35">
      <c r="B276" s="421" t="str">
        <f>IF(Lançamentos!$B271="","",Lançamentos!$B271)</f>
        <v/>
      </c>
      <c r="C276" s="422" t="str">
        <f>IF($B276="","",IFERROR(INDEX(Lançamentos!$J$3:$J$1001,MATCH($B276,Lançamentos!$B$3:$B$1001,0)),""))</f>
        <v/>
      </c>
      <c r="D276" s="423" t="str">
        <f>IF($B276="","",IFERROR(INDEX('E2 — Triagem'!$D$8:$D$507,MATCH($B276,'E2 — Triagem'!$B$8:$B$507,0)),""))</f>
        <v/>
      </c>
      <c r="E276" s="423"/>
      <c r="F276" s="423"/>
      <c r="G276" s="423"/>
      <c r="H276" s="423"/>
      <c r="I276" s="424"/>
      <c r="J276" s="425" t="str">
        <f t="shared" si="5"/>
        <v/>
      </c>
      <c r="K276" s="422"/>
      <c r="L276" s="426"/>
    </row>
    <row r="277" spans="2:12" x14ac:dyDescent="0.35">
      <c r="B277" s="421" t="str">
        <f>IF(Lançamentos!$B272="","",Lançamentos!$B272)</f>
        <v/>
      </c>
      <c r="C277" s="422" t="str">
        <f>IF($B277="","",IFERROR(INDEX(Lançamentos!$J$3:$J$1001,MATCH($B277,Lançamentos!$B$3:$B$1001,0)),""))</f>
        <v/>
      </c>
      <c r="D277" s="423" t="str">
        <f>IF($B277="","",IFERROR(INDEX('E2 — Triagem'!$D$8:$D$507,MATCH($B277,'E2 — Triagem'!$B$8:$B$507,0)),""))</f>
        <v/>
      </c>
      <c r="E277" s="423"/>
      <c r="F277" s="423"/>
      <c r="G277" s="423"/>
      <c r="H277" s="423"/>
      <c r="I277" s="424"/>
      <c r="J277" s="425" t="str">
        <f t="shared" si="5"/>
        <v/>
      </c>
      <c r="K277" s="422"/>
      <c r="L277" s="426"/>
    </row>
    <row r="278" spans="2:12" x14ac:dyDescent="0.35">
      <c r="B278" s="421" t="str">
        <f>IF(Lançamentos!$B273="","",Lançamentos!$B273)</f>
        <v/>
      </c>
      <c r="C278" s="422" t="str">
        <f>IF($B278="","",IFERROR(INDEX(Lançamentos!$J$3:$J$1001,MATCH($B278,Lançamentos!$B$3:$B$1001,0)),""))</f>
        <v/>
      </c>
      <c r="D278" s="423" t="str">
        <f>IF($B278="","",IFERROR(INDEX('E2 — Triagem'!$D$8:$D$507,MATCH($B278,'E2 — Triagem'!$B$8:$B$507,0)),""))</f>
        <v/>
      </c>
      <c r="E278" s="423"/>
      <c r="F278" s="423"/>
      <c r="G278" s="423"/>
      <c r="H278" s="423"/>
      <c r="I278" s="424"/>
      <c r="J278" s="425" t="str">
        <f t="shared" si="5"/>
        <v/>
      </c>
      <c r="K278" s="422"/>
      <c r="L278" s="426"/>
    </row>
    <row r="279" spans="2:12" x14ac:dyDescent="0.35">
      <c r="B279" s="421" t="str">
        <f>IF(Lançamentos!$B274="","",Lançamentos!$B274)</f>
        <v/>
      </c>
      <c r="C279" s="422" t="str">
        <f>IF($B279="","",IFERROR(INDEX(Lançamentos!$J$3:$J$1001,MATCH($B279,Lançamentos!$B$3:$B$1001,0)),""))</f>
        <v/>
      </c>
      <c r="D279" s="423" t="str">
        <f>IF($B279="","",IFERROR(INDEX('E2 — Triagem'!$D$8:$D$507,MATCH($B279,'E2 — Triagem'!$B$8:$B$507,0)),""))</f>
        <v/>
      </c>
      <c r="E279" s="423"/>
      <c r="F279" s="423"/>
      <c r="G279" s="423"/>
      <c r="H279" s="423"/>
      <c r="I279" s="424"/>
      <c r="J279" s="425" t="str">
        <f t="shared" si="5"/>
        <v/>
      </c>
      <c r="K279" s="422"/>
      <c r="L279" s="426"/>
    </row>
    <row r="280" spans="2:12" x14ac:dyDescent="0.35">
      <c r="B280" s="421" t="str">
        <f>IF(Lançamentos!$B275="","",Lançamentos!$B275)</f>
        <v/>
      </c>
      <c r="C280" s="422" t="str">
        <f>IF($B280="","",IFERROR(INDEX(Lançamentos!$J$3:$J$1001,MATCH($B280,Lançamentos!$B$3:$B$1001,0)),""))</f>
        <v/>
      </c>
      <c r="D280" s="423" t="str">
        <f>IF($B280="","",IFERROR(INDEX('E2 — Triagem'!$D$8:$D$507,MATCH($B280,'E2 — Triagem'!$B$8:$B$507,0)),""))</f>
        <v/>
      </c>
      <c r="E280" s="423"/>
      <c r="F280" s="423"/>
      <c r="G280" s="423"/>
      <c r="H280" s="423"/>
      <c r="I280" s="424"/>
      <c r="J280" s="425" t="str">
        <f t="shared" si="5"/>
        <v/>
      </c>
      <c r="K280" s="422"/>
      <c r="L280" s="426"/>
    </row>
    <row r="281" spans="2:12" x14ac:dyDescent="0.35">
      <c r="B281" s="421" t="str">
        <f>IF(Lançamentos!$B276="","",Lançamentos!$B276)</f>
        <v/>
      </c>
      <c r="C281" s="422" t="str">
        <f>IF($B281="","",IFERROR(INDEX(Lançamentos!$J$3:$J$1001,MATCH($B281,Lançamentos!$B$3:$B$1001,0)),""))</f>
        <v/>
      </c>
      <c r="D281" s="423" t="str">
        <f>IF($B281="","",IFERROR(INDEX('E2 — Triagem'!$D$8:$D$507,MATCH($B281,'E2 — Triagem'!$B$8:$B$507,0)),""))</f>
        <v/>
      </c>
      <c r="E281" s="423"/>
      <c r="F281" s="423"/>
      <c r="G281" s="423"/>
      <c r="H281" s="423"/>
      <c r="I281" s="424"/>
      <c r="J281" s="425" t="str">
        <f t="shared" si="5"/>
        <v/>
      </c>
      <c r="K281" s="422"/>
      <c r="L281" s="426"/>
    </row>
    <row r="282" spans="2:12" x14ac:dyDescent="0.35">
      <c r="B282" s="421" t="str">
        <f>IF(Lançamentos!$B277="","",Lançamentos!$B277)</f>
        <v/>
      </c>
      <c r="C282" s="422" t="str">
        <f>IF($B282="","",IFERROR(INDEX(Lançamentos!$J$3:$J$1001,MATCH($B282,Lançamentos!$B$3:$B$1001,0)),""))</f>
        <v/>
      </c>
      <c r="D282" s="423" t="str">
        <f>IF($B282="","",IFERROR(INDEX('E2 — Triagem'!$D$8:$D$507,MATCH($B282,'E2 — Triagem'!$B$8:$B$507,0)),""))</f>
        <v/>
      </c>
      <c r="E282" s="423"/>
      <c r="F282" s="423"/>
      <c r="G282" s="423"/>
      <c r="H282" s="423"/>
      <c r="I282" s="424"/>
      <c r="J282" s="425" t="str">
        <f t="shared" si="5"/>
        <v/>
      </c>
      <c r="K282" s="422"/>
      <c r="L282" s="426"/>
    </row>
    <row r="283" spans="2:12" x14ac:dyDescent="0.35">
      <c r="B283" s="421" t="str">
        <f>IF(Lançamentos!$B278="","",Lançamentos!$B278)</f>
        <v/>
      </c>
      <c r="C283" s="422" t="str">
        <f>IF($B283="","",IFERROR(INDEX(Lançamentos!$J$3:$J$1001,MATCH($B283,Lançamentos!$B$3:$B$1001,0)),""))</f>
        <v/>
      </c>
      <c r="D283" s="423" t="str">
        <f>IF($B283="","",IFERROR(INDEX('E2 — Triagem'!$D$8:$D$507,MATCH($B283,'E2 — Triagem'!$B$8:$B$507,0)),""))</f>
        <v/>
      </c>
      <c r="E283" s="423"/>
      <c r="F283" s="423"/>
      <c r="G283" s="423"/>
      <c r="H283" s="423"/>
      <c r="I283" s="424"/>
      <c r="J283" s="425" t="str">
        <f t="shared" si="5"/>
        <v/>
      </c>
      <c r="K283" s="422"/>
      <c r="L283" s="426"/>
    </row>
    <row r="284" spans="2:12" x14ac:dyDescent="0.35">
      <c r="B284" s="421" t="str">
        <f>IF(Lançamentos!$B279="","",Lançamentos!$B279)</f>
        <v/>
      </c>
      <c r="C284" s="422" t="str">
        <f>IF($B284="","",IFERROR(INDEX(Lançamentos!$J$3:$J$1001,MATCH($B284,Lançamentos!$B$3:$B$1001,0)),""))</f>
        <v/>
      </c>
      <c r="D284" s="423" t="str">
        <f>IF($B284="","",IFERROR(INDEX('E2 — Triagem'!$D$8:$D$507,MATCH($B284,'E2 — Triagem'!$B$8:$B$507,0)),""))</f>
        <v/>
      </c>
      <c r="E284" s="423"/>
      <c r="F284" s="423"/>
      <c r="G284" s="423"/>
      <c r="H284" s="423"/>
      <c r="I284" s="424"/>
      <c r="J284" s="425" t="str">
        <f t="shared" si="5"/>
        <v/>
      </c>
      <c r="K284" s="422"/>
      <c r="L284" s="426"/>
    </row>
    <row r="285" spans="2:12" x14ac:dyDescent="0.35">
      <c r="B285" s="421" t="str">
        <f>IF(Lançamentos!$B280="","",Lançamentos!$B280)</f>
        <v/>
      </c>
      <c r="C285" s="422" t="str">
        <f>IF($B285="","",IFERROR(INDEX(Lançamentos!$J$3:$J$1001,MATCH($B285,Lançamentos!$B$3:$B$1001,0)),""))</f>
        <v/>
      </c>
      <c r="D285" s="423" t="str">
        <f>IF($B285="","",IFERROR(INDEX('E2 — Triagem'!$D$8:$D$507,MATCH($B285,'E2 — Triagem'!$B$8:$B$507,0)),""))</f>
        <v/>
      </c>
      <c r="E285" s="423"/>
      <c r="F285" s="423"/>
      <c r="G285" s="423"/>
      <c r="H285" s="423"/>
      <c r="I285" s="424"/>
      <c r="J285" s="425" t="str">
        <f t="shared" si="5"/>
        <v/>
      </c>
      <c r="K285" s="422"/>
      <c r="L285" s="426"/>
    </row>
    <row r="286" spans="2:12" x14ac:dyDescent="0.35">
      <c r="B286" s="421" t="str">
        <f>IF(Lançamentos!$B281="","",Lançamentos!$B281)</f>
        <v/>
      </c>
      <c r="C286" s="422" t="str">
        <f>IF($B286="","",IFERROR(INDEX(Lançamentos!$J$3:$J$1001,MATCH($B286,Lançamentos!$B$3:$B$1001,0)),""))</f>
        <v/>
      </c>
      <c r="D286" s="423" t="str">
        <f>IF($B286="","",IFERROR(INDEX('E2 — Triagem'!$D$8:$D$507,MATCH($B286,'E2 — Triagem'!$B$8:$B$507,0)),""))</f>
        <v/>
      </c>
      <c r="E286" s="423"/>
      <c r="F286" s="423"/>
      <c r="G286" s="423"/>
      <c r="H286" s="423"/>
      <c r="I286" s="424"/>
      <c r="J286" s="425" t="str">
        <f t="shared" si="5"/>
        <v/>
      </c>
      <c r="K286" s="422"/>
      <c r="L286" s="426"/>
    </row>
    <row r="287" spans="2:12" x14ac:dyDescent="0.35">
      <c r="B287" s="421" t="str">
        <f>IF(Lançamentos!$B282="","",Lançamentos!$B282)</f>
        <v/>
      </c>
      <c r="C287" s="422" t="str">
        <f>IF($B287="","",IFERROR(INDEX(Lançamentos!$J$3:$J$1001,MATCH($B287,Lançamentos!$B$3:$B$1001,0)),""))</f>
        <v/>
      </c>
      <c r="D287" s="423" t="str">
        <f>IF($B287="","",IFERROR(INDEX('E2 — Triagem'!$D$8:$D$507,MATCH($B287,'E2 — Triagem'!$B$8:$B$507,0)),""))</f>
        <v/>
      </c>
      <c r="E287" s="423"/>
      <c r="F287" s="423"/>
      <c r="G287" s="423"/>
      <c r="H287" s="423"/>
      <c r="I287" s="424"/>
      <c r="J287" s="425" t="str">
        <f t="shared" si="5"/>
        <v/>
      </c>
      <c r="K287" s="422"/>
      <c r="L287" s="426"/>
    </row>
    <row r="288" spans="2:12" x14ac:dyDescent="0.35">
      <c r="B288" s="421" t="str">
        <f>IF(Lançamentos!$B283="","",Lançamentos!$B283)</f>
        <v/>
      </c>
      <c r="C288" s="422" t="str">
        <f>IF($B288="","",IFERROR(INDEX(Lançamentos!$J$3:$J$1001,MATCH($B288,Lançamentos!$B$3:$B$1001,0)),""))</f>
        <v/>
      </c>
      <c r="D288" s="423" t="str">
        <f>IF($B288="","",IFERROR(INDEX('E2 — Triagem'!$D$8:$D$507,MATCH($B288,'E2 — Triagem'!$B$8:$B$507,0)),""))</f>
        <v/>
      </c>
      <c r="E288" s="423"/>
      <c r="F288" s="423"/>
      <c r="G288" s="423"/>
      <c r="H288" s="423"/>
      <c r="I288" s="424"/>
      <c r="J288" s="425" t="str">
        <f t="shared" si="5"/>
        <v/>
      </c>
      <c r="K288" s="422"/>
      <c r="L288" s="426"/>
    </row>
    <row r="289" spans="2:12" x14ac:dyDescent="0.35">
      <c r="B289" s="421" t="str">
        <f>IF(Lançamentos!$B284="","",Lançamentos!$B284)</f>
        <v/>
      </c>
      <c r="C289" s="422" t="str">
        <f>IF($B289="","",IFERROR(INDEX(Lançamentos!$J$3:$J$1001,MATCH($B289,Lançamentos!$B$3:$B$1001,0)),""))</f>
        <v/>
      </c>
      <c r="D289" s="423" t="str">
        <f>IF($B289="","",IFERROR(INDEX('E2 — Triagem'!$D$8:$D$507,MATCH($B289,'E2 — Triagem'!$B$8:$B$507,0)),""))</f>
        <v/>
      </c>
      <c r="E289" s="423"/>
      <c r="F289" s="423"/>
      <c r="G289" s="423"/>
      <c r="H289" s="423"/>
      <c r="I289" s="424"/>
      <c r="J289" s="425" t="str">
        <f t="shared" si="5"/>
        <v/>
      </c>
      <c r="K289" s="422"/>
      <c r="L289" s="426"/>
    </row>
    <row r="290" spans="2:12" x14ac:dyDescent="0.35">
      <c r="B290" s="421" t="str">
        <f>IF(Lançamentos!$B285="","",Lançamentos!$B285)</f>
        <v/>
      </c>
      <c r="C290" s="422" t="str">
        <f>IF($B290="","",IFERROR(INDEX(Lançamentos!$J$3:$J$1001,MATCH($B290,Lançamentos!$B$3:$B$1001,0)),""))</f>
        <v/>
      </c>
      <c r="D290" s="423" t="str">
        <f>IF($B290="","",IFERROR(INDEX('E2 — Triagem'!$D$8:$D$507,MATCH($B290,'E2 — Triagem'!$B$8:$B$507,0)),""))</f>
        <v/>
      </c>
      <c r="E290" s="423"/>
      <c r="F290" s="423"/>
      <c r="G290" s="423"/>
      <c r="H290" s="423"/>
      <c r="I290" s="424"/>
      <c r="J290" s="425" t="str">
        <f t="shared" si="5"/>
        <v/>
      </c>
      <c r="K290" s="422"/>
      <c r="L290" s="426"/>
    </row>
    <row r="291" spans="2:12" x14ac:dyDescent="0.35">
      <c r="B291" s="421" t="str">
        <f>IF(Lançamentos!$B286="","",Lançamentos!$B286)</f>
        <v/>
      </c>
      <c r="C291" s="422" t="str">
        <f>IF($B291="","",IFERROR(INDEX(Lançamentos!$J$3:$J$1001,MATCH($B291,Lançamentos!$B$3:$B$1001,0)),""))</f>
        <v/>
      </c>
      <c r="D291" s="423" t="str">
        <f>IF($B291="","",IFERROR(INDEX('E2 — Triagem'!$D$8:$D$507,MATCH($B291,'E2 — Triagem'!$B$8:$B$507,0)),""))</f>
        <v/>
      </c>
      <c r="E291" s="423"/>
      <c r="F291" s="423"/>
      <c r="G291" s="423"/>
      <c r="H291" s="423"/>
      <c r="I291" s="424"/>
      <c r="J291" s="425" t="str">
        <f t="shared" si="5"/>
        <v/>
      </c>
      <c r="K291" s="422"/>
      <c r="L291" s="426"/>
    </row>
    <row r="292" spans="2:12" x14ac:dyDescent="0.35">
      <c r="B292" s="421" t="str">
        <f>IF(Lançamentos!$B287="","",Lançamentos!$B287)</f>
        <v/>
      </c>
      <c r="C292" s="422" t="str">
        <f>IF($B292="","",IFERROR(INDEX(Lançamentos!$J$3:$J$1001,MATCH($B292,Lançamentos!$B$3:$B$1001,0)),""))</f>
        <v/>
      </c>
      <c r="D292" s="423" t="str">
        <f>IF($B292="","",IFERROR(INDEX('E2 — Triagem'!$D$8:$D$507,MATCH($B292,'E2 — Triagem'!$B$8:$B$507,0)),""))</f>
        <v/>
      </c>
      <c r="E292" s="423"/>
      <c r="F292" s="423"/>
      <c r="G292" s="423"/>
      <c r="H292" s="423"/>
      <c r="I292" s="424"/>
      <c r="J292" s="425" t="str">
        <f t="shared" si="5"/>
        <v/>
      </c>
      <c r="K292" s="422"/>
      <c r="L292" s="426"/>
    </row>
    <row r="293" spans="2:12" x14ac:dyDescent="0.35">
      <c r="B293" s="421" t="str">
        <f>IF(Lançamentos!$B288="","",Lançamentos!$B288)</f>
        <v/>
      </c>
      <c r="C293" s="422" t="str">
        <f>IF($B293="","",IFERROR(INDEX(Lançamentos!$J$3:$J$1001,MATCH($B293,Lançamentos!$B$3:$B$1001,0)),""))</f>
        <v/>
      </c>
      <c r="D293" s="423" t="str">
        <f>IF($B293="","",IFERROR(INDEX('E2 — Triagem'!$D$8:$D$507,MATCH($B293,'E2 — Triagem'!$B$8:$B$507,0)),""))</f>
        <v/>
      </c>
      <c r="E293" s="423"/>
      <c r="F293" s="423"/>
      <c r="G293" s="423"/>
      <c r="H293" s="423"/>
      <c r="I293" s="424"/>
      <c r="J293" s="425" t="str">
        <f t="shared" si="5"/>
        <v/>
      </c>
      <c r="K293" s="422"/>
      <c r="L293" s="426"/>
    </row>
    <row r="294" spans="2:12" x14ac:dyDescent="0.35">
      <c r="B294" s="421" t="str">
        <f>IF(Lançamentos!$B289="","",Lançamentos!$B289)</f>
        <v/>
      </c>
      <c r="C294" s="422" t="str">
        <f>IF($B294="","",IFERROR(INDEX(Lançamentos!$J$3:$J$1001,MATCH($B294,Lançamentos!$B$3:$B$1001,0)),""))</f>
        <v/>
      </c>
      <c r="D294" s="423" t="str">
        <f>IF($B294="","",IFERROR(INDEX('E2 — Triagem'!$D$8:$D$507,MATCH($B294,'E2 — Triagem'!$B$8:$B$507,0)),""))</f>
        <v/>
      </c>
      <c r="E294" s="423"/>
      <c r="F294" s="423"/>
      <c r="G294" s="423"/>
      <c r="H294" s="423"/>
      <c r="I294" s="424"/>
      <c r="J294" s="425" t="str">
        <f t="shared" si="5"/>
        <v/>
      </c>
      <c r="K294" s="422"/>
      <c r="L294" s="426"/>
    </row>
    <row r="295" spans="2:12" x14ac:dyDescent="0.35">
      <c r="B295" s="421" t="str">
        <f>IF(Lançamentos!$B290="","",Lançamentos!$B290)</f>
        <v/>
      </c>
      <c r="C295" s="422" t="str">
        <f>IF($B295="","",IFERROR(INDEX(Lançamentos!$J$3:$J$1001,MATCH($B295,Lançamentos!$B$3:$B$1001,0)),""))</f>
        <v/>
      </c>
      <c r="D295" s="423" t="str">
        <f>IF($B295="","",IFERROR(INDEX('E2 — Triagem'!$D$8:$D$507,MATCH($B295,'E2 — Triagem'!$B$8:$B$507,0)),""))</f>
        <v/>
      </c>
      <c r="E295" s="423"/>
      <c r="F295" s="423"/>
      <c r="G295" s="423"/>
      <c r="H295" s="423"/>
      <c r="I295" s="424"/>
      <c r="J295" s="425" t="str">
        <f t="shared" si="5"/>
        <v/>
      </c>
      <c r="K295" s="422"/>
      <c r="L295" s="426"/>
    </row>
    <row r="296" spans="2:12" x14ac:dyDescent="0.35">
      <c r="B296" s="421" t="str">
        <f>IF(Lançamentos!$B291="","",Lançamentos!$B291)</f>
        <v/>
      </c>
      <c r="C296" s="422" t="str">
        <f>IF($B296="","",IFERROR(INDEX(Lançamentos!$J$3:$J$1001,MATCH($B296,Lançamentos!$B$3:$B$1001,0)),""))</f>
        <v/>
      </c>
      <c r="D296" s="423" t="str">
        <f>IF($B296="","",IFERROR(INDEX('E2 — Triagem'!$D$8:$D$507,MATCH($B296,'E2 — Triagem'!$B$8:$B$507,0)),""))</f>
        <v/>
      </c>
      <c r="E296" s="423"/>
      <c r="F296" s="423"/>
      <c r="G296" s="423"/>
      <c r="H296" s="423"/>
      <c r="I296" s="424"/>
      <c r="J296" s="425" t="str">
        <f t="shared" si="5"/>
        <v/>
      </c>
      <c r="K296" s="422"/>
      <c r="L296" s="426"/>
    </row>
    <row r="297" spans="2:12" x14ac:dyDescent="0.35">
      <c r="B297" s="421" t="str">
        <f>IF(Lançamentos!$B292="","",Lançamentos!$B292)</f>
        <v/>
      </c>
      <c r="C297" s="422" t="str">
        <f>IF($B297="","",IFERROR(INDEX(Lançamentos!$J$3:$J$1001,MATCH($B297,Lançamentos!$B$3:$B$1001,0)),""))</f>
        <v/>
      </c>
      <c r="D297" s="423" t="str">
        <f>IF($B297="","",IFERROR(INDEX('E2 — Triagem'!$D$8:$D$507,MATCH($B297,'E2 — Triagem'!$B$8:$B$507,0)),""))</f>
        <v/>
      </c>
      <c r="E297" s="423"/>
      <c r="F297" s="423"/>
      <c r="G297" s="423"/>
      <c r="H297" s="423"/>
      <c r="I297" s="424"/>
      <c r="J297" s="425" t="str">
        <f t="shared" si="5"/>
        <v/>
      </c>
      <c r="K297" s="422"/>
      <c r="L297" s="426"/>
    </row>
    <row r="298" spans="2:12" x14ac:dyDescent="0.35">
      <c r="B298" s="421" t="str">
        <f>IF(Lançamentos!$B293="","",Lançamentos!$B293)</f>
        <v/>
      </c>
      <c r="C298" s="422" t="str">
        <f>IF($B298="","",IFERROR(INDEX(Lançamentos!$J$3:$J$1001,MATCH($B298,Lançamentos!$B$3:$B$1001,0)),""))</f>
        <v/>
      </c>
      <c r="D298" s="423" t="str">
        <f>IF($B298="","",IFERROR(INDEX('E2 — Triagem'!$D$8:$D$507,MATCH($B298,'E2 — Triagem'!$B$8:$B$507,0)),""))</f>
        <v/>
      </c>
      <c r="E298" s="423"/>
      <c r="F298" s="423"/>
      <c r="G298" s="423"/>
      <c r="H298" s="423"/>
      <c r="I298" s="424"/>
      <c r="J298" s="425" t="str">
        <f t="shared" si="5"/>
        <v/>
      </c>
      <c r="K298" s="422"/>
      <c r="L298" s="426"/>
    </row>
    <row r="299" spans="2:12" x14ac:dyDescent="0.35">
      <c r="B299" s="421" t="str">
        <f>IF(Lançamentos!$B294="","",Lançamentos!$B294)</f>
        <v/>
      </c>
      <c r="C299" s="422" t="str">
        <f>IF($B299="","",IFERROR(INDEX(Lançamentos!$J$3:$J$1001,MATCH($B299,Lançamentos!$B$3:$B$1001,0)),""))</f>
        <v/>
      </c>
      <c r="D299" s="423" t="str">
        <f>IF($B299="","",IFERROR(INDEX('E2 — Triagem'!$D$8:$D$507,MATCH($B299,'E2 — Triagem'!$B$8:$B$507,0)),""))</f>
        <v/>
      </c>
      <c r="E299" s="423"/>
      <c r="F299" s="423"/>
      <c r="G299" s="423"/>
      <c r="H299" s="423"/>
      <c r="I299" s="424"/>
      <c r="J299" s="425" t="str">
        <f t="shared" si="5"/>
        <v/>
      </c>
      <c r="K299" s="422"/>
      <c r="L299" s="426"/>
    </row>
    <row r="300" spans="2:12" x14ac:dyDescent="0.35">
      <c r="B300" s="421" t="str">
        <f>IF(Lançamentos!$B295="","",Lançamentos!$B295)</f>
        <v/>
      </c>
      <c r="C300" s="422" t="str">
        <f>IF($B300="","",IFERROR(INDEX(Lançamentos!$J$3:$J$1001,MATCH($B300,Lançamentos!$B$3:$B$1001,0)),""))</f>
        <v/>
      </c>
      <c r="D300" s="423" t="str">
        <f>IF($B300="","",IFERROR(INDEX('E2 — Triagem'!$D$8:$D$507,MATCH($B300,'E2 — Triagem'!$B$8:$B$507,0)),""))</f>
        <v/>
      </c>
      <c r="E300" s="423"/>
      <c r="F300" s="423"/>
      <c r="G300" s="423"/>
      <c r="H300" s="423"/>
      <c r="I300" s="424"/>
      <c r="J300" s="425" t="str">
        <f t="shared" si="5"/>
        <v/>
      </c>
      <c r="K300" s="422"/>
      <c r="L300" s="426"/>
    </row>
    <row r="301" spans="2:12" x14ac:dyDescent="0.35">
      <c r="B301" s="421" t="str">
        <f>IF(Lançamentos!$B296="","",Lançamentos!$B296)</f>
        <v/>
      </c>
      <c r="C301" s="422" t="str">
        <f>IF($B301="","",IFERROR(INDEX(Lançamentos!$J$3:$J$1001,MATCH($B301,Lançamentos!$B$3:$B$1001,0)),""))</f>
        <v/>
      </c>
      <c r="D301" s="423" t="str">
        <f>IF($B301="","",IFERROR(INDEX('E2 — Triagem'!$D$8:$D$507,MATCH($B301,'E2 — Triagem'!$B$8:$B$507,0)),""))</f>
        <v/>
      </c>
      <c r="E301" s="423"/>
      <c r="F301" s="423"/>
      <c r="G301" s="423"/>
      <c r="H301" s="423"/>
      <c r="I301" s="424"/>
      <c r="J301" s="425" t="str">
        <f t="shared" si="5"/>
        <v/>
      </c>
      <c r="K301" s="422"/>
      <c r="L301" s="426"/>
    </row>
    <row r="302" spans="2:12" x14ac:dyDescent="0.35">
      <c r="B302" s="421" t="str">
        <f>IF(Lançamentos!$B297="","",Lançamentos!$B297)</f>
        <v/>
      </c>
      <c r="C302" s="422" t="str">
        <f>IF($B302="","",IFERROR(INDEX(Lançamentos!$J$3:$J$1001,MATCH($B302,Lançamentos!$B$3:$B$1001,0)),""))</f>
        <v/>
      </c>
      <c r="D302" s="423" t="str">
        <f>IF($B302="","",IFERROR(INDEX('E2 — Triagem'!$D$8:$D$507,MATCH($B302,'E2 — Triagem'!$B$8:$B$507,0)),""))</f>
        <v/>
      </c>
      <c r="E302" s="423"/>
      <c r="F302" s="423"/>
      <c r="G302" s="423"/>
      <c r="H302" s="423"/>
      <c r="I302" s="424"/>
      <c r="J302" s="425" t="str">
        <f t="shared" si="5"/>
        <v/>
      </c>
      <c r="K302" s="422"/>
      <c r="L302" s="426"/>
    </row>
    <row r="303" spans="2:12" x14ac:dyDescent="0.35">
      <c r="B303" s="421" t="str">
        <f>IF(Lançamentos!$B298="","",Lançamentos!$B298)</f>
        <v/>
      </c>
      <c r="C303" s="422" t="str">
        <f>IF($B303="","",IFERROR(INDEX(Lançamentos!$J$3:$J$1001,MATCH($B303,Lançamentos!$B$3:$B$1001,0)),""))</f>
        <v/>
      </c>
      <c r="D303" s="423" t="str">
        <f>IF($B303="","",IFERROR(INDEX('E2 — Triagem'!$D$8:$D$507,MATCH($B303,'E2 — Triagem'!$B$8:$B$507,0)),""))</f>
        <v/>
      </c>
      <c r="E303" s="423"/>
      <c r="F303" s="423"/>
      <c r="G303" s="423"/>
      <c r="H303" s="423"/>
      <c r="I303" s="424"/>
      <c r="J303" s="425" t="str">
        <f t="shared" si="5"/>
        <v/>
      </c>
      <c r="K303" s="422"/>
      <c r="L303" s="426"/>
    </row>
    <row r="304" spans="2:12" x14ac:dyDescent="0.35">
      <c r="B304" s="421" t="str">
        <f>IF(Lançamentos!$B299="","",Lançamentos!$B299)</f>
        <v/>
      </c>
      <c r="C304" s="422" t="str">
        <f>IF($B304="","",IFERROR(INDEX(Lançamentos!$J$3:$J$1001,MATCH($B304,Lançamentos!$B$3:$B$1001,0)),""))</f>
        <v/>
      </c>
      <c r="D304" s="423" t="str">
        <f>IF($B304="","",IFERROR(INDEX('E2 — Triagem'!$D$8:$D$507,MATCH($B304,'E2 — Triagem'!$B$8:$B$507,0)),""))</f>
        <v/>
      </c>
      <c r="E304" s="423"/>
      <c r="F304" s="423"/>
      <c r="G304" s="423"/>
      <c r="H304" s="423"/>
      <c r="I304" s="424"/>
      <c r="J304" s="425" t="str">
        <f t="shared" si="5"/>
        <v/>
      </c>
      <c r="K304" s="422"/>
      <c r="L304" s="426"/>
    </row>
    <row r="305" spans="2:12" x14ac:dyDescent="0.35">
      <c r="B305" s="421" t="str">
        <f>IF(Lançamentos!$B300="","",Lançamentos!$B300)</f>
        <v/>
      </c>
      <c r="C305" s="422" t="str">
        <f>IF($B305="","",IFERROR(INDEX(Lançamentos!$J$3:$J$1001,MATCH($B305,Lançamentos!$B$3:$B$1001,0)),""))</f>
        <v/>
      </c>
      <c r="D305" s="423" t="str">
        <f>IF($B305="","",IFERROR(INDEX('E2 — Triagem'!$D$8:$D$507,MATCH($B305,'E2 — Triagem'!$B$8:$B$507,0)),""))</f>
        <v/>
      </c>
      <c r="E305" s="423"/>
      <c r="F305" s="423"/>
      <c r="G305" s="423"/>
      <c r="H305" s="423"/>
      <c r="I305" s="424"/>
      <c r="J305" s="425" t="str">
        <f t="shared" si="5"/>
        <v/>
      </c>
      <c r="K305" s="422"/>
      <c r="L305" s="426"/>
    </row>
    <row r="306" spans="2:12" x14ac:dyDescent="0.35">
      <c r="B306" s="421" t="str">
        <f>IF(Lançamentos!$B301="","",Lançamentos!$B301)</f>
        <v/>
      </c>
      <c r="C306" s="422" t="str">
        <f>IF($B306="","",IFERROR(INDEX(Lançamentos!$J$3:$J$1001,MATCH($B306,Lançamentos!$B$3:$B$1001,0)),""))</f>
        <v/>
      </c>
      <c r="D306" s="423" t="str">
        <f>IF($B306="","",IFERROR(INDEX('E2 — Triagem'!$D$8:$D$507,MATCH($B306,'E2 — Triagem'!$B$8:$B$507,0)),""))</f>
        <v/>
      </c>
      <c r="E306" s="423"/>
      <c r="F306" s="423"/>
      <c r="G306" s="423"/>
      <c r="H306" s="423"/>
      <c r="I306" s="424"/>
      <c r="J306" s="425" t="str">
        <f t="shared" si="5"/>
        <v/>
      </c>
      <c r="K306" s="422"/>
      <c r="L306" s="426"/>
    </row>
    <row r="307" spans="2:12" x14ac:dyDescent="0.35">
      <c r="B307" s="421" t="str">
        <f>IF(Lançamentos!$B302="","",Lançamentos!$B302)</f>
        <v/>
      </c>
      <c r="C307" s="422" t="str">
        <f>IF($B307="","",IFERROR(INDEX(Lançamentos!$J$3:$J$1001,MATCH($B307,Lançamentos!$B$3:$B$1001,0)),""))</f>
        <v/>
      </c>
      <c r="D307" s="423" t="str">
        <f>IF($B307="","",IFERROR(INDEX('E2 — Triagem'!$D$8:$D$507,MATCH($B307,'E2 — Triagem'!$B$8:$B$507,0)),""))</f>
        <v/>
      </c>
      <c r="E307" s="423"/>
      <c r="F307" s="423"/>
      <c r="G307" s="423"/>
      <c r="H307" s="423"/>
      <c r="I307" s="424"/>
      <c r="J307" s="425" t="str">
        <f t="shared" si="5"/>
        <v/>
      </c>
      <c r="K307" s="422"/>
      <c r="L307" s="426"/>
    </row>
    <row r="308" spans="2:12" x14ac:dyDescent="0.35">
      <c r="B308" s="421" t="str">
        <f>IF(Lançamentos!$B303="","",Lançamentos!$B303)</f>
        <v/>
      </c>
      <c r="C308" s="422" t="str">
        <f>IF($B308="","",IFERROR(INDEX(Lançamentos!$J$3:$J$1001,MATCH($B308,Lançamentos!$B$3:$B$1001,0)),""))</f>
        <v/>
      </c>
      <c r="D308" s="423" t="str">
        <f>IF($B308="","",IFERROR(INDEX('E2 — Triagem'!$D$8:$D$507,MATCH($B308,'E2 — Triagem'!$B$8:$B$507,0)),""))</f>
        <v/>
      </c>
      <c r="E308" s="423"/>
      <c r="F308" s="423"/>
      <c r="G308" s="423"/>
      <c r="H308" s="423"/>
      <c r="I308" s="424"/>
      <c r="J308" s="425" t="str">
        <f t="shared" si="5"/>
        <v/>
      </c>
      <c r="K308" s="422"/>
      <c r="L308" s="426"/>
    </row>
    <row r="309" spans="2:12" x14ac:dyDescent="0.35">
      <c r="B309" s="421" t="str">
        <f>IF(Lançamentos!$B304="","",Lançamentos!$B304)</f>
        <v/>
      </c>
      <c r="C309" s="422" t="str">
        <f>IF($B309="","",IFERROR(INDEX(Lançamentos!$J$3:$J$1001,MATCH($B309,Lançamentos!$B$3:$B$1001,0)),""))</f>
        <v/>
      </c>
      <c r="D309" s="423" t="str">
        <f>IF($B309="","",IFERROR(INDEX('E2 — Triagem'!$D$8:$D$507,MATCH($B309,'E2 — Triagem'!$B$8:$B$507,0)),""))</f>
        <v/>
      </c>
      <c r="E309" s="423"/>
      <c r="F309" s="423"/>
      <c r="G309" s="423"/>
      <c r="H309" s="423"/>
      <c r="I309" s="424"/>
      <c r="J309" s="425" t="str">
        <f t="shared" si="5"/>
        <v/>
      </c>
      <c r="K309" s="422"/>
      <c r="L309" s="426"/>
    </row>
    <row r="310" spans="2:12" x14ac:dyDescent="0.35">
      <c r="B310" s="421" t="str">
        <f>IF(Lançamentos!$B305="","",Lançamentos!$B305)</f>
        <v/>
      </c>
      <c r="C310" s="422" t="str">
        <f>IF($B310="","",IFERROR(INDEX(Lançamentos!$J$3:$J$1001,MATCH($B310,Lançamentos!$B$3:$B$1001,0)),""))</f>
        <v/>
      </c>
      <c r="D310" s="423" t="str">
        <f>IF($B310="","",IFERROR(INDEX('E2 — Triagem'!$D$8:$D$507,MATCH($B310,'E2 — Triagem'!$B$8:$B$507,0)),""))</f>
        <v/>
      </c>
      <c r="E310" s="423"/>
      <c r="F310" s="423"/>
      <c r="G310" s="423"/>
      <c r="H310" s="423"/>
      <c r="I310" s="424"/>
      <c r="J310" s="425" t="str">
        <f t="shared" si="5"/>
        <v/>
      </c>
      <c r="K310" s="422"/>
      <c r="L310" s="426"/>
    </row>
    <row r="311" spans="2:12" x14ac:dyDescent="0.35">
      <c r="B311" s="421" t="str">
        <f>IF(Lançamentos!$B306="","",Lançamentos!$B306)</f>
        <v/>
      </c>
      <c r="C311" s="422" t="str">
        <f>IF($B311="","",IFERROR(INDEX(Lançamentos!$J$3:$J$1001,MATCH($B311,Lançamentos!$B$3:$B$1001,0)),""))</f>
        <v/>
      </c>
      <c r="D311" s="423" t="str">
        <f>IF($B311="","",IFERROR(INDEX('E2 — Triagem'!$D$8:$D$507,MATCH($B311,'E2 — Triagem'!$B$8:$B$507,0)),""))</f>
        <v/>
      </c>
      <c r="E311" s="423"/>
      <c r="F311" s="423"/>
      <c r="G311" s="423"/>
      <c r="H311" s="423"/>
      <c r="I311" s="424"/>
      <c r="J311" s="425" t="str">
        <f t="shared" si="5"/>
        <v/>
      </c>
      <c r="K311" s="422"/>
      <c r="L311" s="426"/>
    </row>
    <row r="312" spans="2:12" x14ac:dyDescent="0.35">
      <c r="B312" s="421" t="str">
        <f>IF(Lançamentos!$B307="","",Lançamentos!$B307)</f>
        <v/>
      </c>
      <c r="C312" s="422" t="str">
        <f>IF($B312="","",IFERROR(INDEX(Lançamentos!$J$3:$J$1001,MATCH($B312,Lançamentos!$B$3:$B$1001,0)),""))</f>
        <v/>
      </c>
      <c r="D312" s="423" t="str">
        <f>IF($B312="","",IFERROR(INDEX('E2 — Triagem'!$D$8:$D$507,MATCH($B312,'E2 — Triagem'!$B$8:$B$507,0)),""))</f>
        <v/>
      </c>
      <c r="E312" s="423"/>
      <c r="F312" s="423"/>
      <c r="G312" s="423"/>
      <c r="H312" s="423"/>
      <c r="I312" s="424"/>
      <c r="J312" s="425" t="str">
        <f t="shared" si="5"/>
        <v/>
      </c>
      <c r="K312" s="422"/>
      <c r="L312" s="426"/>
    </row>
    <row r="313" spans="2:12" x14ac:dyDescent="0.35">
      <c r="B313" s="421" t="str">
        <f>IF(Lançamentos!$B308="","",Lançamentos!$B308)</f>
        <v/>
      </c>
      <c r="C313" s="422" t="str">
        <f>IF($B313="","",IFERROR(INDEX(Lançamentos!$J$3:$J$1001,MATCH($B313,Lançamentos!$B$3:$B$1001,0)),""))</f>
        <v/>
      </c>
      <c r="D313" s="423" t="str">
        <f>IF($B313="","",IFERROR(INDEX('E2 — Triagem'!$D$8:$D$507,MATCH($B313,'E2 — Triagem'!$B$8:$B$507,0)),""))</f>
        <v/>
      </c>
      <c r="E313" s="423"/>
      <c r="F313" s="423"/>
      <c r="G313" s="423"/>
      <c r="H313" s="423"/>
      <c r="I313" s="424"/>
      <c r="J313" s="425" t="str">
        <f t="shared" si="5"/>
        <v/>
      </c>
      <c r="K313" s="422"/>
      <c r="L313" s="426"/>
    </row>
    <row r="314" spans="2:12" x14ac:dyDescent="0.35">
      <c r="B314" s="421" t="str">
        <f>IF(Lançamentos!$B309="","",Lançamentos!$B309)</f>
        <v/>
      </c>
      <c r="C314" s="422" t="str">
        <f>IF($B314="","",IFERROR(INDEX(Lançamentos!$J$3:$J$1001,MATCH($B314,Lançamentos!$B$3:$B$1001,0)),""))</f>
        <v/>
      </c>
      <c r="D314" s="423" t="str">
        <f>IF($B314="","",IFERROR(INDEX('E2 — Triagem'!$D$8:$D$507,MATCH($B314,'E2 — Triagem'!$B$8:$B$507,0)),""))</f>
        <v/>
      </c>
      <c r="E314" s="423"/>
      <c r="F314" s="423"/>
      <c r="G314" s="423"/>
      <c r="H314" s="423"/>
      <c r="I314" s="424"/>
      <c r="J314" s="425" t="str">
        <f t="shared" si="5"/>
        <v/>
      </c>
      <c r="K314" s="422"/>
      <c r="L314" s="426"/>
    </row>
    <row r="315" spans="2:12" x14ac:dyDescent="0.35">
      <c r="B315" s="421" t="str">
        <f>IF(Lançamentos!$B310="","",Lançamentos!$B310)</f>
        <v/>
      </c>
      <c r="C315" s="422" t="str">
        <f>IF($B315="","",IFERROR(INDEX(Lançamentos!$J$3:$J$1001,MATCH($B315,Lançamentos!$B$3:$B$1001,0)),""))</f>
        <v/>
      </c>
      <c r="D315" s="423" t="str">
        <f>IF($B315="","",IFERROR(INDEX('E2 — Triagem'!$D$8:$D$507,MATCH($B315,'E2 — Triagem'!$B$8:$B$507,0)),""))</f>
        <v/>
      </c>
      <c r="E315" s="423"/>
      <c r="F315" s="423"/>
      <c r="G315" s="423"/>
      <c r="H315" s="423"/>
      <c r="I315" s="424"/>
      <c r="J315" s="425" t="str">
        <f t="shared" si="5"/>
        <v/>
      </c>
      <c r="K315" s="422"/>
      <c r="L315" s="426"/>
    </row>
    <row r="316" spans="2:12" x14ac:dyDescent="0.35">
      <c r="B316" s="421" t="str">
        <f>IF(Lançamentos!$B311="","",Lançamentos!$B311)</f>
        <v/>
      </c>
      <c r="C316" s="422" t="str">
        <f>IF($B316="","",IFERROR(INDEX(Lançamentos!$J$3:$J$1001,MATCH($B316,Lançamentos!$B$3:$B$1001,0)),""))</f>
        <v/>
      </c>
      <c r="D316" s="423" t="str">
        <f>IF($B316="","",IFERROR(INDEX('E2 — Triagem'!$D$8:$D$507,MATCH($B316,'E2 — Triagem'!$B$8:$B$507,0)),""))</f>
        <v/>
      </c>
      <c r="E316" s="423"/>
      <c r="F316" s="423"/>
      <c r="G316" s="423"/>
      <c r="H316" s="423"/>
      <c r="I316" s="424"/>
      <c r="J316" s="425" t="str">
        <f t="shared" si="5"/>
        <v/>
      </c>
      <c r="K316" s="422"/>
      <c r="L316" s="426"/>
    </row>
    <row r="317" spans="2:12" x14ac:dyDescent="0.35">
      <c r="B317" s="421" t="str">
        <f>IF(Lançamentos!$B312="","",Lançamentos!$B312)</f>
        <v/>
      </c>
      <c r="C317" s="422" t="str">
        <f>IF($B317="","",IFERROR(INDEX(Lançamentos!$J$3:$J$1001,MATCH($B317,Lançamentos!$B$3:$B$1001,0)),""))</f>
        <v/>
      </c>
      <c r="D317" s="423" t="str">
        <f>IF($B317="","",IFERROR(INDEX('E2 — Triagem'!$D$8:$D$507,MATCH($B317,'E2 — Triagem'!$B$8:$B$507,0)),""))</f>
        <v/>
      </c>
      <c r="E317" s="423"/>
      <c r="F317" s="423"/>
      <c r="G317" s="423"/>
      <c r="H317" s="423"/>
      <c r="I317" s="424"/>
      <c r="J317" s="425" t="str">
        <f t="shared" si="5"/>
        <v/>
      </c>
      <c r="K317" s="422"/>
      <c r="L317" s="426"/>
    </row>
    <row r="318" spans="2:12" x14ac:dyDescent="0.35">
      <c r="B318" s="421" t="str">
        <f>IF(Lançamentos!$B313="","",Lançamentos!$B313)</f>
        <v/>
      </c>
      <c r="C318" s="422" t="str">
        <f>IF($B318="","",IFERROR(INDEX(Lançamentos!$J$3:$J$1001,MATCH($B318,Lançamentos!$B$3:$B$1001,0)),""))</f>
        <v/>
      </c>
      <c r="D318" s="423" t="str">
        <f>IF($B318="","",IFERROR(INDEX('E2 — Triagem'!$D$8:$D$507,MATCH($B318,'E2 — Triagem'!$B$8:$B$507,0)),""))</f>
        <v/>
      </c>
      <c r="E318" s="423"/>
      <c r="F318" s="423"/>
      <c r="G318" s="423"/>
      <c r="H318" s="423"/>
      <c r="I318" s="424"/>
      <c r="J318" s="425" t="str">
        <f t="shared" si="5"/>
        <v/>
      </c>
      <c r="K318" s="422"/>
      <c r="L318" s="426"/>
    </row>
    <row r="319" spans="2:12" x14ac:dyDescent="0.35">
      <c r="B319" s="421" t="str">
        <f>IF(Lançamentos!$B314="","",Lançamentos!$B314)</f>
        <v/>
      </c>
      <c r="C319" s="422" t="str">
        <f>IF($B319="","",IFERROR(INDEX(Lançamentos!$J$3:$J$1001,MATCH($B319,Lançamentos!$B$3:$B$1001,0)),""))</f>
        <v/>
      </c>
      <c r="D319" s="423" t="str">
        <f>IF($B319="","",IFERROR(INDEX('E2 — Triagem'!$D$8:$D$507,MATCH($B319,'E2 — Triagem'!$B$8:$B$507,0)),""))</f>
        <v/>
      </c>
      <c r="E319" s="423"/>
      <c r="F319" s="423"/>
      <c r="G319" s="423"/>
      <c r="H319" s="423"/>
      <c r="I319" s="424"/>
      <c r="J319" s="425" t="str">
        <f t="shared" si="5"/>
        <v/>
      </c>
      <c r="K319" s="422"/>
      <c r="L319" s="426"/>
    </row>
    <row r="320" spans="2:12" x14ac:dyDescent="0.35">
      <c r="B320" s="421" t="str">
        <f>IF(Lançamentos!$B315="","",Lançamentos!$B315)</f>
        <v/>
      </c>
      <c r="C320" s="422" t="str">
        <f>IF($B320="","",IFERROR(INDEX(Lançamentos!$J$3:$J$1001,MATCH($B320,Lançamentos!$B$3:$B$1001,0)),""))</f>
        <v/>
      </c>
      <c r="D320" s="423" t="str">
        <f>IF($B320="","",IFERROR(INDEX('E2 — Triagem'!$D$8:$D$507,MATCH($B320,'E2 — Triagem'!$B$8:$B$507,0)),""))</f>
        <v/>
      </c>
      <c r="E320" s="423"/>
      <c r="F320" s="423"/>
      <c r="G320" s="423"/>
      <c r="H320" s="423"/>
      <c r="I320" s="424"/>
      <c r="J320" s="425" t="str">
        <f t="shared" si="5"/>
        <v/>
      </c>
      <c r="K320" s="422"/>
      <c r="L320" s="426"/>
    </row>
    <row r="321" spans="2:12" x14ac:dyDescent="0.35">
      <c r="B321" s="421" t="str">
        <f>IF(Lançamentos!$B316="","",Lançamentos!$B316)</f>
        <v/>
      </c>
      <c r="C321" s="422" t="str">
        <f>IF($B321="","",IFERROR(INDEX(Lançamentos!$J$3:$J$1001,MATCH($B321,Lançamentos!$B$3:$B$1001,0)),""))</f>
        <v/>
      </c>
      <c r="D321" s="423" t="str">
        <f>IF($B321="","",IFERROR(INDEX('E2 — Triagem'!$D$8:$D$507,MATCH($B321,'E2 — Triagem'!$B$8:$B$507,0)),""))</f>
        <v/>
      </c>
      <c r="E321" s="423"/>
      <c r="F321" s="423"/>
      <c r="G321" s="423"/>
      <c r="H321" s="423"/>
      <c r="I321" s="424"/>
      <c r="J321" s="425" t="str">
        <f t="shared" si="5"/>
        <v/>
      </c>
      <c r="K321" s="422"/>
      <c r="L321" s="426"/>
    </row>
    <row r="322" spans="2:12" x14ac:dyDescent="0.35">
      <c r="B322" s="421" t="str">
        <f>IF(Lançamentos!$B317="","",Lançamentos!$B317)</f>
        <v/>
      </c>
      <c r="C322" s="422" t="str">
        <f>IF($B322="","",IFERROR(INDEX(Lançamentos!$J$3:$J$1001,MATCH($B322,Lançamentos!$B$3:$B$1001,0)),""))</f>
        <v/>
      </c>
      <c r="D322" s="423" t="str">
        <f>IF($B322="","",IFERROR(INDEX('E2 — Triagem'!$D$8:$D$507,MATCH($B322,'E2 — Triagem'!$B$8:$B$507,0)),""))</f>
        <v/>
      </c>
      <c r="E322" s="423"/>
      <c r="F322" s="423"/>
      <c r="G322" s="423"/>
      <c r="H322" s="423"/>
      <c r="I322" s="424"/>
      <c r="J322" s="425" t="str">
        <f t="shared" si="5"/>
        <v/>
      </c>
      <c r="K322" s="422"/>
      <c r="L322" s="426"/>
    </row>
    <row r="323" spans="2:12" x14ac:dyDescent="0.35">
      <c r="B323" s="421" t="str">
        <f>IF(Lançamentos!$B318="","",Lançamentos!$B318)</f>
        <v/>
      </c>
      <c r="C323" s="422" t="str">
        <f>IF($B323="","",IFERROR(INDEX(Lançamentos!$J$3:$J$1001,MATCH($B323,Lançamentos!$B$3:$B$1001,0)),""))</f>
        <v/>
      </c>
      <c r="D323" s="423" t="str">
        <f>IF($B323="","",IFERROR(INDEX('E2 — Triagem'!$D$8:$D$507,MATCH($B323,'E2 — Triagem'!$B$8:$B$507,0)),""))</f>
        <v/>
      </c>
      <c r="E323" s="423"/>
      <c r="F323" s="423"/>
      <c r="G323" s="423"/>
      <c r="H323" s="423"/>
      <c r="I323" s="424"/>
      <c r="J323" s="425" t="str">
        <f t="shared" si="5"/>
        <v/>
      </c>
      <c r="K323" s="422"/>
      <c r="L323" s="426"/>
    </row>
    <row r="324" spans="2:12" x14ac:dyDescent="0.35">
      <c r="B324" s="421" t="str">
        <f>IF(Lançamentos!$B319="","",Lançamentos!$B319)</f>
        <v/>
      </c>
      <c r="C324" s="422" t="str">
        <f>IF($B324="","",IFERROR(INDEX(Lançamentos!$J$3:$J$1001,MATCH($B324,Lançamentos!$B$3:$B$1001,0)),""))</f>
        <v/>
      </c>
      <c r="D324" s="423" t="str">
        <f>IF($B324="","",IFERROR(INDEX('E2 — Triagem'!$D$8:$D$507,MATCH($B324,'E2 — Triagem'!$B$8:$B$507,0)),""))</f>
        <v/>
      </c>
      <c r="E324" s="423"/>
      <c r="F324" s="423"/>
      <c r="G324" s="423"/>
      <c r="H324" s="423"/>
      <c r="I324" s="424"/>
      <c r="J324" s="425" t="str">
        <f t="shared" si="5"/>
        <v/>
      </c>
      <c r="K324" s="422"/>
      <c r="L324" s="426"/>
    </row>
    <row r="325" spans="2:12" x14ac:dyDescent="0.35">
      <c r="B325" s="421" t="str">
        <f>IF(Lançamentos!$B320="","",Lançamentos!$B320)</f>
        <v/>
      </c>
      <c r="C325" s="422" t="str">
        <f>IF($B325="","",IFERROR(INDEX(Lançamentos!$J$3:$J$1001,MATCH($B325,Lançamentos!$B$3:$B$1001,0)),""))</f>
        <v/>
      </c>
      <c r="D325" s="423" t="str">
        <f>IF($B325="","",IFERROR(INDEX('E2 — Triagem'!$D$8:$D$507,MATCH($B325,'E2 — Triagem'!$B$8:$B$507,0)),""))</f>
        <v/>
      </c>
      <c r="E325" s="423"/>
      <c r="F325" s="423"/>
      <c r="G325" s="423"/>
      <c r="H325" s="423"/>
      <c r="I325" s="424"/>
      <c r="J325" s="425" t="str">
        <f t="shared" si="5"/>
        <v/>
      </c>
      <c r="K325" s="422"/>
      <c r="L325" s="426"/>
    </row>
    <row r="326" spans="2:12" x14ac:dyDescent="0.35">
      <c r="B326" s="421" t="str">
        <f>IF(Lançamentos!$B321="","",Lançamentos!$B321)</f>
        <v/>
      </c>
      <c r="C326" s="422" t="str">
        <f>IF($B326="","",IFERROR(INDEX(Lançamentos!$J$3:$J$1001,MATCH($B326,Lançamentos!$B$3:$B$1001,0)),""))</f>
        <v/>
      </c>
      <c r="D326" s="423" t="str">
        <f>IF($B326="","",IFERROR(INDEX('E2 — Triagem'!$D$8:$D$507,MATCH($B326,'E2 — Triagem'!$B$8:$B$507,0)),""))</f>
        <v/>
      </c>
      <c r="E326" s="423"/>
      <c r="F326" s="423"/>
      <c r="G326" s="423"/>
      <c r="H326" s="423"/>
      <c r="I326" s="424"/>
      <c r="J326" s="425" t="str">
        <f t="shared" si="5"/>
        <v/>
      </c>
      <c r="K326" s="422"/>
      <c r="L326" s="426"/>
    </row>
    <row r="327" spans="2:12" x14ac:dyDescent="0.35">
      <c r="B327" s="421" t="str">
        <f>IF(Lançamentos!$B322="","",Lançamentos!$B322)</f>
        <v/>
      </c>
      <c r="C327" s="422" t="str">
        <f>IF($B327="","",IFERROR(INDEX(Lançamentos!$J$3:$J$1001,MATCH($B327,Lançamentos!$B$3:$B$1001,0)),""))</f>
        <v/>
      </c>
      <c r="D327" s="423" t="str">
        <f>IF($B327="","",IFERROR(INDEX('E2 — Triagem'!$D$8:$D$507,MATCH($B327,'E2 — Triagem'!$B$8:$B$507,0)),""))</f>
        <v/>
      </c>
      <c r="E327" s="423"/>
      <c r="F327" s="423"/>
      <c r="G327" s="423"/>
      <c r="H327" s="423"/>
      <c r="I327" s="424"/>
      <c r="J327" s="425" t="str">
        <f t="shared" si="5"/>
        <v/>
      </c>
      <c r="K327" s="422"/>
      <c r="L327" s="426"/>
    </row>
    <row r="328" spans="2:12" x14ac:dyDescent="0.35">
      <c r="B328" s="421" t="str">
        <f>IF(Lançamentos!$B323="","",Lançamentos!$B323)</f>
        <v/>
      </c>
      <c r="C328" s="422" t="str">
        <f>IF($B328="","",IFERROR(INDEX(Lançamentos!$J$3:$J$1001,MATCH($B328,Lançamentos!$B$3:$B$1001,0)),""))</f>
        <v/>
      </c>
      <c r="D328" s="423" t="str">
        <f>IF($B328="","",IFERROR(INDEX('E2 — Triagem'!$D$8:$D$507,MATCH($B328,'E2 — Triagem'!$B$8:$B$507,0)),""))</f>
        <v/>
      </c>
      <c r="E328" s="423"/>
      <c r="F328" s="423"/>
      <c r="G328" s="423"/>
      <c r="H328" s="423"/>
      <c r="I328" s="424"/>
      <c r="J328" s="425" t="str">
        <f t="shared" si="5"/>
        <v/>
      </c>
      <c r="K328" s="422"/>
      <c r="L328" s="426"/>
    </row>
    <row r="329" spans="2:12" x14ac:dyDescent="0.35">
      <c r="B329" s="421" t="str">
        <f>IF(Lançamentos!$B324="","",Lançamentos!$B324)</f>
        <v/>
      </c>
      <c r="C329" s="422" t="str">
        <f>IF($B329="","",IFERROR(INDEX(Lançamentos!$J$3:$J$1001,MATCH($B329,Lançamentos!$B$3:$B$1001,0)),""))</f>
        <v/>
      </c>
      <c r="D329" s="423" t="str">
        <f>IF($B329="","",IFERROR(INDEX('E2 — Triagem'!$D$8:$D$507,MATCH($B329,'E2 — Triagem'!$B$8:$B$507,0)),""))</f>
        <v/>
      </c>
      <c r="E329" s="423"/>
      <c r="F329" s="423"/>
      <c r="G329" s="423"/>
      <c r="H329" s="423"/>
      <c r="I329" s="424"/>
      <c r="J329" s="425" t="str">
        <f t="shared" si="5"/>
        <v/>
      </c>
      <c r="K329" s="422"/>
      <c r="L329" s="426"/>
    </row>
    <row r="330" spans="2:12" x14ac:dyDescent="0.35">
      <c r="B330" s="421" t="str">
        <f>IF(Lançamentos!$B325="","",Lançamentos!$B325)</f>
        <v/>
      </c>
      <c r="C330" s="422" t="str">
        <f>IF($B330="","",IFERROR(INDEX(Lançamentos!$J$3:$J$1001,MATCH($B330,Lançamentos!$B$3:$B$1001,0)),""))</f>
        <v/>
      </c>
      <c r="D330" s="423" t="str">
        <f>IF($B330="","",IFERROR(INDEX('E2 — Triagem'!$D$8:$D$507,MATCH($B330,'E2 — Triagem'!$B$8:$B$507,0)),""))</f>
        <v/>
      </c>
      <c r="E330" s="423"/>
      <c r="F330" s="423"/>
      <c r="G330" s="423"/>
      <c r="H330" s="423"/>
      <c r="I330" s="424"/>
      <c r="J330" s="425" t="str">
        <f t="shared" si="5"/>
        <v/>
      </c>
      <c r="K330" s="422"/>
      <c r="L330" s="426"/>
    </row>
    <row r="331" spans="2:12" x14ac:dyDescent="0.35">
      <c r="B331" s="421" t="str">
        <f>IF(Lançamentos!$B326="","",Lançamentos!$B326)</f>
        <v/>
      </c>
      <c r="C331" s="422" t="str">
        <f>IF($B331="","",IFERROR(INDEX(Lançamentos!$J$3:$J$1001,MATCH($B331,Lançamentos!$B$3:$B$1001,0)),""))</f>
        <v/>
      </c>
      <c r="D331" s="423" t="str">
        <f>IF($B331="","",IFERROR(INDEX('E2 — Triagem'!$D$8:$D$507,MATCH($B331,'E2 — Triagem'!$B$8:$B$507,0)),""))</f>
        <v/>
      </c>
      <c r="E331" s="423"/>
      <c r="F331" s="423"/>
      <c r="G331" s="423"/>
      <c r="H331" s="423"/>
      <c r="I331" s="424"/>
      <c r="J331" s="425" t="str">
        <f t="shared" si="5"/>
        <v/>
      </c>
      <c r="K331" s="422"/>
      <c r="L331" s="426"/>
    </row>
    <row r="332" spans="2:12" x14ac:dyDescent="0.35">
      <c r="B332" s="421" t="str">
        <f>IF(Lançamentos!$B327="","",Lançamentos!$B327)</f>
        <v/>
      </c>
      <c r="C332" s="422" t="str">
        <f>IF($B332="","",IFERROR(INDEX(Lançamentos!$J$3:$J$1001,MATCH($B332,Lançamentos!$B$3:$B$1001,0)),""))</f>
        <v/>
      </c>
      <c r="D332" s="423" t="str">
        <f>IF($B332="","",IFERROR(INDEX('E2 — Triagem'!$D$8:$D$507,MATCH($B332,'E2 — Triagem'!$B$8:$B$507,0)),""))</f>
        <v/>
      </c>
      <c r="E332" s="423"/>
      <c r="F332" s="423"/>
      <c r="G332" s="423"/>
      <c r="H332" s="423"/>
      <c r="I332" s="424"/>
      <c r="J332" s="425" t="str">
        <f t="shared" si="5"/>
        <v/>
      </c>
      <c r="K332" s="422"/>
      <c r="L332" s="426"/>
    </row>
    <row r="333" spans="2:12" x14ac:dyDescent="0.35">
      <c r="B333" s="421" t="str">
        <f>IF(Lançamentos!$B328="","",Lançamentos!$B328)</f>
        <v/>
      </c>
      <c r="C333" s="422" t="str">
        <f>IF($B333="","",IFERROR(INDEX(Lançamentos!$J$3:$J$1001,MATCH($B333,Lançamentos!$B$3:$B$1001,0)),""))</f>
        <v/>
      </c>
      <c r="D333" s="423" t="str">
        <f>IF($B333="","",IFERROR(INDEX('E2 — Triagem'!$D$8:$D$507,MATCH($B333,'E2 — Triagem'!$B$8:$B$507,0)),""))</f>
        <v/>
      </c>
      <c r="E333" s="423"/>
      <c r="F333" s="423"/>
      <c r="G333" s="423"/>
      <c r="H333" s="423"/>
      <c r="I333" s="424"/>
      <c r="J333" s="425" t="str">
        <f t="shared" si="5"/>
        <v/>
      </c>
      <c r="K333" s="422"/>
      <c r="L333" s="426"/>
    </row>
    <row r="334" spans="2:12" x14ac:dyDescent="0.35">
      <c r="B334" s="421" t="str">
        <f>IF(Lançamentos!$B329="","",Lançamentos!$B329)</f>
        <v/>
      </c>
      <c r="C334" s="422" t="str">
        <f>IF($B334="","",IFERROR(INDEX(Lançamentos!$J$3:$J$1001,MATCH($B334,Lançamentos!$B$3:$B$1001,0)),""))</f>
        <v/>
      </c>
      <c r="D334" s="423" t="str">
        <f>IF($B334="","",IFERROR(INDEX('E2 — Triagem'!$D$8:$D$507,MATCH($B334,'E2 — Triagem'!$B$8:$B$507,0)),""))</f>
        <v/>
      </c>
      <c r="E334" s="423"/>
      <c r="F334" s="423"/>
      <c r="G334" s="423"/>
      <c r="H334" s="423"/>
      <c r="I334" s="424"/>
      <c r="J334" s="425" t="str">
        <f t="shared" si="5"/>
        <v/>
      </c>
      <c r="K334" s="422"/>
      <c r="L334" s="426"/>
    </row>
    <row r="335" spans="2:12" x14ac:dyDescent="0.35">
      <c r="B335" s="421" t="str">
        <f>IF(Lançamentos!$B330="","",Lançamentos!$B330)</f>
        <v/>
      </c>
      <c r="C335" s="422" t="str">
        <f>IF($B335="","",IFERROR(INDEX(Lançamentos!$J$3:$J$1001,MATCH($B335,Lançamentos!$B$3:$B$1001,0)),""))</f>
        <v/>
      </c>
      <c r="D335" s="423" t="str">
        <f>IF($B335="","",IFERROR(INDEX('E2 — Triagem'!$D$8:$D$507,MATCH($B335,'E2 — Triagem'!$B$8:$B$507,0)),""))</f>
        <v/>
      </c>
      <c r="E335" s="423"/>
      <c r="F335" s="423"/>
      <c r="G335" s="423"/>
      <c r="H335" s="423"/>
      <c r="I335" s="424"/>
      <c r="J335" s="425" t="str">
        <f t="shared" si="5"/>
        <v/>
      </c>
      <c r="K335" s="422"/>
      <c r="L335" s="426"/>
    </row>
    <row r="336" spans="2:12" x14ac:dyDescent="0.35">
      <c r="B336" s="421" t="str">
        <f>IF(Lançamentos!$B331="","",Lançamentos!$B331)</f>
        <v/>
      </c>
      <c r="C336" s="422" t="str">
        <f>IF($B336="","",IFERROR(INDEX(Lançamentos!$J$3:$J$1001,MATCH($B336,Lançamentos!$B$3:$B$1001,0)),""))</f>
        <v/>
      </c>
      <c r="D336" s="423" t="str">
        <f>IF($B336="","",IFERROR(INDEX('E2 — Triagem'!$D$8:$D$507,MATCH($B336,'E2 — Triagem'!$B$8:$B$507,0)),""))</f>
        <v/>
      </c>
      <c r="E336" s="423"/>
      <c r="F336" s="423"/>
      <c r="G336" s="423"/>
      <c r="H336" s="423"/>
      <c r="I336" s="424"/>
      <c r="J336" s="425" t="str">
        <f t="shared" ref="J336:J399" si="6">IF(B336="","",IF(COUNTIF(E336:I336,"N/A")=5,0,IF(COUNTIF(E336:I336,"✔ Concluído")=5,1,MIN(99%,COUNTIF(E336:I336,"✔ Concluído")/(5-COUNTIF(E336:I336,"N/A"))))))</f>
        <v/>
      </c>
      <c r="K336" s="422"/>
      <c r="L336" s="426"/>
    </row>
    <row r="337" spans="2:12" x14ac:dyDescent="0.35">
      <c r="B337" s="421" t="str">
        <f>IF(Lançamentos!$B332="","",Lançamentos!$B332)</f>
        <v/>
      </c>
      <c r="C337" s="422" t="str">
        <f>IF($B337="","",IFERROR(INDEX(Lançamentos!$J$3:$J$1001,MATCH($B337,Lançamentos!$B$3:$B$1001,0)),""))</f>
        <v/>
      </c>
      <c r="D337" s="423" t="str">
        <f>IF($B337="","",IFERROR(INDEX('E2 — Triagem'!$D$8:$D$507,MATCH($B337,'E2 — Triagem'!$B$8:$B$507,0)),""))</f>
        <v/>
      </c>
      <c r="E337" s="423"/>
      <c r="F337" s="423"/>
      <c r="G337" s="423"/>
      <c r="H337" s="423"/>
      <c r="I337" s="424"/>
      <c r="J337" s="425" t="str">
        <f t="shared" si="6"/>
        <v/>
      </c>
      <c r="K337" s="422"/>
      <c r="L337" s="426"/>
    </row>
    <row r="338" spans="2:12" x14ac:dyDescent="0.35">
      <c r="B338" s="421" t="str">
        <f>IF(Lançamentos!$B333="","",Lançamentos!$B333)</f>
        <v/>
      </c>
      <c r="C338" s="422" t="str">
        <f>IF($B338="","",IFERROR(INDEX(Lançamentos!$J$3:$J$1001,MATCH($B338,Lançamentos!$B$3:$B$1001,0)),""))</f>
        <v/>
      </c>
      <c r="D338" s="423" t="str">
        <f>IF($B338="","",IFERROR(INDEX('E2 — Triagem'!$D$8:$D$507,MATCH($B338,'E2 — Triagem'!$B$8:$B$507,0)),""))</f>
        <v/>
      </c>
      <c r="E338" s="423"/>
      <c r="F338" s="423"/>
      <c r="G338" s="423"/>
      <c r="H338" s="423"/>
      <c r="I338" s="424"/>
      <c r="J338" s="425" t="str">
        <f t="shared" si="6"/>
        <v/>
      </c>
      <c r="K338" s="422"/>
      <c r="L338" s="426"/>
    </row>
    <row r="339" spans="2:12" x14ac:dyDescent="0.35">
      <c r="B339" s="421" t="str">
        <f>IF(Lançamentos!$B334="","",Lançamentos!$B334)</f>
        <v/>
      </c>
      <c r="C339" s="422" t="str">
        <f>IF($B339="","",IFERROR(INDEX(Lançamentos!$J$3:$J$1001,MATCH($B339,Lançamentos!$B$3:$B$1001,0)),""))</f>
        <v/>
      </c>
      <c r="D339" s="423" t="str">
        <f>IF($B339="","",IFERROR(INDEX('E2 — Triagem'!$D$8:$D$507,MATCH($B339,'E2 — Triagem'!$B$8:$B$507,0)),""))</f>
        <v/>
      </c>
      <c r="E339" s="423"/>
      <c r="F339" s="423"/>
      <c r="G339" s="423"/>
      <c r="H339" s="423"/>
      <c r="I339" s="424"/>
      <c r="J339" s="425" t="str">
        <f t="shared" si="6"/>
        <v/>
      </c>
      <c r="K339" s="422"/>
      <c r="L339" s="426"/>
    </row>
    <row r="340" spans="2:12" x14ac:dyDescent="0.35">
      <c r="B340" s="421" t="str">
        <f>IF(Lançamentos!$B335="","",Lançamentos!$B335)</f>
        <v/>
      </c>
      <c r="C340" s="422" t="str">
        <f>IF($B340="","",IFERROR(INDEX(Lançamentos!$J$3:$J$1001,MATCH($B340,Lançamentos!$B$3:$B$1001,0)),""))</f>
        <v/>
      </c>
      <c r="D340" s="423" t="str">
        <f>IF($B340="","",IFERROR(INDEX('E2 — Triagem'!$D$8:$D$507,MATCH($B340,'E2 — Triagem'!$B$8:$B$507,0)),""))</f>
        <v/>
      </c>
      <c r="E340" s="423"/>
      <c r="F340" s="423"/>
      <c r="G340" s="423"/>
      <c r="H340" s="423"/>
      <c r="I340" s="424"/>
      <c r="J340" s="425" t="str">
        <f t="shared" si="6"/>
        <v/>
      </c>
      <c r="K340" s="422"/>
      <c r="L340" s="426"/>
    </row>
    <row r="341" spans="2:12" x14ac:dyDescent="0.35">
      <c r="B341" s="421" t="str">
        <f>IF(Lançamentos!$B336="","",Lançamentos!$B336)</f>
        <v/>
      </c>
      <c r="C341" s="422" t="str">
        <f>IF($B341="","",IFERROR(INDEX(Lançamentos!$J$3:$J$1001,MATCH($B341,Lançamentos!$B$3:$B$1001,0)),""))</f>
        <v/>
      </c>
      <c r="D341" s="423" t="str">
        <f>IF($B341="","",IFERROR(INDEX('E2 — Triagem'!$D$8:$D$507,MATCH($B341,'E2 — Triagem'!$B$8:$B$507,0)),""))</f>
        <v/>
      </c>
      <c r="E341" s="423"/>
      <c r="F341" s="423"/>
      <c r="G341" s="423"/>
      <c r="H341" s="423"/>
      <c r="I341" s="424"/>
      <c r="J341" s="425" t="str">
        <f t="shared" si="6"/>
        <v/>
      </c>
      <c r="K341" s="422"/>
      <c r="L341" s="426"/>
    </row>
    <row r="342" spans="2:12" x14ac:dyDescent="0.35">
      <c r="B342" s="421" t="str">
        <f>IF(Lançamentos!$B337="","",Lançamentos!$B337)</f>
        <v/>
      </c>
      <c r="C342" s="422" t="str">
        <f>IF($B342="","",IFERROR(INDEX(Lançamentos!$J$3:$J$1001,MATCH($B342,Lançamentos!$B$3:$B$1001,0)),""))</f>
        <v/>
      </c>
      <c r="D342" s="423" t="str">
        <f>IF($B342="","",IFERROR(INDEX('E2 — Triagem'!$D$8:$D$507,MATCH($B342,'E2 — Triagem'!$B$8:$B$507,0)),""))</f>
        <v/>
      </c>
      <c r="E342" s="423"/>
      <c r="F342" s="423"/>
      <c r="G342" s="423"/>
      <c r="H342" s="423"/>
      <c r="I342" s="424"/>
      <c r="J342" s="425" t="str">
        <f t="shared" si="6"/>
        <v/>
      </c>
      <c r="K342" s="422"/>
      <c r="L342" s="426"/>
    </row>
    <row r="343" spans="2:12" x14ac:dyDescent="0.35">
      <c r="B343" s="421" t="str">
        <f>IF(Lançamentos!$B338="","",Lançamentos!$B338)</f>
        <v/>
      </c>
      <c r="C343" s="422" t="str">
        <f>IF($B343="","",IFERROR(INDEX(Lançamentos!$J$3:$J$1001,MATCH($B343,Lançamentos!$B$3:$B$1001,0)),""))</f>
        <v/>
      </c>
      <c r="D343" s="423" t="str">
        <f>IF($B343="","",IFERROR(INDEX('E2 — Triagem'!$D$8:$D$507,MATCH($B343,'E2 — Triagem'!$B$8:$B$507,0)),""))</f>
        <v/>
      </c>
      <c r="E343" s="423"/>
      <c r="F343" s="423"/>
      <c r="G343" s="423"/>
      <c r="H343" s="423"/>
      <c r="I343" s="424"/>
      <c r="J343" s="425" t="str">
        <f t="shared" si="6"/>
        <v/>
      </c>
      <c r="K343" s="422"/>
      <c r="L343" s="426"/>
    </row>
    <row r="344" spans="2:12" x14ac:dyDescent="0.35">
      <c r="B344" s="421" t="str">
        <f>IF(Lançamentos!$B339="","",Lançamentos!$B339)</f>
        <v/>
      </c>
      <c r="C344" s="422" t="str">
        <f>IF($B344="","",IFERROR(INDEX(Lançamentos!$J$3:$J$1001,MATCH($B344,Lançamentos!$B$3:$B$1001,0)),""))</f>
        <v/>
      </c>
      <c r="D344" s="423" t="str">
        <f>IF($B344="","",IFERROR(INDEX('E2 — Triagem'!$D$8:$D$507,MATCH($B344,'E2 — Triagem'!$B$8:$B$507,0)),""))</f>
        <v/>
      </c>
      <c r="E344" s="423"/>
      <c r="F344" s="423"/>
      <c r="G344" s="423"/>
      <c r="H344" s="423"/>
      <c r="I344" s="424"/>
      <c r="J344" s="425" t="str">
        <f t="shared" si="6"/>
        <v/>
      </c>
      <c r="K344" s="422"/>
      <c r="L344" s="426"/>
    </row>
    <row r="345" spans="2:12" x14ac:dyDescent="0.35">
      <c r="B345" s="421" t="str">
        <f>IF(Lançamentos!$B340="","",Lançamentos!$B340)</f>
        <v/>
      </c>
      <c r="C345" s="422" t="str">
        <f>IF($B345="","",IFERROR(INDEX(Lançamentos!$J$3:$J$1001,MATCH($B345,Lançamentos!$B$3:$B$1001,0)),""))</f>
        <v/>
      </c>
      <c r="D345" s="423" t="str">
        <f>IF($B345="","",IFERROR(INDEX('E2 — Triagem'!$D$8:$D$507,MATCH($B345,'E2 — Triagem'!$B$8:$B$507,0)),""))</f>
        <v/>
      </c>
      <c r="E345" s="423"/>
      <c r="F345" s="423"/>
      <c r="G345" s="423"/>
      <c r="H345" s="423"/>
      <c r="I345" s="424"/>
      <c r="J345" s="425" t="str">
        <f t="shared" si="6"/>
        <v/>
      </c>
      <c r="K345" s="422"/>
      <c r="L345" s="426"/>
    </row>
    <row r="346" spans="2:12" x14ac:dyDescent="0.35">
      <c r="B346" s="421" t="str">
        <f>IF(Lançamentos!$B341="","",Lançamentos!$B341)</f>
        <v/>
      </c>
      <c r="C346" s="422" t="str">
        <f>IF($B346="","",IFERROR(INDEX(Lançamentos!$J$3:$J$1001,MATCH($B346,Lançamentos!$B$3:$B$1001,0)),""))</f>
        <v/>
      </c>
      <c r="D346" s="423" t="str">
        <f>IF($B346="","",IFERROR(INDEX('E2 — Triagem'!$D$8:$D$507,MATCH($B346,'E2 — Triagem'!$B$8:$B$507,0)),""))</f>
        <v/>
      </c>
      <c r="E346" s="423"/>
      <c r="F346" s="423"/>
      <c r="G346" s="423"/>
      <c r="H346" s="423"/>
      <c r="I346" s="424"/>
      <c r="J346" s="425" t="str">
        <f t="shared" si="6"/>
        <v/>
      </c>
      <c r="K346" s="422"/>
      <c r="L346" s="426"/>
    </row>
    <row r="347" spans="2:12" x14ac:dyDescent="0.35">
      <c r="B347" s="421" t="str">
        <f>IF(Lançamentos!$B342="","",Lançamentos!$B342)</f>
        <v/>
      </c>
      <c r="C347" s="422" t="str">
        <f>IF($B347="","",IFERROR(INDEX(Lançamentos!$J$3:$J$1001,MATCH($B347,Lançamentos!$B$3:$B$1001,0)),""))</f>
        <v/>
      </c>
      <c r="D347" s="423" t="str">
        <f>IF($B347="","",IFERROR(INDEX('E2 — Triagem'!$D$8:$D$507,MATCH($B347,'E2 — Triagem'!$B$8:$B$507,0)),""))</f>
        <v/>
      </c>
      <c r="E347" s="423"/>
      <c r="F347" s="423"/>
      <c r="G347" s="423"/>
      <c r="H347" s="423"/>
      <c r="I347" s="424"/>
      <c r="J347" s="425" t="str">
        <f t="shared" si="6"/>
        <v/>
      </c>
      <c r="K347" s="422"/>
      <c r="L347" s="426"/>
    </row>
    <row r="348" spans="2:12" x14ac:dyDescent="0.35">
      <c r="B348" s="421" t="str">
        <f>IF(Lançamentos!$B343="","",Lançamentos!$B343)</f>
        <v/>
      </c>
      <c r="C348" s="422" t="str">
        <f>IF($B348="","",IFERROR(INDEX(Lançamentos!$J$3:$J$1001,MATCH($B348,Lançamentos!$B$3:$B$1001,0)),""))</f>
        <v/>
      </c>
      <c r="D348" s="423" t="str">
        <f>IF($B348="","",IFERROR(INDEX('E2 — Triagem'!$D$8:$D$507,MATCH($B348,'E2 — Triagem'!$B$8:$B$507,0)),""))</f>
        <v/>
      </c>
      <c r="E348" s="423"/>
      <c r="F348" s="423"/>
      <c r="G348" s="423"/>
      <c r="H348" s="423"/>
      <c r="I348" s="424"/>
      <c r="J348" s="425" t="str">
        <f t="shared" si="6"/>
        <v/>
      </c>
      <c r="K348" s="422"/>
      <c r="L348" s="426"/>
    </row>
    <row r="349" spans="2:12" x14ac:dyDescent="0.35">
      <c r="B349" s="421" t="str">
        <f>IF(Lançamentos!$B344="","",Lançamentos!$B344)</f>
        <v/>
      </c>
      <c r="C349" s="422" t="str">
        <f>IF($B349="","",IFERROR(INDEX(Lançamentos!$J$3:$J$1001,MATCH($B349,Lançamentos!$B$3:$B$1001,0)),""))</f>
        <v/>
      </c>
      <c r="D349" s="423" t="str">
        <f>IF($B349="","",IFERROR(INDEX('E2 — Triagem'!$D$8:$D$507,MATCH($B349,'E2 — Triagem'!$B$8:$B$507,0)),""))</f>
        <v/>
      </c>
      <c r="E349" s="423"/>
      <c r="F349" s="423"/>
      <c r="G349" s="423"/>
      <c r="H349" s="423"/>
      <c r="I349" s="424"/>
      <c r="J349" s="425" t="str">
        <f t="shared" si="6"/>
        <v/>
      </c>
      <c r="K349" s="422"/>
      <c r="L349" s="426"/>
    </row>
    <row r="350" spans="2:12" x14ac:dyDescent="0.35">
      <c r="B350" s="421" t="str">
        <f>IF(Lançamentos!$B345="","",Lançamentos!$B345)</f>
        <v/>
      </c>
      <c r="C350" s="422" t="str">
        <f>IF($B350="","",IFERROR(INDEX(Lançamentos!$J$3:$J$1001,MATCH($B350,Lançamentos!$B$3:$B$1001,0)),""))</f>
        <v/>
      </c>
      <c r="D350" s="423" t="str">
        <f>IF($B350="","",IFERROR(INDEX('E2 — Triagem'!$D$8:$D$507,MATCH($B350,'E2 — Triagem'!$B$8:$B$507,0)),""))</f>
        <v/>
      </c>
      <c r="E350" s="423"/>
      <c r="F350" s="423"/>
      <c r="G350" s="423"/>
      <c r="H350" s="423"/>
      <c r="I350" s="424"/>
      <c r="J350" s="425" t="str">
        <f t="shared" si="6"/>
        <v/>
      </c>
      <c r="K350" s="422"/>
      <c r="L350" s="426"/>
    </row>
    <row r="351" spans="2:12" x14ac:dyDescent="0.35">
      <c r="B351" s="421" t="str">
        <f>IF(Lançamentos!$B346="","",Lançamentos!$B346)</f>
        <v/>
      </c>
      <c r="C351" s="422" t="str">
        <f>IF($B351="","",IFERROR(INDEX(Lançamentos!$J$3:$J$1001,MATCH($B351,Lançamentos!$B$3:$B$1001,0)),""))</f>
        <v/>
      </c>
      <c r="D351" s="423" t="str">
        <f>IF($B351="","",IFERROR(INDEX('E2 — Triagem'!$D$8:$D$507,MATCH($B351,'E2 — Triagem'!$B$8:$B$507,0)),""))</f>
        <v/>
      </c>
      <c r="E351" s="423"/>
      <c r="F351" s="423"/>
      <c r="G351" s="423"/>
      <c r="H351" s="423"/>
      <c r="I351" s="424"/>
      <c r="J351" s="425" t="str">
        <f t="shared" si="6"/>
        <v/>
      </c>
      <c r="K351" s="422"/>
      <c r="L351" s="426"/>
    </row>
    <row r="352" spans="2:12" x14ac:dyDescent="0.35">
      <c r="B352" s="421" t="str">
        <f>IF(Lançamentos!$B347="","",Lançamentos!$B347)</f>
        <v/>
      </c>
      <c r="C352" s="422" t="str">
        <f>IF($B352="","",IFERROR(INDEX(Lançamentos!$J$3:$J$1001,MATCH($B352,Lançamentos!$B$3:$B$1001,0)),""))</f>
        <v/>
      </c>
      <c r="D352" s="423" t="str">
        <f>IF($B352="","",IFERROR(INDEX('E2 — Triagem'!$D$8:$D$507,MATCH($B352,'E2 — Triagem'!$B$8:$B$507,0)),""))</f>
        <v/>
      </c>
      <c r="E352" s="423"/>
      <c r="F352" s="423"/>
      <c r="G352" s="423"/>
      <c r="H352" s="423"/>
      <c r="I352" s="424"/>
      <c r="J352" s="425" t="str">
        <f t="shared" si="6"/>
        <v/>
      </c>
      <c r="K352" s="422"/>
      <c r="L352" s="426"/>
    </row>
    <row r="353" spans="2:12" x14ac:dyDescent="0.35">
      <c r="B353" s="421" t="str">
        <f>IF(Lançamentos!$B348="","",Lançamentos!$B348)</f>
        <v/>
      </c>
      <c r="C353" s="422" t="str">
        <f>IF($B353="","",IFERROR(INDEX(Lançamentos!$J$3:$J$1001,MATCH($B353,Lançamentos!$B$3:$B$1001,0)),""))</f>
        <v/>
      </c>
      <c r="D353" s="423" t="str">
        <f>IF($B353="","",IFERROR(INDEX('E2 — Triagem'!$D$8:$D$507,MATCH($B353,'E2 — Triagem'!$B$8:$B$507,0)),""))</f>
        <v/>
      </c>
      <c r="E353" s="423"/>
      <c r="F353" s="423"/>
      <c r="G353" s="423"/>
      <c r="H353" s="423"/>
      <c r="I353" s="424"/>
      <c r="J353" s="425" t="str">
        <f t="shared" si="6"/>
        <v/>
      </c>
      <c r="K353" s="422"/>
      <c r="L353" s="426"/>
    </row>
    <row r="354" spans="2:12" x14ac:dyDescent="0.35">
      <c r="B354" s="421" t="str">
        <f>IF(Lançamentos!$B349="","",Lançamentos!$B349)</f>
        <v/>
      </c>
      <c r="C354" s="422" t="str">
        <f>IF($B354="","",IFERROR(INDEX(Lançamentos!$J$3:$J$1001,MATCH($B354,Lançamentos!$B$3:$B$1001,0)),""))</f>
        <v/>
      </c>
      <c r="D354" s="423" t="str">
        <f>IF($B354="","",IFERROR(INDEX('E2 — Triagem'!$D$8:$D$507,MATCH($B354,'E2 — Triagem'!$B$8:$B$507,0)),""))</f>
        <v/>
      </c>
      <c r="E354" s="423"/>
      <c r="F354" s="423"/>
      <c r="G354" s="423"/>
      <c r="H354" s="423"/>
      <c r="I354" s="424"/>
      <c r="J354" s="425" t="str">
        <f t="shared" si="6"/>
        <v/>
      </c>
      <c r="K354" s="422"/>
      <c r="L354" s="426"/>
    </row>
    <row r="355" spans="2:12" x14ac:dyDescent="0.35">
      <c r="B355" s="421" t="str">
        <f>IF(Lançamentos!$B350="","",Lançamentos!$B350)</f>
        <v/>
      </c>
      <c r="C355" s="422" t="str">
        <f>IF($B355="","",IFERROR(INDEX(Lançamentos!$J$3:$J$1001,MATCH($B355,Lançamentos!$B$3:$B$1001,0)),""))</f>
        <v/>
      </c>
      <c r="D355" s="423" t="str">
        <f>IF($B355="","",IFERROR(INDEX('E2 — Triagem'!$D$8:$D$507,MATCH($B355,'E2 — Triagem'!$B$8:$B$507,0)),""))</f>
        <v/>
      </c>
      <c r="E355" s="423"/>
      <c r="F355" s="423"/>
      <c r="G355" s="423"/>
      <c r="H355" s="423"/>
      <c r="I355" s="424"/>
      <c r="J355" s="425" t="str">
        <f t="shared" si="6"/>
        <v/>
      </c>
      <c r="K355" s="422"/>
      <c r="L355" s="426"/>
    </row>
    <row r="356" spans="2:12" x14ac:dyDescent="0.35">
      <c r="B356" s="421" t="str">
        <f>IF(Lançamentos!$B351="","",Lançamentos!$B351)</f>
        <v/>
      </c>
      <c r="C356" s="422" t="str">
        <f>IF($B356="","",IFERROR(INDEX(Lançamentos!$J$3:$J$1001,MATCH($B356,Lançamentos!$B$3:$B$1001,0)),""))</f>
        <v/>
      </c>
      <c r="D356" s="423" t="str">
        <f>IF($B356="","",IFERROR(INDEX('E2 — Triagem'!$D$8:$D$507,MATCH($B356,'E2 — Triagem'!$B$8:$B$507,0)),""))</f>
        <v/>
      </c>
      <c r="E356" s="423"/>
      <c r="F356" s="423"/>
      <c r="G356" s="423"/>
      <c r="H356" s="423"/>
      <c r="I356" s="424"/>
      <c r="J356" s="425" t="str">
        <f t="shared" si="6"/>
        <v/>
      </c>
      <c r="K356" s="422"/>
      <c r="L356" s="426"/>
    </row>
    <row r="357" spans="2:12" x14ac:dyDescent="0.35">
      <c r="B357" s="421" t="str">
        <f>IF(Lançamentos!$B352="","",Lançamentos!$B352)</f>
        <v/>
      </c>
      <c r="C357" s="422" t="str">
        <f>IF($B357="","",IFERROR(INDEX(Lançamentos!$J$3:$J$1001,MATCH($B357,Lançamentos!$B$3:$B$1001,0)),""))</f>
        <v/>
      </c>
      <c r="D357" s="423" t="str">
        <f>IF($B357="","",IFERROR(INDEX('E2 — Triagem'!$D$8:$D$507,MATCH($B357,'E2 — Triagem'!$B$8:$B$507,0)),""))</f>
        <v/>
      </c>
      <c r="E357" s="423"/>
      <c r="F357" s="423"/>
      <c r="G357" s="423"/>
      <c r="H357" s="423"/>
      <c r="I357" s="424"/>
      <c r="J357" s="425" t="str">
        <f t="shared" si="6"/>
        <v/>
      </c>
      <c r="K357" s="422"/>
      <c r="L357" s="426"/>
    </row>
    <row r="358" spans="2:12" x14ac:dyDescent="0.35">
      <c r="B358" s="421" t="str">
        <f>IF(Lançamentos!$B353="","",Lançamentos!$B353)</f>
        <v/>
      </c>
      <c r="C358" s="422" t="str">
        <f>IF($B358="","",IFERROR(INDEX(Lançamentos!$J$3:$J$1001,MATCH($B358,Lançamentos!$B$3:$B$1001,0)),""))</f>
        <v/>
      </c>
      <c r="D358" s="423" t="str">
        <f>IF($B358="","",IFERROR(INDEX('E2 — Triagem'!$D$8:$D$507,MATCH($B358,'E2 — Triagem'!$B$8:$B$507,0)),""))</f>
        <v/>
      </c>
      <c r="E358" s="423"/>
      <c r="F358" s="423"/>
      <c r="G358" s="423"/>
      <c r="H358" s="423"/>
      <c r="I358" s="424"/>
      <c r="J358" s="425" t="str">
        <f t="shared" si="6"/>
        <v/>
      </c>
      <c r="K358" s="422"/>
      <c r="L358" s="426"/>
    </row>
    <row r="359" spans="2:12" x14ac:dyDescent="0.35">
      <c r="B359" s="421" t="str">
        <f>IF(Lançamentos!$B354="","",Lançamentos!$B354)</f>
        <v/>
      </c>
      <c r="C359" s="422" t="str">
        <f>IF($B359="","",IFERROR(INDEX(Lançamentos!$J$3:$J$1001,MATCH($B359,Lançamentos!$B$3:$B$1001,0)),""))</f>
        <v/>
      </c>
      <c r="D359" s="423" t="str">
        <f>IF($B359="","",IFERROR(INDEX('E2 — Triagem'!$D$8:$D$507,MATCH($B359,'E2 — Triagem'!$B$8:$B$507,0)),""))</f>
        <v/>
      </c>
      <c r="E359" s="423"/>
      <c r="F359" s="423"/>
      <c r="G359" s="423"/>
      <c r="H359" s="423"/>
      <c r="I359" s="424"/>
      <c r="J359" s="425" t="str">
        <f t="shared" si="6"/>
        <v/>
      </c>
      <c r="K359" s="422"/>
      <c r="L359" s="426"/>
    </row>
    <row r="360" spans="2:12" x14ac:dyDescent="0.35">
      <c r="B360" s="421" t="str">
        <f>IF(Lançamentos!$B355="","",Lançamentos!$B355)</f>
        <v/>
      </c>
      <c r="C360" s="422" t="str">
        <f>IF($B360="","",IFERROR(INDEX(Lançamentos!$J$3:$J$1001,MATCH($B360,Lançamentos!$B$3:$B$1001,0)),""))</f>
        <v/>
      </c>
      <c r="D360" s="423" t="str">
        <f>IF($B360="","",IFERROR(INDEX('E2 — Triagem'!$D$8:$D$507,MATCH($B360,'E2 — Triagem'!$B$8:$B$507,0)),""))</f>
        <v/>
      </c>
      <c r="E360" s="423"/>
      <c r="F360" s="423"/>
      <c r="G360" s="423"/>
      <c r="H360" s="423"/>
      <c r="I360" s="424"/>
      <c r="J360" s="425" t="str">
        <f t="shared" si="6"/>
        <v/>
      </c>
      <c r="K360" s="422"/>
      <c r="L360" s="426"/>
    </row>
    <row r="361" spans="2:12" x14ac:dyDescent="0.35">
      <c r="B361" s="421" t="str">
        <f>IF(Lançamentos!$B356="","",Lançamentos!$B356)</f>
        <v/>
      </c>
      <c r="C361" s="422" t="str">
        <f>IF($B361="","",IFERROR(INDEX(Lançamentos!$J$3:$J$1001,MATCH($B361,Lançamentos!$B$3:$B$1001,0)),""))</f>
        <v/>
      </c>
      <c r="D361" s="423" t="str">
        <f>IF($B361="","",IFERROR(INDEX('E2 — Triagem'!$D$8:$D$507,MATCH($B361,'E2 — Triagem'!$B$8:$B$507,0)),""))</f>
        <v/>
      </c>
      <c r="E361" s="423"/>
      <c r="F361" s="423"/>
      <c r="G361" s="423"/>
      <c r="H361" s="423"/>
      <c r="I361" s="424"/>
      <c r="J361" s="425" t="str">
        <f t="shared" si="6"/>
        <v/>
      </c>
      <c r="K361" s="422"/>
      <c r="L361" s="426"/>
    </row>
    <row r="362" spans="2:12" x14ac:dyDescent="0.35">
      <c r="B362" s="421" t="str">
        <f>IF(Lançamentos!$B357="","",Lançamentos!$B357)</f>
        <v/>
      </c>
      <c r="C362" s="422" t="str">
        <f>IF($B362="","",IFERROR(INDEX(Lançamentos!$J$3:$J$1001,MATCH($B362,Lançamentos!$B$3:$B$1001,0)),""))</f>
        <v/>
      </c>
      <c r="D362" s="423" t="str">
        <f>IF($B362="","",IFERROR(INDEX('E2 — Triagem'!$D$8:$D$507,MATCH($B362,'E2 — Triagem'!$B$8:$B$507,0)),""))</f>
        <v/>
      </c>
      <c r="E362" s="423"/>
      <c r="F362" s="423"/>
      <c r="G362" s="423"/>
      <c r="H362" s="423"/>
      <c r="I362" s="424"/>
      <c r="J362" s="425" t="str">
        <f t="shared" si="6"/>
        <v/>
      </c>
      <c r="K362" s="422"/>
      <c r="L362" s="426"/>
    </row>
    <row r="363" spans="2:12" x14ac:dyDescent="0.35">
      <c r="B363" s="421" t="str">
        <f>IF(Lançamentos!$B358="","",Lançamentos!$B358)</f>
        <v/>
      </c>
      <c r="C363" s="422" t="str">
        <f>IF($B363="","",IFERROR(INDEX(Lançamentos!$J$3:$J$1001,MATCH($B363,Lançamentos!$B$3:$B$1001,0)),""))</f>
        <v/>
      </c>
      <c r="D363" s="423" t="str">
        <f>IF($B363="","",IFERROR(INDEX('E2 — Triagem'!$D$8:$D$507,MATCH($B363,'E2 — Triagem'!$B$8:$B$507,0)),""))</f>
        <v/>
      </c>
      <c r="E363" s="423"/>
      <c r="F363" s="423"/>
      <c r="G363" s="423"/>
      <c r="H363" s="423"/>
      <c r="I363" s="424"/>
      <c r="J363" s="425" t="str">
        <f t="shared" si="6"/>
        <v/>
      </c>
      <c r="K363" s="422"/>
      <c r="L363" s="426"/>
    </row>
    <row r="364" spans="2:12" x14ac:dyDescent="0.35">
      <c r="B364" s="421" t="str">
        <f>IF(Lançamentos!$B359="","",Lançamentos!$B359)</f>
        <v/>
      </c>
      <c r="C364" s="422" t="str">
        <f>IF($B364="","",IFERROR(INDEX(Lançamentos!$J$3:$J$1001,MATCH($B364,Lançamentos!$B$3:$B$1001,0)),""))</f>
        <v/>
      </c>
      <c r="D364" s="423" t="str">
        <f>IF($B364="","",IFERROR(INDEX('E2 — Triagem'!$D$8:$D$507,MATCH($B364,'E2 — Triagem'!$B$8:$B$507,0)),""))</f>
        <v/>
      </c>
      <c r="E364" s="423"/>
      <c r="F364" s="423"/>
      <c r="G364" s="423"/>
      <c r="H364" s="423"/>
      <c r="I364" s="424"/>
      <c r="J364" s="425" t="str">
        <f t="shared" si="6"/>
        <v/>
      </c>
      <c r="K364" s="422"/>
      <c r="L364" s="426"/>
    </row>
    <row r="365" spans="2:12" x14ac:dyDescent="0.35">
      <c r="B365" s="421" t="str">
        <f>IF(Lançamentos!$B360="","",Lançamentos!$B360)</f>
        <v/>
      </c>
      <c r="C365" s="422" t="str">
        <f>IF($B365="","",IFERROR(INDEX(Lançamentos!$J$3:$J$1001,MATCH($B365,Lançamentos!$B$3:$B$1001,0)),""))</f>
        <v/>
      </c>
      <c r="D365" s="423" t="str">
        <f>IF($B365="","",IFERROR(INDEX('E2 — Triagem'!$D$8:$D$507,MATCH($B365,'E2 — Triagem'!$B$8:$B$507,0)),""))</f>
        <v/>
      </c>
      <c r="E365" s="423"/>
      <c r="F365" s="423"/>
      <c r="G365" s="423"/>
      <c r="H365" s="423"/>
      <c r="I365" s="424"/>
      <c r="J365" s="425" t="str">
        <f t="shared" si="6"/>
        <v/>
      </c>
      <c r="K365" s="422"/>
      <c r="L365" s="426"/>
    </row>
    <row r="366" spans="2:12" x14ac:dyDescent="0.35">
      <c r="B366" s="421" t="str">
        <f>IF(Lançamentos!$B361="","",Lançamentos!$B361)</f>
        <v/>
      </c>
      <c r="C366" s="422" t="str">
        <f>IF($B366="","",IFERROR(INDEX(Lançamentos!$J$3:$J$1001,MATCH($B366,Lançamentos!$B$3:$B$1001,0)),""))</f>
        <v/>
      </c>
      <c r="D366" s="423" t="str">
        <f>IF($B366="","",IFERROR(INDEX('E2 — Triagem'!$D$8:$D$507,MATCH($B366,'E2 — Triagem'!$B$8:$B$507,0)),""))</f>
        <v/>
      </c>
      <c r="E366" s="423"/>
      <c r="F366" s="423"/>
      <c r="G366" s="423"/>
      <c r="H366" s="423"/>
      <c r="I366" s="424"/>
      <c r="J366" s="425" t="str">
        <f t="shared" si="6"/>
        <v/>
      </c>
      <c r="K366" s="422"/>
      <c r="L366" s="426"/>
    </row>
    <row r="367" spans="2:12" x14ac:dyDescent="0.35">
      <c r="B367" s="421" t="str">
        <f>IF(Lançamentos!$B362="","",Lançamentos!$B362)</f>
        <v/>
      </c>
      <c r="C367" s="422" t="str">
        <f>IF($B367="","",IFERROR(INDEX(Lançamentos!$J$3:$J$1001,MATCH($B367,Lançamentos!$B$3:$B$1001,0)),""))</f>
        <v/>
      </c>
      <c r="D367" s="423" t="str">
        <f>IF($B367="","",IFERROR(INDEX('E2 — Triagem'!$D$8:$D$507,MATCH($B367,'E2 — Triagem'!$B$8:$B$507,0)),""))</f>
        <v/>
      </c>
      <c r="E367" s="423"/>
      <c r="F367" s="423"/>
      <c r="G367" s="423"/>
      <c r="H367" s="423"/>
      <c r="I367" s="424"/>
      <c r="J367" s="425" t="str">
        <f t="shared" si="6"/>
        <v/>
      </c>
      <c r="K367" s="422"/>
      <c r="L367" s="426"/>
    </row>
    <row r="368" spans="2:12" x14ac:dyDescent="0.35">
      <c r="B368" s="421" t="str">
        <f>IF(Lançamentos!$B363="","",Lançamentos!$B363)</f>
        <v/>
      </c>
      <c r="C368" s="422" t="str">
        <f>IF($B368="","",IFERROR(INDEX(Lançamentos!$J$3:$J$1001,MATCH($B368,Lançamentos!$B$3:$B$1001,0)),""))</f>
        <v/>
      </c>
      <c r="D368" s="423" t="str">
        <f>IF($B368="","",IFERROR(INDEX('E2 — Triagem'!$D$8:$D$507,MATCH($B368,'E2 — Triagem'!$B$8:$B$507,0)),""))</f>
        <v/>
      </c>
      <c r="E368" s="423"/>
      <c r="F368" s="423"/>
      <c r="G368" s="423"/>
      <c r="H368" s="423"/>
      <c r="I368" s="424"/>
      <c r="J368" s="425" t="str">
        <f t="shared" si="6"/>
        <v/>
      </c>
      <c r="K368" s="422"/>
      <c r="L368" s="426"/>
    </row>
    <row r="369" spans="2:12" x14ac:dyDescent="0.35">
      <c r="B369" s="421" t="str">
        <f>IF(Lançamentos!$B364="","",Lançamentos!$B364)</f>
        <v/>
      </c>
      <c r="C369" s="422" t="str">
        <f>IF($B369="","",IFERROR(INDEX(Lançamentos!$J$3:$J$1001,MATCH($B369,Lançamentos!$B$3:$B$1001,0)),""))</f>
        <v/>
      </c>
      <c r="D369" s="423" t="str">
        <f>IF($B369="","",IFERROR(INDEX('E2 — Triagem'!$D$8:$D$507,MATCH($B369,'E2 — Triagem'!$B$8:$B$507,0)),""))</f>
        <v/>
      </c>
      <c r="E369" s="423"/>
      <c r="F369" s="423"/>
      <c r="G369" s="423"/>
      <c r="H369" s="423"/>
      <c r="I369" s="424"/>
      <c r="J369" s="425" t="str">
        <f t="shared" si="6"/>
        <v/>
      </c>
      <c r="K369" s="422"/>
      <c r="L369" s="426"/>
    </row>
    <row r="370" spans="2:12" x14ac:dyDescent="0.35">
      <c r="B370" s="421" t="str">
        <f>IF(Lançamentos!$B365="","",Lançamentos!$B365)</f>
        <v/>
      </c>
      <c r="C370" s="422" t="str">
        <f>IF($B370="","",IFERROR(INDEX(Lançamentos!$J$3:$J$1001,MATCH($B370,Lançamentos!$B$3:$B$1001,0)),""))</f>
        <v/>
      </c>
      <c r="D370" s="423" t="str">
        <f>IF($B370="","",IFERROR(INDEX('E2 — Triagem'!$D$8:$D$507,MATCH($B370,'E2 — Triagem'!$B$8:$B$507,0)),""))</f>
        <v/>
      </c>
      <c r="E370" s="423"/>
      <c r="F370" s="423"/>
      <c r="G370" s="423"/>
      <c r="H370" s="423"/>
      <c r="I370" s="424"/>
      <c r="J370" s="425" t="str">
        <f t="shared" si="6"/>
        <v/>
      </c>
      <c r="K370" s="422"/>
      <c r="L370" s="426"/>
    </row>
    <row r="371" spans="2:12" x14ac:dyDescent="0.35">
      <c r="B371" s="421" t="str">
        <f>IF(Lançamentos!$B366="","",Lançamentos!$B366)</f>
        <v/>
      </c>
      <c r="C371" s="422" t="str">
        <f>IF($B371="","",IFERROR(INDEX(Lançamentos!$J$3:$J$1001,MATCH($B371,Lançamentos!$B$3:$B$1001,0)),""))</f>
        <v/>
      </c>
      <c r="D371" s="423" t="str">
        <f>IF($B371="","",IFERROR(INDEX('E2 — Triagem'!$D$8:$D$507,MATCH($B371,'E2 — Triagem'!$B$8:$B$507,0)),""))</f>
        <v/>
      </c>
      <c r="E371" s="423"/>
      <c r="F371" s="423"/>
      <c r="G371" s="423"/>
      <c r="H371" s="423"/>
      <c r="I371" s="424"/>
      <c r="J371" s="425" t="str">
        <f t="shared" si="6"/>
        <v/>
      </c>
      <c r="K371" s="422"/>
      <c r="L371" s="426"/>
    </row>
    <row r="372" spans="2:12" x14ac:dyDescent="0.35">
      <c r="B372" s="421" t="str">
        <f>IF(Lançamentos!$B367="","",Lançamentos!$B367)</f>
        <v/>
      </c>
      <c r="C372" s="422" t="str">
        <f>IF($B372="","",IFERROR(INDEX(Lançamentos!$J$3:$J$1001,MATCH($B372,Lançamentos!$B$3:$B$1001,0)),""))</f>
        <v/>
      </c>
      <c r="D372" s="423" t="str">
        <f>IF($B372="","",IFERROR(INDEX('E2 — Triagem'!$D$8:$D$507,MATCH($B372,'E2 — Triagem'!$B$8:$B$507,0)),""))</f>
        <v/>
      </c>
      <c r="E372" s="423"/>
      <c r="F372" s="423"/>
      <c r="G372" s="423"/>
      <c r="H372" s="423"/>
      <c r="I372" s="424"/>
      <c r="J372" s="425" t="str">
        <f t="shared" si="6"/>
        <v/>
      </c>
      <c r="K372" s="422"/>
      <c r="L372" s="426"/>
    </row>
    <row r="373" spans="2:12" x14ac:dyDescent="0.35">
      <c r="B373" s="421" t="str">
        <f>IF(Lançamentos!$B368="","",Lançamentos!$B368)</f>
        <v/>
      </c>
      <c r="C373" s="422" t="str">
        <f>IF($B373="","",IFERROR(INDEX(Lançamentos!$J$3:$J$1001,MATCH($B373,Lançamentos!$B$3:$B$1001,0)),""))</f>
        <v/>
      </c>
      <c r="D373" s="423" t="str">
        <f>IF($B373="","",IFERROR(INDEX('E2 — Triagem'!$D$8:$D$507,MATCH($B373,'E2 — Triagem'!$B$8:$B$507,0)),""))</f>
        <v/>
      </c>
      <c r="E373" s="423"/>
      <c r="F373" s="423"/>
      <c r="G373" s="423"/>
      <c r="H373" s="423"/>
      <c r="I373" s="424"/>
      <c r="J373" s="425" t="str">
        <f t="shared" si="6"/>
        <v/>
      </c>
      <c r="K373" s="422"/>
      <c r="L373" s="426"/>
    </row>
    <row r="374" spans="2:12" x14ac:dyDescent="0.35">
      <c r="B374" s="421" t="str">
        <f>IF(Lançamentos!$B369="","",Lançamentos!$B369)</f>
        <v/>
      </c>
      <c r="C374" s="422" t="str">
        <f>IF($B374="","",IFERROR(INDEX(Lançamentos!$J$3:$J$1001,MATCH($B374,Lançamentos!$B$3:$B$1001,0)),""))</f>
        <v/>
      </c>
      <c r="D374" s="423" t="str">
        <f>IF($B374="","",IFERROR(INDEX('E2 — Triagem'!$D$8:$D$507,MATCH($B374,'E2 — Triagem'!$B$8:$B$507,0)),""))</f>
        <v/>
      </c>
      <c r="E374" s="423"/>
      <c r="F374" s="423"/>
      <c r="G374" s="423"/>
      <c r="H374" s="423"/>
      <c r="I374" s="424"/>
      <c r="J374" s="425" t="str">
        <f t="shared" si="6"/>
        <v/>
      </c>
      <c r="K374" s="422"/>
      <c r="L374" s="426"/>
    </row>
    <row r="375" spans="2:12" x14ac:dyDescent="0.35">
      <c r="B375" s="421" t="str">
        <f>IF(Lançamentos!$B370="","",Lançamentos!$B370)</f>
        <v/>
      </c>
      <c r="C375" s="422" t="str">
        <f>IF($B375="","",IFERROR(INDEX(Lançamentos!$J$3:$J$1001,MATCH($B375,Lançamentos!$B$3:$B$1001,0)),""))</f>
        <v/>
      </c>
      <c r="D375" s="423" t="str">
        <f>IF($B375="","",IFERROR(INDEX('E2 — Triagem'!$D$8:$D$507,MATCH($B375,'E2 — Triagem'!$B$8:$B$507,0)),""))</f>
        <v/>
      </c>
      <c r="E375" s="423"/>
      <c r="F375" s="423"/>
      <c r="G375" s="423"/>
      <c r="H375" s="423"/>
      <c r="I375" s="424"/>
      <c r="J375" s="425" t="str">
        <f t="shared" si="6"/>
        <v/>
      </c>
      <c r="K375" s="422"/>
      <c r="L375" s="426"/>
    </row>
    <row r="376" spans="2:12" x14ac:dyDescent="0.35">
      <c r="B376" s="421" t="str">
        <f>IF(Lançamentos!$B371="","",Lançamentos!$B371)</f>
        <v/>
      </c>
      <c r="C376" s="422" t="str">
        <f>IF($B376="","",IFERROR(INDEX(Lançamentos!$J$3:$J$1001,MATCH($B376,Lançamentos!$B$3:$B$1001,0)),""))</f>
        <v/>
      </c>
      <c r="D376" s="423" t="str">
        <f>IF($B376="","",IFERROR(INDEX('E2 — Triagem'!$D$8:$D$507,MATCH($B376,'E2 — Triagem'!$B$8:$B$507,0)),""))</f>
        <v/>
      </c>
      <c r="E376" s="423"/>
      <c r="F376" s="423"/>
      <c r="G376" s="423"/>
      <c r="H376" s="423"/>
      <c r="I376" s="424"/>
      <c r="J376" s="425" t="str">
        <f t="shared" si="6"/>
        <v/>
      </c>
      <c r="K376" s="422"/>
      <c r="L376" s="426"/>
    </row>
    <row r="377" spans="2:12" x14ac:dyDescent="0.35">
      <c r="B377" s="421" t="str">
        <f>IF(Lançamentos!$B372="","",Lançamentos!$B372)</f>
        <v/>
      </c>
      <c r="C377" s="422" t="str">
        <f>IF($B377="","",IFERROR(INDEX(Lançamentos!$J$3:$J$1001,MATCH($B377,Lançamentos!$B$3:$B$1001,0)),""))</f>
        <v/>
      </c>
      <c r="D377" s="423" t="str">
        <f>IF($B377="","",IFERROR(INDEX('E2 — Triagem'!$D$8:$D$507,MATCH($B377,'E2 — Triagem'!$B$8:$B$507,0)),""))</f>
        <v/>
      </c>
      <c r="E377" s="423"/>
      <c r="F377" s="423"/>
      <c r="G377" s="423"/>
      <c r="H377" s="423"/>
      <c r="I377" s="424"/>
      <c r="J377" s="425" t="str">
        <f t="shared" si="6"/>
        <v/>
      </c>
      <c r="K377" s="422"/>
      <c r="L377" s="426"/>
    </row>
    <row r="378" spans="2:12" x14ac:dyDescent="0.35">
      <c r="B378" s="421" t="str">
        <f>IF(Lançamentos!$B373="","",Lançamentos!$B373)</f>
        <v/>
      </c>
      <c r="C378" s="422" t="str">
        <f>IF($B378="","",IFERROR(INDEX(Lançamentos!$J$3:$J$1001,MATCH($B378,Lançamentos!$B$3:$B$1001,0)),""))</f>
        <v/>
      </c>
      <c r="D378" s="423" t="str">
        <f>IF($B378="","",IFERROR(INDEX('E2 — Triagem'!$D$8:$D$507,MATCH($B378,'E2 — Triagem'!$B$8:$B$507,0)),""))</f>
        <v/>
      </c>
      <c r="E378" s="423"/>
      <c r="F378" s="423"/>
      <c r="G378" s="423"/>
      <c r="H378" s="423"/>
      <c r="I378" s="424"/>
      <c r="J378" s="425" t="str">
        <f t="shared" si="6"/>
        <v/>
      </c>
      <c r="K378" s="422"/>
      <c r="L378" s="426"/>
    </row>
    <row r="379" spans="2:12" x14ac:dyDescent="0.35">
      <c r="B379" s="421" t="str">
        <f>IF(Lançamentos!$B374="","",Lançamentos!$B374)</f>
        <v/>
      </c>
      <c r="C379" s="422" t="str">
        <f>IF($B379="","",IFERROR(INDEX(Lançamentos!$J$3:$J$1001,MATCH($B379,Lançamentos!$B$3:$B$1001,0)),""))</f>
        <v/>
      </c>
      <c r="D379" s="423" t="str">
        <f>IF($B379="","",IFERROR(INDEX('E2 — Triagem'!$D$8:$D$507,MATCH($B379,'E2 — Triagem'!$B$8:$B$507,0)),""))</f>
        <v/>
      </c>
      <c r="E379" s="423"/>
      <c r="F379" s="423"/>
      <c r="G379" s="423"/>
      <c r="H379" s="423"/>
      <c r="I379" s="424"/>
      <c r="J379" s="425" t="str">
        <f t="shared" si="6"/>
        <v/>
      </c>
      <c r="K379" s="422"/>
      <c r="L379" s="426"/>
    </row>
    <row r="380" spans="2:12" x14ac:dyDescent="0.35">
      <c r="B380" s="421" t="str">
        <f>IF(Lançamentos!$B375="","",Lançamentos!$B375)</f>
        <v/>
      </c>
      <c r="C380" s="422" t="str">
        <f>IF($B380="","",IFERROR(INDEX(Lançamentos!$J$3:$J$1001,MATCH($B380,Lançamentos!$B$3:$B$1001,0)),""))</f>
        <v/>
      </c>
      <c r="D380" s="423" t="str">
        <f>IF($B380="","",IFERROR(INDEX('E2 — Triagem'!$D$8:$D$507,MATCH($B380,'E2 — Triagem'!$B$8:$B$507,0)),""))</f>
        <v/>
      </c>
      <c r="E380" s="423"/>
      <c r="F380" s="423"/>
      <c r="G380" s="423"/>
      <c r="H380" s="423"/>
      <c r="I380" s="424"/>
      <c r="J380" s="425" t="str">
        <f t="shared" si="6"/>
        <v/>
      </c>
      <c r="K380" s="422"/>
      <c r="L380" s="426"/>
    </row>
    <row r="381" spans="2:12" x14ac:dyDescent="0.35">
      <c r="B381" s="421" t="str">
        <f>IF(Lançamentos!$B376="","",Lançamentos!$B376)</f>
        <v/>
      </c>
      <c r="C381" s="422" t="str">
        <f>IF($B381="","",IFERROR(INDEX(Lançamentos!$J$3:$J$1001,MATCH($B381,Lançamentos!$B$3:$B$1001,0)),""))</f>
        <v/>
      </c>
      <c r="D381" s="423" t="str">
        <f>IF($B381="","",IFERROR(INDEX('E2 — Triagem'!$D$8:$D$507,MATCH($B381,'E2 — Triagem'!$B$8:$B$507,0)),""))</f>
        <v/>
      </c>
      <c r="E381" s="423"/>
      <c r="F381" s="423"/>
      <c r="G381" s="423"/>
      <c r="H381" s="423"/>
      <c r="I381" s="424"/>
      <c r="J381" s="425" t="str">
        <f t="shared" si="6"/>
        <v/>
      </c>
      <c r="K381" s="422"/>
      <c r="L381" s="426"/>
    </row>
    <row r="382" spans="2:12" x14ac:dyDescent="0.35">
      <c r="B382" s="421" t="str">
        <f>IF(Lançamentos!$B377="","",Lançamentos!$B377)</f>
        <v/>
      </c>
      <c r="C382" s="422" t="str">
        <f>IF($B382="","",IFERROR(INDEX(Lançamentos!$J$3:$J$1001,MATCH($B382,Lançamentos!$B$3:$B$1001,0)),""))</f>
        <v/>
      </c>
      <c r="D382" s="423" t="str">
        <f>IF($B382="","",IFERROR(INDEX('E2 — Triagem'!$D$8:$D$507,MATCH($B382,'E2 — Triagem'!$B$8:$B$507,0)),""))</f>
        <v/>
      </c>
      <c r="E382" s="423"/>
      <c r="F382" s="423"/>
      <c r="G382" s="423"/>
      <c r="H382" s="423"/>
      <c r="I382" s="424"/>
      <c r="J382" s="425" t="str">
        <f t="shared" si="6"/>
        <v/>
      </c>
      <c r="K382" s="422"/>
      <c r="L382" s="426"/>
    </row>
    <row r="383" spans="2:12" x14ac:dyDescent="0.35">
      <c r="B383" s="421" t="str">
        <f>IF(Lançamentos!$B378="","",Lançamentos!$B378)</f>
        <v/>
      </c>
      <c r="C383" s="422" t="str">
        <f>IF($B383="","",IFERROR(INDEX(Lançamentos!$J$3:$J$1001,MATCH($B383,Lançamentos!$B$3:$B$1001,0)),""))</f>
        <v/>
      </c>
      <c r="D383" s="423" t="str">
        <f>IF($B383="","",IFERROR(INDEX('E2 — Triagem'!$D$8:$D$507,MATCH($B383,'E2 — Triagem'!$B$8:$B$507,0)),""))</f>
        <v/>
      </c>
      <c r="E383" s="423"/>
      <c r="F383" s="423"/>
      <c r="G383" s="423"/>
      <c r="H383" s="423"/>
      <c r="I383" s="424"/>
      <c r="J383" s="425" t="str">
        <f t="shared" si="6"/>
        <v/>
      </c>
      <c r="K383" s="422"/>
      <c r="L383" s="426"/>
    </row>
    <row r="384" spans="2:12" x14ac:dyDescent="0.35">
      <c r="B384" s="421" t="str">
        <f>IF(Lançamentos!$B379="","",Lançamentos!$B379)</f>
        <v/>
      </c>
      <c r="C384" s="422" t="str">
        <f>IF($B384="","",IFERROR(INDEX(Lançamentos!$J$3:$J$1001,MATCH($B384,Lançamentos!$B$3:$B$1001,0)),""))</f>
        <v/>
      </c>
      <c r="D384" s="423" t="str">
        <f>IF($B384="","",IFERROR(INDEX('E2 — Triagem'!$D$8:$D$507,MATCH($B384,'E2 — Triagem'!$B$8:$B$507,0)),""))</f>
        <v/>
      </c>
      <c r="E384" s="423"/>
      <c r="F384" s="423"/>
      <c r="G384" s="423"/>
      <c r="H384" s="423"/>
      <c r="I384" s="424"/>
      <c r="J384" s="425" t="str">
        <f t="shared" si="6"/>
        <v/>
      </c>
      <c r="K384" s="422"/>
      <c r="L384" s="426"/>
    </row>
    <row r="385" spans="2:12" x14ac:dyDescent="0.35">
      <c r="B385" s="421" t="str">
        <f>IF(Lançamentos!$B380="","",Lançamentos!$B380)</f>
        <v/>
      </c>
      <c r="C385" s="422" t="str">
        <f>IF($B385="","",IFERROR(INDEX(Lançamentos!$J$3:$J$1001,MATCH($B385,Lançamentos!$B$3:$B$1001,0)),""))</f>
        <v/>
      </c>
      <c r="D385" s="423" t="str">
        <f>IF($B385="","",IFERROR(INDEX('E2 — Triagem'!$D$8:$D$507,MATCH($B385,'E2 — Triagem'!$B$8:$B$507,0)),""))</f>
        <v/>
      </c>
      <c r="E385" s="423"/>
      <c r="F385" s="423"/>
      <c r="G385" s="423"/>
      <c r="H385" s="423"/>
      <c r="I385" s="424"/>
      <c r="J385" s="425" t="str">
        <f t="shared" si="6"/>
        <v/>
      </c>
      <c r="K385" s="422"/>
      <c r="L385" s="426"/>
    </row>
    <row r="386" spans="2:12" x14ac:dyDescent="0.35">
      <c r="B386" s="421" t="str">
        <f>IF(Lançamentos!$B381="","",Lançamentos!$B381)</f>
        <v/>
      </c>
      <c r="C386" s="422" t="str">
        <f>IF($B386="","",IFERROR(INDEX(Lançamentos!$J$3:$J$1001,MATCH($B386,Lançamentos!$B$3:$B$1001,0)),""))</f>
        <v/>
      </c>
      <c r="D386" s="423" t="str">
        <f>IF($B386="","",IFERROR(INDEX('E2 — Triagem'!$D$8:$D$507,MATCH($B386,'E2 — Triagem'!$B$8:$B$507,0)),""))</f>
        <v/>
      </c>
      <c r="E386" s="423"/>
      <c r="F386" s="423"/>
      <c r="G386" s="423"/>
      <c r="H386" s="423"/>
      <c r="I386" s="424"/>
      <c r="J386" s="425" t="str">
        <f t="shared" si="6"/>
        <v/>
      </c>
      <c r="K386" s="422"/>
      <c r="L386" s="426"/>
    </row>
    <row r="387" spans="2:12" x14ac:dyDescent="0.35">
      <c r="B387" s="421" t="str">
        <f>IF(Lançamentos!$B382="","",Lançamentos!$B382)</f>
        <v/>
      </c>
      <c r="C387" s="422" t="str">
        <f>IF($B387="","",IFERROR(INDEX(Lançamentos!$J$3:$J$1001,MATCH($B387,Lançamentos!$B$3:$B$1001,0)),""))</f>
        <v/>
      </c>
      <c r="D387" s="423" t="str">
        <f>IF($B387="","",IFERROR(INDEX('E2 — Triagem'!$D$8:$D$507,MATCH($B387,'E2 — Triagem'!$B$8:$B$507,0)),""))</f>
        <v/>
      </c>
      <c r="E387" s="423"/>
      <c r="F387" s="423"/>
      <c r="G387" s="423"/>
      <c r="H387" s="423"/>
      <c r="I387" s="424"/>
      <c r="J387" s="425" t="str">
        <f t="shared" si="6"/>
        <v/>
      </c>
      <c r="K387" s="422"/>
      <c r="L387" s="426"/>
    </row>
    <row r="388" spans="2:12" x14ac:dyDescent="0.35">
      <c r="B388" s="421" t="str">
        <f>IF(Lançamentos!$B383="","",Lançamentos!$B383)</f>
        <v/>
      </c>
      <c r="C388" s="422" t="str">
        <f>IF($B388="","",IFERROR(INDEX(Lançamentos!$J$3:$J$1001,MATCH($B388,Lançamentos!$B$3:$B$1001,0)),""))</f>
        <v/>
      </c>
      <c r="D388" s="423" t="str">
        <f>IF($B388="","",IFERROR(INDEX('E2 — Triagem'!$D$8:$D$507,MATCH($B388,'E2 — Triagem'!$B$8:$B$507,0)),""))</f>
        <v/>
      </c>
      <c r="E388" s="423"/>
      <c r="F388" s="423"/>
      <c r="G388" s="423"/>
      <c r="H388" s="423"/>
      <c r="I388" s="424"/>
      <c r="J388" s="425" t="str">
        <f t="shared" si="6"/>
        <v/>
      </c>
      <c r="K388" s="422"/>
      <c r="L388" s="426"/>
    </row>
    <row r="389" spans="2:12" x14ac:dyDescent="0.35">
      <c r="B389" s="421" t="str">
        <f>IF(Lançamentos!$B384="","",Lançamentos!$B384)</f>
        <v/>
      </c>
      <c r="C389" s="422" t="str">
        <f>IF($B389="","",IFERROR(INDEX(Lançamentos!$J$3:$J$1001,MATCH($B389,Lançamentos!$B$3:$B$1001,0)),""))</f>
        <v/>
      </c>
      <c r="D389" s="423" t="str">
        <f>IF($B389="","",IFERROR(INDEX('E2 — Triagem'!$D$8:$D$507,MATCH($B389,'E2 — Triagem'!$B$8:$B$507,0)),""))</f>
        <v/>
      </c>
      <c r="E389" s="423"/>
      <c r="F389" s="423"/>
      <c r="G389" s="423"/>
      <c r="H389" s="423"/>
      <c r="I389" s="424"/>
      <c r="J389" s="425" t="str">
        <f t="shared" si="6"/>
        <v/>
      </c>
      <c r="K389" s="422"/>
      <c r="L389" s="426"/>
    </row>
    <row r="390" spans="2:12" x14ac:dyDescent="0.35">
      <c r="B390" s="421" t="str">
        <f>IF(Lançamentos!$B385="","",Lançamentos!$B385)</f>
        <v/>
      </c>
      <c r="C390" s="422" t="str">
        <f>IF($B390="","",IFERROR(INDEX(Lançamentos!$J$3:$J$1001,MATCH($B390,Lançamentos!$B$3:$B$1001,0)),""))</f>
        <v/>
      </c>
      <c r="D390" s="423" t="str">
        <f>IF($B390="","",IFERROR(INDEX('E2 — Triagem'!$D$8:$D$507,MATCH($B390,'E2 — Triagem'!$B$8:$B$507,0)),""))</f>
        <v/>
      </c>
      <c r="E390" s="423"/>
      <c r="F390" s="423"/>
      <c r="G390" s="423"/>
      <c r="H390" s="423"/>
      <c r="I390" s="424"/>
      <c r="J390" s="425" t="str">
        <f t="shared" si="6"/>
        <v/>
      </c>
      <c r="K390" s="422"/>
      <c r="L390" s="426"/>
    </row>
    <row r="391" spans="2:12" x14ac:dyDescent="0.35">
      <c r="B391" s="421" t="str">
        <f>IF(Lançamentos!$B386="","",Lançamentos!$B386)</f>
        <v/>
      </c>
      <c r="C391" s="422" t="str">
        <f>IF($B391="","",IFERROR(INDEX(Lançamentos!$J$3:$J$1001,MATCH($B391,Lançamentos!$B$3:$B$1001,0)),""))</f>
        <v/>
      </c>
      <c r="D391" s="423" t="str">
        <f>IF($B391="","",IFERROR(INDEX('E2 — Triagem'!$D$8:$D$507,MATCH($B391,'E2 — Triagem'!$B$8:$B$507,0)),""))</f>
        <v/>
      </c>
      <c r="E391" s="423"/>
      <c r="F391" s="423"/>
      <c r="G391" s="423"/>
      <c r="H391" s="423"/>
      <c r="I391" s="424"/>
      <c r="J391" s="425" t="str">
        <f t="shared" si="6"/>
        <v/>
      </c>
      <c r="K391" s="422"/>
      <c r="L391" s="426"/>
    </row>
    <row r="392" spans="2:12" x14ac:dyDescent="0.35">
      <c r="B392" s="421" t="str">
        <f>IF(Lançamentos!$B387="","",Lançamentos!$B387)</f>
        <v/>
      </c>
      <c r="C392" s="422" t="str">
        <f>IF($B392="","",IFERROR(INDEX(Lançamentos!$J$3:$J$1001,MATCH($B392,Lançamentos!$B$3:$B$1001,0)),""))</f>
        <v/>
      </c>
      <c r="D392" s="423" t="str">
        <f>IF($B392="","",IFERROR(INDEX('E2 — Triagem'!$D$8:$D$507,MATCH($B392,'E2 — Triagem'!$B$8:$B$507,0)),""))</f>
        <v/>
      </c>
      <c r="E392" s="423"/>
      <c r="F392" s="423"/>
      <c r="G392" s="423"/>
      <c r="H392" s="423"/>
      <c r="I392" s="424"/>
      <c r="J392" s="425" t="str">
        <f t="shared" si="6"/>
        <v/>
      </c>
      <c r="K392" s="422"/>
      <c r="L392" s="426"/>
    </row>
    <row r="393" spans="2:12" x14ac:dyDescent="0.35">
      <c r="B393" s="421" t="str">
        <f>IF(Lançamentos!$B388="","",Lançamentos!$B388)</f>
        <v/>
      </c>
      <c r="C393" s="422" t="str">
        <f>IF($B393="","",IFERROR(INDEX(Lançamentos!$J$3:$J$1001,MATCH($B393,Lançamentos!$B$3:$B$1001,0)),""))</f>
        <v/>
      </c>
      <c r="D393" s="423" t="str">
        <f>IF($B393="","",IFERROR(INDEX('E2 — Triagem'!$D$8:$D$507,MATCH($B393,'E2 — Triagem'!$B$8:$B$507,0)),""))</f>
        <v/>
      </c>
      <c r="E393" s="423"/>
      <c r="F393" s="423"/>
      <c r="G393" s="423"/>
      <c r="H393" s="423"/>
      <c r="I393" s="424"/>
      <c r="J393" s="425" t="str">
        <f t="shared" si="6"/>
        <v/>
      </c>
      <c r="K393" s="422"/>
      <c r="L393" s="426"/>
    </row>
    <row r="394" spans="2:12" x14ac:dyDescent="0.35">
      <c r="B394" s="421" t="str">
        <f>IF(Lançamentos!$B389="","",Lançamentos!$B389)</f>
        <v/>
      </c>
      <c r="C394" s="422" t="str">
        <f>IF($B394="","",IFERROR(INDEX(Lançamentos!$J$3:$J$1001,MATCH($B394,Lançamentos!$B$3:$B$1001,0)),""))</f>
        <v/>
      </c>
      <c r="D394" s="423" t="str">
        <f>IF($B394="","",IFERROR(INDEX('E2 — Triagem'!$D$8:$D$507,MATCH($B394,'E2 — Triagem'!$B$8:$B$507,0)),""))</f>
        <v/>
      </c>
      <c r="E394" s="423"/>
      <c r="F394" s="423"/>
      <c r="G394" s="423"/>
      <c r="H394" s="423"/>
      <c r="I394" s="424"/>
      <c r="J394" s="425" t="str">
        <f t="shared" si="6"/>
        <v/>
      </c>
      <c r="K394" s="422"/>
      <c r="L394" s="426"/>
    </row>
    <row r="395" spans="2:12" x14ac:dyDescent="0.35">
      <c r="B395" s="421" t="str">
        <f>IF(Lançamentos!$B390="","",Lançamentos!$B390)</f>
        <v/>
      </c>
      <c r="C395" s="422" t="str">
        <f>IF($B395="","",IFERROR(INDEX(Lançamentos!$J$3:$J$1001,MATCH($B395,Lançamentos!$B$3:$B$1001,0)),""))</f>
        <v/>
      </c>
      <c r="D395" s="423" t="str">
        <f>IF($B395="","",IFERROR(INDEX('E2 — Triagem'!$D$8:$D$507,MATCH($B395,'E2 — Triagem'!$B$8:$B$507,0)),""))</f>
        <v/>
      </c>
      <c r="E395" s="423"/>
      <c r="F395" s="423"/>
      <c r="G395" s="423"/>
      <c r="H395" s="423"/>
      <c r="I395" s="424"/>
      <c r="J395" s="425" t="str">
        <f t="shared" si="6"/>
        <v/>
      </c>
      <c r="K395" s="422"/>
      <c r="L395" s="426"/>
    </row>
    <row r="396" spans="2:12" x14ac:dyDescent="0.35">
      <c r="B396" s="421" t="str">
        <f>IF(Lançamentos!$B391="","",Lançamentos!$B391)</f>
        <v/>
      </c>
      <c r="C396" s="422" t="str">
        <f>IF($B396="","",IFERROR(INDEX(Lançamentos!$J$3:$J$1001,MATCH($B396,Lançamentos!$B$3:$B$1001,0)),""))</f>
        <v/>
      </c>
      <c r="D396" s="423" t="str">
        <f>IF($B396="","",IFERROR(INDEX('E2 — Triagem'!$D$8:$D$507,MATCH($B396,'E2 — Triagem'!$B$8:$B$507,0)),""))</f>
        <v/>
      </c>
      <c r="E396" s="423"/>
      <c r="F396" s="423"/>
      <c r="G396" s="423"/>
      <c r="H396" s="423"/>
      <c r="I396" s="424"/>
      <c r="J396" s="425" t="str">
        <f t="shared" si="6"/>
        <v/>
      </c>
      <c r="K396" s="422"/>
      <c r="L396" s="426"/>
    </row>
    <row r="397" spans="2:12" x14ac:dyDescent="0.35">
      <c r="B397" s="421" t="str">
        <f>IF(Lançamentos!$B392="","",Lançamentos!$B392)</f>
        <v/>
      </c>
      <c r="C397" s="422" t="str">
        <f>IF($B397="","",IFERROR(INDEX(Lançamentos!$J$3:$J$1001,MATCH($B397,Lançamentos!$B$3:$B$1001,0)),""))</f>
        <v/>
      </c>
      <c r="D397" s="423" t="str">
        <f>IF($B397="","",IFERROR(INDEX('E2 — Triagem'!$D$8:$D$507,MATCH($B397,'E2 — Triagem'!$B$8:$B$507,0)),""))</f>
        <v/>
      </c>
      <c r="E397" s="423"/>
      <c r="F397" s="423"/>
      <c r="G397" s="423"/>
      <c r="H397" s="423"/>
      <c r="I397" s="424"/>
      <c r="J397" s="425" t="str">
        <f t="shared" si="6"/>
        <v/>
      </c>
      <c r="K397" s="422"/>
      <c r="L397" s="426"/>
    </row>
    <row r="398" spans="2:12" x14ac:dyDescent="0.35">
      <c r="B398" s="421" t="str">
        <f>IF(Lançamentos!$B393="","",Lançamentos!$B393)</f>
        <v/>
      </c>
      <c r="C398" s="422" t="str">
        <f>IF($B398="","",IFERROR(INDEX(Lançamentos!$J$3:$J$1001,MATCH($B398,Lançamentos!$B$3:$B$1001,0)),""))</f>
        <v/>
      </c>
      <c r="D398" s="423" t="str">
        <f>IF($B398="","",IFERROR(INDEX('E2 — Triagem'!$D$8:$D$507,MATCH($B398,'E2 — Triagem'!$B$8:$B$507,0)),""))</f>
        <v/>
      </c>
      <c r="E398" s="423"/>
      <c r="F398" s="423"/>
      <c r="G398" s="423"/>
      <c r="H398" s="423"/>
      <c r="I398" s="424"/>
      <c r="J398" s="425" t="str">
        <f t="shared" si="6"/>
        <v/>
      </c>
      <c r="K398" s="422"/>
      <c r="L398" s="426"/>
    </row>
    <row r="399" spans="2:12" x14ac:dyDescent="0.35">
      <c r="B399" s="421" t="str">
        <f>IF(Lançamentos!$B394="","",Lançamentos!$B394)</f>
        <v/>
      </c>
      <c r="C399" s="422" t="str">
        <f>IF($B399="","",IFERROR(INDEX(Lançamentos!$J$3:$J$1001,MATCH($B399,Lançamentos!$B$3:$B$1001,0)),""))</f>
        <v/>
      </c>
      <c r="D399" s="423" t="str">
        <f>IF($B399="","",IFERROR(INDEX('E2 — Triagem'!$D$8:$D$507,MATCH($B399,'E2 — Triagem'!$B$8:$B$507,0)),""))</f>
        <v/>
      </c>
      <c r="E399" s="423"/>
      <c r="F399" s="423"/>
      <c r="G399" s="423"/>
      <c r="H399" s="423"/>
      <c r="I399" s="424"/>
      <c r="J399" s="425" t="str">
        <f t="shared" si="6"/>
        <v/>
      </c>
      <c r="K399" s="422"/>
      <c r="L399" s="426"/>
    </row>
    <row r="400" spans="2:12" x14ac:dyDescent="0.35">
      <c r="B400" s="421" t="str">
        <f>IF(Lançamentos!$B395="","",Lançamentos!$B395)</f>
        <v/>
      </c>
      <c r="C400" s="422" t="str">
        <f>IF($B400="","",IFERROR(INDEX(Lançamentos!$J$3:$J$1001,MATCH($B400,Lançamentos!$B$3:$B$1001,0)),""))</f>
        <v/>
      </c>
      <c r="D400" s="423" t="str">
        <f>IF($B400="","",IFERROR(INDEX('E2 — Triagem'!$D$8:$D$507,MATCH($B400,'E2 — Triagem'!$B$8:$B$507,0)),""))</f>
        <v/>
      </c>
      <c r="E400" s="423"/>
      <c r="F400" s="423"/>
      <c r="G400" s="423"/>
      <c r="H400" s="423"/>
      <c r="I400" s="424"/>
      <c r="J400" s="425" t="str">
        <f t="shared" ref="J400:J463" si="7">IF(B400="","",IF(COUNTIF(E400:I400,"N/A")=5,0,IF(COUNTIF(E400:I400,"✔ Concluído")=5,1,MIN(99%,COUNTIF(E400:I400,"✔ Concluído")/(5-COUNTIF(E400:I400,"N/A"))))))</f>
        <v/>
      </c>
      <c r="K400" s="422"/>
      <c r="L400" s="426"/>
    </row>
    <row r="401" spans="2:12" x14ac:dyDescent="0.35">
      <c r="B401" s="421" t="str">
        <f>IF(Lançamentos!$B396="","",Lançamentos!$B396)</f>
        <v/>
      </c>
      <c r="C401" s="422" t="str">
        <f>IF($B401="","",IFERROR(INDEX(Lançamentos!$J$3:$J$1001,MATCH($B401,Lançamentos!$B$3:$B$1001,0)),""))</f>
        <v/>
      </c>
      <c r="D401" s="423" t="str">
        <f>IF($B401="","",IFERROR(INDEX('E2 — Triagem'!$D$8:$D$507,MATCH($B401,'E2 — Triagem'!$B$8:$B$507,0)),""))</f>
        <v/>
      </c>
      <c r="E401" s="423"/>
      <c r="F401" s="423"/>
      <c r="G401" s="423"/>
      <c r="H401" s="423"/>
      <c r="I401" s="424"/>
      <c r="J401" s="425" t="str">
        <f t="shared" si="7"/>
        <v/>
      </c>
      <c r="K401" s="422"/>
      <c r="L401" s="426"/>
    </row>
    <row r="402" spans="2:12" x14ac:dyDescent="0.35">
      <c r="B402" s="421" t="str">
        <f>IF(Lançamentos!$B397="","",Lançamentos!$B397)</f>
        <v/>
      </c>
      <c r="C402" s="422" t="str">
        <f>IF($B402="","",IFERROR(INDEX(Lançamentos!$J$3:$J$1001,MATCH($B402,Lançamentos!$B$3:$B$1001,0)),""))</f>
        <v/>
      </c>
      <c r="D402" s="423" t="str">
        <f>IF($B402="","",IFERROR(INDEX('E2 — Triagem'!$D$8:$D$507,MATCH($B402,'E2 — Triagem'!$B$8:$B$507,0)),""))</f>
        <v/>
      </c>
      <c r="E402" s="423"/>
      <c r="F402" s="423"/>
      <c r="G402" s="423"/>
      <c r="H402" s="423"/>
      <c r="I402" s="424"/>
      <c r="J402" s="425" t="str">
        <f t="shared" si="7"/>
        <v/>
      </c>
      <c r="K402" s="422"/>
      <c r="L402" s="426"/>
    </row>
    <row r="403" spans="2:12" x14ac:dyDescent="0.35">
      <c r="B403" s="421" t="str">
        <f>IF(Lançamentos!$B398="","",Lançamentos!$B398)</f>
        <v/>
      </c>
      <c r="C403" s="422" t="str">
        <f>IF($B403="","",IFERROR(INDEX(Lançamentos!$J$3:$J$1001,MATCH($B403,Lançamentos!$B$3:$B$1001,0)),""))</f>
        <v/>
      </c>
      <c r="D403" s="423" t="str">
        <f>IF($B403="","",IFERROR(INDEX('E2 — Triagem'!$D$8:$D$507,MATCH($B403,'E2 — Triagem'!$B$8:$B$507,0)),""))</f>
        <v/>
      </c>
      <c r="E403" s="423"/>
      <c r="F403" s="423"/>
      <c r="G403" s="423"/>
      <c r="H403" s="423"/>
      <c r="I403" s="424"/>
      <c r="J403" s="425" t="str">
        <f t="shared" si="7"/>
        <v/>
      </c>
      <c r="K403" s="422"/>
      <c r="L403" s="426"/>
    </row>
    <row r="404" spans="2:12" x14ac:dyDescent="0.35">
      <c r="B404" s="421" t="str">
        <f>IF(Lançamentos!$B399="","",Lançamentos!$B399)</f>
        <v/>
      </c>
      <c r="C404" s="422" t="str">
        <f>IF($B404="","",IFERROR(INDEX(Lançamentos!$J$3:$J$1001,MATCH($B404,Lançamentos!$B$3:$B$1001,0)),""))</f>
        <v/>
      </c>
      <c r="D404" s="423" t="str">
        <f>IF($B404="","",IFERROR(INDEX('E2 — Triagem'!$D$8:$D$507,MATCH($B404,'E2 — Triagem'!$B$8:$B$507,0)),""))</f>
        <v/>
      </c>
      <c r="E404" s="423"/>
      <c r="F404" s="423"/>
      <c r="G404" s="423"/>
      <c r="H404" s="423"/>
      <c r="I404" s="424"/>
      <c r="J404" s="425" t="str">
        <f t="shared" si="7"/>
        <v/>
      </c>
      <c r="K404" s="422"/>
      <c r="L404" s="426"/>
    </row>
    <row r="405" spans="2:12" x14ac:dyDescent="0.35">
      <c r="B405" s="421" t="str">
        <f>IF(Lançamentos!$B400="","",Lançamentos!$B400)</f>
        <v/>
      </c>
      <c r="C405" s="422" t="str">
        <f>IF($B405="","",IFERROR(INDEX(Lançamentos!$J$3:$J$1001,MATCH($B405,Lançamentos!$B$3:$B$1001,0)),""))</f>
        <v/>
      </c>
      <c r="D405" s="423" t="str">
        <f>IF($B405="","",IFERROR(INDEX('E2 — Triagem'!$D$8:$D$507,MATCH($B405,'E2 — Triagem'!$B$8:$B$507,0)),""))</f>
        <v/>
      </c>
      <c r="E405" s="423"/>
      <c r="F405" s="423"/>
      <c r="G405" s="423"/>
      <c r="H405" s="423"/>
      <c r="I405" s="424"/>
      <c r="J405" s="425" t="str">
        <f t="shared" si="7"/>
        <v/>
      </c>
      <c r="K405" s="422"/>
      <c r="L405" s="426"/>
    </row>
    <row r="406" spans="2:12" x14ac:dyDescent="0.35">
      <c r="B406" s="421" t="str">
        <f>IF(Lançamentos!$B401="","",Lançamentos!$B401)</f>
        <v/>
      </c>
      <c r="C406" s="422" t="str">
        <f>IF($B406="","",IFERROR(INDEX(Lançamentos!$J$3:$J$1001,MATCH($B406,Lançamentos!$B$3:$B$1001,0)),""))</f>
        <v/>
      </c>
      <c r="D406" s="423" t="str">
        <f>IF($B406="","",IFERROR(INDEX('E2 — Triagem'!$D$8:$D$507,MATCH($B406,'E2 — Triagem'!$B$8:$B$507,0)),""))</f>
        <v/>
      </c>
      <c r="E406" s="423"/>
      <c r="F406" s="423"/>
      <c r="G406" s="423"/>
      <c r="H406" s="423"/>
      <c r="I406" s="424"/>
      <c r="J406" s="425" t="str">
        <f t="shared" si="7"/>
        <v/>
      </c>
      <c r="K406" s="422"/>
      <c r="L406" s="426"/>
    </row>
    <row r="407" spans="2:12" x14ac:dyDescent="0.35">
      <c r="B407" s="421" t="str">
        <f>IF(Lançamentos!$B402="","",Lançamentos!$B402)</f>
        <v/>
      </c>
      <c r="C407" s="422" t="str">
        <f>IF($B407="","",IFERROR(INDEX(Lançamentos!$J$3:$J$1001,MATCH($B407,Lançamentos!$B$3:$B$1001,0)),""))</f>
        <v/>
      </c>
      <c r="D407" s="423" t="str">
        <f>IF($B407="","",IFERROR(INDEX('E2 — Triagem'!$D$8:$D$507,MATCH($B407,'E2 — Triagem'!$B$8:$B$507,0)),""))</f>
        <v/>
      </c>
      <c r="E407" s="423"/>
      <c r="F407" s="423"/>
      <c r="G407" s="423"/>
      <c r="H407" s="423"/>
      <c r="I407" s="424"/>
      <c r="J407" s="425" t="str">
        <f t="shared" si="7"/>
        <v/>
      </c>
      <c r="K407" s="422"/>
      <c r="L407" s="426"/>
    </row>
    <row r="408" spans="2:12" x14ac:dyDescent="0.35">
      <c r="B408" s="421" t="str">
        <f>IF(Lançamentos!$B403="","",Lançamentos!$B403)</f>
        <v/>
      </c>
      <c r="C408" s="422" t="str">
        <f>IF($B408="","",IFERROR(INDEX(Lançamentos!$J$3:$J$1001,MATCH($B408,Lançamentos!$B$3:$B$1001,0)),""))</f>
        <v/>
      </c>
      <c r="D408" s="423" t="str">
        <f>IF($B408="","",IFERROR(INDEX('E2 — Triagem'!$D$8:$D$507,MATCH($B408,'E2 — Triagem'!$B$8:$B$507,0)),""))</f>
        <v/>
      </c>
      <c r="E408" s="423"/>
      <c r="F408" s="423"/>
      <c r="G408" s="423"/>
      <c r="H408" s="423"/>
      <c r="I408" s="424"/>
      <c r="J408" s="425" t="str">
        <f t="shared" si="7"/>
        <v/>
      </c>
      <c r="K408" s="422"/>
      <c r="L408" s="426"/>
    </row>
    <row r="409" spans="2:12" x14ac:dyDescent="0.35">
      <c r="B409" s="421" t="str">
        <f>IF(Lançamentos!$B404="","",Lançamentos!$B404)</f>
        <v/>
      </c>
      <c r="C409" s="422" t="str">
        <f>IF($B409="","",IFERROR(INDEX(Lançamentos!$J$3:$J$1001,MATCH($B409,Lançamentos!$B$3:$B$1001,0)),""))</f>
        <v/>
      </c>
      <c r="D409" s="423" t="str">
        <f>IF($B409="","",IFERROR(INDEX('E2 — Triagem'!$D$8:$D$507,MATCH($B409,'E2 — Triagem'!$B$8:$B$507,0)),""))</f>
        <v/>
      </c>
      <c r="E409" s="423"/>
      <c r="F409" s="423"/>
      <c r="G409" s="423"/>
      <c r="H409" s="423"/>
      <c r="I409" s="424"/>
      <c r="J409" s="425" t="str">
        <f t="shared" si="7"/>
        <v/>
      </c>
      <c r="K409" s="422"/>
      <c r="L409" s="426"/>
    </row>
    <row r="410" spans="2:12" x14ac:dyDescent="0.35">
      <c r="B410" s="421" t="str">
        <f>IF(Lançamentos!$B405="","",Lançamentos!$B405)</f>
        <v/>
      </c>
      <c r="C410" s="422" t="str">
        <f>IF($B410="","",IFERROR(INDEX(Lançamentos!$J$3:$J$1001,MATCH($B410,Lançamentos!$B$3:$B$1001,0)),""))</f>
        <v/>
      </c>
      <c r="D410" s="423" t="str">
        <f>IF($B410="","",IFERROR(INDEX('E2 — Triagem'!$D$8:$D$507,MATCH($B410,'E2 — Triagem'!$B$8:$B$507,0)),""))</f>
        <v/>
      </c>
      <c r="E410" s="423"/>
      <c r="F410" s="423"/>
      <c r="G410" s="423"/>
      <c r="H410" s="423"/>
      <c r="I410" s="424"/>
      <c r="J410" s="425" t="str">
        <f t="shared" si="7"/>
        <v/>
      </c>
      <c r="K410" s="422"/>
      <c r="L410" s="426"/>
    </row>
    <row r="411" spans="2:12" x14ac:dyDescent="0.35">
      <c r="B411" s="421" t="str">
        <f>IF(Lançamentos!$B406="","",Lançamentos!$B406)</f>
        <v/>
      </c>
      <c r="C411" s="422" t="str">
        <f>IF($B411="","",IFERROR(INDEX(Lançamentos!$J$3:$J$1001,MATCH($B411,Lançamentos!$B$3:$B$1001,0)),""))</f>
        <v/>
      </c>
      <c r="D411" s="423" t="str">
        <f>IF($B411="","",IFERROR(INDEX('E2 — Triagem'!$D$8:$D$507,MATCH($B411,'E2 — Triagem'!$B$8:$B$507,0)),""))</f>
        <v/>
      </c>
      <c r="E411" s="423"/>
      <c r="F411" s="423"/>
      <c r="G411" s="423"/>
      <c r="H411" s="423"/>
      <c r="I411" s="424"/>
      <c r="J411" s="425" t="str">
        <f t="shared" si="7"/>
        <v/>
      </c>
      <c r="K411" s="422"/>
      <c r="L411" s="426"/>
    </row>
    <row r="412" spans="2:12" x14ac:dyDescent="0.35">
      <c r="B412" s="421" t="str">
        <f>IF(Lançamentos!$B407="","",Lançamentos!$B407)</f>
        <v/>
      </c>
      <c r="C412" s="422" t="str">
        <f>IF($B412="","",IFERROR(INDEX(Lançamentos!$J$3:$J$1001,MATCH($B412,Lançamentos!$B$3:$B$1001,0)),""))</f>
        <v/>
      </c>
      <c r="D412" s="423" t="str">
        <f>IF($B412="","",IFERROR(INDEX('E2 — Triagem'!$D$8:$D$507,MATCH($B412,'E2 — Triagem'!$B$8:$B$507,0)),""))</f>
        <v/>
      </c>
      <c r="E412" s="423"/>
      <c r="F412" s="423"/>
      <c r="G412" s="423"/>
      <c r="H412" s="423"/>
      <c r="I412" s="424"/>
      <c r="J412" s="425" t="str">
        <f t="shared" si="7"/>
        <v/>
      </c>
      <c r="K412" s="422"/>
      <c r="L412" s="426"/>
    </row>
    <row r="413" spans="2:12" x14ac:dyDescent="0.35">
      <c r="B413" s="421" t="str">
        <f>IF(Lançamentos!$B408="","",Lançamentos!$B408)</f>
        <v/>
      </c>
      <c r="C413" s="422" t="str">
        <f>IF($B413="","",IFERROR(INDEX(Lançamentos!$J$3:$J$1001,MATCH($B413,Lançamentos!$B$3:$B$1001,0)),""))</f>
        <v/>
      </c>
      <c r="D413" s="423" t="str">
        <f>IF($B413="","",IFERROR(INDEX('E2 — Triagem'!$D$8:$D$507,MATCH($B413,'E2 — Triagem'!$B$8:$B$507,0)),""))</f>
        <v/>
      </c>
      <c r="E413" s="423"/>
      <c r="F413" s="423"/>
      <c r="G413" s="423"/>
      <c r="H413" s="423"/>
      <c r="I413" s="424"/>
      <c r="J413" s="425" t="str">
        <f t="shared" si="7"/>
        <v/>
      </c>
      <c r="K413" s="422"/>
      <c r="L413" s="426"/>
    </row>
    <row r="414" spans="2:12" x14ac:dyDescent="0.35">
      <c r="B414" s="421" t="str">
        <f>IF(Lançamentos!$B409="","",Lançamentos!$B409)</f>
        <v/>
      </c>
      <c r="C414" s="422" t="str">
        <f>IF($B414="","",IFERROR(INDEX(Lançamentos!$J$3:$J$1001,MATCH($B414,Lançamentos!$B$3:$B$1001,0)),""))</f>
        <v/>
      </c>
      <c r="D414" s="423" t="str">
        <f>IF($B414="","",IFERROR(INDEX('E2 — Triagem'!$D$8:$D$507,MATCH($B414,'E2 — Triagem'!$B$8:$B$507,0)),""))</f>
        <v/>
      </c>
      <c r="E414" s="423"/>
      <c r="F414" s="423"/>
      <c r="G414" s="423"/>
      <c r="H414" s="423"/>
      <c r="I414" s="424"/>
      <c r="J414" s="425" t="str">
        <f t="shared" si="7"/>
        <v/>
      </c>
      <c r="K414" s="422"/>
      <c r="L414" s="426"/>
    </row>
    <row r="415" spans="2:12" x14ac:dyDescent="0.35">
      <c r="B415" s="421" t="str">
        <f>IF(Lançamentos!$B410="","",Lançamentos!$B410)</f>
        <v/>
      </c>
      <c r="C415" s="422" t="str">
        <f>IF($B415="","",IFERROR(INDEX(Lançamentos!$J$3:$J$1001,MATCH($B415,Lançamentos!$B$3:$B$1001,0)),""))</f>
        <v/>
      </c>
      <c r="D415" s="423" t="str">
        <f>IF($B415="","",IFERROR(INDEX('E2 — Triagem'!$D$8:$D$507,MATCH($B415,'E2 — Triagem'!$B$8:$B$507,0)),""))</f>
        <v/>
      </c>
      <c r="E415" s="423"/>
      <c r="F415" s="423"/>
      <c r="G415" s="423"/>
      <c r="H415" s="423"/>
      <c r="I415" s="424"/>
      <c r="J415" s="425" t="str">
        <f t="shared" si="7"/>
        <v/>
      </c>
      <c r="K415" s="422"/>
      <c r="L415" s="426"/>
    </row>
    <row r="416" spans="2:12" x14ac:dyDescent="0.35">
      <c r="B416" s="421" t="str">
        <f>IF(Lançamentos!$B411="","",Lançamentos!$B411)</f>
        <v/>
      </c>
      <c r="C416" s="422" t="str">
        <f>IF($B416="","",IFERROR(INDEX(Lançamentos!$J$3:$J$1001,MATCH($B416,Lançamentos!$B$3:$B$1001,0)),""))</f>
        <v/>
      </c>
      <c r="D416" s="423" t="str">
        <f>IF($B416="","",IFERROR(INDEX('E2 — Triagem'!$D$8:$D$507,MATCH($B416,'E2 — Triagem'!$B$8:$B$507,0)),""))</f>
        <v/>
      </c>
      <c r="E416" s="423"/>
      <c r="F416" s="423"/>
      <c r="G416" s="423"/>
      <c r="H416" s="423"/>
      <c r="I416" s="424"/>
      <c r="J416" s="425" t="str">
        <f t="shared" si="7"/>
        <v/>
      </c>
      <c r="K416" s="422"/>
      <c r="L416" s="426"/>
    </row>
    <row r="417" spans="2:12" x14ac:dyDescent="0.35">
      <c r="B417" s="421" t="str">
        <f>IF(Lançamentos!$B412="","",Lançamentos!$B412)</f>
        <v/>
      </c>
      <c r="C417" s="422" t="str">
        <f>IF($B417="","",IFERROR(INDEX(Lançamentos!$J$3:$J$1001,MATCH($B417,Lançamentos!$B$3:$B$1001,0)),""))</f>
        <v/>
      </c>
      <c r="D417" s="423" t="str">
        <f>IF($B417="","",IFERROR(INDEX('E2 — Triagem'!$D$8:$D$507,MATCH($B417,'E2 — Triagem'!$B$8:$B$507,0)),""))</f>
        <v/>
      </c>
      <c r="E417" s="423"/>
      <c r="F417" s="423"/>
      <c r="G417" s="423"/>
      <c r="H417" s="423"/>
      <c r="I417" s="424"/>
      <c r="J417" s="425" t="str">
        <f t="shared" si="7"/>
        <v/>
      </c>
      <c r="K417" s="422"/>
      <c r="L417" s="426"/>
    </row>
    <row r="418" spans="2:12" x14ac:dyDescent="0.35">
      <c r="B418" s="421" t="str">
        <f>IF(Lançamentos!$B413="","",Lançamentos!$B413)</f>
        <v/>
      </c>
      <c r="C418" s="422" t="str">
        <f>IF($B418="","",IFERROR(INDEX(Lançamentos!$J$3:$J$1001,MATCH($B418,Lançamentos!$B$3:$B$1001,0)),""))</f>
        <v/>
      </c>
      <c r="D418" s="423" t="str">
        <f>IF($B418="","",IFERROR(INDEX('E2 — Triagem'!$D$8:$D$507,MATCH($B418,'E2 — Triagem'!$B$8:$B$507,0)),""))</f>
        <v/>
      </c>
      <c r="E418" s="423"/>
      <c r="F418" s="423"/>
      <c r="G418" s="423"/>
      <c r="H418" s="423"/>
      <c r="I418" s="424"/>
      <c r="J418" s="425" t="str">
        <f t="shared" si="7"/>
        <v/>
      </c>
      <c r="K418" s="422"/>
      <c r="L418" s="426"/>
    </row>
    <row r="419" spans="2:12" x14ac:dyDescent="0.35">
      <c r="B419" s="421" t="str">
        <f>IF(Lançamentos!$B414="","",Lançamentos!$B414)</f>
        <v/>
      </c>
      <c r="C419" s="422" t="str">
        <f>IF($B419="","",IFERROR(INDEX(Lançamentos!$J$3:$J$1001,MATCH($B419,Lançamentos!$B$3:$B$1001,0)),""))</f>
        <v/>
      </c>
      <c r="D419" s="423" t="str">
        <f>IF($B419="","",IFERROR(INDEX('E2 — Triagem'!$D$8:$D$507,MATCH($B419,'E2 — Triagem'!$B$8:$B$507,0)),""))</f>
        <v/>
      </c>
      <c r="E419" s="423"/>
      <c r="F419" s="423"/>
      <c r="G419" s="423"/>
      <c r="H419" s="423"/>
      <c r="I419" s="424"/>
      <c r="J419" s="425" t="str">
        <f t="shared" si="7"/>
        <v/>
      </c>
      <c r="K419" s="422"/>
      <c r="L419" s="426"/>
    </row>
    <row r="420" spans="2:12" x14ac:dyDescent="0.35">
      <c r="B420" s="421" t="str">
        <f>IF(Lançamentos!$B415="","",Lançamentos!$B415)</f>
        <v/>
      </c>
      <c r="C420" s="422" t="str">
        <f>IF($B420="","",IFERROR(INDEX(Lançamentos!$J$3:$J$1001,MATCH($B420,Lançamentos!$B$3:$B$1001,0)),""))</f>
        <v/>
      </c>
      <c r="D420" s="423" t="str">
        <f>IF($B420="","",IFERROR(INDEX('E2 — Triagem'!$D$8:$D$507,MATCH($B420,'E2 — Triagem'!$B$8:$B$507,0)),""))</f>
        <v/>
      </c>
      <c r="E420" s="423"/>
      <c r="F420" s="423"/>
      <c r="G420" s="423"/>
      <c r="H420" s="423"/>
      <c r="I420" s="424"/>
      <c r="J420" s="425" t="str">
        <f t="shared" si="7"/>
        <v/>
      </c>
      <c r="K420" s="422"/>
      <c r="L420" s="426"/>
    </row>
    <row r="421" spans="2:12" x14ac:dyDescent="0.35">
      <c r="B421" s="421" t="str">
        <f>IF(Lançamentos!$B416="","",Lançamentos!$B416)</f>
        <v/>
      </c>
      <c r="C421" s="422" t="str">
        <f>IF($B421="","",IFERROR(INDEX(Lançamentos!$J$3:$J$1001,MATCH($B421,Lançamentos!$B$3:$B$1001,0)),""))</f>
        <v/>
      </c>
      <c r="D421" s="423" t="str">
        <f>IF($B421="","",IFERROR(INDEX('E2 — Triagem'!$D$8:$D$507,MATCH($B421,'E2 — Triagem'!$B$8:$B$507,0)),""))</f>
        <v/>
      </c>
      <c r="E421" s="423"/>
      <c r="F421" s="423"/>
      <c r="G421" s="423"/>
      <c r="H421" s="423"/>
      <c r="I421" s="424"/>
      <c r="J421" s="425" t="str">
        <f t="shared" si="7"/>
        <v/>
      </c>
      <c r="K421" s="422"/>
      <c r="L421" s="426"/>
    </row>
    <row r="422" spans="2:12" x14ac:dyDescent="0.35">
      <c r="B422" s="421" t="str">
        <f>IF(Lançamentos!$B417="","",Lançamentos!$B417)</f>
        <v/>
      </c>
      <c r="C422" s="422" t="str">
        <f>IF($B422="","",IFERROR(INDEX(Lançamentos!$J$3:$J$1001,MATCH($B422,Lançamentos!$B$3:$B$1001,0)),""))</f>
        <v/>
      </c>
      <c r="D422" s="423" t="str">
        <f>IF($B422="","",IFERROR(INDEX('E2 — Triagem'!$D$8:$D$507,MATCH($B422,'E2 — Triagem'!$B$8:$B$507,0)),""))</f>
        <v/>
      </c>
      <c r="E422" s="423"/>
      <c r="F422" s="423"/>
      <c r="G422" s="423"/>
      <c r="H422" s="423"/>
      <c r="I422" s="424"/>
      <c r="J422" s="425" t="str">
        <f t="shared" si="7"/>
        <v/>
      </c>
      <c r="K422" s="422"/>
      <c r="L422" s="426"/>
    </row>
    <row r="423" spans="2:12" x14ac:dyDescent="0.35">
      <c r="B423" s="421" t="str">
        <f>IF(Lançamentos!$B418="","",Lançamentos!$B418)</f>
        <v/>
      </c>
      <c r="C423" s="422" t="str">
        <f>IF($B423="","",IFERROR(INDEX(Lançamentos!$J$3:$J$1001,MATCH($B423,Lançamentos!$B$3:$B$1001,0)),""))</f>
        <v/>
      </c>
      <c r="D423" s="423" t="str">
        <f>IF($B423="","",IFERROR(INDEX('E2 — Triagem'!$D$8:$D$507,MATCH($B423,'E2 — Triagem'!$B$8:$B$507,0)),""))</f>
        <v/>
      </c>
      <c r="E423" s="423"/>
      <c r="F423" s="423"/>
      <c r="G423" s="423"/>
      <c r="H423" s="423"/>
      <c r="I423" s="424"/>
      <c r="J423" s="425" t="str">
        <f t="shared" si="7"/>
        <v/>
      </c>
      <c r="K423" s="422"/>
      <c r="L423" s="426"/>
    </row>
    <row r="424" spans="2:12" x14ac:dyDescent="0.35">
      <c r="B424" s="421" t="str">
        <f>IF(Lançamentos!$B419="","",Lançamentos!$B419)</f>
        <v/>
      </c>
      <c r="C424" s="422" t="str">
        <f>IF($B424="","",IFERROR(INDEX(Lançamentos!$J$3:$J$1001,MATCH($B424,Lançamentos!$B$3:$B$1001,0)),""))</f>
        <v/>
      </c>
      <c r="D424" s="423" t="str">
        <f>IF($B424="","",IFERROR(INDEX('E2 — Triagem'!$D$8:$D$507,MATCH($B424,'E2 — Triagem'!$B$8:$B$507,0)),""))</f>
        <v/>
      </c>
      <c r="E424" s="423"/>
      <c r="F424" s="423"/>
      <c r="G424" s="423"/>
      <c r="H424" s="423"/>
      <c r="I424" s="424"/>
      <c r="J424" s="425" t="str">
        <f t="shared" si="7"/>
        <v/>
      </c>
      <c r="K424" s="422"/>
      <c r="L424" s="426"/>
    </row>
    <row r="425" spans="2:12" x14ac:dyDescent="0.35">
      <c r="B425" s="421" t="str">
        <f>IF(Lançamentos!$B420="","",Lançamentos!$B420)</f>
        <v/>
      </c>
      <c r="C425" s="422" t="str">
        <f>IF($B425="","",IFERROR(INDEX(Lançamentos!$J$3:$J$1001,MATCH($B425,Lançamentos!$B$3:$B$1001,0)),""))</f>
        <v/>
      </c>
      <c r="D425" s="423" t="str">
        <f>IF($B425="","",IFERROR(INDEX('E2 — Triagem'!$D$8:$D$507,MATCH($B425,'E2 — Triagem'!$B$8:$B$507,0)),""))</f>
        <v/>
      </c>
      <c r="E425" s="423"/>
      <c r="F425" s="423"/>
      <c r="G425" s="423"/>
      <c r="H425" s="423"/>
      <c r="I425" s="424"/>
      <c r="J425" s="425" t="str">
        <f t="shared" si="7"/>
        <v/>
      </c>
      <c r="K425" s="422"/>
      <c r="L425" s="426"/>
    </row>
    <row r="426" spans="2:12" x14ac:dyDescent="0.35">
      <c r="B426" s="421" t="str">
        <f>IF(Lançamentos!$B421="","",Lançamentos!$B421)</f>
        <v/>
      </c>
      <c r="C426" s="422" t="str">
        <f>IF($B426="","",IFERROR(INDEX(Lançamentos!$J$3:$J$1001,MATCH($B426,Lançamentos!$B$3:$B$1001,0)),""))</f>
        <v/>
      </c>
      <c r="D426" s="423" t="str">
        <f>IF($B426="","",IFERROR(INDEX('E2 — Triagem'!$D$8:$D$507,MATCH($B426,'E2 — Triagem'!$B$8:$B$507,0)),""))</f>
        <v/>
      </c>
      <c r="E426" s="423"/>
      <c r="F426" s="423"/>
      <c r="G426" s="423"/>
      <c r="H426" s="423"/>
      <c r="I426" s="424"/>
      <c r="J426" s="425" t="str">
        <f t="shared" si="7"/>
        <v/>
      </c>
      <c r="K426" s="422"/>
      <c r="L426" s="426"/>
    </row>
    <row r="427" spans="2:12" x14ac:dyDescent="0.35">
      <c r="B427" s="421" t="str">
        <f>IF(Lançamentos!$B422="","",Lançamentos!$B422)</f>
        <v/>
      </c>
      <c r="C427" s="422" t="str">
        <f>IF($B427="","",IFERROR(INDEX(Lançamentos!$J$3:$J$1001,MATCH($B427,Lançamentos!$B$3:$B$1001,0)),""))</f>
        <v/>
      </c>
      <c r="D427" s="423" t="str">
        <f>IF($B427="","",IFERROR(INDEX('E2 — Triagem'!$D$8:$D$507,MATCH($B427,'E2 — Triagem'!$B$8:$B$507,0)),""))</f>
        <v/>
      </c>
      <c r="E427" s="423"/>
      <c r="F427" s="423"/>
      <c r="G427" s="423"/>
      <c r="H427" s="423"/>
      <c r="I427" s="424"/>
      <c r="J427" s="425" t="str">
        <f t="shared" si="7"/>
        <v/>
      </c>
      <c r="K427" s="422"/>
      <c r="L427" s="426"/>
    </row>
    <row r="428" spans="2:12" x14ac:dyDescent="0.35">
      <c r="B428" s="421" t="str">
        <f>IF(Lançamentos!$B423="","",Lançamentos!$B423)</f>
        <v/>
      </c>
      <c r="C428" s="422" t="str">
        <f>IF($B428="","",IFERROR(INDEX(Lançamentos!$J$3:$J$1001,MATCH($B428,Lançamentos!$B$3:$B$1001,0)),""))</f>
        <v/>
      </c>
      <c r="D428" s="423" t="str">
        <f>IF($B428="","",IFERROR(INDEX('E2 — Triagem'!$D$8:$D$507,MATCH($B428,'E2 — Triagem'!$B$8:$B$507,0)),""))</f>
        <v/>
      </c>
      <c r="E428" s="423"/>
      <c r="F428" s="423"/>
      <c r="G428" s="423"/>
      <c r="H428" s="423"/>
      <c r="I428" s="424"/>
      <c r="J428" s="425" t="str">
        <f t="shared" si="7"/>
        <v/>
      </c>
      <c r="K428" s="422"/>
      <c r="L428" s="426"/>
    </row>
    <row r="429" spans="2:12" x14ac:dyDescent="0.35">
      <c r="B429" s="421" t="str">
        <f>IF(Lançamentos!$B424="","",Lançamentos!$B424)</f>
        <v/>
      </c>
      <c r="C429" s="422" t="str">
        <f>IF($B429="","",IFERROR(INDEX(Lançamentos!$J$3:$J$1001,MATCH($B429,Lançamentos!$B$3:$B$1001,0)),""))</f>
        <v/>
      </c>
      <c r="D429" s="423" t="str">
        <f>IF($B429="","",IFERROR(INDEX('E2 — Triagem'!$D$8:$D$507,MATCH($B429,'E2 — Triagem'!$B$8:$B$507,0)),""))</f>
        <v/>
      </c>
      <c r="E429" s="423"/>
      <c r="F429" s="423"/>
      <c r="G429" s="423"/>
      <c r="H429" s="423"/>
      <c r="I429" s="424"/>
      <c r="J429" s="425" t="str">
        <f t="shared" si="7"/>
        <v/>
      </c>
      <c r="K429" s="422"/>
      <c r="L429" s="426"/>
    </row>
    <row r="430" spans="2:12" x14ac:dyDescent="0.35">
      <c r="B430" s="421" t="str">
        <f>IF(Lançamentos!$B425="","",Lançamentos!$B425)</f>
        <v/>
      </c>
      <c r="C430" s="422" t="str">
        <f>IF($B430="","",IFERROR(INDEX(Lançamentos!$J$3:$J$1001,MATCH($B430,Lançamentos!$B$3:$B$1001,0)),""))</f>
        <v/>
      </c>
      <c r="D430" s="423" t="str">
        <f>IF($B430="","",IFERROR(INDEX('E2 — Triagem'!$D$8:$D$507,MATCH($B430,'E2 — Triagem'!$B$8:$B$507,0)),""))</f>
        <v/>
      </c>
      <c r="E430" s="423"/>
      <c r="F430" s="423"/>
      <c r="G430" s="423"/>
      <c r="H430" s="423"/>
      <c r="I430" s="424"/>
      <c r="J430" s="425" t="str">
        <f t="shared" si="7"/>
        <v/>
      </c>
      <c r="K430" s="422"/>
      <c r="L430" s="426"/>
    </row>
    <row r="431" spans="2:12" x14ac:dyDescent="0.35">
      <c r="B431" s="421" t="str">
        <f>IF(Lançamentos!$B426="","",Lançamentos!$B426)</f>
        <v/>
      </c>
      <c r="C431" s="422" t="str">
        <f>IF($B431="","",IFERROR(INDEX(Lançamentos!$J$3:$J$1001,MATCH($B431,Lançamentos!$B$3:$B$1001,0)),""))</f>
        <v/>
      </c>
      <c r="D431" s="423" t="str">
        <f>IF($B431="","",IFERROR(INDEX('E2 — Triagem'!$D$8:$D$507,MATCH($B431,'E2 — Triagem'!$B$8:$B$507,0)),""))</f>
        <v/>
      </c>
      <c r="E431" s="423"/>
      <c r="F431" s="423"/>
      <c r="G431" s="423"/>
      <c r="H431" s="423"/>
      <c r="I431" s="424"/>
      <c r="J431" s="425" t="str">
        <f t="shared" si="7"/>
        <v/>
      </c>
      <c r="K431" s="422"/>
      <c r="L431" s="426"/>
    </row>
    <row r="432" spans="2:12" x14ac:dyDescent="0.35">
      <c r="B432" s="421" t="str">
        <f>IF(Lançamentos!$B427="","",Lançamentos!$B427)</f>
        <v/>
      </c>
      <c r="C432" s="422" t="str">
        <f>IF($B432="","",IFERROR(INDEX(Lançamentos!$J$3:$J$1001,MATCH($B432,Lançamentos!$B$3:$B$1001,0)),""))</f>
        <v/>
      </c>
      <c r="D432" s="423" t="str">
        <f>IF($B432="","",IFERROR(INDEX('E2 — Triagem'!$D$8:$D$507,MATCH($B432,'E2 — Triagem'!$B$8:$B$507,0)),""))</f>
        <v/>
      </c>
      <c r="E432" s="423"/>
      <c r="F432" s="423"/>
      <c r="G432" s="423"/>
      <c r="H432" s="423"/>
      <c r="I432" s="424"/>
      <c r="J432" s="425" t="str">
        <f t="shared" si="7"/>
        <v/>
      </c>
      <c r="K432" s="422"/>
      <c r="L432" s="426"/>
    </row>
    <row r="433" spans="2:12" x14ac:dyDescent="0.35">
      <c r="B433" s="421" t="str">
        <f>IF(Lançamentos!$B428="","",Lançamentos!$B428)</f>
        <v/>
      </c>
      <c r="C433" s="422" t="str">
        <f>IF($B433="","",IFERROR(INDEX(Lançamentos!$J$3:$J$1001,MATCH($B433,Lançamentos!$B$3:$B$1001,0)),""))</f>
        <v/>
      </c>
      <c r="D433" s="423" t="str">
        <f>IF($B433="","",IFERROR(INDEX('E2 — Triagem'!$D$8:$D$507,MATCH($B433,'E2 — Triagem'!$B$8:$B$507,0)),""))</f>
        <v/>
      </c>
      <c r="E433" s="423"/>
      <c r="F433" s="423"/>
      <c r="G433" s="423"/>
      <c r="H433" s="423"/>
      <c r="I433" s="424"/>
      <c r="J433" s="425" t="str">
        <f t="shared" si="7"/>
        <v/>
      </c>
      <c r="K433" s="422"/>
      <c r="L433" s="426"/>
    </row>
    <row r="434" spans="2:12" x14ac:dyDescent="0.35">
      <c r="B434" s="421" t="str">
        <f>IF(Lançamentos!$B429="","",Lançamentos!$B429)</f>
        <v/>
      </c>
      <c r="C434" s="422" t="str">
        <f>IF($B434="","",IFERROR(INDEX(Lançamentos!$J$3:$J$1001,MATCH($B434,Lançamentos!$B$3:$B$1001,0)),""))</f>
        <v/>
      </c>
      <c r="D434" s="423" t="str">
        <f>IF($B434="","",IFERROR(INDEX('E2 — Triagem'!$D$8:$D$507,MATCH($B434,'E2 — Triagem'!$B$8:$B$507,0)),""))</f>
        <v/>
      </c>
      <c r="E434" s="423"/>
      <c r="F434" s="423"/>
      <c r="G434" s="423"/>
      <c r="H434" s="423"/>
      <c r="I434" s="424"/>
      <c r="J434" s="425" t="str">
        <f t="shared" si="7"/>
        <v/>
      </c>
      <c r="K434" s="422"/>
      <c r="L434" s="426"/>
    </row>
    <row r="435" spans="2:12" x14ac:dyDescent="0.35">
      <c r="B435" s="421" t="str">
        <f>IF(Lançamentos!$B430="","",Lançamentos!$B430)</f>
        <v/>
      </c>
      <c r="C435" s="422" t="str">
        <f>IF($B435="","",IFERROR(INDEX(Lançamentos!$J$3:$J$1001,MATCH($B435,Lançamentos!$B$3:$B$1001,0)),""))</f>
        <v/>
      </c>
      <c r="D435" s="423" t="str">
        <f>IF($B435="","",IFERROR(INDEX('E2 — Triagem'!$D$8:$D$507,MATCH($B435,'E2 — Triagem'!$B$8:$B$507,0)),""))</f>
        <v/>
      </c>
      <c r="E435" s="423"/>
      <c r="F435" s="423"/>
      <c r="G435" s="423"/>
      <c r="H435" s="423"/>
      <c r="I435" s="424"/>
      <c r="J435" s="425" t="str">
        <f t="shared" si="7"/>
        <v/>
      </c>
      <c r="K435" s="422"/>
      <c r="L435" s="426"/>
    </row>
    <row r="436" spans="2:12" x14ac:dyDescent="0.35">
      <c r="B436" s="421" t="str">
        <f>IF(Lançamentos!$B431="","",Lançamentos!$B431)</f>
        <v/>
      </c>
      <c r="C436" s="422" t="str">
        <f>IF($B436="","",IFERROR(INDEX(Lançamentos!$J$3:$J$1001,MATCH($B436,Lançamentos!$B$3:$B$1001,0)),""))</f>
        <v/>
      </c>
      <c r="D436" s="423" t="str">
        <f>IF($B436="","",IFERROR(INDEX('E2 — Triagem'!$D$8:$D$507,MATCH($B436,'E2 — Triagem'!$B$8:$B$507,0)),""))</f>
        <v/>
      </c>
      <c r="E436" s="423"/>
      <c r="F436" s="423"/>
      <c r="G436" s="423"/>
      <c r="H436" s="423"/>
      <c r="I436" s="424"/>
      <c r="J436" s="425" t="str">
        <f t="shared" si="7"/>
        <v/>
      </c>
      <c r="K436" s="422"/>
      <c r="L436" s="426"/>
    </row>
    <row r="437" spans="2:12" x14ac:dyDescent="0.35">
      <c r="B437" s="421" t="str">
        <f>IF(Lançamentos!$B432="","",Lançamentos!$B432)</f>
        <v/>
      </c>
      <c r="C437" s="422" t="str">
        <f>IF($B437="","",IFERROR(INDEX(Lançamentos!$J$3:$J$1001,MATCH($B437,Lançamentos!$B$3:$B$1001,0)),""))</f>
        <v/>
      </c>
      <c r="D437" s="423" t="str">
        <f>IF($B437="","",IFERROR(INDEX('E2 — Triagem'!$D$8:$D$507,MATCH($B437,'E2 — Triagem'!$B$8:$B$507,0)),""))</f>
        <v/>
      </c>
      <c r="E437" s="423"/>
      <c r="F437" s="423"/>
      <c r="G437" s="423"/>
      <c r="H437" s="423"/>
      <c r="I437" s="424"/>
      <c r="J437" s="425" t="str">
        <f t="shared" si="7"/>
        <v/>
      </c>
      <c r="K437" s="422"/>
      <c r="L437" s="426"/>
    </row>
    <row r="438" spans="2:12" x14ac:dyDescent="0.35">
      <c r="B438" s="421" t="str">
        <f>IF(Lançamentos!$B433="","",Lançamentos!$B433)</f>
        <v/>
      </c>
      <c r="C438" s="422" t="str">
        <f>IF($B438="","",IFERROR(INDEX(Lançamentos!$J$3:$J$1001,MATCH($B438,Lançamentos!$B$3:$B$1001,0)),""))</f>
        <v/>
      </c>
      <c r="D438" s="423" t="str">
        <f>IF($B438="","",IFERROR(INDEX('E2 — Triagem'!$D$8:$D$507,MATCH($B438,'E2 — Triagem'!$B$8:$B$507,0)),""))</f>
        <v/>
      </c>
      <c r="E438" s="423"/>
      <c r="F438" s="423"/>
      <c r="G438" s="423"/>
      <c r="H438" s="423"/>
      <c r="I438" s="424"/>
      <c r="J438" s="425" t="str">
        <f t="shared" si="7"/>
        <v/>
      </c>
      <c r="K438" s="422"/>
      <c r="L438" s="426"/>
    </row>
    <row r="439" spans="2:12" x14ac:dyDescent="0.35">
      <c r="B439" s="421" t="str">
        <f>IF(Lançamentos!$B434="","",Lançamentos!$B434)</f>
        <v/>
      </c>
      <c r="C439" s="422" t="str">
        <f>IF($B439="","",IFERROR(INDEX(Lançamentos!$J$3:$J$1001,MATCH($B439,Lançamentos!$B$3:$B$1001,0)),""))</f>
        <v/>
      </c>
      <c r="D439" s="423" t="str">
        <f>IF($B439="","",IFERROR(INDEX('E2 — Triagem'!$D$8:$D$507,MATCH($B439,'E2 — Triagem'!$B$8:$B$507,0)),""))</f>
        <v/>
      </c>
      <c r="E439" s="423"/>
      <c r="F439" s="423"/>
      <c r="G439" s="423"/>
      <c r="H439" s="423"/>
      <c r="I439" s="424"/>
      <c r="J439" s="425" t="str">
        <f t="shared" si="7"/>
        <v/>
      </c>
      <c r="K439" s="422"/>
      <c r="L439" s="426"/>
    </row>
    <row r="440" spans="2:12" x14ac:dyDescent="0.35">
      <c r="B440" s="421" t="str">
        <f>IF(Lançamentos!$B435="","",Lançamentos!$B435)</f>
        <v/>
      </c>
      <c r="C440" s="422" t="str">
        <f>IF($B440="","",IFERROR(INDEX(Lançamentos!$J$3:$J$1001,MATCH($B440,Lançamentos!$B$3:$B$1001,0)),""))</f>
        <v/>
      </c>
      <c r="D440" s="423" t="str">
        <f>IF($B440="","",IFERROR(INDEX('E2 — Triagem'!$D$8:$D$507,MATCH($B440,'E2 — Triagem'!$B$8:$B$507,0)),""))</f>
        <v/>
      </c>
      <c r="E440" s="423"/>
      <c r="F440" s="423"/>
      <c r="G440" s="423"/>
      <c r="H440" s="423"/>
      <c r="I440" s="424"/>
      <c r="J440" s="425" t="str">
        <f t="shared" si="7"/>
        <v/>
      </c>
      <c r="K440" s="422"/>
      <c r="L440" s="426"/>
    </row>
    <row r="441" spans="2:12" x14ac:dyDescent="0.35">
      <c r="B441" s="421" t="str">
        <f>IF(Lançamentos!$B436="","",Lançamentos!$B436)</f>
        <v/>
      </c>
      <c r="C441" s="422" t="str">
        <f>IF($B441="","",IFERROR(INDEX(Lançamentos!$J$3:$J$1001,MATCH($B441,Lançamentos!$B$3:$B$1001,0)),""))</f>
        <v/>
      </c>
      <c r="D441" s="423" t="str">
        <f>IF($B441="","",IFERROR(INDEX('E2 — Triagem'!$D$8:$D$507,MATCH($B441,'E2 — Triagem'!$B$8:$B$507,0)),""))</f>
        <v/>
      </c>
      <c r="E441" s="423"/>
      <c r="F441" s="423"/>
      <c r="G441" s="423"/>
      <c r="H441" s="423"/>
      <c r="I441" s="424"/>
      <c r="J441" s="425" t="str">
        <f t="shared" si="7"/>
        <v/>
      </c>
      <c r="K441" s="422"/>
      <c r="L441" s="426"/>
    </row>
    <row r="442" spans="2:12" x14ac:dyDescent="0.35">
      <c r="B442" s="421" t="str">
        <f>IF(Lançamentos!$B437="","",Lançamentos!$B437)</f>
        <v/>
      </c>
      <c r="C442" s="422" t="str">
        <f>IF($B442="","",IFERROR(INDEX(Lançamentos!$J$3:$J$1001,MATCH($B442,Lançamentos!$B$3:$B$1001,0)),""))</f>
        <v/>
      </c>
      <c r="D442" s="423" t="str">
        <f>IF($B442="","",IFERROR(INDEX('E2 — Triagem'!$D$8:$D$507,MATCH($B442,'E2 — Triagem'!$B$8:$B$507,0)),""))</f>
        <v/>
      </c>
      <c r="E442" s="423"/>
      <c r="F442" s="423"/>
      <c r="G442" s="423"/>
      <c r="H442" s="423"/>
      <c r="I442" s="424"/>
      <c r="J442" s="425" t="str">
        <f t="shared" si="7"/>
        <v/>
      </c>
      <c r="K442" s="422"/>
      <c r="L442" s="426"/>
    </row>
    <row r="443" spans="2:12" x14ac:dyDescent="0.35">
      <c r="B443" s="421" t="str">
        <f>IF(Lançamentos!$B438="","",Lançamentos!$B438)</f>
        <v/>
      </c>
      <c r="C443" s="422" t="str">
        <f>IF($B443="","",IFERROR(INDEX(Lançamentos!$J$3:$J$1001,MATCH($B443,Lançamentos!$B$3:$B$1001,0)),""))</f>
        <v/>
      </c>
      <c r="D443" s="423" t="str">
        <f>IF($B443="","",IFERROR(INDEX('E2 — Triagem'!$D$8:$D$507,MATCH($B443,'E2 — Triagem'!$B$8:$B$507,0)),""))</f>
        <v/>
      </c>
      <c r="E443" s="423"/>
      <c r="F443" s="423"/>
      <c r="G443" s="423"/>
      <c r="H443" s="423"/>
      <c r="I443" s="424"/>
      <c r="J443" s="425" t="str">
        <f t="shared" si="7"/>
        <v/>
      </c>
      <c r="K443" s="422"/>
      <c r="L443" s="426"/>
    </row>
    <row r="444" spans="2:12" x14ac:dyDescent="0.35">
      <c r="B444" s="421" t="str">
        <f>IF(Lançamentos!$B439="","",Lançamentos!$B439)</f>
        <v/>
      </c>
      <c r="C444" s="422" t="str">
        <f>IF($B444="","",IFERROR(INDEX(Lançamentos!$J$3:$J$1001,MATCH($B444,Lançamentos!$B$3:$B$1001,0)),""))</f>
        <v/>
      </c>
      <c r="D444" s="423" t="str">
        <f>IF($B444="","",IFERROR(INDEX('E2 — Triagem'!$D$8:$D$507,MATCH($B444,'E2 — Triagem'!$B$8:$B$507,0)),""))</f>
        <v/>
      </c>
      <c r="E444" s="423"/>
      <c r="F444" s="423"/>
      <c r="G444" s="423"/>
      <c r="H444" s="423"/>
      <c r="I444" s="424"/>
      <c r="J444" s="425" t="str">
        <f t="shared" si="7"/>
        <v/>
      </c>
      <c r="K444" s="422"/>
      <c r="L444" s="426"/>
    </row>
    <row r="445" spans="2:12" x14ac:dyDescent="0.35">
      <c r="B445" s="421" t="str">
        <f>IF(Lançamentos!$B440="","",Lançamentos!$B440)</f>
        <v/>
      </c>
      <c r="C445" s="422" t="str">
        <f>IF($B445="","",IFERROR(INDEX(Lançamentos!$J$3:$J$1001,MATCH($B445,Lançamentos!$B$3:$B$1001,0)),""))</f>
        <v/>
      </c>
      <c r="D445" s="423" t="str">
        <f>IF($B445="","",IFERROR(INDEX('E2 — Triagem'!$D$8:$D$507,MATCH($B445,'E2 — Triagem'!$B$8:$B$507,0)),""))</f>
        <v/>
      </c>
      <c r="E445" s="423"/>
      <c r="F445" s="423"/>
      <c r="G445" s="423"/>
      <c r="H445" s="423"/>
      <c r="I445" s="424"/>
      <c r="J445" s="425" t="str">
        <f t="shared" si="7"/>
        <v/>
      </c>
      <c r="K445" s="422"/>
      <c r="L445" s="426"/>
    </row>
    <row r="446" spans="2:12" x14ac:dyDescent="0.35">
      <c r="B446" s="421" t="str">
        <f>IF(Lançamentos!$B441="","",Lançamentos!$B441)</f>
        <v/>
      </c>
      <c r="C446" s="422" t="str">
        <f>IF($B446="","",IFERROR(INDEX(Lançamentos!$J$3:$J$1001,MATCH($B446,Lançamentos!$B$3:$B$1001,0)),""))</f>
        <v/>
      </c>
      <c r="D446" s="423" t="str">
        <f>IF($B446="","",IFERROR(INDEX('E2 — Triagem'!$D$8:$D$507,MATCH($B446,'E2 — Triagem'!$B$8:$B$507,0)),""))</f>
        <v/>
      </c>
      <c r="E446" s="423"/>
      <c r="F446" s="423"/>
      <c r="G446" s="423"/>
      <c r="H446" s="423"/>
      <c r="I446" s="424"/>
      <c r="J446" s="425" t="str">
        <f t="shared" si="7"/>
        <v/>
      </c>
      <c r="K446" s="422"/>
      <c r="L446" s="426"/>
    </row>
    <row r="447" spans="2:12" x14ac:dyDescent="0.35">
      <c r="B447" s="421" t="str">
        <f>IF(Lançamentos!$B442="","",Lançamentos!$B442)</f>
        <v/>
      </c>
      <c r="C447" s="422" t="str">
        <f>IF($B447="","",IFERROR(INDEX(Lançamentos!$J$3:$J$1001,MATCH($B447,Lançamentos!$B$3:$B$1001,0)),""))</f>
        <v/>
      </c>
      <c r="D447" s="423" t="str">
        <f>IF($B447="","",IFERROR(INDEX('E2 — Triagem'!$D$8:$D$507,MATCH($B447,'E2 — Triagem'!$B$8:$B$507,0)),""))</f>
        <v/>
      </c>
      <c r="E447" s="423"/>
      <c r="F447" s="423"/>
      <c r="G447" s="423"/>
      <c r="H447" s="423"/>
      <c r="I447" s="424"/>
      <c r="J447" s="425" t="str">
        <f t="shared" si="7"/>
        <v/>
      </c>
      <c r="K447" s="422"/>
      <c r="L447" s="426"/>
    </row>
    <row r="448" spans="2:12" x14ac:dyDescent="0.35">
      <c r="B448" s="421" t="str">
        <f>IF(Lançamentos!$B443="","",Lançamentos!$B443)</f>
        <v/>
      </c>
      <c r="C448" s="422" t="str">
        <f>IF($B448="","",IFERROR(INDEX(Lançamentos!$J$3:$J$1001,MATCH($B448,Lançamentos!$B$3:$B$1001,0)),""))</f>
        <v/>
      </c>
      <c r="D448" s="423" t="str">
        <f>IF($B448="","",IFERROR(INDEX('E2 — Triagem'!$D$8:$D$507,MATCH($B448,'E2 — Triagem'!$B$8:$B$507,0)),""))</f>
        <v/>
      </c>
      <c r="E448" s="423"/>
      <c r="F448" s="423"/>
      <c r="G448" s="423"/>
      <c r="H448" s="423"/>
      <c r="I448" s="424"/>
      <c r="J448" s="425" t="str">
        <f t="shared" si="7"/>
        <v/>
      </c>
      <c r="K448" s="422"/>
      <c r="L448" s="426"/>
    </row>
    <row r="449" spans="2:12" x14ac:dyDescent="0.35">
      <c r="B449" s="421" t="str">
        <f>IF(Lançamentos!$B444="","",Lançamentos!$B444)</f>
        <v/>
      </c>
      <c r="C449" s="422" t="str">
        <f>IF($B449="","",IFERROR(INDEX(Lançamentos!$J$3:$J$1001,MATCH($B449,Lançamentos!$B$3:$B$1001,0)),""))</f>
        <v/>
      </c>
      <c r="D449" s="423" t="str">
        <f>IF($B449="","",IFERROR(INDEX('E2 — Triagem'!$D$8:$D$507,MATCH($B449,'E2 — Triagem'!$B$8:$B$507,0)),""))</f>
        <v/>
      </c>
      <c r="E449" s="423"/>
      <c r="F449" s="423"/>
      <c r="G449" s="423"/>
      <c r="H449" s="423"/>
      <c r="I449" s="424"/>
      <c r="J449" s="425" t="str">
        <f t="shared" si="7"/>
        <v/>
      </c>
      <c r="K449" s="422"/>
      <c r="L449" s="426"/>
    </row>
    <row r="450" spans="2:12" x14ac:dyDescent="0.35">
      <c r="B450" s="421" t="str">
        <f>IF(Lançamentos!$B445="","",Lançamentos!$B445)</f>
        <v/>
      </c>
      <c r="C450" s="422" t="str">
        <f>IF($B450="","",IFERROR(INDEX(Lançamentos!$J$3:$J$1001,MATCH($B450,Lançamentos!$B$3:$B$1001,0)),""))</f>
        <v/>
      </c>
      <c r="D450" s="423" t="str">
        <f>IF($B450="","",IFERROR(INDEX('E2 — Triagem'!$D$8:$D$507,MATCH($B450,'E2 — Triagem'!$B$8:$B$507,0)),""))</f>
        <v/>
      </c>
      <c r="E450" s="423"/>
      <c r="F450" s="423"/>
      <c r="G450" s="423"/>
      <c r="H450" s="423"/>
      <c r="I450" s="424"/>
      <c r="J450" s="425" t="str">
        <f t="shared" si="7"/>
        <v/>
      </c>
      <c r="K450" s="422"/>
      <c r="L450" s="426"/>
    </row>
    <row r="451" spans="2:12" x14ac:dyDescent="0.35">
      <c r="B451" s="421" t="str">
        <f>IF(Lançamentos!$B446="","",Lançamentos!$B446)</f>
        <v/>
      </c>
      <c r="C451" s="422" t="str">
        <f>IF($B451="","",IFERROR(INDEX(Lançamentos!$J$3:$J$1001,MATCH($B451,Lançamentos!$B$3:$B$1001,0)),""))</f>
        <v/>
      </c>
      <c r="D451" s="423" t="str">
        <f>IF($B451="","",IFERROR(INDEX('E2 — Triagem'!$D$8:$D$507,MATCH($B451,'E2 — Triagem'!$B$8:$B$507,0)),""))</f>
        <v/>
      </c>
      <c r="E451" s="423"/>
      <c r="F451" s="423"/>
      <c r="G451" s="423"/>
      <c r="H451" s="423"/>
      <c r="I451" s="424"/>
      <c r="J451" s="425" t="str">
        <f t="shared" si="7"/>
        <v/>
      </c>
      <c r="K451" s="422"/>
      <c r="L451" s="426"/>
    </row>
    <row r="452" spans="2:12" x14ac:dyDescent="0.35">
      <c r="B452" s="421" t="str">
        <f>IF(Lançamentos!$B447="","",Lançamentos!$B447)</f>
        <v/>
      </c>
      <c r="C452" s="422" t="str">
        <f>IF($B452="","",IFERROR(INDEX(Lançamentos!$J$3:$J$1001,MATCH($B452,Lançamentos!$B$3:$B$1001,0)),""))</f>
        <v/>
      </c>
      <c r="D452" s="423" t="str">
        <f>IF($B452="","",IFERROR(INDEX('E2 — Triagem'!$D$8:$D$507,MATCH($B452,'E2 — Triagem'!$B$8:$B$507,0)),""))</f>
        <v/>
      </c>
      <c r="E452" s="423"/>
      <c r="F452" s="423"/>
      <c r="G452" s="423"/>
      <c r="H452" s="423"/>
      <c r="I452" s="424"/>
      <c r="J452" s="425" t="str">
        <f t="shared" si="7"/>
        <v/>
      </c>
      <c r="K452" s="422"/>
      <c r="L452" s="426"/>
    </row>
    <row r="453" spans="2:12" x14ac:dyDescent="0.35">
      <c r="B453" s="421" t="str">
        <f>IF(Lançamentos!$B448="","",Lançamentos!$B448)</f>
        <v/>
      </c>
      <c r="C453" s="422" t="str">
        <f>IF($B453="","",IFERROR(INDEX(Lançamentos!$J$3:$J$1001,MATCH($B453,Lançamentos!$B$3:$B$1001,0)),""))</f>
        <v/>
      </c>
      <c r="D453" s="423" t="str">
        <f>IF($B453="","",IFERROR(INDEX('E2 — Triagem'!$D$8:$D$507,MATCH($B453,'E2 — Triagem'!$B$8:$B$507,0)),""))</f>
        <v/>
      </c>
      <c r="E453" s="423"/>
      <c r="F453" s="423"/>
      <c r="G453" s="423"/>
      <c r="H453" s="423"/>
      <c r="I453" s="424"/>
      <c r="J453" s="425" t="str">
        <f t="shared" si="7"/>
        <v/>
      </c>
      <c r="K453" s="422"/>
      <c r="L453" s="426"/>
    </row>
    <row r="454" spans="2:12" x14ac:dyDescent="0.35">
      <c r="B454" s="421" t="str">
        <f>IF(Lançamentos!$B449="","",Lançamentos!$B449)</f>
        <v/>
      </c>
      <c r="C454" s="422" t="str">
        <f>IF($B454="","",IFERROR(INDEX(Lançamentos!$J$3:$J$1001,MATCH($B454,Lançamentos!$B$3:$B$1001,0)),""))</f>
        <v/>
      </c>
      <c r="D454" s="423" t="str">
        <f>IF($B454="","",IFERROR(INDEX('E2 — Triagem'!$D$8:$D$507,MATCH($B454,'E2 — Triagem'!$B$8:$B$507,0)),""))</f>
        <v/>
      </c>
      <c r="E454" s="423"/>
      <c r="F454" s="423"/>
      <c r="G454" s="423"/>
      <c r="H454" s="423"/>
      <c r="I454" s="424"/>
      <c r="J454" s="425" t="str">
        <f t="shared" si="7"/>
        <v/>
      </c>
      <c r="K454" s="422"/>
      <c r="L454" s="426"/>
    </row>
    <row r="455" spans="2:12" x14ac:dyDescent="0.35">
      <c r="B455" s="421" t="str">
        <f>IF(Lançamentos!$B450="","",Lançamentos!$B450)</f>
        <v/>
      </c>
      <c r="C455" s="422" t="str">
        <f>IF($B455="","",IFERROR(INDEX(Lançamentos!$J$3:$J$1001,MATCH($B455,Lançamentos!$B$3:$B$1001,0)),""))</f>
        <v/>
      </c>
      <c r="D455" s="423" t="str">
        <f>IF($B455="","",IFERROR(INDEX('E2 — Triagem'!$D$8:$D$507,MATCH($B455,'E2 — Triagem'!$B$8:$B$507,0)),""))</f>
        <v/>
      </c>
      <c r="E455" s="423"/>
      <c r="F455" s="423"/>
      <c r="G455" s="423"/>
      <c r="H455" s="423"/>
      <c r="I455" s="424"/>
      <c r="J455" s="425" t="str">
        <f t="shared" si="7"/>
        <v/>
      </c>
      <c r="K455" s="422"/>
      <c r="L455" s="426"/>
    </row>
    <row r="456" spans="2:12" x14ac:dyDescent="0.35">
      <c r="B456" s="421" t="str">
        <f>IF(Lançamentos!$B451="","",Lançamentos!$B451)</f>
        <v/>
      </c>
      <c r="C456" s="422" t="str">
        <f>IF($B456="","",IFERROR(INDEX(Lançamentos!$J$3:$J$1001,MATCH($B456,Lançamentos!$B$3:$B$1001,0)),""))</f>
        <v/>
      </c>
      <c r="D456" s="423" t="str">
        <f>IF($B456="","",IFERROR(INDEX('E2 — Triagem'!$D$8:$D$507,MATCH($B456,'E2 — Triagem'!$B$8:$B$507,0)),""))</f>
        <v/>
      </c>
      <c r="E456" s="423"/>
      <c r="F456" s="423"/>
      <c r="G456" s="423"/>
      <c r="H456" s="423"/>
      <c r="I456" s="424"/>
      <c r="J456" s="425" t="str">
        <f t="shared" si="7"/>
        <v/>
      </c>
      <c r="K456" s="422"/>
      <c r="L456" s="426"/>
    </row>
    <row r="457" spans="2:12" x14ac:dyDescent="0.35">
      <c r="B457" s="421" t="str">
        <f>IF(Lançamentos!$B452="","",Lançamentos!$B452)</f>
        <v/>
      </c>
      <c r="C457" s="422" t="str">
        <f>IF($B457="","",IFERROR(INDEX(Lançamentos!$J$3:$J$1001,MATCH($B457,Lançamentos!$B$3:$B$1001,0)),""))</f>
        <v/>
      </c>
      <c r="D457" s="423" t="str">
        <f>IF($B457="","",IFERROR(INDEX('E2 — Triagem'!$D$8:$D$507,MATCH($B457,'E2 — Triagem'!$B$8:$B$507,0)),""))</f>
        <v/>
      </c>
      <c r="E457" s="423"/>
      <c r="F457" s="423"/>
      <c r="G457" s="423"/>
      <c r="H457" s="423"/>
      <c r="I457" s="424"/>
      <c r="J457" s="425" t="str">
        <f t="shared" si="7"/>
        <v/>
      </c>
      <c r="K457" s="422"/>
      <c r="L457" s="426"/>
    </row>
    <row r="458" spans="2:12" x14ac:dyDescent="0.35">
      <c r="B458" s="421" t="str">
        <f>IF(Lançamentos!$B453="","",Lançamentos!$B453)</f>
        <v/>
      </c>
      <c r="C458" s="422" t="str">
        <f>IF($B458="","",IFERROR(INDEX(Lançamentos!$J$3:$J$1001,MATCH($B458,Lançamentos!$B$3:$B$1001,0)),""))</f>
        <v/>
      </c>
      <c r="D458" s="423" t="str">
        <f>IF($B458="","",IFERROR(INDEX('E2 — Triagem'!$D$8:$D$507,MATCH($B458,'E2 — Triagem'!$B$8:$B$507,0)),""))</f>
        <v/>
      </c>
      <c r="E458" s="423"/>
      <c r="F458" s="423"/>
      <c r="G458" s="423"/>
      <c r="H458" s="423"/>
      <c r="I458" s="424"/>
      <c r="J458" s="425" t="str">
        <f t="shared" si="7"/>
        <v/>
      </c>
      <c r="K458" s="422"/>
      <c r="L458" s="426"/>
    </row>
    <row r="459" spans="2:12" x14ac:dyDescent="0.35">
      <c r="B459" s="421" t="str">
        <f>IF(Lançamentos!$B454="","",Lançamentos!$B454)</f>
        <v/>
      </c>
      <c r="C459" s="422" t="str">
        <f>IF($B459="","",IFERROR(INDEX(Lançamentos!$J$3:$J$1001,MATCH($B459,Lançamentos!$B$3:$B$1001,0)),""))</f>
        <v/>
      </c>
      <c r="D459" s="423" t="str">
        <f>IF($B459="","",IFERROR(INDEX('E2 — Triagem'!$D$8:$D$507,MATCH($B459,'E2 — Triagem'!$B$8:$B$507,0)),""))</f>
        <v/>
      </c>
      <c r="E459" s="423"/>
      <c r="F459" s="423"/>
      <c r="G459" s="423"/>
      <c r="H459" s="423"/>
      <c r="I459" s="424"/>
      <c r="J459" s="425" t="str">
        <f t="shared" si="7"/>
        <v/>
      </c>
      <c r="K459" s="422"/>
      <c r="L459" s="426"/>
    </row>
    <row r="460" spans="2:12" x14ac:dyDescent="0.35">
      <c r="B460" s="421" t="str">
        <f>IF(Lançamentos!$B455="","",Lançamentos!$B455)</f>
        <v/>
      </c>
      <c r="C460" s="422" t="str">
        <f>IF($B460="","",IFERROR(INDEX(Lançamentos!$J$3:$J$1001,MATCH($B460,Lançamentos!$B$3:$B$1001,0)),""))</f>
        <v/>
      </c>
      <c r="D460" s="423" t="str">
        <f>IF($B460="","",IFERROR(INDEX('E2 — Triagem'!$D$8:$D$507,MATCH($B460,'E2 — Triagem'!$B$8:$B$507,0)),""))</f>
        <v/>
      </c>
      <c r="E460" s="423"/>
      <c r="F460" s="423"/>
      <c r="G460" s="423"/>
      <c r="H460" s="423"/>
      <c r="I460" s="424"/>
      <c r="J460" s="425" t="str">
        <f t="shared" si="7"/>
        <v/>
      </c>
      <c r="K460" s="422"/>
      <c r="L460" s="426"/>
    </row>
    <row r="461" spans="2:12" x14ac:dyDescent="0.35">
      <c r="B461" s="421" t="str">
        <f>IF(Lançamentos!$B456="","",Lançamentos!$B456)</f>
        <v/>
      </c>
      <c r="C461" s="422" t="str">
        <f>IF($B461="","",IFERROR(INDEX(Lançamentos!$J$3:$J$1001,MATCH($B461,Lançamentos!$B$3:$B$1001,0)),""))</f>
        <v/>
      </c>
      <c r="D461" s="423" t="str">
        <f>IF($B461="","",IFERROR(INDEX('E2 — Triagem'!$D$8:$D$507,MATCH($B461,'E2 — Triagem'!$B$8:$B$507,0)),""))</f>
        <v/>
      </c>
      <c r="E461" s="423"/>
      <c r="F461" s="423"/>
      <c r="G461" s="423"/>
      <c r="H461" s="423"/>
      <c r="I461" s="424"/>
      <c r="J461" s="425" t="str">
        <f t="shared" si="7"/>
        <v/>
      </c>
      <c r="K461" s="422"/>
      <c r="L461" s="426"/>
    </row>
    <row r="462" spans="2:12" x14ac:dyDescent="0.35">
      <c r="B462" s="421" t="str">
        <f>IF(Lançamentos!$B457="","",Lançamentos!$B457)</f>
        <v/>
      </c>
      <c r="C462" s="422" t="str">
        <f>IF($B462="","",IFERROR(INDEX(Lançamentos!$J$3:$J$1001,MATCH($B462,Lançamentos!$B$3:$B$1001,0)),""))</f>
        <v/>
      </c>
      <c r="D462" s="423" t="str">
        <f>IF($B462="","",IFERROR(INDEX('E2 — Triagem'!$D$8:$D$507,MATCH($B462,'E2 — Triagem'!$B$8:$B$507,0)),""))</f>
        <v/>
      </c>
      <c r="E462" s="423"/>
      <c r="F462" s="423"/>
      <c r="G462" s="423"/>
      <c r="H462" s="423"/>
      <c r="I462" s="424"/>
      <c r="J462" s="425" t="str">
        <f t="shared" si="7"/>
        <v/>
      </c>
      <c r="K462" s="422"/>
      <c r="L462" s="426"/>
    </row>
    <row r="463" spans="2:12" x14ac:dyDescent="0.35">
      <c r="B463" s="421" t="str">
        <f>IF(Lançamentos!$B458="","",Lançamentos!$B458)</f>
        <v/>
      </c>
      <c r="C463" s="422" t="str">
        <f>IF($B463="","",IFERROR(INDEX(Lançamentos!$J$3:$J$1001,MATCH($B463,Lançamentos!$B$3:$B$1001,0)),""))</f>
        <v/>
      </c>
      <c r="D463" s="423" t="str">
        <f>IF($B463="","",IFERROR(INDEX('E2 — Triagem'!$D$8:$D$507,MATCH($B463,'E2 — Triagem'!$B$8:$B$507,0)),""))</f>
        <v/>
      </c>
      <c r="E463" s="423"/>
      <c r="F463" s="423"/>
      <c r="G463" s="423"/>
      <c r="H463" s="423"/>
      <c r="I463" s="424"/>
      <c r="J463" s="425" t="str">
        <f t="shared" si="7"/>
        <v/>
      </c>
      <c r="K463" s="422"/>
      <c r="L463" s="426"/>
    </row>
    <row r="464" spans="2:12" x14ac:dyDescent="0.35">
      <c r="B464" s="421" t="str">
        <f>IF(Lançamentos!$B459="","",Lançamentos!$B459)</f>
        <v/>
      </c>
      <c r="C464" s="422" t="str">
        <f>IF($B464="","",IFERROR(INDEX(Lançamentos!$J$3:$J$1001,MATCH($B464,Lançamentos!$B$3:$B$1001,0)),""))</f>
        <v/>
      </c>
      <c r="D464" s="423" t="str">
        <f>IF($B464="","",IFERROR(INDEX('E2 — Triagem'!$D$8:$D$507,MATCH($B464,'E2 — Triagem'!$B$8:$B$507,0)),""))</f>
        <v/>
      </c>
      <c r="E464" s="423"/>
      <c r="F464" s="423"/>
      <c r="G464" s="423"/>
      <c r="H464" s="423"/>
      <c r="I464" s="424"/>
      <c r="J464" s="425" t="str">
        <f t="shared" ref="J464:J507" si="8">IF(B464="","",IF(COUNTIF(E464:I464,"N/A")=5,0,IF(COUNTIF(E464:I464,"✔ Concluído")=5,1,MIN(99%,COUNTIF(E464:I464,"✔ Concluído")/(5-COUNTIF(E464:I464,"N/A"))))))</f>
        <v/>
      </c>
      <c r="K464" s="422"/>
      <c r="L464" s="426"/>
    </row>
    <row r="465" spans="2:12" x14ac:dyDescent="0.35">
      <c r="B465" s="421" t="str">
        <f>IF(Lançamentos!$B460="","",Lançamentos!$B460)</f>
        <v/>
      </c>
      <c r="C465" s="422" t="str">
        <f>IF($B465="","",IFERROR(INDEX(Lançamentos!$J$3:$J$1001,MATCH($B465,Lançamentos!$B$3:$B$1001,0)),""))</f>
        <v/>
      </c>
      <c r="D465" s="423" t="str">
        <f>IF($B465="","",IFERROR(INDEX('E2 — Triagem'!$D$8:$D$507,MATCH($B465,'E2 — Triagem'!$B$8:$B$507,0)),""))</f>
        <v/>
      </c>
      <c r="E465" s="423"/>
      <c r="F465" s="423"/>
      <c r="G465" s="423"/>
      <c r="H465" s="423"/>
      <c r="I465" s="424"/>
      <c r="J465" s="425" t="str">
        <f t="shared" si="8"/>
        <v/>
      </c>
      <c r="K465" s="422"/>
      <c r="L465" s="426"/>
    </row>
    <row r="466" spans="2:12" x14ac:dyDescent="0.35">
      <c r="B466" s="421" t="str">
        <f>IF(Lançamentos!$B461="","",Lançamentos!$B461)</f>
        <v/>
      </c>
      <c r="C466" s="422" t="str">
        <f>IF($B466="","",IFERROR(INDEX(Lançamentos!$J$3:$J$1001,MATCH($B466,Lançamentos!$B$3:$B$1001,0)),""))</f>
        <v/>
      </c>
      <c r="D466" s="423" t="str">
        <f>IF($B466="","",IFERROR(INDEX('E2 — Triagem'!$D$8:$D$507,MATCH($B466,'E2 — Triagem'!$B$8:$B$507,0)),""))</f>
        <v/>
      </c>
      <c r="E466" s="423"/>
      <c r="F466" s="423"/>
      <c r="G466" s="423"/>
      <c r="H466" s="423"/>
      <c r="I466" s="424"/>
      <c r="J466" s="425" t="str">
        <f t="shared" si="8"/>
        <v/>
      </c>
      <c r="K466" s="422"/>
      <c r="L466" s="426"/>
    </row>
    <row r="467" spans="2:12" x14ac:dyDescent="0.35">
      <c r="B467" s="421" t="str">
        <f>IF(Lançamentos!$B462="","",Lançamentos!$B462)</f>
        <v/>
      </c>
      <c r="C467" s="422" t="str">
        <f>IF($B467="","",IFERROR(INDEX(Lançamentos!$J$3:$J$1001,MATCH($B467,Lançamentos!$B$3:$B$1001,0)),""))</f>
        <v/>
      </c>
      <c r="D467" s="423" t="str">
        <f>IF($B467="","",IFERROR(INDEX('E2 — Triagem'!$D$8:$D$507,MATCH($B467,'E2 — Triagem'!$B$8:$B$507,0)),""))</f>
        <v/>
      </c>
      <c r="E467" s="423"/>
      <c r="F467" s="423"/>
      <c r="G467" s="423"/>
      <c r="H467" s="423"/>
      <c r="I467" s="424"/>
      <c r="J467" s="425" t="str">
        <f t="shared" si="8"/>
        <v/>
      </c>
      <c r="K467" s="422"/>
      <c r="L467" s="426"/>
    </row>
    <row r="468" spans="2:12" x14ac:dyDescent="0.35">
      <c r="B468" s="421" t="str">
        <f>IF(Lançamentos!$B463="","",Lançamentos!$B463)</f>
        <v/>
      </c>
      <c r="C468" s="422" t="str">
        <f>IF($B468="","",IFERROR(INDEX(Lançamentos!$J$3:$J$1001,MATCH($B468,Lançamentos!$B$3:$B$1001,0)),""))</f>
        <v/>
      </c>
      <c r="D468" s="423" t="str">
        <f>IF($B468="","",IFERROR(INDEX('E2 — Triagem'!$D$8:$D$507,MATCH($B468,'E2 — Triagem'!$B$8:$B$507,0)),""))</f>
        <v/>
      </c>
      <c r="E468" s="423"/>
      <c r="F468" s="423"/>
      <c r="G468" s="423"/>
      <c r="H468" s="423"/>
      <c r="I468" s="424"/>
      <c r="J468" s="425" t="str">
        <f t="shared" si="8"/>
        <v/>
      </c>
      <c r="K468" s="422"/>
      <c r="L468" s="426"/>
    </row>
    <row r="469" spans="2:12" x14ac:dyDescent="0.35">
      <c r="B469" s="421" t="str">
        <f>IF(Lançamentos!$B464="","",Lançamentos!$B464)</f>
        <v/>
      </c>
      <c r="C469" s="422" t="str">
        <f>IF($B469="","",IFERROR(INDEX(Lançamentos!$J$3:$J$1001,MATCH($B469,Lançamentos!$B$3:$B$1001,0)),""))</f>
        <v/>
      </c>
      <c r="D469" s="423" t="str">
        <f>IF($B469="","",IFERROR(INDEX('E2 — Triagem'!$D$8:$D$507,MATCH($B469,'E2 — Triagem'!$B$8:$B$507,0)),""))</f>
        <v/>
      </c>
      <c r="E469" s="423"/>
      <c r="F469" s="423"/>
      <c r="G469" s="423"/>
      <c r="H469" s="423"/>
      <c r="I469" s="424"/>
      <c r="J469" s="425" t="str">
        <f t="shared" si="8"/>
        <v/>
      </c>
      <c r="K469" s="422"/>
      <c r="L469" s="426"/>
    </row>
    <row r="470" spans="2:12" x14ac:dyDescent="0.35">
      <c r="B470" s="421" t="str">
        <f>IF(Lançamentos!$B465="","",Lançamentos!$B465)</f>
        <v/>
      </c>
      <c r="C470" s="422" t="str">
        <f>IF($B470="","",IFERROR(INDEX(Lançamentos!$J$3:$J$1001,MATCH($B470,Lançamentos!$B$3:$B$1001,0)),""))</f>
        <v/>
      </c>
      <c r="D470" s="423" t="str">
        <f>IF($B470="","",IFERROR(INDEX('E2 — Triagem'!$D$8:$D$507,MATCH($B470,'E2 — Triagem'!$B$8:$B$507,0)),""))</f>
        <v/>
      </c>
      <c r="E470" s="423"/>
      <c r="F470" s="423"/>
      <c r="G470" s="423"/>
      <c r="H470" s="423"/>
      <c r="I470" s="424"/>
      <c r="J470" s="425" t="str">
        <f t="shared" si="8"/>
        <v/>
      </c>
      <c r="K470" s="422"/>
      <c r="L470" s="426"/>
    </row>
    <row r="471" spans="2:12" x14ac:dyDescent="0.35">
      <c r="B471" s="421" t="str">
        <f>IF(Lançamentos!$B466="","",Lançamentos!$B466)</f>
        <v/>
      </c>
      <c r="C471" s="422" t="str">
        <f>IF($B471="","",IFERROR(INDEX(Lançamentos!$J$3:$J$1001,MATCH($B471,Lançamentos!$B$3:$B$1001,0)),""))</f>
        <v/>
      </c>
      <c r="D471" s="423" t="str">
        <f>IF($B471="","",IFERROR(INDEX('E2 — Triagem'!$D$8:$D$507,MATCH($B471,'E2 — Triagem'!$B$8:$B$507,0)),""))</f>
        <v/>
      </c>
      <c r="E471" s="423"/>
      <c r="F471" s="423"/>
      <c r="G471" s="423"/>
      <c r="H471" s="423"/>
      <c r="I471" s="424"/>
      <c r="J471" s="425" t="str">
        <f t="shared" si="8"/>
        <v/>
      </c>
      <c r="K471" s="422"/>
      <c r="L471" s="426"/>
    </row>
    <row r="472" spans="2:12" x14ac:dyDescent="0.35">
      <c r="B472" s="421" t="str">
        <f>IF(Lançamentos!$B467="","",Lançamentos!$B467)</f>
        <v/>
      </c>
      <c r="C472" s="422" t="str">
        <f>IF($B472="","",IFERROR(INDEX(Lançamentos!$J$3:$J$1001,MATCH($B472,Lançamentos!$B$3:$B$1001,0)),""))</f>
        <v/>
      </c>
      <c r="D472" s="423" t="str">
        <f>IF($B472="","",IFERROR(INDEX('E2 — Triagem'!$D$8:$D$507,MATCH($B472,'E2 — Triagem'!$B$8:$B$507,0)),""))</f>
        <v/>
      </c>
      <c r="E472" s="423"/>
      <c r="F472" s="423"/>
      <c r="G472" s="423"/>
      <c r="H472" s="423"/>
      <c r="I472" s="424"/>
      <c r="J472" s="425" t="str">
        <f t="shared" si="8"/>
        <v/>
      </c>
      <c r="K472" s="422"/>
      <c r="L472" s="426"/>
    </row>
    <row r="473" spans="2:12" x14ac:dyDescent="0.35">
      <c r="B473" s="421" t="str">
        <f>IF(Lançamentos!$B468="","",Lançamentos!$B468)</f>
        <v/>
      </c>
      <c r="C473" s="422" t="str">
        <f>IF($B473="","",IFERROR(INDEX(Lançamentos!$J$3:$J$1001,MATCH($B473,Lançamentos!$B$3:$B$1001,0)),""))</f>
        <v/>
      </c>
      <c r="D473" s="423" t="str">
        <f>IF($B473="","",IFERROR(INDEX('E2 — Triagem'!$D$8:$D$507,MATCH($B473,'E2 — Triagem'!$B$8:$B$507,0)),""))</f>
        <v/>
      </c>
      <c r="E473" s="423"/>
      <c r="F473" s="423"/>
      <c r="G473" s="423"/>
      <c r="H473" s="423"/>
      <c r="I473" s="424"/>
      <c r="J473" s="425" t="str">
        <f t="shared" si="8"/>
        <v/>
      </c>
      <c r="K473" s="422"/>
      <c r="L473" s="426"/>
    </row>
    <row r="474" spans="2:12" x14ac:dyDescent="0.35">
      <c r="B474" s="421" t="str">
        <f>IF(Lançamentos!$B469="","",Lançamentos!$B469)</f>
        <v/>
      </c>
      <c r="C474" s="422" t="str">
        <f>IF($B474="","",IFERROR(INDEX(Lançamentos!$J$3:$J$1001,MATCH($B474,Lançamentos!$B$3:$B$1001,0)),""))</f>
        <v/>
      </c>
      <c r="D474" s="423" t="str">
        <f>IF($B474="","",IFERROR(INDEX('E2 — Triagem'!$D$8:$D$507,MATCH($B474,'E2 — Triagem'!$B$8:$B$507,0)),""))</f>
        <v/>
      </c>
      <c r="E474" s="423"/>
      <c r="F474" s="423"/>
      <c r="G474" s="423"/>
      <c r="H474" s="423"/>
      <c r="I474" s="424"/>
      <c r="J474" s="425" t="str">
        <f t="shared" si="8"/>
        <v/>
      </c>
      <c r="K474" s="422"/>
      <c r="L474" s="426"/>
    </row>
    <row r="475" spans="2:12" x14ac:dyDescent="0.35">
      <c r="B475" s="421" t="str">
        <f>IF(Lançamentos!$B470="","",Lançamentos!$B470)</f>
        <v/>
      </c>
      <c r="C475" s="422" t="str">
        <f>IF($B475="","",IFERROR(INDEX(Lançamentos!$J$3:$J$1001,MATCH($B475,Lançamentos!$B$3:$B$1001,0)),""))</f>
        <v/>
      </c>
      <c r="D475" s="423" t="str">
        <f>IF($B475="","",IFERROR(INDEX('E2 — Triagem'!$D$8:$D$507,MATCH($B475,'E2 — Triagem'!$B$8:$B$507,0)),""))</f>
        <v/>
      </c>
      <c r="E475" s="423"/>
      <c r="F475" s="423"/>
      <c r="G475" s="423"/>
      <c r="H475" s="423"/>
      <c r="I475" s="424"/>
      <c r="J475" s="425" t="str">
        <f t="shared" si="8"/>
        <v/>
      </c>
      <c r="K475" s="422"/>
      <c r="L475" s="426"/>
    </row>
    <row r="476" spans="2:12" x14ac:dyDescent="0.35">
      <c r="B476" s="421" t="str">
        <f>IF(Lançamentos!$B471="","",Lançamentos!$B471)</f>
        <v/>
      </c>
      <c r="C476" s="422" t="str">
        <f>IF($B476="","",IFERROR(INDEX(Lançamentos!$J$3:$J$1001,MATCH($B476,Lançamentos!$B$3:$B$1001,0)),""))</f>
        <v/>
      </c>
      <c r="D476" s="423" t="str">
        <f>IF($B476="","",IFERROR(INDEX('E2 — Triagem'!$D$8:$D$507,MATCH($B476,'E2 — Triagem'!$B$8:$B$507,0)),""))</f>
        <v/>
      </c>
      <c r="E476" s="423"/>
      <c r="F476" s="423"/>
      <c r="G476" s="423"/>
      <c r="H476" s="423"/>
      <c r="I476" s="424"/>
      <c r="J476" s="425" t="str">
        <f t="shared" si="8"/>
        <v/>
      </c>
      <c r="K476" s="422"/>
      <c r="L476" s="426"/>
    </row>
    <row r="477" spans="2:12" x14ac:dyDescent="0.35">
      <c r="B477" s="421" t="str">
        <f>IF(Lançamentos!$B472="","",Lançamentos!$B472)</f>
        <v/>
      </c>
      <c r="C477" s="422" t="str">
        <f>IF($B477="","",IFERROR(INDEX(Lançamentos!$J$3:$J$1001,MATCH($B477,Lançamentos!$B$3:$B$1001,0)),""))</f>
        <v/>
      </c>
      <c r="D477" s="423" t="str">
        <f>IF($B477="","",IFERROR(INDEX('E2 — Triagem'!$D$8:$D$507,MATCH($B477,'E2 — Triagem'!$B$8:$B$507,0)),""))</f>
        <v/>
      </c>
      <c r="E477" s="423"/>
      <c r="F477" s="423"/>
      <c r="G477" s="423"/>
      <c r="H477" s="423"/>
      <c r="I477" s="424"/>
      <c r="J477" s="425" t="str">
        <f t="shared" si="8"/>
        <v/>
      </c>
      <c r="K477" s="422"/>
      <c r="L477" s="426"/>
    </row>
    <row r="478" spans="2:12" x14ac:dyDescent="0.35">
      <c r="B478" s="421" t="str">
        <f>IF(Lançamentos!$B473="","",Lançamentos!$B473)</f>
        <v/>
      </c>
      <c r="C478" s="422" t="str">
        <f>IF($B478="","",IFERROR(INDEX(Lançamentos!$J$3:$J$1001,MATCH($B478,Lançamentos!$B$3:$B$1001,0)),""))</f>
        <v/>
      </c>
      <c r="D478" s="423" t="str">
        <f>IF($B478="","",IFERROR(INDEX('E2 — Triagem'!$D$8:$D$507,MATCH($B478,'E2 — Triagem'!$B$8:$B$507,0)),""))</f>
        <v/>
      </c>
      <c r="E478" s="423"/>
      <c r="F478" s="423"/>
      <c r="G478" s="423"/>
      <c r="H478" s="423"/>
      <c r="I478" s="424"/>
      <c r="J478" s="425" t="str">
        <f t="shared" si="8"/>
        <v/>
      </c>
      <c r="K478" s="422"/>
      <c r="L478" s="426"/>
    </row>
    <row r="479" spans="2:12" x14ac:dyDescent="0.35">
      <c r="B479" s="421" t="str">
        <f>IF(Lançamentos!$B474="","",Lançamentos!$B474)</f>
        <v/>
      </c>
      <c r="C479" s="422" t="str">
        <f>IF($B479="","",IFERROR(INDEX(Lançamentos!$J$3:$J$1001,MATCH($B479,Lançamentos!$B$3:$B$1001,0)),""))</f>
        <v/>
      </c>
      <c r="D479" s="423" t="str">
        <f>IF($B479="","",IFERROR(INDEX('E2 — Triagem'!$D$8:$D$507,MATCH($B479,'E2 — Triagem'!$B$8:$B$507,0)),""))</f>
        <v/>
      </c>
      <c r="E479" s="423"/>
      <c r="F479" s="423"/>
      <c r="G479" s="423"/>
      <c r="H479" s="423"/>
      <c r="I479" s="424"/>
      <c r="J479" s="425" t="str">
        <f t="shared" si="8"/>
        <v/>
      </c>
      <c r="K479" s="422"/>
      <c r="L479" s="426"/>
    </row>
    <row r="480" spans="2:12" x14ac:dyDescent="0.35">
      <c r="B480" s="421" t="str">
        <f>IF(Lançamentos!$B475="","",Lançamentos!$B475)</f>
        <v/>
      </c>
      <c r="C480" s="422" t="str">
        <f>IF($B480="","",IFERROR(INDEX(Lançamentos!$J$3:$J$1001,MATCH($B480,Lançamentos!$B$3:$B$1001,0)),""))</f>
        <v/>
      </c>
      <c r="D480" s="423" t="str">
        <f>IF($B480="","",IFERROR(INDEX('E2 — Triagem'!$D$8:$D$507,MATCH($B480,'E2 — Triagem'!$B$8:$B$507,0)),""))</f>
        <v/>
      </c>
      <c r="E480" s="423"/>
      <c r="F480" s="423"/>
      <c r="G480" s="423"/>
      <c r="H480" s="423"/>
      <c r="I480" s="424"/>
      <c r="J480" s="425" t="str">
        <f t="shared" si="8"/>
        <v/>
      </c>
      <c r="K480" s="422"/>
      <c r="L480" s="426"/>
    </row>
    <row r="481" spans="2:12" x14ac:dyDescent="0.35">
      <c r="B481" s="421" t="str">
        <f>IF(Lançamentos!$B476="","",Lançamentos!$B476)</f>
        <v/>
      </c>
      <c r="C481" s="422" t="str">
        <f>IF($B481="","",IFERROR(INDEX(Lançamentos!$J$3:$J$1001,MATCH($B481,Lançamentos!$B$3:$B$1001,0)),""))</f>
        <v/>
      </c>
      <c r="D481" s="423" t="str">
        <f>IF($B481="","",IFERROR(INDEX('E2 — Triagem'!$D$8:$D$507,MATCH($B481,'E2 — Triagem'!$B$8:$B$507,0)),""))</f>
        <v/>
      </c>
      <c r="E481" s="423"/>
      <c r="F481" s="423"/>
      <c r="G481" s="423"/>
      <c r="H481" s="423"/>
      <c r="I481" s="424"/>
      <c r="J481" s="425" t="str">
        <f t="shared" si="8"/>
        <v/>
      </c>
      <c r="K481" s="422"/>
      <c r="L481" s="426"/>
    </row>
    <row r="482" spans="2:12" x14ac:dyDescent="0.35">
      <c r="B482" s="421" t="str">
        <f>IF(Lançamentos!$B477="","",Lançamentos!$B477)</f>
        <v/>
      </c>
      <c r="C482" s="422" t="str">
        <f>IF($B482="","",IFERROR(INDEX(Lançamentos!$J$3:$J$1001,MATCH($B482,Lançamentos!$B$3:$B$1001,0)),""))</f>
        <v/>
      </c>
      <c r="D482" s="423" t="str">
        <f>IF($B482="","",IFERROR(INDEX('E2 — Triagem'!$D$8:$D$507,MATCH($B482,'E2 — Triagem'!$B$8:$B$507,0)),""))</f>
        <v/>
      </c>
      <c r="E482" s="423"/>
      <c r="F482" s="423"/>
      <c r="G482" s="423"/>
      <c r="H482" s="423"/>
      <c r="I482" s="424"/>
      <c r="J482" s="425" t="str">
        <f t="shared" si="8"/>
        <v/>
      </c>
      <c r="K482" s="422"/>
      <c r="L482" s="426"/>
    </row>
    <row r="483" spans="2:12" x14ac:dyDescent="0.35">
      <c r="B483" s="421" t="str">
        <f>IF(Lançamentos!$B478="","",Lançamentos!$B478)</f>
        <v/>
      </c>
      <c r="C483" s="422" t="str">
        <f>IF($B483="","",IFERROR(INDEX(Lançamentos!$J$3:$J$1001,MATCH($B483,Lançamentos!$B$3:$B$1001,0)),""))</f>
        <v/>
      </c>
      <c r="D483" s="423" t="str">
        <f>IF($B483="","",IFERROR(INDEX('E2 — Triagem'!$D$8:$D$507,MATCH($B483,'E2 — Triagem'!$B$8:$B$507,0)),""))</f>
        <v/>
      </c>
      <c r="E483" s="423"/>
      <c r="F483" s="423"/>
      <c r="G483" s="423"/>
      <c r="H483" s="423"/>
      <c r="I483" s="424"/>
      <c r="J483" s="425" t="str">
        <f t="shared" si="8"/>
        <v/>
      </c>
      <c r="K483" s="422"/>
      <c r="L483" s="426"/>
    </row>
    <row r="484" spans="2:12" x14ac:dyDescent="0.35">
      <c r="B484" s="421" t="str">
        <f>IF(Lançamentos!$B479="","",Lançamentos!$B479)</f>
        <v/>
      </c>
      <c r="C484" s="422" t="str">
        <f>IF($B484="","",IFERROR(INDEX(Lançamentos!$J$3:$J$1001,MATCH($B484,Lançamentos!$B$3:$B$1001,0)),""))</f>
        <v/>
      </c>
      <c r="D484" s="423" t="str">
        <f>IF($B484="","",IFERROR(INDEX('E2 — Triagem'!$D$8:$D$507,MATCH($B484,'E2 — Triagem'!$B$8:$B$507,0)),""))</f>
        <v/>
      </c>
      <c r="E484" s="423"/>
      <c r="F484" s="423"/>
      <c r="G484" s="423"/>
      <c r="H484" s="423"/>
      <c r="I484" s="424"/>
      <c r="J484" s="425" t="str">
        <f t="shared" si="8"/>
        <v/>
      </c>
      <c r="K484" s="422"/>
      <c r="L484" s="426"/>
    </row>
    <row r="485" spans="2:12" x14ac:dyDescent="0.35">
      <c r="B485" s="421" t="str">
        <f>IF(Lançamentos!$B480="","",Lançamentos!$B480)</f>
        <v/>
      </c>
      <c r="C485" s="422" t="str">
        <f>IF($B485="","",IFERROR(INDEX(Lançamentos!$J$3:$J$1001,MATCH($B485,Lançamentos!$B$3:$B$1001,0)),""))</f>
        <v/>
      </c>
      <c r="D485" s="423" t="str">
        <f>IF($B485="","",IFERROR(INDEX('E2 — Triagem'!$D$8:$D$507,MATCH($B485,'E2 — Triagem'!$B$8:$B$507,0)),""))</f>
        <v/>
      </c>
      <c r="E485" s="423"/>
      <c r="F485" s="423"/>
      <c r="G485" s="423"/>
      <c r="H485" s="423"/>
      <c r="I485" s="424"/>
      <c r="J485" s="425" t="str">
        <f t="shared" si="8"/>
        <v/>
      </c>
      <c r="K485" s="422"/>
      <c r="L485" s="426"/>
    </row>
    <row r="486" spans="2:12" x14ac:dyDescent="0.35">
      <c r="B486" s="421" t="str">
        <f>IF(Lançamentos!$B481="","",Lançamentos!$B481)</f>
        <v/>
      </c>
      <c r="C486" s="422" t="str">
        <f>IF($B486="","",IFERROR(INDEX(Lançamentos!$J$3:$J$1001,MATCH($B486,Lançamentos!$B$3:$B$1001,0)),""))</f>
        <v/>
      </c>
      <c r="D486" s="423" t="str">
        <f>IF($B486="","",IFERROR(INDEX('E2 — Triagem'!$D$8:$D$507,MATCH($B486,'E2 — Triagem'!$B$8:$B$507,0)),""))</f>
        <v/>
      </c>
      <c r="E486" s="423"/>
      <c r="F486" s="423"/>
      <c r="G486" s="423"/>
      <c r="H486" s="423"/>
      <c r="I486" s="424"/>
      <c r="J486" s="425" t="str">
        <f t="shared" si="8"/>
        <v/>
      </c>
      <c r="K486" s="422"/>
      <c r="L486" s="426"/>
    </row>
    <row r="487" spans="2:12" x14ac:dyDescent="0.35">
      <c r="B487" s="421" t="str">
        <f>IF(Lançamentos!$B482="","",Lançamentos!$B482)</f>
        <v/>
      </c>
      <c r="C487" s="422" t="str">
        <f>IF($B487="","",IFERROR(INDEX(Lançamentos!$J$3:$J$1001,MATCH($B487,Lançamentos!$B$3:$B$1001,0)),""))</f>
        <v/>
      </c>
      <c r="D487" s="423" t="str">
        <f>IF($B487="","",IFERROR(INDEX('E2 — Triagem'!$D$8:$D$507,MATCH($B487,'E2 — Triagem'!$B$8:$B$507,0)),""))</f>
        <v/>
      </c>
      <c r="E487" s="423"/>
      <c r="F487" s="423"/>
      <c r="G487" s="423"/>
      <c r="H487" s="423"/>
      <c r="I487" s="424"/>
      <c r="J487" s="425" t="str">
        <f t="shared" si="8"/>
        <v/>
      </c>
      <c r="K487" s="422"/>
      <c r="L487" s="426"/>
    </row>
    <row r="488" spans="2:12" x14ac:dyDescent="0.35">
      <c r="B488" s="421" t="str">
        <f>IF(Lançamentos!$B483="","",Lançamentos!$B483)</f>
        <v/>
      </c>
      <c r="C488" s="422" t="str">
        <f>IF($B488="","",IFERROR(INDEX(Lançamentos!$J$3:$J$1001,MATCH($B488,Lançamentos!$B$3:$B$1001,0)),""))</f>
        <v/>
      </c>
      <c r="D488" s="423" t="str">
        <f>IF($B488="","",IFERROR(INDEX('E2 — Triagem'!$D$8:$D$507,MATCH($B488,'E2 — Triagem'!$B$8:$B$507,0)),""))</f>
        <v/>
      </c>
      <c r="E488" s="423"/>
      <c r="F488" s="423"/>
      <c r="G488" s="423"/>
      <c r="H488" s="423"/>
      <c r="I488" s="424"/>
      <c r="J488" s="425" t="str">
        <f t="shared" si="8"/>
        <v/>
      </c>
      <c r="K488" s="422"/>
      <c r="L488" s="426"/>
    </row>
    <row r="489" spans="2:12" x14ac:dyDescent="0.35">
      <c r="B489" s="421" t="str">
        <f>IF(Lançamentos!$B484="","",Lançamentos!$B484)</f>
        <v/>
      </c>
      <c r="C489" s="422" t="str">
        <f>IF($B489="","",IFERROR(INDEX(Lançamentos!$J$3:$J$1001,MATCH($B489,Lançamentos!$B$3:$B$1001,0)),""))</f>
        <v/>
      </c>
      <c r="D489" s="423" t="str">
        <f>IF($B489="","",IFERROR(INDEX('E2 — Triagem'!$D$8:$D$507,MATCH($B489,'E2 — Triagem'!$B$8:$B$507,0)),""))</f>
        <v/>
      </c>
      <c r="E489" s="423"/>
      <c r="F489" s="423"/>
      <c r="G489" s="423"/>
      <c r="H489" s="423"/>
      <c r="I489" s="424"/>
      <c r="J489" s="425" t="str">
        <f t="shared" si="8"/>
        <v/>
      </c>
      <c r="K489" s="422"/>
      <c r="L489" s="426"/>
    </row>
    <row r="490" spans="2:12" x14ac:dyDescent="0.35">
      <c r="B490" s="421" t="str">
        <f>IF(Lançamentos!$B485="","",Lançamentos!$B485)</f>
        <v/>
      </c>
      <c r="C490" s="422" t="str">
        <f>IF($B490="","",IFERROR(INDEX(Lançamentos!$J$3:$J$1001,MATCH($B490,Lançamentos!$B$3:$B$1001,0)),""))</f>
        <v/>
      </c>
      <c r="D490" s="423" t="str">
        <f>IF($B490="","",IFERROR(INDEX('E2 — Triagem'!$D$8:$D$507,MATCH($B490,'E2 — Triagem'!$B$8:$B$507,0)),""))</f>
        <v/>
      </c>
      <c r="E490" s="423"/>
      <c r="F490" s="423"/>
      <c r="G490" s="423"/>
      <c r="H490" s="423"/>
      <c r="I490" s="424"/>
      <c r="J490" s="425" t="str">
        <f t="shared" si="8"/>
        <v/>
      </c>
      <c r="K490" s="422"/>
      <c r="L490" s="426"/>
    </row>
    <row r="491" spans="2:12" x14ac:dyDescent="0.35">
      <c r="B491" s="421" t="str">
        <f>IF(Lançamentos!$B486="","",Lançamentos!$B486)</f>
        <v/>
      </c>
      <c r="C491" s="422" t="str">
        <f>IF($B491="","",IFERROR(INDEX(Lançamentos!$J$3:$J$1001,MATCH($B491,Lançamentos!$B$3:$B$1001,0)),""))</f>
        <v/>
      </c>
      <c r="D491" s="423" t="str">
        <f>IF($B491="","",IFERROR(INDEX('E2 — Triagem'!$D$8:$D$507,MATCH($B491,'E2 — Triagem'!$B$8:$B$507,0)),""))</f>
        <v/>
      </c>
      <c r="E491" s="423"/>
      <c r="F491" s="423"/>
      <c r="G491" s="423"/>
      <c r="H491" s="423"/>
      <c r="I491" s="424"/>
      <c r="J491" s="425" t="str">
        <f t="shared" si="8"/>
        <v/>
      </c>
      <c r="K491" s="422"/>
      <c r="L491" s="426"/>
    </row>
    <row r="492" spans="2:12" x14ac:dyDescent="0.35">
      <c r="B492" s="421" t="str">
        <f>IF(Lançamentos!$B487="","",Lançamentos!$B487)</f>
        <v/>
      </c>
      <c r="C492" s="422" t="str">
        <f>IF($B492="","",IFERROR(INDEX(Lançamentos!$J$3:$J$1001,MATCH($B492,Lançamentos!$B$3:$B$1001,0)),""))</f>
        <v/>
      </c>
      <c r="D492" s="423" t="str">
        <f>IF($B492="","",IFERROR(INDEX('E2 — Triagem'!$D$8:$D$507,MATCH($B492,'E2 — Triagem'!$B$8:$B$507,0)),""))</f>
        <v/>
      </c>
      <c r="E492" s="423"/>
      <c r="F492" s="423"/>
      <c r="G492" s="423"/>
      <c r="H492" s="423"/>
      <c r="I492" s="424"/>
      <c r="J492" s="425" t="str">
        <f t="shared" si="8"/>
        <v/>
      </c>
      <c r="K492" s="422"/>
      <c r="L492" s="426"/>
    </row>
    <row r="493" spans="2:12" x14ac:dyDescent="0.35">
      <c r="B493" s="421" t="str">
        <f>IF(Lançamentos!$B488="","",Lançamentos!$B488)</f>
        <v/>
      </c>
      <c r="C493" s="422" t="str">
        <f>IF($B493="","",IFERROR(INDEX(Lançamentos!$J$3:$J$1001,MATCH($B493,Lançamentos!$B$3:$B$1001,0)),""))</f>
        <v/>
      </c>
      <c r="D493" s="423" t="str">
        <f>IF($B493="","",IFERROR(INDEX('E2 — Triagem'!$D$8:$D$507,MATCH($B493,'E2 — Triagem'!$B$8:$B$507,0)),""))</f>
        <v/>
      </c>
      <c r="E493" s="423"/>
      <c r="F493" s="423"/>
      <c r="G493" s="423"/>
      <c r="H493" s="423"/>
      <c r="I493" s="424"/>
      <c r="J493" s="425" t="str">
        <f t="shared" si="8"/>
        <v/>
      </c>
      <c r="K493" s="422"/>
      <c r="L493" s="426"/>
    </row>
    <row r="494" spans="2:12" x14ac:dyDescent="0.35">
      <c r="B494" s="421" t="str">
        <f>IF(Lançamentos!$B489="","",Lançamentos!$B489)</f>
        <v/>
      </c>
      <c r="C494" s="422" t="str">
        <f>IF($B494="","",IFERROR(INDEX(Lançamentos!$J$3:$J$1001,MATCH($B494,Lançamentos!$B$3:$B$1001,0)),""))</f>
        <v/>
      </c>
      <c r="D494" s="423" t="str">
        <f>IF($B494="","",IFERROR(INDEX('E2 — Triagem'!$D$8:$D$507,MATCH($B494,'E2 — Triagem'!$B$8:$B$507,0)),""))</f>
        <v/>
      </c>
      <c r="E494" s="423"/>
      <c r="F494" s="423"/>
      <c r="G494" s="423"/>
      <c r="H494" s="423"/>
      <c r="I494" s="424"/>
      <c r="J494" s="425" t="str">
        <f t="shared" si="8"/>
        <v/>
      </c>
      <c r="K494" s="422"/>
      <c r="L494" s="426"/>
    </row>
    <row r="495" spans="2:12" x14ac:dyDescent="0.35">
      <c r="B495" s="421" t="str">
        <f>IF(Lançamentos!$B490="","",Lançamentos!$B490)</f>
        <v/>
      </c>
      <c r="C495" s="422" t="str">
        <f>IF($B495="","",IFERROR(INDEX(Lançamentos!$J$3:$J$1001,MATCH($B495,Lançamentos!$B$3:$B$1001,0)),""))</f>
        <v/>
      </c>
      <c r="D495" s="423" t="str">
        <f>IF($B495="","",IFERROR(INDEX('E2 — Triagem'!$D$8:$D$507,MATCH($B495,'E2 — Triagem'!$B$8:$B$507,0)),""))</f>
        <v/>
      </c>
      <c r="E495" s="423"/>
      <c r="F495" s="423"/>
      <c r="G495" s="423"/>
      <c r="H495" s="423"/>
      <c r="I495" s="424"/>
      <c r="J495" s="425" t="str">
        <f t="shared" si="8"/>
        <v/>
      </c>
      <c r="K495" s="422"/>
      <c r="L495" s="426"/>
    </row>
    <row r="496" spans="2:12" x14ac:dyDescent="0.35">
      <c r="B496" s="421" t="str">
        <f>IF(Lançamentos!$B491="","",Lançamentos!$B491)</f>
        <v/>
      </c>
      <c r="C496" s="422" t="str">
        <f>IF($B496="","",IFERROR(INDEX(Lançamentos!$J$3:$J$1001,MATCH($B496,Lançamentos!$B$3:$B$1001,0)),""))</f>
        <v/>
      </c>
      <c r="D496" s="423" t="str">
        <f>IF($B496="","",IFERROR(INDEX('E2 — Triagem'!$D$8:$D$507,MATCH($B496,'E2 — Triagem'!$B$8:$B$507,0)),""))</f>
        <v/>
      </c>
      <c r="E496" s="423"/>
      <c r="F496" s="423"/>
      <c r="G496" s="423"/>
      <c r="H496" s="423"/>
      <c r="I496" s="424"/>
      <c r="J496" s="425" t="str">
        <f t="shared" si="8"/>
        <v/>
      </c>
      <c r="K496" s="422"/>
      <c r="L496" s="426"/>
    </row>
    <row r="497" spans="2:12" x14ac:dyDescent="0.35">
      <c r="B497" s="421" t="str">
        <f>IF(Lançamentos!$B492="","",Lançamentos!$B492)</f>
        <v/>
      </c>
      <c r="C497" s="422" t="str">
        <f>IF($B497="","",IFERROR(INDEX(Lançamentos!$J$3:$J$1001,MATCH($B497,Lançamentos!$B$3:$B$1001,0)),""))</f>
        <v/>
      </c>
      <c r="D497" s="423" t="str">
        <f>IF($B497="","",IFERROR(INDEX('E2 — Triagem'!$D$8:$D$507,MATCH($B497,'E2 — Triagem'!$B$8:$B$507,0)),""))</f>
        <v/>
      </c>
      <c r="E497" s="423"/>
      <c r="F497" s="423"/>
      <c r="G497" s="423"/>
      <c r="H497" s="423"/>
      <c r="I497" s="424"/>
      <c r="J497" s="425" t="str">
        <f t="shared" si="8"/>
        <v/>
      </c>
      <c r="K497" s="422"/>
      <c r="L497" s="426"/>
    </row>
    <row r="498" spans="2:12" x14ac:dyDescent="0.35">
      <c r="B498" s="421" t="str">
        <f>IF(Lançamentos!$B493="","",Lançamentos!$B493)</f>
        <v/>
      </c>
      <c r="C498" s="422" t="str">
        <f>IF($B498="","",IFERROR(INDEX(Lançamentos!$J$3:$J$1001,MATCH($B498,Lançamentos!$B$3:$B$1001,0)),""))</f>
        <v/>
      </c>
      <c r="D498" s="423" t="str">
        <f>IF($B498="","",IFERROR(INDEX('E2 — Triagem'!$D$8:$D$507,MATCH($B498,'E2 — Triagem'!$B$8:$B$507,0)),""))</f>
        <v/>
      </c>
      <c r="E498" s="423"/>
      <c r="F498" s="423"/>
      <c r="G498" s="423"/>
      <c r="H498" s="423"/>
      <c r="I498" s="424"/>
      <c r="J498" s="425" t="str">
        <f t="shared" si="8"/>
        <v/>
      </c>
      <c r="K498" s="422"/>
      <c r="L498" s="426"/>
    </row>
    <row r="499" spans="2:12" x14ac:dyDescent="0.35">
      <c r="B499" s="421" t="str">
        <f>IF(Lançamentos!$B494="","",Lançamentos!$B494)</f>
        <v/>
      </c>
      <c r="C499" s="422" t="str">
        <f>IF($B499="","",IFERROR(INDEX(Lançamentos!$J$3:$J$1001,MATCH($B499,Lançamentos!$B$3:$B$1001,0)),""))</f>
        <v/>
      </c>
      <c r="D499" s="423" t="str">
        <f>IF($B499="","",IFERROR(INDEX('E2 — Triagem'!$D$8:$D$507,MATCH($B499,'E2 — Triagem'!$B$8:$B$507,0)),""))</f>
        <v/>
      </c>
      <c r="E499" s="423"/>
      <c r="F499" s="423"/>
      <c r="G499" s="423"/>
      <c r="H499" s="423"/>
      <c r="I499" s="424"/>
      <c r="J499" s="425" t="str">
        <f t="shared" si="8"/>
        <v/>
      </c>
      <c r="K499" s="422"/>
      <c r="L499" s="426"/>
    </row>
    <row r="500" spans="2:12" x14ac:dyDescent="0.35">
      <c r="B500" s="421" t="str">
        <f>IF(Lançamentos!$B495="","",Lançamentos!$B495)</f>
        <v/>
      </c>
      <c r="C500" s="422" t="str">
        <f>IF($B500="","",IFERROR(INDEX(Lançamentos!$J$3:$J$1001,MATCH($B500,Lançamentos!$B$3:$B$1001,0)),""))</f>
        <v/>
      </c>
      <c r="D500" s="423" t="str">
        <f>IF($B500="","",IFERROR(INDEX('E2 — Triagem'!$D$8:$D$507,MATCH($B500,'E2 — Triagem'!$B$8:$B$507,0)),""))</f>
        <v/>
      </c>
      <c r="E500" s="423"/>
      <c r="F500" s="423"/>
      <c r="G500" s="423"/>
      <c r="H500" s="423"/>
      <c r="I500" s="424"/>
      <c r="J500" s="425" t="str">
        <f t="shared" si="8"/>
        <v/>
      </c>
      <c r="K500" s="422"/>
      <c r="L500" s="426"/>
    </row>
    <row r="501" spans="2:12" x14ac:dyDescent="0.35">
      <c r="B501" s="421" t="str">
        <f>IF(Lançamentos!$B496="","",Lançamentos!$B496)</f>
        <v/>
      </c>
      <c r="C501" s="422" t="str">
        <f>IF($B501="","",IFERROR(INDEX(Lançamentos!$J$3:$J$1001,MATCH($B501,Lançamentos!$B$3:$B$1001,0)),""))</f>
        <v/>
      </c>
      <c r="D501" s="423" t="str">
        <f>IF($B501="","",IFERROR(INDEX('E2 — Triagem'!$D$8:$D$507,MATCH($B501,'E2 — Triagem'!$B$8:$B$507,0)),""))</f>
        <v/>
      </c>
      <c r="E501" s="423"/>
      <c r="F501" s="423"/>
      <c r="G501" s="423"/>
      <c r="H501" s="423"/>
      <c r="I501" s="424"/>
      <c r="J501" s="425" t="str">
        <f t="shared" si="8"/>
        <v/>
      </c>
      <c r="K501" s="422"/>
      <c r="L501" s="426"/>
    </row>
    <row r="502" spans="2:12" x14ac:dyDescent="0.35">
      <c r="B502" s="421" t="str">
        <f>IF(Lançamentos!$B497="","",Lançamentos!$B497)</f>
        <v/>
      </c>
      <c r="C502" s="422" t="str">
        <f>IF($B502="","",IFERROR(INDEX(Lançamentos!$J$3:$J$1001,MATCH($B502,Lançamentos!$B$3:$B$1001,0)),""))</f>
        <v/>
      </c>
      <c r="D502" s="423" t="str">
        <f>IF($B502="","",IFERROR(INDEX('E2 — Triagem'!$D$8:$D$507,MATCH($B502,'E2 — Triagem'!$B$8:$B$507,0)),""))</f>
        <v/>
      </c>
      <c r="E502" s="423"/>
      <c r="F502" s="423"/>
      <c r="G502" s="423"/>
      <c r="H502" s="423"/>
      <c r="I502" s="424"/>
      <c r="J502" s="425" t="str">
        <f t="shared" si="8"/>
        <v/>
      </c>
      <c r="K502" s="422"/>
      <c r="L502" s="426"/>
    </row>
    <row r="503" spans="2:12" x14ac:dyDescent="0.35">
      <c r="B503" s="421" t="str">
        <f>IF(Lançamentos!$B498="","",Lançamentos!$B498)</f>
        <v/>
      </c>
      <c r="C503" s="422" t="str">
        <f>IF($B503="","",IFERROR(INDEX(Lançamentos!$J$3:$J$1001,MATCH($B503,Lançamentos!$B$3:$B$1001,0)),""))</f>
        <v/>
      </c>
      <c r="D503" s="423" t="str">
        <f>IF($B503="","",IFERROR(INDEX('E2 — Triagem'!$D$8:$D$507,MATCH($B503,'E2 — Triagem'!$B$8:$B$507,0)),""))</f>
        <v/>
      </c>
      <c r="E503" s="423"/>
      <c r="F503" s="423"/>
      <c r="G503" s="423"/>
      <c r="H503" s="423"/>
      <c r="I503" s="424"/>
      <c r="J503" s="425" t="str">
        <f t="shared" si="8"/>
        <v/>
      </c>
      <c r="K503" s="422"/>
      <c r="L503" s="426"/>
    </row>
    <row r="504" spans="2:12" x14ac:dyDescent="0.35">
      <c r="B504" s="421" t="str">
        <f>IF(Lançamentos!$B499="","",Lançamentos!$B499)</f>
        <v/>
      </c>
      <c r="C504" s="422" t="str">
        <f>IF($B504="","",IFERROR(INDEX(Lançamentos!$J$3:$J$1001,MATCH($B504,Lançamentos!$B$3:$B$1001,0)),""))</f>
        <v/>
      </c>
      <c r="D504" s="423" t="str">
        <f>IF($B504="","",IFERROR(INDEX('E2 — Triagem'!$D$8:$D$507,MATCH($B504,'E2 — Triagem'!$B$8:$B$507,0)),""))</f>
        <v/>
      </c>
      <c r="E504" s="423"/>
      <c r="F504" s="423"/>
      <c r="G504" s="423"/>
      <c r="H504" s="423"/>
      <c r="I504" s="424"/>
      <c r="J504" s="425" t="str">
        <f t="shared" si="8"/>
        <v/>
      </c>
      <c r="K504" s="422"/>
      <c r="L504" s="426"/>
    </row>
    <row r="505" spans="2:12" x14ac:dyDescent="0.35">
      <c r="B505" s="421" t="str">
        <f>IF(Lançamentos!$B500="","",Lançamentos!$B500)</f>
        <v/>
      </c>
      <c r="C505" s="422" t="str">
        <f>IF($B505="","",IFERROR(INDEX(Lançamentos!$J$3:$J$1001,MATCH($B505,Lançamentos!$B$3:$B$1001,0)),""))</f>
        <v/>
      </c>
      <c r="D505" s="423" t="str">
        <f>IF($B505="","",IFERROR(INDEX('E2 — Triagem'!$D$8:$D$507,MATCH($B505,'E2 — Triagem'!$B$8:$B$507,0)),""))</f>
        <v/>
      </c>
      <c r="E505" s="423"/>
      <c r="F505" s="423"/>
      <c r="G505" s="423"/>
      <c r="H505" s="423"/>
      <c r="I505" s="424"/>
      <c r="J505" s="425" t="str">
        <f t="shared" si="8"/>
        <v/>
      </c>
      <c r="K505" s="422"/>
      <c r="L505" s="426"/>
    </row>
    <row r="506" spans="2:12" x14ac:dyDescent="0.35">
      <c r="B506" s="421" t="str">
        <f>IF(Lançamentos!$B501="","",Lançamentos!$B501)</f>
        <v/>
      </c>
      <c r="C506" s="422" t="str">
        <f>IF($B506="","",IFERROR(INDEX(Lançamentos!$J$3:$J$1001,MATCH($B506,Lançamentos!$B$3:$B$1001,0)),""))</f>
        <v/>
      </c>
      <c r="D506" s="423" t="str">
        <f>IF($B506="","",IFERROR(INDEX('E2 — Triagem'!$D$8:$D$507,MATCH($B506,'E2 — Triagem'!$B$8:$B$507,0)),""))</f>
        <v/>
      </c>
      <c r="E506" s="423"/>
      <c r="F506" s="423"/>
      <c r="G506" s="423"/>
      <c r="H506" s="423"/>
      <c r="I506" s="424"/>
      <c r="J506" s="425" t="str">
        <f t="shared" si="8"/>
        <v/>
      </c>
      <c r="K506" s="422"/>
      <c r="L506" s="426"/>
    </row>
    <row r="507" spans="2:12" x14ac:dyDescent="0.35">
      <c r="B507" s="427" t="str">
        <f>IF(Lançamentos!$B502="","",Lançamentos!$B502)</f>
        <v/>
      </c>
      <c r="C507" s="428" t="str">
        <f>IF($B507="","",IFERROR(INDEX(Lançamentos!$J$3:$J$1001,MATCH($B507,Lançamentos!$B$3:$B$1001,0)),""))</f>
        <v/>
      </c>
      <c r="D507" s="429" t="str">
        <f>IF($B507="","",IFERROR(INDEX('E2 — Triagem'!$D$8:$D$507,MATCH($B507,'E2 — Triagem'!$B$8:$B$507,0)),""))</f>
        <v/>
      </c>
      <c r="E507" s="429"/>
      <c r="F507" s="429"/>
      <c r="G507" s="429"/>
      <c r="H507" s="429"/>
      <c r="I507" s="430"/>
      <c r="J507" s="431" t="str">
        <f t="shared" si="8"/>
        <v/>
      </c>
      <c r="K507" s="428"/>
      <c r="L507" s="432"/>
    </row>
  </sheetData>
  <conditionalFormatting sqref="B8:L507">
    <cfRule type="expression" dxfId="177" priority="12">
      <formula>AND($B8&lt;&gt;"",$J8=1,COUNTIF($E8:$I8,"⛔ Bloqueado")=0)</formula>
    </cfRule>
    <cfRule type="expression" dxfId="176" priority="13">
      <formula>AND($B8&lt;&gt;"",COUNTIF($E8:$I8,"⛔ Bloqueado")&gt;0)</formula>
    </cfRule>
    <cfRule type="expression" dxfId="175" priority="14">
      <formula>AND($B8&lt;&gt;"",COUNTIF($E8:$I8,"🔄 Em andamento")&gt;0,COUNTIF($E8:$I8,"⛔ Bloqueado")=0)</formula>
    </cfRule>
    <cfRule type="expression" dxfId="174" priority="15">
      <formula>AND($B8&lt;&gt;"",COUNTIF($E8:$I8,"⏳ Pendente")&gt;0,COUNTIF($E8:$I8,"🔄 Em andamento")=0,COUNTIF($E8:$I8,"⛔ Bloqueado")=0)</formula>
    </cfRule>
    <cfRule type="expression" dxfId="173" priority="16">
      <formula>AND($B8&lt;&gt;"",COUNTIF($E8:$I8,"N/A")=5)</formula>
    </cfRule>
  </conditionalFormatting>
  <conditionalFormatting sqref="E8:I507">
    <cfRule type="expression" dxfId="172" priority="17">
      <formula>E8="⛔ Bloqueado"</formula>
    </cfRule>
    <cfRule type="expression" dxfId="171" priority="18">
      <formula>E8="✔ Concluído"</formula>
    </cfRule>
    <cfRule type="expression" dxfId="170" priority="19">
      <formula>E8="⏳ Pendente"</formula>
    </cfRule>
    <cfRule type="expression" dxfId="169" priority="20">
      <formula>E8="🔄 Em andamento"</formula>
    </cfRule>
    <cfRule type="expression" dxfId="168" priority="21">
      <formula>E8="N/A"</formula>
    </cfRule>
    <cfRule type="expression" dxfId="167" priority="22">
      <formula>AND(E8="N/A",$K8="",$L8="")</formula>
    </cfRule>
  </conditionalFormatting>
  <conditionalFormatting sqref="B208:L507">
    <cfRule type="expression" dxfId="166" priority="1">
      <formula>AND($B208&lt;&gt;"",$J208=1,COUNTIF($E208:$I208,"⛔ Bloqueado")=0)</formula>
    </cfRule>
    <cfRule type="expression" dxfId="165" priority="2">
      <formula>AND($B208&lt;&gt;"",COUNTIF($E208:$I208,"⛔ Bloqueado")&gt;0)</formula>
    </cfRule>
    <cfRule type="expression" dxfId="164" priority="3">
      <formula>AND($B208&lt;&gt;"",COUNTIF($E208:$I208,"🔄 Em andamento")&gt;0,COUNTIF($E208:$I208,"⛔ Bloqueado")=0)</formula>
    </cfRule>
    <cfRule type="expression" dxfId="163" priority="4">
      <formula>AND($B208&lt;&gt;"",COUNTIF($E208:$I208,"⏳ Pendente")&gt;0,COUNTIF($E208:$I208,"🔄 Em andamento")=0,COUNTIF($E208:$I208,"⛔ Bloqueado")=0)</formula>
    </cfRule>
    <cfRule type="expression" dxfId="162" priority="5">
      <formula>AND($B208&lt;&gt;"",COUNTIF($E208:$I208,"N/A")=5)</formula>
    </cfRule>
  </conditionalFormatting>
  <conditionalFormatting sqref="E208:I507">
    <cfRule type="expression" dxfId="161" priority="6">
      <formula>E208="⛔ Bloqueado"</formula>
    </cfRule>
    <cfRule type="expression" dxfId="160" priority="7">
      <formula>E208="✔ Concluído"</formula>
    </cfRule>
    <cfRule type="expression" dxfId="159" priority="8">
      <formula>E208="⏳ Pendente"</formula>
    </cfRule>
    <cfRule type="expression" dxfId="158" priority="9">
      <formula>E208="🔄 Em andamento"</formula>
    </cfRule>
    <cfRule type="expression" dxfId="157" priority="10">
      <formula>E208="N/A"</formula>
    </cfRule>
    <cfRule type="expression" dxfId="156" priority="11">
      <formula>AND(E208="N/A",$K208="",$L208="")</formula>
    </cfRule>
  </conditionalFormatting>
  <dataValidations count="2">
    <dataValidation type="list" allowBlank="1" sqref="E8:H507" xr:uid="{8F4D4718-34C3-469F-92E7-29FEAAA79363}">
      <formula1>"⏳ Pendente,🔄 Em andamento,✔ Concluído,⛔ Bloqueado,N/A"</formula1>
    </dataValidation>
    <dataValidation type="list" allowBlank="1" sqref="I8:I507" xr:uid="{A122D98B-A815-46EE-BB2B-5639BA54E176}">
      <formula1>"⏳ Pendente,🔄 Em andamento,✔ Concluído,⛔ Bloqueado"</formula1>
    </dataValidation>
  </dataValidations>
  <pageMargins left="0.75" right="0.75" top="1" bottom="1" header="0.511811023622047" footer="0.511811023622047"/>
  <pageSetup paperSize="9" orientation="portrait" horizontalDpi="300" verticalDpi="300"/>
  <legacyDrawing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O507"/>
  <sheetViews>
    <sheetView showGridLines="0" zoomScale="80" zoomScaleNormal="80" workbookViewId="0">
      <pane ySplit="7" topLeftCell="A8" activePane="bottomLeft" state="frozen"/>
      <selection sqref="A1:XFD1048576"/>
      <selection pane="bottomLeft" activeCell="C16" sqref="C16"/>
    </sheetView>
  </sheetViews>
  <sheetFormatPr defaultColWidth="0" defaultRowHeight="14.5" x14ac:dyDescent="0.35"/>
  <cols>
    <col min="1" max="1" width="1.54296875" bestFit="1" customWidth="1"/>
    <col min="2" max="2" width="15.453125" customWidth="1"/>
    <col min="3" max="3" width="46.36328125" bestFit="1" customWidth="1"/>
    <col min="4" max="4" width="27.26953125" customWidth="1"/>
    <col min="5" max="6" width="28.1796875" customWidth="1"/>
    <col min="7" max="8" width="30" customWidth="1"/>
    <col min="9" max="9" width="29.1796875" customWidth="1"/>
    <col min="10" max="10" width="37.26953125" customWidth="1"/>
    <col min="11" max="11" width="33.54296875" customWidth="1"/>
    <col min="12" max="12" width="14.54296875" customWidth="1"/>
    <col min="13" max="13" width="40" customWidth="1"/>
    <col min="14" max="14" width="43.54296875" customWidth="1"/>
    <col min="15" max="15" width="1.54296875" bestFit="1" customWidth="1"/>
    <col min="16" max="16384" width="8.54296875" hidden="1"/>
  </cols>
  <sheetData>
    <row r="2" spans="2:14" s="49" customFormat="1" ht="24" customHeight="1" thickBot="1" x14ac:dyDescent="0.55000000000000004">
      <c r="B2" s="312" t="s">
        <v>500</v>
      </c>
      <c r="C2" s="129"/>
      <c r="D2" s="129"/>
      <c r="E2" s="129"/>
      <c r="F2" s="129"/>
      <c r="G2" s="129"/>
      <c r="H2" s="129"/>
      <c r="I2" s="129"/>
      <c r="J2" s="129"/>
      <c r="K2" s="129"/>
      <c r="L2" s="129"/>
      <c r="M2" s="129"/>
      <c r="N2" s="129"/>
    </row>
    <row r="3" spans="2:14" ht="22" customHeight="1" thickTop="1" x14ac:dyDescent="0.35">
      <c r="B3" s="130" t="s">
        <v>501</v>
      </c>
      <c r="C3" s="130"/>
      <c r="D3" s="130"/>
      <c r="E3" s="130"/>
      <c r="F3" s="130"/>
      <c r="G3" s="130"/>
      <c r="H3" s="130"/>
      <c r="I3" s="130"/>
      <c r="J3" s="130"/>
      <c r="K3" s="130"/>
      <c r="L3" s="130"/>
      <c r="M3" s="130"/>
      <c r="N3" s="130"/>
    </row>
    <row r="4" spans="2:14" ht="24" customHeight="1" x14ac:dyDescent="0.35">
      <c r="B4" s="17" t="s">
        <v>502</v>
      </c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</row>
    <row r="5" spans="2:14" ht="28" customHeight="1" x14ac:dyDescent="0.35">
      <c r="B5" s="131" t="s">
        <v>503</v>
      </c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</row>
    <row r="6" spans="2:14" x14ac:dyDescent="0.35"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</row>
    <row r="7" spans="2:14" ht="58" customHeight="1" x14ac:dyDescent="0.35">
      <c r="B7" s="298" t="s">
        <v>8</v>
      </c>
      <c r="C7" s="299" t="s">
        <v>127</v>
      </c>
      <c r="D7" s="299" t="s">
        <v>14</v>
      </c>
      <c r="E7" s="299" t="s">
        <v>504</v>
      </c>
      <c r="F7" s="299" t="s">
        <v>505</v>
      </c>
      <c r="G7" s="299" t="s">
        <v>506</v>
      </c>
      <c r="H7" s="299" t="s">
        <v>507</v>
      </c>
      <c r="I7" s="299" t="s">
        <v>508</v>
      </c>
      <c r="J7" s="299" t="s">
        <v>509</v>
      </c>
      <c r="K7" s="299" t="s">
        <v>510</v>
      </c>
      <c r="L7" s="299" t="s">
        <v>479</v>
      </c>
      <c r="M7" s="299" t="s">
        <v>109</v>
      </c>
      <c r="N7" s="300" t="s">
        <v>33</v>
      </c>
    </row>
    <row r="8" spans="2:14" ht="15" customHeight="1" x14ac:dyDescent="0.35">
      <c r="B8" s="162" t="str">
        <f>IF(Lançamentos!$B3="","",Lançamentos!$B3)</f>
        <v/>
      </c>
      <c r="C8" s="163" t="str">
        <f>IF($B8="","",IFERROR(INDEX(Lançamentos!$J$3:$J$1001,MATCH($B8,Lançamentos!$B$3:$B$1001,0)),""))</f>
        <v/>
      </c>
      <c r="D8" s="419" t="str">
        <f>IF($B8="","",IFERROR(INDEX('E2 — Triagem'!$D$8:$D$507,MATCH($B8,'E2 — Triagem'!$B$8:$B$507,0)),""))</f>
        <v/>
      </c>
      <c r="E8" s="164"/>
      <c r="F8" s="164"/>
      <c r="G8" s="164"/>
      <c r="H8" s="164"/>
      <c r="I8" s="164"/>
      <c r="J8" s="164"/>
      <c r="K8" s="164"/>
      <c r="L8" s="165" t="str">
        <f>IF(B8="","",IF(COUNTIF(E8:K8,"N/A")=7,0,IF(COUNTIF(E8:K8,"✔ Concluído")=7,1,MIN(99%,COUNTIF(E8:K8,"✔ Concluído")/(7-COUNTIF(E8:K8,"N/A"))))))</f>
        <v/>
      </c>
      <c r="M8" s="166"/>
      <c r="N8" s="167"/>
    </row>
    <row r="9" spans="2:14" ht="15" customHeight="1" x14ac:dyDescent="0.35">
      <c r="B9" s="162" t="str">
        <f>IF(Lançamentos!$B4="","",Lançamentos!$B4)</f>
        <v/>
      </c>
      <c r="C9" s="163" t="str">
        <f>IF($B9="","",IFERROR(INDEX(Lançamentos!$J$3:$J$1001,MATCH($B9,Lançamentos!$B$3:$B$1001,0)),""))</f>
        <v/>
      </c>
      <c r="D9" s="419" t="str">
        <f>IF($B9="","",IFERROR(INDEX('E2 — Triagem'!$D$8:$D$507,MATCH($B9,'E2 — Triagem'!$B$8:$B$507,0)),""))</f>
        <v/>
      </c>
      <c r="E9" s="164"/>
      <c r="F9" s="164"/>
      <c r="G9" s="164"/>
      <c r="H9" s="164"/>
      <c r="I9" s="164"/>
      <c r="J9" s="164"/>
      <c r="K9" s="164"/>
      <c r="L9" s="165" t="str">
        <f t="shared" ref="L9:L72" si="0">IF(B9="","",IF(COUNTIF(E9:K9,"N/A")=7,0,IF(COUNTIF(E9:K9,"✔ Concluído")=7,1,MIN(99%,COUNTIF(E9:K9,"✔ Concluído")/(7-COUNTIF(E9:K9,"N/A"))))))</f>
        <v/>
      </c>
      <c r="M9" s="166"/>
      <c r="N9" s="167"/>
    </row>
    <row r="10" spans="2:14" ht="15" customHeight="1" x14ac:dyDescent="0.35">
      <c r="B10" s="162" t="str">
        <f>IF(Lançamentos!$B5="","",Lançamentos!$B5)</f>
        <v/>
      </c>
      <c r="C10" s="163" t="str">
        <f>IF($B10="","",IFERROR(INDEX(Lançamentos!$J$3:$J$1001,MATCH($B10,Lançamentos!$B$3:$B$1001,0)),""))</f>
        <v/>
      </c>
      <c r="D10" s="419" t="str">
        <f>IF($B10="","",IFERROR(INDEX('E2 — Triagem'!$D$8:$D$507,MATCH($B10,'E2 — Triagem'!$B$8:$B$507,0)),""))</f>
        <v/>
      </c>
      <c r="E10" s="164"/>
      <c r="F10" s="164"/>
      <c r="G10" s="164"/>
      <c r="H10" s="164"/>
      <c r="I10" s="164"/>
      <c r="J10" s="164"/>
      <c r="K10" s="164"/>
      <c r="L10" s="165" t="str">
        <f t="shared" si="0"/>
        <v/>
      </c>
      <c r="M10" s="166"/>
      <c r="N10" s="167"/>
    </row>
    <row r="11" spans="2:14" ht="15" customHeight="1" x14ac:dyDescent="0.35">
      <c r="B11" s="162" t="str">
        <f>IF(Lançamentos!$B6="","",Lançamentos!$B6)</f>
        <v/>
      </c>
      <c r="C11" s="163" t="str">
        <f>IF($B11="","",IFERROR(INDEX(Lançamentos!$J$3:$J$1001,MATCH($B11,Lançamentos!$B$3:$B$1001,0)),""))</f>
        <v/>
      </c>
      <c r="D11" s="419" t="str">
        <f>IF($B11="","",IFERROR(INDEX('E2 — Triagem'!$D$8:$D$507,MATCH($B11,'E2 — Triagem'!$B$8:$B$507,0)),""))</f>
        <v/>
      </c>
      <c r="E11" s="164"/>
      <c r="F11" s="164"/>
      <c r="G11" s="164"/>
      <c r="H11" s="164"/>
      <c r="I11" s="164"/>
      <c r="J11" s="164"/>
      <c r="K11" s="164"/>
      <c r="L11" s="165" t="str">
        <f t="shared" si="0"/>
        <v/>
      </c>
      <c r="M11" s="166"/>
      <c r="N11" s="167"/>
    </row>
    <row r="12" spans="2:14" ht="15" customHeight="1" x14ac:dyDescent="0.35">
      <c r="B12" s="162" t="str">
        <f>IF(Lançamentos!$B7="","",Lançamentos!$B7)</f>
        <v/>
      </c>
      <c r="C12" s="163" t="str">
        <f>IF($B12="","",IFERROR(INDEX(Lançamentos!$J$3:$J$1001,MATCH($B12,Lançamentos!$B$3:$B$1001,0)),""))</f>
        <v/>
      </c>
      <c r="D12" s="419" t="str">
        <f>IF($B12="","",IFERROR(INDEX('E2 — Triagem'!$D$8:$D$507,MATCH($B12,'E2 — Triagem'!$B$8:$B$507,0)),""))</f>
        <v/>
      </c>
      <c r="E12" s="164"/>
      <c r="F12" s="164"/>
      <c r="G12" s="164"/>
      <c r="H12" s="164"/>
      <c r="I12" s="164"/>
      <c r="J12" s="164"/>
      <c r="K12" s="164"/>
      <c r="L12" s="165" t="str">
        <f t="shared" si="0"/>
        <v/>
      </c>
      <c r="M12" s="166"/>
      <c r="N12" s="167"/>
    </row>
    <row r="13" spans="2:14" ht="15" customHeight="1" x14ac:dyDescent="0.35">
      <c r="B13" s="162" t="str">
        <f>IF(Lançamentos!$B8="","",Lançamentos!$B8)</f>
        <v/>
      </c>
      <c r="C13" s="163" t="str">
        <f>IF($B13="","",IFERROR(INDEX(Lançamentos!$J$3:$J$1001,MATCH($B13,Lançamentos!$B$3:$B$1001,0)),""))</f>
        <v/>
      </c>
      <c r="D13" s="419" t="str">
        <f>IF($B13="","",IFERROR(INDEX('E2 — Triagem'!$D$8:$D$507,MATCH($B13,'E2 — Triagem'!$B$8:$B$507,0)),""))</f>
        <v/>
      </c>
      <c r="E13" s="164"/>
      <c r="F13" s="164"/>
      <c r="G13" s="164"/>
      <c r="H13" s="164"/>
      <c r="I13" s="164"/>
      <c r="J13" s="164"/>
      <c r="K13" s="164"/>
      <c r="L13" s="165" t="str">
        <f t="shared" si="0"/>
        <v/>
      </c>
      <c r="M13" s="166"/>
      <c r="N13" s="167"/>
    </row>
    <row r="14" spans="2:14" ht="15" customHeight="1" x14ac:dyDescent="0.35">
      <c r="B14" s="162" t="str">
        <f>IF(Lançamentos!$B9="","",Lançamentos!$B9)</f>
        <v/>
      </c>
      <c r="C14" s="163" t="str">
        <f>IF($B14="","",IFERROR(INDEX(Lançamentos!$J$3:$J$1001,MATCH($B14,Lançamentos!$B$3:$B$1001,0)),""))</f>
        <v/>
      </c>
      <c r="D14" s="419" t="str">
        <f>IF($B14="","",IFERROR(INDEX('E2 — Triagem'!$D$8:$D$507,MATCH($B14,'E2 — Triagem'!$B$8:$B$507,0)),""))</f>
        <v/>
      </c>
      <c r="E14" s="164"/>
      <c r="F14" s="164"/>
      <c r="G14" s="164"/>
      <c r="H14" s="164"/>
      <c r="I14" s="164"/>
      <c r="J14" s="164"/>
      <c r="K14" s="164"/>
      <c r="L14" s="165" t="str">
        <f t="shared" si="0"/>
        <v/>
      </c>
      <c r="M14" s="166"/>
      <c r="N14" s="167"/>
    </row>
    <row r="15" spans="2:14" ht="15" customHeight="1" x14ac:dyDescent="0.35">
      <c r="B15" s="162" t="str">
        <f>IF(Lançamentos!$B10="","",Lançamentos!$B10)</f>
        <v/>
      </c>
      <c r="C15" s="163" t="str">
        <f>IF($B15="","",IFERROR(INDEX(Lançamentos!$J$3:$J$1001,MATCH($B15,Lançamentos!$B$3:$B$1001,0)),""))</f>
        <v/>
      </c>
      <c r="D15" s="419" t="str">
        <f>IF($B15="","",IFERROR(INDEX('E2 — Triagem'!$D$8:$D$507,MATCH($B15,'E2 — Triagem'!$B$8:$B$507,0)),""))</f>
        <v/>
      </c>
      <c r="E15" s="164"/>
      <c r="F15" s="164"/>
      <c r="G15" s="164"/>
      <c r="H15" s="164"/>
      <c r="I15" s="164"/>
      <c r="J15" s="164"/>
      <c r="K15" s="164"/>
      <c r="L15" s="165" t="str">
        <f t="shared" si="0"/>
        <v/>
      </c>
      <c r="M15" s="166"/>
      <c r="N15" s="167"/>
    </row>
    <row r="16" spans="2:14" x14ac:dyDescent="0.35">
      <c r="B16" s="162" t="str">
        <f>IF(Lançamentos!$B11="","",Lançamentos!$B11)</f>
        <v/>
      </c>
      <c r="C16" s="163" t="str">
        <f>IF($B16="","",IFERROR(INDEX(Lançamentos!$J$3:$J$1001,MATCH($B16,Lançamentos!$B$3:$B$1001,0)),""))</f>
        <v/>
      </c>
      <c r="D16" s="419" t="str">
        <f>IF($B16="","",IFERROR(INDEX('E2 — Triagem'!$D$8:$D$507,MATCH($B16,'E2 — Triagem'!$B$8:$B$507,0)),""))</f>
        <v/>
      </c>
      <c r="E16" s="164"/>
      <c r="F16" s="164"/>
      <c r="G16" s="164"/>
      <c r="H16" s="164"/>
      <c r="I16" s="164"/>
      <c r="J16" s="164"/>
      <c r="K16" s="164"/>
      <c r="L16" s="165" t="str">
        <f t="shared" si="0"/>
        <v/>
      </c>
      <c r="M16" s="166"/>
      <c r="N16" s="167"/>
    </row>
    <row r="17" spans="2:14" ht="15" customHeight="1" x14ac:dyDescent="0.35">
      <c r="B17" s="162" t="str">
        <f>IF(Lançamentos!$B12="","",Lançamentos!$B12)</f>
        <v/>
      </c>
      <c r="C17" s="163" t="str">
        <f>IF($B17="","",IFERROR(INDEX(Lançamentos!$J$3:$J$1001,MATCH($B17,Lançamentos!$B$3:$B$1001,0)),""))</f>
        <v/>
      </c>
      <c r="D17" s="419" t="str">
        <f>IF($B17="","",IFERROR(INDEX('E2 — Triagem'!$D$8:$D$507,MATCH($B17,'E2 — Triagem'!$B$8:$B$507,0)),""))</f>
        <v/>
      </c>
      <c r="E17" s="164"/>
      <c r="F17" s="164"/>
      <c r="G17" s="164"/>
      <c r="H17" s="164"/>
      <c r="I17" s="164"/>
      <c r="J17" s="164"/>
      <c r="K17" s="164"/>
      <c r="L17" s="165" t="str">
        <f t="shared" si="0"/>
        <v/>
      </c>
      <c r="M17" s="166"/>
      <c r="N17" s="167"/>
    </row>
    <row r="18" spans="2:14" ht="15" customHeight="1" x14ac:dyDescent="0.35">
      <c r="B18" s="162" t="str">
        <f>IF(Lançamentos!$B13="","",Lançamentos!$B13)</f>
        <v/>
      </c>
      <c r="C18" s="163" t="str">
        <f>IF($B18="","",IFERROR(INDEX(Lançamentos!$J$3:$J$1001,MATCH($B18,Lançamentos!$B$3:$B$1001,0)),""))</f>
        <v/>
      </c>
      <c r="D18" s="419" t="str">
        <f>IF($B18="","",IFERROR(INDEX('E2 — Triagem'!$D$8:$D$507,MATCH($B18,'E2 — Triagem'!$B$8:$B$507,0)),""))</f>
        <v/>
      </c>
      <c r="E18" s="164"/>
      <c r="F18" s="164"/>
      <c r="G18" s="164"/>
      <c r="H18" s="164"/>
      <c r="I18" s="164"/>
      <c r="J18" s="164"/>
      <c r="K18" s="164"/>
      <c r="L18" s="165" t="str">
        <f t="shared" si="0"/>
        <v/>
      </c>
      <c r="M18" s="166"/>
      <c r="N18" s="167"/>
    </row>
    <row r="19" spans="2:14" ht="15" customHeight="1" x14ac:dyDescent="0.35">
      <c r="B19" s="162" t="str">
        <f>IF(Lançamentos!$B14="","",Lançamentos!$B14)</f>
        <v/>
      </c>
      <c r="C19" s="163" t="str">
        <f>IF($B19="","",IFERROR(INDEX(Lançamentos!$J$3:$J$1001,MATCH($B19,Lançamentos!$B$3:$B$1001,0)),""))</f>
        <v/>
      </c>
      <c r="D19" s="419" t="str">
        <f>IF($B19="","",IFERROR(INDEX('E2 — Triagem'!$D$8:$D$507,MATCH($B19,'E2 — Triagem'!$B$8:$B$507,0)),""))</f>
        <v/>
      </c>
      <c r="E19" s="164"/>
      <c r="F19" s="164"/>
      <c r="G19" s="164"/>
      <c r="H19" s="164"/>
      <c r="I19" s="164"/>
      <c r="J19" s="164"/>
      <c r="K19" s="164"/>
      <c r="L19" s="165" t="str">
        <f t="shared" si="0"/>
        <v/>
      </c>
      <c r="M19" s="166"/>
      <c r="N19" s="167"/>
    </row>
    <row r="20" spans="2:14" ht="15" customHeight="1" x14ac:dyDescent="0.35">
      <c r="B20" s="162" t="str">
        <f>IF(Lançamentos!$B15="","",Lançamentos!$B15)</f>
        <v/>
      </c>
      <c r="C20" s="163" t="str">
        <f>IF($B20="","",IFERROR(INDEX(Lançamentos!$J$3:$J$1001,MATCH($B20,Lançamentos!$B$3:$B$1001,0)),""))</f>
        <v/>
      </c>
      <c r="D20" s="419" t="str">
        <f>IF($B20="","",IFERROR(INDEX('E2 — Triagem'!$D$8:$D$507,MATCH($B20,'E2 — Triagem'!$B$8:$B$507,0)),""))</f>
        <v/>
      </c>
      <c r="E20" s="164"/>
      <c r="F20" s="164"/>
      <c r="G20" s="164"/>
      <c r="H20" s="164"/>
      <c r="I20" s="164"/>
      <c r="J20" s="164"/>
      <c r="K20" s="164"/>
      <c r="L20" s="165" t="str">
        <f t="shared" si="0"/>
        <v/>
      </c>
      <c r="M20" s="166"/>
      <c r="N20" s="167"/>
    </row>
    <row r="21" spans="2:14" ht="15" customHeight="1" x14ac:dyDescent="0.35">
      <c r="B21" s="162" t="str">
        <f>IF(Lançamentos!$B16="","",Lançamentos!$B16)</f>
        <v/>
      </c>
      <c r="C21" s="163" t="str">
        <f>IF($B21="","",IFERROR(INDEX(Lançamentos!$J$3:$J$1001,MATCH($B21,Lançamentos!$B$3:$B$1001,0)),""))</f>
        <v/>
      </c>
      <c r="D21" s="419" t="str">
        <f>IF($B21="","",IFERROR(INDEX('E2 — Triagem'!$D$8:$D$507,MATCH($B21,'E2 — Triagem'!$B$8:$B$507,0)),""))</f>
        <v/>
      </c>
      <c r="E21" s="164"/>
      <c r="F21" s="164"/>
      <c r="G21" s="164"/>
      <c r="H21" s="164"/>
      <c r="I21" s="164"/>
      <c r="J21" s="164"/>
      <c r="K21" s="164"/>
      <c r="L21" s="165" t="str">
        <f t="shared" si="0"/>
        <v/>
      </c>
      <c r="M21" s="166"/>
      <c r="N21" s="167"/>
    </row>
    <row r="22" spans="2:14" ht="15" customHeight="1" x14ac:dyDescent="0.35">
      <c r="B22" s="162" t="str">
        <f>IF(Lançamentos!$B17="","",Lançamentos!$B17)</f>
        <v/>
      </c>
      <c r="C22" s="163" t="str">
        <f>IF($B22="","",IFERROR(INDEX(Lançamentos!$J$3:$J$1001,MATCH($B22,Lançamentos!$B$3:$B$1001,0)),""))</f>
        <v/>
      </c>
      <c r="D22" s="419" t="str">
        <f>IF($B22="","",IFERROR(INDEX('E2 — Triagem'!$D$8:$D$507,MATCH($B22,'E2 — Triagem'!$B$8:$B$507,0)),""))</f>
        <v/>
      </c>
      <c r="E22" s="164"/>
      <c r="F22" s="164"/>
      <c r="G22" s="164"/>
      <c r="H22" s="164"/>
      <c r="I22" s="164"/>
      <c r="J22" s="164"/>
      <c r="K22" s="164"/>
      <c r="L22" s="165" t="str">
        <f t="shared" si="0"/>
        <v/>
      </c>
      <c r="M22" s="166"/>
      <c r="N22" s="167"/>
    </row>
    <row r="23" spans="2:14" ht="15" customHeight="1" x14ac:dyDescent="0.35">
      <c r="B23" s="162" t="str">
        <f>IF(Lançamentos!$B18="","",Lançamentos!$B18)</f>
        <v/>
      </c>
      <c r="C23" s="163" t="str">
        <f>IF($B23="","",IFERROR(INDEX(Lançamentos!$J$3:$J$1001,MATCH($B23,Lançamentos!$B$3:$B$1001,0)),""))</f>
        <v/>
      </c>
      <c r="D23" s="419" t="str">
        <f>IF($B23="","",IFERROR(INDEX('E2 — Triagem'!$D$8:$D$507,MATCH($B23,'E2 — Triagem'!$B$8:$B$507,0)),""))</f>
        <v/>
      </c>
      <c r="E23" s="164"/>
      <c r="F23" s="164"/>
      <c r="G23" s="164"/>
      <c r="H23" s="164"/>
      <c r="I23" s="164"/>
      <c r="J23" s="164"/>
      <c r="K23" s="164"/>
      <c r="L23" s="165" t="str">
        <f t="shared" si="0"/>
        <v/>
      </c>
      <c r="M23" s="166"/>
      <c r="N23" s="167"/>
    </row>
    <row r="24" spans="2:14" ht="15" customHeight="1" x14ac:dyDescent="0.35">
      <c r="B24" s="162" t="str">
        <f>IF(Lançamentos!$B19="","",Lançamentos!$B19)</f>
        <v/>
      </c>
      <c r="C24" s="163" t="str">
        <f>IF($B24="","",IFERROR(INDEX(Lançamentos!$J$3:$J$1001,MATCH($B24,Lançamentos!$B$3:$B$1001,0)),""))</f>
        <v/>
      </c>
      <c r="D24" s="419" t="str">
        <f>IF($B24="","",IFERROR(INDEX('E2 — Triagem'!$D$8:$D$507,MATCH($B24,'E2 — Triagem'!$B$8:$B$507,0)),""))</f>
        <v/>
      </c>
      <c r="E24" s="164"/>
      <c r="F24" s="164"/>
      <c r="G24" s="164"/>
      <c r="H24" s="164"/>
      <c r="I24" s="164"/>
      <c r="J24" s="164"/>
      <c r="K24" s="164"/>
      <c r="L24" s="165" t="str">
        <f t="shared" si="0"/>
        <v/>
      </c>
      <c r="M24" s="166"/>
      <c r="N24" s="167"/>
    </row>
    <row r="25" spans="2:14" ht="15" customHeight="1" x14ac:dyDescent="0.35">
      <c r="B25" s="162" t="str">
        <f>IF(Lançamentos!$B20="","",Lançamentos!$B20)</f>
        <v/>
      </c>
      <c r="C25" s="163" t="str">
        <f>IF($B25="","",IFERROR(INDEX(Lançamentos!$J$3:$J$1001,MATCH($B25,Lançamentos!$B$3:$B$1001,0)),""))</f>
        <v/>
      </c>
      <c r="D25" s="419" t="str">
        <f>IF($B25="","",IFERROR(INDEX('E2 — Triagem'!$D$8:$D$507,MATCH($B25,'E2 — Triagem'!$B$8:$B$507,0)),""))</f>
        <v/>
      </c>
      <c r="E25" s="164"/>
      <c r="F25" s="164"/>
      <c r="G25" s="164"/>
      <c r="H25" s="164"/>
      <c r="I25" s="164"/>
      <c r="J25" s="164"/>
      <c r="K25" s="164"/>
      <c r="L25" s="165" t="str">
        <f t="shared" si="0"/>
        <v/>
      </c>
      <c r="M25" s="166"/>
      <c r="N25" s="167"/>
    </row>
    <row r="26" spans="2:14" ht="15" customHeight="1" x14ac:dyDescent="0.35">
      <c r="B26" s="162" t="str">
        <f>IF(Lançamentos!$B21="","",Lançamentos!$B21)</f>
        <v/>
      </c>
      <c r="C26" s="163" t="str">
        <f>IF($B26="","",IFERROR(INDEX(Lançamentos!$J$3:$J$1001,MATCH($B26,Lançamentos!$B$3:$B$1001,0)),""))</f>
        <v/>
      </c>
      <c r="D26" s="419" t="str">
        <f>IF($B26="","",IFERROR(INDEX('E2 — Triagem'!$D$8:$D$507,MATCH($B26,'E2 — Triagem'!$B$8:$B$507,0)),""))</f>
        <v/>
      </c>
      <c r="E26" s="164"/>
      <c r="F26" s="164"/>
      <c r="G26" s="164"/>
      <c r="H26" s="164"/>
      <c r="I26" s="164"/>
      <c r="J26" s="164"/>
      <c r="K26" s="164"/>
      <c r="L26" s="165" t="str">
        <f t="shared" si="0"/>
        <v/>
      </c>
      <c r="M26" s="166"/>
      <c r="N26" s="167"/>
    </row>
    <row r="27" spans="2:14" ht="15" customHeight="1" x14ac:dyDescent="0.35">
      <c r="B27" s="162" t="str">
        <f>IF(Lançamentos!$B22="","",Lançamentos!$B22)</f>
        <v/>
      </c>
      <c r="C27" s="163" t="str">
        <f>IF($B27="","",IFERROR(INDEX(Lançamentos!$J$3:$J$1001,MATCH($B27,Lançamentos!$B$3:$B$1001,0)),""))</f>
        <v/>
      </c>
      <c r="D27" s="419" t="str">
        <f>IF($B27="","",IFERROR(INDEX('E2 — Triagem'!$D$8:$D$507,MATCH($B27,'E2 — Triagem'!$B$8:$B$507,0)),""))</f>
        <v/>
      </c>
      <c r="E27" s="164"/>
      <c r="F27" s="164"/>
      <c r="G27" s="164"/>
      <c r="H27" s="164"/>
      <c r="I27" s="164"/>
      <c r="J27" s="164"/>
      <c r="K27" s="164"/>
      <c r="L27" s="165" t="str">
        <f t="shared" si="0"/>
        <v/>
      </c>
      <c r="M27" s="166"/>
      <c r="N27" s="167"/>
    </row>
    <row r="28" spans="2:14" ht="15" customHeight="1" x14ac:dyDescent="0.35">
      <c r="B28" s="162" t="str">
        <f>IF(Lançamentos!$B23="","",Lançamentos!$B23)</f>
        <v/>
      </c>
      <c r="C28" s="163" t="str">
        <f>IF($B28="","",IFERROR(INDEX(Lançamentos!$J$3:$J$1001,MATCH($B28,Lançamentos!$B$3:$B$1001,0)),""))</f>
        <v/>
      </c>
      <c r="D28" s="419" t="str">
        <f>IF($B28="","",IFERROR(INDEX('E2 — Triagem'!$D$8:$D$507,MATCH($B28,'E2 — Triagem'!$B$8:$B$507,0)),""))</f>
        <v/>
      </c>
      <c r="E28" s="164"/>
      <c r="F28" s="164"/>
      <c r="G28" s="164"/>
      <c r="H28" s="164"/>
      <c r="I28" s="164"/>
      <c r="J28" s="164"/>
      <c r="K28" s="164"/>
      <c r="L28" s="165" t="str">
        <f t="shared" si="0"/>
        <v/>
      </c>
      <c r="M28" s="166"/>
      <c r="N28" s="167"/>
    </row>
    <row r="29" spans="2:14" ht="15" customHeight="1" x14ac:dyDescent="0.35">
      <c r="B29" s="162" t="str">
        <f>IF(Lançamentos!$B24="","",Lançamentos!$B24)</f>
        <v/>
      </c>
      <c r="C29" s="163" t="str">
        <f>IF($B29="","",IFERROR(INDEX(Lançamentos!$J$3:$J$1001,MATCH($B29,Lançamentos!$B$3:$B$1001,0)),""))</f>
        <v/>
      </c>
      <c r="D29" s="419" t="str">
        <f>IF($B29="","",IFERROR(INDEX('E2 — Triagem'!$D$8:$D$507,MATCH($B29,'E2 — Triagem'!$B$8:$B$507,0)),""))</f>
        <v/>
      </c>
      <c r="E29" s="164"/>
      <c r="F29" s="164"/>
      <c r="G29" s="164"/>
      <c r="H29" s="164"/>
      <c r="I29" s="164"/>
      <c r="J29" s="164"/>
      <c r="K29" s="164"/>
      <c r="L29" s="165" t="str">
        <f t="shared" si="0"/>
        <v/>
      </c>
      <c r="M29" s="166"/>
      <c r="N29" s="167"/>
    </row>
    <row r="30" spans="2:14" ht="15" customHeight="1" x14ac:dyDescent="0.35">
      <c r="B30" s="162" t="str">
        <f>IF(Lançamentos!$B25="","",Lançamentos!$B25)</f>
        <v/>
      </c>
      <c r="C30" s="163" t="str">
        <f>IF($B30="","",IFERROR(INDEX(Lançamentos!$J$3:$J$1001,MATCH($B30,Lançamentos!$B$3:$B$1001,0)),""))</f>
        <v/>
      </c>
      <c r="D30" s="419" t="str">
        <f>IF($B30="","",IFERROR(INDEX('E2 — Triagem'!$D$8:$D$507,MATCH($B30,'E2 — Triagem'!$B$8:$B$507,0)),""))</f>
        <v/>
      </c>
      <c r="E30" s="164"/>
      <c r="F30" s="164"/>
      <c r="G30" s="164"/>
      <c r="H30" s="164"/>
      <c r="I30" s="164"/>
      <c r="J30" s="164"/>
      <c r="K30" s="164"/>
      <c r="L30" s="165" t="str">
        <f t="shared" si="0"/>
        <v/>
      </c>
      <c r="M30" s="166"/>
      <c r="N30" s="167"/>
    </row>
    <row r="31" spans="2:14" ht="15" customHeight="1" x14ac:dyDescent="0.35">
      <c r="B31" s="162" t="str">
        <f>IF(Lançamentos!$B26="","",Lançamentos!$B26)</f>
        <v/>
      </c>
      <c r="C31" s="163" t="str">
        <f>IF($B31="","",IFERROR(INDEX(Lançamentos!$J$3:$J$1001,MATCH($B31,Lançamentos!$B$3:$B$1001,0)),""))</f>
        <v/>
      </c>
      <c r="D31" s="419" t="str">
        <f>IF($B31="","",IFERROR(INDEX('E2 — Triagem'!$D$8:$D$507,MATCH($B31,'E2 — Triagem'!$B$8:$B$507,0)),""))</f>
        <v/>
      </c>
      <c r="E31" s="164"/>
      <c r="F31" s="164"/>
      <c r="G31" s="164"/>
      <c r="H31" s="164"/>
      <c r="I31" s="164"/>
      <c r="J31" s="164"/>
      <c r="K31" s="164"/>
      <c r="L31" s="165" t="str">
        <f t="shared" si="0"/>
        <v/>
      </c>
      <c r="M31" s="166"/>
      <c r="N31" s="167"/>
    </row>
    <row r="32" spans="2:14" ht="15" customHeight="1" x14ac:dyDescent="0.35">
      <c r="B32" s="162" t="str">
        <f>IF(Lançamentos!$B27="","",Lançamentos!$B27)</f>
        <v/>
      </c>
      <c r="C32" s="163" t="str">
        <f>IF($B32="","",IFERROR(INDEX(Lançamentos!$J$3:$J$1001,MATCH($B32,Lançamentos!$B$3:$B$1001,0)),""))</f>
        <v/>
      </c>
      <c r="D32" s="419" t="str">
        <f>IF($B32="","",IFERROR(INDEX('E2 — Triagem'!$D$8:$D$507,MATCH($B32,'E2 — Triagem'!$B$8:$B$507,0)),""))</f>
        <v/>
      </c>
      <c r="E32" s="164"/>
      <c r="F32" s="164"/>
      <c r="G32" s="164"/>
      <c r="H32" s="164"/>
      <c r="I32" s="164"/>
      <c r="J32" s="164"/>
      <c r="K32" s="164"/>
      <c r="L32" s="165" t="str">
        <f t="shared" si="0"/>
        <v/>
      </c>
      <c r="M32" s="166"/>
      <c r="N32" s="167"/>
    </row>
    <row r="33" spans="2:14" ht="15" customHeight="1" x14ac:dyDescent="0.35">
      <c r="B33" s="162" t="str">
        <f>IF(Lançamentos!$B28="","",Lançamentos!$B28)</f>
        <v/>
      </c>
      <c r="C33" s="163" t="str">
        <f>IF($B33="","",IFERROR(INDEX(Lançamentos!$J$3:$J$1001,MATCH($B33,Lançamentos!$B$3:$B$1001,0)),""))</f>
        <v/>
      </c>
      <c r="D33" s="419" t="str">
        <f>IF($B33="","",IFERROR(INDEX('E2 — Triagem'!$D$8:$D$507,MATCH($B33,'E2 — Triagem'!$B$8:$B$507,0)),""))</f>
        <v/>
      </c>
      <c r="E33" s="164"/>
      <c r="F33" s="164"/>
      <c r="G33" s="164"/>
      <c r="H33" s="164"/>
      <c r="I33" s="164"/>
      <c r="J33" s="164"/>
      <c r="K33" s="164"/>
      <c r="L33" s="165" t="str">
        <f t="shared" si="0"/>
        <v/>
      </c>
      <c r="M33" s="166"/>
      <c r="N33" s="167"/>
    </row>
    <row r="34" spans="2:14" ht="15" customHeight="1" x14ac:dyDescent="0.35">
      <c r="B34" s="162" t="str">
        <f>IF(Lançamentos!$B29="","",Lançamentos!$B29)</f>
        <v/>
      </c>
      <c r="C34" s="163" t="str">
        <f>IF($B34="","",IFERROR(INDEX(Lançamentos!$J$3:$J$1001,MATCH($B34,Lançamentos!$B$3:$B$1001,0)),""))</f>
        <v/>
      </c>
      <c r="D34" s="419" t="str">
        <f>IF($B34="","",IFERROR(INDEX('E2 — Triagem'!$D$8:$D$507,MATCH($B34,'E2 — Triagem'!$B$8:$B$507,0)),""))</f>
        <v/>
      </c>
      <c r="E34" s="164"/>
      <c r="F34" s="164"/>
      <c r="G34" s="164"/>
      <c r="H34" s="164"/>
      <c r="I34" s="164"/>
      <c r="J34" s="164"/>
      <c r="K34" s="164"/>
      <c r="L34" s="165" t="str">
        <f t="shared" si="0"/>
        <v/>
      </c>
      <c r="M34" s="166"/>
      <c r="N34" s="167"/>
    </row>
    <row r="35" spans="2:14" ht="15" customHeight="1" x14ac:dyDescent="0.35">
      <c r="B35" s="162" t="str">
        <f>IF(Lançamentos!$B30="","",Lançamentos!$B30)</f>
        <v/>
      </c>
      <c r="C35" s="163" t="str">
        <f>IF($B35="","",IFERROR(INDEX(Lançamentos!$J$3:$J$1001,MATCH($B35,Lançamentos!$B$3:$B$1001,0)),""))</f>
        <v/>
      </c>
      <c r="D35" s="419" t="str">
        <f>IF($B35="","",IFERROR(INDEX('E2 — Triagem'!$D$8:$D$507,MATCH($B35,'E2 — Triagem'!$B$8:$B$507,0)),""))</f>
        <v/>
      </c>
      <c r="E35" s="164"/>
      <c r="F35" s="164"/>
      <c r="G35" s="164"/>
      <c r="H35" s="164"/>
      <c r="I35" s="164"/>
      <c r="J35" s="164"/>
      <c r="K35" s="164"/>
      <c r="L35" s="165" t="str">
        <f t="shared" si="0"/>
        <v/>
      </c>
      <c r="M35" s="166"/>
      <c r="N35" s="167"/>
    </row>
    <row r="36" spans="2:14" ht="15" customHeight="1" x14ac:dyDescent="0.35">
      <c r="B36" s="162" t="str">
        <f>IF(Lançamentos!$B31="","",Lançamentos!$B31)</f>
        <v/>
      </c>
      <c r="C36" s="163" t="str">
        <f>IF($B36="","",IFERROR(INDEX(Lançamentos!$J$3:$J$1001,MATCH($B36,Lançamentos!$B$3:$B$1001,0)),""))</f>
        <v/>
      </c>
      <c r="D36" s="419" t="str">
        <f>IF($B36="","",IFERROR(INDEX('E2 — Triagem'!$D$8:$D$507,MATCH($B36,'E2 — Triagem'!$B$8:$B$507,0)),""))</f>
        <v/>
      </c>
      <c r="E36" s="164"/>
      <c r="F36" s="164"/>
      <c r="G36" s="164"/>
      <c r="H36" s="164"/>
      <c r="I36" s="164"/>
      <c r="J36" s="164"/>
      <c r="K36" s="164"/>
      <c r="L36" s="165" t="str">
        <f t="shared" si="0"/>
        <v/>
      </c>
      <c r="M36" s="166"/>
      <c r="N36" s="167"/>
    </row>
    <row r="37" spans="2:14" ht="15" customHeight="1" x14ac:dyDescent="0.35">
      <c r="B37" s="162" t="str">
        <f>IF(Lançamentos!$B32="","",Lançamentos!$B32)</f>
        <v/>
      </c>
      <c r="C37" s="163" t="str">
        <f>IF($B37="","",IFERROR(INDEX(Lançamentos!$J$3:$J$1001,MATCH($B37,Lançamentos!$B$3:$B$1001,0)),""))</f>
        <v/>
      </c>
      <c r="D37" s="419" t="str">
        <f>IF($B37="","",IFERROR(INDEX('E2 — Triagem'!$D$8:$D$507,MATCH($B37,'E2 — Triagem'!$B$8:$B$507,0)),""))</f>
        <v/>
      </c>
      <c r="E37" s="164"/>
      <c r="F37" s="164"/>
      <c r="G37" s="164"/>
      <c r="H37" s="164"/>
      <c r="I37" s="164"/>
      <c r="J37" s="164"/>
      <c r="K37" s="164"/>
      <c r="L37" s="165" t="str">
        <f t="shared" si="0"/>
        <v/>
      </c>
      <c r="M37" s="166"/>
      <c r="N37" s="167"/>
    </row>
    <row r="38" spans="2:14" ht="15" customHeight="1" x14ac:dyDescent="0.35">
      <c r="B38" s="162" t="str">
        <f>IF(Lançamentos!$B33="","",Lançamentos!$B33)</f>
        <v/>
      </c>
      <c r="C38" s="163" t="str">
        <f>IF($B38="","",IFERROR(INDEX(Lançamentos!$J$3:$J$1001,MATCH($B38,Lançamentos!$B$3:$B$1001,0)),""))</f>
        <v/>
      </c>
      <c r="D38" s="419" t="str">
        <f>IF($B38="","",IFERROR(INDEX('E2 — Triagem'!$D$8:$D$507,MATCH($B38,'E2 — Triagem'!$B$8:$B$507,0)),""))</f>
        <v/>
      </c>
      <c r="E38" s="164"/>
      <c r="F38" s="164"/>
      <c r="G38" s="164"/>
      <c r="H38" s="164"/>
      <c r="I38" s="164"/>
      <c r="J38" s="164"/>
      <c r="K38" s="164"/>
      <c r="L38" s="165" t="str">
        <f t="shared" si="0"/>
        <v/>
      </c>
      <c r="M38" s="166"/>
      <c r="N38" s="167"/>
    </row>
    <row r="39" spans="2:14" ht="15" customHeight="1" x14ac:dyDescent="0.35">
      <c r="B39" s="162" t="str">
        <f>IF(Lançamentos!$B34="","",Lançamentos!$B34)</f>
        <v/>
      </c>
      <c r="C39" s="163" t="str">
        <f>IF($B39="","",IFERROR(INDEX(Lançamentos!$J$3:$J$1001,MATCH($B39,Lançamentos!$B$3:$B$1001,0)),""))</f>
        <v/>
      </c>
      <c r="D39" s="419" t="str">
        <f>IF($B39="","",IFERROR(INDEX('E2 — Triagem'!$D$8:$D$507,MATCH($B39,'E2 — Triagem'!$B$8:$B$507,0)),""))</f>
        <v/>
      </c>
      <c r="E39" s="164"/>
      <c r="F39" s="164"/>
      <c r="G39" s="164"/>
      <c r="H39" s="164"/>
      <c r="I39" s="164"/>
      <c r="J39" s="164"/>
      <c r="K39" s="164"/>
      <c r="L39" s="165" t="str">
        <f t="shared" si="0"/>
        <v/>
      </c>
      <c r="M39" s="166"/>
      <c r="N39" s="167"/>
    </row>
    <row r="40" spans="2:14" ht="15" customHeight="1" x14ac:dyDescent="0.35">
      <c r="B40" s="162" t="str">
        <f>IF(Lançamentos!$B35="","",Lançamentos!$B35)</f>
        <v/>
      </c>
      <c r="C40" s="163" t="str">
        <f>IF($B40="","",IFERROR(INDEX(Lançamentos!$J$3:$J$1001,MATCH($B40,Lançamentos!$B$3:$B$1001,0)),""))</f>
        <v/>
      </c>
      <c r="D40" s="419" t="str">
        <f>IF($B40="","",IFERROR(INDEX('E2 — Triagem'!$D$8:$D$507,MATCH($B40,'E2 — Triagem'!$B$8:$B$507,0)),""))</f>
        <v/>
      </c>
      <c r="E40" s="164"/>
      <c r="F40" s="164"/>
      <c r="G40" s="164"/>
      <c r="H40" s="164"/>
      <c r="I40" s="164"/>
      <c r="J40" s="164"/>
      <c r="K40" s="164"/>
      <c r="L40" s="165" t="str">
        <f t="shared" si="0"/>
        <v/>
      </c>
      <c r="M40" s="166"/>
      <c r="N40" s="167"/>
    </row>
    <row r="41" spans="2:14" ht="15" customHeight="1" x14ac:dyDescent="0.35">
      <c r="B41" s="162" t="str">
        <f>IF(Lançamentos!$B36="","",Lançamentos!$B36)</f>
        <v/>
      </c>
      <c r="C41" s="163" t="str">
        <f>IF($B41="","",IFERROR(INDEX(Lançamentos!$J$3:$J$1001,MATCH($B41,Lançamentos!$B$3:$B$1001,0)),""))</f>
        <v/>
      </c>
      <c r="D41" s="419" t="str">
        <f>IF($B41="","",IFERROR(INDEX('E2 — Triagem'!$D$8:$D$507,MATCH($B41,'E2 — Triagem'!$B$8:$B$507,0)),""))</f>
        <v/>
      </c>
      <c r="E41" s="164"/>
      <c r="F41" s="164"/>
      <c r="G41" s="164"/>
      <c r="H41" s="164"/>
      <c r="I41" s="164"/>
      <c r="J41" s="164"/>
      <c r="K41" s="164"/>
      <c r="L41" s="165" t="str">
        <f t="shared" si="0"/>
        <v/>
      </c>
      <c r="M41" s="166"/>
      <c r="N41" s="167"/>
    </row>
    <row r="42" spans="2:14" ht="15" customHeight="1" x14ac:dyDescent="0.35">
      <c r="B42" s="162" t="str">
        <f>IF(Lançamentos!$B37="","",Lançamentos!$B37)</f>
        <v/>
      </c>
      <c r="C42" s="163" t="str">
        <f>IF($B42="","",IFERROR(INDEX(Lançamentos!$J$3:$J$1001,MATCH($B42,Lançamentos!$B$3:$B$1001,0)),""))</f>
        <v/>
      </c>
      <c r="D42" s="419" t="str">
        <f>IF($B42="","",IFERROR(INDEX('E2 — Triagem'!$D$8:$D$507,MATCH($B42,'E2 — Triagem'!$B$8:$B$507,0)),""))</f>
        <v/>
      </c>
      <c r="E42" s="164"/>
      <c r="F42" s="164"/>
      <c r="G42" s="164"/>
      <c r="H42" s="164"/>
      <c r="I42" s="164"/>
      <c r="J42" s="164"/>
      <c r="K42" s="164"/>
      <c r="L42" s="165" t="str">
        <f t="shared" si="0"/>
        <v/>
      </c>
      <c r="M42" s="166"/>
      <c r="N42" s="167"/>
    </row>
    <row r="43" spans="2:14" ht="15" customHeight="1" x14ac:dyDescent="0.35">
      <c r="B43" s="162" t="str">
        <f>IF(Lançamentos!$B38="","",Lançamentos!$B38)</f>
        <v/>
      </c>
      <c r="C43" s="163" t="str">
        <f>IF($B43="","",IFERROR(INDEX(Lançamentos!$J$3:$J$1001,MATCH($B43,Lançamentos!$B$3:$B$1001,0)),""))</f>
        <v/>
      </c>
      <c r="D43" s="419" t="str">
        <f>IF($B43="","",IFERROR(INDEX('E2 — Triagem'!$D$8:$D$507,MATCH($B43,'E2 — Triagem'!$B$8:$B$507,0)),""))</f>
        <v/>
      </c>
      <c r="E43" s="164"/>
      <c r="F43" s="164"/>
      <c r="G43" s="164"/>
      <c r="H43" s="164"/>
      <c r="I43" s="164"/>
      <c r="J43" s="164"/>
      <c r="K43" s="164"/>
      <c r="L43" s="165" t="str">
        <f t="shared" si="0"/>
        <v/>
      </c>
      <c r="M43" s="166"/>
      <c r="N43" s="167"/>
    </row>
    <row r="44" spans="2:14" ht="15" customHeight="1" x14ac:dyDescent="0.35">
      <c r="B44" s="162" t="str">
        <f>IF(Lançamentos!$B39="","",Lançamentos!$B39)</f>
        <v/>
      </c>
      <c r="C44" s="163" t="str">
        <f>IF($B44="","",IFERROR(INDEX(Lançamentos!$J$3:$J$1001,MATCH($B44,Lançamentos!$B$3:$B$1001,0)),""))</f>
        <v/>
      </c>
      <c r="D44" s="419" t="str">
        <f>IF($B44="","",IFERROR(INDEX('E2 — Triagem'!$D$8:$D$507,MATCH($B44,'E2 — Triagem'!$B$8:$B$507,0)),""))</f>
        <v/>
      </c>
      <c r="E44" s="164"/>
      <c r="F44" s="164"/>
      <c r="G44" s="164"/>
      <c r="H44" s="164"/>
      <c r="I44" s="164"/>
      <c r="J44" s="164"/>
      <c r="K44" s="164"/>
      <c r="L44" s="165" t="str">
        <f t="shared" si="0"/>
        <v/>
      </c>
      <c r="M44" s="166"/>
      <c r="N44" s="167"/>
    </row>
    <row r="45" spans="2:14" ht="15" customHeight="1" x14ac:dyDescent="0.35">
      <c r="B45" s="162" t="str">
        <f>IF(Lançamentos!$B40="","",Lançamentos!$B40)</f>
        <v/>
      </c>
      <c r="C45" s="163" t="str">
        <f>IF($B45="","",IFERROR(INDEX(Lançamentos!$J$3:$J$1001,MATCH($B45,Lançamentos!$B$3:$B$1001,0)),""))</f>
        <v/>
      </c>
      <c r="D45" s="419" t="str">
        <f>IF($B45="","",IFERROR(INDEX('E2 — Triagem'!$D$8:$D$507,MATCH($B45,'E2 — Triagem'!$B$8:$B$507,0)),""))</f>
        <v/>
      </c>
      <c r="E45" s="164"/>
      <c r="F45" s="164"/>
      <c r="G45" s="164"/>
      <c r="H45" s="164"/>
      <c r="I45" s="164"/>
      <c r="J45" s="164"/>
      <c r="K45" s="164"/>
      <c r="L45" s="165" t="str">
        <f t="shared" si="0"/>
        <v/>
      </c>
      <c r="M45" s="166"/>
      <c r="N45" s="167"/>
    </row>
    <row r="46" spans="2:14" ht="15" customHeight="1" x14ac:dyDescent="0.35">
      <c r="B46" s="162" t="str">
        <f>IF(Lançamentos!$B41="","",Lançamentos!$B41)</f>
        <v/>
      </c>
      <c r="C46" s="163" t="str">
        <f>IF($B46="","",IFERROR(INDEX(Lançamentos!$J$3:$J$1001,MATCH($B46,Lançamentos!$B$3:$B$1001,0)),""))</f>
        <v/>
      </c>
      <c r="D46" s="419" t="str">
        <f>IF($B46="","",IFERROR(INDEX('E2 — Triagem'!$D$8:$D$507,MATCH($B46,'E2 — Triagem'!$B$8:$B$507,0)),""))</f>
        <v/>
      </c>
      <c r="E46" s="164"/>
      <c r="F46" s="164"/>
      <c r="G46" s="164"/>
      <c r="H46" s="164"/>
      <c r="I46" s="164"/>
      <c r="J46" s="164"/>
      <c r="K46" s="164"/>
      <c r="L46" s="165" t="str">
        <f t="shared" si="0"/>
        <v/>
      </c>
      <c r="M46" s="166"/>
      <c r="N46" s="167"/>
    </row>
    <row r="47" spans="2:14" ht="15" customHeight="1" x14ac:dyDescent="0.35">
      <c r="B47" s="162" t="str">
        <f>IF(Lançamentos!$B42="","",Lançamentos!$B42)</f>
        <v/>
      </c>
      <c r="C47" s="163" t="str">
        <f>IF($B47="","",IFERROR(INDEX(Lançamentos!$J$3:$J$1001,MATCH($B47,Lançamentos!$B$3:$B$1001,0)),""))</f>
        <v/>
      </c>
      <c r="D47" s="419" t="str">
        <f>IF($B47="","",IFERROR(INDEX('E2 — Triagem'!$D$8:$D$507,MATCH($B47,'E2 — Triagem'!$B$8:$B$507,0)),""))</f>
        <v/>
      </c>
      <c r="E47" s="164"/>
      <c r="F47" s="164"/>
      <c r="G47" s="164"/>
      <c r="H47" s="164"/>
      <c r="I47" s="164"/>
      <c r="J47" s="164"/>
      <c r="K47" s="164"/>
      <c r="L47" s="165" t="str">
        <f t="shared" si="0"/>
        <v/>
      </c>
      <c r="M47" s="166"/>
      <c r="N47" s="167"/>
    </row>
    <row r="48" spans="2:14" ht="15" customHeight="1" x14ac:dyDescent="0.35">
      <c r="B48" s="162" t="str">
        <f>IF(Lançamentos!$B43="","",Lançamentos!$B43)</f>
        <v/>
      </c>
      <c r="C48" s="163" t="str">
        <f>IF($B48="","",IFERROR(INDEX(Lançamentos!$J$3:$J$1001,MATCH($B48,Lançamentos!$B$3:$B$1001,0)),""))</f>
        <v/>
      </c>
      <c r="D48" s="419" t="str">
        <f>IF($B48="","",IFERROR(INDEX('E2 — Triagem'!$D$8:$D$507,MATCH($B48,'E2 — Triagem'!$B$8:$B$507,0)),""))</f>
        <v/>
      </c>
      <c r="E48" s="164"/>
      <c r="F48" s="164"/>
      <c r="G48" s="164"/>
      <c r="H48" s="164"/>
      <c r="I48" s="164"/>
      <c r="J48" s="164"/>
      <c r="K48" s="164"/>
      <c r="L48" s="165" t="str">
        <f t="shared" si="0"/>
        <v/>
      </c>
      <c r="M48" s="166"/>
      <c r="N48" s="167"/>
    </row>
    <row r="49" spans="2:14" ht="15" customHeight="1" x14ac:dyDescent="0.35">
      <c r="B49" s="162" t="str">
        <f>IF(Lançamentos!$B44="","",Lançamentos!$B44)</f>
        <v/>
      </c>
      <c r="C49" s="163" t="str">
        <f>IF($B49="","",IFERROR(INDEX(Lançamentos!$J$3:$J$1001,MATCH($B49,Lançamentos!$B$3:$B$1001,0)),""))</f>
        <v/>
      </c>
      <c r="D49" s="419" t="str">
        <f>IF($B49="","",IFERROR(INDEX('E2 — Triagem'!$D$8:$D$507,MATCH($B49,'E2 — Triagem'!$B$8:$B$507,0)),""))</f>
        <v/>
      </c>
      <c r="E49" s="164"/>
      <c r="F49" s="164"/>
      <c r="G49" s="164"/>
      <c r="H49" s="164"/>
      <c r="I49" s="164"/>
      <c r="J49" s="164"/>
      <c r="K49" s="164"/>
      <c r="L49" s="165" t="str">
        <f t="shared" si="0"/>
        <v/>
      </c>
      <c r="M49" s="166"/>
      <c r="N49" s="167"/>
    </row>
    <row r="50" spans="2:14" ht="15" customHeight="1" x14ac:dyDescent="0.35">
      <c r="B50" s="162" t="str">
        <f>IF(Lançamentos!$B45="","",Lançamentos!$B45)</f>
        <v/>
      </c>
      <c r="C50" s="163" t="str">
        <f>IF($B50="","",IFERROR(INDEX(Lançamentos!$J$3:$J$1001,MATCH($B50,Lançamentos!$B$3:$B$1001,0)),""))</f>
        <v/>
      </c>
      <c r="D50" s="419" t="str">
        <f>IF($B50="","",IFERROR(INDEX('E2 — Triagem'!$D$8:$D$507,MATCH($B50,'E2 — Triagem'!$B$8:$B$507,0)),""))</f>
        <v/>
      </c>
      <c r="E50" s="164"/>
      <c r="F50" s="164"/>
      <c r="G50" s="164"/>
      <c r="H50" s="164"/>
      <c r="I50" s="164"/>
      <c r="J50" s="164"/>
      <c r="K50" s="164"/>
      <c r="L50" s="165" t="str">
        <f t="shared" si="0"/>
        <v/>
      </c>
      <c r="M50" s="166"/>
      <c r="N50" s="167"/>
    </row>
    <row r="51" spans="2:14" ht="15" customHeight="1" x14ac:dyDescent="0.35">
      <c r="B51" s="162" t="str">
        <f>IF(Lançamentos!$B46="","",Lançamentos!$B46)</f>
        <v/>
      </c>
      <c r="C51" s="163" t="str">
        <f>IF($B51="","",IFERROR(INDEX(Lançamentos!$J$3:$J$1001,MATCH($B51,Lançamentos!$B$3:$B$1001,0)),""))</f>
        <v/>
      </c>
      <c r="D51" s="419" t="str">
        <f>IF($B51="","",IFERROR(INDEX('E2 — Triagem'!$D$8:$D$507,MATCH($B51,'E2 — Triagem'!$B$8:$B$507,0)),""))</f>
        <v/>
      </c>
      <c r="E51" s="164"/>
      <c r="F51" s="164"/>
      <c r="G51" s="164"/>
      <c r="H51" s="164"/>
      <c r="I51" s="164"/>
      <c r="J51" s="164"/>
      <c r="K51" s="164"/>
      <c r="L51" s="165" t="str">
        <f t="shared" si="0"/>
        <v/>
      </c>
      <c r="M51" s="166"/>
      <c r="N51" s="167"/>
    </row>
    <row r="52" spans="2:14" ht="15" customHeight="1" x14ac:dyDescent="0.35">
      <c r="B52" s="162" t="str">
        <f>IF(Lançamentos!$B47="","",Lançamentos!$B47)</f>
        <v/>
      </c>
      <c r="C52" s="163" t="str">
        <f>IF($B52="","",IFERROR(INDEX(Lançamentos!$J$3:$J$1001,MATCH($B52,Lançamentos!$B$3:$B$1001,0)),""))</f>
        <v/>
      </c>
      <c r="D52" s="419" t="str">
        <f>IF($B52="","",IFERROR(INDEX('E2 — Triagem'!$D$8:$D$507,MATCH($B52,'E2 — Triagem'!$B$8:$B$507,0)),""))</f>
        <v/>
      </c>
      <c r="E52" s="164"/>
      <c r="F52" s="164"/>
      <c r="G52" s="164"/>
      <c r="H52" s="164"/>
      <c r="I52" s="164"/>
      <c r="J52" s="164"/>
      <c r="K52" s="164"/>
      <c r="L52" s="165" t="str">
        <f t="shared" si="0"/>
        <v/>
      </c>
      <c r="M52" s="166"/>
      <c r="N52" s="167"/>
    </row>
    <row r="53" spans="2:14" ht="15" customHeight="1" x14ac:dyDescent="0.35">
      <c r="B53" s="162" t="str">
        <f>IF(Lançamentos!$B48="","",Lançamentos!$B48)</f>
        <v/>
      </c>
      <c r="C53" s="163" t="str">
        <f>IF($B53="","",IFERROR(INDEX(Lançamentos!$J$3:$J$1001,MATCH($B53,Lançamentos!$B$3:$B$1001,0)),""))</f>
        <v/>
      </c>
      <c r="D53" s="419" t="str">
        <f>IF($B53="","",IFERROR(INDEX('E2 — Triagem'!$D$8:$D$507,MATCH($B53,'E2 — Triagem'!$B$8:$B$507,0)),""))</f>
        <v/>
      </c>
      <c r="E53" s="164"/>
      <c r="F53" s="164"/>
      <c r="G53" s="164"/>
      <c r="H53" s="164"/>
      <c r="I53" s="164"/>
      <c r="J53" s="164"/>
      <c r="K53" s="164"/>
      <c r="L53" s="165" t="str">
        <f t="shared" si="0"/>
        <v/>
      </c>
      <c r="M53" s="166"/>
      <c r="N53" s="167"/>
    </row>
    <row r="54" spans="2:14" ht="15" customHeight="1" x14ac:dyDescent="0.35">
      <c r="B54" s="162" t="str">
        <f>IF(Lançamentos!$B49="","",Lançamentos!$B49)</f>
        <v/>
      </c>
      <c r="C54" s="163" t="str">
        <f>IF($B54="","",IFERROR(INDEX(Lançamentos!$J$3:$J$1001,MATCH($B54,Lançamentos!$B$3:$B$1001,0)),""))</f>
        <v/>
      </c>
      <c r="D54" s="419" t="str">
        <f>IF($B54="","",IFERROR(INDEX('E2 — Triagem'!$D$8:$D$507,MATCH($B54,'E2 — Triagem'!$B$8:$B$507,0)),""))</f>
        <v/>
      </c>
      <c r="E54" s="164"/>
      <c r="F54" s="164"/>
      <c r="G54" s="164"/>
      <c r="H54" s="164"/>
      <c r="I54" s="164"/>
      <c r="J54" s="164"/>
      <c r="K54" s="164"/>
      <c r="L54" s="165" t="str">
        <f t="shared" si="0"/>
        <v/>
      </c>
      <c r="M54" s="166"/>
      <c r="N54" s="167"/>
    </row>
    <row r="55" spans="2:14" ht="15" customHeight="1" x14ac:dyDescent="0.35">
      <c r="B55" s="162" t="str">
        <f>IF(Lançamentos!$B50="","",Lançamentos!$B50)</f>
        <v/>
      </c>
      <c r="C55" s="163" t="str">
        <f>IF($B55="","",IFERROR(INDEX(Lançamentos!$J$3:$J$1001,MATCH($B55,Lançamentos!$B$3:$B$1001,0)),""))</f>
        <v/>
      </c>
      <c r="D55" s="419" t="str">
        <f>IF($B55="","",IFERROR(INDEX('E2 — Triagem'!$D$8:$D$507,MATCH($B55,'E2 — Triagem'!$B$8:$B$507,0)),""))</f>
        <v/>
      </c>
      <c r="E55" s="164"/>
      <c r="F55" s="164"/>
      <c r="G55" s="164"/>
      <c r="H55" s="164"/>
      <c r="I55" s="164"/>
      <c r="J55" s="164"/>
      <c r="K55" s="164"/>
      <c r="L55" s="165" t="str">
        <f t="shared" si="0"/>
        <v/>
      </c>
      <c r="M55" s="166"/>
      <c r="N55" s="167"/>
    </row>
    <row r="56" spans="2:14" ht="15" customHeight="1" x14ac:dyDescent="0.35">
      <c r="B56" s="162" t="str">
        <f>IF(Lançamentos!$B51="","",Lançamentos!$B51)</f>
        <v/>
      </c>
      <c r="C56" s="163" t="str">
        <f>IF($B56="","",IFERROR(INDEX(Lançamentos!$J$3:$J$1001,MATCH($B56,Lançamentos!$B$3:$B$1001,0)),""))</f>
        <v/>
      </c>
      <c r="D56" s="419" t="str">
        <f>IF($B56="","",IFERROR(INDEX('E2 — Triagem'!$D$8:$D$507,MATCH($B56,'E2 — Triagem'!$B$8:$B$507,0)),""))</f>
        <v/>
      </c>
      <c r="E56" s="164"/>
      <c r="F56" s="164"/>
      <c r="G56" s="164"/>
      <c r="H56" s="164"/>
      <c r="I56" s="164"/>
      <c r="J56" s="164"/>
      <c r="K56" s="164"/>
      <c r="L56" s="165" t="str">
        <f t="shared" si="0"/>
        <v/>
      </c>
      <c r="M56" s="166"/>
      <c r="N56" s="167"/>
    </row>
    <row r="57" spans="2:14" ht="15" customHeight="1" x14ac:dyDescent="0.35">
      <c r="B57" s="162" t="str">
        <f>IF(Lançamentos!$B52="","",Lançamentos!$B52)</f>
        <v/>
      </c>
      <c r="C57" s="163" t="str">
        <f>IF($B57="","",IFERROR(INDEX(Lançamentos!$J$3:$J$1001,MATCH($B57,Lançamentos!$B$3:$B$1001,0)),""))</f>
        <v/>
      </c>
      <c r="D57" s="419" t="str">
        <f>IF($B57="","",IFERROR(INDEX('E2 — Triagem'!$D$8:$D$507,MATCH($B57,'E2 — Triagem'!$B$8:$B$507,0)),""))</f>
        <v/>
      </c>
      <c r="E57" s="164"/>
      <c r="F57" s="164"/>
      <c r="G57" s="164"/>
      <c r="H57" s="164"/>
      <c r="I57" s="164"/>
      <c r="J57" s="164"/>
      <c r="K57" s="164"/>
      <c r="L57" s="165" t="str">
        <f t="shared" si="0"/>
        <v/>
      </c>
      <c r="M57" s="166"/>
      <c r="N57" s="167"/>
    </row>
    <row r="58" spans="2:14" ht="15" customHeight="1" x14ac:dyDescent="0.35">
      <c r="B58" s="162" t="str">
        <f>IF(Lançamentos!$B53="","",Lançamentos!$B53)</f>
        <v/>
      </c>
      <c r="C58" s="163" t="str">
        <f>IF($B58="","",IFERROR(INDEX(Lançamentos!$J$3:$J$1001,MATCH($B58,Lançamentos!$B$3:$B$1001,0)),""))</f>
        <v/>
      </c>
      <c r="D58" s="419" t="str">
        <f>IF($B58="","",IFERROR(INDEX('E2 — Triagem'!$D$8:$D$507,MATCH($B58,'E2 — Triagem'!$B$8:$B$507,0)),""))</f>
        <v/>
      </c>
      <c r="E58" s="164"/>
      <c r="F58" s="164"/>
      <c r="G58" s="164"/>
      <c r="H58" s="164"/>
      <c r="I58" s="164"/>
      <c r="J58" s="164"/>
      <c r="K58" s="164"/>
      <c r="L58" s="165" t="str">
        <f t="shared" si="0"/>
        <v/>
      </c>
      <c r="M58" s="166"/>
      <c r="N58" s="167"/>
    </row>
    <row r="59" spans="2:14" ht="15" customHeight="1" x14ac:dyDescent="0.35">
      <c r="B59" s="162" t="str">
        <f>IF(Lançamentos!$B54="","",Lançamentos!$B54)</f>
        <v/>
      </c>
      <c r="C59" s="163" t="str">
        <f>IF($B59="","",IFERROR(INDEX(Lançamentos!$J$3:$J$1001,MATCH($B59,Lançamentos!$B$3:$B$1001,0)),""))</f>
        <v/>
      </c>
      <c r="D59" s="419" t="str">
        <f>IF($B59="","",IFERROR(INDEX('E2 — Triagem'!$D$8:$D$507,MATCH($B59,'E2 — Triagem'!$B$8:$B$507,0)),""))</f>
        <v/>
      </c>
      <c r="E59" s="164"/>
      <c r="F59" s="164"/>
      <c r="G59" s="164"/>
      <c r="H59" s="164"/>
      <c r="I59" s="164"/>
      <c r="J59" s="164"/>
      <c r="K59" s="164"/>
      <c r="L59" s="165" t="str">
        <f t="shared" si="0"/>
        <v/>
      </c>
      <c r="M59" s="166"/>
      <c r="N59" s="167"/>
    </row>
    <row r="60" spans="2:14" ht="15" customHeight="1" x14ac:dyDescent="0.35">
      <c r="B60" s="162" t="str">
        <f>IF(Lançamentos!$B55="","",Lançamentos!$B55)</f>
        <v/>
      </c>
      <c r="C60" s="163" t="str">
        <f>IF($B60="","",IFERROR(INDEX(Lançamentos!$J$3:$J$1001,MATCH($B60,Lançamentos!$B$3:$B$1001,0)),""))</f>
        <v/>
      </c>
      <c r="D60" s="419" t="str">
        <f>IF($B60="","",IFERROR(INDEX('E2 — Triagem'!$D$8:$D$507,MATCH($B60,'E2 — Triagem'!$B$8:$B$507,0)),""))</f>
        <v/>
      </c>
      <c r="E60" s="164"/>
      <c r="F60" s="164"/>
      <c r="G60" s="164"/>
      <c r="H60" s="164"/>
      <c r="I60" s="164"/>
      <c r="J60" s="164"/>
      <c r="K60" s="164"/>
      <c r="L60" s="165" t="str">
        <f t="shared" si="0"/>
        <v/>
      </c>
      <c r="M60" s="166"/>
      <c r="N60" s="167"/>
    </row>
    <row r="61" spans="2:14" ht="15" customHeight="1" x14ac:dyDescent="0.35">
      <c r="B61" s="162" t="str">
        <f>IF(Lançamentos!$B56="","",Lançamentos!$B56)</f>
        <v/>
      </c>
      <c r="C61" s="163" t="str">
        <f>IF($B61="","",IFERROR(INDEX(Lançamentos!$J$3:$J$1001,MATCH($B61,Lançamentos!$B$3:$B$1001,0)),""))</f>
        <v/>
      </c>
      <c r="D61" s="419" t="str">
        <f>IF($B61="","",IFERROR(INDEX('E2 — Triagem'!$D$8:$D$507,MATCH($B61,'E2 — Triagem'!$B$8:$B$507,0)),""))</f>
        <v/>
      </c>
      <c r="E61" s="164"/>
      <c r="F61" s="164"/>
      <c r="G61" s="164"/>
      <c r="H61" s="164"/>
      <c r="I61" s="164"/>
      <c r="J61" s="164"/>
      <c r="K61" s="164"/>
      <c r="L61" s="165" t="str">
        <f t="shared" si="0"/>
        <v/>
      </c>
      <c r="M61" s="166"/>
      <c r="N61" s="167"/>
    </row>
    <row r="62" spans="2:14" ht="15" customHeight="1" x14ac:dyDescent="0.35">
      <c r="B62" s="162" t="str">
        <f>IF(Lançamentos!$B57="","",Lançamentos!$B57)</f>
        <v/>
      </c>
      <c r="C62" s="163" t="str">
        <f>IF($B62="","",IFERROR(INDEX(Lançamentos!$J$3:$J$1001,MATCH($B62,Lançamentos!$B$3:$B$1001,0)),""))</f>
        <v/>
      </c>
      <c r="D62" s="419" t="str">
        <f>IF($B62="","",IFERROR(INDEX('E2 — Triagem'!$D$8:$D$507,MATCH($B62,'E2 — Triagem'!$B$8:$B$507,0)),""))</f>
        <v/>
      </c>
      <c r="E62" s="164"/>
      <c r="F62" s="164"/>
      <c r="G62" s="164"/>
      <c r="H62" s="164"/>
      <c r="I62" s="164"/>
      <c r="J62" s="164"/>
      <c r="K62" s="164"/>
      <c r="L62" s="165" t="str">
        <f t="shared" si="0"/>
        <v/>
      </c>
      <c r="M62" s="166"/>
      <c r="N62" s="167"/>
    </row>
    <row r="63" spans="2:14" ht="15" customHeight="1" x14ac:dyDescent="0.35">
      <c r="B63" s="162" t="str">
        <f>IF(Lançamentos!$B58="","",Lançamentos!$B58)</f>
        <v/>
      </c>
      <c r="C63" s="163" t="str">
        <f>IF($B63="","",IFERROR(INDEX(Lançamentos!$J$3:$J$1001,MATCH($B63,Lançamentos!$B$3:$B$1001,0)),""))</f>
        <v/>
      </c>
      <c r="D63" s="419" t="str">
        <f>IF($B63="","",IFERROR(INDEX('E2 — Triagem'!$D$8:$D$507,MATCH($B63,'E2 — Triagem'!$B$8:$B$507,0)),""))</f>
        <v/>
      </c>
      <c r="E63" s="164"/>
      <c r="F63" s="164"/>
      <c r="G63" s="164"/>
      <c r="H63" s="164"/>
      <c r="I63" s="164"/>
      <c r="J63" s="164"/>
      <c r="K63" s="164"/>
      <c r="L63" s="165" t="str">
        <f t="shared" si="0"/>
        <v/>
      </c>
      <c r="M63" s="166"/>
      <c r="N63" s="167"/>
    </row>
    <row r="64" spans="2:14" ht="15" customHeight="1" x14ac:dyDescent="0.35">
      <c r="B64" s="162" t="str">
        <f>IF(Lançamentos!$B59="","",Lançamentos!$B59)</f>
        <v/>
      </c>
      <c r="C64" s="163" t="str">
        <f>IF($B64="","",IFERROR(INDEX(Lançamentos!$J$3:$J$1001,MATCH($B64,Lançamentos!$B$3:$B$1001,0)),""))</f>
        <v/>
      </c>
      <c r="D64" s="419" t="str">
        <f>IF($B64="","",IFERROR(INDEX('E2 — Triagem'!$D$8:$D$507,MATCH($B64,'E2 — Triagem'!$B$8:$B$507,0)),""))</f>
        <v/>
      </c>
      <c r="E64" s="164"/>
      <c r="F64" s="164"/>
      <c r="G64" s="164"/>
      <c r="H64" s="164"/>
      <c r="I64" s="164"/>
      <c r="J64" s="164"/>
      <c r="K64" s="164"/>
      <c r="L64" s="165" t="str">
        <f t="shared" si="0"/>
        <v/>
      </c>
      <c r="M64" s="166"/>
      <c r="N64" s="167"/>
    </row>
    <row r="65" spans="2:14" ht="15" customHeight="1" x14ac:dyDescent="0.35">
      <c r="B65" s="162" t="str">
        <f>IF(Lançamentos!$B60="","",Lançamentos!$B60)</f>
        <v/>
      </c>
      <c r="C65" s="163" t="str">
        <f>IF($B65="","",IFERROR(INDEX(Lançamentos!$J$3:$J$1001,MATCH($B65,Lançamentos!$B$3:$B$1001,0)),""))</f>
        <v/>
      </c>
      <c r="D65" s="419" t="str">
        <f>IF($B65="","",IFERROR(INDEX('E2 — Triagem'!$D$8:$D$507,MATCH($B65,'E2 — Triagem'!$B$8:$B$507,0)),""))</f>
        <v/>
      </c>
      <c r="E65" s="164"/>
      <c r="F65" s="164"/>
      <c r="G65" s="164"/>
      <c r="H65" s="164"/>
      <c r="I65" s="164"/>
      <c r="J65" s="164"/>
      <c r="K65" s="164"/>
      <c r="L65" s="165" t="str">
        <f t="shared" si="0"/>
        <v/>
      </c>
      <c r="M65" s="166"/>
      <c r="N65" s="167"/>
    </row>
    <row r="66" spans="2:14" ht="15" customHeight="1" x14ac:dyDescent="0.35">
      <c r="B66" s="162" t="str">
        <f>IF(Lançamentos!$B61="","",Lançamentos!$B61)</f>
        <v/>
      </c>
      <c r="C66" s="163" t="str">
        <f>IF($B66="","",IFERROR(INDEX(Lançamentos!$J$3:$J$1001,MATCH($B66,Lançamentos!$B$3:$B$1001,0)),""))</f>
        <v/>
      </c>
      <c r="D66" s="419" t="str">
        <f>IF($B66="","",IFERROR(INDEX('E2 — Triagem'!$D$8:$D$507,MATCH($B66,'E2 — Triagem'!$B$8:$B$507,0)),""))</f>
        <v/>
      </c>
      <c r="E66" s="164"/>
      <c r="F66" s="164"/>
      <c r="G66" s="164"/>
      <c r="H66" s="164"/>
      <c r="I66" s="164"/>
      <c r="J66" s="164"/>
      <c r="K66" s="164"/>
      <c r="L66" s="165" t="str">
        <f t="shared" si="0"/>
        <v/>
      </c>
      <c r="M66" s="166"/>
      <c r="N66" s="167"/>
    </row>
    <row r="67" spans="2:14" ht="15" customHeight="1" x14ac:dyDescent="0.35">
      <c r="B67" s="162" t="str">
        <f>IF(Lançamentos!$B62="","",Lançamentos!$B62)</f>
        <v/>
      </c>
      <c r="C67" s="163" t="str">
        <f>IF($B67="","",IFERROR(INDEX(Lançamentos!$J$3:$J$1001,MATCH($B67,Lançamentos!$B$3:$B$1001,0)),""))</f>
        <v/>
      </c>
      <c r="D67" s="419" t="str">
        <f>IF($B67="","",IFERROR(INDEX('E2 — Triagem'!$D$8:$D$507,MATCH($B67,'E2 — Triagem'!$B$8:$B$507,0)),""))</f>
        <v/>
      </c>
      <c r="E67" s="164"/>
      <c r="F67" s="164"/>
      <c r="G67" s="164"/>
      <c r="H67" s="164"/>
      <c r="I67" s="164"/>
      <c r="J67" s="164"/>
      <c r="K67" s="164"/>
      <c r="L67" s="165" t="str">
        <f t="shared" si="0"/>
        <v/>
      </c>
      <c r="M67" s="166"/>
      <c r="N67" s="167"/>
    </row>
    <row r="68" spans="2:14" ht="15" customHeight="1" x14ac:dyDescent="0.35">
      <c r="B68" s="162" t="str">
        <f>IF(Lançamentos!$B63="","",Lançamentos!$B63)</f>
        <v/>
      </c>
      <c r="C68" s="163" t="str">
        <f>IF($B68="","",IFERROR(INDEX(Lançamentos!$J$3:$J$1001,MATCH($B68,Lançamentos!$B$3:$B$1001,0)),""))</f>
        <v/>
      </c>
      <c r="D68" s="419" t="str">
        <f>IF($B68="","",IFERROR(INDEX('E2 — Triagem'!$D$8:$D$507,MATCH($B68,'E2 — Triagem'!$B$8:$B$507,0)),""))</f>
        <v/>
      </c>
      <c r="E68" s="164"/>
      <c r="F68" s="164"/>
      <c r="G68" s="164"/>
      <c r="H68" s="164"/>
      <c r="I68" s="164"/>
      <c r="J68" s="164"/>
      <c r="K68" s="164"/>
      <c r="L68" s="165" t="str">
        <f t="shared" si="0"/>
        <v/>
      </c>
      <c r="M68" s="166"/>
      <c r="N68" s="167"/>
    </row>
    <row r="69" spans="2:14" ht="15" customHeight="1" x14ac:dyDescent="0.35">
      <c r="B69" s="162" t="str">
        <f>IF(Lançamentos!$B64="","",Lançamentos!$B64)</f>
        <v/>
      </c>
      <c r="C69" s="163" t="str">
        <f>IF($B69="","",IFERROR(INDEX(Lançamentos!$J$3:$J$1001,MATCH($B69,Lançamentos!$B$3:$B$1001,0)),""))</f>
        <v/>
      </c>
      <c r="D69" s="419" t="str">
        <f>IF($B69="","",IFERROR(INDEX('E2 — Triagem'!$D$8:$D$507,MATCH($B69,'E2 — Triagem'!$B$8:$B$507,0)),""))</f>
        <v/>
      </c>
      <c r="E69" s="164"/>
      <c r="F69" s="164"/>
      <c r="G69" s="164"/>
      <c r="H69" s="164"/>
      <c r="I69" s="164"/>
      <c r="J69" s="164"/>
      <c r="K69" s="164"/>
      <c r="L69" s="165" t="str">
        <f t="shared" si="0"/>
        <v/>
      </c>
      <c r="M69" s="166"/>
      <c r="N69" s="167"/>
    </row>
    <row r="70" spans="2:14" ht="15" customHeight="1" x14ac:dyDescent="0.35">
      <c r="B70" s="162" t="str">
        <f>IF(Lançamentos!$B65="","",Lançamentos!$B65)</f>
        <v/>
      </c>
      <c r="C70" s="163" t="str">
        <f>IF($B70="","",IFERROR(INDEX(Lançamentos!$J$3:$J$1001,MATCH($B70,Lançamentos!$B$3:$B$1001,0)),""))</f>
        <v/>
      </c>
      <c r="D70" s="419" t="str">
        <f>IF($B70="","",IFERROR(INDEX('E2 — Triagem'!$D$8:$D$507,MATCH($B70,'E2 — Triagem'!$B$8:$B$507,0)),""))</f>
        <v/>
      </c>
      <c r="E70" s="164"/>
      <c r="F70" s="164"/>
      <c r="G70" s="164"/>
      <c r="H70" s="164"/>
      <c r="I70" s="164"/>
      <c r="J70" s="164"/>
      <c r="K70" s="164"/>
      <c r="L70" s="165" t="str">
        <f t="shared" si="0"/>
        <v/>
      </c>
      <c r="M70" s="166"/>
      <c r="N70" s="167"/>
    </row>
    <row r="71" spans="2:14" ht="15" customHeight="1" x14ac:dyDescent="0.35">
      <c r="B71" s="162" t="str">
        <f>IF(Lançamentos!$B66="","",Lançamentos!$B66)</f>
        <v/>
      </c>
      <c r="C71" s="163" t="str">
        <f>IF($B71="","",IFERROR(INDEX(Lançamentos!$J$3:$J$1001,MATCH($B71,Lançamentos!$B$3:$B$1001,0)),""))</f>
        <v/>
      </c>
      <c r="D71" s="419" t="str">
        <f>IF($B71="","",IFERROR(INDEX('E2 — Triagem'!$D$8:$D$507,MATCH($B71,'E2 — Triagem'!$B$8:$B$507,0)),""))</f>
        <v/>
      </c>
      <c r="E71" s="164"/>
      <c r="F71" s="164"/>
      <c r="G71" s="164"/>
      <c r="H71" s="164"/>
      <c r="I71" s="164"/>
      <c r="J71" s="164"/>
      <c r="K71" s="164"/>
      <c r="L71" s="165" t="str">
        <f t="shared" si="0"/>
        <v/>
      </c>
      <c r="M71" s="166"/>
      <c r="N71" s="167"/>
    </row>
    <row r="72" spans="2:14" ht="15" customHeight="1" x14ac:dyDescent="0.35">
      <c r="B72" s="162" t="str">
        <f>IF(Lançamentos!$B67="","",Lançamentos!$B67)</f>
        <v/>
      </c>
      <c r="C72" s="163" t="str">
        <f>IF($B72="","",IFERROR(INDEX(Lançamentos!$J$3:$J$1001,MATCH($B72,Lançamentos!$B$3:$B$1001,0)),""))</f>
        <v/>
      </c>
      <c r="D72" s="419" t="str">
        <f>IF($B72="","",IFERROR(INDEX('E2 — Triagem'!$D$8:$D$507,MATCH($B72,'E2 — Triagem'!$B$8:$B$507,0)),""))</f>
        <v/>
      </c>
      <c r="E72" s="164"/>
      <c r="F72" s="164"/>
      <c r="G72" s="164"/>
      <c r="H72" s="164"/>
      <c r="I72" s="164"/>
      <c r="J72" s="164"/>
      <c r="K72" s="164"/>
      <c r="L72" s="165" t="str">
        <f t="shared" si="0"/>
        <v/>
      </c>
      <c r="M72" s="166"/>
      <c r="N72" s="167"/>
    </row>
    <row r="73" spans="2:14" ht="15" customHeight="1" x14ac:dyDescent="0.35">
      <c r="B73" s="162" t="str">
        <f>IF(Lançamentos!$B68="","",Lançamentos!$B68)</f>
        <v/>
      </c>
      <c r="C73" s="163" t="str">
        <f>IF($B73="","",IFERROR(INDEX(Lançamentos!$J$3:$J$1001,MATCH($B73,Lançamentos!$B$3:$B$1001,0)),""))</f>
        <v/>
      </c>
      <c r="D73" s="419" t="str">
        <f>IF($B73="","",IFERROR(INDEX('E2 — Triagem'!$D$8:$D$507,MATCH($B73,'E2 — Triagem'!$B$8:$B$507,0)),""))</f>
        <v/>
      </c>
      <c r="E73" s="164"/>
      <c r="F73" s="164"/>
      <c r="G73" s="164"/>
      <c r="H73" s="164"/>
      <c r="I73" s="164"/>
      <c r="J73" s="164"/>
      <c r="K73" s="164"/>
      <c r="L73" s="165" t="str">
        <f t="shared" ref="L73:L136" si="1">IF(B73="","",IF(COUNTIF(E73:K73,"N/A")=7,0,IF(COUNTIF(E73:K73,"✔ Concluído")=7,1,MIN(99%,COUNTIF(E73:K73,"✔ Concluído")/(7-COUNTIF(E73:K73,"N/A"))))))</f>
        <v/>
      </c>
      <c r="M73" s="166"/>
      <c r="N73" s="167"/>
    </row>
    <row r="74" spans="2:14" ht="15" customHeight="1" x14ac:dyDescent="0.35">
      <c r="B74" s="162" t="str">
        <f>IF(Lançamentos!$B69="","",Lançamentos!$B69)</f>
        <v/>
      </c>
      <c r="C74" s="163" t="str">
        <f>IF($B74="","",IFERROR(INDEX(Lançamentos!$J$3:$J$1001,MATCH($B74,Lançamentos!$B$3:$B$1001,0)),""))</f>
        <v/>
      </c>
      <c r="D74" s="419" t="str">
        <f>IF($B74="","",IFERROR(INDEX('E2 — Triagem'!$D$8:$D$507,MATCH($B74,'E2 — Triagem'!$B$8:$B$507,0)),""))</f>
        <v/>
      </c>
      <c r="E74" s="164"/>
      <c r="F74" s="164"/>
      <c r="G74" s="164"/>
      <c r="H74" s="164"/>
      <c r="I74" s="164"/>
      <c r="J74" s="164"/>
      <c r="K74" s="164"/>
      <c r="L74" s="165" t="str">
        <f t="shared" si="1"/>
        <v/>
      </c>
      <c r="M74" s="166"/>
      <c r="N74" s="167"/>
    </row>
    <row r="75" spans="2:14" ht="15" customHeight="1" x14ac:dyDescent="0.35">
      <c r="B75" s="162" t="str">
        <f>IF(Lançamentos!$B70="","",Lançamentos!$B70)</f>
        <v/>
      </c>
      <c r="C75" s="163" t="str">
        <f>IF($B75="","",IFERROR(INDEX(Lançamentos!$J$3:$J$1001,MATCH($B75,Lançamentos!$B$3:$B$1001,0)),""))</f>
        <v/>
      </c>
      <c r="D75" s="419" t="str">
        <f>IF($B75="","",IFERROR(INDEX('E2 — Triagem'!$D$8:$D$507,MATCH($B75,'E2 — Triagem'!$B$8:$B$507,0)),""))</f>
        <v/>
      </c>
      <c r="E75" s="164"/>
      <c r="F75" s="164"/>
      <c r="G75" s="164"/>
      <c r="H75" s="164"/>
      <c r="I75" s="164"/>
      <c r="J75" s="164"/>
      <c r="K75" s="164"/>
      <c r="L75" s="165" t="str">
        <f t="shared" si="1"/>
        <v/>
      </c>
      <c r="M75" s="166"/>
      <c r="N75" s="167"/>
    </row>
    <row r="76" spans="2:14" ht="15" customHeight="1" x14ac:dyDescent="0.35">
      <c r="B76" s="162" t="str">
        <f>IF(Lançamentos!$B71="","",Lançamentos!$B71)</f>
        <v/>
      </c>
      <c r="C76" s="163" t="str">
        <f>IF($B76="","",IFERROR(INDEX(Lançamentos!$J$3:$J$1001,MATCH($B76,Lançamentos!$B$3:$B$1001,0)),""))</f>
        <v/>
      </c>
      <c r="D76" s="419" t="str">
        <f>IF($B76="","",IFERROR(INDEX('E2 — Triagem'!$D$8:$D$507,MATCH($B76,'E2 — Triagem'!$B$8:$B$507,0)),""))</f>
        <v/>
      </c>
      <c r="E76" s="164"/>
      <c r="F76" s="164"/>
      <c r="G76" s="164"/>
      <c r="H76" s="164"/>
      <c r="I76" s="164"/>
      <c r="J76" s="164"/>
      <c r="K76" s="164"/>
      <c r="L76" s="165" t="str">
        <f t="shared" si="1"/>
        <v/>
      </c>
      <c r="M76" s="166"/>
      <c r="N76" s="167"/>
    </row>
    <row r="77" spans="2:14" ht="15" customHeight="1" x14ac:dyDescent="0.35">
      <c r="B77" s="162" t="str">
        <f>IF(Lançamentos!$B72="","",Lançamentos!$B72)</f>
        <v/>
      </c>
      <c r="C77" s="163" t="str">
        <f>IF($B77="","",IFERROR(INDEX(Lançamentos!$J$3:$J$1001,MATCH($B77,Lançamentos!$B$3:$B$1001,0)),""))</f>
        <v/>
      </c>
      <c r="D77" s="419" t="str">
        <f>IF($B77="","",IFERROR(INDEX('E2 — Triagem'!$D$8:$D$507,MATCH($B77,'E2 — Triagem'!$B$8:$B$507,0)),""))</f>
        <v/>
      </c>
      <c r="E77" s="164"/>
      <c r="F77" s="164"/>
      <c r="G77" s="164"/>
      <c r="H77" s="164"/>
      <c r="I77" s="164"/>
      <c r="J77" s="164"/>
      <c r="K77" s="164"/>
      <c r="L77" s="165" t="str">
        <f t="shared" si="1"/>
        <v/>
      </c>
      <c r="M77" s="166"/>
      <c r="N77" s="167"/>
    </row>
    <row r="78" spans="2:14" ht="15" customHeight="1" x14ac:dyDescent="0.35">
      <c r="B78" s="162" t="str">
        <f>IF(Lançamentos!$B73="","",Lançamentos!$B73)</f>
        <v/>
      </c>
      <c r="C78" s="163" t="str">
        <f>IF($B78="","",IFERROR(INDEX(Lançamentos!$J$3:$J$1001,MATCH($B78,Lançamentos!$B$3:$B$1001,0)),""))</f>
        <v/>
      </c>
      <c r="D78" s="419" t="str">
        <f>IF($B78="","",IFERROR(INDEX('E2 — Triagem'!$D$8:$D$507,MATCH($B78,'E2 — Triagem'!$B$8:$B$507,0)),""))</f>
        <v/>
      </c>
      <c r="E78" s="164"/>
      <c r="F78" s="164"/>
      <c r="G78" s="164"/>
      <c r="H78" s="164"/>
      <c r="I78" s="164"/>
      <c r="J78" s="164"/>
      <c r="K78" s="164"/>
      <c r="L78" s="165" t="str">
        <f t="shared" si="1"/>
        <v/>
      </c>
      <c r="M78" s="166"/>
      <c r="N78" s="167"/>
    </row>
    <row r="79" spans="2:14" ht="15" customHeight="1" x14ac:dyDescent="0.35">
      <c r="B79" s="162" t="str">
        <f>IF(Lançamentos!$B74="","",Lançamentos!$B74)</f>
        <v/>
      </c>
      <c r="C79" s="163" t="str">
        <f>IF($B79="","",IFERROR(INDEX(Lançamentos!$J$3:$J$1001,MATCH($B79,Lançamentos!$B$3:$B$1001,0)),""))</f>
        <v/>
      </c>
      <c r="D79" s="419" t="str">
        <f>IF($B79="","",IFERROR(INDEX('E2 — Triagem'!$D$8:$D$507,MATCH($B79,'E2 — Triagem'!$B$8:$B$507,0)),""))</f>
        <v/>
      </c>
      <c r="E79" s="164"/>
      <c r="F79" s="164"/>
      <c r="G79" s="164"/>
      <c r="H79" s="164"/>
      <c r="I79" s="164"/>
      <c r="J79" s="164"/>
      <c r="K79" s="164"/>
      <c r="L79" s="165" t="str">
        <f t="shared" si="1"/>
        <v/>
      </c>
      <c r="M79" s="166"/>
      <c r="N79" s="167"/>
    </row>
    <row r="80" spans="2:14" ht="15" customHeight="1" x14ac:dyDescent="0.35">
      <c r="B80" s="162" t="str">
        <f>IF(Lançamentos!$B75="","",Lançamentos!$B75)</f>
        <v/>
      </c>
      <c r="C80" s="163" t="str">
        <f>IF($B80="","",IFERROR(INDEX(Lançamentos!$J$3:$J$1001,MATCH($B80,Lançamentos!$B$3:$B$1001,0)),""))</f>
        <v/>
      </c>
      <c r="D80" s="419" t="str">
        <f>IF($B80="","",IFERROR(INDEX('E2 — Triagem'!$D$8:$D$507,MATCH($B80,'E2 — Triagem'!$B$8:$B$507,0)),""))</f>
        <v/>
      </c>
      <c r="E80" s="164"/>
      <c r="F80" s="164"/>
      <c r="G80" s="164"/>
      <c r="H80" s="164"/>
      <c r="I80" s="164"/>
      <c r="J80" s="164"/>
      <c r="K80" s="164"/>
      <c r="L80" s="165" t="str">
        <f t="shared" si="1"/>
        <v/>
      </c>
      <c r="M80" s="166"/>
      <c r="N80" s="167"/>
    </row>
    <row r="81" spans="2:14" ht="15" customHeight="1" x14ac:dyDescent="0.35">
      <c r="B81" s="162" t="str">
        <f>IF(Lançamentos!$B76="","",Lançamentos!$B76)</f>
        <v/>
      </c>
      <c r="C81" s="163" t="str">
        <f>IF($B81="","",IFERROR(INDEX(Lançamentos!$J$3:$J$1001,MATCH($B81,Lançamentos!$B$3:$B$1001,0)),""))</f>
        <v/>
      </c>
      <c r="D81" s="419" t="str">
        <f>IF($B81="","",IFERROR(INDEX('E2 — Triagem'!$D$8:$D$507,MATCH($B81,'E2 — Triagem'!$B$8:$B$507,0)),""))</f>
        <v/>
      </c>
      <c r="E81" s="164"/>
      <c r="F81" s="164"/>
      <c r="G81" s="164"/>
      <c r="H81" s="164"/>
      <c r="I81" s="164"/>
      <c r="J81" s="164"/>
      <c r="K81" s="164"/>
      <c r="L81" s="165" t="str">
        <f t="shared" si="1"/>
        <v/>
      </c>
      <c r="M81" s="166"/>
      <c r="N81" s="167"/>
    </row>
    <row r="82" spans="2:14" ht="15" customHeight="1" x14ac:dyDescent="0.35">
      <c r="B82" s="162" t="str">
        <f>IF(Lançamentos!$B77="","",Lançamentos!$B77)</f>
        <v/>
      </c>
      <c r="C82" s="163" t="str">
        <f>IF($B82="","",IFERROR(INDEX(Lançamentos!$J$3:$J$1001,MATCH($B82,Lançamentos!$B$3:$B$1001,0)),""))</f>
        <v/>
      </c>
      <c r="D82" s="419" t="str">
        <f>IF($B82="","",IFERROR(INDEX('E2 — Triagem'!$D$8:$D$507,MATCH($B82,'E2 — Triagem'!$B$8:$B$507,0)),""))</f>
        <v/>
      </c>
      <c r="E82" s="164"/>
      <c r="F82" s="164"/>
      <c r="G82" s="164"/>
      <c r="H82" s="164"/>
      <c r="I82" s="164"/>
      <c r="J82" s="164"/>
      <c r="K82" s="164"/>
      <c r="L82" s="165" t="str">
        <f t="shared" si="1"/>
        <v/>
      </c>
      <c r="M82" s="166"/>
      <c r="N82" s="167"/>
    </row>
    <row r="83" spans="2:14" ht="15" customHeight="1" x14ac:dyDescent="0.35">
      <c r="B83" s="162" t="str">
        <f>IF(Lançamentos!$B78="","",Lançamentos!$B78)</f>
        <v/>
      </c>
      <c r="C83" s="163" t="str">
        <f>IF($B83="","",IFERROR(INDEX(Lançamentos!$J$3:$J$1001,MATCH($B83,Lançamentos!$B$3:$B$1001,0)),""))</f>
        <v/>
      </c>
      <c r="D83" s="419" t="str">
        <f>IF($B83="","",IFERROR(INDEX('E2 — Triagem'!$D$8:$D$507,MATCH($B83,'E2 — Triagem'!$B$8:$B$507,0)),""))</f>
        <v/>
      </c>
      <c r="E83" s="164"/>
      <c r="F83" s="164"/>
      <c r="G83" s="164"/>
      <c r="H83" s="164"/>
      <c r="I83" s="164"/>
      <c r="J83" s="164"/>
      <c r="K83" s="164"/>
      <c r="L83" s="165" t="str">
        <f t="shared" si="1"/>
        <v/>
      </c>
      <c r="M83" s="166"/>
      <c r="N83" s="167"/>
    </row>
    <row r="84" spans="2:14" ht="15" customHeight="1" x14ac:dyDescent="0.35">
      <c r="B84" s="162" t="str">
        <f>IF(Lançamentos!$B79="","",Lançamentos!$B79)</f>
        <v/>
      </c>
      <c r="C84" s="163" t="str">
        <f>IF($B84="","",IFERROR(INDEX(Lançamentos!$J$3:$J$1001,MATCH($B84,Lançamentos!$B$3:$B$1001,0)),""))</f>
        <v/>
      </c>
      <c r="D84" s="419" t="str">
        <f>IF($B84="","",IFERROR(INDEX('E2 — Triagem'!$D$8:$D$507,MATCH($B84,'E2 — Triagem'!$B$8:$B$507,0)),""))</f>
        <v/>
      </c>
      <c r="E84" s="164"/>
      <c r="F84" s="164"/>
      <c r="G84" s="164"/>
      <c r="H84" s="164"/>
      <c r="I84" s="164"/>
      <c r="J84" s="164"/>
      <c r="K84" s="164"/>
      <c r="L84" s="165" t="str">
        <f t="shared" si="1"/>
        <v/>
      </c>
      <c r="M84" s="166"/>
      <c r="N84" s="167"/>
    </row>
    <row r="85" spans="2:14" ht="15" customHeight="1" x14ac:dyDescent="0.35">
      <c r="B85" s="162" t="str">
        <f>IF(Lançamentos!$B80="","",Lançamentos!$B80)</f>
        <v/>
      </c>
      <c r="C85" s="163" t="str">
        <f>IF($B85="","",IFERROR(INDEX(Lançamentos!$J$3:$J$1001,MATCH($B85,Lançamentos!$B$3:$B$1001,0)),""))</f>
        <v/>
      </c>
      <c r="D85" s="419" t="str">
        <f>IF($B85="","",IFERROR(INDEX('E2 — Triagem'!$D$8:$D$507,MATCH($B85,'E2 — Triagem'!$B$8:$B$507,0)),""))</f>
        <v/>
      </c>
      <c r="E85" s="164"/>
      <c r="F85" s="164"/>
      <c r="G85" s="164"/>
      <c r="H85" s="164"/>
      <c r="I85" s="164"/>
      <c r="J85" s="164"/>
      <c r="K85" s="164"/>
      <c r="L85" s="165" t="str">
        <f t="shared" si="1"/>
        <v/>
      </c>
      <c r="M85" s="166"/>
      <c r="N85" s="167"/>
    </row>
    <row r="86" spans="2:14" ht="15" customHeight="1" x14ac:dyDescent="0.35">
      <c r="B86" s="162" t="str">
        <f>IF(Lançamentos!$B81="","",Lançamentos!$B81)</f>
        <v/>
      </c>
      <c r="C86" s="163" t="str">
        <f>IF($B86="","",IFERROR(INDEX(Lançamentos!$J$3:$J$1001,MATCH($B86,Lançamentos!$B$3:$B$1001,0)),""))</f>
        <v/>
      </c>
      <c r="D86" s="419" t="str">
        <f>IF($B86="","",IFERROR(INDEX('E2 — Triagem'!$D$8:$D$507,MATCH($B86,'E2 — Triagem'!$B$8:$B$507,0)),""))</f>
        <v/>
      </c>
      <c r="E86" s="164"/>
      <c r="F86" s="164"/>
      <c r="G86" s="164"/>
      <c r="H86" s="164"/>
      <c r="I86" s="164"/>
      <c r="J86" s="164"/>
      <c r="K86" s="164"/>
      <c r="L86" s="165" t="str">
        <f t="shared" si="1"/>
        <v/>
      </c>
      <c r="M86" s="166"/>
      <c r="N86" s="167"/>
    </row>
    <row r="87" spans="2:14" ht="15" customHeight="1" x14ac:dyDescent="0.35">
      <c r="B87" s="162" t="str">
        <f>IF(Lançamentos!$B82="","",Lançamentos!$B82)</f>
        <v/>
      </c>
      <c r="C87" s="163" t="str">
        <f>IF($B87="","",IFERROR(INDEX(Lançamentos!$J$3:$J$1001,MATCH($B87,Lançamentos!$B$3:$B$1001,0)),""))</f>
        <v/>
      </c>
      <c r="D87" s="419" t="str">
        <f>IF($B87="","",IFERROR(INDEX('E2 — Triagem'!$D$8:$D$507,MATCH($B87,'E2 — Triagem'!$B$8:$B$507,0)),""))</f>
        <v/>
      </c>
      <c r="E87" s="164"/>
      <c r="F87" s="164"/>
      <c r="G87" s="164"/>
      <c r="H87" s="164"/>
      <c r="I87" s="164"/>
      <c r="J87" s="164"/>
      <c r="K87" s="164"/>
      <c r="L87" s="165" t="str">
        <f t="shared" si="1"/>
        <v/>
      </c>
      <c r="M87" s="166"/>
      <c r="N87" s="167"/>
    </row>
    <row r="88" spans="2:14" ht="15" customHeight="1" x14ac:dyDescent="0.35">
      <c r="B88" s="162" t="str">
        <f>IF(Lançamentos!$B83="","",Lançamentos!$B83)</f>
        <v/>
      </c>
      <c r="C88" s="163" t="str">
        <f>IF($B88="","",IFERROR(INDEX(Lançamentos!$J$3:$J$1001,MATCH($B88,Lançamentos!$B$3:$B$1001,0)),""))</f>
        <v/>
      </c>
      <c r="D88" s="419" t="str">
        <f>IF($B88="","",IFERROR(INDEX('E2 — Triagem'!$D$8:$D$507,MATCH($B88,'E2 — Triagem'!$B$8:$B$507,0)),""))</f>
        <v/>
      </c>
      <c r="E88" s="164"/>
      <c r="F88" s="164"/>
      <c r="G88" s="164"/>
      <c r="H88" s="164"/>
      <c r="I88" s="164"/>
      <c r="J88" s="164"/>
      <c r="K88" s="164"/>
      <c r="L88" s="165" t="str">
        <f t="shared" si="1"/>
        <v/>
      </c>
      <c r="M88" s="166"/>
      <c r="N88" s="167"/>
    </row>
    <row r="89" spans="2:14" ht="15" customHeight="1" x14ac:dyDescent="0.35">
      <c r="B89" s="162" t="str">
        <f>IF(Lançamentos!$B84="","",Lançamentos!$B84)</f>
        <v/>
      </c>
      <c r="C89" s="163" t="str">
        <f>IF($B89="","",IFERROR(INDEX(Lançamentos!$J$3:$J$1001,MATCH($B89,Lançamentos!$B$3:$B$1001,0)),""))</f>
        <v/>
      </c>
      <c r="D89" s="419" t="str">
        <f>IF($B89="","",IFERROR(INDEX('E2 — Triagem'!$D$8:$D$507,MATCH($B89,'E2 — Triagem'!$B$8:$B$507,0)),""))</f>
        <v/>
      </c>
      <c r="E89" s="164"/>
      <c r="F89" s="164"/>
      <c r="G89" s="164"/>
      <c r="H89" s="164"/>
      <c r="I89" s="164"/>
      <c r="J89" s="164"/>
      <c r="K89" s="164"/>
      <c r="L89" s="165" t="str">
        <f t="shared" si="1"/>
        <v/>
      </c>
      <c r="M89" s="166"/>
      <c r="N89" s="167"/>
    </row>
    <row r="90" spans="2:14" ht="15" customHeight="1" x14ac:dyDescent="0.35">
      <c r="B90" s="162" t="str">
        <f>IF(Lançamentos!$B85="","",Lançamentos!$B85)</f>
        <v/>
      </c>
      <c r="C90" s="163" t="str">
        <f>IF($B90="","",IFERROR(INDEX(Lançamentos!$J$3:$J$1001,MATCH($B90,Lançamentos!$B$3:$B$1001,0)),""))</f>
        <v/>
      </c>
      <c r="D90" s="419" t="str">
        <f>IF($B90="","",IFERROR(INDEX('E2 — Triagem'!$D$8:$D$507,MATCH($B90,'E2 — Triagem'!$B$8:$B$507,0)),""))</f>
        <v/>
      </c>
      <c r="E90" s="164"/>
      <c r="F90" s="164"/>
      <c r="G90" s="164"/>
      <c r="H90" s="164"/>
      <c r="I90" s="164"/>
      <c r="J90" s="164"/>
      <c r="K90" s="164"/>
      <c r="L90" s="165" t="str">
        <f t="shared" si="1"/>
        <v/>
      </c>
      <c r="M90" s="166"/>
      <c r="N90" s="167"/>
    </row>
    <row r="91" spans="2:14" ht="15" customHeight="1" x14ac:dyDescent="0.35">
      <c r="B91" s="162" t="str">
        <f>IF(Lançamentos!$B86="","",Lançamentos!$B86)</f>
        <v/>
      </c>
      <c r="C91" s="163" t="str">
        <f>IF($B91="","",IFERROR(INDEX(Lançamentos!$J$3:$J$1001,MATCH($B91,Lançamentos!$B$3:$B$1001,0)),""))</f>
        <v/>
      </c>
      <c r="D91" s="419" t="str">
        <f>IF($B91="","",IFERROR(INDEX('E2 — Triagem'!$D$8:$D$507,MATCH($B91,'E2 — Triagem'!$B$8:$B$507,0)),""))</f>
        <v/>
      </c>
      <c r="E91" s="164"/>
      <c r="F91" s="164"/>
      <c r="G91" s="164"/>
      <c r="H91" s="164"/>
      <c r="I91" s="164"/>
      <c r="J91" s="164"/>
      <c r="K91" s="164"/>
      <c r="L91" s="165" t="str">
        <f t="shared" si="1"/>
        <v/>
      </c>
      <c r="M91" s="166"/>
      <c r="N91" s="167"/>
    </row>
    <row r="92" spans="2:14" ht="15" customHeight="1" x14ac:dyDescent="0.35">
      <c r="B92" s="162" t="str">
        <f>IF(Lançamentos!$B87="","",Lançamentos!$B87)</f>
        <v/>
      </c>
      <c r="C92" s="163" t="str">
        <f>IF($B92="","",IFERROR(INDEX(Lançamentos!$J$3:$J$1001,MATCH($B92,Lançamentos!$B$3:$B$1001,0)),""))</f>
        <v/>
      </c>
      <c r="D92" s="419" t="str">
        <f>IF($B92="","",IFERROR(INDEX('E2 — Triagem'!$D$8:$D$507,MATCH($B92,'E2 — Triagem'!$B$8:$B$507,0)),""))</f>
        <v/>
      </c>
      <c r="E92" s="164"/>
      <c r="F92" s="164"/>
      <c r="G92" s="164"/>
      <c r="H92" s="164"/>
      <c r="I92" s="164"/>
      <c r="J92" s="164"/>
      <c r="K92" s="164"/>
      <c r="L92" s="165" t="str">
        <f t="shared" si="1"/>
        <v/>
      </c>
      <c r="M92" s="166"/>
      <c r="N92" s="167"/>
    </row>
    <row r="93" spans="2:14" ht="15" customHeight="1" x14ac:dyDescent="0.35">
      <c r="B93" s="162" t="str">
        <f>IF(Lançamentos!$B88="","",Lançamentos!$B88)</f>
        <v/>
      </c>
      <c r="C93" s="163" t="str">
        <f>IF($B93="","",IFERROR(INDEX(Lançamentos!$J$3:$J$1001,MATCH($B93,Lançamentos!$B$3:$B$1001,0)),""))</f>
        <v/>
      </c>
      <c r="D93" s="419" t="str">
        <f>IF($B93="","",IFERROR(INDEX('E2 — Triagem'!$D$8:$D$507,MATCH($B93,'E2 — Triagem'!$B$8:$B$507,0)),""))</f>
        <v/>
      </c>
      <c r="E93" s="164"/>
      <c r="F93" s="164"/>
      <c r="G93" s="164"/>
      <c r="H93" s="164"/>
      <c r="I93" s="164"/>
      <c r="J93" s="164"/>
      <c r="K93" s="164"/>
      <c r="L93" s="165" t="str">
        <f t="shared" si="1"/>
        <v/>
      </c>
      <c r="M93" s="166"/>
      <c r="N93" s="167"/>
    </row>
    <row r="94" spans="2:14" ht="15" customHeight="1" x14ac:dyDescent="0.35">
      <c r="B94" s="162" t="str">
        <f>IF(Lançamentos!$B89="","",Lançamentos!$B89)</f>
        <v/>
      </c>
      <c r="C94" s="163" t="str">
        <f>IF($B94="","",IFERROR(INDEX(Lançamentos!$J$3:$J$1001,MATCH($B94,Lançamentos!$B$3:$B$1001,0)),""))</f>
        <v/>
      </c>
      <c r="D94" s="419" t="str">
        <f>IF($B94="","",IFERROR(INDEX('E2 — Triagem'!$D$8:$D$507,MATCH($B94,'E2 — Triagem'!$B$8:$B$507,0)),""))</f>
        <v/>
      </c>
      <c r="E94" s="164"/>
      <c r="F94" s="164"/>
      <c r="G94" s="164"/>
      <c r="H94" s="164"/>
      <c r="I94" s="164"/>
      <c r="J94" s="164"/>
      <c r="K94" s="164"/>
      <c r="L94" s="165" t="str">
        <f t="shared" si="1"/>
        <v/>
      </c>
      <c r="M94" s="166"/>
      <c r="N94" s="167"/>
    </row>
    <row r="95" spans="2:14" ht="15" customHeight="1" x14ac:dyDescent="0.35">
      <c r="B95" s="162" t="str">
        <f>IF(Lançamentos!$B90="","",Lançamentos!$B90)</f>
        <v/>
      </c>
      <c r="C95" s="163" t="str">
        <f>IF($B95="","",IFERROR(INDEX(Lançamentos!$J$3:$J$1001,MATCH($B95,Lançamentos!$B$3:$B$1001,0)),""))</f>
        <v/>
      </c>
      <c r="D95" s="419" t="str">
        <f>IF($B95="","",IFERROR(INDEX('E2 — Triagem'!$D$8:$D$507,MATCH($B95,'E2 — Triagem'!$B$8:$B$507,0)),""))</f>
        <v/>
      </c>
      <c r="E95" s="164"/>
      <c r="F95" s="164"/>
      <c r="G95" s="164"/>
      <c r="H95" s="164"/>
      <c r="I95" s="164"/>
      <c r="J95" s="164"/>
      <c r="K95" s="164"/>
      <c r="L95" s="165" t="str">
        <f t="shared" si="1"/>
        <v/>
      </c>
      <c r="M95" s="166"/>
      <c r="N95" s="167"/>
    </row>
    <row r="96" spans="2:14" ht="15" customHeight="1" x14ac:dyDescent="0.35">
      <c r="B96" s="162" t="str">
        <f>IF(Lançamentos!$B91="","",Lançamentos!$B91)</f>
        <v/>
      </c>
      <c r="C96" s="163" t="str">
        <f>IF($B96="","",IFERROR(INDEX(Lançamentos!$J$3:$J$1001,MATCH($B96,Lançamentos!$B$3:$B$1001,0)),""))</f>
        <v/>
      </c>
      <c r="D96" s="419" t="str">
        <f>IF($B96="","",IFERROR(INDEX('E2 — Triagem'!$D$8:$D$507,MATCH($B96,'E2 — Triagem'!$B$8:$B$507,0)),""))</f>
        <v/>
      </c>
      <c r="E96" s="164"/>
      <c r="F96" s="164"/>
      <c r="G96" s="164"/>
      <c r="H96" s="164"/>
      <c r="I96" s="164"/>
      <c r="J96" s="164"/>
      <c r="K96" s="164"/>
      <c r="L96" s="165" t="str">
        <f t="shared" si="1"/>
        <v/>
      </c>
      <c r="M96" s="166"/>
      <c r="N96" s="167"/>
    </row>
    <row r="97" spans="2:14" ht="15" customHeight="1" x14ac:dyDescent="0.35">
      <c r="B97" s="162" t="str">
        <f>IF(Lançamentos!$B92="","",Lançamentos!$B92)</f>
        <v/>
      </c>
      <c r="C97" s="163" t="str">
        <f>IF($B97="","",IFERROR(INDEX(Lançamentos!$J$3:$J$1001,MATCH($B97,Lançamentos!$B$3:$B$1001,0)),""))</f>
        <v/>
      </c>
      <c r="D97" s="419" t="str">
        <f>IF($B97="","",IFERROR(INDEX('E2 — Triagem'!$D$8:$D$507,MATCH($B97,'E2 — Triagem'!$B$8:$B$507,0)),""))</f>
        <v/>
      </c>
      <c r="E97" s="164"/>
      <c r="F97" s="164"/>
      <c r="G97" s="164"/>
      <c r="H97" s="164"/>
      <c r="I97" s="164"/>
      <c r="J97" s="164"/>
      <c r="K97" s="164"/>
      <c r="L97" s="165" t="str">
        <f t="shared" si="1"/>
        <v/>
      </c>
      <c r="M97" s="166"/>
      <c r="N97" s="167"/>
    </row>
    <row r="98" spans="2:14" ht="15" customHeight="1" x14ac:dyDescent="0.35">
      <c r="B98" s="162" t="str">
        <f>IF(Lançamentos!$B93="","",Lançamentos!$B93)</f>
        <v/>
      </c>
      <c r="C98" s="163" t="str">
        <f>IF($B98="","",IFERROR(INDEX(Lançamentos!$J$3:$J$1001,MATCH($B98,Lançamentos!$B$3:$B$1001,0)),""))</f>
        <v/>
      </c>
      <c r="D98" s="419" t="str">
        <f>IF($B98="","",IFERROR(INDEX('E2 — Triagem'!$D$8:$D$507,MATCH($B98,'E2 — Triagem'!$B$8:$B$507,0)),""))</f>
        <v/>
      </c>
      <c r="E98" s="164"/>
      <c r="F98" s="164"/>
      <c r="G98" s="164"/>
      <c r="H98" s="164"/>
      <c r="I98" s="164"/>
      <c r="J98" s="164"/>
      <c r="K98" s="164"/>
      <c r="L98" s="165" t="str">
        <f t="shared" si="1"/>
        <v/>
      </c>
      <c r="M98" s="166"/>
      <c r="N98" s="167"/>
    </row>
    <row r="99" spans="2:14" ht="15" customHeight="1" x14ac:dyDescent="0.35">
      <c r="B99" s="162" t="str">
        <f>IF(Lançamentos!$B94="","",Lançamentos!$B94)</f>
        <v/>
      </c>
      <c r="C99" s="163" t="str">
        <f>IF($B99="","",IFERROR(INDEX(Lançamentos!$J$3:$J$1001,MATCH($B99,Lançamentos!$B$3:$B$1001,0)),""))</f>
        <v/>
      </c>
      <c r="D99" s="419" t="str">
        <f>IF($B99="","",IFERROR(INDEX('E2 — Triagem'!$D$8:$D$507,MATCH($B99,'E2 — Triagem'!$B$8:$B$507,0)),""))</f>
        <v/>
      </c>
      <c r="E99" s="164"/>
      <c r="F99" s="164"/>
      <c r="G99" s="164"/>
      <c r="H99" s="164"/>
      <c r="I99" s="164"/>
      <c r="J99" s="164"/>
      <c r="K99" s="164"/>
      <c r="L99" s="165" t="str">
        <f t="shared" si="1"/>
        <v/>
      </c>
      <c r="M99" s="166"/>
      <c r="N99" s="167"/>
    </row>
    <row r="100" spans="2:14" ht="15" customHeight="1" x14ac:dyDescent="0.35">
      <c r="B100" s="162" t="str">
        <f>IF(Lançamentos!$B95="","",Lançamentos!$B95)</f>
        <v/>
      </c>
      <c r="C100" s="163" t="str">
        <f>IF($B100="","",IFERROR(INDEX(Lançamentos!$J$3:$J$1001,MATCH($B100,Lançamentos!$B$3:$B$1001,0)),""))</f>
        <v/>
      </c>
      <c r="D100" s="419" t="str">
        <f>IF($B100="","",IFERROR(INDEX('E2 — Triagem'!$D$8:$D$507,MATCH($B100,'E2 — Triagem'!$B$8:$B$507,0)),""))</f>
        <v/>
      </c>
      <c r="E100" s="164"/>
      <c r="F100" s="164"/>
      <c r="G100" s="164"/>
      <c r="H100" s="164"/>
      <c r="I100" s="164"/>
      <c r="J100" s="164"/>
      <c r="K100" s="164"/>
      <c r="L100" s="165" t="str">
        <f t="shared" si="1"/>
        <v/>
      </c>
      <c r="M100" s="166"/>
      <c r="N100" s="167"/>
    </row>
    <row r="101" spans="2:14" ht="15" customHeight="1" x14ac:dyDescent="0.35">
      <c r="B101" s="162" t="str">
        <f>IF(Lançamentos!$B96="","",Lançamentos!$B96)</f>
        <v/>
      </c>
      <c r="C101" s="163" t="str">
        <f>IF($B101="","",IFERROR(INDEX(Lançamentos!$J$3:$J$1001,MATCH($B101,Lançamentos!$B$3:$B$1001,0)),""))</f>
        <v/>
      </c>
      <c r="D101" s="419" t="str">
        <f>IF($B101="","",IFERROR(INDEX('E2 — Triagem'!$D$8:$D$507,MATCH($B101,'E2 — Triagem'!$B$8:$B$507,0)),""))</f>
        <v/>
      </c>
      <c r="E101" s="164"/>
      <c r="F101" s="164"/>
      <c r="G101" s="164"/>
      <c r="H101" s="164"/>
      <c r="I101" s="164"/>
      <c r="J101" s="164"/>
      <c r="K101" s="164"/>
      <c r="L101" s="165" t="str">
        <f t="shared" si="1"/>
        <v/>
      </c>
      <c r="M101" s="166"/>
      <c r="N101" s="167"/>
    </row>
    <row r="102" spans="2:14" ht="15" customHeight="1" x14ac:dyDescent="0.35">
      <c r="B102" s="162" t="str">
        <f>IF(Lançamentos!$B97="","",Lançamentos!$B97)</f>
        <v/>
      </c>
      <c r="C102" s="163" t="str">
        <f>IF($B102="","",IFERROR(INDEX(Lançamentos!$J$3:$J$1001,MATCH($B102,Lançamentos!$B$3:$B$1001,0)),""))</f>
        <v/>
      </c>
      <c r="D102" s="419" t="str">
        <f>IF($B102="","",IFERROR(INDEX('E2 — Triagem'!$D$8:$D$507,MATCH($B102,'E2 — Triagem'!$B$8:$B$507,0)),""))</f>
        <v/>
      </c>
      <c r="E102" s="164"/>
      <c r="F102" s="164"/>
      <c r="G102" s="164"/>
      <c r="H102" s="164"/>
      <c r="I102" s="164"/>
      <c r="J102" s="164"/>
      <c r="K102" s="164"/>
      <c r="L102" s="165" t="str">
        <f t="shared" si="1"/>
        <v/>
      </c>
      <c r="M102" s="166"/>
      <c r="N102" s="167"/>
    </row>
    <row r="103" spans="2:14" ht="15" customHeight="1" x14ac:dyDescent="0.35">
      <c r="B103" s="162" t="str">
        <f>IF(Lançamentos!$B98="","",Lançamentos!$B98)</f>
        <v/>
      </c>
      <c r="C103" s="163" t="str">
        <f>IF($B103="","",IFERROR(INDEX(Lançamentos!$J$3:$J$1001,MATCH($B103,Lançamentos!$B$3:$B$1001,0)),""))</f>
        <v/>
      </c>
      <c r="D103" s="419" t="str">
        <f>IF($B103="","",IFERROR(INDEX('E2 — Triagem'!$D$8:$D$507,MATCH($B103,'E2 — Triagem'!$B$8:$B$507,0)),""))</f>
        <v/>
      </c>
      <c r="E103" s="164"/>
      <c r="F103" s="164"/>
      <c r="G103" s="164"/>
      <c r="H103" s="164"/>
      <c r="I103" s="164"/>
      <c r="J103" s="164"/>
      <c r="K103" s="164"/>
      <c r="L103" s="165" t="str">
        <f t="shared" si="1"/>
        <v/>
      </c>
      <c r="M103" s="166"/>
      <c r="N103" s="167"/>
    </row>
    <row r="104" spans="2:14" ht="15" customHeight="1" x14ac:dyDescent="0.35">
      <c r="B104" s="162" t="str">
        <f>IF(Lançamentos!$B99="","",Lançamentos!$B99)</f>
        <v/>
      </c>
      <c r="C104" s="163" t="str">
        <f>IF($B104="","",IFERROR(INDEX(Lançamentos!$J$3:$J$1001,MATCH($B104,Lançamentos!$B$3:$B$1001,0)),""))</f>
        <v/>
      </c>
      <c r="D104" s="419" t="str">
        <f>IF($B104="","",IFERROR(INDEX('E2 — Triagem'!$D$8:$D$507,MATCH($B104,'E2 — Triagem'!$B$8:$B$507,0)),""))</f>
        <v/>
      </c>
      <c r="E104" s="164"/>
      <c r="F104" s="164"/>
      <c r="G104" s="164"/>
      <c r="H104" s="164"/>
      <c r="I104" s="164"/>
      <c r="J104" s="164"/>
      <c r="K104" s="164"/>
      <c r="L104" s="165" t="str">
        <f t="shared" si="1"/>
        <v/>
      </c>
      <c r="M104" s="166"/>
      <c r="N104" s="167"/>
    </row>
    <row r="105" spans="2:14" ht="15" customHeight="1" x14ac:dyDescent="0.35">
      <c r="B105" s="162" t="str">
        <f>IF(Lançamentos!$B100="","",Lançamentos!$B100)</f>
        <v/>
      </c>
      <c r="C105" s="163" t="str">
        <f>IF($B105="","",IFERROR(INDEX(Lançamentos!$J$3:$J$1001,MATCH($B105,Lançamentos!$B$3:$B$1001,0)),""))</f>
        <v/>
      </c>
      <c r="D105" s="419" t="str">
        <f>IF($B105="","",IFERROR(INDEX('E2 — Triagem'!$D$8:$D$507,MATCH($B105,'E2 — Triagem'!$B$8:$B$507,0)),""))</f>
        <v/>
      </c>
      <c r="E105" s="164"/>
      <c r="F105" s="164"/>
      <c r="G105" s="164"/>
      <c r="H105" s="164"/>
      <c r="I105" s="164"/>
      <c r="J105" s="164"/>
      <c r="K105" s="164"/>
      <c r="L105" s="165" t="str">
        <f t="shared" si="1"/>
        <v/>
      </c>
      <c r="M105" s="166"/>
      <c r="N105" s="167"/>
    </row>
    <row r="106" spans="2:14" ht="15" customHeight="1" x14ac:dyDescent="0.35">
      <c r="B106" s="162" t="str">
        <f>IF(Lançamentos!$B101="","",Lançamentos!$B101)</f>
        <v/>
      </c>
      <c r="C106" s="163" t="str">
        <f>IF($B106="","",IFERROR(INDEX(Lançamentos!$J$3:$J$1001,MATCH($B106,Lançamentos!$B$3:$B$1001,0)),""))</f>
        <v/>
      </c>
      <c r="D106" s="419" t="str">
        <f>IF($B106="","",IFERROR(INDEX('E2 — Triagem'!$D$8:$D$507,MATCH($B106,'E2 — Triagem'!$B$8:$B$507,0)),""))</f>
        <v/>
      </c>
      <c r="E106" s="164"/>
      <c r="F106" s="164"/>
      <c r="G106" s="164"/>
      <c r="H106" s="164"/>
      <c r="I106" s="164"/>
      <c r="J106" s="164"/>
      <c r="K106" s="164"/>
      <c r="L106" s="165" t="str">
        <f t="shared" si="1"/>
        <v/>
      </c>
      <c r="M106" s="166"/>
      <c r="N106" s="167"/>
    </row>
    <row r="107" spans="2:14" ht="15" customHeight="1" x14ac:dyDescent="0.35">
      <c r="B107" s="162" t="str">
        <f>IF(Lançamentos!$B102="","",Lançamentos!$B102)</f>
        <v/>
      </c>
      <c r="C107" s="163" t="str">
        <f>IF($B107="","",IFERROR(INDEX(Lançamentos!$J$3:$J$1001,MATCH($B107,Lançamentos!$B$3:$B$1001,0)),""))</f>
        <v/>
      </c>
      <c r="D107" s="419" t="str">
        <f>IF($B107="","",IFERROR(INDEX('E2 — Triagem'!$D$8:$D$507,MATCH($B107,'E2 — Triagem'!$B$8:$B$507,0)),""))</f>
        <v/>
      </c>
      <c r="E107" s="164"/>
      <c r="F107" s="164"/>
      <c r="G107" s="164"/>
      <c r="H107" s="164"/>
      <c r="I107" s="164"/>
      <c r="J107" s="164"/>
      <c r="K107" s="164"/>
      <c r="L107" s="165" t="str">
        <f t="shared" si="1"/>
        <v/>
      </c>
      <c r="M107" s="166"/>
      <c r="N107" s="167"/>
    </row>
    <row r="108" spans="2:14" ht="15" customHeight="1" x14ac:dyDescent="0.35">
      <c r="B108" s="162" t="str">
        <f>IF(Lançamentos!$B103="","",Lançamentos!$B103)</f>
        <v/>
      </c>
      <c r="C108" s="163" t="str">
        <f>IF($B108="","",IFERROR(INDEX(Lançamentos!$J$3:$J$1001,MATCH($B108,Lançamentos!$B$3:$B$1001,0)),""))</f>
        <v/>
      </c>
      <c r="D108" s="419" t="str">
        <f>IF($B108="","",IFERROR(INDEX('E2 — Triagem'!$D$8:$D$507,MATCH($B108,'E2 — Triagem'!$B$8:$B$507,0)),""))</f>
        <v/>
      </c>
      <c r="E108" s="164"/>
      <c r="F108" s="164"/>
      <c r="G108" s="164"/>
      <c r="H108" s="164"/>
      <c r="I108" s="164"/>
      <c r="J108" s="164"/>
      <c r="K108" s="164"/>
      <c r="L108" s="165" t="str">
        <f t="shared" si="1"/>
        <v/>
      </c>
      <c r="M108" s="166"/>
      <c r="N108" s="167"/>
    </row>
    <row r="109" spans="2:14" ht="15" customHeight="1" x14ac:dyDescent="0.35">
      <c r="B109" s="162" t="str">
        <f>IF(Lançamentos!$B104="","",Lançamentos!$B104)</f>
        <v/>
      </c>
      <c r="C109" s="163" t="str">
        <f>IF($B109="","",IFERROR(INDEX(Lançamentos!$J$3:$J$1001,MATCH($B109,Lançamentos!$B$3:$B$1001,0)),""))</f>
        <v/>
      </c>
      <c r="D109" s="419" t="str">
        <f>IF($B109="","",IFERROR(INDEX('E2 — Triagem'!$D$8:$D$507,MATCH($B109,'E2 — Triagem'!$B$8:$B$507,0)),""))</f>
        <v/>
      </c>
      <c r="E109" s="164"/>
      <c r="F109" s="164"/>
      <c r="G109" s="164"/>
      <c r="H109" s="164"/>
      <c r="I109" s="164"/>
      <c r="J109" s="164"/>
      <c r="K109" s="164"/>
      <c r="L109" s="165" t="str">
        <f t="shared" si="1"/>
        <v/>
      </c>
      <c r="M109" s="166"/>
      <c r="N109" s="167"/>
    </row>
    <row r="110" spans="2:14" ht="15" customHeight="1" x14ac:dyDescent="0.35">
      <c r="B110" s="162" t="str">
        <f>IF(Lançamentos!$B105="","",Lançamentos!$B105)</f>
        <v/>
      </c>
      <c r="C110" s="163" t="str">
        <f>IF($B110="","",IFERROR(INDEX(Lançamentos!$J$3:$J$1001,MATCH($B110,Lançamentos!$B$3:$B$1001,0)),""))</f>
        <v/>
      </c>
      <c r="D110" s="419" t="str">
        <f>IF($B110="","",IFERROR(INDEX('E2 — Triagem'!$D$8:$D$507,MATCH($B110,'E2 — Triagem'!$B$8:$B$507,0)),""))</f>
        <v/>
      </c>
      <c r="E110" s="164"/>
      <c r="F110" s="164"/>
      <c r="G110" s="164"/>
      <c r="H110" s="164"/>
      <c r="I110" s="164"/>
      <c r="J110" s="164"/>
      <c r="K110" s="164"/>
      <c r="L110" s="165" t="str">
        <f t="shared" si="1"/>
        <v/>
      </c>
      <c r="M110" s="166"/>
      <c r="N110" s="167"/>
    </row>
    <row r="111" spans="2:14" ht="15" customHeight="1" x14ac:dyDescent="0.35">
      <c r="B111" s="162" t="str">
        <f>IF(Lançamentos!$B106="","",Lançamentos!$B106)</f>
        <v/>
      </c>
      <c r="C111" s="163" t="str">
        <f>IF($B111="","",IFERROR(INDEX(Lançamentos!$J$3:$J$1001,MATCH($B111,Lançamentos!$B$3:$B$1001,0)),""))</f>
        <v/>
      </c>
      <c r="D111" s="419" t="str">
        <f>IF($B111="","",IFERROR(INDEX('E2 — Triagem'!$D$8:$D$507,MATCH($B111,'E2 — Triagem'!$B$8:$B$507,0)),""))</f>
        <v/>
      </c>
      <c r="E111" s="164"/>
      <c r="F111" s="164"/>
      <c r="G111" s="164"/>
      <c r="H111" s="164"/>
      <c r="I111" s="164"/>
      <c r="J111" s="164"/>
      <c r="K111" s="164"/>
      <c r="L111" s="165" t="str">
        <f t="shared" si="1"/>
        <v/>
      </c>
      <c r="M111" s="166"/>
      <c r="N111" s="167"/>
    </row>
    <row r="112" spans="2:14" ht="15" customHeight="1" x14ac:dyDescent="0.35">
      <c r="B112" s="162" t="str">
        <f>IF(Lançamentos!$B107="","",Lançamentos!$B107)</f>
        <v/>
      </c>
      <c r="C112" s="163" t="str">
        <f>IF($B112="","",IFERROR(INDEX(Lançamentos!$J$3:$J$1001,MATCH($B112,Lançamentos!$B$3:$B$1001,0)),""))</f>
        <v/>
      </c>
      <c r="D112" s="419" t="str">
        <f>IF($B112="","",IFERROR(INDEX('E2 — Triagem'!$D$8:$D$507,MATCH($B112,'E2 — Triagem'!$B$8:$B$507,0)),""))</f>
        <v/>
      </c>
      <c r="E112" s="164"/>
      <c r="F112" s="164"/>
      <c r="G112" s="164"/>
      <c r="H112" s="164"/>
      <c r="I112" s="164"/>
      <c r="J112" s="164"/>
      <c r="K112" s="164"/>
      <c r="L112" s="165" t="str">
        <f t="shared" si="1"/>
        <v/>
      </c>
      <c r="M112" s="166"/>
      <c r="N112" s="167"/>
    </row>
    <row r="113" spans="2:14" ht="15" customHeight="1" x14ac:dyDescent="0.35">
      <c r="B113" s="162" t="str">
        <f>IF(Lançamentos!$B108="","",Lançamentos!$B108)</f>
        <v/>
      </c>
      <c r="C113" s="163" t="str">
        <f>IF($B113="","",IFERROR(INDEX(Lançamentos!$J$3:$J$1001,MATCH($B113,Lançamentos!$B$3:$B$1001,0)),""))</f>
        <v/>
      </c>
      <c r="D113" s="419" t="str">
        <f>IF($B113="","",IFERROR(INDEX('E2 — Triagem'!$D$8:$D$507,MATCH($B113,'E2 — Triagem'!$B$8:$B$507,0)),""))</f>
        <v/>
      </c>
      <c r="E113" s="164"/>
      <c r="F113" s="164"/>
      <c r="G113" s="164"/>
      <c r="H113" s="164"/>
      <c r="I113" s="164"/>
      <c r="J113" s="164"/>
      <c r="K113" s="164"/>
      <c r="L113" s="165" t="str">
        <f t="shared" si="1"/>
        <v/>
      </c>
      <c r="M113" s="166"/>
      <c r="N113" s="167"/>
    </row>
    <row r="114" spans="2:14" ht="15" customHeight="1" x14ac:dyDescent="0.35">
      <c r="B114" s="162" t="str">
        <f>IF(Lançamentos!$B109="","",Lançamentos!$B109)</f>
        <v/>
      </c>
      <c r="C114" s="163" t="str">
        <f>IF($B114="","",IFERROR(INDEX(Lançamentos!$J$3:$J$1001,MATCH($B114,Lançamentos!$B$3:$B$1001,0)),""))</f>
        <v/>
      </c>
      <c r="D114" s="419" t="str">
        <f>IF($B114="","",IFERROR(INDEX('E2 — Triagem'!$D$8:$D$507,MATCH($B114,'E2 — Triagem'!$B$8:$B$507,0)),""))</f>
        <v/>
      </c>
      <c r="E114" s="164"/>
      <c r="F114" s="164"/>
      <c r="G114" s="164"/>
      <c r="H114" s="164"/>
      <c r="I114" s="164"/>
      <c r="J114" s="164"/>
      <c r="K114" s="164"/>
      <c r="L114" s="165" t="str">
        <f t="shared" si="1"/>
        <v/>
      </c>
      <c r="M114" s="166"/>
      <c r="N114" s="167"/>
    </row>
    <row r="115" spans="2:14" ht="15" customHeight="1" x14ac:dyDescent="0.35">
      <c r="B115" s="162" t="str">
        <f>IF(Lançamentos!$B110="","",Lançamentos!$B110)</f>
        <v/>
      </c>
      <c r="C115" s="163" t="str">
        <f>IF($B115="","",IFERROR(INDEX(Lançamentos!$J$3:$J$1001,MATCH($B115,Lançamentos!$B$3:$B$1001,0)),""))</f>
        <v/>
      </c>
      <c r="D115" s="419" t="str">
        <f>IF($B115="","",IFERROR(INDEX('E2 — Triagem'!$D$8:$D$507,MATCH($B115,'E2 — Triagem'!$B$8:$B$507,0)),""))</f>
        <v/>
      </c>
      <c r="E115" s="164"/>
      <c r="F115" s="164"/>
      <c r="G115" s="164"/>
      <c r="H115" s="164"/>
      <c r="I115" s="164"/>
      <c r="J115" s="164"/>
      <c r="K115" s="164"/>
      <c r="L115" s="165" t="str">
        <f t="shared" si="1"/>
        <v/>
      </c>
      <c r="M115" s="166"/>
      <c r="N115" s="167"/>
    </row>
    <row r="116" spans="2:14" ht="15" customHeight="1" x14ac:dyDescent="0.35">
      <c r="B116" s="162" t="str">
        <f>IF(Lançamentos!$B111="","",Lançamentos!$B111)</f>
        <v/>
      </c>
      <c r="C116" s="163" t="str">
        <f>IF($B116="","",IFERROR(INDEX(Lançamentos!$J$3:$J$1001,MATCH($B116,Lançamentos!$B$3:$B$1001,0)),""))</f>
        <v/>
      </c>
      <c r="D116" s="419" t="str">
        <f>IF($B116="","",IFERROR(INDEX('E2 — Triagem'!$D$8:$D$507,MATCH($B116,'E2 — Triagem'!$B$8:$B$507,0)),""))</f>
        <v/>
      </c>
      <c r="E116" s="164"/>
      <c r="F116" s="164"/>
      <c r="G116" s="164"/>
      <c r="H116" s="164"/>
      <c r="I116" s="164"/>
      <c r="J116" s="164"/>
      <c r="K116" s="164"/>
      <c r="L116" s="165" t="str">
        <f t="shared" si="1"/>
        <v/>
      </c>
      <c r="M116" s="166"/>
      <c r="N116" s="167"/>
    </row>
    <row r="117" spans="2:14" ht="15" customHeight="1" x14ac:dyDescent="0.35">
      <c r="B117" s="162" t="str">
        <f>IF(Lançamentos!$B112="","",Lançamentos!$B112)</f>
        <v/>
      </c>
      <c r="C117" s="163" t="str">
        <f>IF($B117="","",IFERROR(INDEX(Lançamentos!$J$3:$J$1001,MATCH($B117,Lançamentos!$B$3:$B$1001,0)),""))</f>
        <v/>
      </c>
      <c r="D117" s="419" t="str">
        <f>IF($B117="","",IFERROR(INDEX('E2 — Triagem'!$D$8:$D$507,MATCH($B117,'E2 — Triagem'!$B$8:$B$507,0)),""))</f>
        <v/>
      </c>
      <c r="E117" s="164"/>
      <c r="F117" s="164"/>
      <c r="G117" s="164"/>
      <c r="H117" s="164"/>
      <c r="I117" s="164"/>
      <c r="J117" s="164"/>
      <c r="K117" s="164"/>
      <c r="L117" s="165" t="str">
        <f t="shared" si="1"/>
        <v/>
      </c>
      <c r="M117" s="166"/>
      <c r="N117" s="167"/>
    </row>
    <row r="118" spans="2:14" ht="15" customHeight="1" x14ac:dyDescent="0.35">
      <c r="B118" s="162" t="str">
        <f>IF(Lançamentos!$B113="","",Lançamentos!$B113)</f>
        <v/>
      </c>
      <c r="C118" s="163" t="str">
        <f>IF($B118="","",IFERROR(INDEX(Lançamentos!$J$3:$J$1001,MATCH($B118,Lançamentos!$B$3:$B$1001,0)),""))</f>
        <v/>
      </c>
      <c r="D118" s="419" t="str">
        <f>IF($B118="","",IFERROR(INDEX('E2 — Triagem'!$D$8:$D$507,MATCH($B118,'E2 — Triagem'!$B$8:$B$507,0)),""))</f>
        <v/>
      </c>
      <c r="E118" s="164"/>
      <c r="F118" s="164"/>
      <c r="G118" s="164"/>
      <c r="H118" s="164"/>
      <c r="I118" s="164"/>
      <c r="J118" s="164"/>
      <c r="K118" s="164"/>
      <c r="L118" s="165" t="str">
        <f t="shared" si="1"/>
        <v/>
      </c>
      <c r="M118" s="166"/>
      <c r="N118" s="167"/>
    </row>
    <row r="119" spans="2:14" ht="15" customHeight="1" x14ac:dyDescent="0.35">
      <c r="B119" s="162" t="str">
        <f>IF(Lançamentos!$B114="","",Lançamentos!$B114)</f>
        <v/>
      </c>
      <c r="C119" s="163" t="str">
        <f>IF($B119="","",IFERROR(INDEX(Lançamentos!$J$3:$J$1001,MATCH($B119,Lançamentos!$B$3:$B$1001,0)),""))</f>
        <v/>
      </c>
      <c r="D119" s="419" t="str">
        <f>IF($B119="","",IFERROR(INDEX('E2 — Triagem'!$D$8:$D$507,MATCH($B119,'E2 — Triagem'!$B$8:$B$507,0)),""))</f>
        <v/>
      </c>
      <c r="E119" s="164"/>
      <c r="F119" s="164"/>
      <c r="G119" s="164"/>
      <c r="H119" s="164"/>
      <c r="I119" s="164"/>
      <c r="J119" s="164"/>
      <c r="K119" s="164"/>
      <c r="L119" s="165" t="str">
        <f t="shared" si="1"/>
        <v/>
      </c>
      <c r="M119" s="166"/>
      <c r="N119" s="167"/>
    </row>
    <row r="120" spans="2:14" ht="15" customHeight="1" x14ac:dyDescent="0.35">
      <c r="B120" s="162" t="str">
        <f>IF(Lançamentos!$B115="","",Lançamentos!$B115)</f>
        <v/>
      </c>
      <c r="C120" s="163" t="str">
        <f>IF($B120="","",IFERROR(INDEX(Lançamentos!$J$3:$J$1001,MATCH($B120,Lançamentos!$B$3:$B$1001,0)),""))</f>
        <v/>
      </c>
      <c r="D120" s="419" t="str">
        <f>IF($B120="","",IFERROR(INDEX('E2 — Triagem'!$D$8:$D$507,MATCH($B120,'E2 — Triagem'!$B$8:$B$507,0)),""))</f>
        <v/>
      </c>
      <c r="E120" s="164"/>
      <c r="F120" s="164"/>
      <c r="G120" s="164"/>
      <c r="H120" s="164"/>
      <c r="I120" s="164"/>
      <c r="J120" s="164"/>
      <c r="K120" s="164"/>
      <c r="L120" s="165" t="str">
        <f t="shared" si="1"/>
        <v/>
      </c>
      <c r="M120" s="166"/>
      <c r="N120" s="167"/>
    </row>
    <row r="121" spans="2:14" ht="15" customHeight="1" x14ac:dyDescent="0.35">
      <c r="B121" s="162" t="str">
        <f>IF(Lançamentos!$B116="","",Lançamentos!$B116)</f>
        <v/>
      </c>
      <c r="C121" s="163" t="str">
        <f>IF($B121="","",IFERROR(INDEX(Lançamentos!$J$3:$J$1001,MATCH($B121,Lançamentos!$B$3:$B$1001,0)),""))</f>
        <v/>
      </c>
      <c r="D121" s="419" t="str">
        <f>IF($B121="","",IFERROR(INDEX('E2 — Triagem'!$D$8:$D$507,MATCH($B121,'E2 — Triagem'!$B$8:$B$507,0)),""))</f>
        <v/>
      </c>
      <c r="E121" s="164"/>
      <c r="F121" s="164"/>
      <c r="G121" s="164"/>
      <c r="H121" s="164"/>
      <c r="I121" s="164"/>
      <c r="J121" s="164"/>
      <c r="K121" s="164"/>
      <c r="L121" s="165" t="str">
        <f t="shared" si="1"/>
        <v/>
      </c>
      <c r="M121" s="166"/>
      <c r="N121" s="167"/>
    </row>
    <row r="122" spans="2:14" ht="15" customHeight="1" x14ac:dyDescent="0.35">
      <c r="B122" s="162" t="str">
        <f>IF(Lançamentos!$B117="","",Lançamentos!$B117)</f>
        <v/>
      </c>
      <c r="C122" s="163" t="str">
        <f>IF($B122="","",IFERROR(INDEX(Lançamentos!$J$3:$J$1001,MATCH($B122,Lançamentos!$B$3:$B$1001,0)),""))</f>
        <v/>
      </c>
      <c r="D122" s="419" t="str">
        <f>IF($B122="","",IFERROR(INDEX('E2 — Triagem'!$D$8:$D$507,MATCH($B122,'E2 — Triagem'!$B$8:$B$507,0)),""))</f>
        <v/>
      </c>
      <c r="E122" s="164"/>
      <c r="F122" s="164"/>
      <c r="G122" s="164"/>
      <c r="H122" s="164"/>
      <c r="I122" s="164"/>
      <c r="J122" s="164"/>
      <c r="K122" s="164"/>
      <c r="L122" s="165" t="str">
        <f t="shared" si="1"/>
        <v/>
      </c>
      <c r="M122" s="166"/>
      <c r="N122" s="167"/>
    </row>
    <row r="123" spans="2:14" ht="15" customHeight="1" x14ac:dyDescent="0.35">
      <c r="B123" s="162" t="str">
        <f>IF(Lançamentos!$B118="","",Lançamentos!$B118)</f>
        <v/>
      </c>
      <c r="C123" s="163" t="str">
        <f>IF($B123="","",IFERROR(INDEX(Lançamentos!$J$3:$J$1001,MATCH($B123,Lançamentos!$B$3:$B$1001,0)),""))</f>
        <v/>
      </c>
      <c r="D123" s="419" t="str">
        <f>IF($B123="","",IFERROR(INDEX('E2 — Triagem'!$D$8:$D$507,MATCH($B123,'E2 — Triagem'!$B$8:$B$507,0)),""))</f>
        <v/>
      </c>
      <c r="E123" s="164"/>
      <c r="F123" s="164"/>
      <c r="G123" s="164"/>
      <c r="H123" s="164"/>
      <c r="I123" s="164"/>
      <c r="J123" s="164"/>
      <c r="K123" s="164"/>
      <c r="L123" s="165" t="str">
        <f t="shared" si="1"/>
        <v/>
      </c>
      <c r="M123" s="166"/>
      <c r="N123" s="167"/>
    </row>
    <row r="124" spans="2:14" ht="15" customHeight="1" x14ac:dyDescent="0.35">
      <c r="B124" s="162" t="str">
        <f>IF(Lançamentos!$B119="","",Lançamentos!$B119)</f>
        <v/>
      </c>
      <c r="C124" s="163" t="str">
        <f>IF($B124="","",IFERROR(INDEX(Lançamentos!$J$3:$J$1001,MATCH($B124,Lançamentos!$B$3:$B$1001,0)),""))</f>
        <v/>
      </c>
      <c r="D124" s="419" t="str">
        <f>IF($B124="","",IFERROR(INDEX('E2 — Triagem'!$D$8:$D$507,MATCH($B124,'E2 — Triagem'!$B$8:$B$507,0)),""))</f>
        <v/>
      </c>
      <c r="E124" s="164"/>
      <c r="F124" s="164"/>
      <c r="G124" s="164"/>
      <c r="H124" s="164"/>
      <c r="I124" s="164"/>
      <c r="J124" s="164"/>
      <c r="K124" s="164"/>
      <c r="L124" s="165" t="str">
        <f t="shared" si="1"/>
        <v/>
      </c>
      <c r="M124" s="166"/>
      <c r="N124" s="167"/>
    </row>
    <row r="125" spans="2:14" ht="15" customHeight="1" x14ac:dyDescent="0.35">
      <c r="B125" s="162" t="str">
        <f>IF(Lançamentos!$B120="","",Lançamentos!$B120)</f>
        <v/>
      </c>
      <c r="C125" s="163" t="str">
        <f>IF($B125="","",IFERROR(INDEX(Lançamentos!$J$3:$J$1001,MATCH($B125,Lançamentos!$B$3:$B$1001,0)),""))</f>
        <v/>
      </c>
      <c r="D125" s="419" t="str">
        <f>IF($B125="","",IFERROR(INDEX('E2 — Triagem'!$D$8:$D$507,MATCH($B125,'E2 — Triagem'!$B$8:$B$507,0)),""))</f>
        <v/>
      </c>
      <c r="E125" s="164"/>
      <c r="F125" s="164"/>
      <c r="G125" s="164"/>
      <c r="H125" s="164"/>
      <c r="I125" s="164"/>
      <c r="J125" s="164"/>
      <c r="K125" s="164"/>
      <c r="L125" s="165" t="str">
        <f t="shared" si="1"/>
        <v/>
      </c>
      <c r="M125" s="166"/>
      <c r="N125" s="167"/>
    </row>
    <row r="126" spans="2:14" ht="15" customHeight="1" x14ac:dyDescent="0.35">
      <c r="B126" s="162" t="str">
        <f>IF(Lançamentos!$B121="","",Lançamentos!$B121)</f>
        <v/>
      </c>
      <c r="C126" s="163" t="str">
        <f>IF($B126="","",IFERROR(INDEX(Lançamentos!$J$3:$J$1001,MATCH($B126,Lançamentos!$B$3:$B$1001,0)),""))</f>
        <v/>
      </c>
      <c r="D126" s="419" t="str">
        <f>IF($B126="","",IFERROR(INDEX('E2 — Triagem'!$D$8:$D$507,MATCH($B126,'E2 — Triagem'!$B$8:$B$507,0)),""))</f>
        <v/>
      </c>
      <c r="E126" s="164"/>
      <c r="F126" s="164"/>
      <c r="G126" s="164"/>
      <c r="H126" s="164"/>
      <c r="I126" s="164"/>
      <c r="J126" s="164"/>
      <c r="K126" s="164"/>
      <c r="L126" s="165" t="str">
        <f t="shared" si="1"/>
        <v/>
      </c>
      <c r="M126" s="166"/>
      <c r="N126" s="167"/>
    </row>
    <row r="127" spans="2:14" ht="15" customHeight="1" x14ac:dyDescent="0.35">
      <c r="B127" s="162" t="str">
        <f>IF(Lançamentos!$B122="","",Lançamentos!$B122)</f>
        <v/>
      </c>
      <c r="C127" s="163" t="str">
        <f>IF($B127="","",IFERROR(INDEX(Lançamentos!$J$3:$J$1001,MATCH($B127,Lançamentos!$B$3:$B$1001,0)),""))</f>
        <v/>
      </c>
      <c r="D127" s="419" t="str">
        <f>IF($B127="","",IFERROR(INDEX('E2 — Triagem'!$D$8:$D$507,MATCH($B127,'E2 — Triagem'!$B$8:$B$507,0)),""))</f>
        <v/>
      </c>
      <c r="E127" s="164"/>
      <c r="F127" s="164"/>
      <c r="G127" s="164"/>
      <c r="H127" s="164"/>
      <c r="I127" s="164"/>
      <c r="J127" s="164"/>
      <c r="K127" s="164"/>
      <c r="L127" s="165" t="str">
        <f t="shared" si="1"/>
        <v/>
      </c>
      <c r="M127" s="166"/>
      <c r="N127" s="167"/>
    </row>
    <row r="128" spans="2:14" ht="15" customHeight="1" x14ac:dyDescent="0.35">
      <c r="B128" s="162" t="str">
        <f>IF(Lançamentos!$B123="","",Lançamentos!$B123)</f>
        <v/>
      </c>
      <c r="C128" s="163" t="str">
        <f>IF($B128="","",IFERROR(INDEX(Lançamentos!$J$3:$J$1001,MATCH($B128,Lançamentos!$B$3:$B$1001,0)),""))</f>
        <v/>
      </c>
      <c r="D128" s="419" t="str">
        <f>IF($B128="","",IFERROR(INDEX('E2 — Triagem'!$D$8:$D$507,MATCH($B128,'E2 — Triagem'!$B$8:$B$507,0)),""))</f>
        <v/>
      </c>
      <c r="E128" s="164"/>
      <c r="F128" s="164"/>
      <c r="G128" s="164"/>
      <c r="H128" s="164"/>
      <c r="I128" s="164"/>
      <c r="J128" s="164"/>
      <c r="K128" s="164"/>
      <c r="L128" s="165" t="str">
        <f t="shared" si="1"/>
        <v/>
      </c>
      <c r="M128" s="166"/>
      <c r="N128" s="167"/>
    </row>
    <row r="129" spans="2:14" ht="15" customHeight="1" x14ac:dyDescent="0.35">
      <c r="B129" s="162" t="str">
        <f>IF(Lançamentos!$B124="","",Lançamentos!$B124)</f>
        <v/>
      </c>
      <c r="C129" s="163" t="str">
        <f>IF($B129="","",IFERROR(INDEX(Lançamentos!$J$3:$J$1001,MATCH($B129,Lançamentos!$B$3:$B$1001,0)),""))</f>
        <v/>
      </c>
      <c r="D129" s="419" t="str">
        <f>IF($B129="","",IFERROR(INDEX('E2 — Triagem'!$D$8:$D$507,MATCH($B129,'E2 — Triagem'!$B$8:$B$507,0)),""))</f>
        <v/>
      </c>
      <c r="E129" s="164"/>
      <c r="F129" s="164"/>
      <c r="G129" s="164"/>
      <c r="H129" s="164"/>
      <c r="I129" s="164"/>
      <c r="J129" s="164"/>
      <c r="K129" s="164"/>
      <c r="L129" s="165" t="str">
        <f t="shared" si="1"/>
        <v/>
      </c>
      <c r="M129" s="166"/>
      <c r="N129" s="167"/>
    </row>
    <row r="130" spans="2:14" ht="15" customHeight="1" x14ac:dyDescent="0.35">
      <c r="B130" s="162" t="str">
        <f>IF(Lançamentos!$B125="","",Lançamentos!$B125)</f>
        <v/>
      </c>
      <c r="C130" s="163" t="str">
        <f>IF($B130="","",IFERROR(INDEX(Lançamentos!$J$3:$J$1001,MATCH($B130,Lançamentos!$B$3:$B$1001,0)),""))</f>
        <v/>
      </c>
      <c r="D130" s="419" t="str">
        <f>IF($B130="","",IFERROR(INDEX('E2 — Triagem'!$D$8:$D$507,MATCH($B130,'E2 — Triagem'!$B$8:$B$507,0)),""))</f>
        <v/>
      </c>
      <c r="E130" s="164"/>
      <c r="F130" s="164"/>
      <c r="G130" s="164"/>
      <c r="H130" s="164"/>
      <c r="I130" s="164"/>
      <c r="J130" s="164"/>
      <c r="K130" s="164"/>
      <c r="L130" s="165" t="str">
        <f t="shared" si="1"/>
        <v/>
      </c>
      <c r="M130" s="166"/>
      <c r="N130" s="167"/>
    </row>
    <row r="131" spans="2:14" ht="15" customHeight="1" x14ac:dyDescent="0.35">
      <c r="B131" s="162" t="str">
        <f>IF(Lançamentos!$B126="","",Lançamentos!$B126)</f>
        <v/>
      </c>
      <c r="C131" s="163" t="str">
        <f>IF($B131="","",IFERROR(INDEX(Lançamentos!$J$3:$J$1001,MATCH($B131,Lançamentos!$B$3:$B$1001,0)),""))</f>
        <v/>
      </c>
      <c r="D131" s="419" t="str">
        <f>IF($B131="","",IFERROR(INDEX('E2 — Triagem'!$D$8:$D$507,MATCH($B131,'E2 — Triagem'!$B$8:$B$507,0)),""))</f>
        <v/>
      </c>
      <c r="E131" s="164"/>
      <c r="F131" s="164"/>
      <c r="G131" s="164"/>
      <c r="H131" s="164"/>
      <c r="I131" s="164"/>
      <c r="J131" s="164"/>
      <c r="K131" s="164"/>
      <c r="L131" s="165" t="str">
        <f t="shared" si="1"/>
        <v/>
      </c>
      <c r="M131" s="166"/>
      <c r="N131" s="167"/>
    </row>
    <row r="132" spans="2:14" ht="15" customHeight="1" x14ac:dyDescent="0.35">
      <c r="B132" s="162" t="str">
        <f>IF(Lançamentos!$B127="","",Lançamentos!$B127)</f>
        <v/>
      </c>
      <c r="C132" s="163" t="str">
        <f>IF($B132="","",IFERROR(INDEX(Lançamentos!$J$3:$J$1001,MATCH($B132,Lançamentos!$B$3:$B$1001,0)),""))</f>
        <v/>
      </c>
      <c r="D132" s="419" t="str">
        <f>IF($B132="","",IFERROR(INDEX('E2 — Triagem'!$D$8:$D$507,MATCH($B132,'E2 — Triagem'!$B$8:$B$507,0)),""))</f>
        <v/>
      </c>
      <c r="E132" s="164"/>
      <c r="F132" s="164"/>
      <c r="G132" s="164"/>
      <c r="H132" s="164"/>
      <c r="I132" s="164"/>
      <c r="J132" s="164"/>
      <c r="K132" s="164"/>
      <c r="L132" s="165" t="str">
        <f t="shared" si="1"/>
        <v/>
      </c>
      <c r="M132" s="166"/>
      <c r="N132" s="167"/>
    </row>
    <row r="133" spans="2:14" ht="15" customHeight="1" x14ac:dyDescent="0.35">
      <c r="B133" s="162" t="str">
        <f>IF(Lançamentos!$B128="","",Lançamentos!$B128)</f>
        <v/>
      </c>
      <c r="C133" s="163" t="str">
        <f>IF($B133="","",IFERROR(INDEX(Lançamentos!$J$3:$J$1001,MATCH($B133,Lançamentos!$B$3:$B$1001,0)),""))</f>
        <v/>
      </c>
      <c r="D133" s="419" t="str">
        <f>IF($B133="","",IFERROR(INDEX('E2 — Triagem'!$D$8:$D$507,MATCH($B133,'E2 — Triagem'!$B$8:$B$507,0)),""))</f>
        <v/>
      </c>
      <c r="E133" s="164"/>
      <c r="F133" s="164"/>
      <c r="G133" s="164"/>
      <c r="H133" s="164"/>
      <c r="I133" s="164"/>
      <c r="J133" s="164"/>
      <c r="K133" s="164"/>
      <c r="L133" s="165" t="str">
        <f t="shared" si="1"/>
        <v/>
      </c>
      <c r="M133" s="166"/>
      <c r="N133" s="167"/>
    </row>
    <row r="134" spans="2:14" ht="15" customHeight="1" x14ac:dyDescent="0.35">
      <c r="B134" s="162" t="str">
        <f>IF(Lançamentos!$B129="","",Lançamentos!$B129)</f>
        <v/>
      </c>
      <c r="C134" s="163" t="str">
        <f>IF($B134="","",IFERROR(INDEX(Lançamentos!$J$3:$J$1001,MATCH($B134,Lançamentos!$B$3:$B$1001,0)),""))</f>
        <v/>
      </c>
      <c r="D134" s="419" t="str">
        <f>IF($B134="","",IFERROR(INDEX('E2 — Triagem'!$D$8:$D$507,MATCH($B134,'E2 — Triagem'!$B$8:$B$507,0)),""))</f>
        <v/>
      </c>
      <c r="E134" s="164"/>
      <c r="F134" s="164"/>
      <c r="G134" s="164"/>
      <c r="H134" s="164"/>
      <c r="I134" s="164"/>
      <c r="J134" s="164"/>
      <c r="K134" s="164"/>
      <c r="L134" s="165" t="str">
        <f t="shared" si="1"/>
        <v/>
      </c>
      <c r="M134" s="166"/>
      <c r="N134" s="167"/>
    </row>
    <row r="135" spans="2:14" ht="15" customHeight="1" x14ac:dyDescent="0.35">
      <c r="B135" s="162" t="str">
        <f>IF(Lançamentos!$B130="","",Lançamentos!$B130)</f>
        <v/>
      </c>
      <c r="C135" s="163" t="str">
        <f>IF($B135="","",IFERROR(INDEX(Lançamentos!$J$3:$J$1001,MATCH($B135,Lançamentos!$B$3:$B$1001,0)),""))</f>
        <v/>
      </c>
      <c r="D135" s="419" t="str">
        <f>IF($B135="","",IFERROR(INDEX('E2 — Triagem'!$D$8:$D$507,MATCH($B135,'E2 — Triagem'!$B$8:$B$507,0)),""))</f>
        <v/>
      </c>
      <c r="E135" s="164"/>
      <c r="F135" s="164"/>
      <c r="G135" s="164"/>
      <c r="H135" s="164"/>
      <c r="I135" s="164"/>
      <c r="J135" s="164"/>
      <c r="K135" s="164"/>
      <c r="L135" s="165" t="str">
        <f t="shared" si="1"/>
        <v/>
      </c>
      <c r="M135" s="166"/>
      <c r="N135" s="167"/>
    </row>
    <row r="136" spans="2:14" ht="15" customHeight="1" x14ac:dyDescent="0.35">
      <c r="B136" s="162" t="str">
        <f>IF(Lançamentos!$B131="","",Lançamentos!$B131)</f>
        <v/>
      </c>
      <c r="C136" s="163" t="str">
        <f>IF($B136="","",IFERROR(INDEX(Lançamentos!$J$3:$J$1001,MATCH($B136,Lançamentos!$B$3:$B$1001,0)),""))</f>
        <v/>
      </c>
      <c r="D136" s="419" t="str">
        <f>IF($B136="","",IFERROR(INDEX('E2 — Triagem'!$D$8:$D$507,MATCH($B136,'E2 — Triagem'!$B$8:$B$507,0)),""))</f>
        <v/>
      </c>
      <c r="E136" s="164"/>
      <c r="F136" s="164"/>
      <c r="G136" s="164"/>
      <c r="H136" s="164"/>
      <c r="I136" s="164"/>
      <c r="J136" s="164"/>
      <c r="K136" s="164"/>
      <c r="L136" s="165" t="str">
        <f t="shared" si="1"/>
        <v/>
      </c>
      <c r="M136" s="166"/>
      <c r="N136" s="167"/>
    </row>
    <row r="137" spans="2:14" ht="15" customHeight="1" x14ac:dyDescent="0.35">
      <c r="B137" s="162" t="str">
        <f>IF(Lançamentos!$B132="","",Lançamentos!$B132)</f>
        <v/>
      </c>
      <c r="C137" s="163" t="str">
        <f>IF($B137="","",IFERROR(INDEX(Lançamentos!$J$3:$J$1001,MATCH($B137,Lançamentos!$B$3:$B$1001,0)),""))</f>
        <v/>
      </c>
      <c r="D137" s="419" t="str">
        <f>IF($B137="","",IFERROR(INDEX('E2 — Triagem'!$D$8:$D$507,MATCH($B137,'E2 — Triagem'!$B$8:$B$507,0)),""))</f>
        <v/>
      </c>
      <c r="E137" s="164"/>
      <c r="F137" s="164"/>
      <c r="G137" s="164"/>
      <c r="H137" s="164"/>
      <c r="I137" s="164"/>
      <c r="J137" s="164"/>
      <c r="K137" s="164"/>
      <c r="L137" s="165" t="str">
        <f t="shared" ref="L137:L200" si="2">IF(B137="","",IF(COUNTIF(E137:K137,"N/A")=7,0,IF(COUNTIF(E137:K137,"✔ Concluído")=7,1,MIN(99%,COUNTIF(E137:K137,"✔ Concluído")/(7-COUNTIF(E137:K137,"N/A"))))))</f>
        <v/>
      </c>
      <c r="M137" s="166"/>
      <c r="N137" s="167"/>
    </row>
    <row r="138" spans="2:14" ht="15" customHeight="1" x14ac:dyDescent="0.35">
      <c r="B138" s="162" t="str">
        <f>IF(Lançamentos!$B133="","",Lançamentos!$B133)</f>
        <v/>
      </c>
      <c r="C138" s="163" t="str">
        <f>IF($B138="","",IFERROR(INDEX(Lançamentos!$J$3:$J$1001,MATCH($B138,Lançamentos!$B$3:$B$1001,0)),""))</f>
        <v/>
      </c>
      <c r="D138" s="419" t="str">
        <f>IF($B138="","",IFERROR(INDEX('E2 — Triagem'!$D$8:$D$507,MATCH($B138,'E2 — Triagem'!$B$8:$B$507,0)),""))</f>
        <v/>
      </c>
      <c r="E138" s="164"/>
      <c r="F138" s="164"/>
      <c r="G138" s="164"/>
      <c r="H138" s="164"/>
      <c r="I138" s="164"/>
      <c r="J138" s="164"/>
      <c r="K138" s="164"/>
      <c r="L138" s="165" t="str">
        <f t="shared" si="2"/>
        <v/>
      </c>
      <c r="M138" s="166"/>
      <c r="N138" s="167"/>
    </row>
    <row r="139" spans="2:14" ht="15" customHeight="1" x14ac:dyDescent="0.35">
      <c r="B139" s="162" t="str">
        <f>IF(Lançamentos!$B134="","",Lançamentos!$B134)</f>
        <v/>
      </c>
      <c r="C139" s="163" t="str">
        <f>IF($B139="","",IFERROR(INDEX(Lançamentos!$J$3:$J$1001,MATCH($B139,Lançamentos!$B$3:$B$1001,0)),""))</f>
        <v/>
      </c>
      <c r="D139" s="419" t="str">
        <f>IF($B139="","",IFERROR(INDEX('E2 — Triagem'!$D$8:$D$507,MATCH($B139,'E2 — Triagem'!$B$8:$B$507,0)),""))</f>
        <v/>
      </c>
      <c r="E139" s="164"/>
      <c r="F139" s="164"/>
      <c r="G139" s="164"/>
      <c r="H139" s="164"/>
      <c r="I139" s="164"/>
      <c r="J139" s="164"/>
      <c r="K139" s="164"/>
      <c r="L139" s="165" t="str">
        <f t="shared" si="2"/>
        <v/>
      </c>
      <c r="M139" s="166"/>
      <c r="N139" s="167"/>
    </row>
    <row r="140" spans="2:14" ht="15" customHeight="1" x14ac:dyDescent="0.35">
      <c r="B140" s="162" t="str">
        <f>IF(Lançamentos!$B135="","",Lançamentos!$B135)</f>
        <v/>
      </c>
      <c r="C140" s="163" t="str">
        <f>IF($B140="","",IFERROR(INDEX(Lançamentos!$J$3:$J$1001,MATCH($B140,Lançamentos!$B$3:$B$1001,0)),""))</f>
        <v/>
      </c>
      <c r="D140" s="419" t="str">
        <f>IF($B140="","",IFERROR(INDEX('E2 — Triagem'!$D$8:$D$507,MATCH($B140,'E2 — Triagem'!$B$8:$B$507,0)),""))</f>
        <v/>
      </c>
      <c r="E140" s="164"/>
      <c r="F140" s="164"/>
      <c r="G140" s="164"/>
      <c r="H140" s="164"/>
      <c r="I140" s="164"/>
      <c r="J140" s="164"/>
      <c r="K140" s="164"/>
      <c r="L140" s="165" t="str">
        <f t="shared" si="2"/>
        <v/>
      </c>
      <c r="M140" s="166"/>
      <c r="N140" s="167"/>
    </row>
    <row r="141" spans="2:14" ht="15" customHeight="1" x14ac:dyDescent="0.35">
      <c r="B141" s="162" t="str">
        <f>IF(Lançamentos!$B136="","",Lançamentos!$B136)</f>
        <v/>
      </c>
      <c r="C141" s="163" t="str">
        <f>IF($B141="","",IFERROR(INDEX(Lançamentos!$J$3:$J$1001,MATCH($B141,Lançamentos!$B$3:$B$1001,0)),""))</f>
        <v/>
      </c>
      <c r="D141" s="419" t="str">
        <f>IF($B141="","",IFERROR(INDEX('E2 — Triagem'!$D$8:$D$507,MATCH($B141,'E2 — Triagem'!$B$8:$B$507,0)),""))</f>
        <v/>
      </c>
      <c r="E141" s="164"/>
      <c r="F141" s="164"/>
      <c r="G141" s="164"/>
      <c r="H141" s="164"/>
      <c r="I141" s="164"/>
      <c r="J141" s="164"/>
      <c r="K141" s="164"/>
      <c r="L141" s="165" t="str">
        <f t="shared" si="2"/>
        <v/>
      </c>
      <c r="M141" s="166"/>
      <c r="N141" s="167"/>
    </row>
    <row r="142" spans="2:14" ht="15" customHeight="1" x14ac:dyDescent="0.35">
      <c r="B142" s="162" t="str">
        <f>IF(Lançamentos!$B137="","",Lançamentos!$B137)</f>
        <v/>
      </c>
      <c r="C142" s="163" t="str">
        <f>IF($B142="","",IFERROR(INDEX(Lançamentos!$J$3:$J$1001,MATCH($B142,Lançamentos!$B$3:$B$1001,0)),""))</f>
        <v/>
      </c>
      <c r="D142" s="419" t="str">
        <f>IF($B142="","",IFERROR(INDEX('E2 — Triagem'!$D$8:$D$507,MATCH($B142,'E2 — Triagem'!$B$8:$B$507,0)),""))</f>
        <v/>
      </c>
      <c r="E142" s="164"/>
      <c r="F142" s="164"/>
      <c r="G142" s="164"/>
      <c r="H142" s="164"/>
      <c r="I142" s="164"/>
      <c r="J142" s="164"/>
      <c r="K142" s="164"/>
      <c r="L142" s="165" t="str">
        <f t="shared" si="2"/>
        <v/>
      </c>
      <c r="M142" s="166"/>
      <c r="N142" s="167"/>
    </row>
    <row r="143" spans="2:14" ht="15" customHeight="1" x14ac:dyDescent="0.35">
      <c r="B143" s="162" t="str">
        <f>IF(Lançamentos!$B138="","",Lançamentos!$B138)</f>
        <v/>
      </c>
      <c r="C143" s="163" t="str">
        <f>IF($B143="","",IFERROR(INDEX(Lançamentos!$J$3:$J$1001,MATCH($B143,Lançamentos!$B$3:$B$1001,0)),""))</f>
        <v/>
      </c>
      <c r="D143" s="419" t="str">
        <f>IF($B143="","",IFERROR(INDEX('E2 — Triagem'!$D$8:$D$507,MATCH($B143,'E2 — Triagem'!$B$8:$B$507,0)),""))</f>
        <v/>
      </c>
      <c r="E143" s="164"/>
      <c r="F143" s="164"/>
      <c r="G143" s="164"/>
      <c r="H143" s="164"/>
      <c r="I143" s="164"/>
      <c r="J143" s="164"/>
      <c r="K143" s="164"/>
      <c r="L143" s="165" t="str">
        <f t="shared" si="2"/>
        <v/>
      </c>
      <c r="M143" s="166"/>
      <c r="N143" s="167"/>
    </row>
    <row r="144" spans="2:14" ht="15" customHeight="1" x14ac:dyDescent="0.35">
      <c r="B144" s="162" t="str">
        <f>IF(Lançamentos!$B139="","",Lançamentos!$B139)</f>
        <v/>
      </c>
      <c r="C144" s="163" t="str">
        <f>IF($B144="","",IFERROR(INDEX(Lançamentos!$J$3:$J$1001,MATCH($B144,Lançamentos!$B$3:$B$1001,0)),""))</f>
        <v/>
      </c>
      <c r="D144" s="419" t="str">
        <f>IF($B144="","",IFERROR(INDEX('E2 — Triagem'!$D$8:$D$507,MATCH($B144,'E2 — Triagem'!$B$8:$B$507,0)),""))</f>
        <v/>
      </c>
      <c r="E144" s="164"/>
      <c r="F144" s="164"/>
      <c r="G144" s="164"/>
      <c r="H144" s="164"/>
      <c r="I144" s="164"/>
      <c r="J144" s="164"/>
      <c r="K144" s="164"/>
      <c r="L144" s="165" t="str">
        <f t="shared" si="2"/>
        <v/>
      </c>
      <c r="M144" s="166"/>
      <c r="N144" s="167"/>
    </row>
    <row r="145" spans="2:14" ht="15" customHeight="1" x14ac:dyDescent="0.35">
      <c r="B145" s="162" t="str">
        <f>IF(Lançamentos!$B140="","",Lançamentos!$B140)</f>
        <v/>
      </c>
      <c r="C145" s="163" t="str">
        <f>IF($B145="","",IFERROR(INDEX(Lançamentos!$J$3:$J$1001,MATCH($B145,Lançamentos!$B$3:$B$1001,0)),""))</f>
        <v/>
      </c>
      <c r="D145" s="419" t="str">
        <f>IF($B145="","",IFERROR(INDEX('E2 — Triagem'!$D$8:$D$507,MATCH($B145,'E2 — Triagem'!$B$8:$B$507,0)),""))</f>
        <v/>
      </c>
      <c r="E145" s="164"/>
      <c r="F145" s="164"/>
      <c r="G145" s="164"/>
      <c r="H145" s="164"/>
      <c r="I145" s="164"/>
      <c r="J145" s="164"/>
      <c r="K145" s="164"/>
      <c r="L145" s="165" t="str">
        <f t="shared" si="2"/>
        <v/>
      </c>
      <c r="M145" s="166"/>
      <c r="N145" s="167"/>
    </row>
    <row r="146" spans="2:14" ht="15" customHeight="1" x14ac:dyDescent="0.35">
      <c r="B146" s="162" t="str">
        <f>IF(Lançamentos!$B141="","",Lançamentos!$B141)</f>
        <v/>
      </c>
      <c r="C146" s="163" t="str">
        <f>IF($B146="","",IFERROR(INDEX(Lançamentos!$J$3:$J$1001,MATCH($B146,Lançamentos!$B$3:$B$1001,0)),""))</f>
        <v/>
      </c>
      <c r="D146" s="419" t="str">
        <f>IF($B146="","",IFERROR(INDEX('E2 — Triagem'!$D$8:$D$507,MATCH($B146,'E2 — Triagem'!$B$8:$B$507,0)),""))</f>
        <v/>
      </c>
      <c r="E146" s="164"/>
      <c r="F146" s="164"/>
      <c r="G146" s="164"/>
      <c r="H146" s="164"/>
      <c r="I146" s="164"/>
      <c r="J146" s="164"/>
      <c r="K146" s="164"/>
      <c r="L146" s="165" t="str">
        <f t="shared" si="2"/>
        <v/>
      </c>
      <c r="M146" s="166"/>
      <c r="N146" s="167"/>
    </row>
    <row r="147" spans="2:14" ht="15" customHeight="1" x14ac:dyDescent="0.35">
      <c r="B147" s="162" t="str">
        <f>IF(Lançamentos!$B142="","",Lançamentos!$B142)</f>
        <v/>
      </c>
      <c r="C147" s="163" t="str">
        <f>IF($B147="","",IFERROR(INDEX(Lançamentos!$J$3:$J$1001,MATCH($B147,Lançamentos!$B$3:$B$1001,0)),""))</f>
        <v/>
      </c>
      <c r="D147" s="419" t="str">
        <f>IF($B147="","",IFERROR(INDEX('E2 — Triagem'!$D$8:$D$507,MATCH($B147,'E2 — Triagem'!$B$8:$B$507,0)),""))</f>
        <v/>
      </c>
      <c r="E147" s="164"/>
      <c r="F147" s="164"/>
      <c r="G147" s="164"/>
      <c r="H147" s="164"/>
      <c r="I147" s="164"/>
      <c r="J147" s="164"/>
      <c r="K147" s="164"/>
      <c r="L147" s="165" t="str">
        <f t="shared" si="2"/>
        <v/>
      </c>
      <c r="M147" s="166"/>
      <c r="N147" s="167"/>
    </row>
    <row r="148" spans="2:14" ht="15" customHeight="1" x14ac:dyDescent="0.35">
      <c r="B148" s="162" t="str">
        <f>IF(Lançamentos!$B143="","",Lançamentos!$B143)</f>
        <v/>
      </c>
      <c r="C148" s="163" t="str">
        <f>IF($B148="","",IFERROR(INDEX(Lançamentos!$J$3:$J$1001,MATCH($B148,Lançamentos!$B$3:$B$1001,0)),""))</f>
        <v/>
      </c>
      <c r="D148" s="419" t="str">
        <f>IF($B148="","",IFERROR(INDEX('E2 — Triagem'!$D$8:$D$507,MATCH($B148,'E2 — Triagem'!$B$8:$B$507,0)),""))</f>
        <v/>
      </c>
      <c r="E148" s="164"/>
      <c r="F148" s="164"/>
      <c r="G148" s="164"/>
      <c r="H148" s="164"/>
      <c r="I148" s="164"/>
      <c r="J148" s="164"/>
      <c r="K148" s="164"/>
      <c r="L148" s="165" t="str">
        <f t="shared" si="2"/>
        <v/>
      </c>
      <c r="M148" s="166"/>
      <c r="N148" s="167"/>
    </row>
    <row r="149" spans="2:14" ht="15" customHeight="1" x14ac:dyDescent="0.35">
      <c r="B149" s="162" t="str">
        <f>IF(Lançamentos!$B144="","",Lançamentos!$B144)</f>
        <v/>
      </c>
      <c r="C149" s="163" t="str">
        <f>IF($B149="","",IFERROR(INDEX(Lançamentos!$J$3:$J$1001,MATCH($B149,Lançamentos!$B$3:$B$1001,0)),""))</f>
        <v/>
      </c>
      <c r="D149" s="419" t="str">
        <f>IF($B149="","",IFERROR(INDEX('E2 — Triagem'!$D$8:$D$507,MATCH($B149,'E2 — Triagem'!$B$8:$B$507,0)),""))</f>
        <v/>
      </c>
      <c r="E149" s="164"/>
      <c r="F149" s="164"/>
      <c r="G149" s="164"/>
      <c r="H149" s="164"/>
      <c r="I149" s="164"/>
      <c r="J149" s="164"/>
      <c r="K149" s="164"/>
      <c r="L149" s="165" t="str">
        <f t="shared" si="2"/>
        <v/>
      </c>
      <c r="M149" s="166"/>
      <c r="N149" s="167"/>
    </row>
    <row r="150" spans="2:14" ht="15" customHeight="1" x14ac:dyDescent="0.35">
      <c r="B150" s="162" t="str">
        <f>IF(Lançamentos!$B145="","",Lançamentos!$B145)</f>
        <v/>
      </c>
      <c r="C150" s="163" t="str">
        <f>IF($B150="","",IFERROR(INDEX(Lançamentos!$J$3:$J$1001,MATCH($B150,Lançamentos!$B$3:$B$1001,0)),""))</f>
        <v/>
      </c>
      <c r="D150" s="419" t="str">
        <f>IF($B150="","",IFERROR(INDEX('E2 — Triagem'!$D$8:$D$507,MATCH($B150,'E2 — Triagem'!$B$8:$B$507,0)),""))</f>
        <v/>
      </c>
      <c r="E150" s="164"/>
      <c r="F150" s="164"/>
      <c r="G150" s="164"/>
      <c r="H150" s="164"/>
      <c r="I150" s="164"/>
      <c r="J150" s="164"/>
      <c r="K150" s="164"/>
      <c r="L150" s="165" t="str">
        <f t="shared" si="2"/>
        <v/>
      </c>
      <c r="M150" s="166"/>
      <c r="N150" s="167"/>
    </row>
    <row r="151" spans="2:14" ht="15" customHeight="1" x14ac:dyDescent="0.35">
      <c r="B151" s="162" t="str">
        <f>IF(Lançamentos!$B146="","",Lançamentos!$B146)</f>
        <v/>
      </c>
      <c r="C151" s="163" t="str">
        <f>IF($B151="","",IFERROR(INDEX(Lançamentos!$J$3:$J$1001,MATCH($B151,Lançamentos!$B$3:$B$1001,0)),""))</f>
        <v/>
      </c>
      <c r="D151" s="419" t="str">
        <f>IF($B151="","",IFERROR(INDEX('E2 — Triagem'!$D$8:$D$507,MATCH($B151,'E2 — Triagem'!$B$8:$B$507,0)),""))</f>
        <v/>
      </c>
      <c r="E151" s="164"/>
      <c r="F151" s="164"/>
      <c r="G151" s="164"/>
      <c r="H151" s="164"/>
      <c r="I151" s="164"/>
      <c r="J151" s="164"/>
      <c r="K151" s="164"/>
      <c r="L151" s="165" t="str">
        <f t="shared" si="2"/>
        <v/>
      </c>
      <c r="M151" s="166"/>
      <c r="N151" s="167"/>
    </row>
    <row r="152" spans="2:14" ht="15" customHeight="1" x14ac:dyDescent="0.35">
      <c r="B152" s="162" t="str">
        <f>IF(Lançamentos!$B147="","",Lançamentos!$B147)</f>
        <v/>
      </c>
      <c r="C152" s="163" t="str">
        <f>IF($B152="","",IFERROR(INDEX(Lançamentos!$J$3:$J$1001,MATCH($B152,Lançamentos!$B$3:$B$1001,0)),""))</f>
        <v/>
      </c>
      <c r="D152" s="419" t="str">
        <f>IF($B152="","",IFERROR(INDEX('E2 — Triagem'!$D$8:$D$507,MATCH($B152,'E2 — Triagem'!$B$8:$B$507,0)),""))</f>
        <v/>
      </c>
      <c r="E152" s="164"/>
      <c r="F152" s="164"/>
      <c r="G152" s="164"/>
      <c r="H152" s="164"/>
      <c r="I152" s="164"/>
      <c r="J152" s="164"/>
      <c r="K152" s="164"/>
      <c r="L152" s="165" t="str">
        <f t="shared" si="2"/>
        <v/>
      </c>
      <c r="M152" s="166"/>
      <c r="N152" s="167"/>
    </row>
    <row r="153" spans="2:14" ht="15" customHeight="1" x14ac:dyDescent="0.35">
      <c r="B153" s="162" t="str">
        <f>IF(Lançamentos!$B148="","",Lançamentos!$B148)</f>
        <v/>
      </c>
      <c r="C153" s="163" t="str">
        <f>IF($B153="","",IFERROR(INDEX(Lançamentos!$J$3:$J$1001,MATCH($B153,Lançamentos!$B$3:$B$1001,0)),""))</f>
        <v/>
      </c>
      <c r="D153" s="419" t="str">
        <f>IF($B153="","",IFERROR(INDEX('E2 — Triagem'!$D$8:$D$507,MATCH($B153,'E2 — Triagem'!$B$8:$B$507,0)),""))</f>
        <v/>
      </c>
      <c r="E153" s="164"/>
      <c r="F153" s="164"/>
      <c r="G153" s="164"/>
      <c r="H153" s="164"/>
      <c r="I153" s="164"/>
      <c r="J153" s="164"/>
      <c r="K153" s="164"/>
      <c r="L153" s="165" t="str">
        <f t="shared" si="2"/>
        <v/>
      </c>
      <c r="M153" s="166"/>
      <c r="N153" s="167"/>
    </row>
    <row r="154" spans="2:14" ht="15" customHeight="1" x14ac:dyDescent="0.35">
      <c r="B154" s="162" t="str">
        <f>IF(Lançamentos!$B149="","",Lançamentos!$B149)</f>
        <v/>
      </c>
      <c r="C154" s="163" t="str">
        <f>IF($B154="","",IFERROR(INDEX(Lançamentos!$J$3:$J$1001,MATCH($B154,Lançamentos!$B$3:$B$1001,0)),""))</f>
        <v/>
      </c>
      <c r="D154" s="419" t="str">
        <f>IF($B154="","",IFERROR(INDEX('E2 — Triagem'!$D$8:$D$507,MATCH($B154,'E2 — Triagem'!$B$8:$B$507,0)),""))</f>
        <v/>
      </c>
      <c r="E154" s="164"/>
      <c r="F154" s="164"/>
      <c r="G154" s="164"/>
      <c r="H154" s="164"/>
      <c r="I154" s="164"/>
      <c r="J154" s="164"/>
      <c r="K154" s="164"/>
      <c r="L154" s="165" t="str">
        <f t="shared" si="2"/>
        <v/>
      </c>
      <c r="M154" s="166"/>
      <c r="N154" s="167"/>
    </row>
    <row r="155" spans="2:14" ht="15" customHeight="1" x14ac:dyDescent="0.35">
      <c r="B155" s="162" t="str">
        <f>IF(Lançamentos!$B150="","",Lançamentos!$B150)</f>
        <v/>
      </c>
      <c r="C155" s="163" t="str">
        <f>IF($B155="","",IFERROR(INDEX(Lançamentos!$J$3:$J$1001,MATCH($B155,Lançamentos!$B$3:$B$1001,0)),""))</f>
        <v/>
      </c>
      <c r="D155" s="419" t="str">
        <f>IF($B155="","",IFERROR(INDEX('E2 — Triagem'!$D$8:$D$507,MATCH($B155,'E2 — Triagem'!$B$8:$B$507,0)),""))</f>
        <v/>
      </c>
      <c r="E155" s="164"/>
      <c r="F155" s="164"/>
      <c r="G155" s="164"/>
      <c r="H155" s="164"/>
      <c r="I155" s="164"/>
      <c r="J155" s="164"/>
      <c r="K155" s="164"/>
      <c r="L155" s="165" t="str">
        <f t="shared" si="2"/>
        <v/>
      </c>
      <c r="M155" s="166"/>
      <c r="N155" s="167"/>
    </row>
    <row r="156" spans="2:14" ht="15" customHeight="1" x14ac:dyDescent="0.35">
      <c r="B156" s="162" t="str">
        <f>IF(Lançamentos!$B151="","",Lançamentos!$B151)</f>
        <v/>
      </c>
      <c r="C156" s="163" t="str">
        <f>IF($B156="","",IFERROR(INDEX(Lançamentos!$J$3:$J$1001,MATCH($B156,Lançamentos!$B$3:$B$1001,0)),""))</f>
        <v/>
      </c>
      <c r="D156" s="419" t="str">
        <f>IF($B156="","",IFERROR(INDEX('E2 — Triagem'!$D$8:$D$507,MATCH($B156,'E2 — Triagem'!$B$8:$B$507,0)),""))</f>
        <v/>
      </c>
      <c r="E156" s="164"/>
      <c r="F156" s="164"/>
      <c r="G156" s="164"/>
      <c r="H156" s="164"/>
      <c r="I156" s="164"/>
      <c r="J156" s="164"/>
      <c r="K156" s="164"/>
      <c r="L156" s="165" t="str">
        <f t="shared" si="2"/>
        <v/>
      </c>
      <c r="M156" s="166"/>
      <c r="N156" s="167"/>
    </row>
    <row r="157" spans="2:14" ht="15" customHeight="1" x14ac:dyDescent="0.35">
      <c r="B157" s="162" t="str">
        <f>IF(Lançamentos!$B152="","",Lançamentos!$B152)</f>
        <v/>
      </c>
      <c r="C157" s="163" t="str">
        <f>IF($B157="","",IFERROR(INDEX(Lançamentos!$J$3:$J$1001,MATCH($B157,Lançamentos!$B$3:$B$1001,0)),""))</f>
        <v/>
      </c>
      <c r="D157" s="419" t="str">
        <f>IF($B157="","",IFERROR(INDEX('E2 — Triagem'!$D$8:$D$507,MATCH($B157,'E2 — Triagem'!$B$8:$B$507,0)),""))</f>
        <v/>
      </c>
      <c r="E157" s="164"/>
      <c r="F157" s="164"/>
      <c r="G157" s="164"/>
      <c r="H157" s="164"/>
      <c r="I157" s="164"/>
      <c r="J157" s="164"/>
      <c r="K157" s="164"/>
      <c r="L157" s="165" t="str">
        <f t="shared" si="2"/>
        <v/>
      </c>
      <c r="M157" s="166"/>
      <c r="N157" s="167"/>
    </row>
    <row r="158" spans="2:14" ht="15" customHeight="1" x14ac:dyDescent="0.35">
      <c r="B158" s="162" t="str">
        <f>IF(Lançamentos!$B153="","",Lançamentos!$B153)</f>
        <v/>
      </c>
      <c r="C158" s="163" t="str">
        <f>IF($B158="","",IFERROR(INDEX(Lançamentos!$J$3:$J$1001,MATCH($B158,Lançamentos!$B$3:$B$1001,0)),""))</f>
        <v/>
      </c>
      <c r="D158" s="419" t="str">
        <f>IF($B158="","",IFERROR(INDEX('E2 — Triagem'!$D$8:$D$507,MATCH($B158,'E2 — Triagem'!$B$8:$B$507,0)),""))</f>
        <v/>
      </c>
      <c r="E158" s="164"/>
      <c r="F158" s="164"/>
      <c r="G158" s="164"/>
      <c r="H158" s="164"/>
      <c r="I158" s="164"/>
      <c r="J158" s="164"/>
      <c r="K158" s="164"/>
      <c r="L158" s="165" t="str">
        <f t="shared" si="2"/>
        <v/>
      </c>
      <c r="M158" s="166"/>
      <c r="N158" s="167"/>
    </row>
    <row r="159" spans="2:14" ht="15" customHeight="1" x14ac:dyDescent="0.35">
      <c r="B159" s="162" t="str">
        <f>IF(Lançamentos!$B154="","",Lançamentos!$B154)</f>
        <v/>
      </c>
      <c r="C159" s="163" t="str">
        <f>IF($B159="","",IFERROR(INDEX(Lançamentos!$J$3:$J$1001,MATCH($B159,Lançamentos!$B$3:$B$1001,0)),""))</f>
        <v/>
      </c>
      <c r="D159" s="419" t="str">
        <f>IF($B159="","",IFERROR(INDEX('E2 — Triagem'!$D$8:$D$507,MATCH($B159,'E2 — Triagem'!$B$8:$B$507,0)),""))</f>
        <v/>
      </c>
      <c r="E159" s="164"/>
      <c r="F159" s="164"/>
      <c r="G159" s="164"/>
      <c r="H159" s="164"/>
      <c r="I159" s="164"/>
      <c r="J159" s="164"/>
      <c r="K159" s="164"/>
      <c r="L159" s="165" t="str">
        <f t="shared" si="2"/>
        <v/>
      </c>
      <c r="M159" s="166"/>
      <c r="N159" s="167"/>
    </row>
    <row r="160" spans="2:14" ht="15" customHeight="1" x14ac:dyDescent="0.35">
      <c r="B160" s="162" t="str">
        <f>IF(Lançamentos!$B155="","",Lançamentos!$B155)</f>
        <v/>
      </c>
      <c r="C160" s="163" t="str">
        <f>IF($B160="","",IFERROR(INDEX(Lançamentos!$J$3:$J$1001,MATCH($B160,Lançamentos!$B$3:$B$1001,0)),""))</f>
        <v/>
      </c>
      <c r="D160" s="419" t="str">
        <f>IF($B160="","",IFERROR(INDEX('E2 — Triagem'!$D$8:$D$507,MATCH($B160,'E2 — Triagem'!$B$8:$B$507,0)),""))</f>
        <v/>
      </c>
      <c r="E160" s="164"/>
      <c r="F160" s="164"/>
      <c r="G160" s="164"/>
      <c r="H160" s="164"/>
      <c r="I160" s="164"/>
      <c r="J160" s="164"/>
      <c r="K160" s="164"/>
      <c r="L160" s="165" t="str">
        <f t="shared" si="2"/>
        <v/>
      </c>
      <c r="M160" s="166"/>
      <c r="N160" s="167"/>
    </row>
    <row r="161" spans="2:14" ht="15" customHeight="1" x14ac:dyDescent="0.35">
      <c r="B161" s="162" t="str">
        <f>IF(Lançamentos!$B156="","",Lançamentos!$B156)</f>
        <v/>
      </c>
      <c r="C161" s="163" t="str">
        <f>IF($B161="","",IFERROR(INDEX(Lançamentos!$J$3:$J$1001,MATCH($B161,Lançamentos!$B$3:$B$1001,0)),""))</f>
        <v/>
      </c>
      <c r="D161" s="419" t="str">
        <f>IF($B161="","",IFERROR(INDEX('E2 — Triagem'!$D$8:$D$507,MATCH($B161,'E2 — Triagem'!$B$8:$B$507,0)),""))</f>
        <v/>
      </c>
      <c r="E161" s="164"/>
      <c r="F161" s="164"/>
      <c r="G161" s="164"/>
      <c r="H161" s="164"/>
      <c r="I161" s="164"/>
      <c r="J161" s="164"/>
      <c r="K161" s="164"/>
      <c r="L161" s="165" t="str">
        <f t="shared" si="2"/>
        <v/>
      </c>
      <c r="M161" s="166"/>
      <c r="N161" s="167"/>
    </row>
    <row r="162" spans="2:14" ht="15" customHeight="1" x14ac:dyDescent="0.35">
      <c r="B162" s="162" t="str">
        <f>IF(Lançamentos!$B157="","",Lançamentos!$B157)</f>
        <v/>
      </c>
      <c r="C162" s="163" t="str">
        <f>IF($B162="","",IFERROR(INDEX(Lançamentos!$J$3:$J$1001,MATCH($B162,Lançamentos!$B$3:$B$1001,0)),""))</f>
        <v/>
      </c>
      <c r="D162" s="419" t="str">
        <f>IF($B162="","",IFERROR(INDEX('E2 — Triagem'!$D$8:$D$507,MATCH($B162,'E2 — Triagem'!$B$8:$B$507,0)),""))</f>
        <v/>
      </c>
      <c r="E162" s="164"/>
      <c r="F162" s="164"/>
      <c r="G162" s="164"/>
      <c r="H162" s="164"/>
      <c r="I162" s="164"/>
      <c r="J162" s="164"/>
      <c r="K162" s="164"/>
      <c r="L162" s="165" t="str">
        <f t="shared" si="2"/>
        <v/>
      </c>
      <c r="M162" s="166"/>
      <c r="N162" s="167"/>
    </row>
    <row r="163" spans="2:14" ht="15" customHeight="1" x14ac:dyDescent="0.35">
      <c r="B163" s="162" t="str">
        <f>IF(Lançamentos!$B158="","",Lançamentos!$B158)</f>
        <v/>
      </c>
      <c r="C163" s="163" t="str">
        <f>IF($B163="","",IFERROR(INDEX(Lançamentos!$J$3:$J$1001,MATCH($B163,Lançamentos!$B$3:$B$1001,0)),""))</f>
        <v/>
      </c>
      <c r="D163" s="419" t="str">
        <f>IF($B163="","",IFERROR(INDEX('E2 — Triagem'!$D$8:$D$507,MATCH($B163,'E2 — Triagem'!$B$8:$B$507,0)),""))</f>
        <v/>
      </c>
      <c r="E163" s="164"/>
      <c r="F163" s="164"/>
      <c r="G163" s="164"/>
      <c r="H163" s="164"/>
      <c r="I163" s="164"/>
      <c r="J163" s="164"/>
      <c r="K163" s="164"/>
      <c r="L163" s="165" t="str">
        <f t="shared" si="2"/>
        <v/>
      </c>
      <c r="M163" s="166"/>
      <c r="N163" s="167"/>
    </row>
    <row r="164" spans="2:14" ht="15" customHeight="1" x14ac:dyDescent="0.35">
      <c r="B164" s="162" t="str">
        <f>IF(Lançamentos!$B159="","",Lançamentos!$B159)</f>
        <v/>
      </c>
      <c r="C164" s="163" t="str">
        <f>IF($B164="","",IFERROR(INDEX(Lançamentos!$J$3:$J$1001,MATCH($B164,Lançamentos!$B$3:$B$1001,0)),""))</f>
        <v/>
      </c>
      <c r="D164" s="419" t="str">
        <f>IF($B164="","",IFERROR(INDEX('E2 — Triagem'!$D$8:$D$507,MATCH($B164,'E2 — Triagem'!$B$8:$B$507,0)),""))</f>
        <v/>
      </c>
      <c r="E164" s="164"/>
      <c r="F164" s="164"/>
      <c r="G164" s="164"/>
      <c r="H164" s="164"/>
      <c r="I164" s="164"/>
      <c r="J164" s="164"/>
      <c r="K164" s="164"/>
      <c r="L164" s="165" t="str">
        <f t="shared" si="2"/>
        <v/>
      </c>
      <c r="M164" s="166"/>
      <c r="N164" s="167"/>
    </row>
    <row r="165" spans="2:14" ht="15" customHeight="1" x14ac:dyDescent="0.35">
      <c r="B165" s="162" t="str">
        <f>IF(Lançamentos!$B160="","",Lançamentos!$B160)</f>
        <v/>
      </c>
      <c r="C165" s="163" t="str">
        <f>IF($B165="","",IFERROR(INDEX(Lançamentos!$J$3:$J$1001,MATCH($B165,Lançamentos!$B$3:$B$1001,0)),""))</f>
        <v/>
      </c>
      <c r="D165" s="419" t="str">
        <f>IF($B165="","",IFERROR(INDEX('E2 — Triagem'!$D$8:$D$507,MATCH($B165,'E2 — Triagem'!$B$8:$B$507,0)),""))</f>
        <v/>
      </c>
      <c r="E165" s="164"/>
      <c r="F165" s="164"/>
      <c r="G165" s="164"/>
      <c r="H165" s="164"/>
      <c r="I165" s="164"/>
      <c r="J165" s="164"/>
      <c r="K165" s="164"/>
      <c r="L165" s="165" t="str">
        <f t="shared" si="2"/>
        <v/>
      </c>
      <c r="M165" s="166"/>
      <c r="N165" s="167"/>
    </row>
    <row r="166" spans="2:14" ht="15" customHeight="1" x14ac:dyDescent="0.35">
      <c r="B166" s="162" t="str">
        <f>IF(Lançamentos!$B161="","",Lançamentos!$B161)</f>
        <v/>
      </c>
      <c r="C166" s="163" t="str">
        <f>IF($B166="","",IFERROR(INDEX(Lançamentos!$J$3:$J$1001,MATCH($B166,Lançamentos!$B$3:$B$1001,0)),""))</f>
        <v/>
      </c>
      <c r="D166" s="419" t="str">
        <f>IF($B166="","",IFERROR(INDEX('E2 — Triagem'!$D$8:$D$507,MATCH($B166,'E2 — Triagem'!$B$8:$B$507,0)),""))</f>
        <v/>
      </c>
      <c r="E166" s="164"/>
      <c r="F166" s="164"/>
      <c r="G166" s="164"/>
      <c r="H166" s="164"/>
      <c r="I166" s="164"/>
      <c r="J166" s="164"/>
      <c r="K166" s="164"/>
      <c r="L166" s="165" t="str">
        <f t="shared" si="2"/>
        <v/>
      </c>
      <c r="M166" s="166"/>
      <c r="N166" s="167"/>
    </row>
    <row r="167" spans="2:14" ht="15" customHeight="1" x14ac:dyDescent="0.35">
      <c r="B167" s="162" t="str">
        <f>IF(Lançamentos!$B162="","",Lançamentos!$B162)</f>
        <v/>
      </c>
      <c r="C167" s="163" t="str">
        <f>IF($B167="","",IFERROR(INDEX(Lançamentos!$J$3:$J$1001,MATCH($B167,Lançamentos!$B$3:$B$1001,0)),""))</f>
        <v/>
      </c>
      <c r="D167" s="419" t="str">
        <f>IF($B167="","",IFERROR(INDEX('E2 — Triagem'!$D$8:$D$507,MATCH($B167,'E2 — Triagem'!$B$8:$B$507,0)),""))</f>
        <v/>
      </c>
      <c r="E167" s="164"/>
      <c r="F167" s="164"/>
      <c r="G167" s="164"/>
      <c r="H167" s="164"/>
      <c r="I167" s="164"/>
      <c r="J167" s="164"/>
      <c r="K167" s="164"/>
      <c r="L167" s="165" t="str">
        <f t="shared" si="2"/>
        <v/>
      </c>
      <c r="M167" s="166"/>
      <c r="N167" s="167"/>
    </row>
    <row r="168" spans="2:14" ht="15" customHeight="1" x14ac:dyDescent="0.35">
      <c r="B168" s="162" t="str">
        <f>IF(Lançamentos!$B163="","",Lançamentos!$B163)</f>
        <v/>
      </c>
      <c r="C168" s="163" t="str">
        <f>IF($B168="","",IFERROR(INDEX(Lançamentos!$J$3:$J$1001,MATCH($B168,Lançamentos!$B$3:$B$1001,0)),""))</f>
        <v/>
      </c>
      <c r="D168" s="419" t="str">
        <f>IF($B168="","",IFERROR(INDEX('E2 — Triagem'!$D$8:$D$507,MATCH($B168,'E2 — Triagem'!$B$8:$B$507,0)),""))</f>
        <v/>
      </c>
      <c r="E168" s="164"/>
      <c r="F168" s="164"/>
      <c r="G168" s="164"/>
      <c r="H168" s="164"/>
      <c r="I168" s="164"/>
      <c r="J168" s="164"/>
      <c r="K168" s="164"/>
      <c r="L168" s="165" t="str">
        <f t="shared" si="2"/>
        <v/>
      </c>
      <c r="M168" s="166"/>
      <c r="N168" s="167"/>
    </row>
    <row r="169" spans="2:14" ht="15" customHeight="1" x14ac:dyDescent="0.35">
      <c r="B169" s="162" t="str">
        <f>IF(Lançamentos!$B164="","",Lançamentos!$B164)</f>
        <v/>
      </c>
      <c r="C169" s="163" t="str">
        <f>IF($B169="","",IFERROR(INDEX(Lançamentos!$J$3:$J$1001,MATCH($B169,Lançamentos!$B$3:$B$1001,0)),""))</f>
        <v/>
      </c>
      <c r="D169" s="419" t="str">
        <f>IF($B169="","",IFERROR(INDEX('E2 — Triagem'!$D$8:$D$507,MATCH($B169,'E2 — Triagem'!$B$8:$B$507,0)),""))</f>
        <v/>
      </c>
      <c r="E169" s="164"/>
      <c r="F169" s="164"/>
      <c r="G169" s="164"/>
      <c r="H169" s="164"/>
      <c r="I169" s="164"/>
      <c r="J169" s="164"/>
      <c r="K169" s="164"/>
      <c r="L169" s="165" t="str">
        <f t="shared" si="2"/>
        <v/>
      </c>
      <c r="M169" s="166"/>
      <c r="N169" s="167"/>
    </row>
    <row r="170" spans="2:14" ht="15" customHeight="1" x14ac:dyDescent="0.35">
      <c r="B170" s="162" t="str">
        <f>IF(Lançamentos!$B165="","",Lançamentos!$B165)</f>
        <v/>
      </c>
      <c r="C170" s="163" t="str">
        <f>IF($B170="","",IFERROR(INDEX(Lançamentos!$J$3:$J$1001,MATCH($B170,Lançamentos!$B$3:$B$1001,0)),""))</f>
        <v/>
      </c>
      <c r="D170" s="419" t="str">
        <f>IF($B170="","",IFERROR(INDEX('E2 — Triagem'!$D$8:$D$507,MATCH($B170,'E2 — Triagem'!$B$8:$B$507,0)),""))</f>
        <v/>
      </c>
      <c r="E170" s="164"/>
      <c r="F170" s="164"/>
      <c r="G170" s="164"/>
      <c r="H170" s="164"/>
      <c r="I170" s="164"/>
      <c r="J170" s="164"/>
      <c r="K170" s="164"/>
      <c r="L170" s="165" t="str">
        <f t="shared" si="2"/>
        <v/>
      </c>
      <c r="M170" s="166"/>
      <c r="N170" s="167"/>
    </row>
    <row r="171" spans="2:14" ht="15" customHeight="1" x14ac:dyDescent="0.35">
      <c r="B171" s="162" t="str">
        <f>IF(Lançamentos!$B166="","",Lançamentos!$B166)</f>
        <v/>
      </c>
      <c r="C171" s="163" t="str">
        <f>IF($B171="","",IFERROR(INDEX(Lançamentos!$J$3:$J$1001,MATCH($B171,Lançamentos!$B$3:$B$1001,0)),""))</f>
        <v/>
      </c>
      <c r="D171" s="419" t="str">
        <f>IF($B171="","",IFERROR(INDEX('E2 — Triagem'!$D$8:$D$507,MATCH($B171,'E2 — Triagem'!$B$8:$B$507,0)),""))</f>
        <v/>
      </c>
      <c r="E171" s="164"/>
      <c r="F171" s="164"/>
      <c r="G171" s="164"/>
      <c r="H171" s="164"/>
      <c r="I171" s="164"/>
      <c r="J171" s="164"/>
      <c r="K171" s="164"/>
      <c r="L171" s="165" t="str">
        <f t="shared" si="2"/>
        <v/>
      </c>
      <c r="M171" s="166"/>
      <c r="N171" s="167"/>
    </row>
    <row r="172" spans="2:14" ht="15" customHeight="1" x14ac:dyDescent="0.35">
      <c r="B172" s="162" t="str">
        <f>IF(Lançamentos!$B167="","",Lançamentos!$B167)</f>
        <v/>
      </c>
      <c r="C172" s="163" t="str">
        <f>IF($B172="","",IFERROR(INDEX(Lançamentos!$J$3:$J$1001,MATCH($B172,Lançamentos!$B$3:$B$1001,0)),""))</f>
        <v/>
      </c>
      <c r="D172" s="419" t="str">
        <f>IF($B172="","",IFERROR(INDEX('E2 — Triagem'!$D$8:$D$507,MATCH($B172,'E2 — Triagem'!$B$8:$B$507,0)),""))</f>
        <v/>
      </c>
      <c r="E172" s="164"/>
      <c r="F172" s="164"/>
      <c r="G172" s="164"/>
      <c r="H172" s="164"/>
      <c r="I172" s="164"/>
      <c r="J172" s="164"/>
      <c r="K172" s="164"/>
      <c r="L172" s="165" t="str">
        <f t="shared" si="2"/>
        <v/>
      </c>
      <c r="M172" s="166"/>
      <c r="N172" s="167"/>
    </row>
    <row r="173" spans="2:14" ht="15" customHeight="1" x14ac:dyDescent="0.35">
      <c r="B173" s="162" t="str">
        <f>IF(Lançamentos!$B168="","",Lançamentos!$B168)</f>
        <v/>
      </c>
      <c r="C173" s="163" t="str">
        <f>IF($B173="","",IFERROR(INDEX(Lançamentos!$J$3:$J$1001,MATCH($B173,Lançamentos!$B$3:$B$1001,0)),""))</f>
        <v/>
      </c>
      <c r="D173" s="419" t="str">
        <f>IF($B173="","",IFERROR(INDEX('E2 — Triagem'!$D$8:$D$507,MATCH($B173,'E2 — Triagem'!$B$8:$B$507,0)),""))</f>
        <v/>
      </c>
      <c r="E173" s="164"/>
      <c r="F173" s="164"/>
      <c r="G173" s="164"/>
      <c r="H173" s="164"/>
      <c r="I173" s="164"/>
      <c r="J173" s="164"/>
      <c r="K173" s="164"/>
      <c r="L173" s="165" t="str">
        <f t="shared" si="2"/>
        <v/>
      </c>
      <c r="M173" s="166"/>
      <c r="N173" s="167"/>
    </row>
    <row r="174" spans="2:14" ht="15" customHeight="1" x14ac:dyDescent="0.35">
      <c r="B174" s="162" t="str">
        <f>IF(Lançamentos!$B169="","",Lançamentos!$B169)</f>
        <v/>
      </c>
      <c r="C174" s="163" t="str">
        <f>IF($B174="","",IFERROR(INDEX(Lançamentos!$J$3:$J$1001,MATCH($B174,Lançamentos!$B$3:$B$1001,0)),""))</f>
        <v/>
      </c>
      <c r="D174" s="419" t="str">
        <f>IF($B174="","",IFERROR(INDEX('E2 — Triagem'!$D$8:$D$507,MATCH($B174,'E2 — Triagem'!$B$8:$B$507,0)),""))</f>
        <v/>
      </c>
      <c r="E174" s="164"/>
      <c r="F174" s="164"/>
      <c r="G174" s="164"/>
      <c r="H174" s="164"/>
      <c r="I174" s="164"/>
      <c r="J174" s="164"/>
      <c r="K174" s="164"/>
      <c r="L174" s="165" t="str">
        <f t="shared" si="2"/>
        <v/>
      </c>
      <c r="M174" s="166"/>
      <c r="N174" s="167"/>
    </row>
    <row r="175" spans="2:14" ht="15" customHeight="1" x14ac:dyDescent="0.35">
      <c r="B175" s="162" t="str">
        <f>IF(Lançamentos!$B170="","",Lançamentos!$B170)</f>
        <v/>
      </c>
      <c r="C175" s="163" t="str">
        <f>IF($B175="","",IFERROR(INDEX(Lançamentos!$J$3:$J$1001,MATCH($B175,Lançamentos!$B$3:$B$1001,0)),""))</f>
        <v/>
      </c>
      <c r="D175" s="419" t="str">
        <f>IF($B175="","",IFERROR(INDEX('E2 — Triagem'!$D$8:$D$507,MATCH($B175,'E2 — Triagem'!$B$8:$B$507,0)),""))</f>
        <v/>
      </c>
      <c r="E175" s="164"/>
      <c r="F175" s="164"/>
      <c r="G175" s="164"/>
      <c r="H175" s="164"/>
      <c r="I175" s="164"/>
      <c r="J175" s="164"/>
      <c r="K175" s="164"/>
      <c r="L175" s="165" t="str">
        <f t="shared" si="2"/>
        <v/>
      </c>
      <c r="M175" s="166"/>
      <c r="N175" s="167"/>
    </row>
    <row r="176" spans="2:14" ht="15" customHeight="1" x14ac:dyDescent="0.35">
      <c r="B176" s="162" t="str">
        <f>IF(Lançamentos!$B171="","",Lançamentos!$B171)</f>
        <v/>
      </c>
      <c r="C176" s="163" t="str">
        <f>IF($B176="","",IFERROR(INDEX(Lançamentos!$J$3:$J$1001,MATCH($B176,Lançamentos!$B$3:$B$1001,0)),""))</f>
        <v/>
      </c>
      <c r="D176" s="419" t="str">
        <f>IF($B176="","",IFERROR(INDEX('E2 — Triagem'!$D$8:$D$507,MATCH($B176,'E2 — Triagem'!$B$8:$B$507,0)),""))</f>
        <v/>
      </c>
      <c r="E176" s="164"/>
      <c r="F176" s="164"/>
      <c r="G176" s="164"/>
      <c r="H176" s="164"/>
      <c r="I176" s="164"/>
      <c r="J176" s="164"/>
      <c r="K176" s="164"/>
      <c r="L176" s="165" t="str">
        <f t="shared" si="2"/>
        <v/>
      </c>
      <c r="M176" s="166"/>
      <c r="N176" s="167"/>
    </row>
    <row r="177" spans="2:14" ht="15" customHeight="1" x14ac:dyDescent="0.35">
      <c r="B177" s="162" t="str">
        <f>IF(Lançamentos!$B172="","",Lançamentos!$B172)</f>
        <v/>
      </c>
      <c r="C177" s="163" t="str">
        <f>IF($B177="","",IFERROR(INDEX(Lançamentos!$J$3:$J$1001,MATCH($B177,Lançamentos!$B$3:$B$1001,0)),""))</f>
        <v/>
      </c>
      <c r="D177" s="419" t="str">
        <f>IF($B177="","",IFERROR(INDEX('E2 — Triagem'!$D$8:$D$507,MATCH($B177,'E2 — Triagem'!$B$8:$B$507,0)),""))</f>
        <v/>
      </c>
      <c r="E177" s="164"/>
      <c r="F177" s="164"/>
      <c r="G177" s="164"/>
      <c r="H177" s="164"/>
      <c r="I177" s="164"/>
      <c r="J177" s="164"/>
      <c r="K177" s="164"/>
      <c r="L177" s="165" t="str">
        <f t="shared" si="2"/>
        <v/>
      </c>
      <c r="M177" s="166"/>
      <c r="N177" s="167"/>
    </row>
    <row r="178" spans="2:14" ht="15" customHeight="1" x14ac:dyDescent="0.35">
      <c r="B178" s="162" t="str">
        <f>IF(Lançamentos!$B173="","",Lançamentos!$B173)</f>
        <v/>
      </c>
      <c r="C178" s="163" t="str">
        <f>IF($B178="","",IFERROR(INDEX(Lançamentos!$J$3:$J$1001,MATCH($B178,Lançamentos!$B$3:$B$1001,0)),""))</f>
        <v/>
      </c>
      <c r="D178" s="419" t="str">
        <f>IF($B178="","",IFERROR(INDEX('E2 — Triagem'!$D$8:$D$507,MATCH($B178,'E2 — Triagem'!$B$8:$B$507,0)),""))</f>
        <v/>
      </c>
      <c r="E178" s="164"/>
      <c r="F178" s="164"/>
      <c r="G178" s="164"/>
      <c r="H178" s="164"/>
      <c r="I178" s="164"/>
      <c r="J178" s="164"/>
      <c r="K178" s="164"/>
      <c r="L178" s="165" t="str">
        <f t="shared" si="2"/>
        <v/>
      </c>
      <c r="M178" s="166"/>
      <c r="N178" s="167"/>
    </row>
    <row r="179" spans="2:14" ht="15" customHeight="1" x14ac:dyDescent="0.35">
      <c r="B179" s="162" t="str">
        <f>IF(Lançamentos!$B174="","",Lançamentos!$B174)</f>
        <v/>
      </c>
      <c r="C179" s="163" t="str">
        <f>IF($B179="","",IFERROR(INDEX(Lançamentos!$J$3:$J$1001,MATCH($B179,Lançamentos!$B$3:$B$1001,0)),""))</f>
        <v/>
      </c>
      <c r="D179" s="419" t="str">
        <f>IF($B179="","",IFERROR(INDEX('E2 — Triagem'!$D$8:$D$507,MATCH($B179,'E2 — Triagem'!$B$8:$B$507,0)),""))</f>
        <v/>
      </c>
      <c r="E179" s="164"/>
      <c r="F179" s="164"/>
      <c r="G179" s="164"/>
      <c r="H179" s="164"/>
      <c r="I179" s="164"/>
      <c r="J179" s="164"/>
      <c r="K179" s="164"/>
      <c r="L179" s="165" t="str">
        <f t="shared" si="2"/>
        <v/>
      </c>
      <c r="M179" s="166"/>
      <c r="N179" s="167"/>
    </row>
    <row r="180" spans="2:14" ht="15" customHeight="1" x14ac:dyDescent="0.35">
      <c r="B180" s="162" t="str">
        <f>IF(Lançamentos!$B175="","",Lançamentos!$B175)</f>
        <v/>
      </c>
      <c r="C180" s="163" t="str">
        <f>IF($B180="","",IFERROR(INDEX(Lançamentos!$J$3:$J$1001,MATCH($B180,Lançamentos!$B$3:$B$1001,0)),""))</f>
        <v/>
      </c>
      <c r="D180" s="419" t="str">
        <f>IF($B180="","",IFERROR(INDEX('E2 — Triagem'!$D$8:$D$507,MATCH($B180,'E2 — Triagem'!$B$8:$B$507,0)),""))</f>
        <v/>
      </c>
      <c r="E180" s="164"/>
      <c r="F180" s="164"/>
      <c r="G180" s="164"/>
      <c r="H180" s="164"/>
      <c r="I180" s="164"/>
      <c r="J180" s="164"/>
      <c r="K180" s="164"/>
      <c r="L180" s="165" t="str">
        <f t="shared" si="2"/>
        <v/>
      </c>
      <c r="M180" s="166"/>
      <c r="N180" s="167"/>
    </row>
    <row r="181" spans="2:14" ht="15" customHeight="1" x14ac:dyDescent="0.35">
      <c r="B181" s="162" t="str">
        <f>IF(Lançamentos!$B176="","",Lançamentos!$B176)</f>
        <v/>
      </c>
      <c r="C181" s="163" t="str">
        <f>IF($B181="","",IFERROR(INDEX(Lançamentos!$J$3:$J$1001,MATCH($B181,Lançamentos!$B$3:$B$1001,0)),""))</f>
        <v/>
      </c>
      <c r="D181" s="419" t="str">
        <f>IF($B181="","",IFERROR(INDEX('E2 — Triagem'!$D$8:$D$507,MATCH($B181,'E2 — Triagem'!$B$8:$B$507,0)),""))</f>
        <v/>
      </c>
      <c r="E181" s="164"/>
      <c r="F181" s="164"/>
      <c r="G181" s="164"/>
      <c r="H181" s="164"/>
      <c r="I181" s="164"/>
      <c r="J181" s="164"/>
      <c r="K181" s="164"/>
      <c r="L181" s="165" t="str">
        <f t="shared" si="2"/>
        <v/>
      </c>
      <c r="M181" s="166"/>
      <c r="N181" s="167"/>
    </row>
    <row r="182" spans="2:14" ht="15" customHeight="1" x14ac:dyDescent="0.35">
      <c r="B182" s="162" t="str">
        <f>IF(Lançamentos!$B177="","",Lançamentos!$B177)</f>
        <v/>
      </c>
      <c r="C182" s="163" t="str">
        <f>IF($B182="","",IFERROR(INDEX(Lançamentos!$J$3:$J$1001,MATCH($B182,Lançamentos!$B$3:$B$1001,0)),""))</f>
        <v/>
      </c>
      <c r="D182" s="419" t="str">
        <f>IF($B182="","",IFERROR(INDEX('E2 — Triagem'!$D$8:$D$507,MATCH($B182,'E2 — Triagem'!$B$8:$B$507,0)),""))</f>
        <v/>
      </c>
      <c r="E182" s="164"/>
      <c r="F182" s="164"/>
      <c r="G182" s="164"/>
      <c r="H182" s="164"/>
      <c r="I182" s="164"/>
      <c r="J182" s="164"/>
      <c r="K182" s="164"/>
      <c r="L182" s="165" t="str">
        <f t="shared" si="2"/>
        <v/>
      </c>
      <c r="M182" s="166"/>
      <c r="N182" s="167"/>
    </row>
    <row r="183" spans="2:14" ht="15" customHeight="1" x14ac:dyDescent="0.35">
      <c r="B183" s="162" t="str">
        <f>IF(Lançamentos!$B178="","",Lançamentos!$B178)</f>
        <v/>
      </c>
      <c r="C183" s="163" t="str">
        <f>IF($B183="","",IFERROR(INDEX(Lançamentos!$J$3:$J$1001,MATCH($B183,Lançamentos!$B$3:$B$1001,0)),""))</f>
        <v/>
      </c>
      <c r="D183" s="419" t="str">
        <f>IF($B183="","",IFERROR(INDEX('E2 — Triagem'!$D$8:$D$507,MATCH($B183,'E2 — Triagem'!$B$8:$B$507,0)),""))</f>
        <v/>
      </c>
      <c r="E183" s="164"/>
      <c r="F183" s="164"/>
      <c r="G183" s="164"/>
      <c r="H183" s="164"/>
      <c r="I183" s="164"/>
      <c r="J183" s="164"/>
      <c r="K183" s="164"/>
      <c r="L183" s="165" t="str">
        <f t="shared" si="2"/>
        <v/>
      </c>
      <c r="M183" s="166"/>
      <c r="N183" s="167"/>
    </row>
    <row r="184" spans="2:14" ht="15" customHeight="1" x14ac:dyDescent="0.35">
      <c r="B184" s="162" t="str">
        <f>IF(Lançamentos!$B179="","",Lançamentos!$B179)</f>
        <v/>
      </c>
      <c r="C184" s="163" t="str">
        <f>IF($B184="","",IFERROR(INDEX(Lançamentos!$J$3:$J$1001,MATCH($B184,Lançamentos!$B$3:$B$1001,0)),""))</f>
        <v/>
      </c>
      <c r="D184" s="419" t="str">
        <f>IF($B184="","",IFERROR(INDEX('E2 — Triagem'!$D$8:$D$507,MATCH($B184,'E2 — Triagem'!$B$8:$B$507,0)),""))</f>
        <v/>
      </c>
      <c r="E184" s="164"/>
      <c r="F184" s="164"/>
      <c r="G184" s="164"/>
      <c r="H184" s="164"/>
      <c r="I184" s="164"/>
      <c r="J184" s="164"/>
      <c r="K184" s="164"/>
      <c r="L184" s="165" t="str">
        <f t="shared" si="2"/>
        <v/>
      </c>
      <c r="M184" s="166"/>
      <c r="N184" s="167"/>
    </row>
    <row r="185" spans="2:14" ht="15" customHeight="1" x14ac:dyDescent="0.35">
      <c r="B185" s="162" t="str">
        <f>IF(Lançamentos!$B180="","",Lançamentos!$B180)</f>
        <v/>
      </c>
      <c r="C185" s="163" t="str">
        <f>IF($B185="","",IFERROR(INDEX(Lançamentos!$J$3:$J$1001,MATCH($B185,Lançamentos!$B$3:$B$1001,0)),""))</f>
        <v/>
      </c>
      <c r="D185" s="419" t="str">
        <f>IF($B185="","",IFERROR(INDEX('E2 — Triagem'!$D$8:$D$507,MATCH($B185,'E2 — Triagem'!$B$8:$B$507,0)),""))</f>
        <v/>
      </c>
      <c r="E185" s="164"/>
      <c r="F185" s="164"/>
      <c r="G185" s="164"/>
      <c r="H185" s="164"/>
      <c r="I185" s="164"/>
      <c r="J185" s="164"/>
      <c r="K185" s="164"/>
      <c r="L185" s="165" t="str">
        <f t="shared" si="2"/>
        <v/>
      </c>
      <c r="M185" s="166"/>
      <c r="N185" s="167"/>
    </row>
    <row r="186" spans="2:14" ht="15" customHeight="1" x14ac:dyDescent="0.35">
      <c r="B186" s="162" t="str">
        <f>IF(Lançamentos!$B181="","",Lançamentos!$B181)</f>
        <v/>
      </c>
      <c r="C186" s="163" t="str">
        <f>IF($B186="","",IFERROR(INDEX(Lançamentos!$J$3:$J$1001,MATCH($B186,Lançamentos!$B$3:$B$1001,0)),""))</f>
        <v/>
      </c>
      <c r="D186" s="419" t="str">
        <f>IF($B186="","",IFERROR(INDEX('E2 — Triagem'!$D$8:$D$507,MATCH($B186,'E2 — Triagem'!$B$8:$B$507,0)),""))</f>
        <v/>
      </c>
      <c r="E186" s="164"/>
      <c r="F186" s="164"/>
      <c r="G186" s="164"/>
      <c r="H186" s="164"/>
      <c r="I186" s="164"/>
      <c r="J186" s="164"/>
      <c r="K186" s="164"/>
      <c r="L186" s="165" t="str">
        <f t="shared" si="2"/>
        <v/>
      </c>
      <c r="M186" s="166"/>
      <c r="N186" s="167"/>
    </row>
    <row r="187" spans="2:14" ht="15" customHeight="1" x14ac:dyDescent="0.35">
      <c r="B187" s="162" t="str">
        <f>IF(Lançamentos!$B182="","",Lançamentos!$B182)</f>
        <v/>
      </c>
      <c r="C187" s="163" t="str">
        <f>IF($B187="","",IFERROR(INDEX(Lançamentos!$J$3:$J$1001,MATCH($B187,Lançamentos!$B$3:$B$1001,0)),""))</f>
        <v/>
      </c>
      <c r="D187" s="419" t="str">
        <f>IF($B187="","",IFERROR(INDEX('E2 — Triagem'!$D$8:$D$507,MATCH($B187,'E2 — Triagem'!$B$8:$B$507,0)),""))</f>
        <v/>
      </c>
      <c r="E187" s="164"/>
      <c r="F187" s="164"/>
      <c r="G187" s="164"/>
      <c r="H187" s="164"/>
      <c r="I187" s="164"/>
      <c r="J187" s="164"/>
      <c r="K187" s="164"/>
      <c r="L187" s="165" t="str">
        <f t="shared" si="2"/>
        <v/>
      </c>
      <c r="M187" s="166"/>
      <c r="N187" s="167"/>
    </row>
    <row r="188" spans="2:14" ht="15" customHeight="1" x14ac:dyDescent="0.35">
      <c r="B188" s="162" t="str">
        <f>IF(Lançamentos!$B183="","",Lançamentos!$B183)</f>
        <v/>
      </c>
      <c r="C188" s="163" t="str">
        <f>IF($B188="","",IFERROR(INDEX(Lançamentos!$J$3:$J$1001,MATCH($B188,Lançamentos!$B$3:$B$1001,0)),""))</f>
        <v/>
      </c>
      <c r="D188" s="419" t="str">
        <f>IF($B188="","",IFERROR(INDEX('E2 — Triagem'!$D$8:$D$507,MATCH($B188,'E2 — Triagem'!$B$8:$B$507,0)),""))</f>
        <v/>
      </c>
      <c r="E188" s="164"/>
      <c r="F188" s="164"/>
      <c r="G188" s="164"/>
      <c r="H188" s="164"/>
      <c r="I188" s="164"/>
      <c r="J188" s="164"/>
      <c r="K188" s="164"/>
      <c r="L188" s="165" t="str">
        <f t="shared" si="2"/>
        <v/>
      </c>
      <c r="M188" s="166"/>
      <c r="N188" s="167"/>
    </row>
    <row r="189" spans="2:14" ht="15" customHeight="1" x14ac:dyDescent="0.35">
      <c r="B189" s="162" t="str">
        <f>IF(Lançamentos!$B184="","",Lançamentos!$B184)</f>
        <v/>
      </c>
      <c r="C189" s="163" t="str">
        <f>IF($B189="","",IFERROR(INDEX(Lançamentos!$J$3:$J$1001,MATCH($B189,Lançamentos!$B$3:$B$1001,0)),""))</f>
        <v/>
      </c>
      <c r="D189" s="419" t="str">
        <f>IF($B189="","",IFERROR(INDEX('E2 — Triagem'!$D$8:$D$507,MATCH($B189,'E2 — Triagem'!$B$8:$B$507,0)),""))</f>
        <v/>
      </c>
      <c r="E189" s="164"/>
      <c r="F189" s="164"/>
      <c r="G189" s="164"/>
      <c r="H189" s="164"/>
      <c r="I189" s="164"/>
      <c r="J189" s="164"/>
      <c r="K189" s="164"/>
      <c r="L189" s="165" t="str">
        <f t="shared" si="2"/>
        <v/>
      </c>
      <c r="M189" s="166"/>
      <c r="N189" s="167"/>
    </row>
    <row r="190" spans="2:14" ht="15" customHeight="1" x14ac:dyDescent="0.35">
      <c r="B190" s="162" t="str">
        <f>IF(Lançamentos!$B185="","",Lançamentos!$B185)</f>
        <v/>
      </c>
      <c r="C190" s="163" t="str">
        <f>IF($B190="","",IFERROR(INDEX(Lançamentos!$J$3:$J$1001,MATCH($B190,Lançamentos!$B$3:$B$1001,0)),""))</f>
        <v/>
      </c>
      <c r="D190" s="419" t="str">
        <f>IF($B190="","",IFERROR(INDEX('E2 — Triagem'!$D$8:$D$507,MATCH($B190,'E2 — Triagem'!$B$8:$B$507,0)),""))</f>
        <v/>
      </c>
      <c r="E190" s="164"/>
      <c r="F190" s="164"/>
      <c r="G190" s="164"/>
      <c r="H190" s="164"/>
      <c r="I190" s="164"/>
      <c r="J190" s="164"/>
      <c r="K190" s="164"/>
      <c r="L190" s="165" t="str">
        <f t="shared" si="2"/>
        <v/>
      </c>
      <c r="M190" s="166"/>
      <c r="N190" s="167"/>
    </row>
    <row r="191" spans="2:14" ht="15" customHeight="1" x14ac:dyDescent="0.35">
      <c r="B191" s="162" t="str">
        <f>IF(Lançamentos!$B186="","",Lançamentos!$B186)</f>
        <v/>
      </c>
      <c r="C191" s="163" t="str">
        <f>IF($B191="","",IFERROR(INDEX(Lançamentos!$J$3:$J$1001,MATCH($B191,Lançamentos!$B$3:$B$1001,0)),""))</f>
        <v/>
      </c>
      <c r="D191" s="419" t="str">
        <f>IF($B191="","",IFERROR(INDEX('E2 — Triagem'!$D$8:$D$507,MATCH($B191,'E2 — Triagem'!$B$8:$B$507,0)),""))</f>
        <v/>
      </c>
      <c r="E191" s="164"/>
      <c r="F191" s="164"/>
      <c r="G191" s="164"/>
      <c r="H191" s="164"/>
      <c r="I191" s="164"/>
      <c r="J191" s="164"/>
      <c r="K191" s="164"/>
      <c r="L191" s="165" t="str">
        <f t="shared" si="2"/>
        <v/>
      </c>
      <c r="M191" s="166"/>
      <c r="N191" s="167"/>
    </row>
    <row r="192" spans="2:14" ht="15" customHeight="1" x14ac:dyDescent="0.35">
      <c r="B192" s="162" t="str">
        <f>IF(Lançamentos!$B187="","",Lançamentos!$B187)</f>
        <v/>
      </c>
      <c r="C192" s="163" t="str">
        <f>IF($B192="","",IFERROR(INDEX(Lançamentos!$J$3:$J$1001,MATCH($B192,Lançamentos!$B$3:$B$1001,0)),""))</f>
        <v/>
      </c>
      <c r="D192" s="419" t="str">
        <f>IF($B192="","",IFERROR(INDEX('E2 — Triagem'!$D$8:$D$507,MATCH($B192,'E2 — Triagem'!$B$8:$B$507,0)),""))</f>
        <v/>
      </c>
      <c r="E192" s="164"/>
      <c r="F192" s="164"/>
      <c r="G192" s="164"/>
      <c r="H192" s="164"/>
      <c r="I192" s="164"/>
      <c r="J192" s="164"/>
      <c r="K192" s="164"/>
      <c r="L192" s="165" t="str">
        <f t="shared" si="2"/>
        <v/>
      </c>
      <c r="M192" s="166"/>
      <c r="N192" s="167"/>
    </row>
    <row r="193" spans="2:14" ht="15" customHeight="1" x14ac:dyDescent="0.35">
      <c r="B193" s="162" t="str">
        <f>IF(Lançamentos!$B188="","",Lançamentos!$B188)</f>
        <v/>
      </c>
      <c r="C193" s="163" t="str">
        <f>IF($B193="","",IFERROR(INDEX(Lançamentos!$J$3:$J$1001,MATCH($B193,Lançamentos!$B$3:$B$1001,0)),""))</f>
        <v/>
      </c>
      <c r="D193" s="419" t="str">
        <f>IF($B193="","",IFERROR(INDEX('E2 — Triagem'!$D$8:$D$507,MATCH($B193,'E2 — Triagem'!$B$8:$B$507,0)),""))</f>
        <v/>
      </c>
      <c r="E193" s="164"/>
      <c r="F193" s="164"/>
      <c r="G193" s="164"/>
      <c r="H193" s="164"/>
      <c r="I193" s="164"/>
      <c r="J193" s="164"/>
      <c r="K193" s="164"/>
      <c r="L193" s="165" t="str">
        <f t="shared" si="2"/>
        <v/>
      </c>
      <c r="M193" s="166"/>
      <c r="N193" s="167"/>
    </row>
    <row r="194" spans="2:14" ht="15" customHeight="1" x14ac:dyDescent="0.35">
      <c r="B194" s="162" t="str">
        <f>IF(Lançamentos!$B189="","",Lançamentos!$B189)</f>
        <v/>
      </c>
      <c r="C194" s="163" t="str">
        <f>IF($B194="","",IFERROR(INDEX(Lançamentos!$J$3:$J$1001,MATCH($B194,Lançamentos!$B$3:$B$1001,0)),""))</f>
        <v/>
      </c>
      <c r="D194" s="419" t="str">
        <f>IF($B194="","",IFERROR(INDEX('E2 — Triagem'!$D$8:$D$507,MATCH($B194,'E2 — Triagem'!$B$8:$B$507,0)),""))</f>
        <v/>
      </c>
      <c r="E194" s="164"/>
      <c r="F194" s="164"/>
      <c r="G194" s="164"/>
      <c r="H194" s="164"/>
      <c r="I194" s="164"/>
      <c r="J194" s="164"/>
      <c r="K194" s="164"/>
      <c r="L194" s="165" t="str">
        <f t="shared" si="2"/>
        <v/>
      </c>
      <c r="M194" s="166"/>
      <c r="N194" s="167"/>
    </row>
    <row r="195" spans="2:14" ht="15" customHeight="1" x14ac:dyDescent="0.35">
      <c r="B195" s="162" t="str">
        <f>IF(Lançamentos!$B190="","",Lançamentos!$B190)</f>
        <v/>
      </c>
      <c r="C195" s="163" t="str">
        <f>IF($B195="","",IFERROR(INDEX(Lançamentos!$J$3:$J$1001,MATCH($B195,Lançamentos!$B$3:$B$1001,0)),""))</f>
        <v/>
      </c>
      <c r="D195" s="419" t="str">
        <f>IF($B195="","",IFERROR(INDEX('E2 — Triagem'!$D$8:$D$507,MATCH($B195,'E2 — Triagem'!$B$8:$B$507,0)),""))</f>
        <v/>
      </c>
      <c r="E195" s="164"/>
      <c r="F195" s="164"/>
      <c r="G195" s="164"/>
      <c r="H195" s="164"/>
      <c r="I195" s="164"/>
      <c r="J195" s="164"/>
      <c r="K195" s="164"/>
      <c r="L195" s="165" t="str">
        <f t="shared" si="2"/>
        <v/>
      </c>
      <c r="M195" s="166"/>
      <c r="N195" s="167"/>
    </row>
    <row r="196" spans="2:14" ht="15" customHeight="1" x14ac:dyDescent="0.35">
      <c r="B196" s="162" t="str">
        <f>IF(Lançamentos!$B191="","",Lançamentos!$B191)</f>
        <v/>
      </c>
      <c r="C196" s="163" t="str">
        <f>IF($B196="","",IFERROR(INDEX(Lançamentos!$J$3:$J$1001,MATCH($B196,Lançamentos!$B$3:$B$1001,0)),""))</f>
        <v/>
      </c>
      <c r="D196" s="419" t="str">
        <f>IF($B196="","",IFERROR(INDEX('E2 — Triagem'!$D$8:$D$507,MATCH($B196,'E2 — Triagem'!$B$8:$B$507,0)),""))</f>
        <v/>
      </c>
      <c r="E196" s="164"/>
      <c r="F196" s="164"/>
      <c r="G196" s="164"/>
      <c r="H196" s="164"/>
      <c r="I196" s="164"/>
      <c r="J196" s="164"/>
      <c r="K196" s="164"/>
      <c r="L196" s="165" t="str">
        <f t="shared" si="2"/>
        <v/>
      </c>
      <c r="M196" s="166"/>
      <c r="N196" s="167"/>
    </row>
    <row r="197" spans="2:14" ht="15" customHeight="1" x14ac:dyDescent="0.35">
      <c r="B197" s="162" t="str">
        <f>IF(Lançamentos!$B192="","",Lançamentos!$B192)</f>
        <v/>
      </c>
      <c r="C197" s="163" t="str">
        <f>IF($B197="","",IFERROR(INDEX(Lançamentos!$J$3:$J$1001,MATCH($B197,Lançamentos!$B$3:$B$1001,0)),""))</f>
        <v/>
      </c>
      <c r="D197" s="419" t="str">
        <f>IF($B197="","",IFERROR(INDEX('E2 — Triagem'!$D$8:$D$507,MATCH($B197,'E2 — Triagem'!$B$8:$B$507,0)),""))</f>
        <v/>
      </c>
      <c r="E197" s="164"/>
      <c r="F197" s="164"/>
      <c r="G197" s="164"/>
      <c r="H197" s="164"/>
      <c r="I197" s="164"/>
      <c r="J197" s="164"/>
      <c r="K197" s="164"/>
      <c r="L197" s="165" t="str">
        <f t="shared" si="2"/>
        <v/>
      </c>
      <c r="M197" s="166"/>
      <c r="N197" s="167"/>
    </row>
    <row r="198" spans="2:14" ht="15" customHeight="1" x14ac:dyDescent="0.35">
      <c r="B198" s="162" t="str">
        <f>IF(Lançamentos!$B193="","",Lançamentos!$B193)</f>
        <v/>
      </c>
      <c r="C198" s="163" t="str">
        <f>IF($B198="","",IFERROR(INDEX(Lançamentos!$J$3:$J$1001,MATCH($B198,Lançamentos!$B$3:$B$1001,0)),""))</f>
        <v/>
      </c>
      <c r="D198" s="419" t="str">
        <f>IF($B198="","",IFERROR(INDEX('E2 — Triagem'!$D$8:$D$507,MATCH($B198,'E2 — Triagem'!$B$8:$B$507,0)),""))</f>
        <v/>
      </c>
      <c r="E198" s="164"/>
      <c r="F198" s="164"/>
      <c r="G198" s="164"/>
      <c r="H198" s="164"/>
      <c r="I198" s="164"/>
      <c r="J198" s="164"/>
      <c r="K198" s="164"/>
      <c r="L198" s="165" t="str">
        <f t="shared" si="2"/>
        <v/>
      </c>
      <c r="M198" s="166"/>
      <c r="N198" s="167"/>
    </row>
    <row r="199" spans="2:14" ht="15" customHeight="1" x14ac:dyDescent="0.35">
      <c r="B199" s="162" t="str">
        <f>IF(Lançamentos!$B194="","",Lançamentos!$B194)</f>
        <v/>
      </c>
      <c r="C199" s="163" t="str">
        <f>IF($B199="","",IFERROR(INDEX(Lançamentos!$J$3:$J$1001,MATCH($B199,Lançamentos!$B$3:$B$1001,0)),""))</f>
        <v/>
      </c>
      <c r="D199" s="419" t="str">
        <f>IF($B199="","",IFERROR(INDEX('E2 — Triagem'!$D$8:$D$507,MATCH($B199,'E2 — Triagem'!$B$8:$B$507,0)),""))</f>
        <v/>
      </c>
      <c r="E199" s="164"/>
      <c r="F199" s="164"/>
      <c r="G199" s="164"/>
      <c r="H199" s="164"/>
      <c r="I199" s="164"/>
      <c r="J199" s="164"/>
      <c r="K199" s="164"/>
      <c r="L199" s="165" t="str">
        <f t="shared" si="2"/>
        <v/>
      </c>
      <c r="M199" s="166"/>
      <c r="N199" s="167"/>
    </row>
    <row r="200" spans="2:14" ht="15" customHeight="1" x14ac:dyDescent="0.35">
      <c r="B200" s="162" t="str">
        <f>IF(Lançamentos!$B195="","",Lançamentos!$B195)</f>
        <v/>
      </c>
      <c r="C200" s="163" t="str">
        <f>IF($B200="","",IFERROR(INDEX(Lançamentos!$J$3:$J$1001,MATCH($B200,Lançamentos!$B$3:$B$1001,0)),""))</f>
        <v/>
      </c>
      <c r="D200" s="419" t="str">
        <f>IF($B200="","",IFERROR(INDEX('E2 — Triagem'!$D$8:$D$507,MATCH($B200,'E2 — Triagem'!$B$8:$B$507,0)),""))</f>
        <v/>
      </c>
      <c r="E200" s="164"/>
      <c r="F200" s="164"/>
      <c r="G200" s="164"/>
      <c r="H200" s="164"/>
      <c r="I200" s="164"/>
      <c r="J200" s="164"/>
      <c r="K200" s="164"/>
      <c r="L200" s="165" t="str">
        <f t="shared" si="2"/>
        <v/>
      </c>
      <c r="M200" s="166"/>
      <c r="N200" s="167"/>
    </row>
    <row r="201" spans="2:14" ht="15" customHeight="1" x14ac:dyDescent="0.35">
      <c r="B201" s="162" t="str">
        <f>IF(Lançamentos!$B196="","",Lançamentos!$B196)</f>
        <v/>
      </c>
      <c r="C201" s="163" t="str">
        <f>IF($B201="","",IFERROR(INDEX(Lançamentos!$J$3:$J$1001,MATCH($B201,Lançamentos!$B$3:$B$1001,0)),""))</f>
        <v/>
      </c>
      <c r="D201" s="419" t="str">
        <f>IF($B201="","",IFERROR(INDEX('E2 — Triagem'!$D$8:$D$507,MATCH($B201,'E2 — Triagem'!$B$8:$B$507,0)),""))</f>
        <v/>
      </c>
      <c r="E201" s="164"/>
      <c r="F201" s="164"/>
      <c r="G201" s="164"/>
      <c r="H201" s="164"/>
      <c r="I201" s="164"/>
      <c r="J201" s="164"/>
      <c r="K201" s="164"/>
      <c r="L201" s="165" t="str">
        <f t="shared" ref="L201:L207" si="3">IF(B201="","",IF(COUNTIF(E201:K201,"N/A")=7,0,IF(COUNTIF(E201:K201,"✔ Concluído")=7,1,MIN(99%,COUNTIF(E201:K201,"✔ Concluído")/(7-COUNTIF(E201:K201,"N/A"))))))</f>
        <v/>
      </c>
      <c r="M201" s="166"/>
      <c r="N201" s="167"/>
    </row>
    <row r="202" spans="2:14" ht="15" customHeight="1" x14ac:dyDescent="0.35">
      <c r="B202" s="162" t="str">
        <f>IF(Lançamentos!$B197="","",Lançamentos!$B197)</f>
        <v/>
      </c>
      <c r="C202" s="163" t="str">
        <f>IF($B202="","",IFERROR(INDEX(Lançamentos!$J$3:$J$1001,MATCH($B202,Lançamentos!$B$3:$B$1001,0)),""))</f>
        <v/>
      </c>
      <c r="D202" s="419" t="str">
        <f>IF($B202="","",IFERROR(INDEX('E2 — Triagem'!$D$8:$D$507,MATCH($B202,'E2 — Triagem'!$B$8:$B$507,0)),""))</f>
        <v/>
      </c>
      <c r="E202" s="164"/>
      <c r="F202" s="164"/>
      <c r="G202" s="164"/>
      <c r="H202" s="164"/>
      <c r="I202" s="164"/>
      <c r="J202" s="164"/>
      <c r="K202" s="164"/>
      <c r="L202" s="165" t="str">
        <f t="shared" si="3"/>
        <v/>
      </c>
      <c r="M202" s="166"/>
      <c r="N202" s="167"/>
    </row>
    <row r="203" spans="2:14" ht="15" customHeight="1" x14ac:dyDescent="0.35">
      <c r="B203" s="162" t="str">
        <f>IF(Lançamentos!$B198="","",Lançamentos!$B198)</f>
        <v/>
      </c>
      <c r="C203" s="163" t="str">
        <f>IF($B203="","",IFERROR(INDEX(Lançamentos!$J$3:$J$1001,MATCH($B203,Lançamentos!$B$3:$B$1001,0)),""))</f>
        <v/>
      </c>
      <c r="D203" s="419" t="str">
        <f>IF($B203="","",IFERROR(INDEX('E2 — Triagem'!$D$8:$D$507,MATCH($B203,'E2 — Triagem'!$B$8:$B$507,0)),""))</f>
        <v/>
      </c>
      <c r="E203" s="164"/>
      <c r="F203" s="164"/>
      <c r="G203" s="164"/>
      <c r="H203" s="164"/>
      <c r="I203" s="164"/>
      <c r="J203" s="164"/>
      <c r="K203" s="164"/>
      <c r="L203" s="165" t="str">
        <f t="shared" si="3"/>
        <v/>
      </c>
      <c r="M203" s="166"/>
      <c r="N203" s="167"/>
    </row>
    <row r="204" spans="2:14" ht="15" customHeight="1" x14ac:dyDescent="0.35">
      <c r="B204" s="162" t="str">
        <f>IF(Lançamentos!$B199="","",Lançamentos!$B199)</f>
        <v/>
      </c>
      <c r="C204" s="163" t="str">
        <f>IF($B204="","",IFERROR(INDEX(Lançamentos!$J$3:$J$1001,MATCH($B204,Lançamentos!$B$3:$B$1001,0)),""))</f>
        <v/>
      </c>
      <c r="D204" s="419" t="str">
        <f>IF($B204="","",IFERROR(INDEX('E2 — Triagem'!$D$8:$D$507,MATCH($B204,'E2 — Triagem'!$B$8:$B$507,0)),""))</f>
        <v/>
      </c>
      <c r="E204" s="164"/>
      <c r="F204" s="164"/>
      <c r="G204" s="164"/>
      <c r="H204" s="164"/>
      <c r="I204" s="164"/>
      <c r="J204" s="164"/>
      <c r="K204" s="164"/>
      <c r="L204" s="165" t="str">
        <f t="shared" si="3"/>
        <v/>
      </c>
      <c r="M204" s="166"/>
      <c r="N204" s="167"/>
    </row>
    <row r="205" spans="2:14" ht="15" customHeight="1" x14ac:dyDescent="0.35">
      <c r="B205" s="162" t="str">
        <f>IF(Lançamentos!$B200="","",Lançamentos!$B200)</f>
        <v/>
      </c>
      <c r="C205" s="163" t="str">
        <f>IF($B205="","",IFERROR(INDEX(Lançamentos!$J$3:$J$1001,MATCH($B205,Lançamentos!$B$3:$B$1001,0)),""))</f>
        <v/>
      </c>
      <c r="D205" s="419" t="str">
        <f>IF($B205="","",IFERROR(INDEX('E2 — Triagem'!$D$8:$D$507,MATCH($B205,'E2 — Triagem'!$B$8:$B$507,0)),""))</f>
        <v/>
      </c>
      <c r="E205" s="164"/>
      <c r="F205" s="164"/>
      <c r="G205" s="164"/>
      <c r="H205" s="164"/>
      <c r="I205" s="164"/>
      <c r="J205" s="164"/>
      <c r="K205" s="164"/>
      <c r="L205" s="165" t="str">
        <f t="shared" si="3"/>
        <v/>
      </c>
      <c r="M205" s="166"/>
      <c r="N205" s="167"/>
    </row>
    <row r="206" spans="2:14" ht="15" customHeight="1" x14ac:dyDescent="0.35">
      <c r="B206" s="162" t="str">
        <f>IF(Lançamentos!$B201="","",Lançamentos!$B201)</f>
        <v/>
      </c>
      <c r="C206" s="163" t="str">
        <f>IF($B206="","",IFERROR(INDEX(Lançamentos!$J$3:$J$1001,MATCH($B206,Lançamentos!$B$3:$B$1001,0)),""))</f>
        <v/>
      </c>
      <c r="D206" s="419" t="str">
        <f>IF($B206="","",IFERROR(INDEX('E2 — Triagem'!$D$8:$D$507,MATCH($B206,'E2 — Triagem'!$B$8:$B$507,0)),""))</f>
        <v/>
      </c>
      <c r="E206" s="164"/>
      <c r="F206" s="164"/>
      <c r="G206" s="164"/>
      <c r="H206" s="164"/>
      <c r="I206" s="164"/>
      <c r="J206" s="164"/>
      <c r="K206" s="164"/>
      <c r="L206" s="165" t="str">
        <f t="shared" si="3"/>
        <v/>
      </c>
      <c r="M206" s="166"/>
      <c r="N206" s="167"/>
    </row>
    <row r="207" spans="2:14" ht="15" customHeight="1" x14ac:dyDescent="0.35">
      <c r="B207" s="168" t="str">
        <f>IF(Lançamentos!$B202="","",Lançamentos!$B202)</f>
        <v/>
      </c>
      <c r="C207" s="169" t="str">
        <f>IF($B207="","",IFERROR(INDEX(Lançamentos!$J$3:$J$1001,MATCH($B207,Lançamentos!$B$3:$B$1001,0)),""))</f>
        <v/>
      </c>
      <c r="D207" s="420" t="str">
        <f>IF($B207="","",IFERROR(INDEX('E2 — Triagem'!$D$8:$D$507,MATCH($B207,'E2 — Triagem'!$B$8:$B$507,0)),""))</f>
        <v/>
      </c>
      <c r="E207" s="170"/>
      <c r="F207" s="170"/>
      <c r="G207" s="170"/>
      <c r="H207" s="170"/>
      <c r="I207" s="170"/>
      <c r="J207" s="170"/>
      <c r="K207" s="170"/>
      <c r="L207" s="171" t="str">
        <f t="shared" si="3"/>
        <v/>
      </c>
      <c r="M207" s="172"/>
      <c r="N207" s="173"/>
    </row>
    <row r="208" spans="2:14" x14ac:dyDescent="0.35">
      <c r="B208" s="433" t="str">
        <f>IF(Lançamentos!$B203="","",Lançamentos!$B203)</f>
        <v/>
      </c>
      <c r="C208" s="434" t="str">
        <f>IF($B208="","",IFERROR(INDEX(Lançamentos!$J$3:$J$1001,MATCH($B208,Lançamentos!$B$3:$B$1001,0)),""))</f>
        <v/>
      </c>
      <c r="D208" s="435" t="str">
        <f>IF($B208="","",IFERROR(INDEX('E2 — Triagem'!$D$8:$D$507,MATCH($B208,'E2 — Triagem'!$B$8:$B$507,0)),""))</f>
        <v/>
      </c>
      <c r="E208" s="435"/>
      <c r="F208" s="435"/>
      <c r="G208" s="435"/>
      <c r="H208" s="435"/>
      <c r="I208" s="435"/>
      <c r="J208" s="435"/>
      <c r="K208" s="435"/>
      <c r="L208" s="436" t="str">
        <f t="shared" ref="L208:L271" si="4">IF(B208="","",IF(COUNTIF(E208:K208,"N/A")=7,0,IF(COUNTIF(E208:K208,"✔ Concluído")=7,1,MIN(99%,COUNTIF(E208:K208,"✔ Concluído")/(7-COUNTIF(E208:K208,"N/A"))))))</f>
        <v/>
      </c>
      <c r="M208" s="437"/>
      <c r="N208" s="438"/>
    </row>
    <row r="209" spans="2:14" x14ac:dyDescent="0.35">
      <c r="B209" s="433" t="str">
        <f>IF(Lançamentos!$B204="","",Lançamentos!$B204)</f>
        <v/>
      </c>
      <c r="C209" s="434" t="str">
        <f>IF($B209="","",IFERROR(INDEX(Lançamentos!$J$3:$J$1001,MATCH($B209,Lançamentos!$B$3:$B$1001,0)),""))</f>
        <v/>
      </c>
      <c r="D209" s="435" t="str">
        <f>IF($B209="","",IFERROR(INDEX('E2 — Triagem'!$D$8:$D$507,MATCH($B209,'E2 — Triagem'!$B$8:$B$507,0)),""))</f>
        <v/>
      </c>
      <c r="E209" s="435"/>
      <c r="F209" s="435"/>
      <c r="G209" s="435"/>
      <c r="H209" s="435"/>
      <c r="I209" s="435"/>
      <c r="J209" s="435"/>
      <c r="K209" s="435"/>
      <c r="L209" s="436" t="str">
        <f t="shared" si="4"/>
        <v/>
      </c>
      <c r="M209" s="437"/>
      <c r="N209" s="438"/>
    </row>
    <row r="210" spans="2:14" x14ac:dyDescent="0.35">
      <c r="B210" s="433" t="str">
        <f>IF(Lançamentos!$B205="","",Lançamentos!$B205)</f>
        <v/>
      </c>
      <c r="C210" s="434" t="str">
        <f>IF($B210="","",IFERROR(INDEX(Lançamentos!$J$3:$J$1001,MATCH($B210,Lançamentos!$B$3:$B$1001,0)),""))</f>
        <v/>
      </c>
      <c r="D210" s="435" t="str">
        <f>IF($B210="","",IFERROR(INDEX('E2 — Triagem'!$D$8:$D$507,MATCH($B210,'E2 — Triagem'!$B$8:$B$507,0)),""))</f>
        <v/>
      </c>
      <c r="E210" s="435"/>
      <c r="F210" s="435"/>
      <c r="G210" s="435"/>
      <c r="H210" s="435"/>
      <c r="I210" s="435"/>
      <c r="J210" s="435"/>
      <c r="K210" s="435"/>
      <c r="L210" s="436" t="str">
        <f t="shared" si="4"/>
        <v/>
      </c>
      <c r="M210" s="437"/>
      <c r="N210" s="438"/>
    </row>
    <row r="211" spans="2:14" x14ac:dyDescent="0.35">
      <c r="B211" s="433" t="str">
        <f>IF(Lançamentos!$B206="","",Lançamentos!$B206)</f>
        <v/>
      </c>
      <c r="C211" s="434" t="str">
        <f>IF($B211="","",IFERROR(INDEX(Lançamentos!$J$3:$J$1001,MATCH($B211,Lançamentos!$B$3:$B$1001,0)),""))</f>
        <v/>
      </c>
      <c r="D211" s="435" t="str">
        <f>IF($B211="","",IFERROR(INDEX('E2 — Triagem'!$D$8:$D$507,MATCH($B211,'E2 — Triagem'!$B$8:$B$507,0)),""))</f>
        <v/>
      </c>
      <c r="E211" s="435"/>
      <c r="F211" s="435"/>
      <c r="G211" s="435"/>
      <c r="H211" s="435"/>
      <c r="I211" s="435"/>
      <c r="J211" s="435"/>
      <c r="K211" s="435"/>
      <c r="L211" s="436" t="str">
        <f t="shared" si="4"/>
        <v/>
      </c>
      <c r="M211" s="437"/>
      <c r="N211" s="438"/>
    </row>
    <row r="212" spans="2:14" x14ac:dyDescent="0.35">
      <c r="B212" s="433" t="str">
        <f>IF(Lançamentos!$B207="","",Lançamentos!$B207)</f>
        <v/>
      </c>
      <c r="C212" s="434" t="str">
        <f>IF($B212="","",IFERROR(INDEX(Lançamentos!$J$3:$J$1001,MATCH($B212,Lançamentos!$B$3:$B$1001,0)),""))</f>
        <v/>
      </c>
      <c r="D212" s="435" t="str">
        <f>IF($B212="","",IFERROR(INDEX('E2 — Triagem'!$D$8:$D$507,MATCH($B212,'E2 — Triagem'!$B$8:$B$507,0)),""))</f>
        <v/>
      </c>
      <c r="E212" s="435"/>
      <c r="F212" s="435"/>
      <c r="G212" s="435"/>
      <c r="H212" s="435"/>
      <c r="I212" s="435"/>
      <c r="J212" s="435"/>
      <c r="K212" s="435"/>
      <c r="L212" s="436" t="str">
        <f t="shared" si="4"/>
        <v/>
      </c>
      <c r="M212" s="437"/>
      <c r="N212" s="438"/>
    </row>
    <row r="213" spans="2:14" x14ac:dyDescent="0.35">
      <c r="B213" s="433" t="str">
        <f>IF(Lançamentos!$B208="","",Lançamentos!$B208)</f>
        <v/>
      </c>
      <c r="C213" s="434" t="str">
        <f>IF($B213="","",IFERROR(INDEX(Lançamentos!$J$3:$J$1001,MATCH($B213,Lançamentos!$B$3:$B$1001,0)),""))</f>
        <v/>
      </c>
      <c r="D213" s="435" t="str">
        <f>IF($B213="","",IFERROR(INDEX('E2 — Triagem'!$D$8:$D$507,MATCH($B213,'E2 — Triagem'!$B$8:$B$507,0)),""))</f>
        <v/>
      </c>
      <c r="E213" s="435"/>
      <c r="F213" s="435"/>
      <c r="G213" s="435"/>
      <c r="H213" s="435"/>
      <c r="I213" s="435"/>
      <c r="J213" s="435"/>
      <c r="K213" s="435"/>
      <c r="L213" s="436" t="str">
        <f t="shared" si="4"/>
        <v/>
      </c>
      <c r="M213" s="437"/>
      <c r="N213" s="438"/>
    </row>
    <row r="214" spans="2:14" x14ac:dyDescent="0.35">
      <c r="B214" s="433" t="str">
        <f>IF(Lançamentos!$B209="","",Lançamentos!$B209)</f>
        <v/>
      </c>
      <c r="C214" s="434" t="str">
        <f>IF($B214="","",IFERROR(INDEX(Lançamentos!$J$3:$J$1001,MATCH($B214,Lançamentos!$B$3:$B$1001,0)),""))</f>
        <v/>
      </c>
      <c r="D214" s="435" t="str">
        <f>IF($B214="","",IFERROR(INDEX('E2 — Triagem'!$D$8:$D$507,MATCH($B214,'E2 — Triagem'!$B$8:$B$507,0)),""))</f>
        <v/>
      </c>
      <c r="E214" s="435"/>
      <c r="F214" s="435"/>
      <c r="G214" s="435"/>
      <c r="H214" s="435"/>
      <c r="I214" s="435"/>
      <c r="J214" s="435"/>
      <c r="K214" s="435"/>
      <c r="L214" s="436" t="str">
        <f t="shared" si="4"/>
        <v/>
      </c>
      <c r="M214" s="437"/>
      <c r="N214" s="438"/>
    </row>
    <row r="215" spans="2:14" x14ac:dyDescent="0.35">
      <c r="B215" s="433" t="str">
        <f>IF(Lançamentos!$B210="","",Lançamentos!$B210)</f>
        <v/>
      </c>
      <c r="C215" s="434" t="str">
        <f>IF($B215="","",IFERROR(INDEX(Lançamentos!$J$3:$J$1001,MATCH($B215,Lançamentos!$B$3:$B$1001,0)),""))</f>
        <v/>
      </c>
      <c r="D215" s="435" t="str">
        <f>IF($B215="","",IFERROR(INDEX('E2 — Triagem'!$D$8:$D$507,MATCH($B215,'E2 — Triagem'!$B$8:$B$507,0)),""))</f>
        <v/>
      </c>
      <c r="E215" s="435"/>
      <c r="F215" s="435"/>
      <c r="G215" s="435"/>
      <c r="H215" s="435"/>
      <c r="I215" s="435"/>
      <c r="J215" s="435"/>
      <c r="K215" s="435"/>
      <c r="L215" s="436" t="str">
        <f t="shared" si="4"/>
        <v/>
      </c>
      <c r="M215" s="437"/>
      <c r="N215" s="438"/>
    </row>
    <row r="216" spans="2:14" x14ac:dyDescent="0.35">
      <c r="B216" s="433" t="str">
        <f>IF(Lançamentos!$B211="","",Lançamentos!$B211)</f>
        <v/>
      </c>
      <c r="C216" s="434" t="str">
        <f>IF($B216="","",IFERROR(INDEX(Lançamentos!$J$3:$J$1001,MATCH($B216,Lançamentos!$B$3:$B$1001,0)),""))</f>
        <v/>
      </c>
      <c r="D216" s="435" t="str">
        <f>IF($B216="","",IFERROR(INDEX('E2 — Triagem'!$D$8:$D$507,MATCH($B216,'E2 — Triagem'!$B$8:$B$507,0)),""))</f>
        <v/>
      </c>
      <c r="E216" s="435"/>
      <c r="F216" s="435"/>
      <c r="G216" s="435"/>
      <c r="H216" s="435"/>
      <c r="I216" s="435"/>
      <c r="J216" s="435"/>
      <c r="K216" s="435"/>
      <c r="L216" s="436" t="str">
        <f t="shared" si="4"/>
        <v/>
      </c>
      <c r="M216" s="437"/>
      <c r="N216" s="438"/>
    </row>
    <row r="217" spans="2:14" x14ac:dyDescent="0.35">
      <c r="B217" s="433" t="str">
        <f>IF(Lançamentos!$B212="","",Lançamentos!$B212)</f>
        <v/>
      </c>
      <c r="C217" s="434" t="str">
        <f>IF($B217="","",IFERROR(INDEX(Lançamentos!$J$3:$J$1001,MATCH($B217,Lançamentos!$B$3:$B$1001,0)),""))</f>
        <v/>
      </c>
      <c r="D217" s="435" t="str">
        <f>IF($B217="","",IFERROR(INDEX('E2 — Triagem'!$D$8:$D$507,MATCH($B217,'E2 — Triagem'!$B$8:$B$507,0)),""))</f>
        <v/>
      </c>
      <c r="E217" s="435"/>
      <c r="F217" s="435"/>
      <c r="G217" s="435"/>
      <c r="H217" s="435"/>
      <c r="I217" s="435"/>
      <c r="J217" s="435"/>
      <c r="K217" s="435"/>
      <c r="L217" s="436" t="str">
        <f t="shared" si="4"/>
        <v/>
      </c>
      <c r="M217" s="437"/>
      <c r="N217" s="438"/>
    </row>
    <row r="218" spans="2:14" x14ac:dyDescent="0.35">
      <c r="B218" s="433" t="str">
        <f>IF(Lançamentos!$B213="","",Lançamentos!$B213)</f>
        <v/>
      </c>
      <c r="C218" s="434" t="str">
        <f>IF($B218="","",IFERROR(INDEX(Lançamentos!$J$3:$J$1001,MATCH($B218,Lançamentos!$B$3:$B$1001,0)),""))</f>
        <v/>
      </c>
      <c r="D218" s="435" t="str">
        <f>IF($B218="","",IFERROR(INDEX('E2 — Triagem'!$D$8:$D$507,MATCH($B218,'E2 — Triagem'!$B$8:$B$507,0)),""))</f>
        <v/>
      </c>
      <c r="E218" s="435"/>
      <c r="F218" s="435"/>
      <c r="G218" s="435"/>
      <c r="H218" s="435"/>
      <c r="I218" s="435"/>
      <c r="J218" s="435"/>
      <c r="K218" s="435"/>
      <c r="L218" s="436" t="str">
        <f t="shared" si="4"/>
        <v/>
      </c>
      <c r="M218" s="437"/>
      <c r="N218" s="438"/>
    </row>
    <row r="219" spans="2:14" x14ac:dyDescent="0.35">
      <c r="B219" s="433" t="str">
        <f>IF(Lançamentos!$B214="","",Lançamentos!$B214)</f>
        <v/>
      </c>
      <c r="C219" s="434" t="str">
        <f>IF($B219="","",IFERROR(INDEX(Lançamentos!$J$3:$J$1001,MATCH($B219,Lançamentos!$B$3:$B$1001,0)),""))</f>
        <v/>
      </c>
      <c r="D219" s="435" t="str">
        <f>IF($B219="","",IFERROR(INDEX('E2 — Triagem'!$D$8:$D$507,MATCH($B219,'E2 — Triagem'!$B$8:$B$507,0)),""))</f>
        <v/>
      </c>
      <c r="E219" s="435"/>
      <c r="F219" s="435"/>
      <c r="G219" s="435"/>
      <c r="H219" s="435"/>
      <c r="I219" s="435"/>
      <c r="J219" s="435"/>
      <c r="K219" s="435"/>
      <c r="L219" s="436" t="str">
        <f t="shared" si="4"/>
        <v/>
      </c>
      <c r="M219" s="437"/>
      <c r="N219" s="438"/>
    </row>
    <row r="220" spans="2:14" x14ac:dyDescent="0.35">
      <c r="B220" s="433" t="str">
        <f>IF(Lançamentos!$B215="","",Lançamentos!$B215)</f>
        <v/>
      </c>
      <c r="C220" s="434" t="str">
        <f>IF($B220="","",IFERROR(INDEX(Lançamentos!$J$3:$J$1001,MATCH($B220,Lançamentos!$B$3:$B$1001,0)),""))</f>
        <v/>
      </c>
      <c r="D220" s="435" t="str">
        <f>IF($B220="","",IFERROR(INDEX('E2 — Triagem'!$D$8:$D$507,MATCH($B220,'E2 — Triagem'!$B$8:$B$507,0)),""))</f>
        <v/>
      </c>
      <c r="E220" s="435"/>
      <c r="F220" s="435"/>
      <c r="G220" s="435"/>
      <c r="H220" s="435"/>
      <c r="I220" s="435"/>
      <c r="J220" s="435"/>
      <c r="K220" s="435"/>
      <c r="L220" s="436" t="str">
        <f t="shared" si="4"/>
        <v/>
      </c>
      <c r="M220" s="437"/>
      <c r="N220" s="438"/>
    </row>
    <row r="221" spans="2:14" x14ac:dyDescent="0.35">
      <c r="B221" s="433" t="str">
        <f>IF(Lançamentos!$B216="","",Lançamentos!$B216)</f>
        <v/>
      </c>
      <c r="C221" s="434" t="str">
        <f>IF($B221="","",IFERROR(INDEX(Lançamentos!$J$3:$J$1001,MATCH($B221,Lançamentos!$B$3:$B$1001,0)),""))</f>
        <v/>
      </c>
      <c r="D221" s="435" t="str">
        <f>IF($B221="","",IFERROR(INDEX('E2 — Triagem'!$D$8:$D$507,MATCH($B221,'E2 — Triagem'!$B$8:$B$507,0)),""))</f>
        <v/>
      </c>
      <c r="E221" s="435"/>
      <c r="F221" s="435"/>
      <c r="G221" s="435"/>
      <c r="H221" s="435"/>
      <c r="I221" s="435"/>
      <c r="J221" s="435"/>
      <c r="K221" s="435"/>
      <c r="L221" s="436" t="str">
        <f t="shared" si="4"/>
        <v/>
      </c>
      <c r="M221" s="437"/>
      <c r="N221" s="438"/>
    </row>
    <row r="222" spans="2:14" x14ac:dyDescent="0.35">
      <c r="B222" s="433" t="str">
        <f>IF(Lançamentos!$B217="","",Lançamentos!$B217)</f>
        <v/>
      </c>
      <c r="C222" s="434" t="str">
        <f>IF($B222="","",IFERROR(INDEX(Lançamentos!$J$3:$J$1001,MATCH($B222,Lançamentos!$B$3:$B$1001,0)),""))</f>
        <v/>
      </c>
      <c r="D222" s="435" t="str">
        <f>IF($B222="","",IFERROR(INDEX('E2 — Triagem'!$D$8:$D$507,MATCH($B222,'E2 — Triagem'!$B$8:$B$507,0)),""))</f>
        <v/>
      </c>
      <c r="E222" s="435"/>
      <c r="F222" s="435"/>
      <c r="G222" s="435"/>
      <c r="H222" s="435"/>
      <c r="I222" s="435"/>
      <c r="J222" s="435"/>
      <c r="K222" s="435"/>
      <c r="L222" s="436" t="str">
        <f t="shared" si="4"/>
        <v/>
      </c>
      <c r="M222" s="437"/>
      <c r="N222" s="438"/>
    </row>
    <row r="223" spans="2:14" x14ac:dyDescent="0.35">
      <c r="B223" s="433" t="str">
        <f>IF(Lançamentos!$B218="","",Lançamentos!$B218)</f>
        <v/>
      </c>
      <c r="C223" s="434" t="str">
        <f>IF($B223="","",IFERROR(INDEX(Lançamentos!$J$3:$J$1001,MATCH($B223,Lançamentos!$B$3:$B$1001,0)),""))</f>
        <v/>
      </c>
      <c r="D223" s="435" t="str">
        <f>IF($B223="","",IFERROR(INDEX('E2 — Triagem'!$D$8:$D$507,MATCH($B223,'E2 — Triagem'!$B$8:$B$507,0)),""))</f>
        <v/>
      </c>
      <c r="E223" s="435"/>
      <c r="F223" s="435"/>
      <c r="G223" s="435"/>
      <c r="H223" s="435"/>
      <c r="I223" s="435"/>
      <c r="J223" s="435"/>
      <c r="K223" s="435"/>
      <c r="L223" s="436" t="str">
        <f t="shared" si="4"/>
        <v/>
      </c>
      <c r="M223" s="437"/>
      <c r="N223" s="438"/>
    </row>
    <row r="224" spans="2:14" x14ac:dyDescent="0.35">
      <c r="B224" s="433" t="str">
        <f>IF(Lançamentos!$B219="","",Lançamentos!$B219)</f>
        <v/>
      </c>
      <c r="C224" s="434" t="str">
        <f>IF($B224="","",IFERROR(INDEX(Lançamentos!$J$3:$J$1001,MATCH($B224,Lançamentos!$B$3:$B$1001,0)),""))</f>
        <v/>
      </c>
      <c r="D224" s="435" t="str">
        <f>IF($B224="","",IFERROR(INDEX('E2 — Triagem'!$D$8:$D$507,MATCH($B224,'E2 — Triagem'!$B$8:$B$507,0)),""))</f>
        <v/>
      </c>
      <c r="E224" s="435"/>
      <c r="F224" s="435"/>
      <c r="G224" s="435"/>
      <c r="H224" s="435"/>
      <c r="I224" s="435"/>
      <c r="J224" s="435"/>
      <c r="K224" s="435"/>
      <c r="L224" s="436" t="str">
        <f t="shared" si="4"/>
        <v/>
      </c>
      <c r="M224" s="437"/>
      <c r="N224" s="438"/>
    </row>
    <row r="225" spans="2:14" x14ac:dyDescent="0.35">
      <c r="B225" s="433" t="str">
        <f>IF(Lançamentos!$B220="","",Lançamentos!$B220)</f>
        <v/>
      </c>
      <c r="C225" s="434" t="str">
        <f>IF($B225="","",IFERROR(INDEX(Lançamentos!$J$3:$J$1001,MATCH($B225,Lançamentos!$B$3:$B$1001,0)),""))</f>
        <v/>
      </c>
      <c r="D225" s="435" t="str">
        <f>IF($B225="","",IFERROR(INDEX('E2 — Triagem'!$D$8:$D$507,MATCH($B225,'E2 — Triagem'!$B$8:$B$507,0)),""))</f>
        <v/>
      </c>
      <c r="E225" s="435"/>
      <c r="F225" s="435"/>
      <c r="G225" s="435"/>
      <c r="H225" s="435"/>
      <c r="I225" s="435"/>
      <c r="J225" s="435"/>
      <c r="K225" s="435"/>
      <c r="L225" s="436" t="str">
        <f t="shared" si="4"/>
        <v/>
      </c>
      <c r="M225" s="437"/>
      <c r="N225" s="438"/>
    </row>
    <row r="226" spans="2:14" x14ac:dyDescent="0.35">
      <c r="B226" s="433" t="str">
        <f>IF(Lançamentos!$B221="","",Lançamentos!$B221)</f>
        <v/>
      </c>
      <c r="C226" s="434" t="str">
        <f>IF($B226="","",IFERROR(INDEX(Lançamentos!$J$3:$J$1001,MATCH($B226,Lançamentos!$B$3:$B$1001,0)),""))</f>
        <v/>
      </c>
      <c r="D226" s="435" t="str">
        <f>IF($B226="","",IFERROR(INDEX('E2 — Triagem'!$D$8:$D$507,MATCH($B226,'E2 — Triagem'!$B$8:$B$507,0)),""))</f>
        <v/>
      </c>
      <c r="E226" s="435"/>
      <c r="F226" s="435"/>
      <c r="G226" s="435"/>
      <c r="H226" s="435"/>
      <c r="I226" s="435"/>
      <c r="J226" s="435"/>
      <c r="K226" s="435"/>
      <c r="L226" s="436" t="str">
        <f t="shared" si="4"/>
        <v/>
      </c>
      <c r="M226" s="437"/>
      <c r="N226" s="438"/>
    </row>
    <row r="227" spans="2:14" x14ac:dyDescent="0.35">
      <c r="B227" s="433" t="str">
        <f>IF(Lançamentos!$B222="","",Lançamentos!$B222)</f>
        <v/>
      </c>
      <c r="C227" s="434" t="str">
        <f>IF($B227="","",IFERROR(INDEX(Lançamentos!$J$3:$J$1001,MATCH($B227,Lançamentos!$B$3:$B$1001,0)),""))</f>
        <v/>
      </c>
      <c r="D227" s="435" t="str">
        <f>IF($B227="","",IFERROR(INDEX('E2 — Triagem'!$D$8:$D$507,MATCH($B227,'E2 — Triagem'!$B$8:$B$507,0)),""))</f>
        <v/>
      </c>
      <c r="E227" s="435"/>
      <c r="F227" s="435"/>
      <c r="G227" s="435"/>
      <c r="H227" s="435"/>
      <c r="I227" s="435"/>
      <c r="J227" s="435"/>
      <c r="K227" s="435"/>
      <c r="L227" s="436" t="str">
        <f t="shared" si="4"/>
        <v/>
      </c>
      <c r="M227" s="437"/>
      <c r="N227" s="438"/>
    </row>
    <row r="228" spans="2:14" x14ac:dyDescent="0.35">
      <c r="B228" s="433" t="str">
        <f>IF(Lançamentos!$B223="","",Lançamentos!$B223)</f>
        <v/>
      </c>
      <c r="C228" s="434" t="str">
        <f>IF($B228="","",IFERROR(INDEX(Lançamentos!$J$3:$J$1001,MATCH($B228,Lançamentos!$B$3:$B$1001,0)),""))</f>
        <v/>
      </c>
      <c r="D228" s="435" t="str">
        <f>IF($B228="","",IFERROR(INDEX('E2 — Triagem'!$D$8:$D$507,MATCH($B228,'E2 — Triagem'!$B$8:$B$507,0)),""))</f>
        <v/>
      </c>
      <c r="E228" s="435"/>
      <c r="F228" s="435"/>
      <c r="G228" s="435"/>
      <c r="H228" s="435"/>
      <c r="I228" s="435"/>
      <c r="J228" s="435"/>
      <c r="K228" s="435"/>
      <c r="L228" s="436" t="str">
        <f t="shared" si="4"/>
        <v/>
      </c>
      <c r="M228" s="437"/>
      <c r="N228" s="438"/>
    </row>
    <row r="229" spans="2:14" x14ac:dyDescent="0.35">
      <c r="B229" s="433" t="str">
        <f>IF(Lançamentos!$B224="","",Lançamentos!$B224)</f>
        <v/>
      </c>
      <c r="C229" s="434" t="str">
        <f>IF($B229="","",IFERROR(INDEX(Lançamentos!$J$3:$J$1001,MATCH($B229,Lançamentos!$B$3:$B$1001,0)),""))</f>
        <v/>
      </c>
      <c r="D229" s="435" t="str">
        <f>IF($B229="","",IFERROR(INDEX('E2 — Triagem'!$D$8:$D$507,MATCH($B229,'E2 — Triagem'!$B$8:$B$507,0)),""))</f>
        <v/>
      </c>
      <c r="E229" s="435"/>
      <c r="F229" s="435"/>
      <c r="G229" s="435"/>
      <c r="H229" s="435"/>
      <c r="I229" s="435"/>
      <c r="J229" s="435"/>
      <c r="K229" s="435"/>
      <c r="L229" s="436" t="str">
        <f t="shared" si="4"/>
        <v/>
      </c>
      <c r="M229" s="437"/>
      <c r="N229" s="438"/>
    </row>
    <row r="230" spans="2:14" x14ac:dyDescent="0.35">
      <c r="B230" s="433" t="str">
        <f>IF(Lançamentos!$B225="","",Lançamentos!$B225)</f>
        <v/>
      </c>
      <c r="C230" s="434" t="str">
        <f>IF($B230="","",IFERROR(INDEX(Lançamentos!$J$3:$J$1001,MATCH($B230,Lançamentos!$B$3:$B$1001,0)),""))</f>
        <v/>
      </c>
      <c r="D230" s="435" t="str">
        <f>IF($B230="","",IFERROR(INDEX('E2 — Triagem'!$D$8:$D$507,MATCH($B230,'E2 — Triagem'!$B$8:$B$507,0)),""))</f>
        <v/>
      </c>
      <c r="E230" s="435"/>
      <c r="F230" s="435"/>
      <c r="G230" s="435"/>
      <c r="H230" s="435"/>
      <c r="I230" s="435"/>
      <c r="J230" s="435"/>
      <c r="K230" s="435"/>
      <c r="L230" s="436" t="str">
        <f t="shared" si="4"/>
        <v/>
      </c>
      <c r="M230" s="437"/>
      <c r="N230" s="438"/>
    </row>
    <row r="231" spans="2:14" x14ac:dyDescent="0.35">
      <c r="B231" s="433" t="str">
        <f>IF(Lançamentos!$B226="","",Lançamentos!$B226)</f>
        <v/>
      </c>
      <c r="C231" s="434" t="str">
        <f>IF($B231="","",IFERROR(INDEX(Lançamentos!$J$3:$J$1001,MATCH($B231,Lançamentos!$B$3:$B$1001,0)),""))</f>
        <v/>
      </c>
      <c r="D231" s="435" t="str">
        <f>IF($B231="","",IFERROR(INDEX('E2 — Triagem'!$D$8:$D$507,MATCH($B231,'E2 — Triagem'!$B$8:$B$507,0)),""))</f>
        <v/>
      </c>
      <c r="E231" s="435"/>
      <c r="F231" s="435"/>
      <c r="G231" s="435"/>
      <c r="H231" s="435"/>
      <c r="I231" s="435"/>
      <c r="J231" s="435"/>
      <c r="K231" s="435"/>
      <c r="L231" s="436" t="str">
        <f t="shared" si="4"/>
        <v/>
      </c>
      <c r="M231" s="437"/>
      <c r="N231" s="438"/>
    </row>
    <row r="232" spans="2:14" x14ac:dyDescent="0.35">
      <c r="B232" s="433" t="str">
        <f>IF(Lançamentos!$B227="","",Lançamentos!$B227)</f>
        <v/>
      </c>
      <c r="C232" s="434" t="str">
        <f>IF($B232="","",IFERROR(INDEX(Lançamentos!$J$3:$J$1001,MATCH($B232,Lançamentos!$B$3:$B$1001,0)),""))</f>
        <v/>
      </c>
      <c r="D232" s="435" t="str">
        <f>IF($B232="","",IFERROR(INDEX('E2 — Triagem'!$D$8:$D$507,MATCH($B232,'E2 — Triagem'!$B$8:$B$507,0)),""))</f>
        <v/>
      </c>
      <c r="E232" s="435"/>
      <c r="F232" s="435"/>
      <c r="G232" s="435"/>
      <c r="H232" s="435"/>
      <c r="I232" s="435"/>
      <c r="J232" s="435"/>
      <c r="K232" s="435"/>
      <c r="L232" s="436" t="str">
        <f t="shared" si="4"/>
        <v/>
      </c>
      <c r="M232" s="437"/>
      <c r="N232" s="438"/>
    </row>
    <row r="233" spans="2:14" x14ac:dyDescent="0.35">
      <c r="B233" s="433" t="str">
        <f>IF(Lançamentos!$B228="","",Lançamentos!$B228)</f>
        <v/>
      </c>
      <c r="C233" s="434" t="str">
        <f>IF($B233="","",IFERROR(INDEX(Lançamentos!$J$3:$J$1001,MATCH($B233,Lançamentos!$B$3:$B$1001,0)),""))</f>
        <v/>
      </c>
      <c r="D233" s="435" t="str">
        <f>IF($B233="","",IFERROR(INDEX('E2 — Triagem'!$D$8:$D$507,MATCH($B233,'E2 — Triagem'!$B$8:$B$507,0)),""))</f>
        <v/>
      </c>
      <c r="E233" s="435"/>
      <c r="F233" s="435"/>
      <c r="G233" s="435"/>
      <c r="H233" s="435"/>
      <c r="I233" s="435"/>
      <c r="J233" s="435"/>
      <c r="K233" s="435"/>
      <c r="L233" s="436" t="str">
        <f t="shared" si="4"/>
        <v/>
      </c>
      <c r="M233" s="437"/>
      <c r="N233" s="438"/>
    </row>
    <row r="234" spans="2:14" x14ac:dyDescent="0.35">
      <c r="B234" s="433" t="str">
        <f>IF(Lançamentos!$B229="","",Lançamentos!$B229)</f>
        <v/>
      </c>
      <c r="C234" s="434" t="str">
        <f>IF($B234="","",IFERROR(INDEX(Lançamentos!$J$3:$J$1001,MATCH($B234,Lançamentos!$B$3:$B$1001,0)),""))</f>
        <v/>
      </c>
      <c r="D234" s="435" t="str">
        <f>IF($B234="","",IFERROR(INDEX('E2 — Triagem'!$D$8:$D$507,MATCH($B234,'E2 — Triagem'!$B$8:$B$507,0)),""))</f>
        <v/>
      </c>
      <c r="E234" s="435"/>
      <c r="F234" s="435"/>
      <c r="G234" s="435"/>
      <c r="H234" s="435"/>
      <c r="I234" s="435"/>
      <c r="J234" s="435"/>
      <c r="K234" s="435"/>
      <c r="L234" s="436" t="str">
        <f t="shared" si="4"/>
        <v/>
      </c>
      <c r="M234" s="437"/>
      <c r="N234" s="438"/>
    </row>
    <row r="235" spans="2:14" x14ac:dyDescent="0.35">
      <c r="B235" s="433" t="str">
        <f>IF(Lançamentos!$B230="","",Lançamentos!$B230)</f>
        <v/>
      </c>
      <c r="C235" s="434" t="str">
        <f>IF($B235="","",IFERROR(INDEX(Lançamentos!$J$3:$J$1001,MATCH($B235,Lançamentos!$B$3:$B$1001,0)),""))</f>
        <v/>
      </c>
      <c r="D235" s="435" t="str">
        <f>IF($B235="","",IFERROR(INDEX('E2 — Triagem'!$D$8:$D$507,MATCH($B235,'E2 — Triagem'!$B$8:$B$507,0)),""))</f>
        <v/>
      </c>
      <c r="E235" s="435"/>
      <c r="F235" s="435"/>
      <c r="G235" s="435"/>
      <c r="H235" s="435"/>
      <c r="I235" s="435"/>
      <c r="J235" s="435"/>
      <c r="K235" s="435"/>
      <c r="L235" s="436" t="str">
        <f t="shared" si="4"/>
        <v/>
      </c>
      <c r="M235" s="437"/>
      <c r="N235" s="438"/>
    </row>
    <row r="236" spans="2:14" x14ac:dyDescent="0.35">
      <c r="B236" s="433" t="str">
        <f>IF(Lançamentos!$B231="","",Lançamentos!$B231)</f>
        <v/>
      </c>
      <c r="C236" s="434" t="str">
        <f>IF($B236="","",IFERROR(INDEX(Lançamentos!$J$3:$J$1001,MATCH($B236,Lançamentos!$B$3:$B$1001,0)),""))</f>
        <v/>
      </c>
      <c r="D236" s="435" t="str">
        <f>IF($B236="","",IFERROR(INDEX('E2 — Triagem'!$D$8:$D$507,MATCH($B236,'E2 — Triagem'!$B$8:$B$507,0)),""))</f>
        <v/>
      </c>
      <c r="E236" s="435"/>
      <c r="F236" s="435"/>
      <c r="G236" s="435"/>
      <c r="H236" s="435"/>
      <c r="I236" s="435"/>
      <c r="J236" s="435"/>
      <c r="K236" s="435"/>
      <c r="L236" s="436" t="str">
        <f t="shared" si="4"/>
        <v/>
      </c>
      <c r="M236" s="437"/>
      <c r="N236" s="438"/>
    </row>
    <row r="237" spans="2:14" x14ac:dyDescent="0.35">
      <c r="B237" s="433" t="str">
        <f>IF(Lançamentos!$B232="","",Lançamentos!$B232)</f>
        <v/>
      </c>
      <c r="C237" s="434" t="str">
        <f>IF($B237="","",IFERROR(INDEX(Lançamentos!$J$3:$J$1001,MATCH($B237,Lançamentos!$B$3:$B$1001,0)),""))</f>
        <v/>
      </c>
      <c r="D237" s="435" t="str">
        <f>IF($B237="","",IFERROR(INDEX('E2 — Triagem'!$D$8:$D$507,MATCH($B237,'E2 — Triagem'!$B$8:$B$507,0)),""))</f>
        <v/>
      </c>
      <c r="E237" s="435"/>
      <c r="F237" s="435"/>
      <c r="G237" s="435"/>
      <c r="H237" s="435"/>
      <c r="I237" s="435"/>
      <c r="J237" s="435"/>
      <c r="K237" s="435"/>
      <c r="L237" s="436" t="str">
        <f t="shared" si="4"/>
        <v/>
      </c>
      <c r="M237" s="437"/>
      <c r="N237" s="438"/>
    </row>
    <row r="238" spans="2:14" x14ac:dyDescent="0.35">
      <c r="B238" s="433" t="str">
        <f>IF(Lançamentos!$B233="","",Lançamentos!$B233)</f>
        <v/>
      </c>
      <c r="C238" s="434" t="str">
        <f>IF($B238="","",IFERROR(INDEX(Lançamentos!$J$3:$J$1001,MATCH($B238,Lançamentos!$B$3:$B$1001,0)),""))</f>
        <v/>
      </c>
      <c r="D238" s="435" t="str">
        <f>IF($B238="","",IFERROR(INDEX('E2 — Triagem'!$D$8:$D$507,MATCH($B238,'E2 — Triagem'!$B$8:$B$507,0)),""))</f>
        <v/>
      </c>
      <c r="E238" s="435"/>
      <c r="F238" s="435"/>
      <c r="G238" s="435"/>
      <c r="H238" s="435"/>
      <c r="I238" s="435"/>
      <c r="J238" s="435"/>
      <c r="K238" s="435"/>
      <c r="L238" s="436" t="str">
        <f t="shared" si="4"/>
        <v/>
      </c>
      <c r="M238" s="437"/>
      <c r="N238" s="438"/>
    </row>
    <row r="239" spans="2:14" x14ac:dyDescent="0.35">
      <c r="B239" s="433" t="str">
        <f>IF(Lançamentos!$B234="","",Lançamentos!$B234)</f>
        <v/>
      </c>
      <c r="C239" s="434" t="str">
        <f>IF($B239="","",IFERROR(INDEX(Lançamentos!$J$3:$J$1001,MATCH($B239,Lançamentos!$B$3:$B$1001,0)),""))</f>
        <v/>
      </c>
      <c r="D239" s="435" t="str">
        <f>IF($B239="","",IFERROR(INDEX('E2 — Triagem'!$D$8:$D$507,MATCH($B239,'E2 — Triagem'!$B$8:$B$507,0)),""))</f>
        <v/>
      </c>
      <c r="E239" s="435"/>
      <c r="F239" s="435"/>
      <c r="G239" s="435"/>
      <c r="H239" s="435"/>
      <c r="I239" s="435"/>
      <c r="J239" s="435"/>
      <c r="K239" s="435"/>
      <c r="L239" s="436" t="str">
        <f t="shared" si="4"/>
        <v/>
      </c>
      <c r="M239" s="437"/>
      <c r="N239" s="438"/>
    </row>
    <row r="240" spans="2:14" x14ac:dyDescent="0.35">
      <c r="B240" s="433" t="str">
        <f>IF(Lançamentos!$B235="","",Lançamentos!$B235)</f>
        <v/>
      </c>
      <c r="C240" s="434" t="str">
        <f>IF($B240="","",IFERROR(INDEX(Lançamentos!$J$3:$J$1001,MATCH($B240,Lançamentos!$B$3:$B$1001,0)),""))</f>
        <v/>
      </c>
      <c r="D240" s="435" t="str">
        <f>IF($B240="","",IFERROR(INDEX('E2 — Triagem'!$D$8:$D$507,MATCH($B240,'E2 — Triagem'!$B$8:$B$507,0)),""))</f>
        <v/>
      </c>
      <c r="E240" s="435"/>
      <c r="F240" s="435"/>
      <c r="G240" s="435"/>
      <c r="H240" s="435"/>
      <c r="I240" s="435"/>
      <c r="J240" s="435"/>
      <c r="K240" s="435"/>
      <c r="L240" s="436" t="str">
        <f t="shared" si="4"/>
        <v/>
      </c>
      <c r="M240" s="437"/>
      <c r="N240" s="438"/>
    </row>
    <row r="241" spans="2:14" x14ac:dyDescent="0.35">
      <c r="B241" s="433" t="str">
        <f>IF(Lançamentos!$B236="","",Lançamentos!$B236)</f>
        <v/>
      </c>
      <c r="C241" s="434" t="str">
        <f>IF($B241="","",IFERROR(INDEX(Lançamentos!$J$3:$J$1001,MATCH($B241,Lançamentos!$B$3:$B$1001,0)),""))</f>
        <v/>
      </c>
      <c r="D241" s="435" t="str">
        <f>IF($B241="","",IFERROR(INDEX('E2 — Triagem'!$D$8:$D$507,MATCH($B241,'E2 — Triagem'!$B$8:$B$507,0)),""))</f>
        <v/>
      </c>
      <c r="E241" s="435"/>
      <c r="F241" s="435"/>
      <c r="G241" s="435"/>
      <c r="H241" s="435"/>
      <c r="I241" s="435"/>
      <c r="J241" s="435"/>
      <c r="K241" s="435"/>
      <c r="L241" s="436" t="str">
        <f t="shared" si="4"/>
        <v/>
      </c>
      <c r="M241" s="437"/>
      <c r="N241" s="438"/>
    </row>
    <row r="242" spans="2:14" x14ac:dyDescent="0.35">
      <c r="B242" s="433" t="str">
        <f>IF(Lançamentos!$B237="","",Lançamentos!$B237)</f>
        <v/>
      </c>
      <c r="C242" s="434" t="str">
        <f>IF($B242="","",IFERROR(INDEX(Lançamentos!$J$3:$J$1001,MATCH($B242,Lançamentos!$B$3:$B$1001,0)),""))</f>
        <v/>
      </c>
      <c r="D242" s="435" t="str">
        <f>IF($B242="","",IFERROR(INDEX('E2 — Triagem'!$D$8:$D$507,MATCH($B242,'E2 — Triagem'!$B$8:$B$507,0)),""))</f>
        <v/>
      </c>
      <c r="E242" s="435"/>
      <c r="F242" s="435"/>
      <c r="G242" s="435"/>
      <c r="H242" s="435"/>
      <c r="I242" s="435"/>
      <c r="J242" s="435"/>
      <c r="K242" s="435"/>
      <c r="L242" s="436" t="str">
        <f t="shared" si="4"/>
        <v/>
      </c>
      <c r="M242" s="437"/>
      <c r="N242" s="438"/>
    </row>
    <row r="243" spans="2:14" x14ac:dyDescent="0.35">
      <c r="B243" s="433" t="str">
        <f>IF(Lançamentos!$B238="","",Lançamentos!$B238)</f>
        <v/>
      </c>
      <c r="C243" s="434" t="str">
        <f>IF($B243="","",IFERROR(INDEX(Lançamentos!$J$3:$J$1001,MATCH($B243,Lançamentos!$B$3:$B$1001,0)),""))</f>
        <v/>
      </c>
      <c r="D243" s="435" t="str">
        <f>IF($B243="","",IFERROR(INDEX('E2 — Triagem'!$D$8:$D$507,MATCH($B243,'E2 — Triagem'!$B$8:$B$507,0)),""))</f>
        <v/>
      </c>
      <c r="E243" s="435"/>
      <c r="F243" s="435"/>
      <c r="G243" s="435"/>
      <c r="H243" s="435"/>
      <c r="I243" s="435"/>
      <c r="J243" s="435"/>
      <c r="K243" s="435"/>
      <c r="L243" s="436" t="str">
        <f t="shared" si="4"/>
        <v/>
      </c>
      <c r="M243" s="437"/>
      <c r="N243" s="438"/>
    </row>
    <row r="244" spans="2:14" x14ac:dyDescent="0.35">
      <c r="B244" s="433" t="str">
        <f>IF(Lançamentos!$B239="","",Lançamentos!$B239)</f>
        <v/>
      </c>
      <c r="C244" s="434" t="str">
        <f>IF($B244="","",IFERROR(INDEX(Lançamentos!$J$3:$J$1001,MATCH($B244,Lançamentos!$B$3:$B$1001,0)),""))</f>
        <v/>
      </c>
      <c r="D244" s="435" t="str">
        <f>IF($B244="","",IFERROR(INDEX('E2 — Triagem'!$D$8:$D$507,MATCH($B244,'E2 — Triagem'!$B$8:$B$507,0)),""))</f>
        <v/>
      </c>
      <c r="E244" s="435"/>
      <c r="F244" s="435"/>
      <c r="G244" s="435"/>
      <c r="H244" s="435"/>
      <c r="I244" s="435"/>
      <c r="J244" s="435"/>
      <c r="K244" s="435"/>
      <c r="L244" s="436" t="str">
        <f t="shared" si="4"/>
        <v/>
      </c>
      <c r="M244" s="437"/>
      <c r="N244" s="438"/>
    </row>
    <row r="245" spans="2:14" x14ac:dyDescent="0.35">
      <c r="B245" s="433" t="str">
        <f>IF(Lançamentos!$B240="","",Lançamentos!$B240)</f>
        <v/>
      </c>
      <c r="C245" s="434" t="str">
        <f>IF($B245="","",IFERROR(INDEX(Lançamentos!$J$3:$J$1001,MATCH($B245,Lançamentos!$B$3:$B$1001,0)),""))</f>
        <v/>
      </c>
      <c r="D245" s="435" t="str">
        <f>IF($B245="","",IFERROR(INDEX('E2 — Triagem'!$D$8:$D$507,MATCH($B245,'E2 — Triagem'!$B$8:$B$507,0)),""))</f>
        <v/>
      </c>
      <c r="E245" s="435"/>
      <c r="F245" s="435"/>
      <c r="G245" s="435"/>
      <c r="H245" s="435"/>
      <c r="I245" s="435"/>
      <c r="J245" s="435"/>
      <c r="K245" s="435"/>
      <c r="L245" s="436" t="str">
        <f t="shared" si="4"/>
        <v/>
      </c>
      <c r="M245" s="437"/>
      <c r="N245" s="438"/>
    </row>
    <row r="246" spans="2:14" x14ac:dyDescent="0.35">
      <c r="B246" s="433" t="str">
        <f>IF(Lançamentos!$B241="","",Lançamentos!$B241)</f>
        <v/>
      </c>
      <c r="C246" s="434" t="str">
        <f>IF($B246="","",IFERROR(INDEX(Lançamentos!$J$3:$J$1001,MATCH($B246,Lançamentos!$B$3:$B$1001,0)),""))</f>
        <v/>
      </c>
      <c r="D246" s="435" t="str">
        <f>IF($B246="","",IFERROR(INDEX('E2 — Triagem'!$D$8:$D$507,MATCH($B246,'E2 — Triagem'!$B$8:$B$507,0)),""))</f>
        <v/>
      </c>
      <c r="E246" s="435"/>
      <c r="F246" s="435"/>
      <c r="G246" s="435"/>
      <c r="H246" s="435"/>
      <c r="I246" s="435"/>
      <c r="J246" s="435"/>
      <c r="K246" s="435"/>
      <c r="L246" s="436" t="str">
        <f t="shared" si="4"/>
        <v/>
      </c>
      <c r="M246" s="437"/>
      <c r="N246" s="438"/>
    </row>
    <row r="247" spans="2:14" x14ac:dyDescent="0.35">
      <c r="B247" s="433" t="str">
        <f>IF(Lançamentos!$B242="","",Lançamentos!$B242)</f>
        <v/>
      </c>
      <c r="C247" s="434" t="str">
        <f>IF($B247="","",IFERROR(INDEX(Lançamentos!$J$3:$J$1001,MATCH($B247,Lançamentos!$B$3:$B$1001,0)),""))</f>
        <v/>
      </c>
      <c r="D247" s="435" t="str">
        <f>IF($B247="","",IFERROR(INDEX('E2 — Triagem'!$D$8:$D$507,MATCH($B247,'E2 — Triagem'!$B$8:$B$507,0)),""))</f>
        <v/>
      </c>
      <c r="E247" s="435"/>
      <c r="F247" s="435"/>
      <c r="G247" s="435"/>
      <c r="H247" s="435"/>
      <c r="I247" s="435"/>
      <c r="J247" s="435"/>
      <c r="K247" s="435"/>
      <c r="L247" s="436" t="str">
        <f t="shared" si="4"/>
        <v/>
      </c>
      <c r="M247" s="437"/>
      <c r="N247" s="438"/>
    </row>
    <row r="248" spans="2:14" x14ac:dyDescent="0.35">
      <c r="B248" s="433" t="str">
        <f>IF(Lançamentos!$B243="","",Lançamentos!$B243)</f>
        <v/>
      </c>
      <c r="C248" s="434" t="str">
        <f>IF($B248="","",IFERROR(INDEX(Lançamentos!$J$3:$J$1001,MATCH($B248,Lançamentos!$B$3:$B$1001,0)),""))</f>
        <v/>
      </c>
      <c r="D248" s="435" t="str">
        <f>IF($B248="","",IFERROR(INDEX('E2 — Triagem'!$D$8:$D$507,MATCH($B248,'E2 — Triagem'!$B$8:$B$507,0)),""))</f>
        <v/>
      </c>
      <c r="E248" s="435"/>
      <c r="F248" s="435"/>
      <c r="G248" s="435"/>
      <c r="H248" s="435"/>
      <c r="I248" s="435"/>
      <c r="J248" s="435"/>
      <c r="K248" s="435"/>
      <c r="L248" s="436" t="str">
        <f t="shared" si="4"/>
        <v/>
      </c>
      <c r="M248" s="437"/>
      <c r="N248" s="438"/>
    </row>
    <row r="249" spans="2:14" x14ac:dyDescent="0.35">
      <c r="B249" s="433" t="str">
        <f>IF(Lançamentos!$B244="","",Lançamentos!$B244)</f>
        <v/>
      </c>
      <c r="C249" s="434" t="str">
        <f>IF($B249="","",IFERROR(INDEX(Lançamentos!$J$3:$J$1001,MATCH($B249,Lançamentos!$B$3:$B$1001,0)),""))</f>
        <v/>
      </c>
      <c r="D249" s="435" t="str">
        <f>IF($B249="","",IFERROR(INDEX('E2 — Triagem'!$D$8:$D$507,MATCH($B249,'E2 — Triagem'!$B$8:$B$507,0)),""))</f>
        <v/>
      </c>
      <c r="E249" s="435"/>
      <c r="F249" s="435"/>
      <c r="G249" s="435"/>
      <c r="H249" s="435"/>
      <c r="I249" s="435"/>
      <c r="J249" s="435"/>
      <c r="K249" s="435"/>
      <c r="L249" s="436" t="str">
        <f t="shared" si="4"/>
        <v/>
      </c>
      <c r="M249" s="437"/>
      <c r="N249" s="438"/>
    </row>
    <row r="250" spans="2:14" x14ac:dyDescent="0.35">
      <c r="B250" s="433" t="str">
        <f>IF(Lançamentos!$B245="","",Lançamentos!$B245)</f>
        <v/>
      </c>
      <c r="C250" s="434" t="str">
        <f>IF($B250="","",IFERROR(INDEX(Lançamentos!$J$3:$J$1001,MATCH($B250,Lançamentos!$B$3:$B$1001,0)),""))</f>
        <v/>
      </c>
      <c r="D250" s="435" t="str">
        <f>IF($B250="","",IFERROR(INDEX('E2 — Triagem'!$D$8:$D$507,MATCH($B250,'E2 — Triagem'!$B$8:$B$507,0)),""))</f>
        <v/>
      </c>
      <c r="E250" s="435"/>
      <c r="F250" s="435"/>
      <c r="G250" s="435"/>
      <c r="H250" s="435"/>
      <c r="I250" s="435"/>
      <c r="J250" s="435"/>
      <c r="K250" s="435"/>
      <c r="L250" s="436" t="str">
        <f t="shared" si="4"/>
        <v/>
      </c>
      <c r="M250" s="437"/>
      <c r="N250" s="438"/>
    </row>
    <row r="251" spans="2:14" x14ac:dyDescent="0.35">
      <c r="B251" s="433" t="str">
        <f>IF(Lançamentos!$B246="","",Lançamentos!$B246)</f>
        <v/>
      </c>
      <c r="C251" s="434" t="str">
        <f>IF($B251="","",IFERROR(INDEX(Lançamentos!$J$3:$J$1001,MATCH($B251,Lançamentos!$B$3:$B$1001,0)),""))</f>
        <v/>
      </c>
      <c r="D251" s="435" t="str">
        <f>IF($B251="","",IFERROR(INDEX('E2 — Triagem'!$D$8:$D$507,MATCH($B251,'E2 — Triagem'!$B$8:$B$507,0)),""))</f>
        <v/>
      </c>
      <c r="E251" s="435"/>
      <c r="F251" s="435"/>
      <c r="G251" s="435"/>
      <c r="H251" s="435"/>
      <c r="I251" s="435"/>
      <c r="J251" s="435"/>
      <c r="K251" s="435"/>
      <c r="L251" s="436" t="str">
        <f t="shared" si="4"/>
        <v/>
      </c>
      <c r="M251" s="437"/>
      <c r="N251" s="438"/>
    </row>
    <row r="252" spans="2:14" x14ac:dyDescent="0.35">
      <c r="B252" s="433" t="str">
        <f>IF(Lançamentos!$B247="","",Lançamentos!$B247)</f>
        <v/>
      </c>
      <c r="C252" s="434" t="str">
        <f>IF($B252="","",IFERROR(INDEX(Lançamentos!$J$3:$J$1001,MATCH($B252,Lançamentos!$B$3:$B$1001,0)),""))</f>
        <v/>
      </c>
      <c r="D252" s="435" t="str">
        <f>IF($B252="","",IFERROR(INDEX('E2 — Triagem'!$D$8:$D$507,MATCH($B252,'E2 — Triagem'!$B$8:$B$507,0)),""))</f>
        <v/>
      </c>
      <c r="E252" s="435"/>
      <c r="F252" s="435"/>
      <c r="G252" s="435"/>
      <c r="H252" s="435"/>
      <c r="I252" s="435"/>
      <c r="J252" s="435"/>
      <c r="K252" s="435"/>
      <c r="L252" s="436" t="str">
        <f t="shared" si="4"/>
        <v/>
      </c>
      <c r="M252" s="437"/>
      <c r="N252" s="438"/>
    </row>
    <row r="253" spans="2:14" x14ac:dyDescent="0.35">
      <c r="B253" s="433" t="str">
        <f>IF(Lançamentos!$B248="","",Lançamentos!$B248)</f>
        <v/>
      </c>
      <c r="C253" s="434" t="str">
        <f>IF($B253="","",IFERROR(INDEX(Lançamentos!$J$3:$J$1001,MATCH($B253,Lançamentos!$B$3:$B$1001,0)),""))</f>
        <v/>
      </c>
      <c r="D253" s="435" t="str">
        <f>IF($B253="","",IFERROR(INDEX('E2 — Triagem'!$D$8:$D$507,MATCH($B253,'E2 — Triagem'!$B$8:$B$507,0)),""))</f>
        <v/>
      </c>
      <c r="E253" s="435"/>
      <c r="F253" s="435"/>
      <c r="G253" s="435"/>
      <c r="H253" s="435"/>
      <c r="I253" s="435"/>
      <c r="J253" s="435"/>
      <c r="K253" s="435"/>
      <c r="L253" s="436" t="str">
        <f t="shared" si="4"/>
        <v/>
      </c>
      <c r="M253" s="437"/>
      <c r="N253" s="438"/>
    </row>
    <row r="254" spans="2:14" x14ac:dyDescent="0.35">
      <c r="B254" s="433" t="str">
        <f>IF(Lançamentos!$B249="","",Lançamentos!$B249)</f>
        <v/>
      </c>
      <c r="C254" s="434" t="str">
        <f>IF($B254="","",IFERROR(INDEX(Lançamentos!$J$3:$J$1001,MATCH($B254,Lançamentos!$B$3:$B$1001,0)),""))</f>
        <v/>
      </c>
      <c r="D254" s="435" t="str">
        <f>IF($B254="","",IFERROR(INDEX('E2 — Triagem'!$D$8:$D$507,MATCH($B254,'E2 — Triagem'!$B$8:$B$507,0)),""))</f>
        <v/>
      </c>
      <c r="E254" s="435"/>
      <c r="F254" s="435"/>
      <c r="G254" s="435"/>
      <c r="H254" s="435"/>
      <c r="I254" s="435"/>
      <c r="J254" s="435"/>
      <c r="K254" s="435"/>
      <c r="L254" s="436" t="str">
        <f t="shared" si="4"/>
        <v/>
      </c>
      <c r="M254" s="437"/>
      <c r="N254" s="438"/>
    </row>
    <row r="255" spans="2:14" x14ac:dyDescent="0.35">
      <c r="B255" s="433" t="str">
        <f>IF(Lançamentos!$B250="","",Lançamentos!$B250)</f>
        <v/>
      </c>
      <c r="C255" s="434" t="str">
        <f>IF($B255="","",IFERROR(INDEX(Lançamentos!$J$3:$J$1001,MATCH($B255,Lançamentos!$B$3:$B$1001,0)),""))</f>
        <v/>
      </c>
      <c r="D255" s="435" t="str">
        <f>IF($B255="","",IFERROR(INDEX('E2 — Triagem'!$D$8:$D$507,MATCH($B255,'E2 — Triagem'!$B$8:$B$507,0)),""))</f>
        <v/>
      </c>
      <c r="E255" s="435"/>
      <c r="F255" s="435"/>
      <c r="G255" s="435"/>
      <c r="H255" s="435"/>
      <c r="I255" s="435"/>
      <c r="J255" s="435"/>
      <c r="K255" s="435"/>
      <c r="L255" s="436" t="str">
        <f t="shared" si="4"/>
        <v/>
      </c>
      <c r="M255" s="437"/>
      <c r="N255" s="438"/>
    </row>
    <row r="256" spans="2:14" x14ac:dyDescent="0.35">
      <c r="B256" s="433" t="str">
        <f>IF(Lançamentos!$B251="","",Lançamentos!$B251)</f>
        <v/>
      </c>
      <c r="C256" s="434" t="str">
        <f>IF($B256="","",IFERROR(INDEX(Lançamentos!$J$3:$J$1001,MATCH($B256,Lançamentos!$B$3:$B$1001,0)),""))</f>
        <v/>
      </c>
      <c r="D256" s="435" t="str">
        <f>IF($B256="","",IFERROR(INDEX('E2 — Triagem'!$D$8:$D$507,MATCH($B256,'E2 — Triagem'!$B$8:$B$507,0)),""))</f>
        <v/>
      </c>
      <c r="E256" s="435"/>
      <c r="F256" s="435"/>
      <c r="G256" s="435"/>
      <c r="H256" s="435"/>
      <c r="I256" s="435"/>
      <c r="J256" s="435"/>
      <c r="K256" s="435"/>
      <c r="L256" s="436" t="str">
        <f t="shared" si="4"/>
        <v/>
      </c>
      <c r="M256" s="437"/>
      <c r="N256" s="438"/>
    </row>
    <row r="257" spans="2:14" x14ac:dyDescent="0.35">
      <c r="B257" s="433" t="str">
        <f>IF(Lançamentos!$B252="","",Lançamentos!$B252)</f>
        <v/>
      </c>
      <c r="C257" s="434" t="str">
        <f>IF($B257="","",IFERROR(INDEX(Lançamentos!$J$3:$J$1001,MATCH($B257,Lançamentos!$B$3:$B$1001,0)),""))</f>
        <v/>
      </c>
      <c r="D257" s="435" t="str">
        <f>IF($B257="","",IFERROR(INDEX('E2 — Triagem'!$D$8:$D$507,MATCH($B257,'E2 — Triagem'!$B$8:$B$507,0)),""))</f>
        <v/>
      </c>
      <c r="E257" s="435"/>
      <c r="F257" s="435"/>
      <c r="G257" s="435"/>
      <c r="H257" s="435"/>
      <c r="I257" s="435"/>
      <c r="J257" s="435"/>
      <c r="K257" s="435"/>
      <c r="L257" s="436" t="str">
        <f t="shared" si="4"/>
        <v/>
      </c>
      <c r="M257" s="437"/>
      <c r="N257" s="438"/>
    </row>
    <row r="258" spans="2:14" x14ac:dyDescent="0.35">
      <c r="B258" s="433" t="str">
        <f>IF(Lançamentos!$B253="","",Lançamentos!$B253)</f>
        <v/>
      </c>
      <c r="C258" s="434" t="str">
        <f>IF($B258="","",IFERROR(INDEX(Lançamentos!$J$3:$J$1001,MATCH($B258,Lançamentos!$B$3:$B$1001,0)),""))</f>
        <v/>
      </c>
      <c r="D258" s="435" t="str">
        <f>IF($B258="","",IFERROR(INDEX('E2 — Triagem'!$D$8:$D$507,MATCH($B258,'E2 — Triagem'!$B$8:$B$507,0)),""))</f>
        <v/>
      </c>
      <c r="E258" s="435"/>
      <c r="F258" s="435"/>
      <c r="G258" s="435"/>
      <c r="H258" s="435"/>
      <c r="I258" s="435"/>
      <c r="J258" s="435"/>
      <c r="K258" s="435"/>
      <c r="L258" s="436" t="str">
        <f t="shared" si="4"/>
        <v/>
      </c>
      <c r="M258" s="437"/>
      <c r="N258" s="438"/>
    </row>
    <row r="259" spans="2:14" x14ac:dyDescent="0.35">
      <c r="B259" s="433" t="str">
        <f>IF(Lançamentos!$B254="","",Lançamentos!$B254)</f>
        <v/>
      </c>
      <c r="C259" s="434" t="str">
        <f>IF($B259="","",IFERROR(INDEX(Lançamentos!$J$3:$J$1001,MATCH($B259,Lançamentos!$B$3:$B$1001,0)),""))</f>
        <v/>
      </c>
      <c r="D259" s="435" t="str">
        <f>IF($B259="","",IFERROR(INDEX('E2 — Triagem'!$D$8:$D$507,MATCH($B259,'E2 — Triagem'!$B$8:$B$507,0)),""))</f>
        <v/>
      </c>
      <c r="E259" s="435"/>
      <c r="F259" s="435"/>
      <c r="G259" s="435"/>
      <c r="H259" s="435"/>
      <c r="I259" s="435"/>
      <c r="J259" s="435"/>
      <c r="K259" s="435"/>
      <c r="L259" s="436" t="str">
        <f t="shared" si="4"/>
        <v/>
      </c>
      <c r="M259" s="437"/>
      <c r="N259" s="438"/>
    </row>
    <row r="260" spans="2:14" x14ac:dyDescent="0.35">
      <c r="B260" s="433" t="str">
        <f>IF(Lançamentos!$B255="","",Lançamentos!$B255)</f>
        <v/>
      </c>
      <c r="C260" s="434" t="str">
        <f>IF($B260="","",IFERROR(INDEX(Lançamentos!$J$3:$J$1001,MATCH($B260,Lançamentos!$B$3:$B$1001,0)),""))</f>
        <v/>
      </c>
      <c r="D260" s="435" t="str">
        <f>IF($B260="","",IFERROR(INDEX('E2 — Triagem'!$D$8:$D$507,MATCH($B260,'E2 — Triagem'!$B$8:$B$507,0)),""))</f>
        <v/>
      </c>
      <c r="E260" s="435"/>
      <c r="F260" s="435"/>
      <c r="G260" s="435"/>
      <c r="H260" s="435"/>
      <c r="I260" s="435"/>
      <c r="J260" s="435"/>
      <c r="K260" s="435"/>
      <c r="L260" s="436" t="str">
        <f t="shared" si="4"/>
        <v/>
      </c>
      <c r="M260" s="437"/>
      <c r="N260" s="438"/>
    </row>
    <row r="261" spans="2:14" x14ac:dyDescent="0.35">
      <c r="B261" s="433" t="str">
        <f>IF(Lançamentos!$B256="","",Lançamentos!$B256)</f>
        <v/>
      </c>
      <c r="C261" s="434" t="str">
        <f>IF($B261="","",IFERROR(INDEX(Lançamentos!$J$3:$J$1001,MATCH($B261,Lançamentos!$B$3:$B$1001,0)),""))</f>
        <v/>
      </c>
      <c r="D261" s="435" t="str">
        <f>IF($B261="","",IFERROR(INDEX('E2 — Triagem'!$D$8:$D$507,MATCH($B261,'E2 — Triagem'!$B$8:$B$507,0)),""))</f>
        <v/>
      </c>
      <c r="E261" s="435"/>
      <c r="F261" s="435"/>
      <c r="G261" s="435"/>
      <c r="H261" s="435"/>
      <c r="I261" s="435"/>
      <c r="J261" s="435"/>
      <c r="K261" s="435"/>
      <c r="L261" s="436" t="str">
        <f t="shared" si="4"/>
        <v/>
      </c>
      <c r="M261" s="437"/>
      <c r="N261" s="438"/>
    </row>
    <row r="262" spans="2:14" x14ac:dyDescent="0.35">
      <c r="B262" s="433" t="str">
        <f>IF(Lançamentos!$B257="","",Lançamentos!$B257)</f>
        <v/>
      </c>
      <c r="C262" s="434" t="str">
        <f>IF($B262="","",IFERROR(INDEX(Lançamentos!$J$3:$J$1001,MATCH($B262,Lançamentos!$B$3:$B$1001,0)),""))</f>
        <v/>
      </c>
      <c r="D262" s="435" t="str">
        <f>IF($B262="","",IFERROR(INDEX('E2 — Triagem'!$D$8:$D$507,MATCH($B262,'E2 — Triagem'!$B$8:$B$507,0)),""))</f>
        <v/>
      </c>
      <c r="E262" s="435"/>
      <c r="F262" s="435"/>
      <c r="G262" s="435"/>
      <c r="H262" s="435"/>
      <c r="I262" s="435"/>
      <c r="J262" s="435"/>
      <c r="K262" s="435"/>
      <c r="L262" s="436" t="str">
        <f t="shared" si="4"/>
        <v/>
      </c>
      <c r="M262" s="437"/>
      <c r="N262" s="438"/>
    </row>
    <row r="263" spans="2:14" x14ac:dyDescent="0.35">
      <c r="B263" s="433" t="str">
        <f>IF(Lançamentos!$B258="","",Lançamentos!$B258)</f>
        <v/>
      </c>
      <c r="C263" s="434" t="str">
        <f>IF($B263="","",IFERROR(INDEX(Lançamentos!$J$3:$J$1001,MATCH($B263,Lançamentos!$B$3:$B$1001,0)),""))</f>
        <v/>
      </c>
      <c r="D263" s="435" t="str">
        <f>IF($B263="","",IFERROR(INDEX('E2 — Triagem'!$D$8:$D$507,MATCH($B263,'E2 — Triagem'!$B$8:$B$507,0)),""))</f>
        <v/>
      </c>
      <c r="E263" s="435"/>
      <c r="F263" s="435"/>
      <c r="G263" s="435"/>
      <c r="H263" s="435"/>
      <c r="I263" s="435"/>
      <c r="J263" s="435"/>
      <c r="K263" s="435"/>
      <c r="L263" s="436" t="str">
        <f t="shared" si="4"/>
        <v/>
      </c>
      <c r="M263" s="437"/>
      <c r="N263" s="438"/>
    </row>
    <row r="264" spans="2:14" x14ac:dyDescent="0.35">
      <c r="B264" s="433" t="str">
        <f>IF(Lançamentos!$B259="","",Lançamentos!$B259)</f>
        <v/>
      </c>
      <c r="C264" s="434" t="str">
        <f>IF($B264="","",IFERROR(INDEX(Lançamentos!$J$3:$J$1001,MATCH($B264,Lançamentos!$B$3:$B$1001,0)),""))</f>
        <v/>
      </c>
      <c r="D264" s="435" t="str">
        <f>IF($B264="","",IFERROR(INDEX('E2 — Triagem'!$D$8:$D$507,MATCH($B264,'E2 — Triagem'!$B$8:$B$507,0)),""))</f>
        <v/>
      </c>
      <c r="E264" s="435"/>
      <c r="F264" s="435"/>
      <c r="G264" s="435"/>
      <c r="H264" s="435"/>
      <c r="I264" s="435"/>
      <c r="J264" s="435"/>
      <c r="K264" s="435"/>
      <c r="L264" s="436" t="str">
        <f t="shared" si="4"/>
        <v/>
      </c>
      <c r="M264" s="437"/>
      <c r="N264" s="438"/>
    </row>
    <row r="265" spans="2:14" x14ac:dyDescent="0.35">
      <c r="B265" s="433" t="str">
        <f>IF(Lançamentos!$B260="","",Lançamentos!$B260)</f>
        <v/>
      </c>
      <c r="C265" s="434" t="str">
        <f>IF($B265="","",IFERROR(INDEX(Lançamentos!$J$3:$J$1001,MATCH($B265,Lançamentos!$B$3:$B$1001,0)),""))</f>
        <v/>
      </c>
      <c r="D265" s="435" t="str">
        <f>IF($B265="","",IFERROR(INDEX('E2 — Triagem'!$D$8:$D$507,MATCH($B265,'E2 — Triagem'!$B$8:$B$507,0)),""))</f>
        <v/>
      </c>
      <c r="E265" s="435"/>
      <c r="F265" s="435"/>
      <c r="G265" s="435"/>
      <c r="H265" s="435"/>
      <c r="I265" s="435"/>
      <c r="J265" s="435"/>
      <c r="K265" s="435"/>
      <c r="L265" s="436" t="str">
        <f t="shared" si="4"/>
        <v/>
      </c>
      <c r="M265" s="437"/>
      <c r="N265" s="438"/>
    </row>
    <row r="266" spans="2:14" x14ac:dyDescent="0.35">
      <c r="B266" s="433" t="str">
        <f>IF(Lançamentos!$B261="","",Lançamentos!$B261)</f>
        <v/>
      </c>
      <c r="C266" s="434" t="str">
        <f>IF($B266="","",IFERROR(INDEX(Lançamentos!$J$3:$J$1001,MATCH($B266,Lançamentos!$B$3:$B$1001,0)),""))</f>
        <v/>
      </c>
      <c r="D266" s="435" t="str">
        <f>IF($B266="","",IFERROR(INDEX('E2 — Triagem'!$D$8:$D$507,MATCH($B266,'E2 — Triagem'!$B$8:$B$507,0)),""))</f>
        <v/>
      </c>
      <c r="E266" s="435"/>
      <c r="F266" s="435"/>
      <c r="G266" s="435"/>
      <c r="H266" s="435"/>
      <c r="I266" s="435"/>
      <c r="J266" s="435"/>
      <c r="K266" s="435"/>
      <c r="L266" s="436" t="str">
        <f t="shared" si="4"/>
        <v/>
      </c>
      <c r="M266" s="437"/>
      <c r="N266" s="438"/>
    </row>
    <row r="267" spans="2:14" x14ac:dyDescent="0.35">
      <c r="B267" s="433" t="str">
        <f>IF(Lançamentos!$B262="","",Lançamentos!$B262)</f>
        <v/>
      </c>
      <c r="C267" s="434" t="str">
        <f>IF($B267="","",IFERROR(INDEX(Lançamentos!$J$3:$J$1001,MATCH($B267,Lançamentos!$B$3:$B$1001,0)),""))</f>
        <v/>
      </c>
      <c r="D267" s="435" t="str">
        <f>IF($B267="","",IFERROR(INDEX('E2 — Triagem'!$D$8:$D$507,MATCH($B267,'E2 — Triagem'!$B$8:$B$507,0)),""))</f>
        <v/>
      </c>
      <c r="E267" s="435"/>
      <c r="F267" s="435"/>
      <c r="G267" s="435"/>
      <c r="H267" s="435"/>
      <c r="I267" s="435"/>
      <c r="J267" s="435"/>
      <c r="K267" s="435"/>
      <c r="L267" s="436" t="str">
        <f t="shared" si="4"/>
        <v/>
      </c>
      <c r="M267" s="437"/>
      <c r="N267" s="438"/>
    </row>
    <row r="268" spans="2:14" x14ac:dyDescent="0.35">
      <c r="B268" s="433" t="str">
        <f>IF(Lançamentos!$B263="","",Lançamentos!$B263)</f>
        <v/>
      </c>
      <c r="C268" s="434" t="str">
        <f>IF($B268="","",IFERROR(INDEX(Lançamentos!$J$3:$J$1001,MATCH($B268,Lançamentos!$B$3:$B$1001,0)),""))</f>
        <v/>
      </c>
      <c r="D268" s="435" t="str">
        <f>IF($B268="","",IFERROR(INDEX('E2 — Triagem'!$D$8:$D$507,MATCH($B268,'E2 — Triagem'!$B$8:$B$507,0)),""))</f>
        <v/>
      </c>
      <c r="E268" s="435"/>
      <c r="F268" s="435"/>
      <c r="G268" s="435"/>
      <c r="H268" s="435"/>
      <c r="I268" s="435"/>
      <c r="J268" s="435"/>
      <c r="K268" s="435"/>
      <c r="L268" s="436" t="str">
        <f t="shared" si="4"/>
        <v/>
      </c>
      <c r="M268" s="437"/>
      <c r="N268" s="438"/>
    </row>
    <row r="269" spans="2:14" x14ac:dyDescent="0.35">
      <c r="B269" s="433" t="str">
        <f>IF(Lançamentos!$B264="","",Lançamentos!$B264)</f>
        <v/>
      </c>
      <c r="C269" s="434" t="str">
        <f>IF($B269="","",IFERROR(INDEX(Lançamentos!$J$3:$J$1001,MATCH($B269,Lançamentos!$B$3:$B$1001,0)),""))</f>
        <v/>
      </c>
      <c r="D269" s="435" t="str">
        <f>IF($B269="","",IFERROR(INDEX('E2 — Triagem'!$D$8:$D$507,MATCH($B269,'E2 — Triagem'!$B$8:$B$507,0)),""))</f>
        <v/>
      </c>
      <c r="E269" s="435"/>
      <c r="F269" s="435"/>
      <c r="G269" s="435"/>
      <c r="H269" s="435"/>
      <c r="I269" s="435"/>
      <c r="J269" s="435"/>
      <c r="K269" s="435"/>
      <c r="L269" s="436" t="str">
        <f t="shared" si="4"/>
        <v/>
      </c>
      <c r="M269" s="437"/>
      <c r="N269" s="438"/>
    </row>
    <row r="270" spans="2:14" x14ac:dyDescent="0.35">
      <c r="B270" s="433" t="str">
        <f>IF(Lançamentos!$B265="","",Lançamentos!$B265)</f>
        <v/>
      </c>
      <c r="C270" s="434" t="str">
        <f>IF($B270="","",IFERROR(INDEX(Lançamentos!$J$3:$J$1001,MATCH($B270,Lançamentos!$B$3:$B$1001,0)),""))</f>
        <v/>
      </c>
      <c r="D270" s="435" t="str">
        <f>IF($B270="","",IFERROR(INDEX('E2 — Triagem'!$D$8:$D$507,MATCH($B270,'E2 — Triagem'!$B$8:$B$507,0)),""))</f>
        <v/>
      </c>
      <c r="E270" s="435"/>
      <c r="F270" s="435"/>
      <c r="G270" s="435"/>
      <c r="H270" s="435"/>
      <c r="I270" s="435"/>
      <c r="J270" s="435"/>
      <c r="K270" s="435"/>
      <c r="L270" s="436" t="str">
        <f t="shared" si="4"/>
        <v/>
      </c>
      <c r="M270" s="437"/>
      <c r="N270" s="438"/>
    </row>
    <row r="271" spans="2:14" x14ac:dyDescent="0.35">
      <c r="B271" s="433" t="str">
        <f>IF(Lançamentos!$B266="","",Lançamentos!$B266)</f>
        <v/>
      </c>
      <c r="C271" s="434" t="str">
        <f>IF($B271="","",IFERROR(INDEX(Lançamentos!$J$3:$J$1001,MATCH($B271,Lançamentos!$B$3:$B$1001,0)),""))</f>
        <v/>
      </c>
      <c r="D271" s="435" t="str">
        <f>IF($B271="","",IFERROR(INDEX('E2 — Triagem'!$D$8:$D$507,MATCH($B271,'E2 — Triagem'!$B$8:$B$507,0)),""))</f>
        <v/>
      </c>
      <c r="E271" s="435"/>
      <c r="F271" s="435"/>
      <c r="G271" s="435"/>
      <c r="H271" s="435"/>
      <c r="I271" s="435"/>
      <c r="J271" s="435"/>
      <c r="K271" s="435"/>
      <c r="L271" s="436" t="str">
        <f t="shared" si="4"/>
        <v/>
      </c>
      <c r="M271" s="437"/>
      <c r="N271" s="438"/>
    </row>
    <row r="272" spans="2:14" x14ac:dyDescent="0.35">
      <c r="B272" s="433" t="str">
        <f>IF(Lançamentos!$B267="","",Lançamentos!$B267)</f>
        <v/>
      </c>
      <c r="C272" s="434" t="str">
        <f>IF($B272="","",IFERROR(INDEX(Lançamentos!$J$3:$J$1001,MATCH($B272,Lançamentos!$B$3:$B$1001,0)),""))</f>
        <v/>
      </c>
      <c r="D272" s="435" t="str">
        <f>IF($B272="","",IFERROR(INDEX('E2 — Triagem'!$D$8:$D$507,MATCH($B272,'E2 — Triagem'!$B$8:$B$507,0)),""))</f>
        <v/>
      </c>
      <c r="E272" s="435"/>
      <c r="F272" s="435"/>
      <c r="G272" s="435"/>
      <c r="H272" s="435"/>
      <c r="I272" s="435"/>
      <c r="J272" s="435"/>
      <c r="K272" s="435"/>
      <c r="L272" s="436" t="str">
        <f t="shared" ref="L272:L335" si="5">IF(B272="","",IF(COUNTIF(E272:K272,"N/A")=7,0,IF(COUNTIF(E272:K272,"✔ Concluído")=7,1,MIN(99%,COUNTIF(E272:K272,"✔ Concluído")/(7-COUNTIF(E272:K272,"N/A"))))))</f>
        <v/>
      </c>
      <c r="M272" s="437"/>
      <c r="N272" s="438"/>
    </row>
    <row r="273" spans="2:14" x14ac:dyDescent="0.35">
      <c r="B273" s="433" t="str">
        <f>IF(Lançamentos!$B268="","",Lançamentos!$B268)</f>
        <v/>
      </c>
      <c r="C273" s="434" t="str">
        <f>IF($B273="","",IFERROR(INDEX(Lançamentos!$J$3:$J$1001,MATCH($B273,Lançamentos!$B$3:$B$1001,0)),""))</f>
        <v/>
      </c>
      <c r="D273" s="435" t="str">
        <f>IF($B273="","",IFERROR(INDEX('E2 — Triagem'!$D$8:$D$507,MATCH($B273,'E2 — Triagem'!$B$8:$B$507,0)),""))</f>
        <v/>
      </c>
      <c r="E273" s="435"/>
      <c r="F273" s="435"/>
      <c r="G273" s="435"/>
      <c r="H273" s="435"/>
      <c r="I273" s="435"/>
      <c r="J273" s="435"/>
      <c r="K273" s="435"/>
      <c r="L273" s="436" t="str">
        <f t="shared" si="5"/>
        <v/>
      </c>
      <c r="M273" s="437"/>
      <c r="N273" s="438"/>
    </row>
    <row r="274" spans="2:14" x14ac:dyDescent="0.35">
      <c r="B274" s="433" t="str">
        <f>IF(Lançamentos!$B269="","",Lançamentos!$B269)</f>
        <v/>
      </c>
      <c r="C274" s="434" t="str">
        <f>IF($B274="","",IFERROR(INDEX(Lançamentos!$J$3:$J$1001,MATCH($B274,Lançamentos!$B$3:$B$1001,0)),""))</f>
        <v/>
      </c>
      <c r="D274" s="435" t="str">
        <f>IF($B274="","",IFERROR(INDEX('E2 — Triagem'!$D$8:$D$507,MATCH($B274,'E2 — Triagem'!$B$8:$B$507,0)),""))</f>
        <v/>
      </c>
      <c r="E274" s="435"/>
      <c r="F274" s="435"/>
      <c r="G274" s="435"/>
      <c r="H274" s="435"/>
      <c r="I274" s="435"/>
      <c r="J274" s="435"/>
      <c r="K274" s="435"/>
      <c r="L274" s="436" t="str">
        <f t="shared" si="5"/>
        <v/>
      </c>
      <c r="M274" s="437"/>
      <c r="N274" s="438"/>
    </row>
    <row r="275" spans="2:14" x14ac:dyDescent="0.35">
      <c r="B275" s="433" t="str">
        <f>IF(Lançamentos!$B270="","",Lançamentos!$B270)</f>
        <v/>
      </c>
      <c r="C275" s="434" t="str">
        <f>IF($B275="","",IFERROR(INDEX(Lançamentos!$J$3:$J$1001,MATCH($B275,Lançamentos!$B$3:$B$1001,0)),""))</f>
        <v/>
      </c>
      <c r="D275" s="435" t="str">
        <f>IF($B275="","",IFERROR(INDEX('E2 — Triagem'!$D$8:$D$507,MATCH($B275,'E2 — Triagem'!$B$8:$B$507,0)),""))</f>
        <v/>
      </c>
      <c r="E275" s="435"/>
      <c r="F275" s="435"/>
      <c r="G275" s="435"/>
      <c r="H275" s="435"/>
      <c r="I275" s="435"/>
      <c r="J275" s="435"/>
      <c r="K275" s="435"/>
      <c r="L275" s="436" t="str">
        <f t="shared" si="5"/>
        <v/>
      </c>
      <c r="M275" s="437"/>
      <c r="N275" s="438"/>
    </row>
    <row r="276" spans="2:14" x14ac:dyDescent="0.35">
      <c r="B276" s="433" t="str">
        <f>IF(Lançamentos!$B271="","",Lançamentos!$B271)</f>
        <v/>
      </c>
      <c r="C276" s="434" t="str">
        <f>IF($B276="","",IFERROR(INDEX(Lançamentos!$J$3:$J$1001,MATCH($B276,Lançamentos!$B$3:$B$1001,0)),""))</f>
        <v/>
      </c>
      <c r="D276" s="435" t="str">
        <f>IF($B276="","",IFERROR(INDEX('E2 — Triagem'!$D$8:$D$507,MATCH($B276,'E2 — Triagem'!$B$8:$B$507,0)),""))</f>
        <v/>
      </c>
      <c r="E276" s="435"/>
      <c r="F276" s="435"/>
      <c r="G276" s="435"/>
      <c r="H276" s="435"/>
      <c r="I276" s="435"/>
      <c r="J276" s="435"/>
      <c r="K276" s="435"/>
      <c r="L276" s="436" t="str">
        <f t="shared" si="5"/>
        <v/>
      </c>
      <c r="M276" s="437"/>
      <c r="N276" s="438"/>
    </row>
    <row r="277" spans="2:14" x14ac:dyDescent="0.35">
      <c r="B277" s="433" t="str">
        <f>IF(Lançamentos!$B272="","",Lançamentos!$B272)</f>
        <v/>
      </c>
      <c r="C277" s="434" t="str">
        <f>IF($B277="","",IFERROR(INDEX(Lançamentos!$J$3:$J$1001,MATCH($B277,Lançamentos!$B$3:$B$1001,0)),""))</f>
        <v/>
      </c>
      <c r="D277" s="435" t="str">
        <f>IF($B277="","",IFERROR(INDEX('E2 — Triagem'!$D$8:$D$507,MATCH($B277,'E2 — Triagem'!$B$8:$B$507,0)),""))</f>
        <v/>
      </c>
      <c r="E277" s="435"/>
      <c r="F277" s="435"/>
      <c r="G277" s="435"/>
      <c r="H277" s="435"/>
      <c r="I277" s="435"/>
      <c r="J277" s="435"/>
      <c r="K277" s="435"/>
      <c r="L277" s="436" t="str">
        <f t="shared" si="5"/>
        <v/>
      </c>
      <c r="M277" s="437"/>
      <c r="N277" s="438"/>
    </row>
    <row r="278" spans="2:14" x14ac:dyDescent="0.35">
      <c r="B278" s="433" t="str">
        <f>IF(Lançamentos!$B273="","",Lançamentos!$B273)</f>
        <v/>
      </c>
      <c r="C278" s="434" t="str">
        <f>IF($B278="","",IFERROR(INDEX(Lançamentos!$J$3:$J$1001,MATCH($B278,Lançamentos!$B$3:$B$1001,0)),""))</f>
        <v/>
      </c>
      <c r="D278" s="435" t="str">
        <f>IF($B278="","",IFERROR(INDEX('E2 — Triagem'!$D$8:$D$507,MATCH($B278,'E2 — Triagem'!$B$8:$B$507,0)),""))</f>
        <v/>
      </c>
      <c r="E278" s="435"/>
      <c r="F278" s="435"/>
      <c r="G278" s="435"/>
      <c r="H278" s="435"/>
      <c r="I278" s="435"/>
      <c r="J278" s="435"/>
      <c r="K278" s="435"/>
      <c r="L278" s="436" t="str">
        <f t="shared" si="5"/>
        <v/>
      </c>
      <c r="M278" s="437"/>
      <c r="N278" s="438"/>
    </row>
    <row r="279" spans="2:14" x14ac:dyDescent="0.35">
      <c r="B279" s="433" t="str">
        <f>IF(Lançamentos!$B274="","",Lançamentos!$B274)</f>
        <v/>
      </c>
      <c r="C279" s="434" t="str">
        <f>IF($B279="","",IFERROR(INDEX(Lançamentos!$J$3:$J$1001,MATCH($B279,Lançamentos!$B$3:$B$1001,0)),""))</f>
        <v/>
      </c>
      <c r="D279" s="435" t="str">
        <f>IF($B279="","",IFERROR(INDEX('E2 — Triagem'!$D$8:$D$507,MATCH($B279,'E2 — Triagem'!$B$8:$B$507,0)),""))</f>
        <v/>
      </c>
      <c r="E279" s="435"/>
      <c r="F279" s="435"/>
      <c r="G279" s="435"/>
      <c r="H279" s="435"/>
      <c r="I279" s="435"/>
      <c r="J279" s="435"/>
      <c r="K279" s="435"/>
      <c r="L279" s="436" t="str">
        <f t="shared" si="5"/>
        <v/>
      </c>
      <c r="M279" s="437"/>
      <c r="N279" s="438"/>
    </row>
    <row r="280" spans="2:14" x14ac:dyDescent="0.35">
      <c r="B280" s="433" t="str">
        <f>IF(Lançamentos!$B275="","",Lançamentos!$B275)</f>
        <v/>
      </c>
      <c r="C280" s="434" t="str">
        <f>IF($B280="","",IFERROR(INDEX(Lançamentos!$J$3:$J$1001,MATCH($B280,Lançamentos!$B$3:$B$1001,0)),""))</f>
        <v/>
      </c>
      <c r="D280" s="435" t="str">
        <f>IF($B280="","",IFERROR(INDEX('E2 — Triagem'!$D$8:$D$507,MATCH($B280,'E2 — Triagem'!$B$8:$B$507,0)),""))</f>
        <v/>
      </c>
      <c r="E280" s="435"/>
      <c r="F280" s="435"/>
      <c r="G280" s="435"/>
      <c r="H280" s="435"/>
      <c r="I280" s="435"/>
      <c r="J280" s="435"/>
      <c r="K280" s="435"/>
      <c r="L280" s="436" t="str">
        <f t="shared" si="5"/>
        <v/>
      </c>
      <c r="M280" s="437"/>
      <c r="N280" s="438"/>
    </row>
    <row r="281" spans="2:14" x14ac:dyDescent="0.35">
      <c r="B281" s="433" t="str">
        <f>IF(Lançamentos!$B276="","",Lançamentos!$B276)</f>
        <v/>
      </c>
      <c r="C281" s="434" t="str">
        <f>IF($B281="","",IFERROR(INDEX(Lançamentos!$J$3:$J$1001,MATCH($B281,Lançamentos!$B$3:$B$1001,0)),""))</f>
        <v/>
      </c>
      <c r="D281" s="435" t="str">
        <f>IF($B281="","",IFERROR(INDEX('E2 — Triagem'!$D$8:$D$507,MATCH($B281,'E2 — Triagem'!$B$8:$B$507,0)),""))</f>
        <v/>
      </c>
      <c r="E281" s="435"/>
      <c r="F281" s="435"/>
      <c r="G281" s="435"/>
      <c r="H281" s="435"/>
      <c r="I281" s="435"/>
      <c r="J281" s="435"/>
      <c r="K281" s="435"/>
      <c r="L281" s="436" t="str">
        <f t="shared" si="5"/>
        <v/>
      </c>
      <c r="M281" s="437"/>
      <c r="N281" s="438"/>
    </row>
    <row r="282" spans="2:14" x14ac:dyDescent="0.35">
      <c r="B282" s="433" t="str">
        <f>IF(Lançamentos!$B277="","",Lançamentos!$B277)</f>
        <v/>
      </c>
      <c r="C282" s="434" t="str">
        <f>IF($B282="","",IFERROR(INDEX(Lançamentos!$J$3:$J$1001,MATCH($B282,Lançamentos!$B$3:$B$1001,0)),""))</f>
        <v/>
      </c>
      <c r="D282" s="435" t="str">
        <f>IF($B282="","",IFERROR(INDEX('E2 — Triagem'!$D$8:$D$507,MATCH($B282,'E2 — Triagem'!$B$8:$B$507,0)),""))</f>
        <v/>
      </c>
      <c r="E282" s="435"/>
      <c r="F282" s="435"/>
      <c r="G282" s="435"/>
      <c r="H282" s="435"/>
      <c r="I282" s="435"/>
      <c r="J282" s="435"/>
      <c r="K282" s="435"/>
      <c r="L282" s="436" t="str">
        <f t="shared" si="5"/>
        <v/>
      </c>
      <c r="M282" s="437"/>
      <c r="N282" s="438"/>
    </row>
    <row r="283" spans="2:14" x14ac:dyDescent="0.35">
      <c r="B283" s="433" t="str">
        <f>IF(Lançamentos!$B278="","",Lançamentos!$B278)</f>
        <v/>
      </c>
      <c r="C283" s="434" t="str">
        <f>IF($B283="","",IFERROR(INDEX(Lançamentos!$J$3:$J$1001,MATCH($B283,Lançamentos!$B$3:$B$1001,0)),""))</f>
        <v/>
      </c>
      <c r="D283" s="435" t="str">
        <f>IF($B283="","",IFERROR(INDEX('E2 — Triagem'!$D$8:$D$507,MATCH($B283,'E2 — Triagem'!$B$8:$B$507,0)),""))</f>
        <v/>
      </c>
      <c r="E283" s="435"/>
      <c r="F283" s="435"/>
      <c r="G283" s="435"/>
      <c r="H283" s="435"/>
      <c r="I283" s="435"/>
      <c r="J283" s="435"/>
      <c r="K283" s="435"/>
      <c r="L283" s="436" t="str">
        <f t="shared" si="5"/>
        <v/>
      </c>
      <c r="M283" s="437"/>
      <c r="N283" s="438"/>
    </row>
    <row r="284" spans="2:14" x14ac:dyDescent="0.35">
      <c r="B284" s="433" t="str">
        <f>IF(Lançamentos!$B279="","",Lançamentos!$B279)</f>
        <v/>
      </c>
      <c r="C284" s="434" t="str">
        <f>IF($B284="","",IFERROR(INDEX(Lançamentos!$J$3:$J$1001,MATCH($B284,Lançamentos!$B$3:$B$1001,0)),""))</f>
        <v/>
      </c>
      <c r="D284" s="435" t="str">
        <f>IF($B284="","",IFERROR(INDEX('E2 — Triagem'!$D$8:$D$507,MATCH($B284,'E2 — Triagem'!$B$8:$B$507,0)),""))</f>
        <v/>
      </c>
      <c r="E284" s="435"/>
      <c r="F284" s="435"/>
      <c r="G284" s="435"/>
      <c r="H284" s="435"/>
      <c r="I284" s="435"/>
      <c r="J284" s="435"/>
      <c r="K284" s="435"/>
      <c r="L284" s="436" t="str">
        <f t="shared" si="5"/>
        <v/>
      </c>
      <c r="M284" s="437"/>
      <c r="N284" s="438"/>
    </row>
    <row r="285" spans="2:14" x14ac:dyDescent="0.35">
      <c r="B285" s="433" t="str">
        <f>IF(Lançamentos!$B280="","",Lançamentos!$B280)</f>
        <v/>
      </c>
      <c r="C285" s="434" t="str">
        <f>IF($B285="","",IFERROR(INDEX(Lançamentos!$J$3:$J$1001,MATCH($B285,Lançamentos!$B$3:$B$1001,0)),""))</f>
        <v/>
      </c>
      <c r="D285" s="435" t="str">
        <f>IF($B285="","",IFERROR(INDEX('E2 — Triagem'!$D$8:$D$507,MATCH($B285,'E2 — Triagem'!$B$8:$B$507,0)),""))</f>
        <v/>
      </c>
      <c r="E285" s="435"/>
      <c r="F285" s="435"/>
      <c r="G285" s="435"/>
      <c r="H285" s="435"/>
      <c r="I285" s="435"/>
      <c r="J285" s="435"/>
      <c r="K285" s="435"/>
      <c r="L285" s="436" t="str">
        <f t="shared" si="5"/>
        <v/>
      </c>
      <c r="M285" s="437"/>
      <c r="N285" s="438"/>
    </row>
    <row r="286" spans="2:14" x14ac:dyDescent="0.35">
      <c r="B286" s="433" t="str">
        <f>IF(Lançamentos!$B281="","",Lançamentos!$B281)</f>
        <v/>
      </c>
      <c r="C286" s="434" t="str">
        <f>IF($B286="","",IFERROR(INDEX(Lançamentos!$J$3:$J$1001,MATCH($B286,Lançamentos!$B$3:$B$1001,0)),""))</f>
        <v/>
      </c>
      <c r="D286" s="435" t="str">
        <f>IF($B286="","",IFERROR(INDEX('E2 — Triagem'!$D$8:$D$507,MATCH($B286,'E2 — Triagem'!$B$8:$B$507,0)),""))</f>
        <v/>
      </c>
      <c r="E286" s="435"/>
      <c r="F286" s="435"/>
      <c r="G286" s="435"/>
      <c r="H286" s="435"/>
      <c r="I286" s="435"/>
      <c r="J286" s="435"/>
      <c r="K286" s="435"/>
      <c r="L286" s="436" t="str">
        <f t="shared" si="5"/>
        <v/>
      </c>
      <c r="M286" s="437"/>
      <c r="N286" s="438"/>
    </row>
    <row r="287" spans="2:14" x14ac:dyDescent="0.35">
      <c r="B287" s="433" t="str">
        <f>IF(Lançamentos!$B282="","",Lançamentos!$B282)</f>
        <v/>
      </c>
      <c r="C287" s="434" t="str">
        <f>IF($B287="","",IFERROR(INDEX(Lançamentos!$J$3:$J$1001,MATCH($B287,Lançamentos!$B$3:$B$1001,0)),""))</f>
        <v/>
      </c>
      <c r="D287" s="435" t="str">
        <f>IF($B287="","",IFERROR(INDEX('E2 — Triagem'!$D$8:$D$507,MATCH($B287,'E2 — Triagem'!$B$8:$B$507,0)),""))</f>
        <v/>
      </c>
      <c r="E287" s="435"/>
      <c r="F287" s="435"/>
      <c r="G287" s="435"/>
      <c r="H287" s="435"/>
      <c r="I287" s="435"/>
      <c r="J287" s="435"/>
      <c r="K287" s="435"/>
      <c r="L287" s="436" t="str">
        <f t="shared" si="5"/>
        <v/>
      </c>
      <c r="M287" s="437"/>
      <c r="N287" s="438"/>
    </row>
    <row r="288" spans="2:14" x14ac:dyDescent="0.35">
      <c r="B288" s="433" t="str">
        <f>IF(Lançamentos!$B283="","",Lançamentos!$B283)</f>
        <v/>
      </c>
      <c r="C288" s="434" t="str">
        <f>IF($B288="","",IFERROR(INDEX(Lançamentos!$J$3:$J$1001,MATCH($B288,Lançamentos!$B$3:$B$1001,0)),""))</f>
        <v/>
      </c>
      <c r="D288" s="435" t="str">
        <f>IF($B288="","",IFERROR(INDEX('E2 — Triagem'!$D$8:$D$507,MATCH($B288,'E2 — Triagem'!$B$8:$B$507,0)),""))</f>
        <v/>
      </c>
      <c r="E288" s="435"/>
      <c r="F288" s="435"/>
      <c r="G288" s="435"/>
      <c r="H288" s="435"/>
      <c r="I288" s="435"/>
      <c r="J288" s="435"/>
      <c r="K288" s="435"/>
      <c r="L288" s="436" t="str">
        <f t="shared" si="5"/>
        <v/>
      </c>
      <c r="M288" s="437"/>
      <c r="N288" s="438"/>
    </row>
    <row r="289" spans="2:14" x14ac:dyDescent="0.35">
      <c r="B289" s="433" t="str">
        <f>IF(Lançamentos!$B284="","",Lançamentos!$B284)</f>
        <v/>
      </c>
      <c r="C289" s="434" t="str">
        <f>IF($B289="","",IFERROR(INDEX(Lançamentos!$J$3:$J$1001,MATCH($B289,Lançamentos!$B$3:$B$1001,0)),""))</f>
        <v/>
      </c>
      <c r="D289" s="435" t="str">
        <f>IF($B289="","",IFERROR(INDEX('E2 — Triagem'!$D$8:$D$507,MATCH($B289,'E2 — Triagem'!$B$8:$B$507,0)),""))</f>
        <v/>
      </c>
      <c r="E289" s="435"/>
      <c r="F289" s="435"/>
      <c r="G289" s="435"/>
      <c r="H289" s="435"/>
      <c r="I289" s="435"/>
      <c r="J289" s="435"/>
      <c r="K289" s="435"/>
      <c r="L289" s="436" t="str">
        <f t="shared" si="5"/>
        <v/>
      </c>
      <c r="M289" s="437"/>
      <c r="N289" s="438"/>
    </row>
    <row r="290" spans="2:14" x14ac:dyDescent="0.35">
      <c r="B290" s="433" t="str">
        <f>IF(Lançamentos!$B285="","",Lançamentos!$B285)</f>
        <v/>
      </c>
      <c r="C290" s="434" t="str">
        <f>IF($B290="","",IFERROR(INDEX(Lançamentos!$J$3:$J$1001,MATCH($B290,Lançamentos!$B$3:$B$1001,0)),""))</f>
        <v/>
      </c>
      <c r="D290" s="435" t="str">
        <f>IF($B290="","",IFERROR(INDEX('E2 — Triagem'!$D$8:$D$507,MATCH($B290,'E2 — Triagem'!$B$8:$B$507,0)),""))</f>
        <v/>
      </c>
      <c r="E290" s="435"/>
      <c r="F290" s="435"/>
      <c r="G290" s="435"/>
      <c r="H290" s="435"/>
      <c r="I290" s="435"/>
      <c r="J290" s="435"/>
      <c r="K290" s="435"/>
      <c r="L290" s="436" t="str">
        <f t="shared" si="5"/>
        <v/>
      </c>
      <c r="M290" s="437"/>
      <c r="N290" s="438"/>
    </row>
    <row r="291" spans="2:14" x14ac:dyDescent="0.35">
      <c r="B291" s="433" t="str">
        <f>IF(Lançamentos!$B286="","",Lançamentos!$B286)</f>
        <v/>
      </c>
      <c r="C291" s="434" t="str">
        <f>IF($B291="","",IFERROR(INDEX(Lançamentos!$J$3:$J$1001,MATCH($B291,Lançamentos!$B$3:$B$1001,0)),""))</f>
        <v/>
      </c>
      <c r="D291" s="435" t="str">
        <f>IF($B291="","",IFERROR(INDEX('E2 — Triagem'!$D$8:$D$507,MATCH($B291,'E2 — Triagem'!$B$8:$B$507,0)),""))</f>
        <v/>
      </c>
      <c r="E291" s="435"/>
      <c r="F291" s="435"/>
      <c r="G291" s="435"/>
      <c r="H291" s="435"/>
      <c r="I291" s="435"/>
      <c r="J291" s="435"/>
      <c r="K291" s="435"/>
      <c r="L291" s="436" t="str">
        <f t="shared" si="5"/>
        <v/>
      </c>
      <c r="M291" s="437"/>
      <c r="N291" s="438"/>
    </row>
    <row r="292" spans="2:14" x14ac:dyDescent="0.35">
      <c r="B292" s="433" t="str">
        <f>IF(Lançamentos!$B287="","",Lançamentos!$B287)</f>
        <v/>
      </c>
      <c r="C292" s="434" t="str">
        <f>IF($B292="","",IFERROR(INDEX(Lançamentos!$J$3:$J$1001,MATCH($B292,Lançamentos!$B$3:$B$1001,0)),""))</f>
        <v/>
      </c>
      <c r="D292" s="435" t="str">
        <f>IF($B292="","",IFERROR(INDEX('E2 — Triagem'!$D$8:$D$507,MATCH($B292,'E2 — Triagem'!$B$8:$B$507,0)),""))</f>
        <v/>
      </c>
      <c r="E292" s="435"/>
      <c r="F292" s="435"/>
      <c r="G292" s="435"/>
      <c r="H292" s="435"/>
      <c r="I292" s="435"/>
      <c r="J292" s="435"/>
      <c r="K292" s="435"/>
      <c r="L292" s="436" t="str">
        <f t="shared" si="5"/>
        <v/>
      </c>
      <c r="M292" s="437"/>
      <c r="N292" s="438"/>
    </row>
    <row r="293" spans="2:14" x14ac:dyDescent="0.35">
      <c r="B293" s="433" t="str">
        <f>IF(Lançamentos!$B288="","",Lançamentos!$B288)</f>
        <v/>
      </c>
      <c r="C293" s="434" t="str">
        <f>IF($B293="","",IFERROR(INDEX(Lançamentos!$J$3:$J$1001,MATCH($B293,Lançamentos!$B$3:$B$1001,0)),""))</f>
        <v/>
      </c>
      <c r="D293" s="435" t="str">
        <f>IF($B293="","",IFERROR(INDEX('E2 — Triagem'!$D$8:$D$507,MATCH($B293,'E2 — Triagem'!$B$8:$B$507,0)),""))</f>
        <v/>
      </c>
      <c r="E293" s="435"/>
      <c r="F293" s="435"/>
      <c r="G293" s="435"/>
      <c r="H293" s="435"/>
      <c r="I293" s="435"/>
      <c r="J293" s="435"/>
      <c r="K293" s="435"/>
      <c r="L293" s="436" t="str">
        <f t="shared" si="5"/>
        <v/>
      </c>
      <c r="M293" s="437"/>
      <c r="N293" s="438"/>
    </row>
    <row r="294" spans="2:14" x14ac:dyDescent="0.35">
      <c r="B294" s="433" t="str">
        <f>IF(Lançamentos!$B289="","",Lançamentos!$B289)</f>
        <v/>
      </c>
      <c r="C294" s="434" t="str">
        <f>IF($B294="","",IFERROR(INDEX(Lançamentos!$J$3:$J$1001,MATCH($B294,Lançamentos!$B$3:$B$1001,0)),""))</f>
        <v/>
      </c>
      <c r="D294" s="435" t="str">
        <f>IF($B294="","",IFERROR(INDEX('E2 — Triagem'!$D$8:$D$507,MATCH($B294,'E2 — Triagem'!$B$8:$B$507,0)),""))</f>
        <v/>
      </c>
      <c r="E294" s="435"/>
      <c r="F294" s="435"/>
      <c r="G294" s="435"/>
      <c r="H294" s="435"/>
      <c r="I294" s="435"/>
      <c r="J294" s="435"/>
      <c r="K294" s="435"/>
      <c r="L294" s="436" t="str">
        <f t="shared" si="5"/>
        <v/>
      </c>
      <c r="M294" s="437"/>
      <c r="N294" s="438"/>
    </row>
    <row r="295" spans="2:14" x14ac:dyDescent="0.35">
      <c r="B295" s="433" t="str">
        <f>IF(Lançamentos!$B290="","",Lançamentos!$B290)</f>
        <v/>
      </c>
      <c r="C295" s="434" t="str">
        <f>IF($B295="","",IFERROR(INDEX(Lançamentos!$J$3:$J$1001,MATCH($B295,Lançamentos!$B$3:$B$1001,0)),""))</f>
        <v/>
      </c>
      <c r="D295" s="435" t="str">
        <f>IF($B295="","",IFERROR(INDEX('E2 — Triagem'!$D$8:$D$507,MATCH($B295,'E2 — Triagem'!$B$8:$B$507,0)),""))</f>
        <v/>
      </c>
      <c r="E295" s="435"/>
      <c r="F295" s="435"/>
      <c r="G295" s="435"/>
      <c r="H295" s="435"/>
      <c r="I295" s="435"/>
      <c r="J295" s="435"/>
      <c r="K295" s="435"/>
      <c r="L295" s="436" t="str">
        <f t="shared" si="5"/>
        <v/>
      </c>
      <c r="M295" s="437"/>
      <c r="N295" s="438"/>
    </row>
    <row r="296" spans="2:14" x14ac:dyDescent="0.35">
      <c r="B296" s="433" t="str">
        <f>IF(Lançamentos!$B291="","",Lançamentos!$B291)</f>
        <v/>
      </c>
      <c r="C296" s="434" t="str">
        <f>IF($B296="","",IFERROR(INDEX(Lançamentos!$J$3:$J$1001,MATCH($B296,Lançamentos!$B$3:$B$1001,0)),""))</f>
        <v/>
      </c>
      <c r="D296" s="435" t="str">
        <f>IF($B296="","",IFERROR(INDEX('E2 — Triagem'!$D$8:$D$507,MATCH($B296,'E2 — Triagem'!$B$8:$B$507,0)),""))</f>
        <v/>
      </c>
      <c r="E296" s="435"/>
      <c r="F296" s="435"/>
      <c r="G296" s="435"/>
      <c r="H296" s="435"/>
      <c r="I296" s="435"/>
      <c r="J296" s="435"/>
      <c r="K296" s="435"/>
      <c r="L296" s="436" t="str">
        <f t="shared" si="5"/>
        <v/>
      </c>
      <c r="M296" s="437"/>
      <c r="N296" s="438"/>
    </row>
    <row r="297" spans="2:14" x14ac:dyDescent="0.35">
      <c r="B297" s="433" t="str">
        <f>IF(Lançamentos!$B292="","",Lançamentos!$B292)</f>
        <v/>
      </c>
      <c r="C297" s="434" t="str">
        <f>IF($B297="","",IFERROR(INDEX(Lançamentos!$J$3:$J$1001,MATCH($B297,Lançamentos!$B$3:$B$1001,0)),""))</f>
        <v/>
      </c>
      <c r="D297" s="435" t="str">
        <f>IF($B297="","",IFERROR(INDEX('E2 — Triagem'!$D$8:$D$507,MATCH($B297,'E2 — Triagem'!$B$8:$B$507,0)),""))</f>
        <v/>
      </c>
      <c r="E297" s="435"/>
      <c r="F297" s="435"/>
      <c r="G297" s="435"/>
      <c r="H297" s="435"/>
      <c r="I297" s="435"/>
      <c r="J297" s="435"/>
      <c r="K297" s="435"/>
      <c r="L297" s="436" t="str">
        <f t="shared" si="5"/>
        <v/>
      </c>
      <c r="M297" s="437"/>
      <c r="N297" s="438"/>
    </row>
    <row r="298" spans="2:14" x14ac:dyDescent="0.35">
      <c r="B298" s="433" t="str">
        <f>IF(Lançamentos!$B293="","",Lançamentos!$B293)</f>
        <v/>
      </c>
      <c r="C298" s="434" t="str">
        <f>IF($B298="","",IFERROR(INDEX(Lançamentos!$J$3:$J$1001,MATCH($B298,Lançamentos!$B$3:$B$1001,0)),""))</f>
        <v/>
      </c>
      <c r="D298" s="435" t="str">
        <f>IF($B298="","",IFERROR(INDEX('E2 — Triagem'!$D$8:$D$507,MATCH($B298,'E2 — Triagem'!$B$8:$B$507,0)),""))</f>
        <v/>
      </c>
      <c r="E298" s="435"/>
      <c r="F298" s="435"/>
      <c r="G298" s="435"/>
      <c r="H298" s="435"/>
      <c r="I298" s="435"/>
      <c r="J298" s="435"/>
      <c r="K298" s="435"/>
      <c r="L298" s="436" t="str">
        <f t="shared" si="5"/>
        <v/>
      </c>
      <c r="M298" s="437"/>
      <c r="N298" s="438"/>
    </row>
    <row r="299" spans="2:14" x14ac:dyDescent="0.35">
      <c r="B299" s="433" t="str">
        <f>IF(Lançamentos!$B294="","",Lançamentos!$B294)</f>
        <v/>
      </c>
      <c r="C299" s="434" t="str">
        <f>IF($B299="","",IFERROR(INDEX(Lançamentos!$J$3:$J$1001,MATCH($B299,Lançamentos!$B$3:$B$1001,0)),""))</f>
        <v/>
      </c>
      <c r="D299" s="435" t="str">
        <f>IF($B299="","",IFERROR(INDEX('E2 — Triagem'!$D$8:$D$507,MATCH($B299,'E2 — Triagem'!$B$8:$B$507,0)),""))</f>
        <v/>
      </c>
      <c r="E299" s="435"/>
      <c r="F299" s="435"/>
      <c r="G299" s="435"/>
      <c r="H299" s="435"/>
      <c r="I299" s="435"/>
      <c r="J299" s="435"/>
      <c r="K299" s="435"/>
      <c r="L299" s="436" t="str">
        <f t="shared" si="5"/>
        <v/>
      </c>
      <c r="M299" s="437"/>
      <c r="N299" s="438"/>
    </row>
    <row r="300" spans="2:14" x14ac:dyDescent="0.35">
      <c r="B300" s="433" t="str">
        <f>IF(Lançamentos!$B295="","",Lançamentos!$B295)</f>
        <v/>
      </c>
      <c r="C300" s="434" t="str">
        <f>IF($B300="","",IFERROR(INDEX(Lançamentos!$J$3:$J$1001,MATCH($B300,Lançamentos!$B$3:$B$1001,0)),""))</f>
        <v/>
      </c>
      <c r="D300" s="435" t="str">
        <f>IF($B300="","",IFERROR(INDEX('E2 — Triagem'!$D$8:$D$507,MATCH($B300,'E2 — Triagem'!$B$8:$B$507,0)),""))</f>
        <v/>
      </c>
      <c r="E300" s="435"/>
      <c r="F300" s="435"/>
      <c r="G300" s="435"/>
      <c r="H300" s="435"/>
      <c r="I300" s="435"/>
      <c r="J300" s="435"/>
      <c r="K300" s="435"/>
      <c r="L300" s="436" t="str">
        <f t="shared" si="5"/>
        <v/>
      </c>
      <c r="M300" s="437"/>
      <c r="N300" s="438"/>
    </row>
    <row r="301" spans="2:14" x14ac:dyDescent="0.35">
      <c r="B301" s="433" t="str">
        <f>IF(Lançamentos!$B296="","",Lançamentos!$B296)</f>
        <v/>
      </c>
      <c r="C301" s="434" t="str">
        <f>IF($B301="","",IFERROR(INDEX(Lançamentos!$J$3:$J$1001,MATCH($B301,Lançamentos!$B$3:$B$1001,0)),""))</f>
        <v/>
      </c>
      <c r="D301" s="435" t="str">
        <f>IF($B301="","",IFERROR(INDEX('E2 — Triagem'!$D$8:$D$507,MATCH($B301,'E2 — Triagem'!$B$8:$B$507,0)),""))</f>
        <v/>
      </c>
      <c r="E301" s="435"/>
      <c r="F301" s="435"/>
      <c r="G301" s="435"/>
      <c r="H301" s="435"/>
      <c r="I301" s="435"/>
      <c r="J301" s="435"/>
      <c r="K301" s="435"/>
      <c r="L301" s="436" t="str">
        <f t="shared" si="5"/>
        <v/>
      </c>
      <c r="M301" s="437"/>
      <c r="N301" s="438"/>
    </row>
    <row r="302" spans="2:14" x14ac:dyDescent="0.35">
      <c r="B302" s="433" t="str">
        <f>IF(Lançamentos!$B297="","",Lançamentos!$B297)</f>
        <v/>
      </c>
      <c r="C302" s="434" t="str">
        <f>IF($B302="","",IFERROR(INDEX(Lançamentos!$J$3:$J$1001,MATCH($B302,Lançamentos!$B$3:$B$1001,0)),""))</f>
        <v/>
      </c>
      <c r="D302" s="435" t="str">
        <f>IF($B302="","",IFERROR(INDEX('E2 — Triagem'!$D$8:$D$507,MATCH($B302,'E2 — Triagem'!$B$8:$B$507,0)),""))</f>
        <v/>
      </c>
      <c r="E302" s="435"/>
      <c r="F302" s="435"/>
      <c r="G302" s="435"/>
      <c r="H302" s="435"/>
      <c r="I302" s="435"/>
      <c r="J302" s="435"/>
      <c r="K302" s="435"/>
      <c r="L302" s="436" t="str">
        <f t="shared" si="5"/>
        <v/>
      </c>
      <c r="M302" s="437"/>
      <c r="N302" s="438"/>
    </row>
    <row r="303" spans="2:14" x14ac:dyDescent="0.35">
      <c r="B303" s="433" t="str">
        <f>IF(Lançamentos!$B298="","",Lançamentos!$B298)</f>
        <v/>
      </c>
      <c r="C303" s="434" t="str">
        <f>IF($B303="","",IFERROR(INDEX(Lançamentos!$J$3:$J$1001,MATCH($B303,Lançamentos!$B$3:$B$1001,0)),""))</f>
        <v/>
      </c>
      <c r="D303" s="435" t="str">
        <f>IF($B303="","",IFERROR(INDEX('E2 — Triagem'!$D$8:$D$507,MATCH($B303,'E2 — Triagem'!$B$8:$B$507,0)),""))</f>
        <v/>
      </c>
      <c r="E303" s="435"/>
      <c r="F303" s="435"/>
      <c r="G303" s="435"/>
      <c r="H303" s="435"/>
      <c r="I303" s="435"/>
      <c r="J303" s="435"/>
      <c r="K303" s="435"/>
      <c r="L303" s="436" t="str">
        <f t="shared" si="5"/>
        <v/>
      </c>
      <c r="M303" s="437"/>
      <c r="N303" s="438"/>
    </row>
    <row r="304" spans="2:14" x14ac:dyDescent="0.35">
      <c r="B304" s="433" t="str">
        <f>IF(Lançamentos!$B299="","",Lançamentos!$B299)</f>
        <v/>
      </c>
      <c r="C304" s="434" t="str">
        <f>IF($B304="","",IFERROR(INDEX(Lançamentos!$J$3:$J$1001,MATCH($B304,Lançamentos!$B$3:$B$1001,0)),""))</f>
        <v/>
      </c>
      <c r="D304" s="435" t="str">
        <f>IF($B304="","",IFERROR(INDEX('E2 — Triagem'!$D$8:$D$507,MATCH($B304,'E2 — Triagem'!$B$8:$B$507,0)),""))</f>
        <v/>
      </c>
      <c r="E304" s="435"/>
      <c r="F304" s="435"/>
      <c r="G304" s="435"/>
      <c r="H304" s="435"/>
      <c r="I304" s="435"/>
      <c r="J304" s="435"/>
      <c r="K304" s="435"/>
      <c r="L304" s="436" t="str">
        <f t="shared" si="5"/>
        <v/>
      </c>
      <c r="M304" s="437"/>
      <c r="N304" s="438"/>
    </row>
    <row r="305" spans="2:14" x14ac:dyDescent="0.35">
      <c r="B305" s="433" t="str">
        <f>IF(Lançamentos!$B300="","",Lançamentos!$B300)</f>
        <v/>
      </c>
      <c r="C305" s="434" t="str">
        <f>IF($B305="","",IFERROR(INDEX(Lançamentos!$J$3:$J$1001,MATCH($B305,Lançamentos!$B$3:$B$1001,0)),""))</f>
        <v/>
      </c>
      <c r="D305" s="435" t="str">
        <f>IF($B305="","",IFERROR(INDEX('E2 — Triagem'!$D$8:$D$507,MATCH($B305,'E2 — Triagem'!$B$8:$B$507,0)),""))</f>
        <v/>
      </c>
      <c r="E305" s="435"/>
      <c r="F305" s="435"/>
      <c r="G305" s="435"/>
      <c r="H305" s="435"/>
      <c r="I305" s="435"/>
      <c r="J305" s="435"/>
      <c r="K305" s="435"/>
      <c r="L305" s="436" t="str">
        <f t="shared" si="5"/>
        <v/>
      </c>
      <c r="M305" s="437"/>
      <c r="N305" s="438"/>
    </row>
    <row r="306" spans="2:14" x14ac:dyDescent="0.35">
      <c r="B306" s="433" t="str">
        <f>IF(Lançamentos!$B301="","",Lançamentos!$B301)</f>
        <v/>
      </c>
      <c r="C306" s="434" t="str">
        <f>IF($B306="","",IFERROR(INDEX(Lançamentos!$J$3:$J$1001,MATCH($B306,Lançamentos!$B$3:$B$1001,0)),""))</f>
        <v/>
      </c>
      <c r="D306" s="435" t="str">
        <f>IF($B306="","",IFERROR(INDEX('E2 — Triagem'!$D$8:$D$507,MATCH($B306,'E2 — Triagem'!$B$8:$B$507,0)),""))</f>
        <v/>
      </c>
      <c r="E306" s="435"/>
      <c r="F306" s="435"/>
      <c r="G306" s="435"/>
      <c r="H306" s="435"/>
      <c r="I306" s="435"/>
      <c r="J306" s="435"/>
      <c r="K306" s="435"/>
      <c r="L306" s="436" t="str">
        <f t="shared" si="5"/>
        <v/>
      </c>
      <c r="M306" s="437"/>
      <c r="N306" s="438"/>
    </row>
    <row r="307" spans="2:14" x14ac:dyDescent="0.35">
      <c r="B307" s="433" t="str">
        <f>IF(Lançamentos!$B302="","",Lançamentos!$B302)</f>
        <v/>
      </c>
      <c r="C307" s="434" t="str">
        <f>IF($B307="","",IFERROR(INDEX(Lançamentos!$J$3:$J$1001,MATCH($B307,Lançamentos!$B$3:$B$1001,0)),""))</f>
        <v/>
      </c>
      <c r="D307" s="435" t="str">
        <f>IF($B307="","",IFERROR(INDEX('E2 — Triagem'!$D$8:$D$507,MATCH($B307,'E2 — Triagem'!$B$8:$B$507,0)),""))</f>
        <v/>
      </c>
      <c r="E307" s="435"/>
      <c r="F307" s="435"/>
      <c r="G307" s="435"/>
      <c r="H307" s="435"/>
      <c r="I307" s="435"/>
      <c r="J307" s="435"/>
      <c r="K307" s="435"/>
      <c r="L307" s="436" t="str">
        <f t="shared" si="5"/>
        <v/>
      </c>
      <c r="M307" s="437"/>
      <c r="N307" s="438"/>
    </row>
    <row r="308" spans="2:14" x14ac:dyDescent="0.35">
      <c r="B308" s="433" t="str">
        <f>IF(Lançamentos!$B303="","",Lançamentos!$B303)</f>
        <v/>
      </c>
      <c r="C308" s="434" t="str">
        <f>IF($B308="","",IFERROR(INDEX(Lançamentos!$J$3:$J$1001,MATCH($B308,Lançamentos!$B$3:$B$1001,0)),""))</f>
        <v/>
      </c>
      <c r="D308" s="435" t="str">
        <f>IF($B308="","",IFERROR(INDEX('E2 — Triagem'!$D$8:$D$507,MATCH($B308,'E2 — Triagem'!$B$8:$B$507,0)),""))</f>
        <v/>
      </c>
      <c r="E308" s="435"/>
      <c r="F308" s="435"/>
      <c r="G308" s="435"/>
      <c r="H308" s="435"/>
      <c r="I308" s="435"/>
      <c r="J308" s="435"/>
      <c r="K308" s="435"/>
      <c r="L308" s="436" t="str">
        <f t="shared" si="5"/>
        <v/>
      </c>
      <c r="M308" s="437"/>
      <c r="N308" s="438"/>
    </row>
    <row r="309" spans="2:14" x14ac:dyDescent="0.35">
      <c r="B309" s="433" t="str">
        <f>IF(Lançamentos!$B304="","",Lançamentos!$B304)</f>
        <v/>
      </c>
      <c r="C309" s="434" t="str">
        <f>IF($B309="","",IFERROR(INDEX(Lançamentos!$J$3:$J$1001,MATCH($B309,Lançamentos!$B$3:$B$1001,0)),""))</f>
        <v/>
      </c>
      <c r="D309" s="435" t="str">
        <f>IF($B309="","",IFERROR(INDEX('E2 — Triagem'!$D$8:$D$507,MATCH($B309,'E2 — Triagem'!$B$8:$B$507,0)),""))</f>
        <v/>
      </c>
      <c r="E309" s="435"/>
      <c r="F309" s="435"/>
      <c r="G309" s="435"/>
      <c r="H309" s="435"/>
      <c r="I309" s="435"/>
      <c r="J309" s="435"/>
      <c r="K309" s="435"/>
      <c r="L309" s="436" t="str">
        <f t="shared" si="5"/>
        <v/>
      </c>
      <c r="M309" s="437"/>
      <c r="N309" s="438"/>
    </row>
    <row r="310" spans="2:14" x14ac:dyDescent="0.35">
      <c r="B310" s="433" t="str">
        <f>IF(Lançamentos!$B305="","",Lançamentos!$B305)</f>
        <v/>
      </c>
      <c r="C310" s="434" t="str">
        <f>IF($B310="","",IFERROR(INDEX(Lançamentos!$J$3:$J$1001,MATCH($B310,Lançamentos!$B$3:$B$1001,0)),""))</f>
        <v/>
      </c>
      <c r="D310" s="435" t="str">
        <f>IF($B310="","",IFERROR(INDEX('E2 — Triagem'!$D$8:$D$507,MATCH($B310,'E2 — Triagem'!$B$8:$B$507,0)),""))</f>
        <v/>
      </c>
      <c r="E310" s="435"/>
      <c r="F310" s="435"/>
      <c r="G310" s="435"/>
      <c r="H310" s="435"/>
      <c r="I310" s="435"/>
      <c r="J310" s="435"/>
      <c r="K310" s="435"/>
      <c r="L310" s="436" t="str">
        <f t="shared" si="5"/>
        <v/>
      </c>
      <c r="M310" s="437"/>
      <c r="N310" s="438"/>
    </row>
    <row r="311" spans="2:14" x14ac:dyDescent="0.35">
      <c r="B311" s="433" t="str">
        <f>IF(Lançamentos!$B306="","",Lançamentos!$B306)</f>
        <v/>
      </c>
      <c r="C311" s="434" t="str">
        <f>IF($B311="","",IFERROR(INDEX(Lançamentos!$J$3:$J$1001,MATCH($B311,Lançamentos!$B$3:$B$1001,0)),""))</f>
        <v/>
      </c>
      <c r="D311" s="435" t="str">
        <f>IF($B311="","",IFERROR(INDEX('E2 — Triagem'!$D$8:$D$507,MATCH($B311,'E2 — Triagem'!$B$8:$B$507,0)),""))</f>
        <v/>
      </c>
      <c r="E311" s="435"/>
      <c r="F311" s="435"/>
      <c r="G311" s="435"/>
      <c r="H311" s="435"/>
      <c r="I311" s="435"/>
      <c r="J311" s="435"/>
      <c r="K311" s="435"/>
      <c r="L311" s="436" t="str">
        <f t="shared" si="5"/>
        <v/>
      </c>
      <c r="M311" s="437"/>
      <c r="N311" s="438"/>
    </row>
    <row r="312" spans="2:14" x14ac:dyDescent="0.35">
      <c r="B312" s="433" t="str">
        <f>IF(Lançamentos!$B307="","",Lançamentos!$B307)</f>
        <v/>
      </c>
      <c r="C312" s="434" t="str">
        <f>IF($B312="","",IFERROR(INDEX(Lançamentos!$J$3:$J$1001,MATCH($B312,Lançamentos!$B$3:$B$1001,0)),""))</f>
        <v/>
      </c>
      <c r="D312" s="435" t="str">
        <f>IF($B312="","",IFERROR(INDEX('E2 — Triagem'!$D$8:$D$507,MATCH($B312,'E2 — Triagem'!$B$8:$B$507,0)),""))</f>
        <v/>
      </c>
      <c r="E312" s="435"/>
      <c r="F312" s="435"/>
      <c r="G312" s="435"/>
      <c r="H312" s="435"/>
      <c r="I312" s="435"/>
      <c r="J312" s="435"/>
      <c r="K312" s="435"/>
      <c r="L312" s="436" t="str">
        <f t="shared" si="5"/>
        <v/>
      </c>
      <c r="M312" s="437"/>
      <c r="N312" s="438"/>
    </row>
    <row r="313" spans="2:14" x14ac:dyDescent="0.35">
      <c r="B313" s="433" t="str">
        <f>IF(Lançamentos!$B308="","",Lançamentos!$B308)</f>
        <v/>
      </c>
      <c r="C313" s="434" t="str">
        <f>IF($B313="","",IFERROR(INDEX(Lançamentos!$J$3:$J$1001,MATCH($B313,Lançamentos!$B$3:$B$1001,0)),""))</f>
        <v/>
      </c>
      <c r="D313" s="435" t="str">
        <f>IF($B313="","",IFERROR(INDEX('E2 — Triagem'!$D$8:$D$507,MATCH($B313,'E2 — Triagem'!$B$8:$B$507,0)),""))</f>
        <v/>
      </c>
      <c r="E313" s="435"/>
      <c r="F313" s="435"/>
      <c r="G313" s="435"/>
      <c r="H313" s="435"/>
      <c r="I313" s="435"/>
      <c r="J313" s="435"/>
      <c r="K313" s="435"/>
      <c r="L313" s="436" t="str">
        <f t="shared" si="5"/>
        <v/>
      </c>
      <c r="M313" s="437"/>
      <c r="N313" s="438"/>
    </row>
    <row r="314" spans="2:14" x14ac:dyDescent="0.35">
      <c r="B314" s="433" t="str">
        <f>IF(Lançamentos!$B309="","",Lançamentos!$B309)</f>
        <v/>
      </c>
      <c r="C314" s="434" t="str">
        <f>IF($B314="","",IFERROR(INDEX(Lançamentos!$J$3:$J$1001,MATCH($B314,Lançamentos!$B$3:$B$1001,0)),""))</f>
        <v/>
      </c>
      <c r="D314" s="435" t="str">
        <f>IF($B314="","",IFERROR(INDEX('E2 — Triagem'!$D$8:$D$507,MATCH($B314,'E2 — Triagem'!$B$8:$B$507,0)),""))</f>
        <v/>
      </c>
      <c r="E314" s="435"/>
      <c r="F314" s="435"/>
      <c r="G314" s="435"/>
      <c r="H314" s="435"/>
      <c r="I314" s="435"/>
      <c r="J314" s="435"/>
      <c r="K314" s="435"/>
      <c r="L314" s="436" t="str">
        <f t="shared" si="5"/>
        <v/>
      </c>
      <c r="M314" s="437"/>
      <c r="N314" s="438"/>
    </row>
    <row r="315" spans="2:14" x14ac:dyDescent="0.35">
      <c r="B315" s="433" t="str">
        <f>IF(Lançamentos!$B310="","",Lançamentos!$B310)</f>
        <v/>
      </c>
      <c r="C315" s="434" t="str">
        <f>IF($B315="","",IFERROR(INDEX(Lançamentos!$J$3:$J$1001,MATCH($B315,Lançamentos!$B$3:$B$1001,0)),""))</f>
        <v/>
      </c>
      <c r="D315" s="435" t="str">
        <f>IF($B315="","",IFERROR(INDEX('E2 — Triagem'!$D$8:$D$507,MATCH($B315,'E2 — Triagem'!$B$8:$B$507,0)),""))</f>
        <v/>
      </c>
      <c r="E315" s="435"/>
      <c r="F315" s="435"/>
      <c r="G315" s="435"/>
      <c r="H315" s="435"/>
      <c r="I315" s="435"/>
      <c r="J315" s="435"/>
      <c r="K315" s="435"/>
      <c r="L315" s="436" t="str">
        <f t="shared" si="5"/>
        <v/>
      </c>
      <c r="M315" s="437"/>
      <c r="N315" s="438"/>
    </row>
    <row r="316" spans="2:14" x14ac:dyDescent="0.35">
      <c r="B316" s="433" t="str">
        <f>IF(Lançamentos!$B311="","",Lançamentos!$B311)</f>
        <v/>
      </c>
      <c r="C316" s="434" t="str">
        <f>IF($B316="","",IFERROR(INDEX(Lançamentos!$J$3:$J$1001,MATCH($B316,Lançamentos!$B$3:$B$1001,0)),""))</f>
        <v/>
      </c>
      <c r="D316" s="435" t="str">
        <f>IF($B316="","",IFERROR(INDEX('E2 — Triagem'!$D$8:$D$507,MATCH($B316,'E2 — Triagem'!$B$8:$B$507,0)),""))</f>
        <v/>
      </c>
      <c r="E316" s="435"/>
      <c r="F316" s="435"/>
      <c r="G316" s="435"/>
      <c r="H316" s="435"/>
      <c r="I316" s="435"/>
      <c r="J316" s="435"/>
      <c r="K316" s="435"/>
      <c r="L316" s="436" t="str">
        <f t="shared" si="5"/>
        <v/>
      </c>
      <c r="M316" s="437"/>
      <c r="N316" s="438"/>
    </row>
    <row r="317" spans="2:14" x14ac:dyDescent="0.35">
      <c r="B317" s="433" t="str">
        <f>IF(Lançamentos!$B312="","",Lançamentos!$B312)</f>
        <v/>
      </c>
      <c r="C317" s="434" t="str">
        <f>IF($B317="","",IFERROR(INDEX(Lançamentos!$J$3:$J$1001,MATCH($B317,Lançamentos!$B$3:$B$1001,0)),""))</f>
        <v/>
      </c>
      <c r="D317" s="435" t="str">
        <f>IF($B317="","",IFERROR(INDEX('E2 — Triagem'!$D$8:$D$507,MATCH($B317,'E2 — Triagem'!$B$8:$B$507,0)),""))</f>
        <v/>
      </c>
      <c r="E317" s="435"/>
      <c r="F317" s="435"/>
      <c r="G317" s="435"/>
      <c r="H317" s="435"/>
      <c r="I317" s="435"/>
      <c r="J317" s="435"/>
      <c r="K317" s="435"/>
      <c r="L317" s="436" t="str">
        <f t="shared" si="5"/>
        <v/>
      </c>
      <c r="M317" s="437"/>
      <c r="N317" s="438"/>
    </row>
    <row r="318" spans="2:14" x14ac:dyDescent="0.35">
      <c r="B318" s="433" t="str">
        <f>IF(Lançamentos!$B313="","",Lançamentos!$B313)</f>
        <v/>
      </c>
      <c r="C318" s="434" t="str">
        <f>IF($B318="","",IFERROR(INDEX(Lançamentos!$J$3:$J$1001,MATCH($B318,Lançamentos!$B$3:$B$1001,0)),""))</f>
        <v/>
      </c>
      <c r="D318" s="435" t="str">
        <f>IF($B318="","",IFERROR(INDEX('E2 — Triagem'!$D$8:$D$507,MATCH($B318,'E2 — Triagem'!$B$8:$B$507,0)),""))</f>
        <v/>
      </c>
      <c r="E318" s="435"/>
      <c r="F318" s="435"/>
      <c r="G318" s="435"/>
      <c r="H318" s="435"/>
      <c r="I318" s="435"/>
      <c r="J318" s="435"/>
      <c r="K318" s="435"/>
      <c r="L318" s="436" t="str">
        <f t="shared" si="5"/>
        <v/>
      </c>
      <c r="M318" s="437"/>
      <c r="N318" s="438"/>
    </row>
    <row r="319" spans="2:14" x14ac:dyDescent="0.35">
      <c r="B319" s="433" t="str">
        <f>IF(Lançamentos!$B314="","",Lançamentos!$B314)</f>
        <v/>
      </c>
      <c r="C319" s="434" t="str">
        <f>IF($B319="","",IFERROR(INDEX(Lançamentos!$J$3:$J$1001,MATCH($B319,Lançamentos!$B$3:$B$1001,0)),""))</f>
        <v/>
      </c>
      <c r="D319" s="435" t="str">
        <f>IF($B319="","",IFERROR(INDEX('E2 — Triagem'!$D$8:$D$507,MATCH($B319,'E2 — Triagem'!$B$8:$B$507,0)),""))</f>
        <v/>
      </c>
      <c r="E319" s="435"/>
      <c r="F319" s="435"/>
      <c r="G319" s="435"/>
      <c r="H319" s="435"/>
      <c r="I319" s="435"/>
      <c r="J319" s="435"/>
      <c r="K319" s="435"/>
      <c r="L319" s="436" t="str">
        <f t="shared" si="5"/>
        <v/>
      </c>
      <c r="M319" s="437"/>
      <c r="N319" s="438"/>
    </row>
    <row r="320" spans="2:14" x14ac:dyDescent="0.35">
      <c r="B320" s="433" t="str">
        <f>IF(Lançamentos!$B315="","",Lançamentos!$B315)</f>
        <v/>
      </c>
      <c r="C320" s="434" t="str">
        <f>IF($B320="","",IFERROR(INDEX(Lançamentos!$J$3:$J$1001,MATCH($B320,Lançamentos!$B$3:$B$1001,0)),""))</f>
        <v/>
      </c>
      <c r="D320" s="435" t="str">
        <f>IF($B320="","",IFERROR(INDEX('E2 — Triagem'!$D$8:$D$507,MATCH($B320,'E2 — Triagem'!$B$8:$B$507,0)),""))</f>
        <v/>
      </c>
      <c r="E320" s="435"/>
      <c r="F320" s="435"/>
      <c r="G320" s="435"/>
      <c r="H320" s="435"/>
      <c r="I320" s="435"/>
      <c r="J320" s="435"/>
      <c r="K320" s="435"/>
      <c r="L320" s="436" t="str">
        <f t="shared" si="5"/>
        <v/>
      </c>
      <c r="M320" s="437"/>
      <c r="N320" s="438"/>
    </row>
    <row r="321" spans="2:14" x14ac:dyDescent="0.35">
      <c r="B321" s="433" t="str">
        <f>IF(Lançamentos!$B316="","",Lançamentos!$B316)</f>
        <v/>
      </c>
      <c r="C321" s="434" t="str">
        <f>IF($B321="","",IFERROR(INDEX(Lançamentos!$J$3:$J$1001,MATCH($B321,Lançamentos!$B$3:$B$1001,0)),""))</f>
        <v/>
      </c>
      <c r="D321" s="435" t="str">
        <f>IF($B321="","",IFERROR(INDEX('E2 — Triagem'!$D$8:$D$507,MATCH($B321,'E2 — Triagem'!$B$8:$B$507,0)),""))</f>
        <v/>
      </c>
      <c r="E321" s="435"/>
      <c r="F321" s="435"/>
      <c r="G321" s="435"/>
      <c r="H321" s="435"/>
      <c r="I321" s="435"/>
      <c r="J321" s="435"/>
      <c r="K321" s="435"/>
      <c r="L321" s="436" t="str">
        <f t="shared" si="5"/>
        <v/>
      </c>
      <c r="M321" s="437"/>
      <c r="N321" s="438"/>
    </row>
    <row r="322" spans="2:14" x14ac:dyDescent="0.35">
      <c r="B322" s="433" t="str">
        <f>IF(Lançamentos!$B317="","",Lançamentos!$B317)</f>
        <v/>
      </c>
      <c r="C322" s="434" t="str">
        <f>IF($B322="","",IFERROR(INDEX(Lançamentos!$J$3:$J$1001,MATCH($B322,Lançamentos!$B$3:$B$1001,0)),""))</f>
        <v/>
      </c>
      <c r="D322" s="435" t="str">
        <f>IF($B322="","",IFERROR(INDEX('E2 — Triagem'!$D$8:$D$507,MATCH($B322,'E2 — Triagem'!$B$8:$B$507,0)),""))</f>
        <v/>
      </c>
      <c r="E322" s="435"/>
      <c r="F322" s="435"/>
      <c r="G322" s="435"/>
      <c r="H322" s="435"/>
      <c r="I322" s="435"/>
      <c r="J322" s="435"/>
      <c r="K322" s="435"/>
      <c r="L322" s="436" t="str">
        <f t="shared" si="5"/>
        <v/>
      </c>
      <c r="M322" s="437"/>
      <c r="N322" s="438"/>
    </row>
    <row r="323" spans="2:14" x14ac:dyDescent="0.35">
      <c r="B323" s="433" t="str">
        <f>IF(Lançamentos!$B318="","",Lançamentos!$B318)</f>
        <v/>
      </c>
      <c r="C323" s="434" t="str">
        <f>IF($B323="","",IFERROR(INDEX(Lançamentos!$J$3:$J$1001,MATCH($B323,Lançamentos!$B$3:$B$1001,0)),""))</f>
        <v/>
      </c>
      <c r="D323" s="435" t="str">
        <f>IF($B323="","",IFERROR(INDEX('E2 — Triagem'!$D$8:$D$507,MATCH($B323,'E2 — Triagem'!$B$8:$B$507,0)),""))</f>
        <v/>
      </c>
      <c r="E323" s="435"/>
      <c r="F323" s="435"/>
      <c r="G323" s="435"/>
      <c r="H323" s="435"/>
      <c r="I323" s="435"/>
      <c r="J323" s="435"/>
      <c r="K323" s="435"/>
      <c r="L323" s="436" t="str">
        <f t="shared" si="5"/>
        <v/>
      </c>
      <c r="M323" s="437"/>
      <c r="N323" s="438"/>
    </row>
    <row r="324" spans="2:14" x14ac:dyDescent="0.35">
      <c r="B324" s="433" t="str">
        <f>IF(Lançamentos!$B319="","",Lançamentos!$B319)</f>
        <v/>
      </c>
      <c r="C324" s="434" t="str">
        <f>IF($B324="","",IFERROR(INDEX(Lançamentos!$J$3:$J$1001,MATCH($B324,Lançamentos!$B$3:$B$1001,0)),""))</f>
        <v/>
      </c>
      <c r="D324" s="435" t="str">
        <f>IF($B324="","",IFERROR(INDEX('E2 — Triagem'!$D$8:$D$507,MATCH($B324,'E2 — Triagem'!$B$8:$B$507,0)),""))</f>
        <v/>
      </c>
      <c r="E324" s="435"/>
      <c r="F324" s="435"/>
      <c r="G324" s="435"/>
      <c r="H324" s="435"/>
      <c r="I324" s="435"/>
      <c r="J324" s="435"/>
      <c r="K324" s="435"/>
      <c r="L324" s="436" t="str">
        <f t="shared" si="5"/>
        <v/>
      </c>
      <c r="M324" s="437"/>
      <c r="N324" s="438"/>
    </row>
    <row r="325" spans="2:14" x14ac:dyDescent="0.35">
      <c r="B325" s="433" t="str">
        <f>IF(Lançamentos!$B320="","",Lançamentos!$B320)</f>
        <v/>
      </c>
      <c r="C325" s="434" t="str">
        <f>IF($B325="","",IFERROR(INDEX(Lançamentos!$J$3:$J$1001,MATCH($B325,Lançamentos!$B$3:$B$1001,0)),""))</f>
        <v/>
      </c>
      <c r="D325" s="435" t="str">
        <f>IF($B325="","",IFERROR(INDEX('E2 — Triagem'!$D$8:$D$507,MATCH($B325,'E2 — Triagem'!$B$8:$B$507,0)),""))</f>
        <v/>
      </c>
      <c r="E325" s="435"/>
      <c r="F325" s="435"/>
      <c r="G325" s="435"/>
      <c r="H325" s="435"/>
      <c r="I325" s="435"/>
      <c r="J325" s="435"/>
      <c r="K325" s="435"/>
      <c r="L325" s="436" t="str">
        <f t="shared" si="5"/>
        <v/>
      </c>
      <c r="M325" s="437"/>
      <c r="N325" s="438"/>
    </row>
    <row r="326" spans="2:14" x14ac:dyDescent="0.35">
      <c r="B326" s="433" t="str">
        <f>IF(Lançamentos!$B321="","",Lançamentos!$B321)</f>
        <v/>
      </c>
      <c r="C326" s="434" t="str">
        <f>IF($B326="","",IFERROR(INDEX(Lançamentos!$J$3:$J$1001,MATCH($B326,Lançamentos!$B$3:$B$1001,0)),""))</f>
        <v/>
      </c>
      <c r="D326" s="435" t="str">
        <f>IF($B326="","",IFERROR(INDEX('E2 — Triagem'!$D$8:$D$507,MATCH($B326,'E2 — Triagem'!$B$8:$B$507,0)),""))</f>
        <v/>
      </c>
      <c r="E326" s="435"/>
      <c r="F326" s="435"/>
      <c r="G326" s="435"/>
      <c r="H326" s="435"/>
      <c r="I326" s="435"/>
      <c r="J326" s="435"/>
      <c r="K326" s="435"/>
      <c r="L326" s="436" t="str">
        <f t="shared" si="5"/>
        <v/>
      </c>
      <c r="M326" s="437"/>
      <c r="N326" s="438"/>
    </row>
    <row r="327" spans="2:14" x14ac:dyDescent="0.35">
      <c r="B327" s="433" t="str">
        <f>IF(Lançamentos!$B322="","",Lançamentos!$B322)</f>
        <v/>
      </c>
      <c r="C327" s="434" t="str">
        <f>IF($B327="","",IFERROR(INDEX(Lançamentos!$J$3:$J$1001,MATCH($B327,Lançamentos!$B$3:$B$1001,0)),""))</f>
        <v/>
      </c>
      <c r="D327" s="435" t="str">
        <f>IF($B327="","",IFERROR(INDEX('E2 — Triagem'!$D$8:$D$507,MATCH($B327,'E2 — Triagem'!$B$8:$B$507,0)),""))</f>
        <v/>
      </c>
      <c r="E327" s="435"/>
      <c r="F327" s="435"/>
      <c r="G327" s="435"/>
      <c r="H327" s="435"/>
      <c r="I327" s="435"/>
      <c r="J327" s="435"/>
      <c r="K327" s="435"/>
      <c r="L327" s="436" t="str">
        <f t="shared" si="5"/>
        <v/>
      </c>
      <c r="M327" s="437"/>
      <c r="N327" s="438"/>
    </row>
    <row r="328" spans="2:14" x14ac:dyDescent="0.35">
      <c r="B328" s="433" t="str">
        <f>IF(Lançamentos!$B323="","",Lançamentos!$B323)</f>
        <v/>
      </c>
      <c r="C328" s="434" t="str">
        <f>IF($B328="","",IFERROR(INDEX(Lançamentos!$J$3:$J$1001,MATCH($B328,Lançamentos!$B$3:$B$1001,0)),""))</f>
        <v/>
      </c>
      <c r="D328" s="435" t="str">
        <f>IF($B328="","",IFERROR(INDEX('E2 — Triagem'!$D$8:$D$507,MATCH($B328,'E2 — Triagem'!$B$8:$B$507,0)),""))</f>
        <v/>
      </c>
      <c r="E328" s="435"/>
      <c r="F328" s="435"/>
      <c r="G328" s="435"/>
      <c r="H328" s="435"/>
      <c r="I328" s="435"/>
      <c r="J328" s="435"/>
      <c r="K328" s="435"/>
      <c r="L328" s="436" t="str">
        <f t="shared" si="5"/>
        <v/>
      </c>
      <c r="M328" s="437"/>
      <c r="N328" s="438"/>
    </row>
    <row r="329" spans="2:14" x14ac:dyDescent="0.35">
      <c r="B329" s="433" t="str">
        <f>IF(Lançamentos!$B324="","",Lançamentos!$B324)</f>
        <v/>
      </c>
      <c r="C329" s="434" t="str">
        <f>IF($B329="","",IFERROR(INDEX(Lançamentos!$J$3:$J$1001,MATCH($B329,Lançamentos!$B$3:$B$1001,0)),""))</f>
        <v/>
      </c>
      <c r="D329" s="435" t="str">
        <f>IF($B329="","",IFERROR(INDEX('E2 — Triagem'!$D$8:$D$507,MATCH($B329,'E2 — Triagem'!$B$8:$B$507,0)),""))</f>
        <v/>
      </c>
      <c r="E329" s="435"/>
      <c r="F329" s="435"/>
      <c r="G329" s="435"/>
      <c r="H329" s="435"/>
      <c r="I329" s="435"/>
      <c r="J329" s="435"/>
      <c r="K329" s="435"/>
      <c r="L329" s="436" t="str">
        <f t="shared" si="5"/>
        <v/>
      </c>
      <c r="M329" s="437"/>
      <c r="N329" s="438"/>
    </row>
    <row r="330" spans="2:14" x14ac:dyDescent="0.35">
      <c r="B330" s="433" t="str">
        <f>IF(Lançamentos!$B325="","",Lançamentos!$B325)</f>
        <v/>
      </c>
      <c r="C330" s="434" t="str">
        <f>IF($B330="","",IFERROR(INDEX(Lançamentos!$J$3:$J$1001,MATCH($B330,Lançamentos!$B$3:$B$1001,0)),""))</f>
        <v/>
      </c>
      <c r="D330" s="435" t="str">
        <f>IF($B330="","",IFERROR(INDEX('E2 — Triagem'!$D$8:$D$507,MATCH($B330,'E2 — Triagem'!$B$8:$B$507,0)),""))</f>
        <v/>
      </c>
      <c r="E330" s="435"/>
      <c r="F330" s="435"/>
      <c r="G330" s="435"/>
      <c r="H330" s="435"/>
      <c r="I330" s="435"/>
      <c r="J330" s="435"/>
      <c r="K330" s="435"/>
      <c r="L330" s="436" t="str">
        <f t="shared" si="5"/>
        <v/>
      </c>
      <c r="M330" s="437"/>
      <c r="N330" s="438"/>
    </row>
    <row r="331" spans="2:14" x14ac:dyDescent="0.35">
      <c r="B331" s="433" t="str">
        <f>IF(Lançamentos!$B326="","",Lançamentos!$B326)</f>
        <v/>
      </c>
      <c r="C331" s="434" t="str">
        <f>IF($B331="","",IFERROR(INDEX(Lançamentos!$J$3:$J$1001,MATCH($B331,Lançamentos!$B$3:$B$1001,0)),""))</f>
        <v/>
      </c>
      <c r="D331" s="435" t="str">
        <f>IF($B331="","",IFERROR(INDEX('E2 — Triagem'!$D$8:$D$507,MATCH($B331,'E2 — Triagem'!$B$8:$B$507,0)),""))</f>
        <v/>
      </c>
      <c r="E331" s="435"/>
      <c r="F331" s="435"/>
      <c r="G331" s="435"/>
      <c r="H331" s="435"/>
      <c r="I331" s="435"/>
      <c r="J331" s="435"/>
      <c r="K331" s="435"/>
      <c r="L331" s="436" t="str">
        <f t="shared" si="5"/>
        <v/>
      </c>
      <c r="M331" s="437"/>
      <c r="N331" s="438"/>
    </row>
    <row r="332" spans="2:14" x14ac:dyDescent="0.35">
      <c r="B332" s="433" t="str">
        <f>IF(Lançamentos!$B327="","",Lançamentos!$B327)</f>
        <v/>
      </c>
      <c r="C332" s="434" t="str">
        <f>IF($B332="","",IFERROR(INDEX(Lançamentos!$J$3:$J$1001,MATCH($B332,Lançamentos!$B$3:$B$1001,0)),""))</f>
        <v/>
      </c>
      <c r="D332" s="435" t="str">
        <f>IF($B332="","",IFERROR(INDEX('E2 — Triagem'!$D$8:$D$507,MATCH($B332,'E2 — Triagem'!$B$8:$B$507,0)),""))</f>
        <v/>
      </c>
      <c r="E332" s="435"/>
      <c r="F332" s="435"/>
      <c r="G332" s="435"/>
      <c r="H332" s="435"/>
      <c r="I332" s="435"/>
      <c r="J332" s="435"/>
      <c r="K332" s="435"/>
      <c r="L332" s="436" t="str">
        <f t="shared" si="5"/>
        <v/>
      </c>
      <c r="M332" s="437"/>
      <c r="N332" s="438"/>
    </row>
    <row r="333" spans="2:14" x14ac:dyDescent="0.35">
      <c r="B333" s="433" t="str">
        <f>IF(Lançamentos!$B328="","",Lançamentos!$B328)</f>
        <v/>
      </c>
      <c r="C333" s="434" t="str">
        <f>IF($B333="","",IFERROR(INDEX(Lançamentos!$J$3:$J$1001,MATCH($B333,Lançamentos!$B$3:$B$1001,0)),""))</f>
        <v/>
      </c>
      <c r="D333" s="435" t="str">
        <f>IF($B333="","",IFERROR(INDEX('E2 — Triagem'!$D$8:$D$507,MATCH($B333,'E2 — Triagem'!$B$8:$B$507,0)),""))</f>
        <v/>
      </c>
      <c r="E333" s="435"/>
      <c r="F333" s="435"/>
      <c r="G333" s="435"/>
      <c r="H333" s="435"/>
      <c r="I333" s="435"/>
      <c r="J333" s="435"/>
      <c r="K333" s="435"/>
      <c r="L333" s="436" t="str">
        <f t="shared" si="5"/>
        <v/>
      </c>
      <c r="M333" s="437"/>
      <c r="N333" s="438"/>
    </row>
    <row r="334" spans="2:14" x14ac:dyDescent="0.35">
      <c r="B334" s="433" t="str">
        <f>IF(Lançamentos!$B329="","",Lançamentos!$B329)</f>
        <v/>
      </c>
      <c r="C334" s="434" t="str">
        <f>IF($B334="","",IFERROR(INDEX(Lançamentos!$J$3:$J$1001,MATCH($B334,Lançamentos!$B$3:$B$1001,0)),""))</f>
        <v/>
      </c>
      <c r="D334" s="435" t="str">
        <f>IF($B334="","",IFERROR(INDEX('E2 — Triagem'!$D$8:$D$507,MATCH($B334,'E2 — Triagem'!$B$8:$B$507,0)),""))</f>
        <v/>
      </c>
      <c r="E334" s="435"/>
      <c r="F334" s="435"/>
      <c r="G334" s="435"/>
      <c r="H334" s="435"/>
      <c r="I334" s="435"/>
      <c r="J334" s="435"/>
      <c r="K334" s="435"/>
      <c r="L334" s="436" t="str">
        <f t="shared" si="5"/>
        <v/>
      </c>
      <c r="M334" s="437"/>
      <c r="N334" s="438"/>
    </row>
    <row r="335" spans="2:14" x14ac:dyDescent="0.35">
      <c r="B335" s="433" t="str">
        <f>IF(Lançamentos!$B330="","",Lançamentos!$B330)</f>
        <v/>
      </c>
      <c r="C335" s="434" t="str">
        <f>IF($B335="","",IFERROR(INDEX(Lançamentos!$J$3:$J$1001,MATCH($B335,Lançamentos!$B$3:$B$1001,0)),""))</f>
        <v/>
      </c>
      <c r="D335" s="435" t="str">
        <f>IF($B335="","",IFERROR(INDEX('E2 — Triagem'!$D$8:$D$507,MATCH($B335,'E2 — Triagem'!$B$8:$B$507,0)),""))</f>
        <v/>
      </c>
      <c r="E335" s="435"/>
      <c r="F335" s="435"/>
      <c r="G335" s="435"/>
      <c r="H335" s="435"/>
      <c r="I335" s="435"/>
      <c r="J335" s="435"/>
      <c r="K335" s="435"/>
      <c r="L335" s="436" t="str">
        <f t="shared" si="5"/>
        <v/>
      </c>
      <c r="M335" s="437"/>
      <c r="N335" s="438"/>
    </row>
    <row r="336" spans="2:14" x14ac:dyDescent="0.35">
      <c r="B336" s="433" t="str">
        <f>IF(Lançamentos!$B331="","",Lançamentos!$B331)</f>
        <v/>
      </c>
      <c r="C336" s="434" t="str">
        <f>IF($B336="","",IFERROR(INDEX(Lançamentos!$J$3:$J$1001,MATCH($B336,Lançamentos!$B$3:$B$1001,0)),""))</f>
        <v/>
      </c>
      <c r="D336" s="435" t="str">
        <f>IF($B336="","",IFERROR(INDEX('E2 — Triagem'!$D$8:$D$507,MATCH($B336,'E2 — Triagem'!$B$8:$B$507,0)),""))</f>
        <v/>
      </c>
      <c r="E336" s="435"/>
      <c r="F336" s="435"/>
      <c r="G336" s="435"/>
      <c r="H336" s="435"/>
      <c r="I336" s="435"/>
      <c r="J336" s="435"/>
      <c r="K336" s="435"/>
      <c r="L336" s="436" t="str">
        <f t="shared" ref="L336:L399" si="6">IF(B336="","",IF(COUNTIF(E336:K336,"N/A")=7,0,IF(COUNTIF(E336:K336,"✔ Concluído")=7,1,MIN(99%,COUNTIF(E336:K336,"✔ Concluído")/(7-COUNTIF(E336:K336,"N/A"))))))</f>
        <v/>
      </c>
      <c r="M336" s="437"/>
      <c r="N336" s="438"/>
    </row>
    <row r="337" spans="2:14" x14ac:dyDescent="0.35">
      <c r="B337" s="433" t="str">
        <f>IF(Lançamentos!$B332="","",Lançamentos!$B332)</f>
        <v/>
      </c>
      <c r="C337" s="434" t="str">
        <f>IF($B337="","",IFERROR(INDEX(Lançamentos!$J$3:$J$1001,MATCH($B337,Lançamentos!$B$3:$B$1001,0)),""))</f>
        <v/>
      </c>
      <c r="D337" s="435" t="str">
        <f>IF($B337="","",IFERROR(INDEX('E2 — Triagem'!$D$8:$D$507,MATCH($B337,'E2 — Triagem'!$B$8:$B$507,0)),""))</f>
        <v/>
      </c>
      <c r="E337" s="435"/>
      <c r="F337" s="435"/>
      <c r="G337" s="435"/>
      <c r="H337" s="435"/>
      <c r="I337" s="435"/>
      <c r="J337" s="435"/>
      <c r="K337" s="435"/>
      <c r="L337" s="436" t="str">
        <f t="shared" si="6"/>
        <v/>
      </c>
      <c r="M337" s="437"/>
      <c r="N337" s="438"/>
    </row>
    <row r="338" spans="2:14" x14ac:dyDescent="0.35">
      <c r="B338" s="433" t="str">
        <f>IF(Lançamentos!$B333="","",Lançamentos!$B333)</f>
        <v/>
      </c>
      <c r="C338" s="434" t="str">
        <f>IF($B338="","",IFERROR(INDEX(Lançamentos!$J$3:$J$1001,MATCH($B338,Lançamentos!$B$3:$B$1001,0)),""))</f>
        <v/>
      </c>
      <c r="D338" s="435" t="str">
        <f>IF($B338="","",IFERROR(INDEX('E2 — Triagem'!$D$8:$D$507,MATCH($B338,'E2 — Triagem'!$B$8:$B$507,0)),""))</f>
        <v/>
      </c>
      <c r="E338" s="435"/>
      <c r="F338" s="435"/>
      <c r="G338" s="435"/>
      <c r="H338" s="435"/>
      <c r="I338" s="435"/>
      <c r="J338" s="435"/>
      <c r="K338" s="435"/>
      <c r="L338" s="436" t="str">
        <f t="shared" si="6"/>
        <v/>
      </c>
      <c r="M338" s="437"/>
      <c r="N338" s="438"/>
    </row>
    <row r="339" spans="2:14" x14ac:dyDescent="0.35">
      <c r="B339" s="433" t="str">
        <f>IF(Lançamentos!$B334="","",Lançamentos!$B334)</f>
        <v/>
      </c>
      <c r="C339" s="434" t="str">
        <f>IF($B339="","",IFERROR(INDEX(Lançamentos!$J$3:$J$1001,MATCH($B339,Lançamentos!$B$3:$B$1001,0)),""))</f>
        <v/>
      </c>
      <c r="D339" s="435" t="str">
        <f>IF($B339="","",IFERROR(INDEX('E2 — Triagem'!$D$8:$D$507,MATCH($B339,'E2 — Triagem'!$B$8:$B$507,0)),""))</f>
        <v/>
      </c>
      <c r="E339" s="435"/>
      <c r="F339" s="435"/>
      <c r="G339" s="435"/>
      <c r="H339" s="435"/>
      <c r="I339" s="435"/>
      <c r="J339" s="435"/>
      <c r="K339" s="435"/>
      <c r="L339" s="436" t="str">
        <f t="shared" si="6"/>
        <v/>
      </c>
      <c r="M339" s="437"/>
      <c r="N339" s="438"/>
    </row>
    <row r="340" spans="2:14" x14ac:dyDescent="0.35">
      <c r="B340" s="433" t="str">
        <f>IF(Lançamentos!$B335="","",Lançamentos!$B335)</f>
        <v/>
      </c>
      <c r="C340" s="434" t="str">
        <f>IF($B340="","",IFERROR(INDEX(Lançamentos!$J$3:$J$1001,MATCH($B340,Lançamentos!$B$3:$B$1001,0)),""))</f>
        <v/>
      </c>
      <c r="D340" s="435" t="str">
        <f>IF($B340="","",IFERROR(INDEX('E2 — Triagem'!$D$8:$D$507,MATCH($B340,'E2 — Triagem'!$B$8:$B$507,0)),""))</f>
        <v/>
      </c>
      <c r="E340" s="435"/>
      <c r="F340" s="435"/>
      <c r="G340" s="435"/>
      <c r="H340" s="435"/>
      <c r="I340" s="435"/>
      <c r="J340" s="435"/>
      <c r="K340" s="435"/>
      <c r="L340" s="436" t="str">
        <f t="shared" si="6"/>
        <v/>
      </c>
      <c r="M340" s="437"/>
      <c r="N340" s="438"/>
    </row>
    <row r="341" spans="2:14" x14ac:dyDescent="0.35">
      <c r="B341" s="433" t="str">
        <f>IF(Lançamentos!$B336="","",Lançamentos!$B336)</f>
        <v/>
      </c>
      <c r="C341" s="434" t="str">
        <f>IF($B341="","",IFERROR(INDEX(Lançamentos!$J$3:$J$1001,MATCH($B341,Lançamentos!$B$3:$B$1001,0)),""))</f>
        <v/>
      </c>
      <c r="D341" s="435" t="str">
        <f>IF($B341="","",IFERROR(INDEX('E2 — Triagem'!$D$8:$D$507,MATCH($B341,'E2 — Triagem'!$B$8:$B$507,0)),""))</f>
        <v/>
      </c>
      <c r="E341" s="435"/>
      <c r="F341" s="435"/>
      <c r="G341" s="435"/>
      <c r="H341" s="435"/>
      <c r="I341" s="435"/>
      <c r="J341" s="435"/>
      <c r="K341" s="435"/>
      <c r="L341" s="436" t="str">
        <f t="shared" si="6"/>
        <v/>
      </c>
      <c r="M341" s="437"/>
      <c r="N341" s="438"/>
    </row>
    <row r="342" spans="2:14" x14ac:dyDescent="0.35">
      <c r="B342" s="433" t="str">
        <f>IF(Lançamentos!$B337="","",Lançamentos!$B337)</f>
        <v/>
      </c>
      <c r="C342" s="434" t="str">
        <f>IF($B342="","",IFERROR(INDEX(Lançamentos!$J$3:$J$1001,MATCH($B342,Lançamentos!$B$3:$B$1001,0)),""))</f>
        <v/>
      </c>
      <c r="D342" s="435" t="str">
        <f>IF($B342="","",IFERROR(INDEX('E2 — Triagem'!$D$8:$D$507,MATCH($B342,'E2 — Triagem'!$B$8:$B$507,0)),""))</f>
        <v/>
      </c>
      <c r="E342" s="435"/>
      <c r="F342" s="435"/>
      <c r="G342" s="435"/>
      <c r="H342" s="435"/>
      <c r="I342" s="435"/>
      <c r="J342" s="435"/>
      <c r="K342" s="435"/>
      <c r="L342" s="436" t="str">
        <f t="shared" si="6"/>
        <v/>
      </c>
      <c r="M342" s="437"/>
      <c r="N342" s="438"/>
    </row>
    <row r="343" spans="2:14" x14ac:dyDescent="0.35">
      <c r="B343" s="433" t="str">
        <f>IF(Lançamentos!$B338="","",Lançamentos!$B338)</f>
        <v/>
      </c>
      <c r="C343" s="434" t="str">
        <f>IF($B343="","",IFERROR(INDEX(Lançamentos!$J$3:$J$1001,MATCH($B343,Lançamentos!$B$3:$B$1001,0)),""))</f>
        <v/>
      </c>
      <c r="D343" s="435" t="str">
        <f>IF($B343="","",IFERROR(INDEX('E2 — Triagem'!$D$8:$D$507,MATCH($B343,'E2 — Triagem'!$B$8:$B$507,0)),""))</f>
        <v/>
      </c>
      <c r="E343" s="435"/>
      <c r="F343" s="435"/>
      <c r="G343" s="435"/>
      <c r="H343" s="435"/>
      <c r="I343" s="435"/>
      <c r="J343" s="435"/>
      <c r="K343" s="435"/>
      <c r="L343" s="436" t="str">
        <f t="shared" si="6"/>
        <v/>
      </c>
      <c r="M343" s="437"/>
      <c r="N343" s="438"/>
    </row>
    <row r="344" spans="2:14" x14ac:dyDescent="0.35">
      <c r="B344" s="433" t="str">
        <f>IF(Lançamentos!$B339="","",Lançamentos!$B339)</f>
        <v/>
      </c>
      <c r="C344" s="434" t="str">
        <f>IF($B344="","",IFERROR(INDEX(Lançamentos!$J$3:$J$1001,MATCH($B344,Lançamentos!$B$3:$B$1001,0)),""))</f>
        <v/>
      </c>
      <c r="D344" s="435" t="str">
        <f>IF($B344="","",IFERROR(INDEX('E2 — Triagem'!$D$8:$D$507,MATCH($B344,'E2 — Triagem'!$B$8:$B$507,0)),""))</f>
        <v/>
      </c>
      <c r="E344" s="435"/>
      <c r="F344" s="435"/>
      <c r="G344" s="435"/>
      <c r="H344" s="435"/>
      <c r="I344" s="435"/>
      <c r="J344" s="435"/>
      <c r="K344" s="435"/>
      <c r="L344" s="436" t="str">
        <f t="shared" si="6"/>
        <v/>
      </c>
      <c r="M344" s="437"/>
      <c r="N344" s="438"/>
    </row>
    <row r="345" spans="2:14" x14ac:dyDescent="0.35">
      <c r="B345" s="433" t="str">
        <f>IF(Lançamentos!$B340="","",Lançamentos!$B340)</f>
        <v/>
      </c>
      <c r="C345" s="434" t="str">
        <f>IF($B345="","",IFERROR(INDEX(Lançamentos!$J$3:$J$1001,MATCH($B345,Lançamentos!$B$3:$B$1001,0)),""))</f>
        <v/>
      </c>
      <c r="D345" s="435" t="str">
        <f>IF($B345="","",IFERROR(INDEX('E2 — Triagem'!$D$8:$D$507,MATCH($B345,'E2 — Triagem'!$B$8:$B$507,0)),""))</f>
        <v/>
      </c>
      <c r="E345" s="435"/>
      <c r="F345" s="435"/>
      <c r="G345" s="435"/>
      <c r="H345" s="435"/>
      <c r="I345" s="435"/>
      <c r="J345" s="435"/>
      <c r="K345" s="435"/>
      <c r="L345" s="436" t="str">
        <f t="shared" si="6"/>
        <v/>
      </c>
      <c r="M345" s="437"/>
      <c r="N345" s="438"/>
    </row>
    <row r="346" spans="2:14" x14ac:dyDescent="0.35">
      <c r="B346" s="433" t="str">
        <f>IF(Lançamentos!$B341="","",Lançamentos!$B341)</f>
        <v/>
      </c>
      <c r="C346" s="434" t="str">
        <f>IF($B346="","",IFERROR(INDEX(Lançamentos!$J$3:$J$1001,MATCH($B346,Lançamentos!$B$3:$B$1001,0)),""))</f>
        <v/>
      </c>
      <c r="D346" s="435" t="str">
        <f>IF($B346="","",IFERROR(INDEX('E2 — Triagem'!$D$8:$D$507,MATCH($B346,'E2 — Triagem'!$B$8:$B$507,0)),""))</f>
        <v/>
      </c>
      <c r="E346" s="435"/>
      <c r="F346" s="435"/>
      <c r="G346" s="435"/>
      <c r="H346" s="435"/>
      <c r="I346" s="435"/>
      <c r="J346" s="435"/>
      <c r="K346" s="435"/>
      <c r="L346" s="436" t="str">
        <f t="shared" si="6"/>
        <v/>
      </c>
      <c r="M346" s="437"/>
      <c r="N346" s="438"/>
    </row>
    <row r="347" spans="2:14" x14ac:dyDescent="0.35">
      <c r="B347" s="433" t="str">
        <f>IF(Lançamentos!$B342="","",Lançamentos!$B342)</f>
        <v/>
      </c>
      <c r="C347" s="434" t="str">
        <f>IF($B347="","",IFERROR(INDEX(Lançamentos!$J$3:$J$1001,MATCH($B347,Lançamentos!$B$3:$B$1001,0)),""))</f>
        <v/>
      </c>
      <c r="D347" s="435" t="str">
        <f>IF($B347="","",IFERROR(INDEX('E2 — Triagem'!$D$8:$D$507,MATCH($B347,'E2 — Triagem'!$B$8:$B$507,0)),""))</f>
        <v/>
      </c>
      <c r="E347" s="435"/>
      <c r="F347" s="435"/>
      <c r="G347" s="435"/>
      <c r="H347" s="435"/>
      <c r="I347" s="435"/>
      <c r="J347" s="435"/>
      <c r="K347" s="435"/>
      <c r="L347" s="436" t="str">
        <f t="shared" si="6"/>
        <v/>
      </c>
      <c r="M347" s="437"/>
      <c r="N347" s="438"/>
    </row>
    <row r="348" spans="2:14" x14ac:dyDescent="0.35">
      <c r="B348" s="433" t="str">
        <f>IF(Lançamentos!$B343="","",Lançamentos!$B343)</f>
        <v/>
      </c>
      <c r="C348" s="434" t="str">
        <f>IF($B348="","",IFERROR(INDEX(Lançamentos!$J$3:$J$1001,MATCH($B348,Lançamentos!$B$3:$B$1001,0)),""))</f>
        <v/>
      </c>
      <c r="D348" s="435" t="str">
        <f>IF($B348="","",IFERROR(INDEX('E2 — Triagem'!$D$8:$D$507,MATCH($B348,'E2 — Triagem'!$B$8:$B$507,0)),""))</f>
        <v/>
      </c>
      <c r="E348" s="435"/>
      <c r="F348" s="435"/>
      <c r="G348" s="435"/>
      <c r="H348" s="435"/>
      <c r="I348" s="435"/>
      <c r="J348" s="435"/>
      <c r="K348" s="435"/>
      <c r="L348" s="436" t="str">
        <f t="shared" si="6"/>
        <v/>
      </c>
      <c r="M348" s="437"/>
      <c r="N348" s="438"/>
    </row>
    <row r="349" spans="2:14" x14ac:dyDescent="0.35">
      <c r="B349" s="433" t="str">
        <f>IF(Lançamentos!$B344="","",Lançamentos!$B344)</f>
        <v/>
      </c>
      <c r="C349" s="434" t="str">
        <f>IF($B349="","",IFERROR(INDEX(Lançamentos!$J$3:$J$1001,MATCH($B349,Lançamentos!$B$3:$B$1001,0)),""))</f>
        <v/>
      </c>
      <c r="D349" s="435" t="str">
        <f>IF($B349="","",IFERROR(INDEX('E2 — Triagem'!$D$8:$D$507,MATCH($B349,'E2 — Triagem'!$B$8:$B$507,0)),""))</f>
        <v/>
      </c>
      <c r="E349" s="435"/>
      <c r="F349" s="435"/>
      <c r="G349" s="435"/>
      <c r="H349" s="435"/>
      <c r="I349" s="435"/>
      <c r="J349" s="435"/>
      <c r="K349" s="435"/>
      <c r="L349" s="436" t="str">
        <f t="shared" si="6"/>
        <v/>
      </c>
      <c r="M349" s="437"/>
      <c r="N349" s="438"/>
    </row>
    <row r="350" spans="2:14" x14ac:dyDescent="0.35">
      <c r="B350" s="433" t="str">
        <f>IF(Lançamentos!$B345="","",Lançamentos!$B345)</f>
        <v/>
      </c>
      <c r="C350" s="434" t="str">
        <f>IF($B350="","",IFERROR(INDEX(Lançamentos!$J$3:$J$1001,MATCH($B350,Lançamentos!$B$3:$B$1001,0)),""))</f>
        <v/>
      </c>
      <c r="D350" s="435" t="str">
        <f>IF($B350="","",IFERROR(INDEX('E2 — Triagem'!$D$8:$D$507,MATCH($B350,'E2 — Triagem'!$B$8:$B$507,0)),""))</f>
        <v/>
      </c>
      <c r="E350" s="435"/>
      <c r="F350" s="435"/>
      <c r="G350" s="435"/>
      <c r="H350" s="435"/>
      <c r="I350" s="435"/>
      <c r="J350" s="435"/>
      <c r="K350" s="435"/>
      <c r="L350" s="436" t="str">
        <f t="shared" si="6"/>
        <v/>
      </c>
      <c r="M350" s="437"/>
      <c r="N350" s="438"/>
    </row>
    <row r="351" spans="2:14" x14ac:dyDescent="0.35">
      <c r="B351" s="433" t="str">
        <f>IF(Lançamentos!$B346="","",Lançamentos!$B346)</f>
        <v/>
      </c>
      <c r="C351" s="434" t="str">
        <f>IF($B351="","",IFERROR(INDEX(Lançamentos!$J$3:$J$1001,MATCH($B351,Lançamentos!$B$3:$B$1001,0)),""))</f>
        <v/>
      </c>
      <c r="D351" s="435" t="str">
        <f>IF($B351="","",IFERROR(INDEX('E2 — Triagem'!$D$8:$D$507,MATCH($B351,'E2 — Triagem'!$B$8:$B$507,0)),""))</f>
        <v/>
      </c>
      <c r="E351" s="435"/>
      <c r="F351" s="435"/>
      <c r="G351" s="435"/>
      <c r="H351" s="435"/>
      <c r="I351" s="435"/>
      <c r="J351" s="435"/>
      <c r="K351" s="435"/>
      <c r="L351" s="436" t="str">
        <f t="shared" si="6"/>
        <v/>
      </c>
      <c r="M351" s="437"/>
      <c r="N351" s="438"/>
    </row>
    <row r="352" spans="2:14" x14ac:dyDescent="0.35">
      <c r="B352" s="433" t="str">
        <f>IF(Lançamentos!$B347="","",Lançamentos!$B347)</f>
        <v/>
      </c>
      <c r="C352" s="434" t="str">
        <f>IF($B352="","",IFERROR(INDEX(Lançamentos!$J$3:$J$1001,MATCH($B352,Lançamentos!$B$3:$B$1001,0)),""))</f>
        <v/>
      </c>
      <c r="D352" s="435" t="str">
        <f>IF($B352="","",IFERROR(INDEX('E2 — Triagem'!$D$8:$D$507,MATCH($B352,'E2 — Triagem'!$B$8:$B$507,0)),""))</f>
        <v/>
      </c>
      <c r="E352" s="435"/>
      <c r="F352" s="435"/>
      <c r="G352" s="435"/>
      <c r="H352" s="435"/>
      <c r="I352" s="435"/>
      <c r="J352" s="435"/>
      <c r="K352" s="435"/>
      <c r="L352" s="436" t="str">
        <f t="shared" si="6"/>
        <v/>
      </c>
      <c r="M352" s="437"/>
      <c r="N352" s="438"/>
    </row>
    <row r="353" spans="2:14" x14ac:dyDescent="0.35">
      <c r="B353" s="433" t="str">
        <f>IF(Lançamentos!$B348="","",Lançamentos!$B348)</f>
        <v/>
      </c>
      <c r="C353" s="434" t="str">
        <f>IF($B353="","",IFERROR(INDEX(Lançamentos!$J$3:$J$1001,MATCH($B353,Lançamentos!$B$3:$B$1001,0)),""))</f>
        <v/>
      </c>
      <c r="D353" s="435" t="str">
        <f>IF($B353="","",IFERROR(INDEX('E2 — Triagem'!$D$8:$D$507,MATCH($B353,'E2 — Triagem'!$B$8:$B$507,0)),""))</f>
        <v/>
      </c>
      <c r="E353" s="435"/>
      <c r="F353" s="435"/>
      <c r="G353" s="435"/>
      <c r="H353" s="435"/>
      <c r="I353" s="435"/>
      <c r="J353" s="435"/>
      <c r="K353" s="435"/>
      <c r="L353" s="436" t="str">
        <f t="shared" si="6"/>
        <v/>
      </c>
      <c r="M353" s="437"/>
      <c r="N353" s="438"/>
    </row>
    <row r="354" spans="2:14" x14ac:dyDescent="0.35">
      <c r="B354" s="433" t="str">
        <f>IF(Lançamentos!$B349="","",Lançamentos!$B349)</f>
        <v/>
      </c>
      <c r="C354" s="434" t="str">
        <f>IF($B354="","",IFERROR(INDEX(Lançamentos!$J$3:$J$1001,MATCH($B354,Lançamentos!$B$3:$B$1001,0)),""))</f>
        <v/>
      </c>
      <c r="D354" s="435" t="str">
        <f>IF($B354="","",IFERROR(INDEX('E2 — Triagem'!$D$8:$D$507,MATCH($B354,'E2 — Triagem'!$B$8:$B$507,0)),""))</f>
        <v/>
      </c>
      <c r="E354" s="435"/>
      <c r="F354" s="435"/>
      <c r="G354" s="435"/>
      <c r="H354" s="435"/>
      <c r="I354" s="435"/>
      <c r="J354" s="435"/>
      <c r="K354" s="435"/>
      <c r="L354" s="436" t="str">
        <f t="shared" si="6"/>
        <v/>
      </c>
      <c r="M354" s="437"/>
      <c r="N354" s="438"/>
    </row>
    <row r="355" spans="2:14" x14ac:dyDescent="0.35">
      <c r="B355" s="433" t="str">
        <f>IF(Lançamentos!$B350="","",Lançamentos!$B350)</f>
        <v/>
      </c>
      <c r="C355" s="434" t="str">
        <f>IF($B355="","",IFERROR(INDEX(Lançamentos!$J$3:$J$1001,MATCH($B355,Lançamentos!$B$3:$B$1001,0)),""))</f>
        <v/>
      </c>
      <c r="D355" s="435" t="str">
        <f>IF($B355="","",IFERROR(INDEX('E2 — Triagem'!$D$8:$D$507,MATCH($B355,'E2 — Triagem'!$B$8:$B$507,0)),""))</f>
        <v/>
      </c>
      <c r="E355" s="435"/>
      <c r="F355" s="435"/>
      <c r="G355" s="435"/>
      <c r="H355" s="435"/>
      <c r="I355" s="435"/>
      <c r="J355" s="435"/>
      <c r="K355" s="435"/>
      <c r="L355" s="436" t="str">
        <f t="shared" si="6"/>
        <v/>
      </c>
      <c r="M355" s="437"/>
      <c r="N355" s="438"/>
    </row>
    <row r="356" spans="2:14" x14ac:dyDescent="0.35">
      <c r="B356" s="433" t="str">
        <f>IF(Lançamentos!$B351="","",Lançamentos!$B351)</f>
        <v/>
      </c>
      <c r="C356" s="434" t="str">
        <f>IF($B356="","",IFERROR(INDEX(Lançamentos!$J$3:$J$1001,MATCH($B356,Lançamentos!$B$3:$B$1001,0)),""))</f>
        <v/>
      </c>
      <c r="D356" s="435" t="str">
        <f>IF($B356="","",IFERROR(INDEX('E2 — Triagem'!$D$8:$D$507,MATCH($B356,'E2 — Triagem'!$B$8:$B$507,0)),""))</f>
        <v/>
      </c>
      <c r="E356" s="435"/>
      <c r="F356" s="435"/>
      <c r="G356" s="435"/>
      <c r="H356" s="435"/>
      <c r="I356" s="435"/>
      <c r="J356" s="435"/>
      <c r="K356" s="435"/>
      <c r="L356" s="436" t="str">
        <f t="shared" si="6"/>
        <v/>
      </c>
      <c r="M356" s="437"/>
      <c r="N356" s="438"/>
    </row>
    <row r="357" spans="2:14" x14ac:dyDescent="0.35">
      <c r="B357" s="433" t="str">
        <f>IF(Lançamentos!$B352="","",Lançamentos!$B352)</f>
        <v/>
      </c>
      <c r="C357" s="434" t="str">
        <f>IF($B357="","",IFERROR(INDEX(Lançamentos!$J$3:$J$1001,MATCH($B357,Lançamentos!$B$3:$B$1001,0)),""))</f>
        <v/>
      </c>
      <c r="D357" s="435" t="str">
        <f>IF($B357="","",IFERROR(INDEX('E2 — Triagem'!$D$8:$D$507,MATCH($B357,'E2 — Triagem'!$B$8:$B$507,0)),""))</f>
        <v/>
      </c>
      <c r="E357" s="435"/>
      <c r="F357" s="435"/>
      <c r="G357" s="435"/>
      <c r="H357" s="435"/>
      <c r="I357" s="435"/>
      <c r="J357" s="435"/>
      <c r="K357" s="435"/>
      <c r="L357" s="436" t="str">
        <f t="shared" si="6"/>
        <v/>
      </c>
      <c r="M357" s="437"/>
      <c r="N357" s="438"/>
    </row>
    <row r="358" spans="2:14" x14ac:dyDescent="0.35">
      <c r="B358" s="433" t="str">
        <f>IF(Lançamentos!$B353="","",Lançamentos!$B353)</f>
        <v/>
      </c>
      <c r="C358" s="434" t="str">
        <f>IF($B358="","",IFERROR(INDEX(Lançamentos!$J$3:$J$1001,MATCH($B358,Lançamentos!$B$3:$B$1001,0)),""))</f>
        <v/>
      </c>
      <c r="D358" s="435" t="str">
        <f>IF($B358="","",IFERROR(INDEX('E2 — Triagem'!$D$8:$D$507,MATCH($B358,'E2 — Triagem'!$B$8:$B$507,0)),""))</f>
        <v/>
      </c>
      <c r="E358" s="435"/>
      <c r="F358" s="435"/>
      <c r="G358" s="435"/>
      <c r="H358" s="435"/>
      <c r="I358" s="435"/>
      <c r="J358" s="435"/>
      <c r="K358" s="435"/>
      <c r="L358" s="436" t="str">
        <f t="shared" si="6"/>
        <v/>
      </c>
      <c r="M358" s="437"/>
      <c r="N358" s="438"/>
    </row>
    <row r="359" spans="2:14" x14ac:dyDescent="0.35">
      <c r="B359" s="433" t="str">
        <f>IF(Lançamentos!$B354="","",Lançamentos!$B354)</f>
        <v/>
      </c>
      <c r="C359" s="434" t="str">
        <f>IF($B359="","",IFERROR(INDEX(Lançamentos!$J$3:$J$1001,MATCH($B359,Lançamentos!$B$3:$B$1001,0)),""))</f>
        <v/>
      </c>
      <c r="D359" s="435" t="str">
        <f>IF($B359="","",IFERROR(INDEX('E2 — Triagem'!$D$8:$D$507,MATCH($B359,'E2 — Triagem'!$B$8:$B$507,0)),""))</f>
        <v/>
      </c>
      <c r="E359" s="435"/>
      <c r="F359" s="435"/>
      <c r="G359" s="435"/>
      <c r="H359" s="435"/>
      <c r="I359" s="435"/>
      <c r="J359" s="435"/>
      <c r="K359" s="435"/>
      <c r="L359" s="436" t="str">
        <f t="shared" si="6"/>
        <v/>
      </c>
      <c r="M359" s="437"/>
      <c r="N359" s="438"/>
    </row>
    <row r="360" spans="2:14" x14ac:dyDescent="0.35">
      <c r="B360" s="433" t="str">
        <f>IF(Lançamentos!$B355="","",Lançamentos!$B355)</f>
        <v/>
      </c>
      <c r="C360" s="434" t="str">
        <f>IF($B360="","",IFERROR(INDEX(Lançamentos!$J$3:$J$1001,MATCH($B360,Lançamentos!$B$3:$B$1001,0)),""))</f>
        <v/>
      </c>
      <c r="D360" s="435" t="str">
        <f>IF($B360="","",IFERROR(INDEX('E2 — Triagem'!$D$8:$D$507,MATCH($B360,'E2 — Triagem'!$B$8:$B$507,0)),""))</f>
        <v/>
      </c>
      <c r="E360" s="435"/>
      <c r="F360" s="435"/>
      <c r="G360" s="435"/>
      <c r="H360" s="435"/>
      <c r="I360" s="435"/>
      <c r="J360" s="435"/>
      <c r="K360" s="435"/>
      <c r="L360" s="436" t="str">
        <f t="shared" si="6"/>
        <v/>
      </c>
      <c r="M360" s="437"/>
      <c r="N360" s="438"/>
    </row>
    <row r="361" spans="2:14" x14ac:dyDescent="0.35">
      <c r="B361" s="433" t="str">
        <f>IF(Lançamentos!$B356="","",Lançamentos!$B356)</f>
        <v/>
      </c>
      <c r="C361" s="434" t="str">
        <f>IF($B361="","",IFERROR(INDEX(Lançamentos!$J$3:$J$1001,MATCH($B361,Lançamentos!$B$3:$B$1001,0)),""))</f>
        <v/>
      </c>
      <c r="D361" s="435" t="str">
        <f>IF($B361="","",IFERROR(INDEX('E2 — Triagem'!$D$8:$D$507,MATCH($B361,'E2 — Triagem'!$B$8:$B$507,0)),""))</f>
        <v/>
      </c>
      <c r="E361" s="435"/>
      <c r="F361" s="435"/>
      <c r="G361" s="435"/>
      <c r="H361" s="435"/>
      <c r="I361" s="435"/>
      <c r="J361" s="435"/>
      <c r="K361" s="435"/>
      <c r="L361" s="436" t="str">
        <f t="shared" si="6"/>
        <v/>
      </c>
      <c r="M361" s="437"/>
      <c r="N361" s="438"/>
    </row>
    <row r="362" spans="2:14" x14ac:dyDescent="0.35">
      <c r="B362" s="433" t="str">
        <f>IF(Lançamentos!$B357="","",Lançamentos!$B357)</f>
        <v/>
      </c>
      <c r="C362" s="434" t="str">
        <f>IF($B362="","",IFERROR(INDEX(Lançamentos!$J$3:$J$1001,MATCH($B362,Lançamentos!$B$3:$B$1001,0)),""))</f>
        <v/>
      </c>
      <c r="D362" s="435" t="str">
        <f>IF($B362="","",IFERROR(INDEX('E2 — Triagem'!$D$8:$D$507,MATCH($B362,'E2 — Triagem'!$B$8:$B$507,0)),""))</f>
        <v/>
      </c>
      <c r="E362" s="435"/>
      <c r="F362" s="435"/>
      <c r="G362" s="435"/>
      <c r="H362" s="435"/>
      <c r="I362" s="435"/>
      <c r="J362" s="435"/>
      <c r="K362" s="435"/>
      <c r="L362" s="436" t="str">
        <f t="shared" si="6"/>
        <v/>
      </c>
      <c r="M362" s="437"/>
      <c r="N362" s="438"/>
    </row>
    <row r="363" spans="2:14" x14ac:dyDescent="0.35">
      <c r="B363" s="433" t="str">
        <f>IF(Lançamentos!$B358="","",Lançamentos!$B358)</f>
        <v/>
      </c>
      <c r="C363" s="434" t="str">
        <f>IF($B363="","",IFERROR(INDEX(Lançamentos!$J$3:$J$1001,MATCH($B363,Lançamentos!$B$3:$B$1001,0)),""))</f>
        <v/>
      </c>
      <c r="D363" s="435" t="str">
        <f>IF($B363="","",IFERROR(INDEX('E2 — Triagem'!$D$8:$D$507,MATCH($B363,'E2 — Triagem'!$B$8:$B$507,0)),""))</f>
        <v/>
      </c>
      <c r="E363" s="435"/>
      <c r="F363" s="435"/>
      <c r="G363" s="435"/>
      <c r="H363" s="435"/>
      <c r="I363" s="435"/>
      <c r="J363" s="435"/>
      <c r="K363" s="435"/>
      <c r="L363" s="436" t="str">
        <f t="shared" si="6"/>
        <v/>
      </c>
      <c r="M363" s="437"/>
      <c r="N363" s="438"/>
    </row>
    <row r="364" spans="2:14" x14ac:dyDescent="0.35">
      <c r="B364" s="433" t="str">
        <f>IF(Lançamentos!$B359="","",Lançamentos!$B359)</f>
        <v/>
      </c>
      <c r="C364" s="434" t="str">
        <f>IF($B364="","",IFERROR(INDEX(Lançamentos!$J$3:$J$1001,MATCH($B364,Lançamentos!$B$3:$B$1001,0)),""))</f>
        <v/>
      </c>
      <c r="D364" s="435" t="str">
        <f>IF($B364="","",IFERROR(INDEX('E2 — Triagem'!$D$8:$D$507,MATCH($B364,'E2 — Triagem'!$B$8:$B$507,0)),""))</f>
        <v/>
      </c>
      <c r="E364" s="435"/>
      <c r="F364" s="435"/>
      <c r="G364" s="435"/>
      <c r="H364" s="435"/>
      <c r="I364" s="435"/>
      <c r="J364" s="435"/>
      <c r="K364" s="435"/>
      <c r="L364" s="436" t="str">
        <f t="shared" si="6"/>
        <v/>
      </c>
      <c r="M364" s="437"/>
      <c r="N364" s="438"/>
    </row>
    <row r="365" spans="2:14" x14ac:dyDescent="0.35">
      <c r="B365" s="433" t="str">
        <f>IF(Lançamentos!$B360="","",Lançamentos!$B360)</f>
        <v/>
      </c>
      <c r="C365" s="434" t="str">
        <f>IF($B365="","",IFERROR(INDEX(Lançamentos!$J$3:$J$1001,MATCH($B365,Lançamentos!$B$3:$B$1001,0)),""))</f>
        <v/>
      </c>
      <c r="D365" s="435" t="str">
        <f>IF($B365="","",IFERROR(INDEX('E2 — Triagem'!$D$8:$D$507,MATCH($B365,'E2 — Triagem'!$B$8:$B$507,0)),""))</f>
        <v/>
      </c>
      <c r="E365" s="435"/>
      <c r="F365" s="435"/>
      <c r="G365" s="435"/>
      <c r="H365" s="435"/>
      <c r="I365" s="435"/>
      <c r="J365" s="435"/>
      <c r="K365" s="435"/>
      <c r="L365" s="436" t="str">
        <f t="shared" si="6"/>
        <v/>
      </c>
      <c r="M365" s="437"/>
      <c r="N365" s="438"/>
    </row>
    <row r="366" spans="2:14" x14ac:dyDescent="0.35">
      <c r="B366" s="433" t="str">
        <f>IF(Lançamentos!$B361="","",Lançamentos!$B361)</f>
        <v/>
      </c>
      <c r="C366" s="434" t="str">
        <f>IF($B366="","",IFERROR(INDEX(Lançamentos!$J$3:$J$1001,MATCH($B366,Lançamentos!$B$3:$B$1001,0)),""))</f>
        <v/>
      </c>
      <c r="D366" s="435" t="str">
        <f>IF($B366="","",IFERROR(INDEX('E2 — Triagem'!$D$8:$D$507,MATCH($B366,'E2 — Triagem'!$B$8:$B$507,0)),""))</f>
        <v/>
      </c>
      <c r="E366" s="435"/>
      <c r="F366" s="435"/>
      <c r="G366" s="435"/>
      <c r="H366" s="435"/>
      <c r="I366" s="435"/>
      <c r="J366" s="435"/>
      <c r="K366" s="435"/>
      <c r="L366" s="436" t="str">
        <f t="shared" si="6"/>
        <v/>
      </c>
      <c r="M366" s="437"/>
      <c r="N366" s="438"/>
    </row>
    <row r="367" spans="2:14" x14ac:dyDescent="0.35">
      <c r="B367" s="433" t="str">
        <f>IF(Lançamentos!$B362="","",Lançamentos!$B362)</f>
        <v/>
      </c>
      <c r="C367" s="434" t="str">
        <f>IF($B367="","",IFERROR(INDEX(Lançamentos!$J$3:$J$1001,MATCH($B367,Lançamentos!$B$3:$B$1001,0)),""))</f>
        <v/>
      </c>
      <c r="D367" s="435" t="str">
        <f>IF($B367="","",IFERROR(INDEX('E2 — Triagem'!$D$8:$D$507,MATCH($B367,'E2 — Triagem'!$B$8:$B$507,0)),""))</f>
        <v/>
      </c>
      <c r="E367" s="435"/>
      <c r="F367" s="435"/>
      <c r="G367" s="435"/>
      <c r="H367" s="435"/>
      <c r="I367" s="435"/>
      <c r="J367" s="435"/>
      <c r="K367" s="435"/>
      <c r="L367" s="436" t="str">
        <f t="shared" si="6"/>
        <v/>
      </c>
      <c r="M367" s="437"/>
      <c r="N367" s="438"/>
    </row>
    <row r="368" spans="2:14" x14ac:dyDescent="0.35">
      <c r="B368" s="433" t="str">
        <f>IF(Lançamentos!$B363="","",Lançamentos!$B363)</f>
        <v/>
      </c>
      <c r="C368" s="434" t="str">
        <f>IF($B368="","",IFERROR(INDEX(Lançamentos!$J$3:$J$1001,MATCH($B368,Lançamentos!$B$3:$B$1001,0)),""))</f>
        <v/>
      </c>
      <c r="D368" s="435" t="str">
        <f>IF($B368="","",IFERROR(INDEX('E2 — Triagem'!$D$8:$D$507,MATCH($B368,'E2 — Triagem'!$B$8:$B$507,0)),""))</f>
        <v/>
      </c>
      <c r="E368" s="435"/>
      <c r="F368" s="435"/>
      <c r="G368" s="435"/>
      <c r="H368" s="435"/>
      <c r="I368" s="435"/>
      <c r="J368" s="435"/>
      <c r="K368" s="435"/>
      <c r="L368" s="436" t="str">
        <f t="shared" si="6"/>
        <v/>
      </c>
      <c r="M368" s="437"/>
      <c r="N368" s="438"/>
    </row>
    <row r="369" spans="2:14" x14ac:dyDescent="0.35">
      <c r="B369" s="433" t="str">
        <f>IF(Lançamentos!$B364="","",Lançamentos!$B364)</f>
        <v/>
      </c>
      <c r="C369" s="434" t="str">
        <f>IF($B369="","",IFERROR(INDEX(Lançamentos!$J$3:$J$1001,MATCH($B369,Lançamentos!$B$3:$B$1001,0)),""))</f>
        <v/>
      </c>
      <c r="D369" s="435" t="str">
        <f>IF($B369="","",IFERROR(INDEX('E2 — Triagem'!$D$8:$D$507,MATCH($B369,'E2 — Triagem'!$B$8:$B$507,0)),""))</f>
        <v/>
      </c>
      <c r="E369" s="435"/>
      <c r="F369" s="435"/>
      <c r="G369" s="435"/>
      <c r="H369" s="435"/>
      <c r="I369" s="435"/>
      <c r="J369" s="435"/>
      <c r="K369" s="435"/>
      <c r="L369" s="436" t="str">
        <f t="shared" si="6"/>
        <v/>
      </c>
      <c r="M369" s="437"/>
      <c r="N369" s="438"/>
    </row>
    <row r="370" spans="2:14" x14ac:dyDescent="0.35">
      <c r="B370" s="433" t="str">
        <f>IF(Lançamentos!$B365="","",Lançamentos!$B365)</f>
        <v/>
      </c>
      <c r="C370" s="434" t="str">
        <f>IF($B370="","",IFERROR(INDEX(Lançamentos!$J$3:$J$1001,MATCH($B370,Lançamentos!$B$3:$B$1001,0)),""))</f>
        <v/>
      </c>
      <c r="D370" s="435" t="str">
        <f>IF($B370="","",IFERROR(INDEX('E2 — Triagem'!$D$8:$D$507,MATCH($B370,'E2 — Triagem'!$B$8:$B$507,0)),""))</f>
        <v/>
      </c>
      <c r="E370" s="435"/>
      <c r="F370" s="435"/>
      <c r="G370" s="435"/>
      <c r="H370" s="435"/>
      <c r="I370" s="435"/>
      <c r="J370" s="435"/>
      <c r="K370" s="435"/>
      <c r="L370" s="436" t="str">
        <f t="shared" si="6"/>
        <v/>
      </c>
      <c r="M370" s="437"/>
      <c r="N370" s="438"/>
    </row>
    <row r="371" spans="2:14" x14ac:dyDescent="0.35">
      <c r="B371" s="433" t="str">
        <f>IF(Lançamentos!$B366="","",Lançamentos!$B366)</f>
        <v/>
      </c>
      <c r="C371" s="434" t="str">
        <f>IF($B371="","",IFERROR(INDEX(Lançamentos!$J$3:$J$1001,MATCH($B371,Lançamentos!$B$3:$B$1001,0)),""))</f>
        <v/>
      </c>
      <c r="D371" s="435" t="str">
        <f>IF($B371="","",IFERROR(INDEX('E2 — Triagem'!$D$8:$D$507,MATCH($B371,'E2 — Triagem'!$B$8:$B$507,0)),""))</f>
        <v/>
      </c>
      <c r="E371" s="435"/>
      <c r="F371" s="435"/>
      <c r="G371" s="435"/>
      <c r="H371" s="435"/>
      <c r="I371" s="435"/>
      <c r="J371" s="435"/>
      <c r="K371" s="435"/>
      <c r="L371" s="436" t="str">
        <f t="shared" si="6"/>
        <v/>
      </c>
      <c r="M371" s="437"/>
      <c r="N371" s="438"/>
    </row>
    <row r="372" spans="2:14" x14ac:dyDescent="0.35">
      <c r="B372" s="433" t="str">
        <f>IF(Lançamentos!$B367="","",Lançamentos!$B367)</f>
        <v/>
      </c>
      <c r="C372" s="434" t="str">
        <f>IF($B372="","",IFERROR(INDEX(Lançamentos!$J$3:$J$1001,MATCH($B372,Lançamentos!$B$3:$B$1001,0)),""))</f>
        <v/>
      </c>
      <c r="D372" s="435" t="str">
        <f>IF($B372="","",IFERROR(INDEX('E2 — Triagem'!$D$8:$D$507,MATCH($B372,'E2 — Triagem'!$B$8:$B$507,0)),""))</f>
        <v/>
      </c>
      <c r="E372" s="435"/>
      <c r="F372" s="435"/>
      <c r="G372" s="435"/>
      <c r="H372" s="435"/>
      <c r="I372" s="435"/>
      <c r="J372" s="435"/>
      <c r="K372" s="435"/>
      <c r="L372" s="436" t="str">
        <f t="shared" si="6"/>
        <v/>
      </c>
      <c r="M372" s="437"/>
      <c r="N372" s="438"/>
    </row>
    <row r="373" spans="2:14" x14ac:dyDescent="0.35">
      <c r="B373" s="433" t="str">
        <f>IF(Lançamentos!$B368="","",Lançamentos!$B368)</f>
        <v/>
      </c>
      <c r="C373" s="434" t="str">
        <f>IF($B373="","",IFERROR(INDEX(Lançamentos!$J$3:$J$1001,MATCH($B373,Lançamentos!$B$3:$B$1001,0)),""))</f>
        <v/>
      </c>
      <c r="D373" s="435" t="str">
        <f>IF($B373="","",IFERROR(INDEX('E2 — Triagem'!$D$8:$D$507,MATCH($B373,'E2 — Triagem'!$B$8:$B$507,0)),""))</f>
        <v/>
      </c>
      <c r="E373" s="435"/>
      <c r="F373" s="435"/>
      <c r="G373" s="435"/>
      <c r="H373" s="435"/>
      <c r="I373" s="435"/>
      <c r="J373" s="435"/>
      <c r="K373" s="435"/>
      <c r="L373" s="436" t="str">
        <f t="shared" si="6"/>
        <v/>
      </c>
      <c r="M373" s="437"/>
      <c r="N373" s="438"/>
    </row>
    <row r="374" spans="2:14" x14ac:dyDescent="0.35">
      <c r="B374" s="433" t="str">
        <f>IF(Lançamentos!$B369="","",Lançamentos!$B369)</f>
        <v/>
      </c>
      <c r="C374" s="434" t="str">
        <f>IF($B374="","",IFERROR(INDEX(Lançamentos!$J$3:$J$1001,MATCH($B374,Lançamentos!$B$3:$B$1001,0)),""))</f>
        <v/>
      </c>
      <c r="D374" s="435" t="str">
        <f>IF($B374="","",IFERROR(INDEX('E2 — Triagem'!$D$8:$D$507,MATCH($B374,'E2 — Triagem'!$B$8:$B$507,0)),""))</f>
        <v/>
      </c>
      <c r="E374" s="435"/>
      <c r="F374" s="435"/>
      <c r="G374" s="435"/>
      <c r="H374" s="435"/>
      <c r="I374" s="435"/>
      <c r="J374" s="435"/>
      <c r="K374" s="435"/>
      <c r="L374" s="436" t="str">
        <f t="shared" si="6"/>
        <v/>
      </c>
      <c r="M374" s="437"/>
      <c r="N374" s="438"/>
    </row>
    <row r="375" spans="2:14" x14ac:dyDescent="0.35">
      <c r="B375" s="433" t="str">
        <f>IF(Lançamentos!$B370="","",Lançamentos!$B370)</f>
        <v/>
      </c>
      <c r="C375" s="434" t="str">
        <f>IF($B375="","",IFERROR(INDEX(Lançamentos!$J$3:$J$1001,MATCH($B375,Lançamentos!$B$3:$B$1001,0)),""))</f>
        <v/>
      </c>
      <c r="D375" s="435" t="str">
        <f>IF($B375="","",IFERROR(INDEX('E2 — Triagem'!$D$8:$D$507,MATCH($B375,'E2 — Triagem'!$B$8:$B$507,0)),""))</f>
        <v/>
      </c>
      <c r="E375" s="435"/>
      <c r="F375" s="435"/>
      <c r="G375" s="435"/>
      <c r="H375" s="435"/>
      <c r="I375" s="435"/>
      <c r="J375" s="435"/>
      <c r="K375" s="435"/>
      <c r="L375" s="436" t="str">
        <f t="shared" si="6"/>
        <v/>
      </c>
      <c r="M375" s="437"/>
      <c r="N375" s="438"/>
    </row>
    <row r="376" spans="2:14" x14ac:dyDescent="0.35">
      <c r="B376" s="433" t="str">
        <f>IF(Lançamentos!$B371="","",Lançamentos!$B371)</f>
        <v/>
      </c>
      <c r="C376" s="434" t="str">
        <f>IF($B376="","",IFERROR(INDEX(Lançamentos!$J$3:$J$1001,MATCH($B376,Lançamentos!$B$3:$B$1001,0)),""))</f>
        <v/>
      </c>
      <c r="D376" s="435" t="str">
        <f>IF($B376="","",IFERROR(INDEX('E2 — Triagem'!$D$8:$D$507,MATCH($B376,'E2 — Triagem'!$B$8:$B$507,0)),""))</f>
        <v/>
      </c>
      <c r="E376" s="435"/>
      <c r="F376" s="435"/>
      <c r="G376" s="435"/>
      <c r="H376" s="435"/>
      <c r="I376" s="435"/>
      <c r="J376" s="435"/>
      <c r="K376" s="435"/>
      <c r="L376" s="436" t="str">
        <f t="shared" si="6"/>
        <v/>
      </c>
      <c r="M376" s="437"/>
      <c r="N376" s="438"/>
    </row>
    <row r="377" spans="2:14" x14ac:dyDescent="0.35">
      <c r="B377" s="433" t="str">
        <f>IF(Lançamentos!$B372="","",Lançamentos!$B372)</f>
        <v/>
      </c>
      <c r="C377" s="434" t="str">
        <f>IF($B377="","",IFERROR(INDEX(Lançamentos!$J$3:$J$1001,MATCH($B377,Lançamentos!$B$3:$B$1001,0)),""))</f>
        <v/>
      </c>
      <c r="D377" s="435" t="str">
        <f>IF($B377="","",IFERROR(INDEX('E2 — Triagem'!$D$8:$D$507,MATCH($B377,'E2 — Triagem'!$B$8:$B$507,0)),""))</f>
        <v/>
      </c>
      <c r="E377" s="435"/>
      <c r="F377" s="435"/>
      <c r="G377" s="435"/>
      <c r="H377" s="435"/>
      <c r="I377" s="435"/>
      <c r="J377" s="435"/>
      <c r="K377" s="435"/>
      <c r="L377" s="436" t="str">
        <f t="shared" si="6"/>
        <v/>
      </c>
      <c r="M377" s="437"/>
      <c r="N377" s="438"/>
    </row>
    <row r="378" spans="2:14" x14ac:dyDescent="0.35">
      <c r="B378" s="433" t="str">
        <f>IF(Lançamentos!$B373="","",Lançamentos!$B373)</f>
        <v/>
      </c>
      <c r="C378" s="434" t="str">
        <f>IF($B378="","",IFERROR(INDEX(Lançamentos!$J$3:$J$1001,MATCH($B378,Lançamentos!$B$3:$B$1001,0)),""))</f>
        <v/>
      </c>
      <c r="D378" s="435" t="str">
        <f>IF($B378="","",IFERROR(INDEX('E2 — Triagem'!$D$8:$D$507,MATCH($B378,'E2 — Triagem'!$B$8:$B$507,0)),""))</f>
        <v/>
      </c>
      <c r="E378" s="435"/>
      <c r="F378" s="435"/>
      <c r="G378" s="435"/>
      <c r="H378" s="435"/>
      <c r="I378" s="435"/>
      <c r="J378" s="435"/>
      <c r="K378" s="435"/>
      <c r="L378" s="436" t="str">
        <f t="shared" si="6"/>
        <v/>
      </c>
      <c r="M378" s="437"/>
      <c r="N378" s="438"/>
    </row>
    <row r="379" spans="2:14" x14ac:dyDescent="0.35">
      <c r="B379" s="433" t="str">
        <f>IF(Lançamentos!$B374="","",Lançamentos!$B374)</f>
        <v/>
      </c>
      <c r="C379" s="434" t="str">
        <f>IF($B379="","",IFERROR(INDEX(Lançamentos!$J$3:$J$1001,MATCH($B379,Lançamentos!$B$3:$B$1001,0)),""))</f>
        <v/>
      </c>
      <c r="D379" s="435" t="str">
        <f>IF($B379="","",IFERROR(INDEX('E2 — Triagem'!$D$8:$D$507,MATCH($B379,'E2 — Triagem'!$B$8:$B$507,0)),""))</f>
        <v/>
      </c>
      <c r="E379" s="435"/>
      <c r="F379" s="435"/>
      <c r="G379" s="435"/>
      <c r="H379" s="435"/>
      <c r="I379" s="435"/>
      <c r="J379" s="435"/>
      <c r="K379" s="435"/>
      <c r="L379" s="436" t="str">
        <f t="shared" si="6"/>
        <v/>
      </c>
      <c r="M379" s="437"/>
      <c r="N379" s="438"/>
    </row>
    <row r="380" spans="2:14" x14ac:dyDescent="0.35">
      <c r="B380" s="433" t="str">
        <f>IF(Lançamentos!$B375="","",Lançamentos!$B375)</f>
        <v/>
      </c>
      <c r="C380" s="434" t="str">
        <f>IF($B380="","",IFERROR(INDEX(Lançamentos!$J$3:$J$1001,MATCH($B380,Lançamentos!$B$3:$B$1001,0)),""))</f>
        <v/>
      </c>
      <c r="D380" s="435" t="str">
        <f>IF($B380="","",IFERROR(INDEX('E2 — Triagem'!$D$8:$D$507,MATCH($B380,'E2 — Triagem'!$B$8:$B$507,0)),""))</f>
        <v/>
      </c>
      <c r="E380" s="435"/>
      <c r="F380" s="435"/>
      <c r="G380" s="435"/>
      <c r="H380" s="435"/>
      <c r="I380" s="435"/>
      <c r="J380" s="435"/>
      <c r="K380" s="435"/>
      <c r="L380" s="436" t="str">
        <f t="shared" si="6"/>
        <v/>
      </c>
      <c r="M380" s="437"/>
      <c r="N380" s="438"/>
    </row>
    <row r="381" spans="2:14" x14ac:dyDescent="0.35">
      <c r="B381" s="433" t="str">
        <f>IF(Lançamentos!$B376="","",Lançamentos!$B376)</f>
        <v/>
      </c>
      <c r="C381" s="434" t="str">
        <f>IF($B381="","",IFERROR(INDEX(Lançamentos!$J$3:$J$1001,MATCH($B381,Lançamentos!$B$3:$B$1001,0)),""))</f>
        <v/>
      </c>
      <c r="D381" s="435" t="str">
        <f>IF($B381="","",IFERROR(INDEX('E2 — Triagem'!$D$8:$D$507,MATCH($B381,'E2 — Triagem'!$B$8:$B$507,0)),""))</f>
        <v/>
      </c>
      <c r="E381" s="435"/>
      <c r="F381" s="435"/>
      <c r="G381" s="435"/>
      <c r="H381" s="435"/>
      <c r="I381" s="435"/>
      <c r="J381" s="435"/>
      <c r="K381" s="435"/>
      <c r="L381" s="436" t="str">
        <f t="shared" si="6"/>
        <v/>
      </c>
      <c r="M381" s="437"/>
      <c r="N381" s="438"/>
    </row>
    <row r="382" spans="2:14" x14ac:dyDescent="0.35">
      <c r="B382" s="433" t="str">
        <f>IF(Lançamentos!$B377="","",Lançamentos!$B377)</f>
        <v/>
      </c>
      <c r="C382" s="434" t="str">
        <f>IF($B382="","",IFERROR(INDEX(Lançamentos!$J$3:$J$1001,MATCH($B382,Lançamentos!$B$3:$B$1001,0)),""))</f>
        <v/>
      </c>
      <c r="D382" s="435" t="str">
        <f>IF($B382="","",IFERROR(INDEX('E2 — Triagem'!$D$8:$D$507,MATCH($B382,'E2 — Triagem'!$B$8:$B$507,0)),""))</f>
        <v/>
      </c>
      <c r="E382" s="435"/>
      <c r="F382" s="435"/>
      <c r="G382" s="435"/>
      <c r="H382" s="435"/>
      <c r="I382" s="435"/>
      <c r="J382" s="435"/>
      <c r="K382" s="435"/>
      <c r="L382" s="436" t="str">
        <f t="shared" si="6"/>
        <v/>
      </c>
      <c r="M382" s="437"/>
      <c r="N382" s="438"/>
    </row>
    <row r="383" spans="2:14" x14ac:dyDescent="0.35">
      <c r="B383" s="433" t="str">
        <f>IF(Lançamentos!$B378="","",Lançamentos!$B378)</f>
        <v/>
      </c>
      <c r="C383" s="434" t="str">
        <f>IF($B383="","",IFERROR(INDEX(Lançamentos!$J$3:$J$1001,MATCH($B383,Lançamentos!$B$3:$B$1001,0)),""))</f>
        <v/>
      </c>
      <c r="D383" s="435" t="str">
        <f>IF($B383="","",IFERROR(INDEX('E2 — Triagem'!$D$8:$D$507,MATCH($B383,'E2 — Triagem'!$B$8:$B$507,0)),""))</f>
        <v/>
      </c>
      <c r="E383" s="435"/>
      <c r="F383" s="435"/>
      <c r="G383" s="435"/>
      <c r="H383" s="435"/>
      <c r="I383" s="435"/>
      <c r="J383" s="435"/>
      <c r="K383" s="435"/>
      <c r="L383" s="436" t="str">
        <f t="shared" si="6"/>
        <v/>
      </c>
      <c r="M383" s="437"/>
      <c r="N383" s="438"/>
    </row>
    <row r="384" spans="2:14" x14ac:dyDescent="0.35">
      <c r="B384" s="433" t="str">
        <f>IF(Lançamentos!$B379="","",Lançamentos!$B379)</f>
        <v/>
      </c>
      <c r="C384" s="434" t="str">
        <f>IF($B384="","",IFERROR(INDEX(Lançamentos!$J$3:$J$1001,MATCH($B384,Lançamentos!$B$3:$B$1001,0)),""))</f>
        <v/>
      </c>
      <c r="D384" s="435" t="str">
        <f>IF($B384="","",IFERROR(INDEX('E2 — Triagem'!$D$8:$D$507,MATCH($B384,'E2 — Triagem'!$B$8:$B$507,0)),""))</f>
        <v/>
      </c>
      <c r="E384" s="435"/>
      <c r="F384" s="435"/>
      <c r="G384" s="435"/>
      <c r="H384" s="435"/>
      <c r="I384" s="435"/>
      <c r="J384" s="435"/>
      <c r="K384" s="435"/>
      <c r="L384" s="436" t="str">
        <f t="shared" si="6"/>
        <v/>
      </c>
      <c r="M384" s="437"/>
      <c r="N384" s="438"/>
    </row>
    <row r="385" spans="2:14" x14ac:dyDescent="0.35">
      <c r="B385" s="433" t="str">
        <f>IF(Lançamentos!$B380="","",Lançamentos!$B380)</f>
        <v/>
      </c>
      <c r="C385" s="434" t="str">
        <f>IF($B385="","",IFERROR(INDEX(Lançamentos!$J$3:$J$1001,MATCH($B385,Lançamentos!$B$3:$B$1001,0)),""))</f>
        <v/>
      </c>
      <c r="D385" s="435" t="str">
        <f>IF($B385="","",IFERROR(INDEX('E2 — Triagem'!$D$8:$D$507,MATCH($B385,'E2 — Triagem'!$B$8:$B$507,0)),""))</f>
        <v/>
      </c>
      <c r="E385" s="435"/>
      <c r="F385" s="435"/>
      <c r="G385" s="435"/>
      <c r="H385" s="435"/>
      <c r="I385" s="435"/>
      <c r="J385" s="435"/>
      <c r="K385" s="435"/>
      <c r="L385" s="436" t="str">
        <f t="shared" si="6"/>
        <v/>
      </c>
      <c r="M385" s="437"/>
      <c r="N385" s="438"/>
    </row>
    <row r="386" spans="2:14" x14ac:dyDescent="0.35">
      <c r="B386" s="433" t="str">
        <f>IF(Lançamentos!$B381="","",Lançamentos!$B381)</f>
        <v/>
      </c>
      <c r="C386" s="434" t="str">
        <f>IF($B386="","",IFERROR(INDEX(Lançamentos!$J$3:$J$1001,MATCH($B386,Lançamentos!$B$3:$B$1001,0)),""))</f>
        <v/>
      </c>
      <c r="D386" s="435" t="str">
        <f>IF($B386="","",IFERROR(INDEX('E2 — Triagem'!$D$8:$D$507,MATCH($B386,'E2 — Triagem'!$B$8:$B$507,0)),""))</f>
        <v/>
      </c>
      <c r="E386" s="435"/>
      <c r="F386" s="435"/>
      <c r="G386" s="435"/>
      <c r="H386" s="435"/>
      <c r="I386" s="435"/>
      <c r="J386" s="435"/>
      <c r="K386" s="435"/>
      <c r="L386" s="436" t="str">
        <f t="shared" si="6"/>
        <v/>
      </c>
      <c r="M386" s="437"/>
      <c r="N386" s="438"/>
    </row>
    <row r="387" spans="2:14" x14ac:dyDescent="0.35">
      <c r="B387" s="433" t="str">
        <f>IF(Lançamentos!$B382="","",Lançamentos!$B382)</f>
        <v/>
      </c>
      <c r="C387" s="434" t="str">
        <f>IF($B387="","",IFERROR(INDEX(Lançamentos!$J$3:$J$1001,MATCH($B387,Lançamentos!$B$3:$B$1001,0)),""))</f>
        <v/>
      </c>
      <c r="D387" s="435" t="str">
        <f>IF($B387="","",IFERROR(INDEX('E2 — Triagem'!$D$8:$D$507,MATCH($B387,'E2 — Triagem'!$B$8:$B$507,0)),""))</f>
        <v/>
      </c>
      <c r="E387" s="435"/>
      <c r="F387" s="435"/>
      <c r="G387" s="435"/>
      <c r="H387" s="435"/>
      <c r="I387" s="435"/>
      <c r="J387" s="435"/>
      <c r="K387" s="435"/>
      <c r="L387" s="436" t="str">
        <f t="shared" si="6"/>
        <v/>
      </c>
      <c r="M387" s="437"/>
      <c r="N387" s="438"/>
    </row>
    <row r="388" spans="2:14" x14ac:dyDescent="0.35">
      <c r="B388" s="433" t="str">
        <f>IF(Lançamentos!$B383="","",Lançamentos!$B383)</f>
        <v/>
      </c>
      <c r="C388" s="434" t="str">
        <f>IF($B388="","",IFERROR(INDEX(Lançamentos!$J$3:$J$1001,MATCH($B388,Lançamentos!$B$3:$B$1001,0)),""))</f>
        <v/>
      </c>
      <c r="D388" s="435" t="str">
        <f>IF($B388="","",IFERROR(INDEX('E2 — Triagem'!$D$8:$D$507,MATCH($B388,'E2 — Triagem'!$B$8:$B$507,0)),""))</f>
        <v/>
      </c>
      <c r="E388" s="435"/>
      <c r="F388" s="435"/>
      <c r="G388" s="435"/>
      <c r="H388" s="435"/>
      <c r="I388" s="435"/>
      <c r="J388" s="435"/>
      <c r="K388" s="435"/>
      <c r="L388" s="436" t="str">
        <f t="shared" si="6"/>
        <v/>
      </c>
      <c r="M388" s="437"/>
      <c r="N388" s="438"/>
    </row>
    <row r="389" spans="2:14" x14ac:dyDescent="0.35">
      <c r="B389" s="433" t="str">
        <f>IF(Lançamentos!$B384="","",Lançamentos!$B384)</f>
        <v/>
      </c>
      <c r="C389" s="434" t="str">
        <f>IF($B389="","",IFERROR(INDEX(Lançamentos!$J$3:$J$1001,MATCH($B389,Lançamentos!$B$3:$B$1001,0)),""))</f>
        <v/>
      </c>
      <c r="D389" s="435" t="str">
        <f>IF($B389="","",IFERROR(INDEX('E2 — Triagem'!$D$8:$D$507,MATCH($B389,'E2 — Triagem'!$B$8:$B$507,0)),""))</f>
        <v/>
      </c>
      <c r="E389" s="435"/>
      <c r="F389" s="435"/>
      <c r="G389" s="435"/>
      <c r="H389" s="435"/>
      <c r="I389" s="435"/>
      <c r="J389" s="435"/>
      <c r="K389" s="435"/>
      <c r="L389" s="436" t="str">
        <f t="shared" si="6"/>
        <v/>
      </c>
      <c r="M389" s="437"/>
      <c r="N389" s="438"/>
    </row>
    <row r="390" spans="2:14" x14ac:dyDescent="0.35">
      <c r="B390" s="433" t="str">
        <f>IF(Lançamentos!$B385="","",Lançamentos!$B385)</f>
        <v/>
      </c>
      <c r="C390" s="434" t="str">
        <f>IF($B390="","",IFERROR(INDEX(Lançamentos!$J$3:$J$1001,MATCH($B390,Lançamentos!$B$3:$B$1001,0)),""))</f>
        <v/>
      </c>
      <c r="D390" s="435" t="str">
        <f>IF($B390="","",IFERROR(INDEX('E2 — Triagem'!$D$8:$D$507,MATCH($B390,'E2 — Triagem'!$B$8:$B$507,0)),""))</f>
        <v/>
      </c>
      <c r="E390" s="435"/>
      <c r="F390" s="435"/>
      <c r="G390" s="435"/>
      <c r="H390" s="435"/>
      <c r="I390" s="435"/>
      <c r="J390" s="435"/>
      <c r="K390" s="435"/>
      <c r="L390" s="436" t="str">
        <f t="shared" si="6"/>
        <v/>
      </c>
      <c r="M390" s="437"/>
      <c r="N390" s="438"/>
    </row>
    <row r="391" spans="2:14" x14ac:dyDescent="0.35">
      <c r="B391" s="433" t="str">
        <f>IF(Lançamentos!$B386="","",Lançamentos!$B386)</f>
        <v/>
      </c>
      <c r="C391" s="434" t="str">
        <f>IF($B391="","",IFERROR(INDEX(Lançamentos!$J$3:$J$1001,MATCH($B391,Lançamentos!$B$3:$B$1001,0)),""))</f>
        <v/>
      </c>
      <c r="D391" s="435" t="str">
        <f>IF($B391="","",IFERROR(INDEX('E2 — Triagem'!$D$8:$D$507,MATCH($B391,'E2 — Triagem'!$B$8:$B$507,0)),""))</f>
        <v/>
      </c>
      <c r="E391" s="435"/>
      <c r="F391" s="435"/>
      <c r="G391" s="435"/>
      <c r="H391" s="435"/>
      <c r="I391" s="435"/>
      <c r="J391" s="435"/>
      <c r="K391" s="435"/>
      <c r="L391" s="436" t="str">
        <f t="shared" si="6"/>
        <v/>
      </c>
      <c r="M391" s="437"/>
      <c r="N391" s="438"/>
    </row>
    <row r="392" spans="2:14" x14ac:dyDescent="0.35">
      <c r="B392" s="433" t="str">
        <f>IF(Lançamentos!$B387="","",Lançamentos!$B387)</f>
        <v/>
      </c>
      <c r="C392" s="434" t="str">
        <f>IF($B392="","",IFERROR(INDEX(Lançamentos!$J$3:$J$1001,MATCH($B392,Lançamentos!$B$3:$B$1001,0)),""))</f>
        <v/>
      </c>
      <c r="D392" s="435" t="str">
        <f>IF($B392="","",IFERROR(INDEX('E2 — Triagem'!$D$8:$D$507,MATCH($B392,'E2 — Triagem'!$B$8:$B$507,0)),""))</f>
        <v/>
      </c>
      <c r="E392" s="435"/>
      <c r="F392" s="435"/>
      <c r="G392" s="435"/>
      <c r="H392" s="435"/>
      <c r="I392" s="435"/>
      <c r="J392" s="435"/>
      <c r="K392" s="435"/>
      <c r="L392" s="436" t="str">
        <f t="shared" si="6"/>
        <v/>
      </c>
      <c r="M392" s="437"/>
      <c r="N392" s="438"/>
    </row>
    <row r="393" spans="2:14" x14ac:dyDescent="0.35">
      <c r="B393" s="433" t="str">
        <f>IF(Lançamentos!$B388="","",Lançamentos!$B388)</f>
        <v/>
      </c>
      <c r="C393" s="434" t="str">
        <f>IF($B393="","",IFERROR(INDEX(Lançamentos!$J$3:$J$1001,MATCH($B393,Lançamentos!$B$3:$B$1001,0)),""))</f>
        <v/>
      </c>
      <c r="D393" s="435" t="str">
        <f>IF($B393="","",IFERROR(INDEX('E2 — Triagem'!$D$8:$D$507,MATCH($B393,'E2 — Triagem'!$B$8:$B$507,0)),""))</f>
        <v/>
      </c>
      <c r="E393" s="435"/>
      <c r="F393" s="435"/>
      <c r="G393" s="435"/>
      <c r="H393" s="435"/>
      <c r="I393" s="435"/>
      <c r="J393" s="435"/>
      <c r="K393" s="435"/>
      <c r="L393" s="436" t="str">
        <f t="shared" si="6"/>
        <v/>
      </c>
      <c r="M393" s="437"/>
      <c r="N393" s="438"/>
    </row>
    <row r="394" spans="2:14" x14ac:dyDescent="0.35">
      <c r="B394" s="433" t="str">
        <f>IF(Lançamentos!$B389="","",Lançamentos!$B389)</f>
        <v/>
      </c>
      <c r="C394" s="434" t="str">
        <f>IF($B394="","",IFERROR(INDEX(Lançamentos!$J$3:$J$1001,MATCH($B394,Lançamentos!$B$3:$B$1001,0)),""))</f>
        <v/>
      </c>
      <c r="D394" s="435" t="str">
        <f>IF($B394="","",IFERROR(INDEX('E2 — Triagem'!$D$8:$D$507,MATCH($B394,'E2 — Triagem'!$B$8:$B$507,0)),""))</f>
        <v/>
      </c>
      <c r="E394" s="435"/>
      <c r="F394" s="435"/>
      <c r="G394" s="435"/>
      <c r="H394" s="435"/>
      <c r="I394" s="435"/>
      <c r="J394" s="435"/>
      <c r="K394" s="435"/>
      <c r="L394" s="436" t="str">
        <f t="shared" si="6"/>
        <v/>
      </c>
      <c r="M394" s="437"/>
      <c r="N394" s="438"/>
    </row>
    <row r="395" spans="2:14" x14ac:dyDescent="0.35">
      <c r="B395" s="433" t="str">
        <f>IF(Lançamentos!$B390="","",Lançamentos!$B390)</f>
        <v/>
      </c>
      <c r="C395" s="434" t="str">
        <f>IF($B395="","",IFERROR(INDEX(Lançamentos!$J$3:$J$1001,MATCH($B395,Lançamentos!$B$3:$B$1001,0)),""))</f>
        <v/>
      </c>
      <c r="D395" s="435" t="str">
        <f>IF($B395="","",IFERROR(INDEX('E2 — Triagem'!$D$8:$D$507,MATCH($B395,'E2 — Triagem'!$B$8:$B$507,0)),""))</f>
        <v/>
      </c>
      <c r="E395" s="435"/>
      <c r="F395" s="435"/>
      <c r="G395" s="435"/>
      <c r="H395" s="435"/>
      <c r="I395" s="435"/>
      <c r="J395" s="435"/>
      <c r="K395" s="435"/>
      <c r="L395" s="436" t="str">
        <f t="shared" si="6"/>
        <v/>
      </c>
      <c r="M395" s="437"/>
      <c r="N395" s="438"/>
    </row>
    <row r="396" spans="2:14" x14ac:dyDescent="0.35">
      <c r="B396" s="433" t="str">
        <f>IF(Lançamentos!$B391="","",Lançamentos!$B391)</f>
        <v/>
      </c>
      <c r="C396" s="434" t="str">
        <f>IF($B396="","",IFERROR(INDEX(Lançamentos!$J$3:$J$1001,MATCH($B396,Lançamentos!$B$3:$B$1001,0)),""))</f>
        <v/>
      </c>
      <c r="D396" s="435" t="str">
        <f>IF($B396="","",IFERROR(INDEX('E2 — Triagem'!$D$8:$D$507,MATCH($B396,'E2 — Triagem'!$B$8:$B$507,0)),""))</f>
        <v/>
      </c>
      <c r="E396" s="435"/>
      <c r="F396" s="435"/>
      <c r="G396" s="435"/>
      <c r="H396" s="435"/>
      <c r="I396" s="435"/>
      <c r="J396" s="435"/>
      <c r="K396" s="435"/>
      <c r="L396" s="436" t="str">
        <f t="shared" si="6"/>
        <v/>
      </c>
      <c r="M396" s="437"/>
      <c r="N396" s="438"/>
    </row>
    <row r="397" spans="2:14" x14ac:dyDescent="0.35">
      <c r="B397" s="433" t="str">
        <f>IF(Lançamentos!$B392="","",Lançamentos!$B392)</f>
        <v/>
      </c>
      <c r="C397" s="434" t="str">
        <f>IF($B397="","",IFERROR(INDEX(Lançamentos!$J$3:$J$1001,MATCH($B397,Lançamentos!$B$3:$B$1001,0)),""))</f>
        <v/>
      </c>
      <c r="D397" s="435" t="str">
        <f>IF($B397="","",IFERROR(INDEX('E2 — Triagem'!$D$8:$D$507,MATCH($B397,'E2 — Triagem'!$B$8:$B$507,0)),""))</f>
        <v/>
      </c>
      <c r="E397" s="435"/>
      <c r="F397" s="435"/>
      <c r="G397" s="435"/>
      <c r="H397" s="435"/>
      <c r="I397" s="435"/>
      <c r="J397" s="435"/>
      <c r="K397" s="435"/>
      <c r="L397" s="436" t="str">
        <f t="shared" si="6"/>
        <v/>
      </c>
      <c r="M397" s="437"/>
      <c r="N397" s="438"/>
    </row>
    <row r="398" spans="2:14" x14ac:dyDescent="0.35">
      <c r="B398" s="433" t="str">
        <f>IF(Lançamentos!$B393="","",Lançamentos!$B393)</f>
        <v/>
      </c>
      <c r="C398" s="434" t="str">
        <f>IF($B398="","",IFERROR(INDEX(Lançamentos!$J$3:$J$1001,MATCH($B398,Lançamentos!$B$3:$B$1001,0)),""))</f>
        <v/>
      </c>
      <c r="D398" s="435" t="str">
        <f>IF($B398="","",IFERROR(INDEX('E2 — Triagem'!$D$8:$D$507,MATCH($B398,'E2 — Triagem'!$B$8:$B$507,0)),""))</f>
        <v/>
      </c>
      <c r="E398" s="435"/>
      <c r="F398" s="435"/>
      <c r="G398" s="435"/>
      <c r="H398" s="435"/>
      <c r="I398" s="435"/>
      <c r="J398" s="435"/>
      <c r="K398" s="435"/>
      <c r="L398" s="436" t="str">
        <f t="shared" si="6"/>
        <v/>
      </c>
      <c r="M398" s="437"/>
      <c r="N398" s="438"/>
    </row>
    <row r="399" spans="2:14" x14ac:dyDescent="0.35">
      <c r="B399" s="433" t="str">
        <f>IF(Lançamentos!$B394="","",Lançamentos!$B394)</f>
        <v/>
      </c>
      <c r="C399" s="434" t="str">
        <f>IF($B399="","",IFERROR(INDEX(Lançamentos!$J$3:$J$1001,MATCH($B399,Lançamentos!$B$3:$B$1001,0)),""))</f>
        <v/>
      </c>
      <c r="D399" s="435" t="str">
        <f>IF($B399="","",IFERROR(INDEX('E2 — Triagem'!$D$8:$D$507,MATCH($B399,'E2 — Triagem'!$B$8:$B$507,0)),""))</f>
        <v/>
      </c>
      <c r="E399" s="435"/>
      <c r="F399" s="435"/>
      <c r="G399" s="435"/>
      <c r="H399" s="435"/>
      <c r="I399" s="435"/>
      <c r="J399" s="435"/>
      <c r="K399" s="435"/>
      <c r="L399" s="436" t="str">
        <f t="shared" si="6"/>
        <v/>
      </c>
      <c r="M399" s="437"/>
      <c r="N399" s="438"/>
    </row>
    <row r="400" spans="2:14" x14ac:dyDescent="0.35">
      <c r="B400" s="433" t="str">
        <f>IF(Lançamentos!$B395="","",Lançamentos!$B395)</f>
        <v/>
      </c>
      <c r="C400" s="434" t="str">
        <f>IF($B400="","",IFERROR(INDEX(Lançamentos!$J$3:$J$1001,MATCH($B400,Lançamentos!$B$3:$B$1001,0)),""))</f>
        <v/>
      </c>
      <c r="D400" s="435" t="str">
        <f>IF($B400="","",IFERROR(INDEX('E2 — Triagem'!$D$8:$D$507,MATCH($B400,'E2 — Triagem'!$B$8:$B$507,0)),""))</f>
        <v/>
      </c>
      <c r="E400" s="435"/>
      <c r="F400" s="435"/>
      <c r="G400" s="435"/>
      <c r="H400" s="435"/>
      <c r="I400" s="435"/>
      <c r="J400" s="435"/>
      <c r="K400" s="435"/>
      <c r="L400" s="436" t="str">
        <f t="shared" ref="L400:L463" si="7">IF(B400="","",IF(COUNTIF(E400:K400,"N/A")=7,0,IF(COUNTIF(E400:K400,"✔ Concluído")=7,1,MIN(99%,COUNTIF(E400:K400,"✔ Concluído")/(7-COUNTIF(E400:K400,"N/A"))))))</f>
        <v/>
      </c>
      <c r="M400" s="437"/>
      <c r="N400" s="438"/>
    </row>
    <row r="401" spans="2:14" x14ac:dyDescent="0.35">
      <c r="B401" s="433" t="str">
        <f>IF(Lançamentos!$B396="","",Lançamentos!$B396)</f>
        <v/>
      </c>
      <c r="C401" s="434" t="str">
        <f>IF($B401="","",IFERROR(INDEX(Lançamentos!$J$3:$J$1001,MATCH($B401,Lançamentos!$B$3:$B$1001,0)),""))</f>
        <v/>
      </c>
      <c r="D401" s="435" t="str">
        <f>IF($B401="","",IFERROR(INDEX('E2 — Triagem'!$D$8:$D$507,MATCH($B401,'E2 — Triagem'!$B$8:$B$507,0)),""))</f>
        <v/>
      </c>
      <c r="E401" s="435"/>
      <c r="F401" s="435"/>
      <c r="G401" s="435"/>
      <c r="H401" s="435"/>
      <c r="I401" s="435"/>
      <c r="J401" s="435"/>
      <c r="K401" s="435"/>
      <c r="L401" s="436" t="str">
        <f t="shared" si="7"/>
        <v/>
      </c>
      <c r="M401" s="437"/>
      <c r="N401" s="438"/>
    </row>
    <row r="402" spans="2:14" x14ac:dyDescent="0.35">
      <c r="B402" s="433" t="str">
        <f>IF(Lançamentos!$B397="","",Lançamentos!$B397)</f>
        <v/>
      </c>
      <c r="C402" s="434" t="str">
        <f>IF($B402="","",IFERROR(INDEX(Lançamentos!$J$3:$J$1001,MATCH($B402,Lançamentos!$B$3:$B$1001,0)),""))</f>
        <v/>
      </c>
      <c r="D402" s="435" t="str">
        <f>IF($B402="","",IFERROR(INDEX('E2 — Triagem'!$D$8:$D$507,MATCH($B402,'E2 — Triagem'!$B$8:$B$507,0)),""))</f>
        <v/>
      </c>
      <c r="E402" s="435"/>
      <c r="F402" s="435"/>
      <c r="G402" s="435"/>
      <c r="H402" s="435"/>
      <c r="I402" s="435"/>
      <c r="J402" s="435"/>
      <c r="K402" s="435"/>
      <c r="L402" s="436" t="str">
        <f t="shared" si="7"/>
        <v/>
      </c>
      <c r="M402" s="437"/>
      <c r="N402" s="438"/>
    </row>
    <row r="403" spans="2:14" x14ac:dyDescent="0.35">
      <c r="B403" s="433" t="str">
        <f>IF(Lançamentos!$B398="","",Lançamentos!$B398)</f>
        <v/>
      </c>
      <c r="C403" s="434" t="str">
        <f>IF($B403="","",IFERROR(INDEX(Lançamentos!$J$3:$J$1001,MATCH($B403,Lançamentos!$B$3:$B$1001,0)),""))</f>
        <v/>
      </c>
      <c r="D403" s="435" t="str">
        <f>IF($B403="","",IFERROR(INDEX('E2 — Triagem'!$D$8:$D$507,MATCH($B403,'E2 — Triagem'!$B$8:$B$507,0)),""))</f>
        <v/>
      </c>
      <c r="E403" s="435"/>
      <c r="F403" s="435"/>
      <c r="G403" s="435"/>
      <c r="H403" s="435"/>
      <c r="I403" s="435"/>
      <c r="J403" s="435"/>
      <c r="K403" s="435"/>
      <c r="L403" s="436" t="str">
        <f t="shared" si="7"/>
        <v/>
      </c>
      <c r="M403" s="437"/>
      <c r="N403" s="438"/>
    </row>
    <row r="404" spans="2:14" x14ac:dyDescent="0.35">
      <c r="B404" s="433" t="str">
        <f>IF(Lançamentos!$B399="","",Lançamentos!$B399)</f>
        <v/>
      </c>
      <c r="C404" s="434" t="str">
        <f>IF($B404="","",IFERROR(INDEX(Lançamentos!$J$3:$J$1001,MATCH($B404,Lançamentos!$B$3:$B$1001,0)),""))</f>
        <v/>
      </c>
      <c r="D404" s="435" t="str">
        <f>IF($B404="","",IFERROR(INDEX('E2 — Triagem'!$D$8:$D$507,MATCH($B404,'E2 — Triagem'!$B$8:$B$507,0)),""))</f>
        <v/>
      </c>
      <c r="E404" s="435"/>
      <c r="F404" s="435"/>
      <c r="G404" s="435"/>
      <c r="H404" s="435"/>
      <c r="I404" s="435"/>
      <c r="J404" s="435"/>
      <c r="K404" s="435"/>
      <c r="L404" s="436" t="str">
        <f t="shared" si="7"/>
        <v/>
      </c>
      <c r="M404" s="437"/>
      <c r="N404" s="438"/>
    </row>
    <row r="405" spans="2:14" x14ac:dyDescent="0.35">
      <c r="B405" s="433" t="str">
        <f>IF(Lançamentos!$B400="","",Lançamentos!$B400)</f>
        <v/>
      </c>
      <c r="C405" s="434" t="str">
        <f>IF($B405="","",IFERROR(INDEX(Lançamentos!$J$3:$J$1001,MATCH($B405,Lançamentos!$B$3:$B$1001,0)),""))</f>
        <v/>
      </c>
      <c r="D405" s="435" t="str">
        <f>IF($B405="","",IFERROR(INDEX('E2 — Triagem'!$D$8:$D$507,MATCH($B405,'E2 — Triagem'!$B$8:$B$507,0)),""))</f>
        <v/>
      </c>
      <c r="E405" s="435"/>
      <c r="F405" s="435"/>
      <c r="G405" s="435"/>
      <c r="H405" s="435"/>
      <c r="I405" s="435"/>
      <c r="J405" s="435"/>
      <c r="K405" s="435"/>
      <c r="L405" s="436" t="str">
        <f t="shared" si="7"/>
        <v/>
      </c>
      <c r="M405" s="437"/>
      <c r="N405" s="438"/>
    </row>
    <row r="406" spans="2:14" x14ac:dyDescent="0.35">
      <c r="B406" s="433" t="str">
        <f>IF(Lançamentos!$B401="","",Lançamentos!$B401)</f>
        <v/>
      </c>
      <c r="C406" s="434" t="str">
        <f>IF($B406="","",IFERROR(INDEX(Lançamentos!$J$3:$J$1001,MATCH($B406,Lançamentos!$B$3:$B$1001,0)),""))</f>
        <v/>
      </c>
      <c r="D406" s="435" t="str">
        <f>IF($B406="","",IFERROR(INDEX('E2 — Triagem'!$D$8:$D$507,MATCH($B406,'E2 — Triagem'!$B$8:$B$507,0)),""))</f>
        <v/>
      </c>
      <c r="E406" s="435"/>
      <c r="F406" s="435"/>
      <c r="G406" s="435"/>
      <c r="H406" s="435"/>
      <c r="I406" s="435"/>
      <c r="J406" s="435"/>
      <c r="K406" s="435"/>
      <c r="L406" s="436" t="str">
        <f t="shared" si="7"/>
        <v/>
      </c>
      <c r="M406" s="437"/>
      <c r="N406" s="438"/>
    </row>
    <row r="407" spans="2:14" x14ac:dyDescent="0.35">
      <c r="B407" s="433" t="str">
        <f>IF(Lançamentos!$B402="","",Lançamentos!$B402)</f>
        <v/>
      </c>
      <c r="C407" s="434" t="str">
        <f>IF($B407="","",IFERROR(INDEX(Lançamentos!$J$3:$J$1001,MATCH($B407,Lançamentos!$B$3:$B$1001,0)),""))</f>
        <v/>
      </c>
      <c r="D407" s="435" t="str">
        <f>IF($B407="","",IFERROR(INDEX('E2 — Triagem'!$D$8:$D$507,MATCH($B407,'E2 — Triagem'!$B$8:$B$507,0)),""))</f>
        <v/>
      </c>
      <c r="E407" s="435"/>
      <c r="F407" s="435"/>
      <c r="G407" s="435"/>
      <c r="H407" s="435"/>
      <c r="I407" s="435"/>
      <c r="J407" s="435"/>
      <c r="K407" s="435"/>
      <c r="L407" s="436" t="str">
        <f t="shared" si="7"/>
        <v/>
      </c>
      <c r="M407" s="437"/>
      <c r="N407" s="438"/>
    </row>
    <row r="408" spans="2:14" x14ac:dyDescent="0.35">
      <c r="B408" s="433" t="str">
        <f>IF(Lançamentos!$B403="","",Lançamentos!$B403)</f>
        <v/>
      </c>
      <c r="C408" s="434" t="str">
        <f>IF($B408="","",IFERROR(INDEX(Lançamentos!$J$3:$J$1001,MATCH($B408,Lançamentos!$B$3:$B$1001,0)),""))</f>
        <v/>
      </c>
      <c r="D408" s="435" t="str">
        <f>IF($B408="","",IFERROR(INDEX('E2 — Triagem'!$D$8:$D$507,MATCH($B408,'E2 — Triagem'!$B$8:$B$507,0)),""))</f>
        <v/>
      </c>
      <c r="E408" s="435"/>
      <c r="F408" s="435"/>
      <c r="G408" s="435"/>
      <c r="H408" s="435"/>
      <c r="I408" s="435"/>
      <c r="J408" s="435"/>
      <c r="K408" s="435"/>
      <c r="L408" s="436" t="str">
        <f t="shared" si="7"/>
        <v/>
      </c>
      <c r="M408" s="437"/>
      <c r="N408" s="438"/>
    </row>
    <row r="409" spans="2:14" x14ac:dyDescent="0.35">
      <c r="B409" s="433" t="str">
        <f>IF(Lançamentos!$B404="","",Lançamentos!$B404)</f>
        <v/>
      </c>
      <c r="C409" s="434" t="str">
        <f>IF($B409="","",IFERROR(INDEX(Lançamentos!$J$3:$J$1001,MATCH($B409,Lançamentos!$B$3:$B$1001,0)),""))</f>
        <v/>
      </c>
      <c r="D409" s="435" t="str">
        <f>IF($B409="","",IFERROR(INDEX('E2 — Triagem'!$D$8:$D$507,MATCH($B409,'E2 — Triagem'!$B$8:$B$507,0)),""))</f>
        <v/>
      </c>
      <c r="E409" s="435"/>
      <c r="F409" s="435"/>
      <c r="G409" s="435"/>
      <c r="H409" s="435"/>
      <c r="I409" s="435"/>
      <c r="J409" s="435"/>
      <c r="K409" s="435"/>
      <c r="L409" s="436" t="str">
        <f t="shared" si="7"/>
        <v/>
      </c>
      <c r="M409" s="437"/>
      <c r="N409" s="438"/>
    </row>
    <row r="410" spans="2:14" x14ac:dyDescent="0.35">
      <c r="B410" s="433" t="str">
        <f>IF(Lançamentos!$B405="","",Lançamentos!$B405)</f>
        <v/>
      </c>
      <c r="C410" s="434" t="str">
        <f>IF($B410="","",IFERROR(INDEX(Lançamentos!$J$3:$J$1001,MATCH($B410,Lançamentos!$B$3:$B$1001,0)),""))</f>
        <v/>
      </c>
      <c r="D410" s="435" t="str">
        <f>IF($B410="","",IFERROR(INDEX('E2 — Triagem'!$D$8:$D$507,MATCH($B410,'E2 — Triagem'!$B$8:$B$507,0)),""))</f>
        <v/>
      </c>
      <c r="E410" s="435"/>
      <c r="F410" s="435"/>
      <c r="G410" s="435"/>
      <c r="H410" s="435"/>
      <c r="I410" s="435"/>
      <c r="J410" s="435"/>
      <c r="K410" s="435"/>
      <c r="L410" s="436" t="str">
        <f t="shared" si="7"/>
        <v/>
      </c>
      <c r="M410" s="437"/>
      <c r="N410" s="438"/>
    </row>
    <row r="411" spans="2:14" x14ac:dyDescent="0.35">
      <c r="B411" s="433" t="str">
        <f>IF(Lançamentos!$B406="","",Lançamentos!$B406)</f>
        <v/>
      </c>
      <c r="C411" s="434" t="str">
        <f>IF($B411="","",IFERROR(INDEX(Lançamentos!$J$3:$J$1001,MATCH($B411,Lançamentos!$B$3:$B$1001,0)),""))</f>
        <v/>
      </c>
      <c r="D411" s="435" t="str">
        <f>IF($B411="","",IFERROR(INDEX('E2 — Triagem'!$D$8:$D$507,MATCH($B411,'E2 — Triagem'!$B$8:$B$507,0)),""))</f>
        <v/>
      </c>
      <c r="E411" s="435"/>
      <c r="F411" s="435"/>
      <c r="G411" s="435"/>
      <c r="H411" s="435"/>
      <c r="I411" s="435"/>
      <c r="J411" s="435"/>
      <c r="K411" s="435"/>
      <c r="L411" s="436" t="str">
        <f t="shared" si="7"/>
        <v/>
      </c>
      <c r="M411" s="437"/>
      <c r="N411" s="438"/>
    </row>
    <row r="412" spans="2:14" x14ac:dyDescent="0.35">
      <c r="B412" s="433" t="str">
        <f>IF(Lançamentos!$B407="","",Lançamentos!$B407)</f>
        <v/>
      </c>
      <c r="C412" s="434" t="str">
        <f>IF($B412="","",IFERROR(INDEX(Lançamentos!$J$3:$J$1001,MATCH($B412,Lançamentos!$B$3:$B$1001,0)),""))</f>
        <v/>
      </c>
      <c r="D412" s="435" t="str">
        <f>IF($B412="","",IFERROR(INDEX('E2 — Triagem'!$D$8:$D$507,MATCH($B412,'E2 — Triagem'!$B$8:$B$507,0)),""))</f>
        <v/>
      </c>
      <c r="E412" s="435"/>
      <c r="F412" s="435"/>
      <c r="G412" s="435"/>
      <c r="H412" s="435"/>
      <c r="I412" s="435"/>
      <c r="J412" s="435"/>
      <c r="K412" s="435"/>
      <c r="L412" s="436" t="str">
        <f t="shared" si="7"/>
        <v/>
      </c>
      <c r="M412" s="437"/>
      <c r="N412" s="438"/>
    </row>
    <row r="413" spans="2:14" x14ac:dyDescent="0.35">
      <c r="B413" s="433" t="str">
        <f>IF(Lançamentos!$B408="","",Lançamentos!$B408)</f>
        <v/>
      </c>
      <c r="C413" s="434" t="str">
        <f>IF($B413="","",IFERROR(INDEX(Lançamentos!$J$3:$J$1001,MATCH($B413,Lançamentos!$B$3:$B$1001,0)),""))</f>
        <v/>
      </c>
      <c r="D413" s="435" t="str">
        <f>IF($B413="","",IFERROR(INDEX('E2 — Triagem'!$D$8:$D$507,MATCH($B413,'E2 — Triagem'!$B$8:$B$507,0)),""))</f>
        <v/>
      </c>
      <c r="E413" s="435"/>
      <c r="F413" s="435"/>
      <c r="G413" s="435"/>
      <c r="H413" s="435"/>
      <c r="I413" s="435"/>
      <c r="J413" s="435"/>
      <c r="K413" s="435"/>
      <c r="L413" s="436" t="str">
        <f t="shared" si="7"/>
        <v/>
      </c>
      <c r="M413" s="437"/>
      <c r="N413" s="438"/>
    </row>
    <row r="414" spans="2:14" x14ac:dyDescent="0.35">
      <c r="B414" s="433" t="str">
        <f>IF(Lançamentos!$B409="","",Lançamentos!$B409)</f>
        <v/>
      </c>
      <c r="C414" s="434" t="str">
        <f>IF($B414="","",IFERROR(INDEX(Lançamentos!$J$3:$J$1001,MATCH($B414,Lançamentos!$B$3:$B$1001,0)),""))</f>
        <v/>
      </c>
      <c r="D414" s="435" t="str">
        <f>IF($B414="","",IFERROR(INDEX('E2 — Triagem'!$D$8:$D$507,MATCH($B414,'E2 — Triagem'!$B$8:$B$507,0)),""))</f>
        <v/>
      </c>
      <c r="E414" s="435"/>
      <c r="F414" s="435"/>
      <c r="G414" s="435"/>
      <c r="H414" s="435"/>
      <c r="I414" s="435"/>
      <c r="J414" s="435"/>
      <c r="K414" s="435"/>
      <c r="L414" s="436" t="str">
        <f t="shared" si="7"/>
        <v/>
      </c>
      <c r="M414" s="437"/>
      <c r="N414" s="438"/>
    </row>
    <row r="415" spans="2:14" x14ac:dyDescent="0.35">
      <c r="B415" s="433" t="str">
        <f>IF(Lançamentos!$B410="","",Lançamentos!$B410)</f>
        <v/>
      </c>
      <c r="C415" s="434" t="str">
        <f>IF($B415="","",IFERROR(INDEX(Lançamentos!$J$3:$J$1001,MATCH($B415,Lançamentos!$B$3:$B$1001,0)),""))</f>
        <v/>
      </c>
      <c r="D415" s="435" t="str">
        <f>IF($B415="","",IFERROR(INDEX('E2 — Triagem'!$D$8:$D$507,MATCH($B415,'E2 — Triagem'!$B$8:$B$507,0)),""))</f>
        <v/>
      </c>
      <c r="E415" s="435"/>
      <c r="F415" s="435"/>
      <c r="G415" s="435"/>
      <c r="H415" s="435"/>
      <c r="I415" s="435"/>
      <c r="J415" s="435"/>
      <c r="K415" s="435"/>
      <c r="L415" s="436" t="str">
        <f t="shared" si="7"/>
        <v/>
      </c>
      <c r="M415" s="437"/>
      <c r="N415" s="438"/>
    </row>
    <row r="416" spans="2:14" x14ac:dyDescent="0.35">
      <c r="B416" s="433" t="str">
        <f>IF(Lançamentos!$B411="","",Lançamentos!$B411)</f>
        <v/>
      </c>
      <c r="C416" s="434" t="str">
        <f>IF($B416="","",IFERROR(INDEX(Lançamentos!$J$3:$J$1001,MATCH($B416,Lançamentos!$B$3:$B$1001,0)),""))</f>
        <v/>
      </c>
      <c r="D416" s="435" t="str">
        <f>IF($B416="","",IFERROR(INDEX('E2 — Triagem'!$D$8:$D$507,MATCH($B416,'E2 — Triagem'!$B$8:$B$507,0)),""))</f>
        <v/>
      </c>
      <c r="E416" s="435"/>
      <c r="F416" s="435"/>
      <c r="G416" s="435"/>
      <c r="H416" s="435"/>
      <c r="I416" s="435"/>
      <c r="J416" s="435"/>
      <c r="K416" s="435"/>
      <c r="L416" s="436" t="str">
        <f t="shared" si="7"/>
        <v/>
      </c>
      <c r="M416" s="437"/>
      <c r="N416" s="438"/>
    </row>
    <row r="417" spans="2:14" x14ac:dyDescent="0.35">
      <c r="B417" s="433" t="str">
        <f>IF(Lançamentos!$B412="","",Lançamentos!$B412)</f>
        <v/>
      </c>
      <c r="C417" s="434" t="str">
        <f>IF($B417="","",IFERROR(INDEX(Lançamentos!$J$3:$J$1001,MATCH($B417,Lançamentos!$B$3:$B$1001,0)),""))</f>
        <v/>
      </c>
      <c r="D417" s="435" t="str">
        <f>IF($B417="","",IFERROR(INDEX('E2 — Triagem'!$D$8:$D$507,MATCH($B417,'E2 — Triagem'!$B$8:$B$507,0)),""))</f>
        <v/>
      </c>
      <c r="E417" s="435"/>
      <c r="F417" s="435"/>
      <c r="G417" s="435"/>
      <c r="H417" s="435"/>
      <c r="I417" s="435"/>
      <c r="J417" s="435"/>
      <c r="K417" s="435"/>
      <c r="L417" s="436" t="str">
        <f t="shared" si="7"/>
        <v/>
      </c>
      <c r="M417" s="437"/>
      <c r="N417" s="438"/>
    </row>
    <row r="418" spans="2:14" x14ac:dyDescent="0.35">
      <c r="B418" s="433" t="str">
        <f>IF(Lançamentos!$B413="","",Lançamentos!$B413)</f>
        <v/>
      </c>
      <c r="C418" s="434" t="str">
        <f>IF($B418="","",IFERROR(INDEX(Lançamentos!$J$3:$J$1001,MATCH($B418,Lançamentos!$B$3:$B$1001,0)),""))</f>
        <v/>
      </c>
      <c r="D418" s="435" t="str">
        <f>IF($B418="","",IFERROR(INDEX('E2 — Triagem'!$D$8:$D$507,MATCH($B418,'E2 — Triagem'!$B$8:$B$507,0)),""))</f>
        <v/>
      </c>
      <c r="E418" s="435"/>
      <c r="F418" s="435"/>
      <c r="G418" s="435"/>
      <c r="H418" s="435"/>
      <c r="I418" s="435"/>
      <c r="J418" s="435"/>
      <c r="K418" s="435"/>
      <c r="L418" s="436" t="str">
        <f t="shared" si="7"/>
        <v/>
      </c>
      <c r="M418" s="437"/>
      <c r="N418" s="438"/>
    </row>
    <row r="419" spans="2:14" x14ac:dyDescent="0.35">
      <c r="B419" s="433" t="str">
        <f>IF(Lançamentos!$B414="","",Lançamentos!$B414)</f>
        <v/>
      </c>
      <c r="C419" s="434" t="str">
        <f>IF($B419="","",IFERROR(INDEX(Lançamentos!$J$3:$J$1001,MATCH($B419,Lançamentos!$B$3:$B$1001,0)),""))</f>
        <v/>
      </c>
      <c r="D419" s="435" t="str">
        <f>IF($B419="","",IFERROR(INDEX('E2 — Triagem'!$D$8:$D$507,MATCH($B419,'E2 — Triagem'!$B$8:$B$507,0)),""))</f>
        <v/>
      </c>
      <c r="E419" s="435"/>
      <c r="F419" s="435"/>
      <c r="G419" s="435"/>
      <c r="H419" s="435"/>
      <c r="I419" s="435"/>
      <c r="J419" s="435"/>
      <c r="K419" s="435"/>
      <c r="L419" s="436" t="str">
        <f t="shared" si="7"/>
        <v/>
      </c>
      <c r="M419" s="437"/>
      <c r="N419" s="438"/>
    </row>
    <row r="420" spans="2:14" x14ac:dyDescent="0.35">
      <c r="B420" s="433" t="str">
        <f>IF(Lançamentos!$B415="","",Lançamentos!$B415)</f>
        <v/>
      </c>
      <c r="C420" s="434" t="str">
        <f>IF($B420="","",IFERROR(INDEX(Lançamentos!$J$3:$J$1001,MATCH($B420,Lançamentos!$B$3:$B$1001,0)),""))</f>
        <v/>
      </c>
      <c r="D420" s="435" t="str">
        <f>IF($B420="","",IFERROR(INDEX('E2 — Triagem'!$D$8:$D$507,MATCH($B420,'E2 — Triagem'!$B$8:$B$507,0)),""))</f>
        <v/>
      </c>
      <c r="E420" s="435"/>
      <c r="F420" s="435"/>
      <c r="G420" s="435"/>
      <c r="H420" s="435"/>
      <c r="I420" s="435"/>
      <c r="J420" s="435"/>
      <c r="K420" s="435"/>
      <c r="L420" s="436" t="str">
        <f t="shared" si="7"/>
        <v/>
      </c>
      <c r="M420" s="437"/>
      <c r="N420" s="438"/>
    </row>
    <row r="421" spans="2:14" x14ac:dyDescent="0.35">
      <c r="B421" s="433" t="str">
        <f>IF(Lançamentos!$B416="","",Lançamentos!$B416)</f>
        <v/>
      </c>
      <c r="C421" s="434" t="str">
        <f>IF($B421="","",IFERROR(INDEX(Lançamentos!$J$3:$J$1001,MATCH($B421,Lançamentos!$B$3:$B$1001,0)),""))</f>
        <v/>
      </c>
      <c r="D421" s="435" t="str">
        <f>IF($B421="","",IFERROR(INDEX('E2 — Triagem'!$D$8:$D$507,MATCH($B421,'E2 — Triagem'!$B$8:$B$507,0)),""))</f>
        <v/>
      </c>
      <c r="E421" s="435"/>
      <c r="F421" s="435"/>
      <c r="G421" s="435"/>
      <c r="H421" s="435"/>
      <c r="I421" s="435"/>
      <c r="J421" s="435"/>
      <c r="K421" s="435"/>
      <c r="L421" s="436" t="str">
        <f t="shared" si="7"/>
        <v/>
      </c>
      <c r="M421" s="437"/>
      <c r="N421" s="438"/>
    </row>
    <row r="422" spans="2:14" x14ac:dyDescent="0.35">
      <c r="B422" s="433" t="str">
        <f>IF(Lançamentos!$B417="","",Lançamentos!$B417)</f>
        <v/>
      </c>
      <c r="C422" s="434" t="str">
        <f>IF($B422="","",IFERROR(INDEX(Lançamentos!$J$3:$J$1001,MATCH($B422,Lançamentos!$B$3:$B$1001,0)),""))</f>
        <v/>
      </c>
      <c r="D422" s="435" t="str">
        <f>IF($B422="","",IFERROR(INDEX('E2 — Triagem'!$D$8:$D$507,MATCH($B422,'E2 — Triagem'!$B$8:$B$507,0)),""))</f>
        <v/>
      </c>
      <c r="E422" s="435"/>
      <c r="F422" s="435"/>
      <c r="G422" s="435"/>
      <c r="H422" s="435"/>
      <c r="I422" s="435"/>
      <c r="J422" s="435"/>
      <c r="K422" s="435"/>
      <c r="L422" s="436" t="str">
        <f t="shared" si="7"/>
        <v/>
      </c>
      <c r="M422" s="437"/>
      <c r="N422" s="438"/>
    </row>
    <row r="423" spans="2:14" x14ac:dyDescent="0.35">
      <c r="B423" s="433" t="str">
        <f>IF(Lançamentos!$B418="","",Lançamentos!$B418)</f>
        <v/>
      </c>
      <c r="C423" s="434" t="str">
        <f>IF($B423="","",IFERROR(INDEX(Lançamentos!$J$3:$J$1001,MATCH($B423,Lançamentos!$B$3:$B$1001,0)),""))</f>
        <v/>
      </c>
      <c r="D423" s="435" t="str">
        <f>IF($B423="","",IFERROR(INDEX('E2 — Triagem'!$D$8:$D$507,MATCH($B423,'E2 — Triagem'!$B$8:$B$507,0)),""))</f>
        <v/>
      </c>
      <c r="E423" s="435"/>
      <c r="F423" s="435"/>
      <c r="G423" s="435"/>
      <c r="H423" s="435"/>
      <c r="I423" s="435"/>
      <c r="J423" s="435"/>
      <c r="K423" s="435"/>
      <c r="L423" s="436" t="str">
        <f t="shared" si="7"/>
        <v/>
      </c>
      <c r="M423" s="437"/>
      <c r="N423" s="438"/>
    </row>
    <row r="424" spans="2:14" x14ac:dyDescent="0.35">
      <c r="B424" s="433" t="str">
        <f>IF(Lançamentos!$B419="","",Lançamentos!$B419)</f>
        <v/>
      </c>
      <c r="C424" s="434" t="str">
        <f>IF($B424="","",IFERROR(INDEX(Lançamentos!$J$3:$J$1001,MATCH($B424,Lançamentos!$B$3:$B$1001,0)),""))</f>
        <v/>
      </c>
      <c r="D424" s="435" t="str">
        <f>IF($B424="","",IFERROR(INDEX('E2 — Triagem'!$D$8:$D$507,MATCH($B424,'E2 — Triagem'!$B$8:$B$507,0)),""))</f>
        <v/>
      </c>
      <c r="E424" s="435"/>
      <c r="F424" s="435"/>
      <c r="G424" s="435"/>
      <c r="H424" s="435"/>
      <c r="I424" s="435"/>
      <c r="J424" s="435"/>
      <c r="K424" s="435"/>
      <c r="L424" s="436" t="str">
        <f t="shared" si="7"/>
        <v/>
      </c>
      <c r="M424" s="437"/>
      <c r="N424" s="438"/>
    </row>
    <row r="425" spans="2:14" x14ac:dyDescent="0.35">
      <c r="B425" s="433" t="str">
        <f>IF(Lançamentos!$B420="","",Lançamentos!$B420)</f>
        <v/>
      </c>
      <c r="C425" s="434" t="str">
        <f>IF($B425="","",IFERROR(INDEX(Lançamentos!$J$3:$J$1001,MATCH($B425,Lançamentos!$B$3:$B$1001,0)),""))</f>
        <v/>
      </c>
      <c r="D425" s="435" t="str">
        <f>IF($B425="","",IFERROR(INDEX('E2 — Triagem'!$D$8:$D$507,MATCH($B425,'E2 — Triagem'!$B$8:$B$507,0)),""))</f>
        <v/>
      </c>
      <c r="E425" s="435"/>
      <c r="F425" s="435"/>
      <c r="G425" s="435"/>
      <c r="H425" s="435"/>
      <c r="I425" s="435"/>
      <c r="J425" s="435"/>
      <c r="K425" s="435"/>
      <c r="L425" s="436" t="str">
        <f t="shared" si="7"/>
        <v/>
      </c>
      <c r="M425" s="437"/>
      <c r="N425" s="438"/>
    </row>
    <row r="426" spans="2:14" x14ac:dyDescent="0.35">
      <c r="B426" s="433" t="str">
        <f>IF(Lançamentos!$B421="","",Lançamentos!$B421)</f>
        <v/>
      </c>
      <c r="C426" s="434" t="str">
        <f>IF($B426="","",IFERROR(INDEX(Lançamentos!$J$3:$J$1001,MATCH($B426,Lançamentos!$B$3:$B$1001,0)),""))</f>
        <v/>
      </c>
      <c r="D426" s="435" t="str">
        <f>IF($B426="","",IFERROR(INDEX('E2 — Triagem'!$D$8:$D$507,MATCH($B426,'E2 — Triagem'!$B$8:$B$507,0)),""))</f>
        <v/>
      </c>
      <c r="E426" s="435"/>
      <c r="F426" s="435"/>
      <c r="G426" s="435"/>
      <c r="H426" s="435"/>
      <c r="I426" s="435"/>
      <c r="J426" s="435"/>
      <c r="K426" s="435"/>
      <c r="L426" s="436" t="str">
        <f t="shared" si="7"/>
        <v/>
      </c>
      <c r="M426" s="437"/>
      <c r="N426" s="438"/>
    </row>
    <row r="427" spans="2:14" x14ac:dyDescent="0.35">
      <c r="B427" s="433" t="str">
        <f>IF(Lançamentos!$B422="","",Lançamentos!$B422)</f>
        <v/>
      </c>
      <c r="C427" s="434" t="str">
        <f>IF($B427="","",IFERROR(INDEX(Lançamentos!$J$3:$J$1001,MATCH($B427,Lançamentos!$B$3:$B$1001,0)),""))</f>
        <v/>
      </c>
      <c r="D427" s="435" t="str">
        <f>IF($B427="","",IFERROR(INDEX('E2 — Triagem'!$D$8:$D$507,MATCH($B427,'E2 — Triagem'!$B$8:$B$507,0)),""))</f>
        <v/>
      </c>
      <c r="E427" s="435"/>
      <c r="F427" s="435"/>
      <c r="G427" s="435"/>
      <c r="H427" s="435"/>
      <c r="I427" s="435"/>
      <c r="J427" s="435"/>
      <c r="K427" s="435"/>
      <c r="L427" s="436" t="str">
        <f t="shared" si="7"/>
        <v/>
      </c>
      <c r="M427" s="437"/>
      <c r="N427" s="438"/>
    </row>
    <row r="428" spans="2:14" x14ac:dyDescent="0.35">
      <c r="B428" s="433" t="str">
        <f>IF(Lançamentos!$B423="","",Lançamentos!$B423)</f>
        <v/>
      </c>
      <c r="C428" s="434" t="str">
        <f>IF($B428="","",IFERROR(INDEX(Lançamentos!$J$3:$J$1001,MATCH($B428,Lançamentos!$B$3:$B$1001,0)),""))</f>
        <v/>
      </c>
      <c r="D428" s="435" t="str">
        <f>IF($B428="","",IFERROR(INDEX('E2 — Triagem'!$D$8:$D$507,MATCH($B428,'E2 — Triagem'!$B$8:$B$507,0)),""))</f>
        <v/>
      </c>
      <c r="E428" s="435"/>
      <c r="F428" s="435"/>
      <c r="G428" s="435"/>
      <c r="H428" s="435"/>
      <c r="I428" s="435"/>
      <c r="J428" s="435"/>
      <c r="K428" s="435"/>
      <c r="L428" s="436" t="str">
        <f t="shared" si="7"/>
        <v/>
      </c>
      <c r="M428" s="437"/>
      <c r="N428" s="438"/>
    </row>
    <row r="429" spans="2:14" x14ac:dyDescent="0.35">
      <c r="B429" s="433" t="str">
        <f>IF(Lançamentos!$B424="","",Lançamentos!$B424)</f>
        <v/>
      </c>
      <c r="C429" s="434" t="str">
        <f>IF($B429="","",IFERROR(INDEX(Lançamentos!$J$3:$J$1001,MATCH($B429,Lançamentos!$B$3:$B$1001,0)),""))</f>
        <v/>
      </c>
      <c r="D429" s="435" t="str">
        <f>IF($B429="","",IFERROR(INDEX('E2 — Triagem'!$D$8:$D$507,MATCH($B429,'E2 — Triagem'!$B$8:$B$507,0)),""))</f>
        <v/>
      </c>
      <c r="E429" s="435"/>
      <c r="F429" s="435"/>
      <c r="G429" s="435"/>
      <c r="H429" s="435"/>
      <c r="I429" s="435"/>
      <c r="J429" s="435"/>
      <c r="K429" s="435"/>
      <c r="L429" s="436" t="str">
        <f t="shared" si="7"/>
        <v/>
      </c>
      <c r="M429" s="437"/>
      <c r="N429" s="438"/>
    </row>
    <row r="430" spans="2:14" x14ac:dyDescent="0.35">
      <c r="B430" s="433" t="str">
        <f>IF(Lançamentos!$B425="","",Lançamentos!$B425)</f>
        <v/>
      </c>
      <c r="C430" s="434" t="str">
        <f>IF($B430="","",IFERROR(INDEX(Lançamentos!$J$3:$J$1001,MATCH($B430,Lançamentos!$B$3:$B$1001,0)),""))</f>
        <v/>
      </c>
      <c r="D430" s="435" t="str">
        <f>IF($B430="","",IFERROR(INDEX('E2 — Triagem'!$D$8:$D$507,MATCH($B430,'E2 — Triagem'!$B$8:$B$507,0)),""))</f>
        <v/>
      </c>
      <c r="E430" s="435"/>
      <c r="F430" s="435"/>
      <c r="G430" s="435"/>
      <c r="H430" s="435"/>
      <c r="I430" s="435"/>
      <c r="J430" s="435"/>
      <c r="K430" s="435"/>
      <c r="L430" s="436" t="str">
        <f t="shared" si="7"/>
        <v/>
      </c>
      <c r="M430" s="437"/>
      <c r="N430" s="438"/>
    </row>
    <row r="431" spans="2:14" x14ac:dyDescent="0.35">
      <c r="B431" s="433" t="str">
        <f>IF(Lançamentos!$B426="","",Lançamentos!$B426)</f>
        <v/>
      </c>
      <c r="C431" s="434" t="str">
        <f>IF($B431="","",IFERROR(INDEX(Lançamentos!$J$3:$J$1001,MATCH($B431,Lançamentos!$B$3:$B$1001,0)),""))</f>
        <v/>
      </c>
      <c r="D431" s="435" t="str">
        <f>IF($B431="","",IFERROR(INDEX('E2 — Triagem'!$D$8:$D$507,MATCH($B431,'E2 — Triagem'!$B$8:$B$507,0)),""))</f>
        <v/>
      </c>
      <c r="E431" s="435"/>
      <c r="F431" s="435"/>
      <c r="G431" s="435"/>
      <c r="H431" s="435"/>
      <c r="I431" s="435"/>
      <c r="J431" s="435"/>
      <c r="K431" s="435"/>
      <c r="L431" s="436" t="str">
        <f t="shared" si="7"/>
        <v/>
      </c>
      <c r="M431" s="437"/>
      <c r="N431" s="438"/>
    </row>
    <row r="432" spans="2:14" x14ac:dyDescent="0.35">
      <c r="B432" s="433" t="str">
        <f>IF(Lançamentos!$B427="","",Lançamentos!$B427)</f>
        <v/>
      </c>
      <c r="C432" s="434" t="str">
        <f>IF($B432="","",IFERROR(INDEX(Lançamentos!$J$3:$J$1001,MATCH($B432,Lançamentos!$B$3:$B$1001,0)),""))</f>
        <v/>
      </c>
      <c r="D432" s="435" t="str">
        <f>IF($B432="","",IFERROR(INDEX('E2 — Triagem'!$D$8:$D$507,MATCH($B432,'E2 — Triagem'!$B$8:$B$507,0)),""))</f>
        <v/>
      </c>
      <c r="E432" s="435"/>
      <c r="F432" s="435"/>
      <c r="G432" s="435"/>
      <c r="H432" s="435"/>
      <c r="I432" s="435"/>
      <c r="J432" s="435"/>
      <c r="K432" s="435"/>
      <c r="L432" s="436" t="str">
        <f t="shared" si="7"/>
        <v/>
      </c>
      <c r="M432" s="437"/>
      <c r="N432" s="438"/>
    </row>
    <row r="433" spans="2:14" x14ac:dyDescent="0.35">
      <c r="B433" s="433" t="str">
        <f>IF(Lançamentos!$B428="","",Lançamentos!$B428)</f>
        <v/>
      </c>
      <c r="C433" s="434" t="str">
        <f>IF($B433="","",IFERROR(INDEX(Lançamentos!$J$3:$J$1001,MATCH($B433,Lançamentos!$B$3:$B$1001,0)),""))</f>
        <v/>
      </c>
      <c r="D433" s="435" t="str">
        <f>IF($B433="","",IFERROR(INDEX('E2 — Triagem'!$D$8:$D$507,MATCH($B433,'E2 — Triagem'!$B$8:$B$507,0)),""))</f>
        <v/>
      </c>
      <c r="E433" s="435"/>
      <c r="F433" s="435"/>
      <c r="G433" s="435"/>
      <c r="H433" s="435"/>
      <c r="I433" s="435"/>
      <c r="J433" s="435"/>
      <c r="K433" s="435"/>
      <c r="L433" s="436" t="str">
        <f t="shared" si="7"/>
        <v/>
      </c>
      <c r="M433" s="437"/>
      <c r="N433" s="438"/>
    </row>
    <row r="434" spans="2:14" x14ac:dyDescent="0.35">
      <c r="B434" s="433" t="str">
        <f>IF(Lançamentos!$B429="","",Lançamentos!$B429)</f>
        <v/>
      </c>
      <c r="C434" s="434" t="str">
        <f>IF($B434="","",IFERROR(INDEX(Lançamentos!$J$3:$J$1001,MATCH($B434,Lançamentos!$B$3:$B$1001,0)),""))</f>
        <v/>
      </c>
      <c r="D434" s="435" t="str">
        <f>IF($B434="","",IFERROR(INDEX('E2 — Triagem'!$D$8:$D$507,MATCH($B434,'E2 — Triagem'!$B$8:$B$507,0)),""))</f>
        <v/>
      </c>
      <c r="E434" s="435"/>
      <c r="F434" s="435"/>
      <c r="G434" s="435"/>
      <c r="H434" s="435"/>
      <c r="I434" s="435"/>
      <c r="J434" s="435"/>
      <c r="K434" s="435"/>
      <c r="L434" s="436" t="str">
        <f t="shared" si="7"/>
        <v/>
      </c>
      <c r="M434" s="437"/>
      <c r="N434" s="438"/>
    </row>
    <row r="435" spans="2:14" x14ac:dyDescent="0.35">
      <c r="B435" s="433" t="str">
        <f>IF(Lançamentos!$B430="","",Lançamentos!$B430)</f>
        <v/>
      </c>
      <c r="C435" s="434" t="str">
        <f>IF($B435="","",IFERROR(INDEX(Lançamentos!$J$3:$J$1001,MATCH($B435,Lançamentos!$B$3:$B$1001,0)),""))</f>
        <v/>
      </c>
      <c r="D435" s="435" t="str">
        <f>IF($B435="","",IFERROR(INDEX('E2 — Triagem'!$D$8:$D$507,MATCH($B435,'E2 — Triagem'!$B$8:$B$507,0)),""))</f>
        <v/>
      </c>
      <c r="E435" s="435"/>
      <c r="F435" s="435"/>
      <c r="G435" s="435"/>
      <c r="H435" s="435"/>
      <c r="I435" s="435"/>
      <c r="J435" s="435"/>
      <c r="K435" s="435"/>
      <c r="L435" s="436" t="str">
        <f t="shared" si="7"/>
        <v/>
      </c>
      <c r="M435" s="437"/>
      <c r="N435" s="438"/>
    </row>
    <row r="436" spans="2:14" x14ac:dyDescent="0.35">
      <c r="B436" s="433" t="str">
        <f>IF(Lançamentos!$B431="","",Lançamentos!$B431)</f>
        <v/>
      </c>
      <c r="C436" s="434" t="str">
        <f>IF($B436="","",IFERROR(INDEX(Lançamentos!$J$3:$J$1001,MATCH($B436,Lançamentos!$B$3:$B$1001,0)),""))</f>
        <v/>
      </c>
      <c r="D436" s="435" t="str">
        <f>IF($B436="","",IFERROR(INDEX('E2 — Triagem'!$D$8:$D$507,MATCH($B436,'E2 — Triagem'!$B$8:$B$507,0)),""))</f>
        <v/>
      </c>
      <c r="E436" s="435"/>
      <c r="F436" s="435"/>
      <c r="G436" s="435"/>
      <c r="H436" s="435"/>
      <c r="I436" s="435"/>
      <c r="J436" s="435"/>
      <c r="K436" s="435"/>
      <c r="L436" s="436" t="str">
        <f t="shared" si="7"/>
        <v/>
      </c>
      <c r="M436" s="437"/>
      <c r="N436" s="438"/>
    </row>
    <row r="437" spans="2:14" x14ac:dyDescent="0.35">
      <c r="B437" s="433" t="str">
        <f>IF(Lançamentos!$B432="","",Lançamentos!$B432)</f>
        <v/>
      </c>
      <c r="C437" s="434" t="str">
        <f>IF($B437="","",IFERROR(INDEX(Lançamentos!$J$3:$J$1001,MATCH($B437,Lançamentos!$B$3:$B$1001,0)),""))</f>
        <v/>
      </c>
      <c r="D437" s="435" t="str">
        <f>IF($B437="","",IFERROR(INDEX('E2 — Triagem'!$D$8:$D$507,MATCH($B437,'E2 — Triagem'!$B$8:$B$507,0)),""))</f>
        <v/>
      </c>
      <c r="E437" s="435"/>
      <c r="F437" s="435"/>
      <c r="G437" s="435"/>
      <c r="H437" s="435"/>
      <c r="I437" s="435"/>
      <c r="J437" s="435"/>
      <c r="K437" s="435"/>
      <c r="L437" s="436" t="str">
        <f t="shared" si="7"/>
        <v/>
      </c>
      <c r="M437" s="437"/>
      <c r="N437" s="438"/>
    </row>
    <row r="438" spans="2:14" x14ac:dyDescent="0.35">
      <c r="B438" s="433" t="str">
        <f>IF(Lançamentos!$B433="","",Lançamentos!$B433)</f>
        <v/>
      </c>
      <c r="C438" s="434" t="str">
        <f>IF($B438="","",IFERROR(INDEX(Lançamentos!$J$3:$J$1001,MATCH($B438,Lançamentos!$B$3:$B$1001,0)),""))</f>
        <v/>
      </c>
      <c r="D438" s="435" t="str">
        <f>IF($B438="","",IFERROR(INDEX('E2 — Triagem'!$D$8:$D$507,MATCH($B438,'E2 — Triagem'!$B$8:$B$507,0)),""))</f>
        <v/>
      </c>
      <c r="E438" s="435"/>
      <c r="F438" s="435"/>
      <c r="G438" s="435"/>
      <c r="H438" s="435"/>
      <c r="I438" s="435"/>
      <c r="J438" s="435"/>
      <c r="K438" s="435"/>
      <c r="L438" s="436" t="str">
        <f t="shared" si="7"/>
        <v/>
      </c>
      <c r="M438" s="437"/>
      <c r="N438" s="438"/>
    </row>
    <row r="439" spans="2:14" x14ac:dyDescent="0.35">
      <c r="B439" s="433" t="str">
        <f>IF(Lançamentos!$B434="","",Lançamentos!$B434)</f>
        <v/>
      </c>
      <c r="C439" s="434" t="str">
        <f>IF($B439="","",IFERROR(INDEX(Lançamentos!$J$3:$J$1001,MATCH($B439,Lançamentos!$B$3:$B$1001,0)),""))</f>
        <v/>
      </c>
      <c r="D439" s="435" t="str">
        <f>IF($B439="","",IFERROR(INDEX('E2 — Triagem'!$D$8:$D$507,MATCH($B439,'E2 — Triagem'!$B$8:$B$507,0)),""))</f>
        <v/>
      </c>
      <c r="E439" s="435"/>
      <c r="F439" s="435"/>
      <c r="G439" s="435"/>
      <c r="H439" s="435"/>
      <c r="I439" s="435"/>
      <c r="J439" s="435"/>
      <c r="K439" s="435"/>
      <c r="L439" s="436" t="str">
        <f t="shared" si="7"/>
        <v/>
      </c>
      <c r="M439" s="437"/>
      <c r="N439" s="438"/>
    </row>
    <row r="440" spans="2:14" x14ac:dyDescent="0.35">
      <c r="B440" s="433" t="str">
        <f>IF(Lançamentos!$B435="","",Lançamentos!$B435)</f>
        <v/>
      </c>
      <c r="C440" s="434" t="str">
        <f>IF($B440="","",IFERROR(INDEX(Lançamentos!$J$3:$J$1001,MATCH($B440,Lançamentos!$B$3:$B$1001,0)),""))</f>
        <v/>
      </c>
      <c r="D440" s="435" t="str">
        <f>IF($B440="","",IFERROR(INDEX('E2 — Triagem'!$D$8:$D$507,MATCH($B440,'E2 — Triagem'!$B$8:$B$507,0)),""))</f>
        <v/>
      </c>
      <c r="E440" s="435"/>
      <c r="F440" s="435"/>
      <c r="G440" s="435"/>
      <c r="H440" s="435"/>
      <c r="I440" s="435"/>
      <c r="J440" s="435"/>
      <c r="K440" s="435"/>
      <c r="L440" s="436" t="str">
        <f t="shared" si="7"/>
        <v/>
      </c>
      <c r="M440" s="437"/>
      <c r="N440" s="438"/>
    </row>
    <row r="441" spans="2:14" x14ac:dyDescent="0.35">
      <c r="B441" s="433" t="str">
        <f>IF(Lançamentos!$B436="","",Lançamentos!$B436)</f>
        <v/>
      </c>
      <c r="C441" s="434" t="str">
        <f>IF($B441="","",IFERROR(INDEX(Lançamentos!$J$3:$J$1001,MATCH($B441,Lançamentos!$B$3:$B$1001,0)),""))</f>
        <v/>
      </c>
      <c r="D441" s="435" t="str">
        <f>IF($B441="","",IFERROR(INDEX('E2 — Triagem'!$D$8:$D$507,MATCH($B441,'E2 — Triagem'!$B$8:$B$507,0)),""))</f>
        <v/>
      </c>
      <c r="E441" s="435"/>
      <c r="F441" s="435"/>
      <c r="G441" s="435"/>
      <c r="H441" s="435"/>
      <c r="I441" s="435"/>
      <c r="J441" s="435"/>
      <c r="K441" s="435"/>
      <c r="L441" s="436" t="str">
        <f t="shared" si="7"/>
        <v/>
      </c>
      <c r="M441" s="437"/>
      <c r="N441" s="438"/>
    </row>
    <row r="442" spans="2:14" x14ac:dyDescent="0.35">
      <c r="B442" s="433" t="str">
        <f>IF(Lançamentos!$B437="","",Lançamentos!$B437)</f>
        <v/>
      </c>
      <c r="C442" s="434" t="str">
        <f>IF($B442="","",IFERROR(INDEX(Lançamentos!$J$3:$J$1001,MATCH($B442,Lançamentos!$B$3:$B$1001,0)),""))</f>
        <v/>
      </c>
      <c r="D442" s="435" t="str">
        <f>IF($B442="","",IFERROR(INDEX('E2 — Triagem'!$D$8:$D$507,MATCH($B442,'E2 — Triagem'!$B$8:$B$507,0)),""))</f>
        <v/>
      </c>
      <c r="E442" s="435"/>
      <c r="F442" s="435"/>
      <c r="G442" s="435"/>
      <c r="H442" s="435"/>
      <c r="I442" s="435"/>
      <c r="J442" s="435"/>
      <c r="K442" s="435"/>
      <c r="L442" s="436" t="str">
        <f t="shared" si="7"/>
        <v/>
      </c>
      <c r="M442" s="437"/>
      <c r="N442" s="438"/>
    </row>
    <row r="443" spans="2:14" x14ac:dyDescent="0.35">
      <c r="B443" s="433" t="str">
        <f>IF(Lançamentos!$B438="","",Lançamentos!$B438)</f>
        <v/>
      </c>
      <c r="C443" s="434" t="str">
        <f>IF($B443="","",IFERROR(INDEX(Lançamentos!$J$3:$J$1001,MATCH($B443,Lançamentos!$B$3:$B$1001,0)),""))</f>
        <v/>
      </c>
      <c r="D443" s="435" t="str">
        <f>IF($B443="","",IFERROR(INDEX('E2 — Triagem'!$D$8:$D$507,MATCH($B443,'E2 — Triagem'!$B$8:$B$507,0)),""))</f>
        <v/>
      </c>
      <c r="E443" s="435"/>
      <c r="F443" s="435"/>
      <c r="G443" s="435"/>
      <c r="H443" s="435"/>
      <c r="I443" s="435"/>
      <c r="J443" s="435"/>
      <c r="K443" s="435"/>
      <c r="L443" s="436" t="str">
        <f t="shared" si="7"/>
        <v/>
      </c>
      <c r="M443" s="437"/>
      <c r="N443" s="438"/>
    </row>
    <row r="444" spans="2:14" x14ac:dyDescent="0.35">
      <c r="B444" s="433" t="str">
        <f>IF(Lançamentos!$B439="","",Lançamentos!$B439)</f>
        <v/>
      </c>
      <c r="C444" s="434" t="str">
        <f>IF($B444="","",IFERROR(INDEX(Lançamentos!$J$3:$J$1001,MATCH($B444,Lançamentos!$B$3:$B$1001,0)),""))</f>
        <v/>
      </c>
      <c r="D444" s="435" t="str">
        <f>IF($B444="","",IFERROR(INDEX('E2 — Triagem'!$D$8:$D$507,MATCH($B444,'E2 — Triagem'!$B$8:$B$507,0)),""))</f>
        <v/>
      </c>
      <c r="E444" s="435"/>
      <c r="F444" s="435"/>
      <c r="G444" s="435"/>
      <c r="H444" s="435"/>
      <c r="I444" s="435"/>
      <c r="J444" s="435"/>
      <c r="K444" s="435"/>
      <c r="L444" s="436" t="str">
        <f t="shared" si="7"/>
        <v/>
      </c>
      <c r="M444" s="437"/>
      <c r="N444" s="438"/>
    </row>
    <row r="445" spans="2:14" x14ac:dyDescent="0.35">
      <c r="B445" s="433" t="str">
        <f>IF(Lançamentos!$B440="","",Lançamentos!$B440)</f>
        <v/>
      </c>
      <c r="C445" s="434" t="str">
        <f>IF($B445="","",IFERROR(INDEX(Lançamentos!$J$3:$J$1001,MATCH($B445,Lançamentos!$B$3:$B$1001,0)),""))</f>
        <v/>
      </c>
      <c r="D445" s="435" t="str">
        <f>IF($B445="","",IFERROR(INDEX('E2 — Triagem'!$D$8:$D$507,MATCH($B445,'E2 — Triagem'!$B$8:$B$507,0)),""))</f>
        <v/>
      </c>
      <c r="E445" s="435"/>
      <c r="F445" s="435"/>
      <c r="G445" s="435"/>
      <c r="H445" s="435"/>
      <c r="I445" s="435"/>
      <c r="J445" s="435"/>
      <c r="K445" s="435"/>
      <c r="L445" s="436" t="str">
        <f t="shared" si="7"/>
        <v/>
      </c>
      <c r="M445" s="437"/>
      <c r="N445" s="438"/>
    </row>
    <row r="446" spans="2:14" x14ac:dyDescent="0.35">
      <c r="B446" s="433" t="str">
        <f>IF(Lançamentos!$B441="","",Lançamentos!$B441)</f>
        <v/>
      </c>
      <c r="C446" s="434" t="str">
        <f>IF($B446="","",IFERROR(INDEX(Lançamentos!$J$3:$J$1001,MATCH($B446,Lançamentos!$B$3:$B$1001,0)),""))</f>
        <v/>
      </c>
      <c r="D446" s="435" t="str">
        <f>IF($B446="","",IFERROR(INDEX('E2 — Triagem'!$D$8:$D$507,MATCH($B446,'E2 — Triagem'!$B$8:$B$507,0)),""))</f>
        <v/>
      </c>
      <c r="E446" s="435"/>
      <c r="F446" s="435"/>
      <c r="G446" s="435"/>
      <c r="H446" s="435"/>
      <c r="I446" s="435"/>
      <c r="J446" s="435"/>
      <c r="K446" s="435"/>
      <c r="L446" s="436" t="str">
        <f t="shared" si="7"/>
        <v/>
      </c>
      <c r="M446" s="437"/>
      <c r="N446" s="438"/>
    </row>
    <row r="447" spans="2:14" x14ac:dyDescent="0.35">
      <c r="B447" s="433" t="str">
        <f>IF(Lançamentos!$B442="","",Lançamentos!$B442)</f>
        <v/>
      </c>
      <c r="C447" s="434" t="str">
        <f>IF($B447="","",IFERROR(INDEX(Lançamentos!$J$3:$J$1001,MATCH($B447,Lançamentos!$B$3:$B$1001,0)),""))</f>
        <v/>
      </c>
      <c r="D447" s="435" t="str">
        <f>IF($B447="","",IFERROR(INDEX('E2 — Triagem'!$D$8:$D$507,MATCH($B447,'E2 — Triagem'!$B$8:$B$507,0)),""))</f>
        <v/>
      </c>
      <c r="E447" s="435"/>
      <c r="F447" s="435"/>
      <c r="G447" s="435"/>
      <c r="H447" s="435"/>
      <c r="I447" s="435"/>
      <c r="J447" s="435"/>
      <c r="K447" s="435"/>
      <c r="L447" s="436" t="str">
        <f t="shared" si="7"/>
        <v/>
      </c>
      <c r="M447" s="437"/>
      <c r="N447" s="438"/>
    </row>
    <row r="448" spans="2:14" x14ac:dyDescent="0.35">
      <c r="B448" s="433" t="str">
        <f>IF(Lançamentos!$B443="","",Lançamentos!$B443)</f>
        <v/>
      </c>
      <c r="C448" s="434" t="str">
        <f>IF($B448="","",IFERROR(INDEX(Lançamentos!$J$3:$J$1001,MATCH($B448,Lançamentos!$B$3:$B$1001,0)),""))</f>
        <v/>
      </c>
      <c r="D448" s="435" t="str">
        <f>IF($B448="","",IFERROR(INDEX('E2 — Triagem'!$D$8:$D$507,MATCH($B448,'E2 — Triagem'!$B$8:$B$507,0)),""))</f>
        <v/>
      </c>
      <c r="E448" s="435"/>
      <c r="F448" s="435"/>
      <c r="G448" s="435"/>
      <c r="H448" s="435"/>
      <c r="I448" s="435"/>
      <c r="J448" s="435"/>
      <c r="K448" s="435"/>
      <c r="L448" s="436" t="str">
        <f t="shared" si="7"/>
        <v/>
      </c>
      <c r="M448" s="437"/>
      <c r="N448" s="438"/>
    </row>
    <row r="449" spans="2:14" x14ac:dyDescent="0.35">
      <c r="B449" s="433" t="str">
        <f>IF(Lançamentos!$B444="","",Lançamentos!$B444)</f>
        <v/>
      </c>
      <c r="C449" s="434" t="str">
        <f>IF($B449="","",IFERROR(INDEX(Lançamentos!$J$3:$J$1001,MATCH($B449,Lançamentos!$B$3:$B$1001,0)),""))</f>
        <v/>
      </c>
      <c r="D449" s="435" t="str">
        <f>IF($B449="","",IFERROR(INDEX('E2 — Triagem'!$D$8:$D$507,MATCH($B449,'E2 — Triagem'!$B$8:$B$507,0)),""))</f>
        <v/>
      </c>
      <c r="E449" s="435"/>
      <c r="F449" s="435"/>
      <c r="G449" s="435"/>
      <c r="H449" s="435"/>
      <c r="I449" s="435"/>
      <c r="J449" s="435"/>
      <c r="K449" s="435"/>
      <c r="L449" s="436" t="str">
        <f t="shared" si="7"/>
        <v/>
      </c>
      <c r="M449" s="437"/>
      <c r="N449" s="438"/>
    </row>
    <row r="450" spans="2:14" x14ac:dyDescent="0.35">
      <c r="B450" s="433" t="str">
        <f>IF(Lançamentos!$B445="","",Lançamentos!$B445)</f>
        <v/>
      </c>
      <c r="C450" s="434" t="str">
        <f>IF($B450="","",IFERROR(INDEX(Lançamentos!$J$3:$J$1001,MATCH($B450,Lançamentos!$B$3:$B$1001,0)),""))</f>
        <v/>
      </c>
      <c r="D450" s="435" t="str">
        <f>IF($B450="","",IFERROR(INDEX('E2 — Triagem'!$D$8:$D$507,MATCH($B450,'E2 — Triagem'!$B$8:$B$507,0)),""))</f>
        <v/>
      </c>
      <c r="E450" s="435"/>
      <c r="F450" s="435"/>
      <c r="G450" s="435"/>
      <c r="H450" s="435"/>
      <c r="I450" s="435"/>
      <c r="J450" s="435"/>
      <c r="K450" s="435"/>
      <c r="L450" s="436" t="str">
        <f t="shared" si="7"/>
        <v/>
      </c>
      <c r="M450" s="437"/>
      <c r="N450" s="438"/>
    </row>
    <row r="451" spans="2:14" x14ac:dyDescent="0.35">
      <c r="B451" s="433" t="str">
        <f>IF(Lançamentos!$B446="","",Lançamentos!$B446)</f>
        <v/>
      </c>
      <c r="C451" s="434" t="str">
        <f>IF($B451="","",IFERROR(INDEX(Lançamentos!$J$3:$J$1001,MATCH($B451,Lançamentos!$B$3:$B$1001,0)),""))</f>
        <v/>
      </c>
      <c r="D451" s="435" t="str">
        <f>IF($B451="","",IFERROR(INDEX('E2 — Triagem'!$D$8:$D$507,MATCH($B451,'E2 — Triagem'!$B$8:$B$507,0)),""))</f>
        <v/>
      </c>
      <c r="E451" s="435"/>
      <c r="F451" s="435"/>
      <c r="G451" s="435"/>
      <c r="H451" s="435"/>
      <c r="I451" s="435"/>
      <c r="J451" s="435"/>
      <c r="K451" s="435"/>
      <c r="L451" s="436" t="str">
        <f t="shared" si="7"/>
        <v/>
      </c>
      <c r="M451" s="437"/>
      <c r="N451" s="438"/>
    </row>
    <row r="452" spans="2:14" x14ac:dyDescent="0.35">
      <c r="B452" s="433" t="str">
        <f>IF(Lançamentos!$B447="","",Lançamentos!$B447)</f>
        <v/>
      </c>
      <c r="C452" s="434" t="str">
        <f>IF($B452="","",IFERROR(INDEX(Lançamentos!$J$3:$J$1001,MATCH($B452,Lançamentos!$B$3:$B$1001,0)),""))</f>
        <v/>
      </c>
      <c r="D452" s="435" t="str">
        <f>IF($B452="","",IFERROR(INDEX('E2 — Triagem'!$D$8:$D$507,MATCH($B452,'E2 — Triagem'!$B$8:$B$507,0)),""))</f>
        <v/>
      </c>
      <c r="E452" s="435"/>
      <c r="F452" s="435"/>
      <c r="G452" s="435"/>
      <c r="H452" s="435"/>
      <c r="I452" s="435"/>
      <c r="J452" s="435"/>
      <c r="K452" s="435"/>
      <c r="L452" s="436" t="str">
        <f t="shared" si="7"/>
        <v/>
      </c>
      <c r="M452" s="437"/>
      <c r="N452" s="438"/>
    </row>
    <row r="453" spans="2:14" x14ac:dyDescent="0.35">
      <c r="B453" s="433" t="str">
        <f>IF(Lançamentos!$B448="","",Lançamentos!$B448)</f>
        <v/>
      </c>
      <c r="C453" s="434" t="str">
        <f>IF($B453="","",IFERROR(INDEX(Lançamentos!$J$3:$J$1001,MATCH($B453,Lançamentos!$B$3:$B$1001,0)),""))</f>
        <v/>
      </c>
      <c r="D453" s="435" t="str">
        <f>IF($B453="","",IFERROR(INDEX('E2 — Triagem'!$D$8:$D$507,MATCH($B453,'E2 — Triagem'!$B$8:$B$507,0)),""))</f>
        <v/>
      </c>
      <c r="E453" s="435"/>
      <c r="F453" s="435"/>
      <c r="G453" s="435"/>
      <c r="H453" s="435"/>
      <c r="I453" s="435"/>
      <c r="J453" s="435"/>
      <c r="K453" s="435"/>
      <c r="L453" s="436" t="str">
        <f t="shared" si="7"/>
        <v/>
      </c>
      <c r="M453" s="437"/>
      <c r="N453" s="438"/>
    </row>
    <row r="454" spans="2:14" x14ac:dyDescent="0.35">
      <c r="B454" s="433" t="str">
        <f>IF(Lançamentos!$B449="","",Lançamentos!$B449)</f>
        <v/>
      </c>
      <c r="C454" s="434" t="str">
        <f>IF($B454="","",IFERROR(INDEX(Lançamentos!$J$3:$J$1001,MATCH($B454,Lançamentos!$B$3:$B$1001,0)),""))</f>
        <v/>
      </c>
      <c r="D454" s="435" t="str">
        <f>IF($B454="","",IFERROR(INDEX('E2 — Triagem'!$D$8:$D$507,MATCH($B454,'E2 — Triagem'!$B$8:$B$507,0)),""))</f>
        <v/>
      </c>
      <c r="E454" s="435"/>
      <c r="F454" s="435"/>
      <c r="G454" s="435"/>
      <c r="H454" s="435"/>
      <c r="I454" s="435"/>
      <c r="J454" s="435"/>
      <c r="K454" s="435"/>
      <c r="L454" s="436" t="str">
        <f t="shared" si="7"/>
        <v/>
      </c>
      <c r="M454" s="437"/>
      <c r="N454" s="438"/>
    </row>
    <row r="455" spans="2:14" x14ac:dyDescent="0.35">
      <c r="B455" s="433" t="str">
        <f>IF(Lançamentos!$B450="","",Lançamentos!$B450)</f>
        <v/>
      </c>
      <c r="C455" s="434" t="str">
        <f>IF($B455="","",IFERROR(INDEX(Lançamentos!$J$3:$J$1001,MATCH($B455,Lançamentos!$B$3:$B$1001,0)),""))</f>
        <v/>
      </c>
      <c r="D455" s="435" t="str">
        <f>IF($B455="","",IFERROR(INDEX('E2 — Triagem'!$D$8:$D$507,MATCH($B455,'E2 — Triagem'!$B$8:$B$507,0)),""))</f>
        <v/>
      </c>
      <c r="E455" s="435"/>
      <c r="F455" s="435"/>
      <c r="G455" s="435"/>
      <c r="H455" s="435"/>
      <c r="I455" s="435"/>
      <c r="J455" s="435"/>
      <c r="K455" s="435"/>
      <c r="L455" s="436" t="str">
        <f t="shared" si="7"/>
        <v/>
      </c>
      <c r="M455" s="437"/>
      <c r="N455" s="438"/>
    </row>
    <row r="456" spans="2:14" x14ac:dyDescent="0.35">
      <c r="B456" s="433" t="str">
        <f>IF(Lançamentos!$B451="","",Lançamentos!$B451)</f>
        <v/>
      </c>
      <c r="C456" s="434" t="str">
        <f>IF($B456="","",IFERROR(INDEX(Lançamentos!$J$3:$J$1001,MATCH($B456,Lançamentos!$B$3:$B$1001,0)),""))</f>
        <v/>
      </c>
      <c r="D456" s="435" t="str">
        <f>IF($B456="","",IFERROR(INDEX('E2 — Triagem'!$D$8:$D$507,MATCH($B456,'E2 — Triagem'!$B$8:$B$507,0)),""))</f>
        <v/>
      </c>
      <c r="E456" s="435"/>
      <c r="F456" s="435"/>
      <c r="G456" s="435"/>
      <c r="H456" s="435"/>
      <c r="I456" s="435"/>
      <c r="J456" s="435"/>
      <c r="K456" s="435"/>
      <c r="L456" s="436" t="str">
        <f t="shared" si="7"/>
        <v/>
      </c>
      <c r="M456" s="437"/>
      <c r="N456" s="438"/>
    </row>
    <row r="457" spans="2:14" x14ac:dyDescent="0.35">
      <c r="B457" s="433" t="str">
        <f>IF(Lançamentos!$B452="","",Lançamentos!$B452)</f>
        <v/>
      </c>
      <c r="C457" s="434" t="str">
        <f>IF($B457="","",IFERROR(INDEX(Lançamentos!$J$3:$J$1001,MATCH($B457,Lançamentos!$B$3:$B$1001,0)),""))</f>
        <v/>
      </c>
      <c r="D457" s="435" t="str">
        <f>IF($B457="","",IFERROR(INDEX('E2 — Triagem'!$D$8:$D$507,MATCH($B457,'E2 — Triagem'!$B$8:$B$507,0)),""))</f>
        <v/>
      </c>
      <c r="E457" s="435"/>
      <c r="F457" s="435"/>
      <c r="G457" s="435"/>
      <c r="H457" s="435"/>
      <c r="I457" s="435"/>
      <c r="J457" s="435"/>
      <c r="K457" s="435"/>
      <c r="L457" s="436" t="str">
        <f t="shared" si="7"/>
        <v/>
      </c>
      <c r="M457" s="437"/>
      <c r="N457" s="438"/>
    </row>
    <row r="458" spans="2:14" x14ac:dyDescent="0.35">
      <c r="B458" s="433" t="str">
        <f>IF(Lançamentos!$B453="","",Lançamentos!$B453)</f>
        <v/>
      </c>
      <c r="C458" s="434" t="str">
        <f>IF($B458="","",IFERROR(INDEX(Lançamentos!$J$3:$J$1001,MATCH($B458,Lançamentos!$B$3:$B$1001,0)),""))</f>
        <v/>
      </c>
      <c r="D458" s="435" t="str">
        <f>IF($B458="","",IFERROR(INDEX('E2 — Triagem'!$D$8:$D$507,MATCH($B458,'E2 — Triagem'!$B$8:$B$507,0)),""))</f>
        <v/>
      </c>
      <c r="E458" s="435"/>
      <c r="F458" s="435"/>
      <c r="G458" s="435"/>
      <c r="H458" s="435"/>
      <c r="I458" s="435"/>
      <c r="J458" s="435"/>
      <c r="K458" s="435"/>
      <c r="L458" s="436" t="str">
        <f t="shared" si="7"/>
        <v/>
      </c>
      <c r="M458" s="437"/>
      <c r="N458" s="438"/>
    </row>
    <row r="459" spans="2:14" x14ac:dyDescent="0.35">
      <c r="B459" s="433" t="str">
        <f>IF(Lançamentos!$B454="","",Lançamentos!$B454)</f>
        <v/>
      </c>
      <c r="C459" s="434" t="str">
        <f>IF($B459="","",IFERROR(INDEX(Lançamentos!$J$3:$J$1001,MATCH($B459,Lançamentos!$B$3:$B$1001,0)),""))</f>
        <v/>
      </c>
      <c r="D459" s="435" t="str">
        <f>IF($B459="","",IFERROR(INDEX('E2 — Triagem'!$D$8:$D$507,MATCH($B459,'E2 — Triagem'!$B$8:$B$507,0)),""))</f>
        <v/>
      </c>
      <c r="E459" s="435"/>
      <c r="F459" s="435"/>
      <c r="G459" s="435"/>
      <c r="H459" s="435"/>
      <c r="I459" s="435"/>
      <c r="J459" s="435"/>
      <c r="K459" s="435"/>
      <c r="L459" s="436" t="str">
        <f t="shared" si="7"/>
        <v/>
      </c>
      <c r="M459" s="437"/>
      <c r="N459" s="438"/>
    </row>
    <row r="460" spans="2:14" x14ac:dyDescent="0.35">
      <c r="B460" s="433" t="str">
        <f>IF(Lançamentos!$B455="","",Lançamentos!$B455)</f>
        <v/>
      </c>
      <c r="C460" s="434" t="str">
        <f>IF($B460="","",IFERROR(INDEX(Lançamentos!$J$3:$J$1001,MATCH($B460,Lançamentos!$B$3:$B$1001,0)),""))</f>
        <v/>
      </c>
      <c r="D460" s="435" t="str">
        <f>IF($B460="","",IFERROR(INDEX('E2 — Triagem'!$D$8:$D$507,MATCH($B460,'E2 — Triagem'!$B$8:$B$507,0)),""))</f>
        <v/>
      </c>
      <c r="E460" s="435"/>
      <c r="F460" s="435"/>
      <c r="G460" s="435"/>
      <c r="H460" s="435"/>
      <c r="I460" s="435"/>
      <c r="J460" s="435"/>
      <c r="K460" s="435"/>
      <c r="L460" s="436" t="str">
        <f t="shared" si="7"/>
        <v/>
      </c>
      <c r="M460" s="437"/>
      <c r="N460" s="438"/>
    </row>
    <row r="461" spans="2:14" x14ac:dyDescent="0.35">
      <c r="B461" s="433" t="str">
        <f>IF(Lançamentos!$B456="","",Lançamentos!$B456)</f>
        <v/>
      </c>
      <c r="C461" s="434" t="str">
        <f>IF($B461="","",IFERROR(INDEX(Lançamentos!$J$3:$J$1001,MATCH($B461,Lançamentos!$B$3:$B$1001,0)),""))</f>
        <v/>
      </c>
      <c r="D461" s="435" t="str">
        <f>IF($B461="","",IFERROR(INDEX('E2 — Triagem'!$D$8:$D$507,MATCH($B461,'E2 — Triagem'!$B$8:$B$507,0)),""))</f>
        <v/>
      </c>
      <c r="E461" s="435"/>
      <c r="F461" s="435"/>
      <c r="G461" s="435"/>
      <c r="H461" s="435"/>
      <c r="I461" s="435"/>
      <c r="J461" s="435"/>
      <c r="K461" s="435"/>
      <c r="L461" s="436" t="str">
        <f t="shared" si="7"/>
        <v/>
      </c>
      <c r="M461" s="437"/>
      <c r="N461" s="438"/>
    </row>
    <row r="462" spans="2:14" x14ac:dyDescent="0.35">
      <c r="B462" s="433" t="str">
        <f>IF(Lançamentos!$B457="","",Lançamentos!$B457)</f>
        <v/>
      </c>
      <c r="C462" s="434" t="str">
        <f>IF($B462="","",IFERROR(INDEX(Lançamentos!$J$3:$J$1001,MATCH($B462,Lançamentos!$B$3:$B$1001,0)),""))</f>
        <v/>
      </c>
      <c r="D462" s="435" t="str">
        <f>IF($B462="","",IFERROR(INDEX('E2 — Triagem'!$D$8:$D$507,MATCH($B462,'E2 — Triagem'!$B$8:$B$507,0)),""))</f>
        <v/>
      </c>
      <c r="E462" s="435"/>
      <c r="F462" s="435"/>
      <c r="G462" s="435"/>
      <c r="H462" s="435"/>
      <c r="I462" s="435"/>
      <c r="J462" s="435"/>
      <c r="K462" s="435"/>
      <c r="L462" s="436" t="str">
        <f t="shared" si="7"/>
        <v/>
      </c>
      <c r="M462" s="437"/>
      <c r="N462" s="438"/>
    </row>
    <row r="463" spans="2:14" x14ac:dyDescent="0.35">
      <c r="B463" s="433" t="str">
        <f>IF(Lançamentos!$B458="","",Lançamentos!$B458)</f>
        <v/>
      </c>
      <c r="C463" s="434" t="str">
        <f>IF($B463="","",IFERROR(INDEX(Lançamentos!$J$3:$J$1001,MATCH($B463,Lançamentos!$B$3:$B$1001,0)),""))</f>
        <v/>
      </c>
      <c r="D463" s="435" t="str">
        <f>IF($B463="","",IFERROR(INDEX('E2 — Triagem'!$D$8:$D$507,MATCH($B463,'E2 — Triagem'!$B$8:$B$507,0)),""))</f>
        <v/>
      </c>
      <c r="E463" s="435"/>
      <c r="F463" s="435"/>
      <c r="G463" s="435"/>
      <c r="H463" s="435"/>
      <c r="I463" s="435"/>
      <c r="J463" s="435"/>
      <c r="K463" s="435"/>
      <c r="L463" s="436" t="str">
        <f t="shared" si="7"/>
        <v/>
      </c>
      <c r="M463" s="437"/>
      <c r="N463" s="438"/>
    </row>
    <row r="464" spans="2:14" x14ac:dyDescent="0.35">
      <c r="B464" s="433" t="str">
        <f>IF(Lançamentos!$B459="","",Lançamentos!$B459)</f>
        <v/>
      </c>
      <c r="C464" s="434" t="str">
        <f>IF($B464="","",IFERROR(INDEX(Lançamentos!$J$3:$J$1001,MATCH($B464,Lançamentos!$B$3:$B$1001,0)),""))</f>
        <v/>
      </c>
      <c r="D464" s="435" t="str">
        <f>IF($B464="","",IFERROR(INDEX('E2 — Triagem'!$D$8:$D$507,MATCH($B464,'E2 — Triagem'!$B$8:$B$507,0)),""))</f>
        <v/>
      </c>
      <c r="E464" s="435"/>
      <c r="F464" s="435"/>
      <c r="G464" s="435"/>
      <c r="H464" s="435"/>
      <c r="I464" s="435"/>
      <c r="J464" s="435"/>
      <c r="K464" s="435"/>
      <c r="L464" s="436" t="str">
        <f t="shared" ref="L464:L507" si="8">IF(B464="","",IF(COUNTIF(E464:K464,"N/A")=7,0,IF(COUNTIF(E464:K464,"✔ Concluído")=7,1,MIN(99%,COUNTIF(E464:K464,"✔ Concluído")/(7-COUNTIF(E464:K464,"N/A"))))))</f>
        <v/>
      </c>
      <c r="M464" s="437"/>
      <c r="N464" s="438"/>
    </row>
    <row r="465" spans="2:14" x14ac:dyDescent="0.35">
      <c r="B465" s="433" t="str">
        <f>IF(Lançamentos!$B460="","",Lançamentos!$B460)</f>
        <v/>
      </c>
      <c r="C465" s="434" t="str">
        <f>IF($B465="","",IFERROR(INDEX(Lançamentos!$J$3:$J$1001,MATCH($B465,Lançamentos!$B$3:$B$1001,0)),""))</f>
        <v/>
      </c>
      <c r="D465" s="435" t="str">
        <f>IF($B465="","",IFERROR(INDEX('E2 — Triagem'!$D$8:$D$507,MATCH($B465,'E2 — Triagem'!$B$8:$B$507,0)),""))</f>
        <v/>
      </c>
      <c r="E465" s="435"/>
      <c r="F465" s="435"/>
      <c r="G465" s="435"/>
      <c r="H465" s="435"/>
      <c r="I465" s="435"/>
      <c r="J465" s="435"/>
      <c r="K465" s="435"/>
      <c r="L465" s="436" t="str">
        <f t="shared" si="8"/>
        <v/>
      </c>
      <c r="M465" s="437"/>
      <c r="N465" s="438"/>
    </row>
    <row r="466" spans="2:14" x14ac:dyDescent="0.35">
      <c r="B466" s="433" t="str">
        <f>IF(Lançamentos!$B461="","",Lançamentos!$B461)</f>
        <v/>
      </c>
      <c r="C466" s="434" t="str">
        <f>IF($B466="","",IFERROR(INDEX(Lançamentos!$J$3:$J$1001,MATCH($B466,Lançamentos!$B$3:$B$1001,0)),""))</f>
        <v/>
      </c>
      <c r="D466" s="435" t="str">
        <f>IF($B466="","",IFERROR(INDEX('E2 — Triagem'!$D$8:$D$507,MATCH($B466,'E2 — Triagem'!$B$8:$B$507,0)),""))</f>
        <v/>
      </c>
      <c r="E466" s="435"/>
      <c r="F466" s="435"/>
      <c r="G466" s="435"/>
      <c r="H466" s="435"/>
      <c r="I466" s="435"/>
      <c r="J466" s="435"/>
      <c r="K466" s="435"/>
      <c r="L466" s="436" t="str">
        <f t="shared" si="8"/>
        <v/>
      </c>
      <c r="M466" s="437"/>
      <c r="N466" s="438"/>
    </row>
    <row r="467" spans="2:14" x14ac:dyDescent="0.35">
      <c r="B467" s="433" t="str">
        <f>IF(Lançamentos!$B462="","",Lançamentos!$B462)</f>
        <v/>
      </c>
      <c r="C467" s="434" t="str">
        <f>IF($B467="","",IFERROR(INDEX(Lançamentos!$J$3:$J$1001,MATCH($B467,Lançamentos!$B$3:$B$1001,0)),""))</f>
        <v/>
      </c>
      <c r="D467" s="435" t="str">
        <f>IF($B467="","",IFERROR(INDEX('E2 — Triagem'!$D$8:$D$507,MATCH($B467,'E2 — Triagem'!$B$8:$B$507,0)),""))</f>
        <v/>
      </c>
      <c r="E467" s="435"/>
      <c r="F467" s="435"/>
      <c r="G467" s="435"/>
      <c r="H467" s="435"/>
      <c r="I467" s="435"/>
      <c r="J467" s="435"/>
      <c r="K467" s="435"/>
      <c r="L467" s="436" t="str">
        <f t="shared" si="8"/>
        <v/>
      </c>
      <c r="M467" s="437"/>
      <c r="N467" s="438"/>
    </row>
    <row r="468" spans="2:14" x14ac:dyDescent="0.35">
      <c r="B468" s="433" t="str">
        <f>IF(Lançamentos!$B463="","",Lançamentos!$B463)</f>
        <v/>
      </c>
      <c r="C468" s="434" t="str">
        <f>IF($B468="","",IFERROR(INDEX(Lançamentos!$J$3:$J$1001,MATCH($B468,Lançamentos!$B$3:$B$1001,0)),""))</f>
        <v/>
      </c>
      <c r="D468" s="435" t="str">
        <f>IF($B468="","",IFERROR(INDEX('E2 — Triagem'!$D$8:$D$507,MATCH($B468,'E2 — Triagem'!$B$8:$B$507,0)),""))</f>
        <v/>
      </c>
      <c r="E468" s="435"/>
      <c r="F468" s="435"/>
      <c r="G468" s="435"/>
      <c r="H468" s="435"/>
      <c r="I468" s="435"/>
      <c r="J468" s="435"/>
      <c r="K468" s="435"/>
      <c r="L468" s="436" t="str">
        <f t="shared" si="8"/>
        <v/>
      </c>
      <c r="M468" s="437"/>
      <c r="N468" s="438"/>
    </row>
    <row r="469" spans="2:14" x14ac:dyDescent="0.35">
      <c r="B469" s="433" t="str">
        <f>IF(Lançamentos!$B464="","",Lançamentos!$B464)</f>
        <v/>
      </c>
      <c r="C469" s="434" t="str">
        <f>IF($B469="","",IFERROR(INDEX(Lançamentos!$J$3:$J$1001,MATCH($B469,Lançamentos!$B$3:$B$1001,0)),""))</f>
        <v/>
      </c>
      <c r="D469" s="435" t="str">
        <f>IF($B469="","",IFERROR(INDEX('E2 — Triagem'!$D$8:$D$507,MATCH($B469,'E2 — Triagem'!$B$8:$B$507,0)),""))</f>
        <v/>
      </c>
      <c r="E469" s="435"/>
      <c r="F469" s="435"/>
      <c r="G469" s="435"/>
      <c r="H469" s="435"/>
      <c r="I469" s="435"/>
      <c r="J469" s="435"/>
      <c r="K469" s="435"/>
      <c r="L469" s="436" t="str">
        <f t="shared" si="8"/>
        <v/>
      </c>
      <c r="M469" s="437"/>
      <c r="N469" s="438"/>
    </row>
    <row r="470" spans="2:14" x14ac:dyDescent="0.35">
      <c r="B470" s="433" t="str">
        <f>IF(Lançamentos!$B465="","",Lançamentos!$B465)</f>
        <v/>
      </c>
      <c r="C470" s="434" t="str">
        <f>IF($B470="","",IFERROR(INDEX(Lançamentos!$J$3:$J$1001,MATCH($B470,Lançamentos!$B$3:$B$1001,0)),""))</f>
        <v/>
      </c>
      <c r="D470" s="435" t="str">
        <f>IF($B470="","",IFERROR(INDEX('E2 — Triagem'!$D$8:$D$507,MATCH($B470,'E2 — Triagem'!$B$8:$B$507,0)),""))</f>
        <v/>
      </c>
      <c r="E470" s="435"/>
      <c r="F470" s="435"/>
      <c r="G470" s="435"/>
      <c r="H470" s="435"/>
      <c r="I470" s="435"/>
      <c r="J470" s="435"/>
      <c r="K470" s="435"/>
      <c r="L470" s="436" t="str">
        <f t="shared" si="8"/>
        <v/>
      </c>
      <c r="M470" s="437"/>
      <c r="N470" s="438"/>
    </row>
    <row r="471" spans="2:14" x14ac:dyDescent="0.35">
      <c r="B471" s="433" t="str">
        <f>IF(Lançamentos!$B466="","",Lançamentos!$B466)</f>
        <v/>
      </c>
      <c r="C471" s="434" t="str">
        <f>IF($B471="","",IFERROR(INDEX(Lançamentos!$J$3:$J$1001,MATCH($B471,Lançamentos!$B$3:$B$1001,0)),""))</f>
        <v/>
      </c>
      <c r="D471" s="435" t="str">
        <f>IF($B471="","",IFERROR(INDEX('E2 — Triagem'!$D$8:$D$507,MATCH($B471,'E2 — Triagem'!$B$8:$B$507,0)),""))</f>
        <v/>
      </c>
      <c r="E471" s="435"/>
      <c r="F471" s="435"/>
      <c r="G471" s="435"/>
      <c r="H471" s="435"/>
      <c r="I471" s="435"/>
      <c r="J471" s="435"/>
      <c r="K471" s="435"/>
      <c r="L471" s="436" t="str">
        <f t="shared" si="8"/>
        <v/>
      </c>
      <c r="M471" s="437"/>
      <c r="N471" s="438"/>
    </row>
    <row r="472" spans="2:14" x14ac:dyDescent="0.35">
      <c r="B472" s="433" t="str">
        <f>IF(Lançamentos!$B467="","",Lançamentos!$B467)</f>
        <v/>
      </c>
      <c r="C472" s="434" t="str">
        <f>IF($B472="","",IFERROR(INDEX(Lançamentos!$J$3:$J$1001,MATCH($B472,Lançamentos!$B$3:$B$1001,0)),""))</f>
        <v/>
      </c>
      <c r="D472" s="435" t="str">
        <f>IF($B472="","",IFERROR(INDEX('E2 — Triagem'!$D$8:$D$507,MATCH($B472,'E2 — Triagem'!$B$8:$B$507,0)),""))</f>
        <v/>
      </c>
      <c r="E472" s="435"/>
      <c r="F472" s="435"/>
      <c r="G472" s="435"/>
      <c r="H472" s="435"/>
      <c r="I472" s="435"/>
      <c r="J472" s="435"/>
      <c r="K472" s="435"/>
      <c r="L472" s="436" t="str">
        <f t="shared" si="8"/>
        <v/>
      </c>
      <c r="M472" s="437"/>
      <c r="N472" s="438"/>
    </row>
    <row r="473" spans="2:14" x14ac:dyDescent="0.35">
      <c r="B473" s="433" t="str">
        <f>IF(Lançamentos!$B468="","",Lançamentos!$B468)</f>
        <v/>
      </c>
      <c r="C473" s="434" t="str">
        <f>IF($B473="","",IFERROR(INDEX(Lançamentos!$J$3:$J$1001,MATCH($B473,Lançamentos!$B$3:$B$1001,0)),""))</f>
        <v/>
      </c>
      <c r="D473" s="435" t="str">
        <f>IF($B473="","",IFERROR(INDEX('E2 — Triagem'!$D$8:$D$507,MATCH($B473,'E2 — Triagem'!$B$8:$B$507,0)),""))</f>
        <v/>
      </c>
      <c r="E473" s="435"/>
      <c r="F473" s="435"/>
      <c r="G473" s="435"/>
      <c r="H473" s="435"/>
      <c r="I473" s="435"/>
      <c r="J473" s="435"/>
      <c r="K473" s="435"/>
      <c r="L473" s="436" t="str">
        <f t="shared" si="8"/>
        <v/>
      </c>
      <c r="M473" s="437"/>
      <c r="N473" s="438"/>
    </row>
    <row r="474" spans="2:14" x14ac:dyDescent="0.35">
      <c r="B474" s="433" t="str">
        <f>IF(Lançamentos!$B469="","",Lançamentos!$B469)</f>
        <v/>
      </c>
      <c r="C474" s="434" t="str">
        <f>IF($B474="","",IFERROR(INDEX(Lançamentos!$J$3:$J$1001,MATCH($B474,Lançamentos!$B$3:$B$1001,0)),""))</f>
        <v/>
      </c>
      <c r="D474" s="435" t="str">
        <f>IF($B474="","",IFERROR(INDEX('E2 — Triagem'!$D$8:$D$507,MATCH($B474,'E2 — Triagem'!$B$8:$B$507,0)),""))</f>
        <v/>
      </c>
      <c r="E474" s="435"/>
      <c r="F474" s="435"/>
      <c r="G474" s="435"/>
      <c r="H474" s="435"/>
      <c r="I474" s="435"/>
      <c r="J474" s="435"/>
      <c r="K474" s="435"/>
      <c r="L474" s="436" t="str">
        <f t="shared" si="8"/>
        <v/>
      </c>
      <c r="M474" s="437"/>
      <c r="N474" s="438"/>
    </row>
    <row r="475" spans="2:14" x14ac:dyDescent="0.35">
      <c r="B475" s="433" t="str">
        <f>IF(Lançamentos!$B470="","",Lançamentos!$B470)</f>
        <v/>
      </c>
      <c r="C475" s="434" t="str">
        <f>IF($B475="","",IFERROR(INDEX(Lançamentos!$J$3:$J$1001,MATCH($B475,Lançamentos!$B$3:$B$1001,0)),""))</f>
        <v/>
      </c>
      <c r="D475" s="435" t="str">
        <f>IF($B475="","",IFERROR(INDEX('E2 — Triagem'!$D$8:$D$507,MATCH($B475,'E2 — Triagem'!$B$8:$B$507,0)),""))</f>
        <v/>
      </c>
      <c r="E475" s="435"/>
      <c r="F475" s="435"/>
      <c r="G475" s="435"/>
      <c r="H475" s="435"/>
      <c r="I475" s="435"/>
      <c r="J475" s="435"/>
      <c r="K475" s="435"/>
      <c r="L475" s="436" t="str">
        <f t="shared" si="8"/>
        <v/>
      </c>
      <c r="M475" s="437"/>
      <c r="N475" s="438"/>
    </row>
    <row r="476" spans="2:14" x14ac:dyDescent="0.35">
      <c r="B476" s="433" t="str">
        <f>IF(Lançamentos!$B471="","",Lançamentos!$B471)</f>
        <v/>
      </c>
      <c r="C476" s="434" t="str">
        <f>IF($B476="","",IFERROR(INDEX(Lançamentos!$J$3:$J$1001,MATCH($B476,Lançamentos!$B$3:$B$1001,0)),""))</f>
        <v/>
      </c>
      <c r="D476" s="435" t="str">
        <f>IF($B476="","",IFERROR(INDEX('E2 — Triagem'!$D$8:$D$507,MATCH($B476,'E2 — Triagem'!$B$8:$B$507,0)),""))</f>
        <v/>
      </c>
      <c r="E476" s="435"/>
      <c r="F476" s="435"/>
      <c r="G476" s="435"/>
      <c r="H476" s="435"/>
      <c r="I476" s="435"/>
      <c r="J476" s="435"/>
      <c r="K476" s="435"/>
      <c r="L476" s="436" t="str">
        <f t="shared" si="8"/>
        <v/>
      </c>
      <c r="M476" s="437"/>
      <c r="N476" s="438"/>
    </row>
    <row r="477" spans="2:14" x14ac:dyDescent="0.35">
      <c r="B477" s="433" t="str">
        <f>IF(Lançamentos!$B472="","",Lançamentos!$B472)</f>
        <v/>
      </c>
      <c r="C477" s="434" t="str">
        <f>IF($B477="","",IFERROR(INDEX(Lançamentos!$J$3:$J$1001,MATCH($B477,Lançamentos!$B$3:$B$1001,0)),""))</f>
        <v/>
      </c>
      <c r="D477" s="435" t="str">
        <f>IF($B477="","",IFERROR(INDEX('E2 — Triagem'!$D$8:$D$507,MATCH($B477,'E2 — Triagem'!$B$8:$B$507,0)),""))</f>
        <v/>
      </c>
      <c r="E477" s="435"/>
      <c r="F477" s="435"/>
      <c r="G477" s="435"/>
      <c r="H477" s="435"/>
      <c r="I477" s="435"/>
      <c r="J477" s="435"/>
      <c r="K477" s="435"/>
      <c r="L477" s="436" t="str">
        <f t="shared" si="8"/>
        <v/>
      </c>
      <c r="M477" s="437"/>
      <c r="N477" s="438"/>
    </row>
    <row r="478" spans="2:14" x14ac:dyDescent="0.35">
      <c r="B478" s="433" t="str">
        <f>IF(Lançamentos!$B473="","",Lançamentos!$B473)</f>
        <v/>
      </c>
      <c r="C478" s="434" t="str">
        <f>IF($B478="","",IFERROR(INDEX(Lançamentos!$J$3:$J$1001,MATCH($B478,Lançamentos!$B$3:$B$1001,0)),""))</f>
        <v/>
      </c>
      <c r="D478" s="435" t="str">
        <f>IF($B478="","",IFERROR(INDEX('E2 — Triagem'!$D$8:$D$507,MATCH($B478,'E2 — Triagem'!$B$8:$B$507,0)),""))</f>
        <v/>
      </c>
      <c r="E478" s="435"/>
      <c r="F478" s="435"/>
      <c r="G478" s="435"/>
      <c r="H478" s="435"/>
      <c r="I478" s="435"/>
      <c r="J478" s="435"/>
      <c r="K478" s="435"/>
      <c r="L478" s="436" t="str">
        <f t="shared" si="8"/>
        <v/>
      </c>
      <c r="M478" s="437"/>
      <c r="N478" s="438"/>
    </row>
    <row r="479" spans="2:14" x14ac:dyDescent="0.35">
      <c r="B479" s="433" t="str">
        <f>IF(Lançamentos!$B474="","",Lançamentos!$B474)</f>
        <v/>
      </c>
      <c r="C479" s="434" t="str">
        <f>IF($B479="","",IFERROR(INDEX(Lançamentos!$J$3:$J$1001,MATCH($B479,Lançamentos!$B$3:$B$1001,0)),""))</f>
        <v/>
      </c>
      <c r="D479" s="435" t="str">
        <f>IF($B479="","",IFERROR(INDEX('E2 — Triagem'!$D$8:$D$507,MATCH($B479,'E2 — Triagem'!$B$8:$B$507,0)),""))</f>
        <v/>
      </c>
      <c r="E479" s="435"/>
      <c r="F479" s="435"/>
      <c r="G479" s="435"/>
      <c r="H479" s="435"/>
      <c r="I479" s="435"/>
      <c r="J479" s="435"/>
      <c r="K479" s="435"/>
      <c r="L479" s="436" t="str">
        <f t="shared" si="8"/>
        <v/>
      </c>
      <c r="M479" s="437"/>
      <c r="N479" s="438"/>
    </row>
    <row r="480" spans="2:14" x14ac:dyDescent="0.35">
      <c r="B480" s="433" t="str">
        <f>IF(Lançamentos!$B475="","",Lançamentos!$B475)</f>
        <v/>
      </c>
      <c r="C480" s="434" t="str">
        <f>IF($B480="","",IFERROR(INDEX(Lançamentos!$J$3:$J$1001,MATCH($B480,Lançamentos!$B$3:$B$1001,0)),""))</f>
        <v/>
      </c>
      <c r="D480" s="435" t="str">
        <f>IF($B480="","",IFERROR(INDEX('E2 — Triagem'!$D$8:$D$507,MATCH($B480,'E2 — Triagem'!$B$8:$B$507,0)),""))</f>
        <v/>
      </c>
      <c r="E480" s="435"/>
      <c r="F480" s="435"/>
      <c r="G480" s="435"/>
      <c r="H480" s="435"/>
      <c r="I480" s="435"/>
      <c r="J480" s="435"/>
      <c r="K480" s="435"/>
      <c r="L480" s="436" t="str">
        <f t="shared" si="8"/>
        <v/>
      </c>
      <c r="M480" s="437"/>
      <c r="N480" s="438"/>
    </row>
    <row r="481" spans="2:14" x14ac:dyDescent="0.35">
      <c r="B481" s="433" t="str">
        <f>IF(Lançamentos!$B476="","",Lançamentos!$B476)</f>
        <v/>
      </c>
      <c r="C481" s="434" t="str">
        <f>IF($B481="","",IFERROR(INDEX(Lançamentos!$J$3:$J$1001,MATCH($B481,Lançamentos!$B$3:$B$1001,0)),""))</f>
        <v/>
      </c>
      <c r="D481" s="435" t="str">
        <f>IF($B481="","",IFERROR(INDEX('E2 — Triagem'!$D$8:$D$507,MATCH($B481,'E2 — Triagem'!$B$8:$B$507,0)),""))</f>
        <v/>
      </c>
      <c r="E481" s="435"/>
      <c r="F481" s="435"/>
      <c r="G481" s="435"/>
      <c r="H481" s="435"/>
      <c r="I481" s="435"/>
      <c r="J481" s="435"/>
      <c r="K481" s="435"/>
      <c r="L481" s="436" t="str">
        <f t="shared" si="8"/>
        <v/>
      </c>
      <c r="M481" s="437"/>
      <c r="N481" s="438"/>
    </row>
    <row r="482" spans="2:14" x14ac:dyDescent="0.35">
      <c r="B482" s="433" t="str">
        <f>IF(Lançamentos!$B477="","",Lançamentos!$B477)</f>
        <v/>
      </c>
      <c r="C482" s="434" t="str">
        <f>IF($B482="","",IFERROR(INDEX(Lançamentos!$J$3:$J$1001,MATCH($B482,Lançamentos!$B$3:$B$1001,0)),""))</f>
        <v/>
      </c>
      <c r="D482" s="435" t="str">
        <f>IF($B482="","",IFERROR(INDEX('E2 — Triagem'!$D$8:$D$507,MATCH($B482,'E2 — Triagem'!$B$8:$B$507,0)),""))</f>
        <v/>
      </c>
      <c r="E482" s="435"/>
      <c r="F482" s="435"/>
      <c r="G482" s="435"/>
      <c r="H482" s="435"/>
      <c r="I482" s="435"/>
      <c r="J482" s="435"/>
      <c r="K482" s="435"/>
      <c r="L482" s="436" t="str">
        <f t="shared" si="8"/>
        <v/>
      </c>
      <c r="M482" s="437"/>
      <c r="N482" s="438"/>
    </row>
    <row r="483" spans="2:14" x14ac:dyDescent="0.35">
      <c r="B483" s="433" t="str">
        <f>IF(Lançamentos!$B478="","",Lançamentos!$B478)</f>
        <v/>
      </c>
      <c r="C483" s="434" t="str">
        <f>IF($B483="","",IFERROR(INDEX(Lançamentos!$J$3:$J$1001,MATCH($B483,Lançamentos!$B$3:$B$1001,0)),""))</f>
        <v/>
      </c>
      <c r="D483" s="435" t="str">
        <f>IF($B483="","",IFERROR(INDEX('E2 — Triagem'!$D$8:$D$507,MATCH($B483,'E2 — Triagem'!$B$8:$B$507,0)),""))</f>
        <v/>
      </c>
      <c r="E483" s="435"/>
      <c r="F483" s="435"/>
      <c r="G483" s="435"/>
      <c r="H483" s="435"/>
      <c r="I483" s="435"/>
      <c r="J483" s="435"/>
      <c r="K483" s="435"/>
      <c r="L483" s="436" t="str">
        <f t="shared" si="8"/>
        <v/>
      </c>
      <c r="M483" s="437"/>
      <c r="N483" s="438"/>
    </row>
    <row r="484" spans="2:14" x14ac:dyDescent="0.35">
      <c r="B484" s="433" t="str">
        <f>IF(Lançamentos!$B479="","",Lançamentos!$B479)</f>
        <v/>
      </c>
      <c r="C484" s="434" t="str">
        <f>IF($B484="","",IFERROR(INDEX(Lançamentos!$J$3:$J$1001,MATCH($B484,Lançamentos!$B$3:$B$1001,0)),""))</f>
        <v/>
      </c>
      <c r="D484" s="435" t="str">
        <f>IF($B484="","",IFERROR(INDEX('E2 — Triagem'!$D$8:$D$507,MATCH($B484,'E2 — Triagem'!$B$8:$B$507,0)),""))</f>
        <v/>
      </c>
      <c r="E484" s="435"/>
      <c r="F484" s="435"/>
      <c r="G484" s="435"/>
      <c r="H484" s="435"/>
      <c r="I484" s="435"/>
      <c r="J484" s="435"/>
      <c r="K484" s="435"/>
      <c r="L484" s="436" t="str">
        <f t="shared" si="8"/>
        <v/>
      </c>
      <c r="M484" s="437"/>
      <c r="N484" s="438"/>
    </row>
    <row r="485" spans="2:14" x14ac:dyDescent="0.35">
      <c r="B485" s="433" t="str">
        <f>IF(Lançamentos!$B480="","",Lançamentos!$B480)</f>
        <v/>
      </c>
      <c r="C485" s="434" t="str">
        <f>IF($B485="","",IFERROR(INDEX(Lançamentos!$J$3:$J$1001,MATCH($B485,Lançamentos!$B$3:$B$1001,0)),""))</f>
        <v/>
      </c>
      <c r="D485" s="435" t="str">
        <f>IF($B485="","",IFERROR(INDEX('E2 — Triagem'!$D$8:$D$507,MATCH($B485,'E2 — Triagem'!$B$8:$B$507,0)),""))</f>
        <v/>
      </c>
      <c r="E485" s="435"/>
      <c r="F485" s="435"/>
      <c r="G485" s="435"/>
      <c r="H485" s="435"/>
      <c r="I485" s="435"/>
      <c r="J485" s="435"/>
      <c r="K485" s="435"/>
      <c r="L485" s="436" t="str">
        <f t="shared" si="8"/>
        <v/>
      </c>
      <c r="M485" s="437"/>
      <c r="N485" s="438"/>
    </row>
    <row r="486" spans="2:14" x14ac:dyDescent="0.35">
      <c r="B486" s="433" t="str">
        <f>IF(Lançamentos!$B481="","",Lançamentos!$B481)</f>
        <v/>
      </c>
      <c r="C486" s="434" t="str">
        <f>IF($B486="","",IFERROR(INDEX(Lançamentos!$J$3:$J$1001,MATCH($B486,Lançamentos!$B$3:$B$1001,0)),""))</f>
        <v/>
      </c>
      <c r="D486" s="435" t="str">
        <f>IF($B486="","",IFERROR(INDEX('E2 — Triagem'!$D$8:$D$507,MATCH($B486,'E2 — Triagem'!$B$8:$B$507,0)),""))</f>
        <v/>
      </c>
      <c r="E486" s="435"/>
      <c r="F486" s="435"/>
      <c r="G486" s="435"/>
      <c r="H486" s="435"/>
      <c r="I486" s="435"/>
      <c r="J486" s="435"/>
      <c r="K486" s="435"/>
      <c r="L486" s="436" t="str">
        <f t="shared" si="8"/>
        <v/>
      </c>
      <c r="M486" s="437"/>
      <c r="N486" s="438"/>
    </row>
    <row r="487" spans="2:14" x14ac:dyDescent="0.35">
      <c r="B487" s="433" t="str">
        <f>IF(Lançamentos!$B482="","",Lançamentos!$B482)</f>
        <v/>
      </c>
      <c r="C487" s="434" t="str">
        <f>IF($B487="","",IFERROR(INDEX(Lançamentos!$J$3:$J$1001,MATCH($B487,Lançamentos!$B$3:$B$1001,0)),""))</f>
        <v/>
      </c>
      <c r="D487" s="435" t="str">
        <f>IF($B487="","",IFERROR(INDEX('E2 — Triagem'!$D$8:$D$507,MATCH($B487,'E2 — Triagem'!$B$8:$B$507,0)),""))</f>
        <v/>
      </c>
      <c r="E487" s="435"/>
      <c r="F487" s="435"/>
      <c r="G487" s="435"/>
      <c r="H487" s="435"/>
      <c r="I487" s="435"/>
      <c r="J487" s="435"/>
      <c r="K487" s="435"/>
      <c r="L487" s="436" t="str">
        <f t="shared" si="8"/>
        <v/>
      </c>
      <c r="M487" s="437"/>
      <c r="N487" s="438"/>
    </row>
    <row r="488" spans="2:14" x14ac:dyDescent="0.35">
      <c r="B488" s="433" t="str">
        <f>IF(Lançamentos!$B483="","",Lançamentos!$B483)</f>
        <v/>
      </c>
      <c r="C488" s="434" t="str">
        <f>IF($B488="","",IFERROR(INDEX(Lançamentos!$J$3:$J$1001,MATCH($B488,Lançamentos!$B$3:$B$1001,0)),""))</f>
        <v/>
      </c>
      <c r="D488" s="435" t="str">
        <f>IF($B488="","",IFERROR(INDEX('E2 — Triagem'!$D$8:$D$507,MATCH($B488,'E2 — Triagem'!$B$8:$B$507,0)),""))</f>
        <v/>
      </c>
      <c r="E488" s="435"/>
      <c r="F488" s="435"/>
      <c r="G488" s="435"/>
      <c r="H488" s="435"/>
      <c r="I488" s="435"/>
      <c r="J488" s="435"/>
      <c r="K488" s="435"/>
      <c r="L488" s="436" t="str">
        <f t="shared" si="8"/>
        <v/>
      </c>
      <c r="M488" s="437"/>
      <c r="N488" s="438"/>
    </row>
    <row r="489" spans="2:14" x14ac:dyDescent="0.35">
      <c r="B489" s="433" t="str">
        <f>IF(Lançamentos!$B484="","",Lançamentos!$B484)</f>
        <v/>
      </c>
      <c r="C489" s="434" t="str">
        <f>IF($B489="","",IFERROR(INDEX(Lançamentos!$J$3:$J$1001,MATCH($B489,Lançamentos!$B$3:$B$1001,0)),""))</f>
        <v/>
      </c>
      <c r="D489" s="435" t="str">
        <f>IF($B489="","",IFERROR(INDEX('E2 — Triagem'!$D$8:$D$507,MATCH($B489,'E2 — Triagem'!$B$8:$B$507,0)),""))</f>
        <v/>
      </c>
      <c r="E489" s="435"/>
      <c r="F489" s="435"/>
      <c r="G489" s="435"/>
      <c r="H489" s="435"/>
      <c r="I489" s="435"/>
      <c r="J489" s="435"/>
      <c r="K489" s="435"/>
      <c r="L489" s="436" t="str">
        <f t="shared" si="8"/>
        <v/>
      </c>
      <c r="M489" s="437"/>
      <c r="N489" s="438"/>
    </row>
    <row r="490" spans="2:14" x14ac:dyDescent="0.35">
      <c r="B490" s="433" t="str">
        <f>IF(Lançamentos!$B485="","",Lançamentos!$B485)</f>
        <v/>
      </c>
      <c r="C490" s="434" t="str">
        <f>IF($B490="","",IFERROR(INDEX(Lançamentos!$J$3:$J$1001,MATCH($B490,Lançamentos!$B$3:$B$1001,0)),""))</f>
        <v/>
      </c>
      <c r="D490" s="435" t="str">
        <f>IF($B490="","",IFERROR(INDEX('E2 — Triagem'!$D$8:$D$507,MATCH($B490,'E2 — Triagem'!$B$8:$B$507,0)),""))</f>
        <v/>
      </c>
      <c r="E490" s="435"/>
      <c r="F490" s="435"/>
      <c r="G490" s="435"/>
      <c r="H490" s="435"/>
      <c r="I490" s="435"/>
      <c r="J490" s="435"/>
      <c r="K490" s="435"/>
      <c r="L490" s="436" t="str">
        <f t="shared" si="8"/>
        <v/>
      </c>
      <c r="M490" s="437"/>
      <c r="N490" s="438"/>
    </row>
    <row r="491" spans="2:14" x14ac:dyDescent="0.35">
      <c r="B491" s="433" t="str">
        <f>IF(Lançamentos!$B486="","",Lançamentos!$B486)</f>
        <v/>
      </c>
      <c r="C491" s="434" t="str">
        <f>IF($B491="","",IFERROR(INDEX(Lançamentos!$J$3:$J$1001,MATCH($B491,Lançamentos!$B$3:$B$1001,0)),""))</f>
        <v/>
      </c>
      <c r="D491" s="435" t="str">
        <f>IF($B491="","",IFERROR(INDEX('E2 — Triagem'!$D$8:$D$507,MATCH($B491,'E2 — Triagem'!$B$8:$B$507,0)),""))</f>
        <v/>
      </c>
      <c r="E491" s="435"/>
      <c r="F491" s="435"/>
      <c r="G491" s="435"/>
      <c r="H491" s="435"/>
      <c r="I491" s="435"/>
      <c r="J491" s="435"/>
      <c r="K491" s="435"/>
      <c r="L491" s="436" t="str">
        <f t="shared" si="8"/>
        <v/>
      </c>
      <c r="M491" s="437"/>
      <c r="N491" s="438"/>
    </row>
    <row r="492" spans="2:14" x14ac:dyDescent="0.35">
      <c r="B492" s="433" t="str">
        <f>IF(Lançamentos!$B487="","",Lançamentos!$B487)</f>
        <v/>
      </c>
      <c r="C492" s="434" t="str">
        <f>IF($B492="","",IFERROR(INDEX(Lançamentos!$J$3:$J$1001,MATCH($B492,Lançamentos!$B$3:$B$1001,0)),""))</f>
        <v/>
      </c>
      <c r="D492" s="435" t="str">
        <f>IF($B492="","",IFERROR(INDEX('E2 — Triagem'!$D$8:$D$507,MATCH($B492,'E2 — Triagem'!$B$8:$B$507,0)),""))</f>
        <v/>
      </c>
      <c r="E492" s="435"/>
      <c r="F492" s="435"/>
      <c r="G492" s="435"/>
      <c r="H492" s="435"/>
      <c r="I492" s="435"/>
      <c r="J492" s="435"/>
      <c r="K492" s="435"/>
      <c r="L492" s="436" t="str">
        <f t="shared" si="8"/>
        <v/>
      </c>
      <c r="M492" s="437"/>
      <c r="N492" s="438"/>
    </row>
    <row r="493" spans="2:14" x14ac:dyDescent="0.35">
      <c r="B493" s="433" t="str">
        <f>IF(Lançamentos!$B488="","",Lançamentos!$B488)</f>
        <v/>
      </c>
      <c r="C493" s="434" t="str">
        <f>IF($B493="","",IFERROR(INDEX(Lançamentos!$J$3:$J$1001,MATCH($B493,Lançamentos!$B$3:$B$1001,0)),""))</f>
        <v/>
      </c>
      <c r="D493" s="435" t="str">
        <f>IF($B493="","",IFERROR(INDEX('E2 — Triagem'!$D$8:$D$507,MATCH($B493,'E2 — Triagem'!$B$8:$B$507,0)),""))</f>
        <v/>
      </c>
      <c r="E493" s="435"/>
      <c r="F493" s="435"/>
      <c r="G493" s="435"/>
      <c r="H493" s="435"/>
      <c r="I493" s="435"/>
      <c r="J493" s="435"/>
      <c r="K493" s="435"/>
      <c r="L493" s="436" t="str">
        <f t="shared" si="8"/>
        <v/>
      </c>
      <c r="M493" s="437"/>
      <c r="N493" s="438"/>
    </row>
    <row r="494" spans="2:14" x14ac:dyDescent="0.35">
      <c r="B494" s="433" t="str">
        <f>IF(Lançamentos!$B489="","",Lançamentos!$B489)</f>
        <v/>
      </c>
      <c r="C494" s="434" t="str">
        <f>IF($B494="","",IFERROR(INDEX(Lançamentos!$J$3:$J$1001,MATCH($B494,Lançamentos!$B$3:$B$1001,0)),""))</f>
        <v/>
      </c>
      <c r="D494" s="435" t="str">
        <f>IF($B494="","",IFERROR(INDEX('E2 — Triagem'!$D$8:$D$507,MATCH($B494,'E2 — Triagem'!$B$8:$B$507,0)),""))</f>
        <v/>
      </c>
      <c r="E494" s="435"/>
      <c r="F494" s="435"/>
      <c r="G494" s="435"/>
      <c r="H494" s="435"/>
      <c r="I494" s="435"/>
      <c r="J494" s="435"/>
      <c r="K494" s="435"/>
      <c r="L494" s="436" t="str">
        <f t="shared" si="8"/>
        <v/>
      </c>
      <c r="M494" s="437"/>
      <c r="N494" s="438"/>
    </row>
    <row r="495" spans="2:14" x14ac:dyDescent="0.35">
      <c r="B495" s="433" t="str">
        <f>IF(Lançamentos!$B490="","",Lançamentos!$B490)</f>
        <v/>
      </c>
      <c r="C495" s="434" t="str">
        <f>IF($B495="","",IFERROR(INDEX(Lançamentos!$J$3:$J$1001,MATCH($B495,Lançamentos!$B$3:$B$1001,0)),""))</f>
        <v/>
      </c>
      <c r="D495" s="435" t="str">
        <f>IF($B495="","",IFERROR(INDEX('E2 — Triagem'!$D$8:$D$507,MATCH($B495,'E2 — Triagem'!$B$8:$B$507,0)),""))</f>
        <v/>
      </c>
      <c r="E495" s="435"/>
      <c r="F495" s="435"/>
      <c r="G495" s="435"/>
      <c r="H495" s="435"/>
      <c r="I495" s="435"/>
      <c r="J495" s="435"/>
      <c r="K495" s="435"/>
      <c r="L495" s="436" t="str">
        <f t="shared" si="8"/>
        <v/>
      </c>
      <c r="M495" s="437"/>
      <c r="N495" s="438"/>
    </row>
    <row r="496" spans="2:14" x14ac:dyDescent="0.35">
      <c r="B496" s="433" t="str">
        <f>IF(Lançamentos!$B491="","",Lançamentos!$B491)</f>
        <v/>
      </c>
      <c r="C496" s="434" t="str">
        <f>IF($B496="","",IFERROR(INDEX(Lançamentos!$J$3:$J$1001,MATCH($B496,Lançamentos!$B$3:$B$1001,0)),""))</f>
        <v/>
      </c>
      <c r="D496" s="435" t="str">
        <f>IF($B496="","",IFERROR(INDEX('E2 — Triagem'!$D$8:$D$507,MATCH($B496,'E2 — Triagem'!$B$8:$B$507,0)),""))</f>
        <v/>
      </c>
      <c r="E496" s="435"/>
      <c r="F496" s="435"/>
      <c r="G496" s="435"/>
      <c r="H496" s="435"/>
      <c r="I496" s="435"/>
      <c r="J496" s="435"/>
      <c r="K496" s="435"/>
      <c r="L496" s="436" t="str">
        <f t="shared" si="8"/>
        <v/>
      </c>
      <c r="M496" s="437"/>
      <c r="N496" s="438"/>
    </row>
    <row r="497" spans="2:14" x14ac:dyDescent="0.35">
      <c r="B497" s="433" t="str">
        <f>IF(Lançamentos!$B492="","",Lançamentos!$B492)</f>
        <v/>
      </c>
      <c r="C497" s="434" t="str">
        <f>IF($B497="","",IFERROR(INDEX(Lançamentos!$J$3:$J$1001,MATCH($B497,Lançamentos!$B$3:$B$1001,0)),""))</f>
        <v/>
      </c>
      <c r="D497" s="435" t="str">
        <f>IF($B497="","",IFERROR(INDEX('E2 — Triagem'!$D$8:$D$507,MATCH($B497,'E2 — Triagem'!$B$8:$B$507,0)),""))</f>
        <v/>
      </c>
      <c r="E497" s="435"/>
      <c r="F497" s="435"/>
      <c r="G497" s="435"/>
      <c r="H497" s="435"/>
      <c r="I497" s="435"/>
      <c r="J497" s="435"/>
      <c r="K497" s="435"/>
      <c r="L497" s="436" t="str">
        <f t="shared" si="8"/>
        <v/>
      </c>
      <c r="M497" s="437"/>
      <c r="N497" s="438"/>
    </row>
    <row r="498" spans="2:14" x14ac:dyDescent="0.35">
      <c r="B498" s="433" t="str">
        <f>IF(Lançamentos!$B493="","",Lançamentos!$B493)</f>
        <v/>
      </c>
      <c r="C498" s="434" t="str">
        <f>IF($B498="","",IFERROR(INDEX(Lançamentos!$J$3:$J$1001,MATCH($B498,Lançamentos!$B$3:$B$1001,0)),""))</f>
        <v/>
      </c>
      <c r="D498" s="435" t="str">
        <f>IF($B498="","",IFERROR(INDEX('E2 — Triagem'!$D$8:$D$507,MATCH($B498,'E2 — Triagem'!$B$8:$B$507,0)),""))</f>
        <v/>
      </c>
      <c r="E498" s="435"/>
      <c r="F498" s="435"/>
      <c r="G498" s="435"/>
      <c r="H498" s="435"/>
      <c r="I498" s="435"/>
      <c r="J498" s="435"/>
      <c r="K498" s="435"/>
      <c r="L498" s="436" t="str">
        <f t="shared" si="8"/>
        <v/>
      </c>
      <c r="M498" s="437"/>
      <c r="N498" s="438"/>
    </row>
    <row r="499" spans="2:14" x14ac:dyDescent="0.35">
      <c r="B499" s="433" t="str">
        <f>IF(Lançamentos!$B494="","",Lançamentos!$B494)</f>
        <v/>
      </c>
      <c r="C499" s="434" t="str">
        <f>IF($B499="","",IFERROR(INDEX(Lançamentos!$J$3:$J$1001,MATCH($B499,Lançamentos!$B$3:$B$1001,0)),""))</f>
        <v/>
      </c>
      <c r="D499" s="435" t="str">
        <f>IF($B499="","",IFERROR(INDEX('E2 — Triagem'!$D$8:$D$507,MATCH($B499,'E2 — Triagem'!$B$8:$B$507,0)),""))</f>
        <v/>
      </c>
      <c r="E499" s="435"/>
      <c r="F499" s="435"/>
      <c r="G499" s="435"/>
      <c r="H499" s="435"/>
      <c r="I499" s="435"/>
      <c r="J499" s="435"/>
      <c r="K499" s="435"/>
      <c r="L499" s="436" t="str">
        <f t="shared" si="8"/>
        <v/>
      </c>
      <c r="M499" s="437"/>
      <c r="N499" s="438"/>
    </row>
    <row r="500" spans="2:14" x14ac:dyDescent="0.35">
      <c r="B500" s="433" t="str">
        <f>IF(Lançamentos!$B495="","",Lançamentos!$B495)</f>
        <v/>
      </c>
      <c r="C500" s="434" t="str">
        <f>IF($B500="","",IFERROR(INDEX(Lançamentos!$J$3:$J$1001,MATCH($B500,Lançamentos!$B$3:$B$1001,0)),""))</f>
        <v/>
      </c>
      <c r="D500" s="435" t="str">
        <f>IF($B500="","",IFERROR(INDEX('E2 — Triagem'!$D$8:$D$507,MATCH($B500,'E2 — Triagem'!$B$8:$B$507,0)),""))</f>
        <v/>
      </c>
      <c r="E500" s="435"/>
      <c r="F500" s="435"/>
      <c r="G500" s="435"/>
      <c r="H500" s="435"/>
      <c r="I500" s="435"/>
      <c r="J500" s="435"/>
      <c r="K500" s="435"/>
      <c r="L500" s="436" t="str">
        <f t="shared" si="8"/>
        <v/>
      </c>
      <c r="M500" s="437"/>
      <c r="N500" s="438"/>
    </row>
    <row r="501" spans="2:14" x14ac:dyDescent="0.35">
      <c r="B501" s="433" t="str">
        <f>IF(Lançamentos!$B496="","",Lançamentos!$B496)</f>
        <v/>
      </c>
      <c r="C501" s="434" t="str">
        <f>IF($B501="","",IFERROR(INDEX(Lançamentos!$J$3:$J$1001,MATCH($B501,Lançamentos!$B$3:$B$1001,0)),""))</f>
        <v/>
      </c>
      <c r="D501" s="435" t="str">
        <f>IF($B501="","",IFERROR(INDEX('E2 — Triagem'!$D$8:$D$507,MATCH($B501,'E2 — Triagem'!$B$8:$B$507,0)),""))</f>
        <v/>
      </c>
      <c r="E501" s="435"/>
      <c r="F501" s="435"/>
      <c r="G501" s="435"/>
      <c r="H501" s="435"/>
      <c r="I501" s="435"/>
      <c r="J501" s="435"/>
      <c r="K501" s="435"/>
      <c r="L501" s="436" t="str">
        <f t="shared" si="8"/>
        <v/>
      </c>
      <c r="M501" s="437"/>
      <c r="N501" s="438"/>
    </row>
    <row r="502" spans="2:14" x14ac:dyDescent="0.35">
      <c r="B502" s="433" t="str">
        <f>IF(Lançamentos!$B497="","",Lançamentos!$B497)</f>
        <v/>
      </c>
      <c r="C502" s="434" t="str">
        <f>IF($B502="","",IFERROR(INDEX(Lançamentos!$J$3:$J$1001,MATCH($B502,Lançamentos!$B$3:$B$1001,0)),""))</f>
        <v/>
      </c>
      <c r="D502" s="435" t="str">
        <f>IF($B502="","",IFERROR(INDEX('E2 — Triagem'!$D$8:$D$507,MATCH($B502,'E2 — Triagem'!$B$8:$B$507,0)),""))</f>
        <v/>
      </c>
      <c r="E502" s="435"/>
      <c r="F502" s="435"/>
      <c r="G502" s="435"/>
      <c r="H502" s="435"/>
      <c r="I502" s="435"/>
      <c r="J502" s="435"/>
      <c r="K502" s="435"/>
      <c r="L502" s="436" t="str">
        <f t="shared" si="8"/>
        <v/>
      </c>
      <c r="M502" s="437"/>
      <c r="N502" s="438"/>
    </row>
    <row r="503" spans="2:14" x14ac:dyDescent="0.35">
      <c r="B503" s="433" t="str">
        <f>IF(Lançamentos!$B498="","",Lançamentos!$B498)</f>
        <v/>
      </c>
      <c r="C503" s="434" t="str">
        <f>IF($B503="","",IFERROR(INDEX(Lançamentos!$J$3:$J$1001,MATCH($B503,Lançamentos!$B$3:$B$1001,0)),""))</f>
        <v/>
      </c>
      <c r="D503" s="435" t="str">
        <f>IF($B503="","",IFERROR(INDEX('E2 — Triagem'!$D$8:$D$507,MATCH($B503,'E2 — Triagem'!$B$8:$B$507,0)),""))</f>
        <v/>
      </c>
      <c r="E503" s="435"/>
      <c r="F503" s="435"/>
      <c r="G503" s="435"/>
      <c r="H503" s="435"/>
      <c r="I503" s="435"/>
      <c r="J503" s="435"/>
      <c r="K503" s="435"/>
      <c r="L503" s="436" t="str">
        <f t="shared" si="8"/>
        <v/>
      </c>
      <c r="M503" s="437"/>
      <c r="N503" s="438"/>
    </row>
    <row r="504" spans="2:14" x14ac:dyDescent="0.35">
      <c r="B504" s="433" t="str">
        <f>IF(Lançamentos!$B499="","",Lançamentos!$B499)</f>
        <v/>
      </c>
      <c r="C504" s="434" t="str">
        <f>IF($B504="","",IFERROR(INDEX(Lançamentos!$J$3:$J$1001,MATCH($B504,Lançamentos!$B$3:$B$1001,0)),""))</f>
        <v/>
      </c>
      <c r="D504" s="435" t="str">
        <f>IF($B504="","",IFERROR(INDEX('E2 — Triagem'!$D$8:$D$507,MATCH($B504,'E2 — Triagem'!$B$8:$B$507,0)),""))</f>
        <v/>
      </c>
      <c r="E504" s="435"/>
      <c r="F504" s="435"/>
      <c r="G504" s="435"/>
      <c r="H504" s="435"/>
      <c r="I504" s="435"/>
      <c r="J504" s="435"/>
      <c r="K504" s="435"/>
      <c r="L504" s="436" t="str">
        <f t="shared" si="8"/>
        <v/>
      </c>
      <c r="M504" s="437"/>
      <c r="N504" s="438"/>
    </row>
    <row r="505" spans="2:14" x14ac:dyDescent="0.35">
      <c r="B505" s="433" t="str">
        <f>IF(Lançamentos!$B500="","",Lançamentos!$B500)</f>
        <v/>
      </c>
      <c r="C505" s="434" t="str">
        <f>IF($B505="","",IFERROR(INDEX(Lançamentos!$J$3:$J$1001,MATCH($B505,Lançamentos!$B$3:$B$1001,0)),""))</f>
        <v/>
      </c>
      <c r="D505" s="435" t="str">
        <f>IF($B505="","",IFERROR(INDEX('E2 — Triagem'!$D$8:$D$507,MATCH($B505,'E2 — Triagem'!$B$8:$B$507,0)),""))</f>
        <v/>
      </c>
      <c r="E505" s="435"/>
      <c r="F505" s="435"/>
      <c r="G505" s="435"/>
      <c r="H505" s="435"/>
      <c r="I505" s="435"/>
      <c r="J505" s="435"/>
      <c r="K505" s="435"/>
      <c r="L505" s="436" t="str">
        <f t="shared" si="8"/>
        <v/>
      </c>
      <c r="M505" s="437"/>
      <c r="N505" s="438"/>
    </row>
    <row r="506" spans="2:14" x14ac:dyDescent="0.35">
      <c r="B506" s="433" t="str">
        <f>IF(Lançamentos!$B501="","",Lançamentos!$B501)</f>
        <v/>
      </c>
      <c r="C506" s="434" t="str">
        <f>IF($B506="","",IFERROR(INDEX(Lançamentos!$J$3:$J$1001,MATCH($B506,Lançamentos!$B$3:$B$1001,0)),""))</f>
        <v/>
      </c>
      <c r="D506" s="435" t="str">
        <f>IF($B506="","",IFERROR(INDEX('E2 — Triagem'!$D$8:$D$507,MATCH($B506,'E2 — Triagem'!$B$8:$B$507,0)),""))</f>
        <v/>
      </c>
      <c r="E506" s="435"/>
      <c r="F506" s="435"/>
      <c r="G506" s="435"/>
      <c r="H506" s="435"/>
      <c r="I506" s="435"/>
      <c r="J506" s="435"/>
      <c r="K506" s="435"/>
      <c r="L506" s="436" t="str">
        <f t="shared" si="8"/>
        <v/>
      </c>
      <c r="M506" s="437"/>
      <c r="N506" s="438"/>
    </row>
    <row r="507" spans="2:14" x14ac:dyDescent="0.35">
      <c r="B507" s="439" t="str">
        <f>IF(Lançamentos!$B502="","",Lançamentos!$B502)</f>
        <v/>
      </c>
      <c r="C507" s="440" t="str">
        <f>IF($B507="","",IFERROR(INDEX(Lançamentos!$J$3:$J$1001,MATCH($B507,Lançamentos!$B$3:$B$1001,0)),""))</f>
        <v/>
      </c>
      <c r="D507" s="441" t="str">
        <f>IF($B507="","",IFERROR(INDEX('E2 — Triagem'!$D$8:$D$507,MATCH($B507,'E2 — Triagem'!$B$8:$B$507,0)),""))</f>
        <v/>
      </c>
      <c r="E507" s="441"/>
      <c r="F507" s="441"/>
      <c r="G507" s="441"/>
      <c r="H507" s="441"/>
      <c r="I507" s="441"/>
      <c r="J507" s="441"/>
      <c r="K507" s="441"/>
      <c r="L507" s="442" t="str">
        <f t="shared" si="8"/>
        <v/>
      </c>
      <c r="M507" s="443"/>
      <c r="N507" s="444"/>
    </row>
  </sheetData>
  <conditionalFormatting sqref="B8:N507">
    <cfRule type="expression" dxfId="155" priority="12">
      <formula>AND($B8&lt;&gt;"",$L8=1,COUNTIF($E8:$K8,"⛔ Bloqueado")=0)</formula>
    </cfRule>
    <cfRule type="expression" dxfId="154" priority="13">
      <formula>AND($B8&lt;&gt;"",COUNTIF($E8:$K8,"⛔ Bloqueado")&gt;0)</formula>
    </cfRule>
    <cfRule type="expression" dxfId="153" priority="14">
      <formula>AND($B8&lt;&gt;"",COUNTIF($E8:$K8,"🔄 Em andamento")&gt;0,COUNTIF($E8:$K8,"⛔ Bloqueado")=0)</formula>
    </cfRule>
    <cfRule type="expression" dxfId="152" priority="15">
      <formula>AND($B8&lt;&gt;"",COUNTIF($E8:$K8,"⏳ Pendente")&gt;0,COUNTIF($E8:$K8,"🔄 Em andamento")=0,COUNTIF($E8:$K8,"⛔ Bloqueado")=0)</formula>
    </cfRule>
    <cfRule type="expression" dxfId="151" priority="16">
      <formula>AND($B8&lt;&gt;"",COUNTIF($E8:$K8,"N/A")=7)</formula>
    </cfRule>
  </conditionalFormatting>
  <conditionalFormatting sqref="E8:K507">
    <cfRule type="expression" dxfId="150" priority="17">
      <formula>E8="⛔ Bloqueado"</formula>
    </cfRule>
    <cfRule type="expression" dxfId="149" priority="18">
      <formula>E8="✔ Concluído"</formula>
    </cfRule>
    <cfRule type="expression" dxfId="148" priority="19">
      <formula>E8="⏳ Pendente"</formula>
    </cfRule>
    <cfRule type="expression" dxfId="147" priority="20">
      <formula>E8="🔄 Em andamento"</formula>
    </cfRule>
    <cfRule type="expression" dxfId="146" priority="21">
      <formula>E8="N/A"</formula>
    </cfRule>
    <cfRule type="expression" dxfId="145" priority="22">
      <formula>AND(E8="N/A",$M8="",$N8="")</formula>
    </cfRule>
  </conditionalFormatting>
  <conditionalFormatting sqref="B208:N507">
    <cfRule type="expression" dxfId="144" priority="1">
      <formula>AND($B208&lt;&gt;"",$L208=1,COUNTIF($E208:$K208,"⛔ Bloqueado")=0)</formula>
    </cfRule>
    <cfRule type="expression" dxfId="143" priority="2">
      <formula>AND($B208&lt;&gt;"",COUNTIF($E208:$K208,"⛔ Bloqueado")&gt;0)</formula>
    </cfRule>
    <cfRule type="expression" dxfId="142" priority="3">
      <formula>AND($B208&lt;&gt;"",COUNTIF($E208:$K208,"🔄 Em andamento")&gt;0,COUNTIF($E208:$K208,"⛔ Bloqueado")=0)</formula>
    </cfRule>
    <cfRule type="expression" dxfId="141" priority="4">
      <formula>AND($B208&lt;&gt;"",COUNTIF($E208:$K208,"⏳ Pendente")&gt;0,COUNTIF($E208:$K208,"🔄 Em andamento")=0,COUNTIF($E208:$K208,"⛔ Bloqueado")=0)</formula>
    </cfRule>
    <cfRule type="expression" dxfId="140" priority="5">
      <formula>AND($B208&lt;&gt;"",COUNTIF($E208:$K208,"N/A")=7)</formula>
    </cfRule>
  </conditionalFormatting>
  <conditionalFormatting sqref="E208:K507">
    <cfRule type="expression" dxfId="139" priority="6">
      <formula>E208="⛔ Bloqueado"</formula>
    </cfRule>
    <cfRule type="expression" dxfId="138" priority="7">
      <formula>E208="✔ Concluído"</formula>
    </cfRule>
    <cfRule type="expression" dxfId="137" priority="8">
      <formula>E208="⏳ Pendente"</formula>
    </cfRule>
    <cfRule type="expression" dxfId="136" priority="9">
      <formula>E208="🔄 Em andamento"</formula>
    </cfRule>
    <cfRule type="expression" dxfId="135" priority="10">
      <formula>E208="N/A"</formula>
    </cfRule>
    <cfRule type="expression" dxfId="134" priority="11">
      <formula>AND(E208="N/A",$M208="",$N208="")</formula>
    </cfRule>
  </conditionalFormatting>
  <dataValidations count="1">
    <dataValidation type="list" allowBlank="1" sqref="E8:K507" xr:uid="{7000686C-51AC-42A3-81BD-F7B8AE13654F}">
      <formula1>"⏳ Pendente,🔄 Em andamento,✔ Concluído,⛔ Bloqueado,N/A"</formula1>
    </dataValidation>
  </dataValidations>
  <pageMargins left="0.75" right="0.75" top="1" bottom="1" header="0.511811023622047" footer="0.511811023622047"/>
  <pageSetup paperSize="9" orientation="portrait" horizontalDpi="300" verticalDpi="300"/>
  <legacyDrawing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XFC507"/>
  <sheetViews>
    <sheetView showGridLines="0" zoomScale="80" zoomScaleNormal="80" workbookViewId="0">
      <pane ySplit="7" topLeftCell="A8" activePane="bottomLeft" state="frozen"/>
      <selection sqref="A1:XFD1048576"/>
      <selection pane="bottomLeft" activeCell="B2" sqref="B2"/>
    </sheetView>
  </sheetViews>
  <sheetFormatPr defaultColWidth="0" defaultRowHeight="14.5" x14ac:dyDescent="0.35"/>
  <cols>
    <col min="1" max="1" width="1.54296875" bestFit="1" customWidth="1"/>
    <col min="2" max="2" width="15.453125" customWidth="1"/>
    <col min="3" max="3" width="41.81640625" customWidth="1"/>
    <col min="4" max="4" width="27.26953125" customWidth="1"/>
    <col min="5" max="6" width="34.54296875" customWidth="1"/>
    <col min="7" max="7" width="33.54296875" customWidth="1"/>
    <col min="8" max="8" width="34.54296875" customWidth="1"/>
    <col min="9" max="9" width="37.26953125" customWidth="1"/>
    <col min="10" max="10" width="14.81640625" customWidth="1"/>
    <col min="11" max="11" width="40" customWidth="1"/>
    <col min="12" max="12" width="42.7265625" customWidth="1"/>
    <col min="13" max="13" width="34.54296875" customWidth="1"/>
    <col min="14" max="16383" width="8.54296875" hidden="1"/>
    <col min="16384" max="16384" width="1.54296875" bestFit="1" customWidth="1"/>
  </cols>
  <sheetData>
    <row r="2" spans="2:14" ht="26.15" customHeight="1" x14ac:dyDescent="0.35">
      <c r="B2" s="314" t="s">
        <v>511</v>
      </c>
      <c r="C2" s="118"/>
      <c r="D2" s="118"/>
      <c r="E2" s="118"/>
      <c r="F2" s="118"/>
      <c r="G2" s="118"/>
      <c r="H2" s="118"/>
      <c r="I2" s="118"/>
      <c r="J2" s="118"/>
      <c r="K2" s="118"/>
      <c r="L2" s="118"/>
      <c r="M2" s="118"/>
    </row>
    <row r="3" spans="2:14" ht="22" customHeight="1" x14ac:dyDescent="0.35">
      <c r="B3" s="130" t="s">
        <v>512</v>
      </c>
      <c r="C3" s="130"/>
      <c r="D3" s="130"/>
      <c r="E3" s="130"/>
      <c r="F3" s="130"/>
      <c r="G3" s="130"/>
      <c r="H3" s="130"/>
      <c r="I3" s="130"/>
      <c r="J3" s="130"/>
      <c r="K3" s="130"/>
      <c r="L3" s="130"/>
      <c r="M3" s="130"/>
      <c r="N3" s="50"/>
    </row>
    <row r="4" spans="2:14" ht="30" customHeight="1" x14ac:dyDescent="0.35">
      <c r="B4" s="17" t="s">
        <v>513</v>
      </c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</row>
    <row r="5" spans="2:14" ht="30" customHeight="1" x14ac:dyDescent="0.35">
      <c r="B5" s="131" t="s">
        <v>514</v>
      </c>
      <c r="C5" s="131"/>
      <c r="D5" s="131"/>
      <c r="E5" s="131"/>
      <c r="F5" s="131"/>
      <c r="G5" s="131"/>
      <c r="H5" s="131"/>
      <c r="I5" s="131"/>
      <c r="J5" s="131"/>
      <c r="K5" s="131"/>
      <c r="L5" s="131"/>
      <c r="M5" s="131"/>
    </row>
    <row r="6" spans="2:14" x14ac:dyDescent="0.35"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4"/>
    </row>
    <row r="7" spans="2:14" ht="48" customHeight="1" x14ac:dyDescent="0.35">
      <c r="B7" s="298" t="s">
        <v>8</v>
      </c>
      <c r="C7" s="299" t="s">
        <v>127</v>
      </c>
      <c r="D7" s="299" t="s">
        <v>14</v>
      </c>
      <c r="E7" s="299" t="s">
        <v>515</v>
      </c>
      <c r="F7" s="299" t="s">
        <v>516</v>
      </c>
      <c r="G7" s="299" t="s">
        <v>517</v>
      </c>
      <c r="H7" s="299" t="s">
        <v>518</v>
      </c>
      <c r="I7" s="299" t="s">
        <v>519</v>
      </c>
      <c r="J7" s="299" t="s">
        <v>479</v>
      </c>
      <c r="K7" s="299" t="s">
        <v>109</v>
      </c>
      <c r="L7" s="299" t="s">
        <v>33</v>
      </c>
      <c r="M7" s="300" t="s">
        <v>520</v>
      </c>
    </row>
    <row r="8" spans="2:14" x14ac:dyDescent="0.35">
      <c r="B8" s="177" t="str">
        <f>IF(Lançamentos!$B3="","",Lançamentos!$B3)</f>
        <v/>
      </c>
      <c r="C8" s="178" t="str">
        <f>IF($B8="","",IFERROR(INDEX(Lançamentos!$J$3:$J$1001,MATCH($B8,Lançamentos!$B$3:$B$1001,0)),""))</f>
        <v/>
      </c>
      <c r="D8" s="415" t="str">
        <f>IF($B8="","",IFERROR(INDEX('E2 — Triagem'!$D$8:$D$507,MATCH($B8,'E2 — Triagem'!$B$8:$B$507,0)),""))</f>
        <v/>
      </c>
      <c r="E8" s="179"/>
      <c r="F8" s="179"/>
      <c r="G8" s="179"/>
      <c r="H8" s="179"/>
      <c r="I8" s="179"/>
      <c r="J8" s="180" t="str">
        <f t="shared" ref="J8:J71" si="0">IF(B8="","",IF(COUNTIF(E8:I8,"N/A")=5,0,IF(COUNTIF(E8:I8,"✔ Concluído")=5,1,MIN(99%,COUNTIF(E8:I8,"✔ Concluído")/(5-COUNTIF(E8:I8,"N/A"))))))</f>
        <v/>
      </c>
      <c r="K8" s="181"/>
      <c r="L8" s="182"/>
      <c r="M8" s="183"/>
      <c r="N8" s="174"/>
    </row>
    <row r="9" spans="2:14" x14ac:dyDescent="0.35">
      <c r="B9" s="177" t="str">
        <f>IF(Lançamentos!$B4="","",Lançamentos!$B4)</f>
        <v/>
      </c>
      <c r="C9" s="178" t="str">
        <f>IF($B9="","",IFERROR(INDEX(Lançamentos!$J$3:$J$1001,MATCH($B9,Lançamentos!$B$3:$B$1001,0)),""))</f>
        <v/>
      </c>
      <c r="D9" s="415" t="str">
        <f>IF($B9="","",IFERROR(INDEX('E2 — Triagem'!$D$8:$D$507,MATCH($B9,'E2 — Triagem'!$B$8:$B$507,0)),""))</f>
        <v/>
      </c>
      <c r="E9" s="179"/>
      <c r="F9" s="179"/>
      <c r="G9" s="179"/>
      <c r="H9" s="179"/>
      <c r="I9" s="179"/>
      <c r="J9" s="180" t="str">
        <f t="shared" si="0"/>
        <v/>
      </c>
      <c r="K9" s="181"/>
      <c r="L9" s="182"/>
      <c r="M9" s="183"/>
      <c r="N9" s="175"/>
    </row>
    <row r="10" spans="2:14" x14ac:dyDescent="0.35">
      <c r="B10" s="177" t="str">
        <f>IF(Lançamentos!$B5="","",Lançamentos!$B5)</f>
        <v/>
      </c>
      <c r="C10" s="178" t="str">
        <f>IF($B10="","",IFERROR(INDEX(Lançamentos!$J$3:$J$1001,MATCH($B10,Lançamentos!$B$3:$B$1001,0)),""))</f>
        <v/>
      </c>
      <c r="D10" s="415" t="str">
        <f>IF($B10="","",IFERROR(INDEX('E2 — Triagem'!$D$8:$D$507,MATCH($B10,'E2 — Triagem'!$B$8:$B$507,0)),""))</f>
        <v/>
      </c>
      <c r="E10" s="179"/>
      <c r="F10" s="179"/>
      <c r="G10" s="179"/>
      <c r="H10" s="179"/>
      <c r="I10" s="179"/>
      <c r="J10" s="180" t="str">
        <f t="shared" si="0"/>
        <v/>
      </c>
      <c r="K10" s="181"/>
      <c r="L10" s="182"/>
      <c r="M10" s="183"/>
      <c r="N10" s="175"/>
    </row>
    <row r="11" spans="2:14" x14ac:dyDescent="0.35">
      <c r="B11" s="177" t="str">
        <f>IF(Lançamentos!$B6="","",Lançamentos!$B6)</f>
        <v/>
      </c>
      <c r="C11" s="178" t="str">
        <f>IF($B11="","",IFERROR(INDEX(Lançamentos!$J$3:$J$1001,MATCH($B11,Lançamentos!$B$3:$B$1001,0)),""))</f>
        <v/>
      </c>
      <c r="D11" s="415" t="str">
        <f>IF($B11="","",IFERROR(INDEX('E2 — Triagem'!$D$8:$D$507,MATCH($B11,'E2 — Triagem'!$B$8:$B$507,0)),""))</f>
        <v/>
      </c>
      <c r="E11" s="179"/>
      <c r="F11" s="179"/>
      <c r="G11" s="179"/>
      <c r="H11" s="179"/>
      <c r="I11" s="179"/>
      <c r="J11" s="180" t="str">
        <f t="shared" si="0"/>
        <v/>
      </c>
      <c r="K11" s="181"/>
      <c r="L11" s="182"/>
      <c r="M11" s="183"/>
      <c r="N11" s="175"/>
    </row>
    <row r="12" spans="2:14" x14ac:dyDescent="0.35">
      <c r="B12" s="177" t="str">
        <f>IF(Lançamentos!$B7="","",Lançamentos!$B7)</f>
        <v/>
      </c>
      <c r="C12" s="178" t="str">
        <f>IF($B12="","",IFERROR(INDEX(Lançamentos!$J$3:$J$1001,MATCH($B12,Lançamentos!$B$3:$B$1001,0)),""))</f>
        <v/>
      </c>
      <c r="D12" s="415" t="str">
        <f>IF($B12="","",IFERROR(INDEX('E2 — Triagem'!$D$8:$D$507,MATCH($B12,'E2 — Triagem'!$B$8:$B$507,0)),""))</f>
        <v/>
      </c>
      <c r="E12" s="179"/>
      <c r="F12" s="179"/>
      <c r="G12" s="179"/>
      <c r="H12" s="179"/>
      <c r="I12" s="179"/>
      <c r="J12" s="180" t="str">
        <f t="shared" si="0"/>
        <v/>
      </c>
      <c r="K12" s="181"/>
      <c r="L12" s="182"/>
      <c r="M12" s="183"/>
      <c r="N12" s="175"/>
    </row>
    <row r="13" spans="2:14" x14ac:dyDescent="0.35">
      <c r="B13" s="177" t="str">
        <f>IF(Lançamentos!$B8="","",Lançamentos!$B8)</f>
        <v/>
      </c>
      <c r="C13" s="178" t="str">
        <f>IF($B13="","",IFERROR(INDEX(Lançamentos!$J$3:$J$1001,MATCH($B13,Lançamentos!$B$3:$B$1001,0)),""))</f>
        <v/>
      </c>
      <c r="D13" s="415" t="str">
        <f>IF($B13="","",IFERROR(INDEX('E2 — Triagem'!$D$8:$D$507,MATCH($B13,'E2 — Triagem'!$B$8:$B$507,0)),""))</f>
        <v/>
      </c>
      <c r="E13" s="179"/>
      <c r="F13" s="179"/>
      <c r="G13" s="179"/>
      <c r="H13" s="179"/>
      <c r="I13" s="179"/>
      <c r="J13" s="180" t="str">
        <f t="shared" si="0"/>
        <v/>
      </c>
      <c r="K13" s="181"/>
      <c r="L13" s="182"/>
      <c r="M13" s="183"/>
      <c r="N13" s="175"/>
    </row>
    <row r="14" spans="2:14" x14ac:dyDescent="0.35">
      <c r="B14" s="177" t="str">
        <f>IF(Lançamentos!$B9="","",Lançamentos!$B9)</f>
        <v/>
      </c>
      <c r="C14" s="178" t="str">
        <f>IF($B14="","",IFERROR(INDEX(Lançamentos!$J$3:$J$1001,MATCH($B14,Lançamentos!$B$3:$B$1001,0)),""))</f>
        <v/>
      </c>
      <c r="D14" s="415" t="str">
        <f>IF($B14="","",IFERROR(INDEX('E2 — Triagem'!$D$8:$D$507,MATCH($B14,'E2 — Triagem'!$B$8:$B$507,0)),""))</f>
        <v/>
      </c>
      <c r="E14" s="179"/>
      <c r="F14" s="179"/>
      <c r="G14" s="179"/>
      <c r="H14" s="179"/>
      <c r="I14" s="179"/>
      <c r="J14" s="180" t="str">
        <f t="shared" si="0"/>
        <v/>
      </c>
      <c r="K14" s="181"/>
      <c r="L14" s="182"/>
      <c r="M14" s="183"/>
      <c r="N14" s="175"/>
    </row>
    <row r="15" spans="2:14" x14ac:dyDescent="0.35">
      <c r="B15" s="177" t="str">
        <f>IF(Lançamentos!$B10="","",Lançamentos!$B10)</f>
        <v/>
      </c>
      <c r="C15" s="178" t="str">
        <f>IF($B15="","",IFERROR(INDEX(Lançamentos!$J$3:$J$1001,MATCH($B15,Lançamentos!$B$3:$B$1001,0)),""))</f>
        <v/>
      </c>
      <c r="D15" s="415" t="str">
        <f>IF($B15="","",IFERROR(INDEX('E2 — Triagem'!$D$8:$D$507,MATCH($B15,'E2 — Triagem'!$B$8:$B$507,0)),""))</f>
        <v/>
      </c>
      <c r="E15" s="179"/>
      <c r="F15" s="179"/>
      <c r="G15" s="179"/>
      <c r="H15" s="179"/>
      <c r="I15" s="179"/>
      <c r="J15" s="180" t="str">
        <f t="shared" si="0"/>
        <v/>
      </c>
      <c r="K15" s="181"/>
      <c r="L15" s="182"/>
      <c r="M15" s="183"/>
      <c r="N15" s="175"/>
    </row>
    <row r="16" spans="2:14" x14ac:dyDescent="0.35">
      <c r="B16" s="177" t="str">
        <f>IF(Lançamentos!$B11="","",Lançamentos!$B11)</f>
        <v/>
      </c>
      <c r="C16" s="178" t="str">
        <f>IF($B16="","",IFERROR(INDEX(Lançamentos!$J$3:$J$1001,MATCH($B16,Lançamentos!$B$3:$B$1001,0)),""))</f>
        <v/>
      </c>
      <c r="D16" s="415" t="str">
        <f>IF($B16="","",IFERROR(INDEX('E2 — Triagem'!$D$8:$D$507,MATCH($B16,'E2 — Triagem'!$B$8:$B$507,0)),""))</f>
        <v/>
      </c>
      <c r="E16" s="179"/>
      <c r="F16" s="179"/>
      <c r="G16" s="179"/>
      <c r="H16" s="179"/>
      <c r="I16" s="179"/>
      <c r="J16" s="180" t="str">
        <f t="shared" si="0"/>
        <v/>
      </c>
      <c r="K16" s="181"/>
      <c r="L16" s="182"/>
      <c r="M16" s="183"/>
      <c r="N16" s="175"/>
    </row>
    <row r="17" spans="2:14" x14ac:dyDescent="0.35">
      <c r="B17" s="177" t="str">
        <f>IF(Lançamentos!$B12="","",Lançamentos!$B12)</f>
        <v/>
      </c>
      <c r="C17" s="178" t="str">
        <f>IF($B17="","",IFERROR(INDEX(Lançamentos!$J$3:$J$1001,MATCH($B17,Lançamentos!$B$3:$B$1001,0)),""))</f>
        <v/>
      </c>
      <c r="D17" s="415" t="str">
        <f>IF($B17="","",IFERROR(INDEX('E2 — Triagem'!$D$8:$D$507,MATCH($B17,'E2 — Triagem'!$B$8:$B$507,0)),""))</f>
        <v/>
      </c>
      <c r="E17" s="179"/>
      <c r="F17" s="179"/>
      <c r="G17" s="179"/>
      <c r="H17" s="179"/>
      <c r="I17" s="179"/>
      <c r="J17" s="180" t="str">
        <f t="shared" si="0"/>
        <v/>
      </c>
      <c r="K17" s="179"/>
      <c r="L17" s="184"/>
      <c r="M17" s="183"/>
      <c r="N17" s="175"/>
    </row>
    <row r="18" spans="2:14" x14ac:dyDescent="0.35">
      <c r="B18" s="177" t="str">
        <f>IF(Lançamentos!$B13="","",Lançamentos!$B13)</f>
        <v/>
      </c>
      <c r="C18" s="178" t="str">
        <f>IF($B18="","",IFERROR(INDEX(Lançamentos!$J$3:$J$1001,MATCH($B18,Lançamentos!$B$3:$B$1001,0)),""))</f>
        <v/>
      </c>
      <c r="D18" s="415" t="str">
        <f>IF($B18="","",IFERROR(INDEX('E2 — Triagem'!$D$8:$D$507,MATCH($B18,'E2 — Triagem'!$B$8:$B$507,0)),""))</f>
        <v/>
      </c>
      <c r="E18" s="179"/>
      <c r="F18" s="179"/>
      <c r="G18" s="179"/>
      <c r="H18" s="179"/>
      <c r="I18" s="179"/>
      <c r="J18" s="180" t="str">
        <f t="shared" si="0"/>
        <v/>
      </c>
      <c r="K18" s="179"/>
      <c r="L18" s="184"/>
      <c r="M18" s="183"/>
      <c r="N18" s="175"/>
    </row>
    <row r="19" spans="2:14" x14ac:dyDescent="0.35">
      <c r="B19" s="177" t="str">
        <f>IF(Lançamentos!$B14="","",Lançamentos!$B14)</f>
        <v/>
      </c>
      <c r="C19" s="178" t="str">
        <f>IF($B19="","",IFERROR(INDEX(Lançamentos!$J$3:$J$1001,MATCH($B19,Lançamentos!$B$3:$B$1001,0)),""))</f>
        <v/>
      </c>
      <c r="D19" s="415" t="str">
        <f>IF($B19="","",IFERROR(INDEX('E2 — Triagem'!$D$8:$D$507,MATCH($B19,'E2 — Triagem'!$B$8:$B$507,0)),""))</f>
        <v/>
      </c>
      <c r="E19" s="179"/>
      <c r="F19" s="179"/>
      <c r="G19" s="179"/>
      <c r="H19" s="179"/>
      <c r="I19" s="179"/>
      <c r="J19" s="180" t="str">
        <f t="shared" si="0"/>
        <v/>
      </c>
      <c r="K19" s="179"/>
      <c r="L19" s="184"/>
      <c r="M19" s="183"/>
      <c r="N19" s="175"/>
    </row>
    <row r="20" spans="2:14" x14ac:dyDescent="0.35">
      <c r="B20" s="177" t="str">
        <f>IF(Lançamentos!$B15="","",Lançamentos!$B15)</f>
        <v/>
      </c>
      <c r="C20" s="178" t="str">
        <f>IF($B20="","",IFERROR(INDEX(Lançamentos!$J$3:$J$1001,MATCH($B20,Lançamentos!$B$3:$B$1001,0)),""))</f>
        <v/>
      </c>
      <c r="D20" s="415" t="str">
        <f>IF($B20="","",IFERROR(INDEX('E2 — Triagem'!$D$8:$D$507,MATCH($B20,'E2 — Triagem'!$B$8:$B$507,0)),""))</f>
        <v/>
      </c>
      <c r="E20" s="179"/>
      <c r="F20" s="179"/>
      <c r="G20" s="179"/>
      <c r="H20" s="179"/>
      <c r="I20" s="179"/>
      <c r="J20" s="180" t="str">
        <f t="shared" si="0"/>
        <v/>
      </c>
      <c r="K20" s="179"/>
      <c r="L20" s="184"/>
      <c r="M20" s="183"/>
      <c r="N20" s="175"/>
    </row>
    <row r="21" spans="2:14" x14ac:dyDescent="0.35">
      <c r="B21" s="177" t="str">
        <f>IF(Lançamentos!$B16="","",Lançamentos!$B16)</f>
        <v/>
      </c>
      <c r="C21" s="178" t="str">
        <f>IF($B21="","",IFERROR(INDEX(Lançamentos!$J$3:$J$1001,MATCH($B21,Lançamentos!$B$3:$B$1001,0)),""))</f>
        <v/>
      </c>
      <c r="D21" s="415" t="str">
        <f>IF($B21="","",IFERROR(INDEX('E2 — Triagem'!$D$8:$D$507,MATCH($B21,'E2 — Triagem'!$B$8:$B$507,0)),""))</f>
        <v/>
      </c>
      <c r="E21" s="179"/>
      <c r="F21" s="179"/>
      <c r="G21" s="179"/>
      <c r="H21" s="179"/>
      <c r="I21" s="179"/>
      <c r="J21" s="180" t="str">
        <f t="shared" si="0"/>
        <v/>
      </c>
      <c r="K21" s="179"/>
      <c r="L21" s="184"/>
      <c r="M21" s="183"/>
      <c r="N21" s="175"/>
    </row>
    <row r="22" spans="2:14" x14ac:dyDescent="0.35">
      <c r="B22" s="177" t="str">
        <f>IF(Lançamentos!$B17="","",Lançamentos!$B17)</f>
        <v/>
      </c>
      <c r="C22" s="178" t="str">
        <f>IF($B22="","",IFERROR(INDEX(Lançamentos!$J$3:$J$1001,MATCH($B22,Lançamentos!$B$3:$B$1001,0)),""))</f>
        <v/>
      </c>
      <c r="D22" s="415" t="str">
        <f>IF($B22="","",IFERROR(INDEX('E2 — Triagem'!$D$8:$D$507,MATCH($B22,'E2 — Triagem'!$B$8:$B$507,0)),""))</f>
        <v/>
      </c>
      <c r="E22" s="179"/>
      <c r="F22" s="179"/>
      <c r="G22" s="179"/>
      <c r="H22" s="179"/>
      <c r="I22" s="179"/>
      <c r="J22" s="180" t="str">
        <f t="shared" si="0"/>
        <v/>
      </c>
      <c r="K22" s="179"/>
      <c r="L22" s="184"/>
      <c r="M22" s="183"/>
      <c r="N22" s="175"/>
    </row>
    <row r="23" spans="2:14" x14ac:dyDescent="0.35">
      <c r="B23" s="177" t="str">
        <f>IF(Lançamentos!$B18="","",Lançamentos!$B18)</f>
        <v/>
      </c>
      <c r="C23" s="178" t="str">
        <f>IF($B23="","",IFERROR(INDEX(Lançamentos!$J$3:$J$1001,MATCH($B23,Lançamentos!$B$3:$B$1001,0)),""))</f>
        <v/>
      </c>
      <c r="D23" s="415" t="str">
        <f>IF($B23="","",IFERROR(INDEX('E2 — Triagem'!$D$8:$D$507,MATCH($B23,'E2 — Triagem'!$B$8:$B$507,0)),""))</f>
        <v/>
      </c>
      <c r="E23" s="179"/>
      <c r="F23" s="179"/>
      <c r="G23" s="179"/>
      <c r="H23" s="179"/>
      <c r="I23" s="179"/>
      <c r="J23" s="180" t="str">
        <f t="shared" si="0"/>
        <v/>
      </c>
      <c r="K23" s="179"/>
      <c r="L23" s="184"/>
      <c r="M23" s="183"/>
      <c r="N23" s="175"/>
    </row>
    <row r="24" spans="2:14" x14ac:dyDescent="0.35">
      <c r="B24" s="177" t="str">
        <f>IF(Lançamentos!$B19="","",Lançamentos!$B19)</f>
        <v/>
      </c>
      <c r="C24" s="178" t="str">
        <f>IF($B24="","",IFERROR(INDEX(Lançamentos!$J$3:$J$1001,MATCH($B24,Lançamentos!$B$3:$B$1001,0)),""))</f>
        <v/>
      </c>
      <c r="D24" s="415" t="str">
        <f>IF($B24="","",IFERROR(INDEX('E2 — Triagem'!$D$8:$D$507,MATCH($B24,'E2 — Triagem'!$B$8:$B$507,0)),""))</f>
        <v/>
      </c>
      <c r="E24" s="179"/>
      <c r="F24" s="179"/>
      <c r="G24" s="179"/>
      <c r="H24" s="179"/>
      <c r="I24" s="179"/>
      <c r="J24" s="180" t="str">
        <f t="shared" si="0"/>
        <v/>
      </c>
      <c r="K24" s="179"/>
      <c r="L24" s="184"/>
      <c r="M24" s="183"/>
      <c r="N24" s="175"/>
    </row>
    <row r="25" spans="2:14" x14ac:dyDescent="0.35">
      <c r="B25" s="177" t="str">
        <f>IF(Lançamentos!$B20="","",Lançamentos!$B20)</f>
        <v/>
      </c>
      <c r="C25" s="178" t="str">
        <f>IF($B25="","",IFERROR(INDEX(Lançamentos!$J$3:$J$1001,MATCH($B25,Lançamentos!$B$3:$B$1001,0)),""))</f>
        <v/>
      </c>
      <c r="D25" s="415" t="str">
        <f>IF($B25="","",IFERROR(INDEX('E2 — Triagem'!$D$8:$D$507,MATCH($B25,'E2 — Triagem'!$B$8:$B$507,0)),""))</f>
        <v/>
      </c>
      <c r="E25" s="179"/>
      <c r="F25" s="179"/>
      <c r="G25" s="179"/>
      <c r="H25" s="179"/>
      <c r="I25" s="179"/>
      <c r="J25" s="180" t="str">
        <f t="shared" si="0"/>
        <v/>
      </c>
      <c r="K25" s="179"/>
      <c r="L25" s="184"/>
      <c r="M25" s="183"/>
      <c r="N25" s="175"/>
    </row>
    <row r="26" spans="2:14" x14ac:dyDescent="0.35">
      <c r="B26" s="177" t="str">
        <f>IF(Lançamentos!$B21="","",Lançamentos!$B21)</f>
        <v/>
      </c>
      <c r="C26" s="178" t="str">
        <f>IF($B26="","",IFERROR(INDEX(Lançamentos!$J$3:$J$1001,MATCH($B26,Lançamentos!$B$3:$B$1001,0)),""))</f>
        <v/>
      </c>
      <c r="D26" s="415" t="str">
        <f>IF($B26="","",IFERROR(INDEX('E2 — Triagem'!$D$8:$D$507,MATCH($B26,'E2 — Triagem'!$B$8:$B$507,0)),""))</f>
        <v/>
      </c>
      <c r="E26" s="179"/>
      <c r="F26" s="179"/>
      <c r="G26" s="179"/>
      <c r="H26" s="179"/>
      <c r="I26" s="179"/>
      <c r="J26" s="180" t="str">
        <f t="shared" si="0"/>
        <v/>
      </c>
      <c r="K26" s="179"/>
      <c r="L26" s="184"/>
      <c r="M26" s="183"/>
      <c r="N26" s="175"/>
    </row>
    <row r="27" spans="2:14" x14ac:dyDescent="0.35">
      <c r="B27" s="177" t="str">
        <f>IF(Lançamentos!$B22="","",Lançamentos!$B22)</f>
        <v/>
      </c>
      <c r="C27" s="178" t="str">
        <f>IF($B27="","",IFERROR(INDEX(Lançamentos!$J$3:$J$1001,MATCH($B27,Lançamentos!$B$3:$B$1001,0)),""))</f>
        <v/>
      </c>
      <c r="D27" s="415" t="str">
        <f>IF($B27="","",IFERROR(INDEX('E2 — Triagem'!$D$8:$D$507,MATCH($B27,'E2 — Triagem'!$B$8:$B$507,0)),""))</f>
        <v/>
      </c>
      <c r="E27" s="179"/>
      <c r="F27" s="179"/>
      <c r="G27" s="179"/>
      <c r="H27" s="179"/>
      <c r="I27" s="179"/>
      <c r="J27" s="180" t="str">
        <f t="shared" si="0"/>
        <v/>
      </c>
      <c r="K27" s="179"/>
      <c r="L27" s="184"/>
      <c r="M27" s="183"/>
      <c r="N27" s="175"/>
    </row>
    <row r="28" spans="2:14" x14ac:dyDescent="0.35">
      <c r="B28" s="177" t="str">
        <f>IF(Lançamentos!$B23="","",Lançamentos!$B23)</f>
        <v/>
      </c>
      <c r="C28" s="178" t="str">
        <f>IF($B28="","",IFERROR(INDEX(Lançamentos!$J$3:$J$1001,MATCH($B28,Lançamentos!$B$3:$B$1001,0)),""))</f>
        <v/>
      </c>
      <c r="D28" s="415" t="str">
        <f>IF($B28="","",IFERROR(INDEX('E2 — Triagem'!$D$8:$D$507,MATCH($B28,'E2 — Triagem'!$B$8:$B$507,0)),""))</f>
        <v/>
      </c>
      <c r="E28" s="179"/>
      <c r="F28" s="179"/>
      <c r="G28" s="179"/>
      <c r="H28" s="179"/>
      <c r="I28" s="179"/>
      <c r="J28" s="180" t="str">
        <f t="shared" si="0"/>
        <v/>
      </c>
      <c r="K28" s="179"/>
      <c r="L28" s="184"/>
      <c r="M28" s="183"/>
      <c r="N28" s="175"/>
    </row>
    <row r="29" spans="2:14" x14ac:dyDescent="0.35">
      <c r="B29" s="177" t="str">
        <f>IF(Lançamentos!$B24="","",Lançamentos!$B24)</f>
        <v/>
      </c>
      <c r="C29" s="178" t="str">
        <f>IF($B29="","",IFERROR(INDEX(Lançamentos!$J$3:$J$1001,MATCH($B29,Lançamentos!$B$3:$B$1001,0)),""))</f>
        <v/>
      </c>
      <c r="D29" s="415" t="str">
        <f>IF($B29="","",IFERROR(INDEX('E2 — Triagem'!$D$8:$D$507,MATCH($B29,'E2 — Triagem'!$B$8:$B$507,0)),""))</f>
        <v/>
      </c>
      <c r="E29" s="179"/>
      <c r="F29" s="179"/>
      <c r="G29" s="179"/>
      <c r="H29" s="179"/>
      <c r="I29" s="179"/>
      <c r="J29" s="180" t="str">
        <f t="shared" si="0"/>
        <v/>
      </c>
      <c r="K29" s="179"/>
      <c r="L29" s="184"/>
      <c r="M29" s="183"/>
      <c r="N29" s="175"/>
    </row>
    <row r="30" spans="2:14" x14ac:dyDescent="0.35">
      <c r="B30" s="177" t="str">
        <f>IF(Lançamentos!$B25="","",Lançamentos!$B25)</f>
        <v/>
      </c>
      <c r="C30" s="178" t="str">
        <f>IF($B30="","",IFERROR(INDEX(Lançamentos!$J$3:$J$1001,MATCH($B30,Lançamentos!$B$3:$B$1001,0)),""))</f>
        <v/>
      </c>
      <c r="D30" s="415" t="str">
        <f>IF($B30="","",IFERROR(INDEX('E2 — Triagem'!$D$8:$D$507,MATCH($B30,'E2 — Triagem'!$B$8:$B$507,0)),""))</f>
        <v/>
      </c>
      <c r="E30" s="179"/>
      <c r="F30" s="179"/>
      <c r="G30" s="179"/>
      <c r="H30" s="179"/>
      <c r="I30" s="179"/>
      <c r="J30" s="180" t="str">
        <f t="shared" si="0"/>
        <v/>
      </c>
      <c r="K30" s="179"/>
      <c r="L30" s="184"/>
      <c r="M30" s="183"/>
      <c r="N30" s="175"/>
    </row>
    <row r="31" spans="2:14" x14ac:dyDescent="0.35">
      <c r="B31" s="177" t="str">
        <f>IF(Lançamentos!$B26="","",Lançamentos!$B26)</f>
        <v/>
      </c>
      <c r="C31" s="178" t="str">
        <f>IF($B31="","",IFERROR(INDEX(Lançamentos!$J$3:$J$1001,MATCH($B31,Lançamentos!$B$3:$B$1001,0)),""))</f>
        <v/>
      </c>
      <c r="D31" s="415" t="str">
        <f>IF($B31="","",IFERROR(INDEX('E2 — Triagem'!$D$8:$D$507,MATCH($B31,'E2 — Triagem'!$B$8:$B$507,0)),""))</f>
        <v/>
      </c>
      <c r="E31" s="179"/>
      <c r="F31" s="179"/>
      <c r="G31" s="179"/>
      <c r="H31" s="179"/>
      <c r="I31" s="179"/>
      <c r="J31" s="180" t="str">
        <f t="shared" si="0"/>
        <v/>
      </c>
      <c r="K31" s="179"/>
      <c r="L31" s="184"/>
      <c r="M31" s="183"/>
      <c r="N31" s="175"/>
    </row>
    <row r="32" spans="2:14" x14ac:dyDescent="0.35">
      <c r="B32" s="177" t="str">
        <f>IF(Lançamentos!$B27="","",Lançamentos!$B27)</f>
        <v/>
      </c>
      <c r="C32" s="178" t="str">
        <f>IF($B32="","",IFERROR(INDEX(Lançamentos!$J$3:$J$1001,MATCH($B32,Lançamentos!$B$3:$B$1001,0)),""))</f>
        <v/>
      </c>
      <c r="D32" s="415" t="str">
        <f>IF($B32="","",IFERROR(INDEX('E2 — Triagem'!$D$8:$D$507,MATCH($B32,'E2 — Triagem'!$B$8:$B$507,0)),""))</f>
        <v/>
      </c>
      <c r="E32" s="179"/>
      <c r="F32" s="179"/>
      <c r="G32" s="179"/>
      <c r="H32" s="179"/>
      <c r="I32" s="179"/>
      <c r="J32" s="180" t="str">
        <f t="shared" si="0"/>
        <v/>
      </c>
      <c r="K32" s="179"/>
      <c r="L32" s="184"/>
      <c r="M32" s="183"/>
      <c r="N32" s="175"/>
    </row>
    <row r="33" spans="2:14" x14ac:dyDescent="0.35">
      <c r="B33" s="177" t="str">
        <f>IF(Lançamentos!$B28="","",Lançamentos!$B28)</f>
        <v/>
      </c>
      <c r="C33" s="178" t="str">
        <f>IF($B33="","",IFERROR(INDEX(Lançamentos!$J$3:$J$1001,MATCH($B33,Lançamentos!$B$3:$B$1001,0)),""))</f>
        <v/>
      </c>
      <c r="D33" s="415" t="str">
        <f>IF($B33="","",IFERROR(INDEX('E2 — Triagem'!$D$8:$D$507,MATCH($B33,'E2 — Triagem'!$B$8:$B$507,0)),""))</f>
        <v/>
      </c>
      <c r="E33" s="179"/>
      <c r="F33" s="179"/>
      <c r="G33" s="179"/>
      <c r="H33" s="179"/>
      <c r="I33" s="179"/>
      <c r="J33" s="180" t="str">
        <f t="shared" si="0"/>
        <v/>
      </c>
      <c r="K33" s="179"/>
      <c r="L33" s="184"/>
      <c r="M33" s="183"/>
      <c r="N33" s="175"/>
    </row>
    <row r="34" spans="2:14" x14ac:dyDescent="0.35">
      <c r="B34" s="177" t="str">
        <f>IF(Lançamentos!$B29="","",Lançamentos!$B29)</f>
        <v/>
      </c>
      <c r="C34" s="178" t="str">
        <f>IF($B34="","",IFERROR(INDEX(Lançamentos!$J$3:$J$1001,MATCH($B34,Lançamentos!$B$3:$B$1001,0)),""))</f>
        <v/>
      </c>
      <c r="D34" s="415" t="str">
        <f>IF($B34="","",IFERROR(INDEX('E2 — Triagem'!$D$8:$D$507,MATCH($B34,'E2 — Triagem'!$B$8:$B$507,0)),""))</f>
        <v/>
      </c>
      <c r="E34" s="179"/>
      <c r="F34" s="179"/>
      <c r="G34" s="179"/>
      <c r="H34" s="179"/>
      <c r="I34" s="179"/>
      <c r="J34" s="180" t="str">
        <f t="shared" si="0"/>
        <v/>
      </c>
      <c r="K34" s="179"/>
      <c r="L34" s="184"/>
      <c r="M34" s="183"/>
      <c r="N34" s="175"/>
    </row>
    <row r="35" spans="2:14" x14ac:dyDescent="0.35">
      <c r="B35" s="177" t="str">
        <f>IF(Lançamentos!$B30="","",Lançamentos!$B30)</f>
        <v/>
      </c>
      <c r="C35" s="178" t="str">
        <f>IF($B35="","",IFERROR(INDEX(Lançamentos!$J$3:$J$1001,MATCH($B35,Lançamentos!$B$3:$B$1001,0)),""))</f>
        <v/>
      </c>
      <c r="D35" s="415" t="str">
        <f>IF($B35="","",IFERROR(INDEX('E2 — Triagem'!$D$8:$D$507,MATCH($B35,'E2 — Triagem'!$B$8:$B$507,0)),""))</f>
        <v/>
      </c>
      <c r="E35" s="179"/>
      <c r="F35" s="179"/>
      <c r="G35" s="179"/>
      <c r="H35" s="179"/>
      <c r="I35" s="179"/>
      <c r="J35" s="180" t="str">
        <f t="shared" si="0"/>
        <v/>
      </c>
      <c r="K35" s="179"/>
      <c r="L35" s="184"/>
      <c r="M35" s="183"/>
      <c r="N35" s="175"/>
    </row>
    <row r="36" spans="2:14" x14ac:dyDescent="0.35">
      <c r="B36" s="177" t="str">
        <f>IF(Lançamentos!$B31="","",Lançamentos!$B31)</f>
        <v/>
      </c>
      <c r="C36" s="178" t="str">
        <f>IF($B36="","",IFERROR(INDEX(Lançamentos!$J$3:$J$1001,MATCH($B36,Lançamentos!$B$3:$B$1001,0)),""))</f>
        <v/>
      </c>
      <c r="D36" s="415" t="str">
        <f>IF($B36="","",IFERROR(INDEX('E2 — Triagem'!$D$8:$D$507,MATCH($B36,'E2 — Triagem'!$B$8:$B$507,0)),""))</f>
        <v/>
      </c>
      <c r="E36" s="179"/>
      <c r="F36" s="179"/>
      <c r="G36" s="179"/>
      <c r="H36" s="179"/>
      <c r="I36" s="179"/>
      <c r="J36" s="180" t="str">
        <f t="shared" si="0"/>
        <v/>
      </c>
      <c r="K36" s="179"/>
      <c r="L36" s="184"/>
      <c r="M36" s="183"/>
      <c r="N36" s="175"/>
    </row>
    <row r="37" spans="2:14" x14ac:dyDescent="0.35">
      <c r="B37" s="177" t="str">
        <f>IF(Lançamentos!$B32="","",Lançamentos!$B32)</f>
        <v/>
      </c>
      <c r="C37" s="178" t="str">
        <f>IF($B37="","",IFERROR(INDEX(Lançamentos!$J$3:$J$1001,MATCH($B37,Lançamentos!$B$3:$B$1001,0)),""))</f>
        <v/>
      </c>
      <c r="D37" s="415" t="str">
        <f>IF($B37="","",IFERROR(INDEX('E2 — Triagem'!$D$8:$D$507,MATCH($B37,'E2 — Triagem'!$B$8:$B$507,0)),""))</f>
        <v/>
      </c>
      <c r="E37" s="179"/>
      <c r="F37" s="179"/>
      <c r="G37" s="179"/>
      <c r="H37" s="179"/>
      <c r="I37" s="179"/>
      <c r="J37" s="180" t="str">
        <f t="shared" si="0"/>
        <v/>
      </c>
      <c r="K37" s="179"/>
      <c r="L37" s="184"/>
      <c r="M37" s="183"/>
      <c r="N37" s="175"/>
    </row>
    <row r="38" spans="2:14" x14ac:dyDescent="0.35">
      <c r="B38" s="177" t="str">
        <f>IF(Lançamentos!$B33="","",Lançamentos!$B33)</f>
        <v/>
      </c>
      <c r="C38" s="178" t="str">
        <f>IF($B38="","",IFERROR(INDEX(Lançamentos!$J$3:$J$1001,MATCH($B38,Lançamentos!$B$3:$B$1001,0)),""))</f>
        <v/>
      </c>
      <c r="D38" s="415" t="str">
        <f>IF($B38="","",IFERROR(INDEX('E2 — Triagem'!$D$8:$D$507,MATCH($B38,'E2 — Triagem'!$B$8:$B$507,0)),""))</f>
        <v/>
      </c>
      <c r="E38" s="179"/>
      <c r="F38" s="179"/>
      <c r="G38" s="179"/>
      <c r="H38" s="179"/>
      <c r="I38" s="179"/>
      <c r="J38" s="180" t="str">
        <f t="shared" si="0"/>
        <v/>
      </c>
      <c r="K38" s="179"/>
      <c r="L38" s="184"/>
      <c r="M38" s="183"/>
      <c r="N38" s="175"/>
    </row>
    <row r="39" spans="2:14" x14ac:dyDescent="0.35">
      <c r="B39" s="177" t="str">
        <f>IF(Lançamentos!$B34="","",Lançamentos!$B34)</f>
        <v/>
      </c>
      <c r="C39" s="178" t="str">
        <f>IF($B39="","",IFERROR(INDEX(Lançamentos!$J$3:$J$1001,MATCH($B39,Lançamentos!$B$3:$B$1001,0)),""))</f>
        <v/>
      </c>
      <c r="D39" s="415" t="str">
        <f>IF($B39="","",IFERROR(INDEX('E2 — Triagem'!$D$8:$D$507,MATCH($B39,'E2 — Triagem'!$B$8:$B$507,0)),""))</f>
        <v/>
      </c>
      <c r="E39" s="179"/>
      <c r="F39" s="179"/>
      <c r="G39" s="179"/>
      <c r="H39" s="179"/>
      <c r="I39" s="179"/>
      <c r="J39" s="180" t="str">
        <f t="shared" si="0"/>
        <v/>
      </c>
      <c r="K39" s="179"/>
      <c r="L39" s="184"/>
      <c r="M39" s="183"/>
      <c r="N39" s="175"/>
    </row>
    <row r="40" spans="2:14" x14ac:dyDescent="0.35">
      <c r="B40" s="177" t="str">
        <f>IF(Lançamentos!$B35="","",Lançamentos!$B35)</f>
        <v/>
      </c>
      <c r="C40" s="178" t="str">
        <f>IF($B40="","",IFERROR(INDEX(Lançamentos!$J$3:$J$1001,MATCH($B40,Lançamentos!$B$3:$B$1001,0)),""))</f>
        <v/>
      </c>
      <c r="D40" s="415" t="str">
        <f>IF($B40="","",IFERROR(INDEX('E2 — Triagem'!$D$8:$D$507,MATCH($B40,'E2 — Triagem'!$B$8:$B$507,0)),""))</f>
        <v/>
      </c>
      <c r="E40" s="179"/>
      <c r="F40" s="179"/>
      <c r="G40" s="179"/>
      <c r="H40" s="179"/>
      <c r="I40" s="179"/>
      <c r="J40" s="180" t="str">
        <f t="shared" si="0"/>
        <v/>
      </c>
      <c r="K40" s="179"/>
      <c r="L40" s="184"/>
      <c r="M40" s="183"/>
      <c r="N40" s="175"/>
    </row>
    <row r="41" spans="2:14" x14ac:dyDescent="0.35">
      <c r="B41" s="177" t="str">
        <f>IF(Lançamentos!$B36="","",Lançamentos!$B36)</f>
        <v/>
      </c>
      <c r="C41" s="178" t="str">
        <f>IF($B41="","",IFERROR(INDEX(Lançamentos!$J$3:$J$1001,MATCH($B41,Lançamentos!$B$3:$B$1001,0)),""))</f>
        <v/>
      </c>
      <c r="D41" s="415" t="str">
        <f>IF($B41="","",IFERROR(INDEX('E2 — Triagem'!$D$8:$D$507,MATCH($B41,'E2 — Triagem'!$B$8:$B$507,0)),""))</f>
        <v/>
      </c>
      <c r="E41" s="179"/>
      <c r="F41" s="179"/>
      <c r="G41" s="179"/>
      <c r="H41" s="179"/>
      <c r="I41" s="179"/>
      <c r="J41" s="180" t="str">
        <f t="shared" si="0"/>
        <v/>
      </c>
      <c r="K41" s="179"/>
      <c r="L41" s="184"/>
      <c r="M41" s="183"/>
      <c r="N41" s="175"/>
    </row>
    <row r="42" spans="2:14" x14ac:dyDescent="0.35">
      <c r="B42" s="177" t="str">
        <f>IF(Lançamentos!$B37="","",Lançamentos!$B37)</f>
        <v/>
      </c>
      <c r="C42" s="178" t="str">
        <f>IF($B42="","",IFERROR(INDEX(Lançamentos!$J$3:$J$1001,MATCH($B42,Lançamentos!$B$3:$B$1001,0)),""))</f>
        <v/>
      </c>
      <c r="D42" s="415" t="str">
        <f>IF($B42="","",IFERROR(INDEX('E2 — Triagem'!$D$8:$D$507,MATCH($B42,'E2 — Triagem'!$B$8:$B$507,0)),""))</f>
        <v/>
      </c>
      <c r="E42" s="179"/>
      <c r="F42" s="179"/>
      <c r="G42" s="179"/>
      <c r="H42" s="179"/>
      <c r="I42" s="179"/>
      <c r="J42" s="180" t="str">
        <f t="shared" si="0"/>
        <v/>
      </c>
      <c r="K42" s="179"/>
      <c r="L42" s="184"/>
      <c r="M42" s="183"/>
      <c r="N42" s="175"/>
    </row>
    <row r="43" spans="2:14" x14ac:dyDescent="0.35">
      <c r="B43" s="177" t="str">
        <f>IF(Lançamentos!$B38="","",Lançamentos!$B38)</f>
        <v/>
      </c>
      <c r="C43" s="178" t="str">
        <f>IF($B43="","",IFERROR(INDEX(Lançamentos!$J$3:$J$1001,MATCH($B43,Lançamentos!$B$3:$B$1001,0)),""))</f>
        <v/>
      </c>
      <c r="D43" s="415" t="str">
        <f>IF($B43="","",IFERROR(INDEX('E2 — Triagem'!$D$8:$D$507,MATCH($B43,'E2 — Triagem'!$B$8:$B$507,0)),""))</f>
        <v/>
      </c>
      <c r="E43" s="179"/>
      <c r="F43" s="179"/>
      <c r="G43" s="179"/>
      <c r="H43" s="179"/>
      <c r="I43" s="179"/>
      <c r="J43" s="180" t="str">
        <f t="shared" si="0"/>
        <v/>
      </c>
      <c r="K43" s="179"/>
      <c r="L43" s="184"/>
      <c r="M43" s="183"/>
      <c r="N43" s="175"/>
    </row>
    <row r="44" spans="2:14" x14ac:dyDescent="0.35">
      <c r="B44" s="177" t="str">
        <f>IF(Lançamentos!$B39="","",Lançamentos!$B39)</f>
        <v/>
      </c>
      <c r="C44" s="178" t="str">
        <f>IF($B44="","",IFERROR(INDEX(Lançamentos!$J$3:$J$1001,MATCH($B44,Lançamentos!$B$3:$B$1001,0)),""))</f>
        <v/>
      </c>
      <c r="D44" s="415" t="str">
        <f>IF($B44="","",IFERROR(INDEX('E2 — Triagem'!$D$8:$D$507,MATCH($B44,'E2 — Triagem'!$B$8:$B$507,0)),""))</f>
        <v/>
      </c>
      <c r="E44" s="179"/>
      <c r="F44" s="179"/>
      <c r="G44" s="179"/>
      <c r="H44" s="179"/>
      <c r="I44" s="179"/>
      <c r="J44" s="180" t="str">
        <f t="shared" si="0"/>
        <v/>
      </c>
      <c r="K44" s="179"/>
      <c r="L44" s="184"/>
      <c r="M44" s="183"/>
      <c r="N44" s="175"/>
    </row>
    <row r="45" spans="2:14" x14ac:dyDescent="0.35">
      <c r="B45" s="177" t="str">
        <f>IF(Lançamentos!$B40="","",Lançamentos!$B40)</f>
        <v/>
      </c>
      <c r="C45" s="178" t="str">
        <f>IF($B45="","",IFERROR(INDEX(Lançamentos!$J$3:$J$1001,MATCH($B45,Lançamentos!$B$3:$B$1001,0)),""))</f>
        <v/>
      </c>
      <c r="D45" s="415" t="str">
        <f>IF($B45="","",IFERROR(INDEX('E2 — Triagem'!$D$8:$D$507,MATCH($B45,'E2 — Triagem'!$B$8:$B$507,0)),""))</f>
        <v/>
      </c>
      <c r="E45" s="179"/>
      <c r="F45" s="179"/>
      <c r="G45" s="179"/>
      <c r="H45" s="179"/>
      <c r="I45" s="179"/>
      <c r="J45" s="180" t="str">
        <f t="shared" si="0"/>
        <v/>
      </c>
      <c r="K45" s="179"/>
      <c r="L45" s="184"/>
      <c r="M45" s="183"/>
      <c r="N45" s="175"/>
    </row>
    <row r="46" spans="2:14" x14ac:dyDescent="0.35">
      <c r="B46" s="177" t="str">
        <f>IF(Lançamentos!$B41="","",Lançamentos!$B41)</f>
        <v/>
      </c>
      <c r="C46" s="178" t="str">
        <f>IF($B46="","",IFERROR(INDEX(Lançamentos!$J$3:$J$1001,MATCH($B46,Lançamentos!$B$3:$B$1001,0)),""))</f>
        <v/>
      </c>
      <c r="D46" s="415" t="str">
        <f>IF($B46="","",IFERROR(INDEX('E2 — Triagem'!$D$8:$D$507,MATCH($B46,'E2 — Triagem'!$B$8:$B$507,0)),""))</f>
        <v/>
      </c>
      <c r="E46" s="179"/>
      <c r="F46" s="179"/>
      <c r="G46" s="179"/>
      <c r="H46" s="179"/>
      <c r="I46" s="179"/>
      <c r="J46" s="180" t="str">
        <f t="shared" si="0"/>
        <v/>
      </c>
      <c r="K46" s="179"/>
      <c r="L46" s="184"/>
      <c r="M46" s="183"/>
      <c r="N46" s="175"/>
    </row>
    <row r="47" spans="2:14" x14ac:dyDescent="0.35">
      <c r="B47" s="177" t="str">
        <f>IF(Lançamentos!$B42="","",Lançamentos!$B42)</f>
        <v/>
      </c>
      <c r="C47" s="178" t="str">
        <f>IF($B47="","",IFERROR(INDEX(Lançamentos!$J$3:$J$1001,MATCH($B47,Lançamentos!$B$3:$B$1001,0)),""))</f>
        <v/>
      </c>
      <c r="D47" s="415" t="str">
        <f>IF($B47="","",IFERROR(INDEX('E2 — Triagem'!$D$8:$D$507,MATCH($B47,'E2 — Triagem'!$B$8:$B$507,0)),""))</f>
        <v/>
      </c>
      <c r="E47" s="179"/>
      <c r="F47" s="179"/>
      <c r="G47" s="179"/>
      <c r="H47" s="179"/>
      <c r="I47" s="179"/>
      <c r="J47" s="180" t="str">
        <f t="shared" si="0"/>
        <v/>
      </c>
      <c r="K47" s="179"/>
      <c r="L47" s="184"/>
      <c r="M47" s="183"/>
      <c r="N47" s="175"/>
    </row>
    <row r="48" spans="2:14" x14ac:dyDescent="0.35">
      <c r="B48" s="177" t="str">
        <f>IF(Lançamentos!$B43="","",Lançamentos!$B43)</f>
        <v/>
      </c>
      <c r="C48" s="178" t="str">
        <f>IF($B48="","",IFERROR(INDEX(Lançamentos!$J$3:$J$1001,MATCH($B48,Lançamentos!$B$3:$B$1001,0)),""))</f>
        <v/>
      </c>
      <c r="D48" s="415" t="str">
        <f>IF($B48="","",IFERROR(INDEX('E2 — Triagem'!$D$8:$D$507,MATCH($B48,'E2 — Triagem'!$B$8:$B$507,0)),""))</f>
        <v/>
      </c>
      <c r="E48" s="179"/>
      <c r="F48" s="179"/>
      <c r="G48" s="179"/>
      <c r="H48" s="179"/>
      <c r="I48" s="179"/>
      <c r="J48" s="180" t="str">
        <f t="shared" si="0"/>
        <v/>
      </c>
      <c r="K48" s="179"/>
      <c r="L48" s="184"/>
      <c r="M48" s="183"/>
      <c r="N48" s="175"/>
    </row>
    <row r="49" spans="2:14" x14ac:dyDescent="0.35">
      <c r="B49" s="177" t="str">
        <f>IF(Lançamentos!$B44="","",Lançamentos!$B44)</f>
        <v/>
      </c>
      <c r="C49" s="178" t="str">
        <f>IF($B49="","",IFERROR(INDEX(Lançamentos!$J$3:$J$1001,MATCH($B49,Lançamentos!$B$3:$B$1001,0)),""))</f>
        <v/>
      </c>
      <c r="D49" s="415" t="str">
        <f>IF($B49="","",IFERROR(INDEX('E2 — Triagem'!$D$8:$D$507,MATCH($B49,'E2 — Triagem'!$B$8:$B$507,0)),""))</f>
        <v/>
      </c>
      <c r="E49" s="179"/>
      <c r="F49" s="179"/>
      <c r="G49" s="179"/>
      <c r="H49" s="179"/>
      <c r="I49" s="179"/>
      <c r="J49" s="180" t="str">
        <f t="shared" si="0"/>
        <v/>
      </c>
      <c r="K49" s="179"/>
      <c r="L49" s="184"/>
      <c r="M49" s="183"/>
      <c r="N49" s="175"/>
    </row>
    <row r="50" spans="2:14" x14ac:dyDescent="0.35">
      <c r="B50" s="177" t="str">
        <f>IF(Lançamentos!$B45="","",Lançamentos!$B45)</f>
        <v/>
      </c>
      <c r="C50" s="178" t="str">
        <f>IF($B50="","",IFERROR(INDEX(Lançamentos!$J$3:$J$1001,MATCH($B50,Lançamentos!$B$3:$B$1001,0)),""))</f>
        <v/>
      </c>
      <c r="D50" s="415" t="str">
        <f>IF($B50="","",IFERROR(INDEX('E2 — Triagem'!$D$8:$D$507,MATCH($B50,'E2 — Triagem'!$B$8:$B$507,0)),""))</f>
        <v/>
      </c>
      <c r="E50" s="179"/>
      <c r="F50" s="179"/>
      <c r="G50" s="179"/>
      <c r="H50" s="179"/>
      <c r="I50" s="179"/>
      <c r="J50" s="180" t="str">
        <f t="shared" si="0"/>
        <v/>
      </c>
      <c r="K50" s="179"/>
      <c r="L50" s="184"/>
      <c r="M50" s="183"/>
      <c r="N50" s="175"/>
    </row>
    <row r="51" spans="2:14" x14ac:dyDescent="0.35">
      <c r="B51" s="177" t="str">
        <f>IF(Lançamentos!$B46="","",Lançamentos!$B46)</f>
        <v/>
      </c>
      <c r="C51" s="178" t="str">
        <f>IF($B51="","",IFERROR(INDEX(Lançamentos!$J$3:$J$1001,MATCH($B51,Lançamentos!$B$3:$B$1001,0)),""))</f>
        <v/>
      </c>
      <c r="D51" s="415" t="str">
        <f>IF($B51="","",IFERROR(INDEX('E2 — Triagem'!$D$8:$D$507,MATCH($B51,'E2 — Triagem'!$B$8:$B$507,0)),""))</f>
        <v/>
      </c>
      <c r="E51" s="179"/>
      <c r="F51" s="179"/>
      <c r="G51" s="179"/>
      <c r="H51" s="179"/>
      <c r="I51" s="179"/>
      <c r="J51" s="180" t="str">
        <f t="shared" si="0"/>
        <v/>
      </c>
      <c r="K51" s="179"/>
      <c r="L51" s="184"/>
      <c r="M51" s="183"/>
      <c r="N51" s="175"/>
    </row>
    <row r="52" spans="2:14" x14ac:dyDescent="0.35">
      <c r="B52" s="177" t="str">
        <f>IF(Lançamentos!$B47="","",Lançamentos!$B47)</f>
        <v/>
      </c>
      <c r="C52" s="178" t="str">
        <f>IF($B52="","",IFERROR(INDEX(Lançamentos!$J$3:$J$1001,MATCH($B52,Lançamentos!$B$3:$B$1001,0)),""))</f>
        <v/>
      </c>
      <c r="D52" s="415" t="str">
        <f>IF($B52="","",IFERROR(INDEX('E2 — Triagem'!$D$8:$D$507,MATCH($B52,'E2 — Triagem'!$B$8:$B$507,0)),""))</f>
        <v/>
      </c>
      <c r="E52" s="179"/>
      <c r="F52" s="179"/>
      <c r="G52" s="179"/>
      <c r="H52" s="179"/>
      <c r="I52" s="179"/>
      <c r="J52" s="180" t="str">
        <f t="shared" si="0"/>
        <v/>
      </c>
      <c r="K52" s="179"/>
      <c r="L52" s="184"/>
      <c r="M52" s="183"/>
      <c r="N52" s="175"/>
    </row>
    <row r="53" spans="2:14" x14ac:dyDescent="0.35">
      <c r="B53" s="177" t="str">
        <f>IF(Lançamentos!$B48="","",Lançamentos!$B48)</f>
        <v/>
      </c>
      <c r="C53" s="178" t="str">
        <f>IF($B53="","",IFERROR(INDEX(Lançamentos!$J$3:$J$1001,MATCH($B53,Lançamentos!$B$3:$B$1001,0)),""))</f>
        <v/>
      </c>
      <c r="D53" s="415" t="str">
        <f>IF($B53="","",IFERROR(INDEX('E2 — Triagem'!$D$8:$D$507,MATCH($B53,'E2 — Triagem'!$B$8:$B$507,0)),""))</f>
        <v/>
      </c>
      <c r="E53" s="179"/>
      <c r="F53" s="179"/>
      <c r="G53" s="179"/>
      <c r="H53" s="179"/>
      <c r="I53" s="179"/>
      <c r="J53" s="180" t="str">
        <f t="shared" si="0"/>
        <v/>
      </c>
      <c r="K53" s="179"/>
      <c r="L53" s="184"/>
      <c r="M53" s="183"/>
      <c r="N53" s="175"/>
    </row>
    <row r="54" spans="2:14" x14ac:dyDescent="0.35">
      <c r="B54" s="177" t="str">
        <f>IF(Lançamentos!$B49="","",Lançamentos!$B49)</f>
        <v/>
      </c>
      <c r="C54" s="178" t="str">
        <f>IF($B54="","",IFERROR(INDEX(Lançamentos!$J$3:$J$1001,MATCH($B54,Lançamentos!$B$3:$B$1001,0)),""))</f>
        <v/>
      </c>
      <c r="D54" s="415" t="str">
        <f>IF($B54="","",IFERROR(INDEX('E2 — Triagem'!$D$8:$D$507,MATCH($B54,'E2 — Triagem'!$B$8:$B$507,0)),""))</f>
        <v/>
      </c>
      <c r="E54" s="179"/>
      <c r="F54" s="179"/>
      <c r="G54" s="179"/>
      <c r="H54" s="179"/>
      <c r="I54" s="179"/>
      <c r="J54" s="180" t="str">
        <f t="shared" si="0"/>
        <v/>
      </c>
      <c r="K54" s="179"/>
      <c r="L54" s="184"/>
      <c r="M54" s="183"/>
      <c r="N54" s="175"/>
    </row>
    <row r="55" spans="2:14" x14ac:dyDescent="0.35">
      <c r="B55" s="177" t="str">
        <f>IF(Lançamentos!$B50="","",Lançamentos!$B50)</f>
        <v/>
      </c>
      <c r="C55" s="178" t="str">
        <f>IF($B55="","",IFERROR(INDEX(Lançamentos!$J$3:$J$1001,MATCH($B55,Lançamentos!$B$3:$B$1001,0)),""))</f>
        <v/>
      </c>
      <c r="D55" s="415" t="str">
        <f>IF($B55="","",IFERROR(INDEX('E2 — Triagem'!$D$8:$D$507,MATCH($B55,'E2 — Triagem'!$B$8:$B$507,0)),""))</f>
        <v/>
      </c>
      <c r="E55" s="179"/>
      <c r="F55" s="179"/>
      <c r="G55" s="179"/>
      <c r="H55" s="179"/>
      <c r="I55" s="179"/>
      <c r="J55" s="180" t="str">
        <f t="shared" si="0"/>
        <v/>
      </c>
      <c r="K55" s="179"/>
      <c r="L55" s="184"/>
      <c r="M55" s="183"/>
      <c r="N55" s="175"/>
    </row>
    <row r="56" spans="2:14" x14ac:dyDescent="0.35">
      <c r="B56" s="177" t="str">
        <f>IF(Lançamentos!$B51="","",Lançamentos!$B51)</f>
        <v/>
      </c>
      <c r="C56" s="178" t="str">
        <f>IF($B56="","",IFERROR(INDEX(Lançamentos!$J$3:$J$1001,MATCH($B56,Lançamentos!$B$3:$B$1001,0)),""))</f>
        <v/>
      </c>
      <c r="D56" s="415" t="str">
        <f>IF($B56="","",IFERROR(INDEX('E2 — Triagem'!$D$8:$D$507,MATCH($B56,'E2 — Triagem'!$B$8:$B$507,0)),""))</f>
        <v/>
      </c>
      <c r="E56" s="179"/>
      <c r="F56" s="179"/>
      <c r="G56" s="179"/>
      <c r="H56" s="179"/>
      <c r="I56" s="179"/>
      <c r="J56" s="180" t="str">
        <f t="shared" si="0"/>
        <v/>
      </c>
      <c r="K56" s="179"/>
      <c r="L56" s="184"/>
      <c r="M56" s="183"/>
      <c r="N56" s="175"/>
    </row>
    <row r="57" spans="2:14" x14ac:dyDescent="0.35">
      <c r="B57" s="177" t="str">
        <f>IF(Lançamentos!$B52="","",Lançamentos!$B52)</f>
        <v/>
      </c>
      <c r="C57" s="178" t="str">
        <f>IF($B57="","",IFERROR(INDEX(Lançamentos!$J$3:$J$1001,MATCH($B57,Lançamentos!$B$3:$B$1001,0)),""))</f>
        <v/>
      </c>
      <c r="D57" s="415" t="str">
        <f>IF($B57="","",IFERROR(INDEX('E2 — Triagem'!$D$8:$D$507,MATCH($B57,'E2 — Triagem'!$B$8:$B$507,0)),""))</f>
        <v/>
      </c>
      <c r="E57" s="179"/>
      <c r="F57" s="179"/>
      <c r="G57" s="179"/>
      <c r="H57" s="179"/>
      <c r="I57" s="179"/>
      <c r="J57" s="180" t="str">
        <f t="shared" si="0"/>
        <v/>
      </c>
      <c r="K57" s="179"/>
      <c r="L57" s="184"/>
      <c r="M57" s="183"/>
      <c r="N57" s="175"/>
    </row>
    <row r="58" spans="2:14" x14ac:dyDescent="0.35">
      <c r="B58" s="177" t="str">
        <f>IF(Lançamentos!$B53="","",Lançamentos!$B53)</f>
        <v/>
      </c>
      <c r="C58" s="178" t="str">
        <f>IF($B58="","",IFERROR(INDEX(Lançamentos!$J$3:$J$1001,MATCH($B58,Lançamentos!$B$3:$B$1001,0)),""))</f>
        <v/>
      </c>
      <c r="D58" s="415" t="str">
        <f>IF($B58="","",IFERROR(INDEX('E2 — Triagem'!$D$8:$D$507,MATCH($B58,'E2 — Triagem'!$B$8:$B$507,0)),""))</f>
        <v/>
      </c>
      <c r="E58" s="179"/>
      <c r="F58" s="179"/>
      <c r="G58" s="179"/>
      <c r="H58" s="179"/>
      <c r="I58" s="179"/>
      <c r="J58" s="180" t="str">
        <f t="shared" si="0"/>
        <v/>
      </c>
      <c r="K58" s="179"/>
      <c r="L58" s="184"/>
      <c r="M58" s="183"/>
      <c r="N58" s="175"/>
    </row>
    <row r="59" spans="2:14" x14ac:dyDescent="0.35">
      <c r="B59" s="177" t="str">
        <f>IF(Lançamentos!$B54="","",Lançamentos!$B54)</f>
        <v/>
      </c>
      <c r="C59" s="178" t="str">
        <f>IF($B59="","",IFERROR(INDEX(Lançamentos!$J$3:$J$1001,MATCH($B59,Lançamentos!$B$3:$B$1001,0)),""))</f>
        <v/>
      </c>
      <c r="D59" s="415" t="str">
        <f>IF($B59="","",IFERROR(INDEX('E2 — Triagem'!$D$8:$D$507,MATCH($B59,'E2 — Triagem'!$B$8:$B$507,0)),""))</f>
        <v/>
      </c>
      <c r="E59" s="179"/>
      <c r="F59" s="179"/>
      <c r="G59" s="179"/>
      <c r="H59" s="179"/>
      <c r="I59" s="179"/>
      <c r="J59" s="180" t="str">
        <f t="shared" si="0"/>
        <v/>
      </c>
      <c r="K59" s="179"/>
      <c r="L59" s="184"/>
      <c r="M59" s="183"/>
      <c r="N59" s="175"/>
    </row>
    <row r="60" spans="2:14" x14ac:dyDescent="0.35">
      <c r="B60" s="177" t="str">
        <f>IF(Lançamentos!$B55="","",Lançamentos!$B55)</f>
        <v/>
      </c>
      <c r="C60" s="178" t="str">
        <f>IF($B60="","",IFERROR(INDEX(Lançamentos!$J$3:$J$1001,MATCH($B60,Lançamentos!$B$3:$B$1001,0)),""))</f>
        <v/>
      </c>
      <c r="D60" s="415" t="str">
        <f>IF($B60="","",IFERROR(INDEX('E2 — Triagem'!$D$8:$D$507,MATCH($B60,'E2 — Triagem'!$B$8:$B$507,0)),""))</f>
        <v/>
      </c>
      <c r="E60" s="179"/>
      <c r="F60" s="179"/>
      <c r="G60" s="179"/>
      <c r="H60" s="179"/>
      <c r="I60" s="179"/>
      <c r="J60" s="180" t="str">
        <f t="shared" si="0"/>
        <v/>
      </c>
      <c r="K60" s="179"/>
      <c r="L60" s="184"/>
      <c r="M60" s="183"/>
      <c r="N60" s="175"/>
    </row>
    <row r="61" spans="2:14" x14ac:dyDescent="0.35">
      <c r="B61" s="177" t="str">
        <f>IF(Lançamentos!$B56="","",Lançamentos!$B56)</f>
        <v/>
      </c>
      <c r="C61" s="178" t="str">
        <f>IF($B61="","",IFERROR(INDEX(Lançamentos!$J$3:$J$1001,MATCH($B61,Lançamentos!$B$3:$B$1001,0)),""))</f>
        <v/>
      </c>
      <c r="D61" s="415" t="str">
        <f>IF($B61="","",IFERROR(INDEX('E2 — Triagem'!$D$8:$D$507,MATCH($B61,'E2 — Triagem'!$B$8:$B$507,0)),""))</f>
        <v/>
      </c>
      <c r="E61" s="179"/>
      <c r="F61" s="179"/>
      <c r="G61" s="179"/>
      <c r="H61" s="179"/>
      <c r="I61" s="179"/>
      <c r="J61" s="180" t="str">
        <f t="shared" si="0"/>
        <v/>
      </c>
      <c r="K61" s="179"/>
      <c r="L61" s="184"/>
      <c r="M61" s="183"/>
      <c r="N61" s="175"/>
    </row>
    <row r="62" spans="2:14" x14ac:dyDescent="0.35">
      <c r="B62" s="177" t="str">
        <f>IF(Lançamentos!$B57="","",Lançamentos!$B57)</f>
        <v/>
      </c>
      <c r="C62" s="178" t="str">
        <f>IF($B62="","",IFERROR(INDEX(Lançamentos!$J$3:$J$1001,MATCH($B62,Lançamentos!$B$3:$B$1001,0)),""))</f>
        <v/>
      </c>
      <c r="D62" s="415" t="str">
        <f>IF($B62="","",IFERROR(INDEX('E2 — Triagem'!$D$8:$D$507,MATCH($B62,'E2 — Triagem'!$B$8:$B$507,0)),""))</f>
        <v/>
      </c>
      <c r="E62" s="179"/>
      <c r="F62" s="179"/>
      <c r="G62" s="179"/>
      <c r="H62" s="179"/>
      <c r="I62" s="179"/>
      <c r="J62" s="180" t="str">
        <f t="shared" si="0"/>
        <v/>
      </c>
      <c r="K62" s="179"/>
      <c r="L62" s="184"/>
      <c r="M62" s="183"/>
      <c r="N62" s="175"/>
    </row>
    <row r="63" spans="2:14" x14ac:dyDescent="0.35">
      <c r="B63" s="177" t="str">
        <f>IF(Lançamentos!$B58="","",Lançamentos!$B58)</f>
        <v/>
      </c>
      <c r="C63" s="178" t="str">
        <f>IF($B63="","",IFERROR(INDEX(Lançamentos!$J$3:$J$1001,MATCH($B63,Lançamentos!$B$3:$B$1001,0)),""))</f>
        <v/>
      </c>
      <c r="D63" s="415" t="str">
        <f>IF($B63="","",IFERROR(INDEX('E2 — Triagem'!$D$8:$D$507,MATCH($B63,'E2 — Triagem'!$B$8:$B$507,0)),""))</f>
        <v/>
      </c>
      <c r="E63" s="179"/>
      <c r="F63" s="179"/>
      <c r="G63" s="179"/>
      <c r="H63" s="179"/>
      <c r="I63" s="179"/>
      <c r="J63" s="180" t="str">
        <f t="shared" si="0"/>
        <v/>
      </c>
      <c r="K63" s="179"/>
      <c r="L63" s="184"/>
      <c r="M63" s="183"/>
      <c r="N63" s="175"/>
    </row>
    <row r="64" spans="2:14" x14ac:dyDescent="0.35">
      <c r="B64" s="177" t="str">
        <f>IF(Lançamentos!$B59="","",Lançamentos!$B59)</f>
        <v/>
      </c>
      <c r="C64" s="178" t="str">
        <f>IF($B64="","",IFERROR(INDEX(Lançamentos!$J$3:$J$1001,MATCH($B64,Lançamentos!$B$3:$B$1001,0)),""))</f>
        <v/>
      </c>
      <c r="D64" s="415" t="str">
        <f>IF($B64="","",IFERROR(INDEX('E2 — Triagem'!$D$8:$D$507,MATCH($B64,'E2 — Triagem'!$B$8:$B$507,0)),""))</f>
        <v/>
      </c>
      <c r="E64" s="179"/>
      <c r="F64" s="179"/>
      <c r="G64" s="179"/>
      <c r="H64" s="179"/>
      <c r="I64" s="179"/>
      <c r="J64" s="180" t="str">
        <f t="shared" si="0"/>
        <v/>
      </c>
      <c r="K64" s="179"/>
      <c r="L64" s="184"/>
      <c r="M64" s="183"/>
      <c r="N64" s="175"/>
    </row>
    <row r="65" spans="2:14" x14ac:dyDescent="0.35">
      <c r="B65" s="177" t="str">
        <f>IF(Lançamentos!$B60="","",Lançamentos!$B60)</f>
        <v/>
      </c>
      <c r="C65" s="178" t="str">
        <f>IF($B65="","",IFERROR(INDEX(Lançamentos!$J$3:$J$1001,MATCH($B65,Lançamentos!$B$3:$B$1001,0)),""))</f>
        <v/>
      </c>
      <c r="D65" s="415" t="str">
        <f>IF($B65="","",IFERROR(INDEX('E2 — Triagem'!$D$8:$D$507,MATCH($B65,'E2 — Triagem'!$B$8:$B$507,0)),""))</f>
        <v/>
      </c>
      <c r="E65" s="179"/>
      <c r="F65" s="179"/>
      <c r="G65" s="179"/>
      <c r="H65" s="179"/>
      <c r="I65" s="179"/>
      <c r="J65" s="180" t="str">
        <f t="shared" si="0"/>
        <v/>
      </c>
      <c r="K65" s="179"/>
      <c r="L65" s="184"/>
      <c r="M65" s="183"/>
      <c r="N65" s="175"/>
    </row>
    <row r="66" spans="2:14" x14ac:dyDescent="0.35">
      <c r="B66" s="177" t="str">
        <f>IF(Lançamentos!$B61="","",Lançamentos!$B61)</f>
        <v/>
      </c>
      <c r="C66" s="178" t="str">
        <f>IF($B66="","",IFERROR(INDEX(Lançamentos!$J$3:$J$1001,MATCH($B66,Lançamentos!$B$3:$B$1001,0)),""))</f>
        <v/>
      </c>
      <c r="D66" s="415" t="str">
        <f>IF($B66="","",IFERROR(INDEX('E2 — Triagem'!$D$8:$D$507,MATCH($B66,'E2 — Triagem'!$B$8:$B$507,0)),""))</f>
        <v/>
      </c>
      <c r="E66" s="179"/>
      <c r="F66" s="179"/>
      <c r="G66" s="179"/>
      <c r="H66" s="179"/>
      <c r="I66" s="179"/>
      <c r="J66" s="180" t="str">
        <f t="shared" si="0"/>
        <v/>
      </c>
      <c r="K66" s="179"/>
      <c r="L66" s="184"/>
      <c r="M66" s="183"/>
      <c r="N66" s="175"/>
    </row>
    <row r="67" spans="2:14" x14ac:dyDescent="0.35">
      <c r="B67" s="177" t="str">
        <f>IF(Lançamentos!$B62="","",Lançamentos!$B62)</f>
        <v/>
      </c>
      <c r="C67" s="178" t="str">
        <f>IF($B67="","",IFERROR(INDEX(Lançamentos!$J$3:$J$1001,MATCH($B67,Lançamentos!$B$3:$B$1001,0)),""))</f>
        <v/>
      </c>
      <c r="D67" s="415" t="str">
        <f>IF($B67="","",IFERROR(INDEX('E2 — Triagem'!$D$8:$D$507,MATCH($B67,'E2 — Triagem'!$B$8:$B$507,0)),""))</f>
        <v/>
      </c>
      <c r="E67" s="179"/>
      <c r="F67" s="179"/>
      <c r="G67" s="179"/>
      <c r="H67" s="179"/>
      <c r="I67" s="179"/>
      <c r="J67" s="180" t="str">
        <f t="shared" si="0"/>
        <v/>
      </c>
      <c r="K67" s="179"/>
      <c r="L67" s="184"/>
      <c r="M67" s="183"/>
      <c r="N67" s="175"/>
    </row>
    <row r="68" spans="2:14" x14ac:dyDescent="0.35">
      <c r="B68" s="177" t="str">
        <f>IF(Lançamentos!$B63="","",Lançamentos!$B63)</f>
        <v/>
      </c>
      <c r="C68" s="178" t="str">
        <f>IF($B68="","",IFERROR(INDEX(Lançamentos!$J$3:$J$1001,MATCH($B68,Lançamentos!$B$3:$B$1001,0)),""))</f>
        <v/>
      </c>
      <c r="D68" s="415" t="str">
        <f>IF($B68="","",IFERROR(INDEX('E2 — Triagem'!$D$8:$D$507,MATCH($B68,'E2 — Triagem'!$B$8:$B$507,0)),""))</f>
        <v/>
      </c>
      <c r="E68" s="179"/>
      <c r="F68" s="179"/>
      <c r="G68" s="179"/>
      <c r="H68" s="179"/>
      <c r="I68" s="179"/>
      <c r="J68" s="180" t="str">
        <f t="shared" si="0"/>
        <v/>
      </c>
      <c r="K68" s="179"/>
      <c r="L68" s="184"/>
      <c r="M68" s="183"/>
      <c r="N68" s="175"/>
    </row>
    <row r="69" spans="2:14" x14ac:dyDescent="0.35">
      <c r="B69" s="177" t="str">
        <f>IF(Lançamentos!$B64="","",Lançamentos!$B64)</f>
        <v/>
      </c>
      <c r="C69" s="178" t="str">
        <f>IF($B69="","",IFERROR(INDEX(Lançamentos!$J$3:$J$1001,MATCH($B69,Lançamentos!$B$3:$B$1001,0)),""))</f>
        <v/>
      </c>
      <c r="D69" s="415" t="str">
        <f>IF($B69="","",IFERROR(INDEX('E2 — Triagem'!$D$8:$D$507,MATCH($B69,'E2 — Triagem'!$B$8:$B$507,0)),""))</f>
        <v/>
      </c>
      <c r="E69" s="179"/>
      <c r="F69" s="179"/>
      <c r="G69" s="179"/>
      <c r="H69" s="179"/>
      <c r="I69" s="179"/>
      <c r="J69" s="180" t="str">
        <f t="shared" si="0"/>
        <v/>
      </c>
      <c r="K69" s="179"/>
      <c r="L69" s="184"/>
      <c r="M69" s="183"/>
      <c r="N69" s="175"/>
    </row>
    <row r="70" spans="2:14" x14ac:dyDescent="0.35">
      <c r="B70" s="177" t="str">
        <f>IF(Lançamentos!$B65="","",Lançamentos!$B65)</f>
        <v/>
      </c>
      <c r="C70" s="178" t="str">
        <f>IF($B70="","",IFERROR(INDEX(Lançamentos!$J$3:$J$1001,MATCH($B70,Lançamentos!$B$3:$B$1001,0)),""))</f>
        <v/>
      </c>
      <c r="D70" s="415" t="str">
        <f>IF($B70="","",IFERROR(INDEX('E2 — Triagem'!$D$8:$D$507,MATCH($B70,'E2 — Triagem'!$B$8:$B$507,0)),""))</f>
        <v/>
      </c>
      <c r="E70" s="179"/>
      <c r="F70" s="179"/>
      <c r="G70" s="179"/>
      <c r="H70" s="179"/>
      <c r="I70" s="179"/>
      <c r="J70" s="180" t="str">
        <f t="shared" si="0"/>
        <v/>
      </c>
      <c r="K70" s="179"/>
      <c r="L70" s="184"/>
      <c r="M70" s="183"/>
      <c r="N70" s="175"/>
    </row>
    <row r="71" spans="2:14" x14ac:dyDescent="0.35">
      <c r="B71" s="177" t="str">
        <f>IF(Lançamentos!$B66="","",Lançamentos!$B66)</f>
        <v/>
      </c>
      <c r="C71" s="178" t="str">
        <f>IF($B71="","",IFERROR(INDEX(Lançamentos!$J$3:$J$1001,MATCH($B71,Lançamentos!$B$3:$B$1001,0)),""))</f>
        <v/>
      </c>
      <c r="D71" s="415" t="str">
        <f>IF($B71="","",IFERROR(INDEX('E2 — Triagem'!$D$8:$D$507,MATCH($B71,'E2 — Triagem'!$B$8:$B$507,0)),""))</f>
        <v/>
      </c>
      <c r="E71" s="179"/>
      <c r="F71" s="179"/>
      <c r="G71" s="179"/>
      <c r="H71" s="179"/>
      <c r="I71" s="179"/>
      <c r="J71" s="180" t="str">
        <f t="shared" si="0"/>
        <v/>
      </c>
      <c r="K71" s="179"/>
      <c r="L71" s="184"/>
      <c r="M71" s="183"/>
      <c r="N71" s="175"/>
    </row>
    <row r="72" spans="2:14" x14ac:dyDescent="0.35">
      <c r="B72" s="177" t="str">
        <f>IF(Lançamentos!$B67="","",Lançamentos!$B67)</f>
        <v/>
      </c>
      <c r="C72" s="178" t="str">
        <f>IF($B72="","",IFERROR(INDEX(Lançamentos!$J$3:$J$1001,MATCH($B72,Lançamentos!$B$3:$B$1001,0)),""))</f>
        <v/>
      </c>
      <c r="D72" s="415" t="str">
        <f>IF($B72="","",IFERROR(INDEX('E2 — Triagem'!$D$8:$D$507,MATCH($B72,'E2 — Triagem'!$B$8:$B$507,0)),""))</f>
        <v/>
      </c>
      <c r="E72" s="179"/>
      <c r="F72" s="179"/>
      <c r="G72" s="179"/>
      <c r="H72" s="179"/>
      <c r="I72" s="179"/>
      <c r="J72" s="180" t="str">
        <f t="shared" ref="J72:J135" si="1">IF(B72="","",IF(COUNTIF(E72:I72,"N/A")=5,0,IF(COUNTIF(E72:I72,"✔ Concluído")=5,1,MIN(99%,COUNTIF(E72:I72,"✔ Concluído")/(5-COUNTIF(E72:I72,"N/A"))))))</f>
        <v/>
      </c>
      <c r="K72" s="179"/>
      <c r="L72" s="184"/>
      <c r="M72" s="183"/>
      <c r="N72" s="175"/>
    </row>
    <row r="73" spans="2:14" x14ac:dyDescent="0.35">
      <c r="B73" s="177" t="str">
        <f>IF(Lançamentos!$B68="","",Lançamentos!$B68)</f>
        <v/>
      </c>
      <c r="C73" s="178" t="str">
        <f>IF($B73="","",IFERROR(INDEX(Lançamentos!$J$3:$J$1001,MATCH($B73,Lançamentos!$B$3:$B$1001,0)),""))</f>
        <v/>
      </c>
      <c r="D73" s="415" t="str">
        <f>IF($B73="","",IFERROR(INDEX('E2 — Triagem'!$D$8:$D$507,MATCH($B73,'E2 — Triagem'!$B$8:$B$507,0)),""))</f>
        <v/>
      </c>
      <c r="E73" s="179"/>
      <c r="F73" s="179"/>
      <c r="G73" s="179"/>
      <c r="H73" s="179"/>
      <c r="I73" s="179"/>
      <c r="J73" s="180" t="str">
        <f t="shared" si="1"/>
        <v/>
      </c>
      <c r="K73" s="179"/>
      <c r="L73" s="184"/>
      <c r="M73" s="183"/>
      <c r="N73" s="175"/>
    </row>
    <row r="74" spans="2:14" x14ac:dyDescent="0.35">
      <c r="B74" s="177" t="str">
        <f>IF(Lançamentos!$B69="","",Lançamentos!$B69)</f>
        <v/>
      </c>
      <c r="C74" s="178" t="str">
        <f>IF($B74="","",IFERROR(INDEX(Lançamentos!$J$3:$J$1001,MATCH($B74,Lançamentos!$B$3:$B$1001,0)),""))</f>
        <v/>
      </c>
      <c r="D74" s="415" t="str">
        <f>IF($B74="","",IFERROR(INDEX('E2 — Triagem'!$D$8:$D$507,MATCH($B74,'E2 — Triagem'!$B$8:$B$507,0)),""))</f>
        <v/>
      </c>
      <c r="E74" s="179"/>
      <c r="F74" s="179"/>
      <c r="G74" s="179"/>
      <c r="H74" s="179"/>
      <c r="I74" s="179"/>
      <c r="J74" s="180" t="str">
        <f t="shared" si="1"/>
        <v/>
      </c>
      <c r="K74" s="179"/>
      <c r="L74" s="184"/>
      <c r="M74" s="183"/>
      <c r="N74" s="175"/>
    </row>
    <row r="75" spans="2:14" x14ac:dyDescent="0.35">
      <c r="B75" s="177" t="str">
        <f>IF(Lançamentos!$B70="","",Lançamentos!$B70)</f>
        <v/>
      </c>
      <c r="C75" s="178" t="str">
        <f>IF($B75="","",IFERROR(INDEX(Lançamentos!$J$3:$J$1001,MATCH($B75,Lançamentos!$B$3:$B$1001,0)),""))</f>
        <v/>
      </c>
      <c r="D75" s="415" t="str">
        <f>IF($B75="","",IFERROR(INDEX('E2 — Triagem'!$D$8:$D$507,MATCH($B75,'E2 — Triagem'!$B$8:$B$507,0)),""))</f>
        <v/>
      </c>
      <c r="E75" s="179"/>
      <c r="F75" s="179"/>
      <c r="G75" s="179"/>
      <c r="H75" s="179"/>
      <c r="I75" s="179"/>
      <c r="J75" s="180" t="str">
        <f t="shared" si="1"/>
        <v/>
      </c>
      <c r="K75" s="179"/>
      <c r="L75" s="184"/>
      <c r="M75" s="183"/>
      <c r="N75" s="175"/>
    </row>
    <row r="76" spans="2:14" x14ac:dyDescent="0.35">
      <c r="B76" s="177" t="str">
        <f>IF(Lançamentos!$B71="","",Lançamentos!$B71)</f>
        <v/>
      </c>
      <c r="C76" s="178" t="str">
        <f>IF($B76="","",IFERROR(INDEX(Lançamentos!$J$3:$J$1001,MATCH($B76,Lançamentos!$B$3:$B$1001,0)),""))</f>
        <v/>
      </c>
      <c r="D76" s="415" t="str">
        <f>IF($B76="","",IFERROR(INDEX('E2 — Triagem'!$D$8:$D$507,MATCH($B76,'E2 — Triagem'!$B$8:$B$507,0)),""))</f>
        <v/>
      </c>
      <c r="E76" s="179"/>
      <c r="F76" s="179"/>
      <c r="G76" s="179"/>
      <c r="H76" s="179"/>
      <c r="I76" s="179"/>
      <c r="J76" s="180" t="str">
        <f t="shared" si="1"/>
        <v/>
      </c>
      <c r="K76" s="179"/>
      <c r="L76" s="184"/>
      <c r="M76" s="183"/>
      <c r="N76" s="175"/>
    </row>
    <row r="77" spans="2:14" x14ac:dyDescent="0.35">
      <c r="B77" s="177" t="str">
        <f>IF(Lançamentos!$B72="","",Lançamentos!$B72)</f>
        <v/>
      </c>
      <c r="C77" s="178" t="str">
        <f>IF($B77="","",IFERROR(INDEX(Lançamentos!$J$3:$J$1001,MATCH($B77,Lançamentos!$B$3:$B$1001,0)),""))</f>
        <v/>
      </c>
      <c r="D77" s="415" t="str">
        <f>IF($B77="","",IFERROR(INDEX('E2 — Triagem'!$D$8:$D$507,MATCH($B77,'E2 — Triagem'!$B$8:$B$507,0)),""))</f>
        <v/>
      </c>
      <c r="E77" s="179"/>
      <c r="F77" s="179"/>
      <c r="G77" s="179"/>
      <c r="H77" s="179"/>
      <c r="I77" s="179"/>
      <c r="J77" s="180" t="str">
        <f t="shared" si="1"/>
        <v/>
      </c>
      <c r="K77" s="179"/>
      <c r="L77" s="184"/>
      <c r="M77" s="183"/>
      <c r="N77" s="175"/>
    </row>
    <row r="78" spans="2:14" x14ac:dyDescent="0.35">
      <c r="B78" s="177" t="str">
        <f>IF(Lançamentos!$B73="","",Lançamentos!$B73)</f>
        <v/>
      </c>
      <c r="C78" s="178" t="str">
        <f>IF($B78="","",IFERROR(INDEX(Lançamentos!$J$3:$J$1001,MATCH($B78,Lançamentos!$B$3:$B$1001,0)),""))</f>
        <v/>
      </c>
      <c r="D78" s="415" t="str">
        <f>IF($B78="","",IFERROR(INDEX('E2 — Triagem'!$D$8:$D$507,MATCH($B78,'E2 — Triagem'!$B$8:$B$507,0)),""))</f>
        <v/>
      </c>
      <c r="E78" s="179"/>
      <c r="F78" s="179"/>
      <c r="G78" s="179"/>
      <c r="H78" s="179"/>
      <c r="I78" s="179"/>
      <c r="J78" s="180" t="str">
        <f t="shared" si="1"/>
        <v/>
      </c>
      <c r="K78" s="179"/>
      <c r="L78" s="184"/>
      <c r="M78" s="183"/>
      <c r="N78" s="175"/>
    </row>
    <row r="79" spans="2:14" x14ac:dyDescent="0.35">
      <c r="B79" s="177" t="str">
        <f>IF(Lançamentos!$B74="","",Lançamentos!$B74)</f>
        <v/>
      </c>
      <c r="C79" s="178" t="str">
        <f>IF($B79="","",IFERROR(INDEX(Lançamentos!$J$3:$J$1001,MATCH($B79,Lançamentos!$B$3:$B$1001,0)),""))</f>
        <v/>
      </c>
      <c r="D79" s="415" t="str">
        <f>IF($B79="","",IFERROR(INDEX('E2 — Triagem'!$D$8:$D$507,MATCH($B79,'E2 — Triagem'!$B$8:$B$507,0)),""))</f>
        <v/>
      </c>
      <c r="E79" s="179"/>
      <c r="F79" s="179"/>
      <c r="G79" s="179"/>
      <c r="H79" s="179"/>
      <c r="I79" s="179"/>
      <c r="J79" s="180" t="str">
        <f t="shared" si="1"/>
        <v/>
      </c>
      <c r="K79" s="179"/>
      <c r="L79" s="184"/>
      <c r="M79" s="183"/>
      <c r="N79" s="175"/>
    </row>
    <row r="80" spans="2:14" x14ac:dyDescent="0.35">
      <c r="B80" s="177" t="str">
        <f>IF(Lançamentos!$B75="","",Lançamentos!$B75)</f>
        <v/>
      </c>
      <c r="C80" s="178" t="str">
        <f>IF($B80="","",IFERROR(INDEX(Lançamentos!$J$3:$J$1001,MATCH($B80,Lançamentos!$B$3:$B$1001,0)),""))</f>
        <v/>
      </c>
      <c r="D80" s="415" t="str">
        <f>IF($B80="","",IFERROR(INDEX('E2 — Triagem'!$D$8:$D$507,MATCH($B80,'E2 — Triagem'!$B$8:$B$507,0)),""))</f>
        <v/>
      </c>
      <c r="E80" s="179"/>
      <c r="F80" s="179"/>
      <c r="G80" s="179"/>
      <c r="H80" s="179"/>
      <c r="I80" s="179"/>
      <c r="J80" s="180" t="str">
        <f t="shared" si="1"/>
        <v/>
      </c>
      <c r="K80" s="179"/>
      <c r="L80" s="184"/>
      <c r="M80" s="183"/>
      <c r="N80" s="175"/>
    </row>
    <row r="81" spans="2:14" x14ac:dyDescent="0.35">
      <c r="B81" s="177" t="str">
        <f>IF(Lançamentos!$B76="","",Lançamentos!$B76)</f>
        <v/>
      </c>
      <c r="C81" s="178" t="str">
        <f>IF($B81="","",IFERROR(INDEX(Lançamentos!$J$3:$J$1001,MATCH($B81,Lançamentos!$B$3:$B$1001,0)),""))</f>
        <v/>
      </c>
      <c r="D81" s="415" t="str">
        <f>IF($B81="","",IFERROR(INDEX('E2 — Triagem'!$D$8:$D$507,MATCH($B81,'E2 — Triagem'!$B$8:$B$507,0)),""))</f>
        <v/>
      </c>
      <c r="E81" s="179"/>
      <c r="F81" s="179"/>
      <c r="G81" s="179"/>
      <c r="H81" s="179"/>
      <c r="I81" s="179"/>
      <c r="J81" s="180" t="str">
        <f t="shared" si="1"/>
        <v/>
      </c>
      <c r="K81" s="179"/>
      <c r="L81" s="184"/>
      <c r="M81" s="183"/>
      <c r="N81" s="175"/>
    </row>
    <row r="82" spans="2:14" x14ac:dyDescent="0.35">
      <c r="B82" s="177" t="str">
        <f>IF(Lançamentos!$B77="","",Lançamentos!$B77)</f>
        <v/>
      </c>
      <c r="C82" s="178" t="str">
        <f>IF($B82="","",IFERROR(INDEX(Lançamentos!$J$3:$J$1001,MATCH($B82,Lançamentos!$B$3:$B$1001,0)),""))</f>
        <v/>
      </c>
      <c r="D82" s="415" t="str">
        <f>IF($B82="","",IFERROR(INDEX('E2 — Triagem'!$D$8:$D$507,MATCH($B82,'E2 — Triagem'!$B$8:$B$507,0)),""))</f>
        <v/>
      </c>
      <c r="E82" s="179"/>
      <c r="F82" s="179"/>
      <c r="G82" s="179"/>
      <c r="H82" s="179"/>
      <c r="I82" s="179"/>
      <c r="J82" s="180" t="str">
        <f t="shared" si="1"/>
        <v/>
      </c>
      <c r="K82" s="179"/>
      <c r="L82" s="184"/>
      <c r="M82" s="183"/>
      <c r="N82" s="175"/>
    </row>
    <row r="83" spans="2:14" x14ac:dyDescent="0.35">
      <c r="B83" s="177" t="str">
        <f>IF(Lançamentos!$B78="","",Lançamentos!$B78)</f>
        <v/>
      </c>
      <c r="C83" s="178" t="str">
        <f>IF($B83="","",IFERROR(INDEX(Lançamentos!$J$3:$J$1001,MATCH($B83,Lançamentos!$B$3:$B$1001,0)),""))</f>
        <v/>
      </c>
      <c r="D83" s="415" t="str">
        <f>IF($B83="","",IFERROR(INDEX('E2 — Triagem'!$D$8:$D$507,MATCH($B83,'E2 — Triagem'!$B$8:$B$507,0)),""))</f>
        <v/>
      </c>
      <c r="E83" s="179"/>
      <c r="F83" s="179"/>
      <c r="G83" s="179"/>
      <c r="H83" s="179"/>
      <c r="I83" s="179"/>
      <c r="J83" s="180" t="str">
        <f t="shared" si="1"/>
        <v/>
      </c>
      <c r="K83" s="179"/>
      <c r="L83" s="184"/>
      <c r="M83" s="183"/>
      <c r="N83" s="175"/>
    </row>
    <row r="84" spans="2:14" x14ac:dyDescent="0.35">
      <c r="B84" s="177" t="str">
        <f>IF(Lançamentos!$B79="","",Lançamentos!$B79)</f>
        <v/>
      </c>
      <c r="C84" s="178" t="str">
        <f>IF($B84="","",IFERROR(INDEX(Lançamentos!$J$3:$J$1001,MATCH($B84,Lançamentos!$B$3:$B$1001,0)),""))</f>
        <v/>
      </c>
      <c r="D84" s="415" t="str">
        <f>IF($B84="","",IFERROR(INDEX('E2 — Triagem'!$D$8:$D$507,MATCH($B84,'E2 — Triagem'!$B$8:$B$507,0)),""))</f>
        <v/>
      </c>
      <c r="E84" s="179"/>
      <c r="F84" s="179"/>
      <c r="G84" s="179"/>
      <c r="H84" s="179"/>
      <c r="I84" s="179"/>
      <c r="J84" s="180" t="str">
        <f t="shared" si="1"/>
        <v/>
      </c>
      <c r="K84" s="179"/>
      <c r="L84" s="184"/>
      <c r="M84" s="183"/>
      <c r="N84" s="175"/>
    </row>
    <row r="85" spans="2:14" x14ac:dyDescent="0.35">
      <c r="B85" s="177" t="str">
        <f>IF(Lançamentos!$B80="","",Lançamentos!$B80)</f>
        <v/>
      </c>
      <c r="C85" s="178" t="str">
        <f>IF($B85="","",IFERROR(INDEX(Lançamentos!$J$3:$J$1001,MATCH($B85,Lançamentos!$B$3:$B$1001,0)),""))</f>
        <v/>
      </c>
      <c r="D85" s="415" t="str">
        <f>IF($B85="","",IFERROR(INDEX('E2 — Triagem'!$D$8:$D$507,MATCH($B85,'E2 — Triagem'!$B$8:$B$507,0)),""))</f>
        <v/>
      </c>
      <c r="E85" s="179"/>
      <c r="F85" s="179"/>
      <c r="G85" s="179"/>
      <c r="H85" s="179"/>
      <c r="I85" s="179"/>
      <c r="J85" s="180" t="str">
        <f t="shared" si="1"/>
        <v/>
      </c>
      <c r="K85" s="179"/>
      <c r="L85" s="184"/>
      <c r="M85" s="183"/>
      <c r="N85" s="175"/>
    </row>
    <row r="86" spans="2:14" x14ac:dyDescent="0.35">
      <c r="B86" s="177" t="str">
        <f>IF(Lançamentos!$B81="","",Lançamentos!$B81)</f>
        <v/>
      </c>
      <c r="C86" s="178" t="str">
        <f>IF($B86="","",IFERROR(INDEX(Lançamentos!$J$3:$J$1001,MATCH($B86,Lançamentos!$B$3:$B$1001,0)),""))</f>
        <v/>
      </c>
      <c r="D86" s="415" t="str">
        <f>IF($B86="","",IFERROR(INDEX('E2 — Triagem'!$D$8:$D$507,MATCH($B86,'E2 — Triagem'!$B$8:$B$507,0)),""))</f>
        <v/>
      </c>
      <c r="E86" s="179"/>
      <c r="F86" s="179"/>
      <c r="G86" s="179"/>
      <c r="H86" s="179"/>
      <c r="I86" s="179"/>
      <c r="J86" s="180" t="str">
        <f t="shared" si="1"/>
        <v/>
      </c>
      <c r="K86" s="179"/>
      <c r="L86" s="184"/>
      <c r="M86" s="183"/>
      <c r="N86" s="175"/>
    </row>
    <row r="87" spans="2:14" x14ac:dyDescent="0.35">
      <c r="B87" s="177" t="str">
        <f>IF(Lançamentos!$B82="","",Lançamentos!$B82)</f>
        <v/>
      </c>
      <c r="C87" s="178" t="str">
        <f>IF($B87="","",IFERROR(INDEX(Lançamentos!$J$3:$J$1001,MATCH($B87,Lançamentos!$B$3:$B$1001,0)),""))</f>
        <v/>
      </c>
      <c r="D87" s="415" t="str">
        <f>IF($B87="","",IFERROR(INDEX('E2 — Triagem'!$D$8:$D$507,MATCH($B87,'E2 — Triagem'!$B$8:$B$507,0)),""))</f>
        <v/>
      </c>
      <c r="E87" s="179"/>
      <c r="F87" s="179"/>
      <c r="G87" s="179"/>
      <c r="H87" s="179"/>
      <c r="I87" s="179"/>
      <c r="J87" s="180" t="str">
        <f t="shared" si="1"/>
        <v/>
      </c>
      <c r="K87" s="179"/>
      <c r="L87" s="184"/>
      <c r="M87" s="183"/>
      <c r="N87" s="175"/>
    </row>
    <row r="88" spans="2:14" x14ac:dyDescent="0.35">
      <c r="B88" s="177" t="str">
        <f>IF(Lançamentos!$B83="","",Lançamentos!$B83)</f>
        <v/>
      </c>
      <c r="C88" s="178" t="str">
        <f>IF($B88="","",IFERROR(INDEX(Lançamentos!$J$3:$J$1001,MATCH($B88,Lançamentos!$B$3:$B$1001,0)),""))</f>
        <v/>
      </c>
      <c r="D88" s="415" t="str">
        <f>IF($B88="","",IFERROR(INDEX('E2 — Triagem'!$D$8:$D$507,MATCH($B88,'E2 — Triagem'!$B$8:$B$507,0)),""))</f>
        <v/>
      </c>
      <c r="E88" s="179"/>
      <c r="F88" s="179"/>
      <c r="G88" s="179"/>
      <c r="H88" s="179"/>
      <c r="I88" s="179"/>
      <c r="J88" s="180" t="str">
        <f t="shared" si="1"/>
        <v/>
      </c>
      <c r="K88" s="179"/>
      <c r="L88" s="184"/>
      <c r="M88" s="183"/>
      <c r="N88" s="175"/>
    </row>
    <row r="89" spans="2:14" x14ac:dyDescent="0.35">
      <c r="B89" s="177" t="str">
        <f>IF(Lançamentos!$B84="","",Lançamentos!$B84)</f>
        <v/>
      </c>
      <c r="C89" s="178" t="str">
        <f>IF($B89="","",IFERROR(INDEX(Lançamentos!$J$3:$J$1001,MATCH($B89,Lançamentos!$B$3:$B$1001,0)),""))</f>
        <v/>
      </c>
      <c r="D89" s="415" t="str">
        <f>IF($B89="","",IFERROR(INDEX('E2 — Triagem'!$D$8:$D$507,MATCH($B89,'E2 — Triagem'!$B$8:$B$507,0)),""))</f>
        <v/>
      </c>
      <c r="E89" s="179"/>
      <c r="F89" s="179"/>
      <c r="G89" s="179"/>
      <c r="H89" s="179"/>
      <c r="I89" s="179"/>
      <c r="J89" s="180" t="str">
        <f t="shared" si="1"/>
        <v/>
      </c>
      <c r="K89" s="179"/>
      <c r="L89" s="184"/>
      <c r="M89" s="183"/>
      <c r="N89" s="175"/>
    </row>
    <row r="90" spans="2:14" x14ac:dyDescent="0.35">
      <c r="B90" s="177" t="str">
        <f>IF(Lançamentos!$B85="","",Lançamentos!$B85)</f>
        <v/>
      </c>
      <c r="C90" s="178" t="str">
        <f>IF($B90="","",IFERROR(INDEX(Lançamentos!$J$3:$J$1001,MATCH($B90,Lançamentos!$B$3:$B$1001,0)),""))</f>
        <v/>
      </c>
      <c r="D90" s="415" t="str">
        <f>IF($B90="","",IFERROR(INDEX('E2 — Triagem'!$D$8:$D$507,MATCH($B90,'E2 — Triagem'!$B$8:$B$507,0)),""))</f>
        <v/>
      </c>
      <c r="E90" s="179"/>
      <c r="F90" s="179"/>
      <c r="G90" s="179"/>
      <c r="H90" s="179"/>
      <c r="I90" s="179"/>
      <c r="J90" s="180" t="str">
        <f t="shared" si="1"/>
        <v/>
      </c>
      <c r="K90" s="179"/>
      <c r="L90" s="184"/>
      <c r="M90" s="183"/>
      <c r="N90" s="175"/>
    </row>
    <row r="91" spans="2:14" x14ac:dyDescent="0.35">
      <c r="B91" s="177" t="str">
        <f>IF(Lançamentos!$B86="","",Lançamentos!$B86)</f>
        <v/>
      </c>
      <c r="C91" s="178" t="str">
        <f>IF($B91="","",IFERROR(INDEX(Lançamentos!$J$3:$J$1001,MATCH($B91,Lançamentos!$B$3:$B$1001,0)),""))</f>
        <v/>
      </c>
      <c r="D91" s="415" t="str">
        <f>IF($B91="","",IFERROR(INDEX('E2 — Triagem'!$D$8:$D$507,MATCH($B91,'E2 — Triagem'!$B$8:$B$507,0)),""))</f>
        <v/>
      </c>
      <c r="E91" s="179"/>
      <c r="F91" s="179"/>
      <c r="G91" s="179"/>
      <c r="H91" s="179"/>
      <c r="I91" s="179"/>
      <c r="J91" s="180" t="str">
        <f t="shared" si="1"/>
        <v/>
      </c>
      <c r="K91" s="179"/>
      <c r="L91" s="184"/>
      <c r="M91" s="183"/>
      <c r="N91" s="175"/>
    </row>
    <row r="92" spans="2:14" x14ac:dyDescent="0.35">
      <c r="B92" s="177" t="str">
        <f>IF(Lançamentos!$B87="","",Lançamentos!$B87)</f>
        <v/>
      </c>
      <c r="C92" s="178" t="str">
        <f>IF($B92="","",IFERROR(INDEX(Lançamentos!$J$3:$J$1001,MATCH($B92,Lançamentos!$B$3:$B$1001,0)),""))</f>
        <v/>
      </c>
      <c r="D92" s="415" t="str">
        <f>IF($B92="","",IFERROR(INDEX('E2 — Triagem'!$D$8:$D$507,MATCH($B92,'E2 — Triagem'!$B$8:$B$507,0)),""))</f>
        <v/>
      </c>
      <c r="E92" s="179"/>
      <c r="F92" s="179"/>
      <c r="G92" s="179"/>
      <c r="H92" s="179"/>
      <c r="I92" s="179"/>
      <c r="J92" s="180" t="str">
        <f t="shared" si="1"/>
        <v/>
      </c>
      <c r="K92" s="179"/>
      <c r="L92" s="184"/>
      <c r="M92" s="183"/>
      <c r="N92" s="175"/>
    </row>
    <row r="93" spans="2:14" x14ac:dyDescent="0.35">
      <c r="B93" s="177" t="str">
        <f>IF(Lançamentos!$B88="","",Lançamentos!$B88)</f>
        <v/>
      </c>
      <c r="C93" s="178" t="str">
        <f>IF($B93="","",IFERROR(INDEX(Lançamentos!$J$3:$J$1001,MATCH($B93,Lançamentos!$B$3:$B$1001,0)),""))</f>
        <v/>
      </c>
      <c r="D93" s="415" t="str">
        <f>IF($B93="","",IFERROR(INDEX('E2 — Triagem'!$D$8:$D$507,MATCH($B93,'E2 — Triagem'!$B$8:$B$507,0)),""))</f>
        <v/>
      </c>
      <c r="E93" s="179"/>
      <c r="F93" s="179"/>
      <c r="G93" s="179"/>
      <c r="H93" s="179"/>
      <c r="I93" s="179"/>
      <c r="J93" s="180" t="str">
        <f t="shared" si="1"/>
        <v/>
      </c>
      <c r="K93" s="179"/>
      <c r="L93" s="184"/>
      <c r="M93" s="183"/>
      <c r="N93" s="175"/>
    </row>
    <row r="94" spans="2:14" x14ac:dyDescent="0.35">
      <c r="B94" s="177" t="str">
        <f>IF(Lançamentos!$B89="","",Lançamentos!$B89)</f>
        <v/>
      </c>
      <c r="C94" s="178" t="str">
        <f>IF($B94="","",IFERROR(INDEX(Lançamentos!$J$3:$J$1001,MATCH($B94,Lançamentos!$B$3:$B$1001,0)),""))</f>
        <v/>
      </c>
      <c r="D94" s="415" t="str">
        <f>IF($B94="","",IFERROR(INDEX('E2 — Triagem'!$D$8:$D$507,MATCH($B94,'E2 — Triagem'!$B$8:$B$507,0)),""))</f>
        <v/>
      </c>
      <c r="E94" s="179"/>
      <c r="F94" s="179"/>
      <c r="G94" s="179"/>
      <c r="H94" s="179"/>
      <c r="I94" s="179"/>
      <c r="J94" s="180" t="str">
        <f t="shared" si="1"/>
        <v/>
      </c>
      <c r="K94" s="179"/>
      <c r="L94" s="184"/>
      <c r="M94" s="183"/>
      <c r="N94" s="175"/>
    </row>
    <row r="95" spans="2:14" x14ac:dyDescent="0.35">
      <c r="B95" s="177" t="str">
        <f>IF(Lançamentos!$B90="","",Lançamentos!$B90)</f>
        <v/>
      </c>
      <c r="C95" s="178" t="str">
        <f>IF($B95="","",IFERROR(INDEX(Lançamentos!$J$3:$J$1001,MATCH($B95,Lançamentos!$B$3:$B$1001,0)),""))</f>
        <v/>
      </c>
      <c r="D95" s="415" t="str">
        <f>IF($B95="","",IFERROR(INDEX('E2 — Triagem'!$D$8:$D$507,MATCH($B95,'E2 — Triagem'!$B$8:$B$507,0)),""))</f>
        <v/>
      </c>
      <c r="E95" s="179"/>
      <c r="F95" s="179"/>
      <c r="G95" s="179"/>
      <c r="H95" s="179"/>
      <c r="I95" s="179"/>
      <c r="J95" s="180" t="str">
        <f t="shared" si="1"/>
        <v/>
      </c>
      <c r="K95" s="179"/>
      <c r="L95" s="184"/>
      <c r="M95" s="183"/>
      <c r="N95" s="175"/>
    </row>
    <row r="96" spans="2:14" x14ac:dyDescent="0.35">
      <c r="B96" s="177" t="str">
        <f>IF(Lançamentos!$B91="","",Lançamentos!$B91)</f>
        <v/>
      </c>
      <c r="C96" s="178" t="str">
        <f>IF($B96="","",IFERROR(INDEX(Lançamentos!$J$3:$J$1001,MATCH($B96,Lançamentos!$B$3:$B$1001,0)),""))</f>
        <v/>
      </c>
      <c r="D96" s="415" t="str">
        <f>IF($B96="","",IFERROR(INDEX('E2 — Triagem'!$D$8:$D$507,MATCH($B96,'E2 — Triagem'!$B$8:$B$507,0)),""))</f>
        <v/>
      </c>
      <c r="E96" s="179"/>
      <c r="F96" s="179"/>
      <c r="G96" s="179"/>
      <c r="H96" s="179"/>
      <c r="I96" s="179"/>
      <c r="J96" s="180" t="str">
        <f t="shared" si="1"/>
        <v/>
      </c>
      <c r="K96" s="179"/>
      <c r="L96" s="184"/>
      <c r="M96" s="183"/>
      <c r="N96" s="175"/>
    </row>
    <row r="97" spans="2:14" x14ac:dyDescent="0.35">
      <c r="B97" s="177" t="str">
        <f>IF(Lançamentos!$B92="","",Lançamentos!$B92)</f>
        <v/>
      </c>
      <c r="C97" s="178" t="str">
        <f>IF($B97="","",IFERROR(INDEX(Lançamentos!$J$3:$J$1001,MATCH($B97,Lançamentos!$B$3:$B$1001,0)),""))</f>
        <v/>
      </c>
      <c r="D97" s="415" t="str">
        <f>IF($B97="","",IFERROR(INDEX('E2 — Triagem'!$D$8:$D$507,MATCH($B97,'E2 — Triagem'!$B$8:$B$507,0)),""))</f>
        <v/>
      </c>
      <c r="E97" s="179"/>
      <c r="F97" s="179"/>
      <c r="G97" s="179"/>
      <c r="H97" s="179"/>
      <c r="I97" s="179"/>
      <c r="J97" s="180" t="str">
        <f t="shared" si="1"/>
        <v/>
      </c>
      <c r="K97" s="179"/>
      <c r="L97" s="184"/>
      <c r="M97" s="183"/>
      <c r="N97" s="175"/>
    </row>
    <row r="98" spans="2:14" x14ac:dyDescent="0.35">
      <c r="B98" s="177" t="str">
        <f>IF(Lançamentos!$B93="","",Lançamentos!$B93)</f>
        <v/>
      </c>
      <c r="C98" s="178" t="str">
        <f>IF($B98="","",IFERROR(INDEX(Lançamentos!$J$3:$J$1001,MATCH($B98,Lançamentos!$B$3:$B$1001,0)),""))</f>
        <v/>
      </c>
      <c r="D98" s="415" t="str">
        <f>IF($B98="","",IFERROR(INDEX('E2 — Triagem'!$D$8:$D$507,MATCH($B98,'E2 — Triagem'!$B$8:$B$507,0)),""))</f>
        <v/>
      </c>
      <c r="E98" s="179"/>
      <c r="F98" s="179"/>
      <c r="G98" s="179"/>
      <c r="H98" s="179"/>
      <c r="I98" s="179"/>
      <c r="J98" s="180" t="str">
        <f t="shared" si="1"/>
        <v/>
      </c>
      <c r="K98" s="179"/>
      <c r="L98" s="184"/>
      <c r="M98" s="183"/>
      <c r="N98" s="175"/>
    </row>
    <row r="99" spans="2:14" x14ac:dyDescent="0.35">
      <c r="B99" s="177" t="str">
        <f>IF(Lançamentos!$B94="","",Lançamentos!$B94)</f>
        <v/>
      </c>
      <c r="C99" s="178" t="str">
        <f>IF($B99="","",IFERROR(INDEX(Lançamentos!$J$3:$J$1001,MATCH($B99,Lançamentos!$B$3:$B$1001,0)),""))</f>
        <v/>
      </c>
      <c r="D99" s="415" t="str">
        <f>IF($B99="","",IFERROR(INDEX('E2 — Triagem'!$D$8:$D$507,MATCH($B99,'E2 — Triagem'!$B$8:$B$507,0)),""))</f>
        <v/>
      </c>
      <c r="E99" s="179"/>
      <c r="F99" s="179"/>
      <c r="G99" s="179"/>
      <c r="H99" s="179"/>
      <c r="I99" s="179"/>
      <c r="J99" s="180" t="str">
        <f t="shared" si="1"/>
        <v/>
      </c>
      <c r="K99" s="179"/>
      <c r="L99" s="184"/>
      <c r="M99" s="183"/>
      <c r="N99" s="175"/>
    </row>
    <row r="100" spans="2:14" x14ac:dyDescent="0.35">
      <c r="B100" s="177" t="str">
        <f>IF(Lançamentos!$B95="","",Lançamentos!$B95)</f>
        <v/>
      </c>
      <c r="C100" s="178" t="str">
        <f>IF($B100="","",IFERROR(INDEX(Lançamentos!$J$3:$J$1001,MATCH($B100,Lançamentos!$B$3:$B$1001,0)),""))</f>
        <v/>
      </c>
      <c r="D100" s="415" t="str">
        <f>IF($B100="","",IFERROR(INDEX('E2 — Triagem'!$D$8:$D$507,MATCH($B100,'E2 — Triagem'!$B$8:$B$507,0)),""))</f>
        <v/>
      </c>
      <c r="E100" s="179"/>
      <c r="F100" s="179"/>
      <c r="G100" s="179"/>
      <c r="H100" s="179"/>
      <c r="I100" s="179"/>
      <c r="J100" s="180" t="str">
        <f t="shared" si="1"/>
        <v/>
      </c>
      <c r="K100" s="179"/>
      <c r="L100" s="184"/>
      <c r="M100" s="183"/>
      <c r="N100" s="175"/>
    </row>
    <row r="101" spans="2:14" x14ac:dyDescent="0.35">
      <c r="B101" s="177" t="str">
        <f>IF(Lançamentos!$B96="","",Lançamentos!$B96)</f>
        <v/>
      </c>
      <c r="C101" s="178" t="str">
        <f>IF($B101="","",IFERROR(INDEX(Lançamentos!$J$3:$J$1001,MATCH($B101,Lançamentos!$B$3:$B$1001,0)),""))</f>
        <v/>
      </c>
      <c r="D101" s="415" t="str">
        <f>IF($B101="","",IFERROR(INDEX('E2 — Triagem'!$D$8:$D$507,MATCH($B101,'E2 — Triagem'!$B$8:$B$507,0)),""))</f>
        <v/>
      </c>
      <c r="E101" s="179"/>
      <c r="F101" s="179"/>
      <c r="G101" s="179"/>
      <c r="H101" s="179"/>
      <c r="I101" s="179"/>
      <c r="J101" s="180" t="str">
        <f t="shared" si="1"/>
        <v/>
      </c>
      <c r="K101" s="179"/>
      <c r="L101" s="184"/>
      <c r="M101" s="183"/>
      <c r="N101" s="175"/>
    </row>
    <row r="102" spans="2:14" x14ac:dyDescent="0.35">
      <c r="B102" s="177" t="str">
        <f>IF(Lançamentos!$B97="","",Lançamentos!$B97)</f>
        <v/>
      </c>
      <c r="C102" s="178" t="str">
        <f>IF($B102="","",IFERROR(INDEX(Lançamentos!$J$3:$J$1001,MATCH($B102,Lançamentos!$B$3:$B$1001,0)),""))</f>
        <v/>
      </c>
      <c r="D102" s="415" t="str">
        <f>IF($B102="","",IFERROR(INDEX('E2 — Triagem'!$D$8:$D$507,MATCH($B102,'E2 — Triagem'!$B$8:$B$507,0)),""))</f>
        <v/>
      </c>
      <c r="E102" s="179"/>
      <c r="F102" s="179"/>
      <c r="G102" s="179"/>
      <c r="H102" s="179"/>
      <c r="I102" s="179"/>
      <c r="J102" s="180" t="str">
        <f t="shared" si="1"/>
        <v/>
      </c>
      <c r="K102" s="179"/>
      <c r="L102" s="184"/>
      <c r="M102" s="183"/>
      <c r="N102" s="175"/>
    </row>
    <row r="103" spans="2:14" x14ac:dyDescent="0.35">
      <c r="B103" s="177" t="str">
        <f>IF(Lançamentos!$B98="","",Lançamentos!$B98)</f>
        <v/>
      </c>
      <c r="C103" s="178" t="str">
        <f>IF($B103="","",IFERROR(INDEX(Lançamentos!$J$3:$J$1001,MATCH($B103,Lançamentos!$B$3:$B$1001,0)),""))</f>
        <v/>
      </c>
      <c r="D103" s="415" t="str">
        <f>IF($B103="","",IFERROR(INDEX('E2 — Triagem'!$D$8:$D$507,MATCH($B103,'E2 — Triagem'!$B$8:$B$507,0)),""))</f>
        <v/>
      </c>
      <c r="E103" s="179"/>
      <c r="F103" s="179"/>
      <c r="G103" s="179"/>
      <c r="H103" s="179"/>
      <c r="I103" s="179"/>
      <c r="J103" s="180" t="str">
        <f t="shared" si="1"/>
        <v/>
      </c>
      <c r="K103" s="179"/>
      <c r="L103" s="184"/>
      <c r="M103" s="183"/>
      <c r="N103" s="175"/>
    </row>
    <row r="104" spans="2:14" x14ac:dyDescent="0.35">
      <c r="B104" s="177" t="str">
        <f>IF(Lançamentos!$B99="","",Lançamentos!$B99)</f>
        <v/>
      </c>
      <c r="C104" s="178" t="str">
        <f>IF($B104="","",IFERROR(INDEX(Lançamentos!$J$3:$J$1001,MATCH($B104,Lançamentos!$B$3:$B$1001,0)),""))</f>
        <v/>
      </c>
      <c r="D104" s="415" t="str">
        <f>IF($B104="","",IFERROR(INDEX('E2 — Triagem'!$D$8:$D$507,MATCH($B104,'E2 — Triagem'!$B$8:$B$507,0)),""))</f>
        <v/>
      </c>
      <c r="E104" s="179"/>
      <c r="F104" s="179"/>
      <c r="G104" s="179"/>
      <c r="H104" s="179"/>
      <c r="I104" s="179"/>
      <c r="J104" s="180" t="str">
        <f t="shared" si="1"/>
        <v/>
      </c>
      <c r="K104" s="179"/>
      <c r="L104" s="184"/>
      <c r="M104" s="183"/>
      <c r="N104" s="175"/>
    </row>
    <row r="105" spans="2:14" x14ac:dyDescent="0.35">
      <c r="B105" s="177" t="str">
        <f>IF(Lançamentos!$B100="","",Lançamentos!$B100)</f>
        <v/>
      </c>
      <c r="C105" s="178" t="str">
        <f>IF($B105="","",IFERROR(INDEX(Lançamentos!$J$3:$J$1001,MATCH($B105,Lançamentos!$B$3:$B$1001,0)),""))</f>
        <v/>
      </c>
      <c r="D105" s="415" t="str">
        <f>IF($B105="","",IFERROR(INDEX('E2 — Triagem'!$D$8:$D$507,MATCH($B105,'E2 — Triagem'!$B$8:$B$507,0)),""))</f>
        <v/>
      </c>
      <c r="E105" s="179"/>
      <c r="F105" s="179"/>
      <c r="G105" s="179"/>
      <c r="H105" s="179"/>
      <c r="I105" s="179"/>
      <c r="J105" s="180" t="str">
        <f t="shared" si="1"/>
        <v/>
      </c>
      <c r="K105" s="179"/>
      <c r="L105" s="184"/>
      <c r="M105" s="183"/>
      <c r="N105" s="175"/>
    </row>
    <row r="106" spans="2:14" x14ac:dyDescent="0.35">
      <c r="B106" s="177" t="str">
        <f>IF(Lançamentos!$B101="","",Lançamentos!$B101)</f>
        <v/>
      </c>
      <c r="C106" s="178" t="str">
        <f>IF($B106="","",IFERROR(INDEX(Lançamentos!$J$3:$J$1001,MATCH($B106,Lançamentos!$B$3:$B$1001,0)),""))</f>
        <v/>
      </c>
      <c r="D106" s="415" t="str">
        <f>IF($B106="","",IFERROR(INDEX('E2 — Triagem'!$D$8:$D$507,MATCH($B106,'E2 — Triagem'!$B$8:$B$507,0)),""))</f>
        <v/>
      </c>
      <c r="E106" s="179"/>
      <c r="F106" s="179"/>
      <c r="G106" s="179"/>
      <c r="H106" s="179"/>
      <c r="I106" s="179"/>
      <c r="J106" s="180" t="str">
        <f t="shared" si="1"/>
        <v/>
      </c>
      <c r="K106" s="179"/>
      <c r="L106" s="184"/>
      <c r="M106" s="183"/>
      <c r="N106" s="175"/>
    </row>
    <row r="107" spans="2:14" x14ac:dyDescent="0.35">
      <c r="B107" s="177" t="str">
        <f>IF(Lançamentos!$B102="","",Lançamentos!$B102)</f>
        <v/>
      </c>
      <c r="C107" s="178" t="str">
        <f>IF($B107="","",IFERROR(INDEX(Lançamentos!$J$3:$J$1001,MATCH($B107,Lançamentos!$B$3:$B$1001,0)),""))</f>
        <v/>
      </c>
      <c r="D107" s="415" t="str">
        <f>IF($B107="","",IFERROR(INDEX('E2 — Triagem'!$D$8:$D$507,MATCH($B107,'E2 — Triagem'!$B$8:$B$507,0)),""))</f>
        <v/>
      </c>
      <c r="E107" s="179"/>
      <c r="F107" s="179"/>
      <c r="G107" s="179"/>
      <c r="H107" s="179"/>
      <c r="I107" s="179"/>
      <c r="J107" s="180" t="str">
        <f t="shared" si="1"/>
        <v/>
      </c>
      <c r="K107" s="179"/>
      <c r="L107" s="184"/>
      <c r="M107" s="183"/>
      <c r="N107" s="175"/>
    </row>
    <row r="108" spans="2:14" x14ac:dyDescent="0.35">
      <c r="B108" s="177" t="str">
        <f>IF(Lançamentos!$B103="","",Lançamentos!$B103)</f>
        <v/>
      </c>
      <c r="C108" s="178" t="str">
        <f>IF($B108="","",IFERROR(INDEX(Lançamentos!$J$3:$J$1001,MATCH($B108,Lançamentos!$B$3:$B$1001,0)),""))</f>
        <v/>
      </c>
      <c r="D108" s="415" t="str">
        <f>IF($B108="","",IFERROR(INDEX('E2 — Triagem'!$D$8:$D$507,MATCH($B108,'E2 — Triagem'!$B$8:$B$507,0)),""))</f>
        <v/>
      </c>
      <c r="E108" s="179"/>
      <c r="F108" s="179"/>
      <c r="G108" s="179"/>
      <c r="H108" s="179"/>
      <c r="I108" s="179"/>
      <c r="J108" s="180" t="str">
        <f t="shared" si="1"/>
        <v/>
      </c>
      <c r="K108" s="179"/>
      <c r="L108" s="184"/>
      <c r="M108" s="183"/>
      <c r="N108" s="175"/>
    </row>
    <row r="109" spans="2:14" x14ac:dyDescent="0.35">
      <c r="B109" s="177" t="str">
        <f>IF(Lançamentos!$B104="","",Lançamentos!$B104)</f>
        <v/>
      </c>
      <c r="C109" s="178" t="str">
        <f>IF($B109="","",IFERROR(INDEX(Lançamentos!$J$3:$J$1001,MATCH($B109,Lançamentos!$B$3:$B$1001,0)),""))</f>
        <v/>
      </c>
      <c r="D109" s="415" t="str">
        <f>IF($B109="","",IFERROR(INDEX('E2 — Triagem'!$D$8:$D$507,MATCH($B109,'E2 — Triagem'!$B$8:$B$507,0)),""))</f>
        <v/>
      </c>
      <c r="E109" s="179"/>
      <c r="F109" s="179"/>
      <c r="G109" s="179"/>
      <c r="H109" s="179"/>
      <c r="I109" s="179"/>
      <c r="J109" s="180" t="str">
        <f t="shared" si="1"/>
        <v/>
      </c>
      <c r="K109" s="179"/>
      <c r="L109" s="184"/>
      <c r="M109" s="183"/>
      <c r="N109" s="175"/>
    </row>
    <row r="110" spans="2:14" x14ac:dyDescent="0.35">
      <c r="B110" s="177" t="str">
        <f>IF(Lançamentos!$B105="","",Lançamentos!$B105)</f>
        <v/>
      </c>
      <c r="C110" s="178" t="str">
        <f>IF($B110="","",IFERROR(INDEX(Lançamentos!$J$3:$J$1001,MATCH($B110,Lançamentos!$B$3:$B$1001,0)),""))</f>
        <v/>
      </c>
      <c r="D110" s="415" t="str">
        <f>IF($B110="","",IFERROR(INDEX('E2 — Triagem'!$D$8:$D$507,MATCH($B110,'E2 — Triagem'!$B$8:$B$507,0)),""))</f>
        <v/>
      </c>
      <c r="E110" s="179"/>
      <c r="F110" s="179"/>
      <c r="G110" s="179"/>
      <c r="H110" s="179"/>
      <c r="I110" s="179"/>
      <c r="J110" s="180" t="str">
        <f t="shared" si="1"/>
        <v/>
      </c>
      <c r="K110" s="179"/>
      <c r="L110" s="184"/>
      <c r="M110" s="183"/>
      <c r="N110" s="175"/>
    </row>
    <row r="111" spans="2:14" x14ac:dyDescent="0.35">
      <c r="B111" s="177" t="str">
        <f>IF(Lançamentos!$B106="","",Lançamentos!$B106)</f>
        <v/>
      </c>
      <c r="C111" s="178" t="str">
        <f>IF($B111="","",IFERROR(INDEX(Lançamentos!$J$3:$J$1001,MATCH($B111,Lançamentos!$B$3:$B$1001,0)),""))</f>
        <v/>
      </c>
      <c r="D111" s="415" t="str">
        <f>IF($B111="","",IFERROR(INDEX('E2 — Triagem'!$D$8:$D$507,MATCH($B111,'E2 — Triagem'!$B$8:$B$507,0)),""))</f>
        <v/>
      </c>
      <c r="E111" s="179"/>
      <c r="F111" s="179"/>
      <c r="G111" s="179"/>
      <c r="H111" s="179"/>
      <c r="I111" s="179"/>
      <c r="J111" s="180" t="str">
        <f t="shared" si="1"/>
        <v/>
      </c>
      <c r="K111" s="179"/>
      <c r="L111" s="184"/>
      <c r="M111" s="183"/>
      <c r="N111" s="175"/>
    </row>
    <row r="112" spans="2:14" x14ac:dyDescent="0.35">
      <c r="B112" s="177" t="str">
        <f>IF(Lançamentos!$B107="","",Lançamentos!$B107)</f>
        <v/>
      </c>
      <c r="C112" s="178" t="str">
        <f>IF($B112="","",IFERROR(INDEX(Lançamentos!$J$3:$J$1001,MATCH($B112,Lançamentos!$B$3:$B$1001,0)),""))</f>
        <v/>
      </c>
      <c r="D112" s="415" t="str">
        <f>IF($B112="","",IFERROR(INDEX('E2 — Triagem'!$D$8:$D$507,MATCH($B112,'E2 — Triagem'!$B$8:$B$507,0)),""))</f>
        <v/>
      </c>
      <c r="E112" s="179"/>
      <c r="F112" s="179"/>
      <c r="G112" s="179"/>
      <c r="H112" s="179"/>
      <c r="I112" s="179"/>
      <c r="J112" s="180" t="str">
        <f t="shared" si="1"/>
        <v/>
      </c>
      <c r="K112" s="179"/>
      <c r="L112" s="184"/>
      <c r="M112" s="183"/>
      <c r="N112" s="175"/>
    </row>
    <row r="113" spans="2:14" x14ac:dyDescent="0.35">
      <c r="B113" s="177" t="str">
        <f>IF(Lançamentos!$B108="","",Lançamentos!$B108)</f>
        <v/>
      </c>
      <c r="C113" s="178" t="str">
        <f>IF($B113="","",IFERROR(INDEX(Lançamentos!$J$3:$J$1001,MATCH($B113,Lançamentos!$B$3:$B$1001,0)),""))</f>
        <v/>
      </c>
      <c r="D113" s="415" t="str">
        <f>IF($B113="","",IFERROR(INDEX('E2 — Triagem'!$D$8:$D$507,MATCH($B113,'E2 — Triagem'!$B$8:$B$507,0)),""))</f>
        <v/>
      </c>
      <c r="E113" s="179"/>
      <c r="F113" s="179"/>
      <c r="G113" s="179"/>
      <c r="H113" s="179"/>
      <c r="I113" s="179"/>
      <c r="J113" s="180" t="str">
        <f t="shared" si="1"/>
        <v/>
      </c>
      <c r="K113" s="179"/>
      <c r="L113" s="184"/>
      <c r="M113" s="183"/>
      <c r="N113" s="175"/>
    </row>
    <row r="114" spans="2:14" x14ac:dyDescent="0.35">
      <c r="B114" s="177" t="str">
        <f>IF(Lançamentos!$B109="","",Lançamentos!$B109)</f>
        <v/>
      </c>
      <c r="C114" s="178" t="str">
        <f>IF($B114="","",IFERROR(INDEX(Lançamentos!$J$3:$J$1001,MATCH($B114,Lançamentos!$B$3:$B$1001,0)),""))</f>
        <v/>
      </c>
      <c r="D114" s="415" t="str">
        <f>IF($B114="","",IFERROR(INDEX('E2 — Triagem'!$D$8:$D$507,MATCH($B114,'E2 — Triagem'!$B$8:$B$507,0)),""))</f>
        <v/>
      </c>
      <c r="E114" s="179"/>
      <c r="F114" s="179"/>
      <c r="G114" s="179"/>
      <c r="H114" s="179"/>
      <c r="I114" s="179"/>
      <c r="J114" s="180" t="str">
        <f t="shared" si="1"/>
        <v/>
      </c>
      <c r="K114" s="179"/>
      <c r="L114" s="184"/>
      <c r="M114" s="183"/>
      <c r="N114" s="175"/>
    </row>
    <row r="115" spans="2:14" x14ac:dyDescent="0.35">
      <c r="B115" s="177" t="str">
        <f>IF(Lançamentos!$B110="","",Lançamentos!$B110)</f>
        <v/>
      </c>
      <c r="C115" s="178" t="str">
        <f>IF($B115="","",IFERROR(INDEX(Lançamentos!$J$3:$J$1001,MATCH($B115,Lançamentos!$B$3:$B$1001,0)),""))</f>
        <v/>
      </c>
      <c r="D115" s="415" t="str">
        <f>IF($B115="","",IFERROR(INDEX('E2 — Triagem'!$D$8:$D$507,MATCH($B115,'E2 — Triagem'!$B$8:$B$507,0)),""))</f>
        <v/>
      </c>
      <c r="E115" s="179"/>
      <c r="F115" s="179"/>
      <c r="G115" s="179"/>
      <c r="H115" s="179"/>
      <c r="I115" s="179"/>
      <c r="J115" s="180" t="str">
        <f t="shared" si="1"/>
        <v/>
      </c>
      <c r="K115" s="179"/>
      <c r="L115" s="184"/>
      <c r="M115" s="183"/>
      <c r="N115" s="175"/>
    </row>
    <row r="116" spans="2:14" x14ac:dyDescent="0.35">
      <c r="B116" s="177" t="str">
        <f>IF(Lançamentos!$B111="","",Lançamentos!$B111)</f>
        <v/>
      </c>
      <c r="C116" s="178" t="str">
        <f>IF($B116="","",IFERROR(INDEX(Lançamentos!$J$3:$J$1001,MATCH($B116,Lançamentos!$B$3:$B$1001,0)),""))</f>
        <v/>
      </c>
      <c r="D116" s="415" t="str">
        <f>IF($B116="","",IFERROR(INDEX('E2 — Triagem'!$D$8:$D$507,MATCH($B116,'E2 — Triagem'!$B$8:$B$507,0)),""))</f>
        <v/>
      </c>
      <c r="E116" s="179"/>
      <c r="F116" s="179"/>
      <c r="G116" s="179"/>
      <c r="H116" s="179"/>
      <c r="I116" s="179"/>
      <c r="J116" s="180" t="str">
        <f t="shared" si="1"/>
        <v/>
      </c>
      <c r="K116" s="179"/>
      <c r="L116" s="184"/>
      <c r="M116" s="183"/>
      <c r="N116" s="175"/>
    </row>
    <row r="117" spans="2:14" x14ac:dyDescent="0.35">
      <c r="B117" s="177" t="str">
        <f>IF(Lançamentos!$B112="","",Lançamentos!$B112)</f>
        <v/>
      </c>
      <c r="C117" s="178" t="str">
        <f>IF($B117="","",IFERROR(INDEX(Lançamentos!$J$3:$J$1001,MATCH($B117,Lançamentos!$B$3:$B$1001,0)),""))</f>
        <v/>
      </c>
      <c r="D117" s="415" t="str">
        <f>IF($B117="","",IFERROR(INDEX('E2 — Triagem'!$D$8:$D$507,MATCH($B117,'E2 — Triagem'!$B$8:$B$507,0)),""))</f>
        <v/>
      </c>
      <c r="E117" s="179"/>
      <c r="F117" s="179"/>
      <c r="G117" s="179"/>
      <c r="H117" s="179"/>
      <c r="I117" s="179"/>
      <c r="J117" s="180" t="str">
        <f t="shared" si="1"/>
        <v/>
      </c>
      <c r="K117" s="179"/>
      <c r="L117" s="184"/>
      <c r="M117" s="183"/>
      <c r="N117" s="175"/>
    </row>
    <row r="118" spans="2:14" x14ac:dyDescent="0.35">
      <c r="B118" s="177" t="str">
        <f>IF(Lançamentos!$B113="","",Lançamentos!$B113)</f>
        <v/>
      </c>
      <c r="C118" s="178" t="str">
        <f>IF($B118="","",IFERROR(INDEX(Lançamentos!$J$3:$J$1001,MATCH($B118,Lançamentos!$B$3:$B$1001,0)),""))</f>
        <v/>
      </c>
      <c r="D118" s="415" t="str">
        <f>IF($B118="","",IFERROR(INDEX('E2 — Triagem'!$D$8:$D$507,MATCH($B118,'E2 — Triagem'!$B$8:$B$507,0)),""))</f>
        <v/>
      </c>
      <c r="E118" s="179"/>
      <c r="F118" s="179"/>
      <c r="G118" s="179"/>
      <c r="H118" s="179"/>
      <c r="I118" s="179"/>
      <c r="J118" s="180" t="str">
        <f t="shared" si="1"/>
        <v/>
      </c>
      <c r="K118" s="179"/>
      <c r="L118" s="184"/>
      <c r="M118" s="183"/>
      <c r="N118" s="175"/>
    </row>
    <row r="119" spans="2:14" x14ac:dyDescent="0.35">
      <c r="B119" s="177" t="str">
        <f>IF(Lançamentos!$B114="","",Lançamentos!$B114)</f>
        <v/>
      </c>
      <c r="C119" s="178" t="str">
        <f>IF($B119="","",IFERROR(INDEX(Lançamentos!$J$3:$J$1001,MATCH($B119,Lançamentos!$B$3:$B$1001,0)),""))</f>
        <v/>
      </c>
      <c r="D119" s="415" t="str">
        <f>IF($B119="","",IFERROR(INDEX('E2 — Triagem'!$D$8:$D$507,MATCH($B119,'E2 — Triagem'!$B$8:$B$507,0)),""))</f>
        <v/>
      </c>
      <c r="E119" s="179"/>
      <c r="F119" s="179"/>
      <c r="G119" s="179"/>
      <c r="H119" s="179"/>
      <c r="I119" s="179"/>
      <c r="J119" s="180" t="str">
        <f t="shared" si="1"/>
        <v/>
      </c>
      <c r="K119" s="179"/>
      <c r="L119" s="184"/>
      <c r="M119" s="183"/>
      <c r="N119" s="175"/>
    </row>
    <row r="120" spans="2:14" x14ac:dyDescent="0.35">
      <c r="B120" s="177" t="str">
        <f>IF(Lançamentos!$B115="","",Lançamentos!$B115)</f>
        <v/>
      </c>
      <c r="C120" s="178" t="str">
        <f>IF($B120="","",IFERROR(INDEX(Lançamentos!$J$3:$J$1001,MATCH($B120,Lançamentos!$B$3:$B$1001,0)),""))</f>
        <v/>
      </c>
      <c r="D120" s="415" t="str">
        <f>IF($B120="","",IFERROR(INDEX('E2 — Triagem'!$D$8:$D$507,MATCH($B120,'E2 — Triagem'!$B$8:$B$507,0)),""))</f>
        <v/>
      </c>
      <c r="E120" s="179"/>
      <c r="F120" s="179"/>
      <c r="G120" s="179"/>
      <c r="H120" s="179"/>
      <c r="I120" s="179"/>
      <c r="J120" s="180" t="str">
        <f t="shared" si="1"/>
        <v/>
      </c>
      <c r="K120" s="179"/>
      <c r="L120" s="184"/>
      <c r="M120" s="183"/>
      <c r="N120" s="175"/>
    </row>
    <row r="121" spans="2:14" x14ac:dyDescent="0.35">
      <c r="B121" s="177" t="str">
        <f>IF(Lançamentos!$B116="","",Lançamentos!$B116)</f>
        <v/>
      </c>
      <c r="C121" s="178" t="str">
        <f>IF($B121="","",IFERROR(INDEX(Lançamentos!$J$3:$J$1001,MATCH($B121,Lançamentos!$B$3:$B$1001,0)),""))</f>
        <v/>
      </c>
      <c r="D121" s="415" t="str">
        <f>IF($B121="","",IFERROR(INDEX('E2 — Triagem'!$D$8:$D$507,MATCH($B121,'E2 — Triagem'!$B$8:$B$507,0)),""))</f>
        <v/>
      </c>
      <c r="E121" s="179"/>
      <c r="F121" s="179"/>
      <c r="G121" s="179"/>
      <c r="H121" s="179"/>
      <c r="I121" s="179"/>
      <c r="J121" s="180" t="str">
        <f t="shared" si="1"/>
        <v/>
      </c>
      <c r="K121" s="179"/>
      <c r="L121" s="184"/>
      <c r="M121" s="183"/>
      <c r="N121" s="175"/>
    </row>
    <row r="122" spans="2:14" x14ac:dyDescent="0.35">
      <c r="B122" s="177" t="str">
        <f>IF(Lançamentos!$B117="","",Lançamentos!$B117)</f>
        <v/>
      </c>
      <c r="C122" s="178" t="str">
        <f>IF($B122="","",IFERROR(INDEX(Lançamentos!$J$3:$J$1001,MATCH($B122,Lançamentos!$B$3:$B$1001,0)),""))</f>
        <v/>
      </c>
      <c r="D122" s="415" t="str">
        <f>IF($B122="","",IFERROR(INDEX('E2 — Triagem'!$D$8:$D$507,MATCH($B122,'E2 — Triagem'!$B$8:$B$507,0)),""))</f>
        <v/>
      </c>
      <c r="E122" s="179"/>
      <c r="F122" s="179"/>
      <c r="G122" s="179"/>
      <c r="H122" s="179"/>
      <c r="I122" s="179"/>
      <c r="J122" s="180" t="str">
        <f t="shared" si="1"/>
        <v/>
      </c>
      <c r="K122" s="179"/>
      <c r="L122" s="184"/>
      <c r="M122" s="183"/>
      <c r="N122" s="175"/>
    </row>
    <row r="123" spans="2:14" x14ac:dyDescent="0.35">
      <c r="B123" s="177" t="str">
        <f>IF(Lançamentos!$B118="","",Lançamentos!$B118)</f>
        <v/>
      </c>
      <c r="C123" s="178" t="str">
        <f>IF($B123="","",IFERROR(INDEX(Lançamentos!$J$3:$J$1001,MATCH($B123,Lançamentos!$B$3:$B$1001,0)),""))</f>
        <v/>
      </c>
      <c r="D123" s="415" t="str">
        <f>IF($B123="","",IFERROR(INDEX('E2 — Triagem'!$D$8:$D$507,MATCH($B123,'E2 — Triagem'!$B$8:$B$507,0)),""))</f>
        <v/>
      </c>
      <c r="E123" s="179"/>
      <c r="F123" s="179"/>
      <c r="G123" s="179"/>
      <c r="H123" s="179"/>
      <c r="I123" s="179"/>
      <c r="J123" s="180" t="str">
        <f t="shared" si="1"/>
        <v/>
      </c>
      <c r="K123" s="179"/>
      <c r="L123" s="184"/>
      <c r="M123" s="183"/>
      <c r="N123" s="175"/>
    </row>
    <row r="124" spans="2:14" x14ac:dyDescent="0.35">
      <c r="B124" s="177" t="str">
        <f>IF(Lançamentos!$B119="","",Lançamentos!$B119)</f>
        <v/>
      </c>
      <c r="C124" s="178" t="str">
        <f>IF($B124="","",IFERROR(INDEX(Lançamentos!$J$3:$J$1001,MATCH($B124,Lançamentos!$B$3:$B$1001,0)),""))</f>
        <v/>
      </c>
      <c r="D124" s="415" t="str">
        <f>IF($B124="","",IFERROR(INDEX('E2 — Triagem'!$D$8:$D$507,MATCH($B124,'E2 — Triagem'!$B$8:$B$507,0)),""))</f>
        <v/>
      </c>
      <c r="E124" s="179"/>
      <c r="F124" s="179"/>
      <c r="G124" s="179"/>
      <c r="H124" s="179"/>
      <c r="I124" s="179"/>
      <c r="J124" s="180" t="str">
        <f t="shared" si="1"/>
        <v/>
      </c>
      <c r="K124" s="179"/>
      <c r="L124" s="184"/>
      <c r="M124" s="183"/>
      <c r="N124" s="175"/>
    </row>
    <row r="125" spans="2:14" x14ac:dyDescent="0.35">
      <c r="B125" s="177" t="str">
        <f>IF(Lançamentos!$B120="","",Lançamentos!$B120)</f>
        <v/>
      </c>
      <c r="C125" s="178" t="str">
        <f>IF($B125="","",IFERROR(INDEX(Lançamentos!$J$3:$J$1001,MATCH($B125,Lançamentos!$B$3:$B$1001,0)),""))</f>
        <v/>
      </c>
      <c r="D125" s="415" t="str">
        <f>IF($B125="","",IFERROR(INDEX('E2 — Triagem'!$D$8:$D$507,MATCH($B125,'E2 — Triagem'!$B$8:$B$507,0)),""))</f>
        <v/>
      </c>
      <c r="E125" s="179"/>
      <c r="F125" s="179"/>
      <c r="G125" s="179"/>
      <c r="H125" s="179"/>
      <c r="I125" s="179"/>
      <c r="J125" s="180" t="str">
        <f t="shared" si="1"/>
        <v/>
      </c>
      <c r="K125" s="179"/>
      <c r="L125" s="184"/>
      <c r="M125" s="183"/>
      <c r="N125" s="175"/>
    </row>
    <row r="126" spans="2:14" x14ac:dyDescent="0.35">
      <c r="B126" s="177" t="str">
        <f>IF(Lançamentos!$B121="","",Lançamentos!$B121)</f>
        <v/>
      </c>
      <c r="C126" s="178" t="str">
        <f>IF($B126="","",IFERROR(INDEX(Lançamentos!$J$3:$J$1001,MATCH($B126,Lançamentos!$B$3:$B$1001,0)),""))</f>
        <v/>
      </c>
      <c r="D126" s="415" t="str">
        <f>IF($B126="","",IFERROR(INDEX('E2 — Triagem'!$D$8:$D$507,MATCH($B126,'E2 — Triagem'!$B$8:$B$507,0)),""))</f>
        <v/>
      </c>
      <c r="E126" s="179"/>
      <c r="F126" s="179"/>
      <c r="G126" s="179"/>
      <c r="H126" s="179"/>
      <c r="I126" s="179"/>
      <c r="J126" s="180" t="str">
        <f t="shared" si="1"/>
        <v/>
      </c>
      <c r="K126" s="179"/>
      <c r="L126" s="184"/>
      <c r="M126" s="183"/>
      <c r="N126" s="175"/>
    </row>
    <row r="127" spans="2:14" x14ac:dyDescent="0.35">
      <c r="B127" s="177" t="str">
        <f>IF(Lançamentos!$B122="","",Lançamentos!$B122)</f>
        <v/>
      </c>
      <c r="C127" s="178" t="str">
        <f>IF($B127="","",IFERROR(INDEX(Lançamentos!$J$3:$J$1001,MATCH($B127,Lançamentos!$B$3:$B$1001,0)),""))</f>
        <v/>
      </c>
      <c r="D127" s="415" t="str">
        <f>IF($B127="","",IFERROR(INDEX('E2 — Triagem'!$D$8:$D$507,MATCH($B127,'E2 — Triagem'!$B$8:$B$507,0)),""))</f>
        <v/>
      </c>
      <c r="E127" s="179"/>
      <c r="F127" s="179"/>
      <c r="G127" s="179"/>
      <c r="H127" s="179"/>
      <c r="I127" s="179"/>
      <c r="J127" s="180" t="str">
        <f t="shared" si="1"/>
        <v/>
      </c>
      <c r="K127" s="179"/>
      <c r="L127" s="184"/>
      <c r="M127" s="183"/>
      <c r="N127" s="175"/>
    </row>
    <row r="128" spans="2:14" x14ac:dyDescent="0.35">
      <c r="B128" s="177" t="str">
        <f>IF(Lançamentos!$B123="","",Lançamentos!$B123)</f>
        <v/>
      </c>
      <c r="C128" s="178" t="str">
        <f>IF($B128="","",IFERROR(INDEX(Lançamentos!$J$3:$J$1001,MATCH($B128,Lançamentos!$B$3:$B$1001,0)),""))</f>
        <v/>
      </c>
      <c r="D128" s="415" t="str">
        <f>IF($B128="","",IFERROR(INDEX('E2 — Triagem'!$D$8:$D$507,MATCH($B128,'E2 — Triagem'!$B$8:$B$507,0)),""))</f>
        <v/>
      </c>
      <c r="E128" s="179"/>
      <c r="F128" s="179"/>
      <c r="G128" s="179"/>
      <c r="H128" s="179"/>
      <c r="I128" s="179"/>
      <c r="J128" s="180" t="str">
        <f t="shared" si="1"/>
        <v/>
      </c>
      <c r="K128" s="179"/>
      <c r="L128" s="184"/>
      <c r="M128" s="183"/>
      <c r="N128" s="175"/>
    </row>
    <row r="129" spans="2:14" x14ac:dyDescent="0.35">
      <c r="B129" s="177" t="str">
        <f>IF(Lançamentos!$B124="","",Lançamentos!$B124)</f>
        <v/>
      </c>
      <c r="C129" s="178" t="str">
        <f>IF($B129="","",IFERROR(INDEX(Lançamentos!$J$3:$J$1001,MATCH($B129,Lançamentos!$B$3:$B$1001,0)),""))</f>
        <v/>
      </c>
      <c r="D129" s="415" t="str">
        <f>IF($B129="","",IFERROR(INDEX('E2 — Triagem'!$D$8:$D$507,MATCH($B129,'E2 — Triagem'!$B$8:$B$507,0)),""))</f>
        <v/>
      </c>
      <c r="E129" s="179"/>
      <c r="F129" s="179"/>
      <c r="G129" s="179"/>
      <c r="H129" s="179"/>
      <c r="I129" s="179"/>
      <c r="J129" s="180" t="str">
        <f t="shared" si="1"/>
        <v/>
      </c>
      <c r="K129" s="179"/>
      <c r="L129" s="184"/>
      <c r="M129" s="183"/>
      <c r="N129" s="175"/>
    </row>
    <row r="130" spans="2:14" x14ac:dyDescent="0.35">
      <c r="B130" s="177" t="str">
        <f>IF(Lançamentos!$B125="","",Lançamentos!$B125)</f>
        <v/>
      </c>
      <c r="C130" s="178" t="str">
        <f>IF($B130="","",IFERROR(INDEX(Lançamentos!$J$3:$J$1001,MATCH($B130,Lançamentos!$B$3:$B$1001,0)),""))</f>
        <v/>
      </c>
      <c r="D130" s="415" t="str">
        <f>IF($B130="","",IFERROR(INDEX('E2 — Triagem'!$D$8:$D$507,MATCH($B130,'E2 — Triagem'!$B$8:$B$507,0)),""))</f>
        <v/>
      </c>
      <c r="E130" s="179"/>
      <c r="F130" s="179"/>
      <c r="G130" s="179"/>
      <c r="H130" s="179"/>
      <c r="I130" s="179"/>
      <c r="J130" s="180" t="str">
        <f t="shared" si="1"/>
        <v/>
      </c>
      <c r="K130" s="179"/>
      <c r="L130" s="184"/>
      <c r="M130" s="183"/>
      <c r="N130" s="175"/>
    </row>
    <row r="131" spans="2:14" x14ac:dyDescent="0.35">
      <c r="B131" s="177" t="str">
        <f>IF(Lançamentos!$B126="","",Lançamentos!$B126)</f>
        <v/>
      </c>
      <c r="C131" s="178" t="str">
        <f>IF($B131="","",IFERROR(INDEX(Lançamentos!$J$3:$J$1001,MATCH($B131,Lançamentos!$B$3:$B$1001,0)),""))</f>
        <v/>
      </c>
      <c r="D131" s="415" t="str">
        <f>IF($B131="","",IFERROR(INDEX('E2 — Triagem'!$D$8:$D$507,MATCH($B131,'E2 — Triagem'!$B$8:$B$507,0)),""))</f>
        <v/>
      </c>
      <c r="E131" s="179"/>
      <c r="F131" s="179"/>
      <c r="G131" s="179"/>
      <c r="H131" s="179"/>
      <c r="I131" s="179"/>
      <c r="J131" s="180" t="str">
        <f t="shared" si="1"/>
        <v/>
      </c>
      <c r="K131" s="179"/>
      <c r="L131" s="184"/>
      <c r="M131" s="183"/>
      <c r="N131" s="175"/>
    </row>
    <row r="132" spans="2:14" x14ac:dyDescent="0.35">
      <c r="B132" s="177" t="str">
        <f>IF(Lançamentos!$B127="","",Lançamentos!$B127)</f>
        <v/>
      </c>
      <c r="C132" s="178" t="str">
        <f>IF($B132="","",IFERROR(INDEX(Lançamentos!$J$3:$J$1001,MATCH($B132,Lançamentos!$B$3:$B$1001,0)),""))</f>
        <v/>
      </c>
      <c r="D132" s="415" t="str">
        <f>IF($B132="","",IFERROR(INDEX('E2 — Triagem'!$D$8:$D$507,MATCH($B132,'E2 — Triagem'!$B$8:$B$507,0)),""))</f>
        <v/>
      </c>
      <c r="E132" s="179"/>
      <c r="F132" s="179"/>
      <c r="G132" s="179"/>
      <c r="H132" s="179"/>
      <c r="I132" s="179"/>
      <c r="J132" s="180" t="str">
        <f t="shared" si="1"/>
        <v/>
      </c>
      <c r="K132" s="179"/>
      <c r="L132" s="184"/>
      <c r="M132" s="183"/>
      <c r="N132" s="175"/>
    </row>
    <row r="133" spans="2:14" x14ac:dyDescent="0.35">
      <c r="B133" s="177" t="str">
        <f>IF(Lançamentos!$B128="","",Lançamentos!$B128)</f>
        <v/>
      </c>
      <c r="C133" s="178" t="str">
        <f>IF($B133="","",IFERROR(INDEX(Lançamentos!$J$3:$J$1001,MATCH($B133,Lançamentos!$B$3:$B$1001,0)),""))</f>
        <v/>
      </c>
      <c r="D133" s="415" t="str">
        <f>IF($B133="","",IFERROR(INDEX('E2 — Triagem'!$D$8:$D$507,MATCH($B133,'E2 — Triagem'!$B$8:$B$507,0)),""))</f>
        <v/>
      </c>
      <c r="E133" s="179"/>
      <c r="F133" s="179"/>
      <c r="G133" s="179"/>
      <c r="H133" s="179"/>
      <c r="I133" s="179"/>
      <c r="J133" s="180" t="str">
        <f t="shared" si="1"/>
        <v/>
      </c>
      <c r="K133" s="179"/>
      <c r="L133" s="184"/>
      <c r="M133" s="183"/>
      <c r="N133" s="175"/>
    </row>
    <row r="134" spans="2:14" x14ac:dyDescent="0.35">
      <c r="B134" s="177" t="str">
        <f>IF(Lançamentos!$B129="","",Lançamentos!$B129)</f>
        <v/>
      </c>
      <c r="C134" s="178" t="str">
        <f>IF($B134="","",IFERROR(INDEX(Lançamentos!$J$3:$J$1001,MATCH($B134,Lançamentos!$B$3:$B$1001,0)),""))</f>
        <v/>
      </c>
      <c r="D134" s="415" t="str">
        <f>IF($B134="","",IFERROR(INDEX('E2 — Triagem'!$D$8:$D$507,MATCH($B134,'E2 — Triagem'!$B$8:$B$507,0)),""))</f>
        <v/>
      </c>
      <c r="E134" s="179"/>
      <c r="F134" s="179"/>
      <c r="G134" s="179"/>
      <c r="H134" s="179"/>
      <c r="I134" s="179"/>
      <c r="J134" s="180" t="str">
        <f t="shared" si="1"/>
        <v/>
      </c>
      <c r="K134" s="179"/>
      <c r="L134" s="184"/>
      <c r="M134" s="183"/>
      <c r="N134" s="175"/>
    </row>
    <row r="135" spans="2:14" x14ac:dyDescent="0.35">
      <c r="B135" s="177" t="str">
        <f>IF(Lançamentos!$B130="","",Lançamentos!$B130)</f>
        <v/>
      </c>
      <c r="C135" s="178" t="str">
        <f>IF($B135="","",IFERROR(INDEX(Lançamentos!$J$3:$J$1001,MATCH($B135,Lançamentos!$B$3:$B$1001,0)),""))</f>
        <v/>
      </c>
      <c r="D135" s="415" t="str">
        <f>IF($B135="","",IFERROR(INDEX('E2 — Triagem'!$D$8:$D$507,MATCH($B135,'E2 — Triagem'!$B$8:$B$507,0)),""))</f>
        <v/>
      </c>
      <c r="E135" s="179"/>
      <c r="F135" s="179"/>
      <c r="G135" s="179"/>
      <c r="H135" s="179"/>
      <c r="I135" s="179"/>
      <c r="J135" s="180" t="str">
        <f t="shared" si="1"/>
        <v/>
      </c>
      <c r="K135" s="179"/>
      <c r="L135" s="184"/>
      <c r="M135" s="183"/>
      <c r="N135" s="175"/>
    </row>
    <row r="136" spans="2:14" x14ac:dyDescent="0.35">
      <c r="B136" s="177" t="str">
        <f>IF(Lançamentos!$B131="","",Lançamentos!$B131)</f>
        <v/>
      </c>
      <c r="C136" s="178" t="str">
        <f>IF($B136="","",IFERROR(INDEX(Lançamentos!$J$3:$J$1001,MATCH($B136,Lançamentos!$B$3:$B$1001,0)),""))</f>
        <v/>
      </c>
      <c r="D136" s="415" t="str">
        <f>IF($B136="","",IFERROR(INDEX('E2 — Triagem'!$D$8:$D$507,MATCH($B136,'E2 — Triagem'!$B$8:$B$507,0)),""))</f>
        <v/>
      </c>
      <c r="E136" s="179"/>
      <c r="F136" s="179"/>
      <c r="G136" s="179"/>
      <c r="H136" s="179"/>
      <c r="I136" s="179"/>
      <c r="J136" s="180" t="str">
        <f t="shared" ref="J136:J199" si="2">IF(B136="","",IF(COUNTIF(E136:I136,"N/A")=5,0,IF(COUNTIF(E136:I136,"✔ Concluído")=5,1,MIN(99%,COUNTIF(E136:I136,"✔ Concluído")/(5-COUNTIF(E136:I136,"N/A"))))))</f>
        <v/>
      </c>
      <c r="K136" s="179"/>
      <c r="L136" s="184"/>
      <c r="M136" s="183"/>
      <c r="N136" s="175"/>
    </row>
    <row r="137" spans="2:14" x14ac:dyDescent="0.35">
      <c r="B137" s="177" t="str">
        <f>IF(Lançamentos!$B132="","",Lançamentos!$B132)</f>
        <v/>
      </c>
      <c r="C137" s="178" t="str">
        <f>IF($B137="","",IFERROR(INDEX(Lançamentos!$J$3:$J$1001,MATCH($B137,Lançamentos!$B$3:$B$1001,0)),""))</f>
        <v/>
      </c>
      <c r="D137" s="415" t="str">
        <f>IF($B137="","",IFERROR(INDEX('E2 — Triagem'!$D$8:$D$507,MATCH($B137,'E2 — Triagem'!$B$8:$B$507,0)),""))</f>
        <v/>
      </c>
      <c r="E137" s="179"/>
      <c r="F137" s="179"/>
      <c r="G137" s="179"/>
      <c r="H137" s="179"/>
      <c r="I137" s="179"/>
      <c r="J137" s="180" t="str">
        <f t="shared" si="2"/>
        <v/>
      </c>
      <c r="K137" s="179"/>
      <c r="L137" s="184"/>
      <c r="M137" s="183"/>
      <c r="N137" s="175"/>
    </row>
    <row r="138" spans="2:14" x14ac:dyDescent="0.35">
      <c r="B138" s="177" t="str">
        <f>IF(Lançamentos!$B133="","",Lançamentos!$B133)</f>
        <v/>
      </c>
      <c r="C138" s="178" t="str">
        <f>IF($B138="","",IFERROR(INDEX(Lançamentos!$J$3:$J$1001,MATCH($B138,Lançamentos!$B$3:$B$1001,0)),""))</f>
        <v/>
      </c>
      <c r="D138" s="415" t="str">
        <f>IF($B138="","",IFERROR(INDEX('E2 — Triagem'!$D$8:$D$507,MATCH($B138,'E2 — Triagem'!$B$8:$B$507,0)),""))</f>
        <v/>
      </c>
      <c r="E138" s="179"/>
      <c r="F138" s="179"/>
      <c r="G138" s="179"/>
      <c r="H138" s="179"/>
      <c r="I138" s="179"/>
      <c r="J138" s="180" t="str">
        <f t="shared" si="2"/>
        <v/>
      </c>
      <c r="K138" s="179"/>
      <c r="L138" s="184"/>
      <c r="M138" s="183"/>
      <c r="N138" s="175"/>
    </row>
    <row r="139" spans="2:14" x14ac:dyDescent="0.35">
      <c r="B139" s="177" t="str">
        <f>IF(Lançamentos!$B134="","",Lançamentos!$B134)</f>
        <v/>
      </c>
      <c r="C139" s="178" t="str">
        <f>IF($B139="","",IFERROR(INDEX(Lançamentos!$J$3:$J$1001,MATCH($B139,Lançamentos!$B$3:$B$1001,0)),""))</f>
        <v/>
      </c>
      <c r="D139" s="415" t="str">
        <f>IF($B139="","",IFERROR(INDEX('E2 — Triagem'!$D$8:$D$507,MATCH($B139,'E2 — Triagem'!$B$8:$B$507,0)),""))</f>
        <v/>
      </c>
      <c r="E139" s="179"/>
      <c r="F139" s="179"/>
      <c r="G139" s="179"/>
      <c r="H139" s="179"/>
      <c r="I139" s="179"/>
      <c r="J139" s="180" t="str">
        <f t="shared" si="2"/>
        <v/>
      </c>
      <c r="K139" s="179"/>
      <c r="L139" s="184"/>
      <c r="M139" s="183"/>
      <c r="N139" s="175"/>
    </row>
    <row r="140" spans="2:14" x14ac:dyDescent="0.35">
      <c r="B140" s="177" t="str">
        <f>IF(Lançamentos!$B135="","",Lançamentos!$B135)</f>
        <v/>
      </c>
      <c r="C140" s="178" t="str">
        <f>IF($B140="","",IFERROR(INDEX(Lançamentos!$J$3:$J$1001,MATCH($B140,Lançamentos!$B$3:$B$1001,0)),""))</f>
        <v/>
      </c>
      <c r="D140" s="415" t="str">
        <f>IF($B140="","",IFERROR(INDEX('E2 — Triagem'!$D$8:$D$507,MATCH($B140,'E2 — Triagem'!$B$8:$B$507,0)),""))</f>
        <v/>
      </c>
      <c r="E140" s="179"/>
      <c r="F140" s="179"/>
      <c r="G140" s="179"/>
      <c r="H140" s="179"/>
      <c r="I140" s="179"/>
      <c r="J140" s="180" t="str">
        <f t="shared" si="2"/>
        <v/>
      </c>
      <c r="K140" s="179"/>
      <c r="L140" s="184"/>
      <c r="M140" s="183"/>
      <c r="N140" s="175"/>
    </row>
    <row r="141" spans="2:14" x14ac:dyDescent="0.35">
      <c r="B141" s="177" t="str">
        <f>IF(Lançamentos!$B136="","",Lançamentos!$B136)</f>
        <v/>
      </c>
      <c r="C141" s="178" t="str">
        <f>IF($B141="","",IFERROR(INDEX(Lançamentos!$J$3:$J$1001,MATCH($B141,Lançamentos!$B$3:$B$1001,0)),""))</f>
        <v/>
      </c>
      <c r="D141" s="415" t="str">
        <f>IF($B141="","",IFERROR(INDEX('E2 — Triagem'!$D$8:$D$507,MATCH($B141,'E2 — Triagem'!$B$8:$B$507,0)),""))</f>
        <v/>
      </c>
      <c r="E141" s="179"/>
      <c r="F141" s="179"/>
      <c r="G141" s="179"/>
      <c r="H141" s="179"/>
      <c r="I141" s="179"/>
      <c r="J141" s="180" t="str">
        <f t="shared" si="2"/>
        <v/>
      </c>
      <c r="K141" s="179"/>
      <c r="L141" s="184"/>
      <c r="M141" s="183"/>
      <c r="N141" s="175"/>
    </row>
    <row r="142" spans="2:14" x14ac:dyDescent="0.35">
      <c r="B142" s="177" t="str">
        <f>IF(Lançamentos!$B137="","",Lançamentos!$B137)</f>
        <v/>
      </c>
      <c r="C142" s="178" t="str">
        <f>IF($B142="","",IFERROR(INDEX(Lançamentos!$J$3:$J$1001,MATCH($B142,Lançamentos!$B$3:$B$1001,0)),""))</f>
        <v/>
      </c>
      <c r="D142" s="415" t="str">
        <f>IF($B142="","",IFERROR(INDEX('E2 — Triagem'!$D$8:$D$507,MATCH($B142,'E2 — Triagem'!$B$8:$B$507,0)),""))</f>
        <v/>
      </c>
      <c r="E142" s="179"/>
      <c r="F142" s="179"/>
      <c r="G142" s="179"/>
      <c r="H142" s="179"/>
      <c r="I142" s="179"/>
      <c r="J142" s="180" t="str">
        <f t="shared" si="2"/>
        <v/>
      </c>
      <c r="K142" s="179"/>
      <c r="L142" s="184"/>
      <c r="M142" s="183"/>
      <c r="N142" s="175"/>
    </row>
    <row r="143" spans="2:14" x14ac:dyDescent="0.35">
      <c r="B143" s="177" t="str">
        <f>IF(Lançamentos!$B138="","",Lançamentos!$B138)</f>
        <v/>
      </c>
      <c r="C143" s="178" t="str">
        <f>IF($B143="","",IFERROR(INDEX(Lançamentos!$J$3:$J$1001,MATCH($B143,Lançamentos!$B$3:$B$1001,0)),""))</f>
        <v/>
      </c>
      <c r="D143" s="415" t="str">
        <f>IF($B143="","",IFERROR(INDEX('E2 — Triagem'!$D$8:$D$507,MATCH($B143,'E2 — Triagem'!$B$8:$B$507,0)),""))</f>
        <v/>
      </c>
      <c r="E143" s="179"/>
      <c r="F143" s="179"/>
      <c r="G143" s="179"/>
      <c r="H143" s="179"/>
      <c r="I143" s="179"/>
      <c r="J143" s="180" t="str">
        <f t="shared" si="2"/>
        <v/>
      </c>
      <c r="K143" s="179"/>
      <c r="L143" s="184"/>
      <c r="M143" s="183"/>
      <c r="N143" s="175"/>
    </row>
    <row r="144" spans="2:14" x14ac:dyDescent="0.35">
      <c r="B144" s="177" t="str">
        <f>IF(Lançamentos!$B139="","",Lançamentos!$B139)</f>
        <v/>
      </c>
      <c r="C144" s="178" t="str">
        <f>IF($B144="","",IFERROR(INDEX(Lançamentos!$J$3:$J$1001,MATCH($B144,Lançamentos!$B$3:$B$1001,0)),""))</f>
        <v/>
      </c>
      <c r="D144" s="415" t="str">
        <f>IF($B144="","",IFERROR(INDEX('E2 — Triagem'!$D$8:$D$507,MATCH($B144,'E2 — Triagem'!$B$8:$B$507,0)),""))</f>
        <v/>
      </c>
      <c r="E144" s="179"/>
      <c r="F144" s="179"/>
      <c r="G144" s="179"/>
      <c r="H144" s="179"/>
      <c r="I144" s="179"/>
      <c r="J144" s="180" t="str">
        <f t="shared" si="2"/>
        <v/>
      </c>
      <c r="K144" s="179"/>
      <c r="L144" s="184"/>
      <c r="M144" s="183"/>
      <c r="N144" s="175"/>
    </row>
    <row r="145" spans="2:14" x14ac:dyDescent="0.35">
      <c r="B145" s="177" t="str">
        <f>IF(Lançamentos!$B140="","",Lançamentos!$B140)</f>
        <v/>
      </c>
      <c r="C145" s="178" t="str">
        <f>IF($B145="","",IFERROR(INDEX(Lançamentos!$J$3:$J$1001,MATCH($B145,Lançamentos!$B$3:$B$1001,0)),""))</f>
        <v/>
      </c>
      <c r="D145" s="415" t="str">
        <f>IF($B145="","",IFERROR(INDEX('E2 — Triagem'!$D$8:$D$507,MATCH($B145,'E2 — Triagem'!$B$8:$B$507,0)),""))</f>
        <v/>
      </c>
      <c r="E145" s="179"/>
      <c r="F145" s="179"/>
      <c r="G145" s="179"/>
      <c r="H145" s="179"/>
      <c r="I145" s="179"/>
      <c r="J145" s="180" t="str">
        <f t="shared" si="2"/>
        <v/>
      </c>
      <c r="K145" s="179"/>
      <c r="L145" s="184"/>
      <c r="M145" s="183"/>
      <c r="N145" s="175"/>
    </row>
    <row r="146" spans="2:14" x14ac:dyDescent="0.35">
      <c r="B146" s="177" t="str">
        <f>IF(Lançamentos!$B141="","",Lançamentos!$B141)</f>
        <v/>
      </c>
      <c r="C146" s="178" t="str">
        <f>IF($B146="","",IFERROR(INDEX(Lançamentos!$J$3:$J$1001,MATCH($B146,Lançamentos!$B$3:$B$1001,0)),""))</f>
        <v/>
      </c>
      <c r="D146" s="415" t="str">
        <f>IF($B146="","",IFERROR(INDEX('E2 — Triagem'!$D$8:$D$507,MATCH($B146,'E2 — Triagem'!$B$8:$B$507,0)),""))</f>
        <v/>
      </c>
      <c r="E146" s="179"/>
      <c r="F146" s="179"/>
      <c r="G146" s="179"/>
      <c r="H146" s="179"/>
      <c r="I146" s="179"/>
      <c r="J146" s="180" t="str">
        <f t="shared" si="2"/>
        <v/>
      </c>
      <c r="K146" s="179"/>
      <c r="L146" s="184"/>
      <c r="M146" s="183"/>
      <c r="N146" s="175"/>
    </row>
    <row r="147" spans="2:14" x14ac:dyDescent="0.35">
      <c r="B147" s="177" t="str">
        <f>IF(Lançamentos!$B142="","",Lançamentos!$B142)</f>
        <v/>
      </c>
      <c r="C147" s="178" t="str">
        <f>IF($B147="","",IFERROR(INDEX(Lançamentos!$J$3:$J$1001,MATCH($B147,Lançamentos!$B$3:$B$1001,0)),""))</f>
        <v/>
      </c>
      <c r="D147" s="415" t="str">
        <f>IF($B147="","",IFERROR(INDEX('E2 — Triagem'!$D$8:$D$507,MATCH($B147,'E2 — Triagem'!$B$8:$B$507,0)),""))</f>
        <v/>
      </c>
      <c r="E147" s="179"/>
      <c r="F147" s="179"/>
      <c r="G147" s="179"/>
      <c r="H147" s="179"/>
      <c r="I147" s="179"/>
      <c r="J147" s="180" t="str">
        <f t="shared" si="2"/>
        <v/>
      </c>
      <c r="K147" s="179"/>
      <c r="L147" s="184"/>
      <c r="M147" s="183"/>
      <c r="N147" s="175"/>
    </row>
    <row r="148" spans="2:14" x14ac:dyDescent="0.35">
      <c r="B148" s="177" t="str">
        <f>IF(Lançamentos!$B143="","",Lançamentos!$B143)</f>
        <v/>
      </c>
      <c r="C148" s="178" t="str">
        <f>IF($B148="","",IFERROR(INDEX(Lançamentos!$J$3:$J$1001,MATCH($B148,Lançamentos!$B$3:$B$1001,0)),""))</f>
        <v/>
      </c>
      <c r="D148" s="415" t="str">
        <f>IF($B148="","",IFERROR(INDEX('E2 — Triagem'!$D$8:$D$507,MATCH($B148,'E2 — Triagem'!$B$8:$B$507,0)),""))</f>
        <v/>
      </c>
      <c r="E148" s="179"/>
      <c r="F148" s="179"/>
      <c r="G148" s="179"/>
      <c r="H148" s="179"/>
      <c r="I148" s="179"/>
      <c r="J148" s="180" t="str">
        <f t="shared" si="2"/>
        <v/>
      </c>
      <c r="K148" s="179"/>
      <c r="L148" s="184"/>
      <c r="M148" s="183"/>
      <c r="N148" s="175"/>
    </row>
    <row r="149" spans="2:14" x14ac:dyDescent="0.35">
      <c r="B149" s="177" t="str">
        <f>IF(Lançamentos!$B144="","",Lançamentos!$B144)</f>
        <v/>
      </c>
      <c r="C149" s="178" t="str">
        <f>IF($B149="","",IFERROR(INDEX(Lançamentos!$J$3:$J$1001,MATCH($B149,Lançamentos!$B$3:$B$1001,0)),""))</f>
        <v/>
      </c>
      <c r="D149" s="415" t="str">
        <f>IF($B149="","",IFERROR(INDEX('E2 — Triagem'!$D$8:$D$507,MATCH($B149,'E2 — Triagem'!$B$8:$B$507,0)),""))</f>
        <v/>
      </c>
      <c r="E149" s="179"/>
      <c r="F149" s="179"/>
      <c r="G149" s="179"/>
      <c r="H149" s="179"/>
      <c r="I149" s="179"/>
      <c r="J149" s="180" t="str">
        <f t="shared" si="2"/>
        <v/>
      </c>
      <c r="K149" s="179"/>
      <c r="L149" s="184"/>
      <c r="M149" s="183"/>
      <c r="N149" s="175"/>
    </row>
    <row r="150" spans="2:14" x14ac:dyDescent="0.35">
      <c r="B150" s="177" t="str">
        <f>IF(Lançamentos!$B145="","",Lançamentos!$B145)</f>
        <v/>
      </c>
      <c r="C150" s="178" t="str">
        <f>IF($B150="","",IFERROR(INDEX(Lançamentos!$J$3:$J$1001,MATCH($B150,Lançamentos!$B$3:$B$1001,0)),""))</f>
        <v/>
      </c>
      <c r="D150" s="415" t="str">
        <f>IF($B150="","",IFERROR(INDEX('E2 — Triagem'!$D$8:$D$507,MATCH($B150,'E2 — Triagem'!$B$8:$B$507,0)),""))</f>
        <v/>
      </c>
      <c r="E150" s="179"/>
      <c r="F150" s="179"/>
      <c r="G150" s="179"/>
      <c r="H150" s="179"/>
      <c r="I150" s="179"/>
      <c r="J150" s="180" t="str">
        <f t="shared" si="2"/>
        <v/>
      </c>
      <c r="K150" s="179"/>
      <c r="L150" s="184"/>
      <c r="M150" s="183"/>
      <c r="N150" s="175"/>
    </row>
    <row r="151" spans="2:14" x14ac:dyDescent="0.35">
      <c r="B151" s="177" t="str">
        <f>IF(Lançamentos!$B146="","",Lançamentos!$B146)</f>
        <v/>
      </c>
      <c r="C151" s="178" t="str">
        <f>IF($B151="","",IFERROR(INDEX(Lançamentos!$J$3:$J$1001,MATCH($B151,Lançamentos!$B$3:$B$1001,0)),""))</f>
        <v/>
      </c>
      <c r="D151" s="415" t="str">
        <f>IF($B151="","",IFERROR(INDEX('E2 — Triagem'!$D$8:$D$507,MATCH($B151,'E2 — Triagem'!$B$8:$B$507,0)),""))</f>
        <v/>
      </c>
      <c r="E151" s="179"/>
      <c r="F151" s="179"/>
      <c r="G151" s="179"/>
      <c r="H151" s="179"/>
      <c r="I151" s="179"/>
      <c r="J151" s="180" t="str">
        <f t="shared" si="2"/>
        <v/>
      </c>
      <c r="K151" s="179"/>
      <c r="L151" s="184"/>
      <c r="M151" s="183"/>
      <c r="N151" s="175"/>
    </row>
    <row r="152" spans="2:14" x14ac:dyDescent="0.35">
      <c r="B152" s="177" t="str">
        <f>IF(Lançamentos!$B147="","",Lançamentos!$B147)</f>
        <v/>
      </c>
      <c r="C152" s="178" t="str">
        <f>IF($B152="","",IFERROR(INDEX(Lançamentos!$J$3:$J$1001,MATCH($B152,Lançamentos!$B$3:$B$1001,0)),""))</f>
        <v/>
      </c>
      <c r="D152" s="415" t="str">
        <f>IF($B152="","",IFERROR(INDEX('E2 — Triagem'!$D$8:$D$507,MATCH($B152,'E2 — Triagem'!$B$8:$B$507,0)),""))</f>
        <v/>
      </c>
      <c r="E152" s="179"/>
      <c r="F152" s="179"/>
      <c r="G152" s="179"/>
      <c r="H152" s="179"/>
      <c r="I152" s="179"/>
      <c r="J152" s="180" t="str">
        <f t="shared" si="2"/>
        <v/>
      </c>
      <c r="K152" s="179"/>
      <c r="L152" s="184"/>
      <c r="M152" s="183"/>
      <c r="N152" s="175"/>
    </row>
    <row r="153" spans="2:14" x14ac:dyDescent="0.35">
      <c r="B153" s="177" t="str">
        <f>IF(Lançamentos!$B148="","",Lançamentos!$B148)</f>
        <v/>
      </c>
      <c r="C153" s="178" t="str">
        <f>IF($B153="","",IFERROR(INDEX(Lançamentos!$J$3:$J$1001,MATCH($B153,Lançamentos!$B$3:$B$1001,0)),""))</f>
        <v/>
      </c>
      <c r="D153" s="415" t="str">
        <f>IF($B153="","",IFERROR(INDEX('E2 — Triagem'!$D$8:$D$507,MATCH($B153,'E2 — Triagem'!$B$8:$B$507,0)),""))</f>
        <v/>
      </c>
      <c r="E153" s="179"/>
      <c r="F153" s="179"/>
      <c r="G153" s="179"/>
      <c r="H153" s="179"/>
      <c r="I153" s="179"/>
      <c r="J153" s="180" t="str">
        <f t="shared" si="2"/>
        <v/>
      </c>
      <c r="K153" s="179"/>
      <c r="L153" s="184"/>
      <c r="M153" s="183"/>
      <c r="N153" s="175"/>
    </row>
    <row r="154" spans="2:14" x14ac:dyDescent="0.35">
      <c r="B154" s="177" t="str">
        <f>IF(Lançamentos!$B149="","",Lançamentos!$B149)</f>
        <v/>
      </c>
      <c r="C154" s="178" t="str">
        <f>IF($B154="","",IFERROR(INDEX(Lançamentos!$J$3:$J$1001,MATCH($B154,Lançamentos!$B$3:$B$1001,0)),""))</f>
        <v/>
      </c>
      <c r="D154" s="415" t="str">
        <f>IF($B154="","",IFERROR(INDEX('E2 — Triagem'!$D$8:$D$507,MATCH($B154,'E2 — Triagem'!$B$8:$B$507,0)),""))</f>
        <v/>
      </c>
      <c r="E154" s="179"/>
      <c r="F154" s="179"/>
      <c r="G154" s="179"/>
      <c r="H154" s="179"/>
      <c r="I154" s="179"/>
      <c r="J154" s="180" t="str">
        <f t="shared" si="2"/>
        <v/>
      </c>
      <c r="K154" s="179"/>
      <c r="L154" s="184"/>
      <c r="M154" s="183"/>
      <c r="N154" s="175"/>
    </row>
    <row r="155" spans="2:14" x14ac:dyDescent="0.35">
      <c r="B155" s="177" t="str">
        <f>IF(Lançamentos!$B150="","",Lançamentos!$B150)</f>
        <v/>
      </c>
      <c r="C155" s="178" t="str">
        <f>IF($B155="","",IFERROR(INDEX(Lançamentos!$J$3:$J$1001,MATCH($B155,Lançamentos!$B$3:$B$1001,0)),""))</f>
        <v/>
      </c>
      <c r="D155" s="415" t="str">
        <f>IF($B155="","",IFERROR(INDEX('E2 — Triagem'!$D$8:$D$507,MATCH($B155,'E2 — Triagem'!$B$8:$B$507,0)),""))</f>
        <v/>
      </c>
      <c r="E155" s="179"/>
      <c r="F155" s="179"/>
      <c r="G155" s="179"/>
      <c r="H155" s="179"/>
      <c r="I155" s="179"/>
      <c r="J155" s="180" t="str">
        <f t="shared" si="2"/>
        <v/>
      </c>
      <c r="K155" s="179"/>
      <c r="L155" s="184"/>
      <c r="M155" s="183"/>
      <c r="N155" s="175"/>
    </row>
    <row r="156" spans="2:14" x14ac:dyDescent="0.35">
      <c r="B156" s="177" t="str">
        <f>IF(Lançamentos!$B151="","",Lançamentos!$B151)</f>
        <v/>
      </c>
      <c r="C156" s="178" t="str">
        <f>IF($B156="","",IFERROR(INDEX(Lançamentos!$J$3:$J$1001,MATCH($B156,Lançamentos!$B$3:$B$1001,0)),""))</f>
        <v/>
      </c>
      <c r="D156" s="415" t="str">
        <f>IF($B156="","",IFERROR(INDEX('E2 — Triagem'!$D$8:$D$507,MATCH($B156,'E2 — Triagem'!$B$8:$B$507,0)),""))</f>
        <v/>
      </c>
      <c r="E156" s="179"/>
      <c r="F156" s="179"/>
      <c r="G156" s="179"/>
      <c r="H156" s="179"/>
      <c r="I156" s="179"/>
      <c r="J156" s="180" t="str">
        <f t="shared" si="2"/>
        <v/>
      </c>
      <c r="K156" s="179"/>
      <c r="L156" s="184"/>
      <c r="M156" s="183"/>
      <c r="N156" s="175"/>
    </row>
    <row r="157" spans="2:14" x14ac:dyDescent="0.35">
      <c r="B157" s="177" t="str">
        <f>IF(Lançamentos!$B152="","",Lançamentos!$B152)</f>
        <v/>
      </c>
      <c r="C157" s="178" t="str">
        <f>IF($B157="","",IFERROR(INDEX(Lançamentos!$J$3:$J$1001,MATCH($B157,Lançamentos!$B$3:$B$1001,0)),""))</f>
        <v/>
      </c>
      <c r="D157" s="415" t="str">
        <f>IF($B157="","",IFERROR(INDEX('E2 — Triagem'!$D$8:$D$507,MATCH($B157,'E2 — Triagem'!$B$8:$B$507,0)),""))</f>
        <v/>
      </c>
      <c r="E157" s="179"/>
      <c r="F157" s="179"/>
      <c r="G157" s="179"/>
      <c r="H157" s="179"/>
      <c r="I157" s="179"/>
      <c r="J157" s="180" t="str">
        <f t="shared" si="2"/>
        <v/>
      </c>
      <c r="K157" s="179"/>
      <c r="L157" s="184"/>
      <c r="M157" s="183"/>
      <c r="N157" s="175"/>
    </row>
    <row r="158" spans="2:14" x14ac:dyDescent="0.35">
      <c r="B158" s="177" t="str">
        <f>IF(Lançamentos!$B153="","",Lançamentos!$B153)</f>
        <v/>
      </c>
      <c r="C158" s="178" t="str">
        <f>IF($B158="","",IFERROR(INDEX(Lançamentos!$J$3:$J$1001,MATCH($B158,Lançamentos!$B$3:$B$1001,0)),""))</f>
        <v/>
      </c>
      <c r="D158" s="415" t="str">
        <f>IF($B158="","",IFERROR(INDEX('E2 — Triagem'!$D$8:$D$507,MATCH($B158,'E2 — Triagem'!$B$8:$B$507,0)),""))</f>
        <v/>
      </c>
      <c r="E158" s="179"/>
      <c r="F158" s="179"/>
      <c r="G158" s="179"/>
      <c r="H158" s="179"/>
      <c r="I158" s="179"/>
      <c r="J158" s="180" t="str">
        <f t="shared" si="2"/>
        <v/>
      </c>
      <c r="K158" s="179"/>
      <c r="L158" s="184"/>
      <c r="M158" s="183"/>
      <c r="N158" s="175"/>
    </row>
    <row r="159" spans="2:14" x14ac:dyDescent="0.35">
      <c r="B159" s="177" t="str">
        <f>IF(Lançamentos!$B154="","",Lançamentos!$B154)</f>
        <v/>
      </c>
      <c r="C159" s="178" t="str">
        <f>IF($B159="","",IFERROR(INDEX(Lançamentos!$J$3:$J$1001,MATCH($B159,Lançamentos!$B$3:$B$1001,0)),""))</f>
        <v/>
      </c>
      <c r="D159" s="415" t="str">
        <f>IF($B159="","",IFERROR(INDEX('E2 — Triagem'!$D$8:$D$507,MATCH($B159,'E2 — Triagem'!$B$8:$B$507,0)),""))</f>
        <v/>
      </c>
      <c r="E159" s="179"/>
      <c r="F159" s="179"/>
      <c r="G159" s="179"/>
      <c r="H159" s="179"/>
      <c r="I159" s="179"/>
      <c r="J159" s="180" t="str">
        <f t="shared" si="2"/>
        <v/>
      </c>
      <c r="K159" s="179"/>
      <c r="L159" s="184"/>
      <c r="M159" s="183"/>
      <c r="N159" s="175"/>
    </row>
    <row r="160" spans="2:14" x14ac:dyDescent="0.35">
      <c r="B160" s="177" t="str">
        <f>IF(Lançamentos!$B155="","",Lançamentos!$B155)</f>
        <v/>
      </c>
      <c r="C160" s="178" t="str">
        <f>IF($B160="","",IFERROR(INDEX(Lançamentos!$J$3:$J$1001,MATCH($B160,Lançamentos!$B$3:$B$1001,0)),""))</f>
        <v/>
      </c>
      <c r="D160" s="415" t="str">
        <f>IF($B160="","",IFERROR(INDEX('E2 — Triagem'!$D$8:$D$507,MATCH($B160,'E2 — Triagem'!$B$8:$B$507,0)),""))</f>
        <v/>
      </c>
      <c r="E160" s="179"/>
      <c r="F160" s="179"/>
      <c r="G160" s="179"/>
      <c r="H160" s="179"/>
      <c r="I160" s="179"/>
      <c r="J160" s="180" t="str">
        <f t="shared" si="2"/>
        <v/>
      </c>
      <c r="K160" s="179"/>
      <c r="L160" s="184"/>
      <c r="M160" s="183"/>
      <c r="N160" s="175"/>
    </row>
    <row r="161" spans="2:14" x14ac:dyDescent="0.35">
      <c r="B161" s="177" t="str">
        <f>IF(Lançamentos!$B156="","",Lançamentos!$B156)</f>
        <v/>
      </c>
      <c r="C161" s="178" t="str">
        <f>IF($B161="","",IFERROR(INDEX(Lançamentos!$J$3:$J$1001,MATCH($B161,Lançamentos!$B$3:$B$1001,0)),""))</f>
        <v/>
      </c>
      <c r="D161" s="415" t="str">
        <f>IF($B161="","",IFERROR(INDEX('E2 — Triagem'!$D$8:$D$507,MATCH($B161,'E2 — Triagem'!$B$8:$B$507,0)),""))</f>
        <v/>
      </c>
      <c r="E161" s="179"/>
      <c r="F161" s="179"/>
      <c r="G161" s="179"/>
      <c r="H161" s="179"/>
      <c r="I161" s="179"/>
      <c r="J161" s="180" t="str">
        <f t="shared" si="2"/>
        <v/>
      </c>
      <c r="K161" s="179"/>
      <c r="L161" s="184"/>
      <c r="M161" s="183"/>
      <c r="N161" s="175"/>
    </row>
    <row r="162" spans="2:14" x14ac:dyDescent="0.35">
      <c r="B162" s="177" t="str">
        <f>IF(Lançamentos!$B157="","",Lançamentos!$B157)</f>
        <v/>
      </c>
      <c r="C162" s="178" t="str">
        <f>IF($B162="","",IFERROR(INDEX(Lançamentos!$J$3:$J$1001,MATCH($B162,Lançamentos!$B$3:$B$1001,0)),""))</f>
        <v/>
      </c>
      <c r="D162" s="415" t="str">
        <f>IF($B162="","",IFERROR(INDEX('E2 — Triagem'!$D$8:$D$507,MATCH($B162,'E2 — Triagem'!$B$8:$B$507,0)),""))</f>
        <v/>
      </c>
      <c r="E162" s="179"/>
      <c r="F162" s="179"/>
      <c r="G162" s="179"/>
      <c r="H162" s="179"/>
      <c r="I162" s="179"/>
      <c r="J162" s="180" t="str">
        <f t="shared" si="2"/>
        <v/>
      </c>
      <c r="K162" s="179"/>
      <c r="L162" s="184"/>
      <c r="M162" s="183"/>
      <c r="N162" s="175"/>
    </row>
    <row r="163" spans="2:14" x14ac:dyDescent="0.35">
      <c r="B163" s="177" t="str">
        <f>IF(Lançamentos!$B158="","",Lançamentos!$B158)</f>
        <v/>
      </c>
      <c r="C163" s="178" t="str">
        <f>IF($B163="","",IFERROR(INDEX(Lançamentos!$J$3:$J$1001,MATCH($B163,Lançamentos!$B$3:$B$1001,0)),""))</f>
        <v/>
      </c>
      <c r="D163" s="415" t="str">
        <f>IF($B163="","",IFERROR(INDEX('E2 — Triagem'!$D$8:$D$507,MATCH($B163,'E2 — Triagem'!$B$8:$B$507,0)),""))</f>
        <v/>
      </c>
      <c r="E163" s="179"/>
      <c r="F163" s="179"/>
      <c r="G163" s="179"/>
      <c r="H163" s="179"/>
      <c r="I163" s="179"/>
      <c r="J163" s="180" t="str">
        <f t="shared" si="2"/>
        <v/>
      </c>
      <c r="K163" s="179"/>
      <c r="L163" s="184"/>
      <c r="M163" s="183"/>
      <c r="N163" s="175"/>
    </row>
    <row r="164" spans="2:14" x14ac:dyDescent="0.35">
      <c r="B164" s="177" t="str">
        <f>IF(Lançamentos!$B159="","",Lançamentos!$B159)</f>
        <v/>
      </c>
      <c r="C164" s="178" t="str">
        <f>IF($B164="","",IFERROR(INDEX(Lançamentos!$J$3:$J$1001,MATCH($B164,Lançamentos!$B$3:$B$1001,0)),""))</f>
        <v/>
      </c>
      <c r="D164" s="415" t="str">
        <f>IF($B164="","",IFERROR(INDEX('E2 — Triagem'!$D$8:$D$507,MATCH($B164,'E2 — Triagem'!$B$8:$B$507,0)),""))</f>
        <v/>
      </c>
      <c r="E164" s="179"/>
      <c r="F164" s="179"/>
      <c r="G164" s="179"/>
      <c r="H164" s="179"/>
      <c r="I164" s="179"/>
      <c r="J164" s="180" t="str">
        <f t="shared" si="2"/>
        <v/>
      </c>
      <c r="K164" s="179"/>
      <c r="L164" s="184"/>
      <c r="M164" s="183"/>
      <c r="N164" s="175"/>
    </row>
    <row r="165" spans="2:14" x14ac:dyDescent="0.35">
      <c r="B165" s="177" t="str">
        <f>IF(Lançamentos!$B160="","",Lançamentos!$B160)</f>
        <v/>
      </c>
      <c r="C165" s="178" t="str">
        <f>IF($B165="","",IFERROR(INDEX(Lançamentos!$J$3:$J$1001,MATCH($B165,Lançamentos!$B$3:$B$1001,0)),""))</f>
        <v/>
      </c>
      <c r="D165" s="415" t="str">
        <f>IF($B165="","",IFERROR(INDEX('E2 — Triagem'!$D$8:$D$507,MATCH($B165,'E2 — Triagem'!$B$8:$B$507,0)),""))</f>
        <v/>
      </c>
      <c r="E165" s="179"/>
      <c r="F165" s="179"/>
      <c r="G165" s="179"/>
      <c r="H165" s="179"/>
      <c r="I165" s="179"/>
      <c r="J165" s="180" t="str">
        <f t="shared" si="2"/>
        <v/>
      </c>
      <c r="K165" s="179"/>
      <c r="L165" s="184"/>
      <c r="M165" s="183"/>
      <c r="N165" s="175"/>
    </row>
    <row r="166" spans="2:14" x14ac:dyDescent="0.35">
      <c r="B166" s="177" t="str">
        <f>IF(Lançamentos!$B161="","",Lançamentos!$B161)</f>
        <v/>
      </c>
      <c r="C166" s="178" t="str">
        <f>IF($B166="","",IFERROR(INDEX(Lançamentos!$J$3:$J$1001,MATCH($B166,Lançamentos!$B$3:$B$1001,0)),""))</f>
        <v/>
      </c>
      <c r="D166" s="415" t="str">
        <f>IF($B166="","",IFERROR(INDEX('E2 — Triagem'!$D$8:$D$507,MATCH($B166,'E2 — Triagem'!$B$8:$B$507,0)),""))</f>
        <v/>
      </c>
      <c r="E166" s="179"/>
      <c r="F166" s="179"/>
      <c r="G166" s="179"/>
      <c r="H166" s="179"/>
      <c r="I166" s="179"/>
      <c r="J166" s="180" t="str">
        <f t="shared" si="2"/>
        <v/>
      </c>
      <c r="K166" s="179"/>
      <c r="L166" s="184"/>
      <c r="M166" s="183"/>
      <c r="N166" s="175"/>
    </row>
    <row r="167" spans="2:14" x14ac:dyDescent="0.35">
      <c r="B167" s="177" t="str">
        <f>IF(Lançamentos!$B162="","",Lançamentos!$B162)</f>
        <v/>
      </c>
      <c r="C167" s="178" t="str">
        <f>IF($B167="","",IFERROR(INDEX(Lançamentos!$J$3:$J$1001,MATCH($B167,Lançamentos!$B$3:$B$1001,0)),""))</f>
        <v/>
      </c>
      <c r="D167" s="415" t="str">
        <f>IF($B167="","",IFERROR(INDEX('E2 — Triagem'!$D$8:$D$507,MATCH($B167,'E2 — Triagem'!$B$8:$B$507,0)),""))</f>
        <v/>
      </c>
      <c r="E167" s="179"/>
      <c r="F167" s="179"/>
      <c r="G167" s="179"/>
      <c r="H167" s="179"/>
      <c r="I167" s="179"/>
      <c r="J167" s="180" t="str">
        <f t="shared" si="2"/>
        <v/>
      </c>
      <c r="K167" s="179"/>
      <c r="L167" s="184"/>
      <c r="M167" s="183"/>
      <c r="N167" s="175"/>
    </row>
    <row r="168" spans="2:14" x14ac:dyDescent="0.35">
      <c r="B168" s="177" t="str">
        <f>IF(Lançamentos!$B163="","",Lançamentos!$B163)</f>
        <v/>
      </c>
      <c r="C168" s="178" t="str">
        <f>IF($B168="","",IFERROR(INDEX(Lançamentos!$J$3:$J$1001,MATCH($B168,Lançamentos!$B$3:$B$1001,0)),""))</f>
        <v/>
      </c>
      <c r="D168" s="415" t="str">
        <f>IF($B168="","",IFERROR(INDEX('E2 — Triagem'!$D$8:$D$507,MATCH($B168,'E2 — Triagem'!$B$8:$B$507,0)),""))</f>
        <v/>
      </c>
      <c r="E168" s="179"/>
      <c r="F168" s="179"/>
      <c r="G168" s="179"/>
      <c r="H168" s="179"/>
      <c r="I168" s="179"/>
      <c r="J168" s="180" t="str">
        <f t="shared" si="2"/>
        <v/>
      </c>
      <c r="K168" s="179"/>
      <c r="L168" s="184"/>
      <c r="M168" s="183"/>
      <c r="N168" s="175"/>
    </row>
    <row r="169" spans="2:14" x14ac:dyDescent="0.35">
      <c r="B169" s="177" t="str">
        <f>IF(Lançamentos!$B164="","",Lançamentos!$B164)</f>
        <v/>
      </c>
      <c r="C169" s="178" t="str">
        <f>IF($B169="","",IFERROR(INDEX(Lançamentos!$J$3:$J$1001,MATCH($B169,Lançamentos!$B$3:$B$1001,0)),""))</f>
        <v/>
      </c>
      <c r="D169" s="415" t="str">
        <f>IF($B169="","",IFERROR(INDEX('E2 — Triagem'!$D$8:$D$507,MATCH($B169,'E2 — Triagem'!$B$8:$B$507,0)),""))</f>
        <v/>
      </c>
      <c r="E169" s="179"/>
      <c r="F169" s="179"/>
      <c r="G169" s="179"/>
      <c r="H169" s="179"/>
      <c r="I169" s="179"/>
      <c r="J169" s="180" t="str">
        <f t="shared" si="2"/>
        <v/>
      </c>
      <c r="K169" s="179"/>
      <c r="L169" s="184"/>
      <c r="M169" s="183"/>
      <c r="N169" s="175"/>
    </row>
    <row r="170" spans="2:14" x14ac:dyDescent="0.35">
      <c r="B170" s="177" t="str">
        <f>IF(Lançamentos!$B165="","",Lançamentos!$B165)</f>
        <v/>
      </c>
      <c r="C170" s="178" t="str">
        <f>IF($B170="","",IFERROR(INDEX(Lançamentos!$J$3:$J$1001,MATCH($B170,Lançamentos!$B$3:$B$1001,0)),""))</f>
        <v/>
      </c>
      <c r="D170" s="415" t="str">
        <f>IF($B170="","",IFERROR(INDEX('E2 — Triagem'!$D$8:$D$507,MATCH($B170,'E2 — Triagem'!$B$8:$B$507,0)),""))</f>
        <v/>
      </c>
      <c r="E170" s="179"/>
      <c r="F170" s="179"/>
      <c r="G170" s="179"/>
      <c r="H170" s="179"/>
      <c r="I170" s="179"/>
      <c r="J170" s="180" t="str">
        <f t="shared" si="2"/>
        <v/>
      </c>
      <c r="K170" s="179"/>
      <c r="L170" s="184"/>
      <c r="M170" s="183"/>
      <c r="N170" s="175"/>
    </row>
    <row r="171" spans="2:14" x14ac:dyDescent="0.35">
      <c r="B171" s="177" t="str">
        <f>IF(Lançamentos!$B166="","",Lançamentos!$B166)</f>
        <v/>
      </c>
      <c r="C171" s="178" t="str">
        <f>IF($B171="","",IFERROR(INDEX(Lançamentos!$J$3:$J$1001,MATCH($B171,Lançamentos!$B$3:$B$1001,0)),""))</f>
        <v/>
      </c>
      <c r="D171" s="415" t="str">
        <f>IF($B171="","",IFERROR(INDEX('E2 — Triagem'!$D$8:$D$507,MATCH($B171,'E2 — Triagem'!$B$8:$B$507,0)),""))</f>
        <v/>
      </c>
      <c r="E171" s="179"/>
      <c r="F171" s="179"/>
      <c r="G171" s="179"/>
      <c r="H171" s="179"/>
      <c r="I171" s="179"/>
      <c r="J171" s="180" t="str">
        <f t="shared" si="2"/>
        <v/>
      </c>
      <c r="K171" s="179"/>
      <c r="L171" s="184"/>
      <c r="M171" s="183"/>
      <c r="N171" s="175"/>
    </row>
    <row r="172" spans="2:14" x14ac:dyDescent="0.35">
      <c r="B172" s="177" t="str">
        <f>IF(Lançamentos!$B167="","",Lançamentos!$B167)</f>
        <v/>
      </c>
      <c r="C172" s="178" t="str">
        <f>IF($B172="","",IFERROR(INDEX(Lançamentos!$J$3:$J$1001,MATCH($B172,Lançamentos!$B$3:$B$1001,0)),""))</f>
        <v/>
      </c>
      <c r="D172" s="415" t="str">
        <f>IF($B172="","",IFERROR(INDEX('E2 — Triagem'!$D$8:$D$507,MATCH($B172,'E2 — Triagem'!$B$8:$B$507,0)),""))</f>
        <v/>
      </c>
      <c r="E172" s="179"/>
      <c r="F172" s="179"/>
      <c r="G172" s="179"/>
      <c r="H172" s="179"/>
      <c r="I172" s="179"/>
      <c r="J172" s="180" t="str">
        <f t="shared" si="2"/>
        <v/>
      </c>
      <c r="K172" s="179"/>
      <c r="L172" s="184"/>
      <c r="M172" s="183"/>
      <c r="N172" s="175"/>
    </row>
    <row r="173" spans="2:14" x14ac:dyDescent="0.35">
      <c r="B173" s="177" t="str">
        <f>IF(Lançamentos!$B168="","",Lançamentos!$B168)</f>
        <v/>
      </c>
      <c r="C173" s="178" t="str">
        <f>IF($B173="","",IFERROR(INDEX(Lançamentos!$J$3:$J$1001,MATCH($B173,Lançamentos!$B$3:$B$1001,0)),""))</f>
        <v/>
      </c>
      <c r="D173" s="415" t="str">
        <f>IF($B173="","",IFERROR(INDEX('E2 — Triagem'!$D$8:$D$507,MATCH($B173,'E2 — Triagem'!$B$8:$B$507,0)),""))</f>
        <v/>
      </c>
      <c r="E173" s="179"/>
      <c r="F173" s="179"/>
      <c r="G173" s="179"/>
      <c r="H173" s="179"/>
      <c r="I173" s="179"/>
      <c r="J173" s="180" t="str">
        <f t="shared" si="2"/>
        <v/>
      </c>
      <c r="K173" s="179"/>
      <c r="L173" s="184"/>
      <c r="M173" s="183"/>
      <c r="N173" s="175"/>
    </row>
    <row r="174" spans="2:14" x14ac:dyDescent="0.35">
      <c r="B174" s="177" t="str">
        <f>IF(Lançamentos!$B169="","",Lançamentos!$B169)</f>
        <v/>
      </c>
      <c r="C174" s="178" t="str">
        <f>IF($B174="","",IFERROR(INDEX(Lançamentos!$J$3:$J$1001,MATCH($B174,Lançamentos!$B$3:$B$1001,0)),""))</f>
        <v/>
      </c>
      <c r="D174" s="415" t="str">
        <f>IF($B174="","",IFERROR(INDEX('E2 — Triagem'!$D$8:$D$507,MATCH($B174,'E2 — Triagem'!$B$8:$B$507,0)),""))</f>
        <v/>
      </c>
      <c r="E174" s="179"/>
      <c r="F174" s="179"/>
      <c r="G174" s="179"/>
      <c r="H174" s="179"/>
      <c r="I174" s="179"/>
      <c r="J174" s="180" t="str">
        <f t="shared" si="2"/>
        <v/>
      </c>
      <c r="K174" s="179"/>
      <c r="L174" s="184"/>
      <c r="M174" s="183"/>
      <c r="N174" s="175"/>
    </row>
    <row r="175" spans="2:14" x14ac:dyDescent="0.35">
      <c r="B175" s="177" t="str">
        <f>IF(Lançamentos!$B170="","",Lançamentos!$B170)</f>
        <v/>
      </c>
      <c r="C175" s="178" t="str">
        <f>IF($B175="","",IFERROR(INDEX(Lançamentos!$J$3:$J$1001,MATCH($B175,Lançamentos!$B$3:$B$1001,0)),""))</f>
        <v/>
      </c>
      <c r="D175" s="415" t="str">
        <f>IF($B175="","",IFERROR(INDEX('E2 — Triagem'!$D$8:$D$507,MATCH($B175,'E2 — Triagem'!$B$8:$B$507,0)),""))</f>
        <v/>
      </c>
      <c r="E175" s="179"/>
      <c r="F175" s="179"/>
      <c r="G175" s="179"/>
      <c r="H175" s="179"/>
      <c r="I175" s="179"/>
      <c r="J175" s="180" t="str">
        <f t="shared" si="2"/>
        <v/>
      </c>
      <c r="K175" s="179"/>
      <c r="L175" s="184"/>
      <c r="M175" s="183"/>
      <c r="N175" s="175"/>
    </row>
    <row r="176" spans="2:14" x14ac:dyDescent="0.35">
      <c r="B176" s="177" t="str">
        <f>IF(Lançamentos!$B171="","",Lançamentos!$B171)</f>
        <v/>
      </c>
      <c r="C176" s="178" t="str">
        <f>IF($B176="","",IFERROR(INDEX(Lançamentos!$J$3:$J$1001,MATCH($B176,Lançamentos!$B$3:$B$1001,0)),""))</f>
        <v/>
      </c>
      <c r="D176" s="415" t="str">
        <f>IF($B176="","",IFERROR(INDEX('E2 — Triagem'!$D$8:$D$507,MATCH($B176,'E2 — Triagem'!$B$8:$B$507,0)),""))</f>
        <v/>
      </c>
      <c r="E176" s="179"/>
      <c r="F176" s="179"/>
      <c r="G176" s="179"/>
      <c r="H176" s="179"/>
      <c r="I176" s="179"/>
      <c r="J176" s="180" t="str">
        <f t="shared" si="2"/>
        <v/>
      </c>
      <c r="K176" s="179"/>
      <c r="L176" s="184"/>
      <c r="M176" s="183"/>
      <c r="N176" s="175"/>
    </row>
    <row r="177" spans="2:14" x14ac:dyDescent="0.35">
      <c r="B177" s="177" t="str">
        <f>IF(Lançamentos!$B172="","",Lançamentos!$B172)</f>
        <v/>
      </c>
      <c r="C177" s="178" t="str">
        <f>IF($B177="","",IFERROR(INDEX(Lançamentos!$J$3:$J$1001,MATCH($B177,Lançamentos!$B$3:$B$1001,0)),""))</f>
        <v/>
      </c>
      <c r="D177" s="415" t="str">
        <f>IF($B177="","",IFERROR(INDEX('E2 — Triagem'!$D$8:$D$507,MATCH($B177,'E2 — Triagem'!$B$8:$B$507,0)),""))</f>
        <v/>
      </c>
      <c r="E177" s="179"/>
      <c r="F177" s="179"/>
      <c r="G177" s="179"/>
      <c r="H177" s="179"/>
      <c r="I177" s="179"/>
      <c r="J177" s="180" t="str">
        <f t="shared" si="2"/>
        <v/>
      </c>
      <c r="K177" s="179"/>
      <c r="L177" s="184"/>
      <c r="M177" s="183"/>
      <c r="N177" s="175"/>
    </row>
    <row r="178" spans="2:14" x14ac:dyDescent="0.35">
      <c r="B178" s="177" t="str">
        <f>IF(Lançamentos!$B173="","",Lançamentos!$B173)</f>
        <v/>
      </c>
      <c r="C178" s="178" t="str">
        <f>IF($B178="","",IFERROR(INDEX(Lançamentos!$J$3:$J$1001,MATCH($B178,Lançamentos!$B$3:$B$1001,0)),""))</f>
        <v/>
      </c>
      <c r="D178" s="415" t="str">
        <f>IF($B178="","",IFERROR(INDEX('E2 — Triagem'!$D$8:$D$507,MATCH($B178,'E2 — Triagem'!$B$8:$B$507,0)),""))</f>
        <v/>
      </c>
      <c r="E178" s="179"/>
      <c r="F178" s="179"/>
      <c r="G178" s="179"/>
      <c r="H178" s="179"/>
      <c r="I178" s="179"/>
      <c r="J178" s="180" t="str">
        <f t="shared" si="2"/>
        <v/>
      </c>
      <c r="K178" s="179"/>
      <c r="L178" s="184"/>
      <c r="M178" s="183"/>
      <c r="N178" s="175"/>
    </row>
    <row r="179" spans="2:14" x14ac:dyDescent="0.35">
      <c r="B179" s="177" t="str">
        <f>IF(Lançamentos!$B174="","",Lançamentos!$B174)</f>
        <v/>
      </c>
      <c r="C179" s="178" t="str">
        <f>IF($B179="","",IFERROR(INDEX(Lançamentos!$J$3:$J$1001,MATCH($B179,Lançamentos!$B$3:$B$1001,0)),""))</f>
        <v/>
      </c>
      <c r="D179" s="415" t="str">
        <f>IF($B179="","",IFERROR(INDEX('E2 — Triagem'!$D$8:$D$507,MATCH($B179,'E2 — Triagem'!$B$8:$B$507,0)),""))</f>
        <v/>
      </c>
      <c r="E179" s="179"/>
      <c r="F179" s="179"/>
      <c r="G179" s="179"/>
      <c r="H179" s="179"/>
      <c r="I179" s="179"/>
      <c r="J179" s="180" t="str">
        <f t="shared" si="2"/>
        <v/>
      </c>
      <c r="K179" s="179"/>
      <c r="L179" s="184"/>
      <c r="M179" s="183"/>
      <c r="N179" s="175"/>
    </row>
    <row r="180" spans="2:14" x14ac:dyDescent="0.35">
      <c r="B180" s="177" t="str">
        <f>IF(Lançamentos!$B175="","",Lançamentos!$B175)</f>
        <v/>
      </c>
      <c r="C180" s="178" t="str">
        <f>IF($B180="","",IFERROR(INDEX(Lançamentos!$J$3:$J$1001,MATCH($B180,Lançamentos!$B$3:$B$1001,0)),""))</f>
        <v/>
      </c>
      <c r="D180" s="415" t="str">
        <f>IF($B180="","",IFERROR(INDEX('E2 — Triagem'!$D$8:$D$507,MATCH($B180,'E2 — Triagem'!$B$8:$B$507,0)),""))</f>
        <v/>
      </c>
      <c r="E180" s="179"/>
      <c r="F180" s="179"/>
      <c r="G180" s="179"/>
      <c r="H180" s="179"/>
      <c r="I180" s="179"/>
      <c r="J180" s="180" t="str">
        <f t="shared" si="2"/>
        <v/>
      </c>
      <c r="K180" s="179"/>
      <c r="L180" s="184"/>
      <c r="M180" s="183"/>
      <c r="N180" s="175"/>
    </row>
    <row r="181" spans="2:14" x14ac:dyDescent="0.35">
      <c r="B181" s="177" t="str">
        <f>IF(Lançamentos!$B176="","",Lançamentos!$B176)</f>
        <v/>
      </c>
      <c r="C181" s="178" t="str">
        <f>IF($B181="","",IFERROR(INDEX(Lançamentos!$J$3:$J$1001,MATCH($B181,Lançamentos!$B$3:$B$1001,0)),""))</f>
        <v/>
      </c>
      <c r="D181" s="415" t="str">
        <f>IF($B181="","",IFERROR(INDEX('E2 — Triagem'!$D$8:$D$507,MATCH($B181,'E2 — Triagem'!$B$8:$B$507,0)),""))</f>
        <v/>
      </c>
      <c r="E181" s="179"/>
      <c r="F181" s="179"/>
      <c r="G181" s="179"/>
      <c r="H181" s="179"/>
      <c r="I181" s="179"/>
      <c r="J181" s="180" t="str">
        <f t="shared" si="2"/>
        <v/>
      </c>
      <c r="K181" s="179"/>
      <c r="L181" s="184"/>
      <c r="M181" s="183"/>
      <c r="N181" s="175"/>
    </row>
    <row r="182" spans="2:14" x14ac:dyDescent="0.35">
      <c r="B182" s="177" t="str">
        <f>IF(Lançamentos!$B177="","",Lançamentos!$B177)</f>
        <v/>
      </c>
      <c r="C182" s="178" t="str">
        <f>IF($B182="","",IFERROR(INDEX(Lançamentos!$J$3:$J$1001,MATCH($B182,Lançamentos!$B$3:$B$1001,0)),""))</f>
        <v/>
      </c>
      <c r="D182" s="415" t="str">
        <f>IF($B182="","",IFERROR(INDEX('E2 — Triagem'!$D$8:$D$507,MATCH($B182,'E2 — Triagem'!$B$8:$B$507,0)),""))</f>
        <v/>
      </c>
      <c r="E182" s="179"/>
      <c r="F182" s="179"/>
      <c r="G182" s="179"/>
      <c r="H182" s="179"/>
      <c r="I182" s="179"/>
      <c r="J182" s="180" t="str">
        <f t="shared" si="2"/>
        <v/>
      </c>
      <c r="K182" s="179"/>
      <c r="L182" s="184"/>
      <c r="M182" s="183"/>
      <c r="N182" s="175"/>
    </row>
    <row r="183" spans="2:14" x14ac:dyDescent="0.35">
      <c r="B183" s="177" t="str">
        <f>IF(Lançamentos!$B178="","",Lançamentos!$B178)</f>
        <v/>
      </c>
      <c r="C183" s="178" t="str">
        <f>IF($B183="","",IFERROR(INDEX(Lançamentos!$J$3:$J$1001,MATCH($B183,Lançamentos!$B$3:$B$1001,0)),""))</f>
        <v/>
      </c>
      <c r="D183" s="415" t="str">
        <f>IF($B183="","",IFERROR(INDEX('E2 — Triagem'!$D$8:$D$507,MATCH($B183,'E2 — Triagem'!$B$8:$B$507,0)),""))</f>
        <v/>
      </c>
      <c r="E183" s="179"/>
      <c r="F183" s="179"/>
      <c r="G183" s="179"/>
      <c r="H183" s="179"/>
      <c r="I183" s="179"/>
      <c r="J183" s="180" t="str">
        <f t="shared" si="2"/>
        <v/>
      </c>
      <c r="K183" s="179"/>
      <c r="L183" s="184"/>
      <c r="M183" s="183"/>
      <c r="N183" s="175"/>
    </row>
    <row r="184" spans="2:14" x14ac:dyDescent="0.35">
      <c r="B184" s="177" t="str">
        <f>IF(Lançamentos!$B179="","",Lançamentos!$B179)</f>
        <v/>
      </c>
      <c r="C184" s="178" t="str">
        <f>IF($B184="","",IFERROR(INDEX(Lançamentos!$J$3:$J$1001,MATCH($B184,Lançamentos!$B$3:$B$1001,0)),""))</f>
        <v/>
      </c>
      <c r="D184" s="415" t="str">
        <f>IF($B184="","",IFERROR(INDEX('E2 — Triagem'!$D$8:$D$507,MATCH($B184,'E2 — Triagem'!$B$8:$B$507,0)),""))</f>
        <v/>
      </c>
      <c r="E184" s="179"/>
      <c r="F184" s="179"/>
      <c r="G184" s="179"/>
      <c r="H184" s="179"/>
      <c r="I184" s="179"/>
      <c r="J184" s="180" t="str">
        <f t="shared" si="2"/>
        <v/>
      </c>
      <c r="K184" s="179"/>
      <c r="L184" s="184"/>
      <c r="M184" s="183"/>
      <c r="N184" s="175"/>
    </row>
    <row r="185" spans="2:14" x14ac:dyDescent="0.35">
      <c r="B185" s="177" t="str">
        <f>IF(Lançamentos!$B180="","",Lançamentos!$B180)</f>
        <v/>
      </c>
      <c r="C185" s="178" t="str">
        <f>IF($B185="","",IFERROR(INDEX(Lançamentos!$J$3:$J$1001,MATCH($B185,Lançamentos!$B$3:$B$1001,0)),""))</f>
        <v/>
      </c>
      <c r="D185" s="415" t="str">
        <f>IF($B185="","",IFERROR(INDEX('E2 — Triagem'!$D$8:$D$507,MATCH($B185,'E2 — Triagem'!$B$8:$B$507,0)),""))</f>
        <v/>
      </c>
      <c r="E185" s="179"/>
      <c r="F185" s="179"/>
      <c r="G185" s="179"/>
      <c r="H185" s="179"/>
      <c r="I185" s="179"/>
      <c r="J185" s="180" t="str">
        <f t="shared" si="2"/>
        <v/>
      </c>
      <c r="K185" s="179"/>
      <c r="L185" s="184"/>
      <c r="M185" s="183"/>
      <c r="N185" s="175"/>
    </row>
    <row r="186" spans="2:14" x14ac:dyDescent="0.35">
      <c r="B186" s="177" t="str">
        <f>IF(Lançamentos!$B181="","",Lançamentos!$B181)</f>
        <v/>
      </c>
      <c r="C186" s="178" t="str">
        <f>IF($B186="","",IFERROR(INDEX(Lançamentos!$J$3:$J$1001,MATCH($B186,Lançamentos!$B$3:$B$1001,0)),""))</f>
        <v/>
      </c>
      <c r="D186" s="415" t="str">
        <f>IF($B186="","",IFERROR(INDEX('E2 — Triagem'!$D$8:$D$507,MATCH($B186,'E2 — Triagem'!$B$8:$B$507,0)),""))</f>
        <v/>
      </c>
      <c r="E186" s="179"/>
      <c r="F186" s="179"/>
      <c r="G186" s="179"/>
      <c r="H186" s="179"/>
      <c r="I186" s="179"/>
      <c r="J186" s="180" t="str">
        <f t="shared" si="2"/>
        <v/>
      </c>
      <c r="K186" s="179"/>
      <c r="L186" s="184"/>
      <c r="M186" s="183"/>
      <c r="N186" s="175"/>
    </row>
    <row r="187" spans="2:14" x14ac:dyDescent="0.35">
      <c r="B187" s="177" t="str">
        <f>IF(Lançamentos!$B182="","",Lançamentos!$B182)</f>
        <v/>
      </c>
      <c r="C187" s="178" t="str">
        <f>IF($B187="","",IFERROR(INDEX(Lançamentos!$J$3:$J$1001,MATCH($B187,Lançamentos!$B$3:$B$1001,0)),""))</f>
        <v/>
      </c>
      <c r="D187" s="415" t="str">
        <f>IF($B187="","",IFERROR(INDEX('E2 — Triagem'!$D$8:$D$507,MATCH($B187,'E2 — Triagem'!$B$8:$B$507,0)),""))</f>
        <v/>
      </c>
      <c r="E187" s="179"/>
      <c r="F187" s="179"/>
      <c r="G187" s="179"/>
      <c r="H187" s="179"/>
      <c r="I187" s="179"/>
      <c r="J187" s="180" t="str">
        <f t="shared" si="2"/>
        <v/>
      </c>
      <c r="K187" s="179"/>
      <c r="L187" s="184"/>
      <c r="M187" s="183"/>
      <c r="N187" s="175"/>
    </row>
    <row r="188" spans="2:14" x14ac:dyDescent="0.35">
      <c r="B188" s="177" t="str">
        <f>IF(Lançamentos!$B183="","",Lançamentos!$B183)</f>
        <v/>
      </c>
      <c r="C188" s="178" t="str">
        <f>IF($B188="","",IFERROR(INDEX(Lançamentos!$J$3:$J$1001,MATCH($B188,Lançamentos!$B$3:$B$1001,0)),""))</f>
        <v/>
      </c>
      <c r="D188" s="415" t="str">
        <f>IF($B188="","",IFERROR(INDEX('E2 — Triagem'!$D$8:$D$507,MATCH($B188,'E2 — Triagem'!$B$8:$B$507,0)),""))</f>
        <v/>
      </c>
      <c r="E188" s="179"/>
      <c r="F188" s="179"/>
      <c r="G188" s="179"/>
      <c r="H188" s="179"/>
      <c r="I188" s="179"/>
      <c r="J188" s="180" t="str">
        <f t="shared" si="2"/>
        <v/>
      </c>
      <c r="K188" s="179"/>
      <c r="L188" s="184"/>
      <c r="M188" s="183"/>
      <c r="N188" s="175"/>
    </row>
    <row r="189" spans="2:14" x14ac:dyDescent="0.35">
      <c r="B189" s="177" t="str">
        <f>IF(Lançamentos!$B184="","",Lançamentos!$B184)</f>
        <v/>
      </c>
      <c r="C189" s="178" t="str">
        <f>IF($B189="","",IFERROR(INDEX(Lançamentos!$J$3:$J$1001,MATCH($B189,Lançamentos!$B$3:$B$1001,0)),""))</f>
        <v/>
      </c>
      <c r="D189" s="415" t="str">
        <f>IF($B189="","",IFERROR(INDEX('E2 — Triagem'!$D$8:$D$507,MATCH($B189,'E2 — Triagem'!$B$8:$B$507,0)),""))</f>
        <v/>
      </c>
      <c r="E189" s="179"/>
      <c r="F189" s="179"/>
      <c r="G189" s="179"/>
      <c r="H189" s="179"/>
      <c r="I189" s="179"/>
      <c r="J189" s="180" t="str">
        <f t="shared" si="2"/>
        <v/>
      </c>
      <c r="K189" s="179"/>
      <c r="L189" s="184"/>
      <c r="M189" s="183"/>
      <c r="N189" s="175"/>
    </row>
    <row r="190" spans="2:14" x14ac:dyDescent="0.35">
      <c r="B190" s="177" t="str">
        <f>IF(Lançamentos!$B185="","",Lançamentos!$B185)</f>
        <v/>
      </c>
      <c r="C190" s="178" t="str">
        <f>IF($B190="","",IFERROR(INDEX(Lançamentos!$J$3:$J$1001,MATCH($B190,Lançamentos!$B$3:$B$1001,0)),""))</f>
        <v/>
      </c>
      <c r="D190" s="415" t="str">
        <f>IF($B190="","",IFERROR(INDEX('E2 — Triagem'!$D$8:$D$507,MATCH($B190,'E2 — Triagem'!$B$8:$B$507,0)),""))</f>
        <v/>
      </c>
      <c r="E190" s="179"/>
      <c r="F190" s="179"/>
      <c r="G190" s="179"/>
      <c r="H190" s="179"/>
      <c r="I190" s="179"/>
      <c r="J190" s="180" t="str">
        <f t="shared" si="2"/>
        <v/>
      </c>
      <c r="K190" s="179"/>
      <c r="L190" s="184"/>
      <c r="M190" s="183"/>
      <c r="N190" s="175"/>
    </row>
    <row r="191" spans="2:14" x14ac:dyDescent="0.35">
      <c r="B191" s="177" t="str">
        <f>IF(Lançamentos!$B186="","",Lançamentos!$B186)</f>
        <v/>
      </c>
      <c r="C191" s="178" t="str">
        <f>IF($B191="","",IFERROR(INDEX(Lançamentos!$J$3:$J$1001,MATCH($B191,Lançamentos!$B$3:$B$1001,0)),""))</f>
        <v/>
      </c>
      <c r="D191" s="415" t="str">
        <f>IF($B191="","",IFERROR(INDEX('E2 — Triagem'!$D$8:$D$507,MATCH($B191,'E2 — Triagem'!$B$8:$B$507,0)),""))</f>
        <v/>
      </c>
      <c r="E191" s="179"/>
      <c r="F191" s="179"/>
      <c r="G191" s="179"/>
      <c r="H191" s="179"/>
      <c r="I191" s="179"/>
      <c r="J191" s="180" t="str">
        <f t="shared" si="2"/>
        <v/>
      </c>
      <c r="K191" s="179"/>
      <c r="L191" s="184"/>
      <c r="M191" s="183"/>
      <c r="N191" s="175"/>
    </row>
    <row r="192" spans="2:14" x14ac:dyDescent="0.35">
      <c r="B192" s="177" t="str">
        <f>IF(Lançamentos!$B187="","",Lançamentos!$B187)</f>
        <v/>
      </c>
      <c r="C192" s="178" t="str">
        <f>IF($B192="","",IFERROR(INDEX(Lançamentos!$J$3:$J$1001,MATCH($B192,Lançamentos!$B$3:$B$1001,0)),""))</f>
        <v/>
      </c>
      <c r="D192" s="415" t="str">
        <f>IF($B192="","",IFERROR(INDEX('E2 — Triagem'!$D$8:$D$507,MATCH($B192,'E2 — Triagem'!$B$8:$B$507,0)),""))</f>
        <v/>
      </c>
      <c r="E192" s="179"/>
      <c r="F192" s="179"/>
      <c r="G192" s="179"/>
      <c r="H192" s="179"/>
      <c r="I192" s="179"/>
      <c r="J192" s="180" t="str">
        <f t="shared" si="2"/>
        <v/>
      </c>
      <c r="K192" s="179"/>
      <c r="L192" s="184"/>
      <c r="M192" s="183"/>
      <c r="N192" s="175"/>
    </row>
    <row r="193" spans="2:14" x14ac:dyDescent="0.35">
      <c r="B193" s="177" t="str">
        <f>IF(Lançamentos!$B188="","",Lançamentos!$B188)</f>
        <v/>
      </c>
      <c r="C193" s="178" t="str">
        <f>IF($B193="","",IFERROR(INDEX(Lançamentos!$J$3:$J$1001,MATCH($B193,Lançamentos!$B$3:$B$1001,0)),""))</f>
        <v/>
      </c>
      <c r="D193" s="415" t="str">
        <f>IF($B193="","",IFERROR(INDEX('E2 — Triagem'!$D$8:$D$507,MATCH($B193,'E2 — Triagem'!$B$8:$B$507,0)),""))</f>
        <v/>
      </c>
      <c r="E193" s="179"/>
      <c r="F193" s="179"/>
      <c r="G193" s="179"/>
      <c r="H193" s="179"/>
      <c r="I193" s="179"/>
      <c r="J193" s="180" t="str">
        <f t="shared" si="2"/>
        <v/>
      </c>
      <c r="K193" s="179"/>
      <c r="L193" s="184"/>
      <c r="M193" s="183"/>
      <c r="N193" s="175"/>
    </row>
    <row r="194" spans="2:14" x14ac:dyDescent="0.35">
      <c r="B194" s="177" t="str">
        <f>IF(Lançamentos!$B189="","",Lançamentos!$B189)</f>
        <v/>
      </c>
      <c r="C194" s="178" t="str">
        <f>IF($B194="","",IFERROR(INDEX(Lançamentos!$J$3:$J$1001,MATCH($B194,Lançamentos!$B$3:$B$1001,0)),""))</f>
        <v/>
      </c>
      <c r="D194" s="415" t="str">
        <f>IF($B194="","",IFERROR(INDEX('E2 — Triagem'!$D$8:$D$507,MATCH($B194,'E2 — Triagem'!$B$8:$B$507,0)),""))</f>
        <v/>
      </c>
      <c r="E194" s="179"/>
      <c r="F194" s="179"/>
      <c r="G194" s="179"/>
      <c r="H194" s="179"/>
      <c r="I194" s="179"/>
      <c r="J194" s="180" t="str">
        <f t="shared" si="2"/>
        <v/>
      </c>
      <c r="K194" s="179"/>
      <c r="L194" s="184"/>
      <c r="M194" s="183"/>
      <c r="N194" s="175"/>
    </row>
    <row r="195" spans="2:14" x14ac:dyDescent="0.35">
      <c r="B195" s="177" t="str">
        <f>IF(Lançamentos!$B190="","",Lançamentos!$B190)</f>
        <v/>
      </c>
      <c r="C195" s="178" t="str">
        <f>IF($B195="","",IFERROR(INDEX(Lançamentos!$J$3:$J$1001,MATCH($B195,Lançamentos!$B$3:$B$1001,0)),""))</f>
        <v/>
      </c>
      <c r="D195" s="415" t="str">
        <f>IF($B195="","",IFERROR(INDEX('E2 — Triagem'!$D$8:$D$507,MATCH($B195,'E2 — Triagem'!$B$8:$B$507,0)),""))</f>
        <v/>
      </c>
      <c r="E195" s="179"/>
      <c r="F195" s="179"/>
      <c r="G195" s="179"/>
      <c r="H195" s="179"/>
      <c r="I195" s="179"/>
      <c r="J195" s="180" t="str">
        <f t="shared" si="2"/>
        <v/>
      </c>
      <c r="K195" s="179"/>
      <c r="L195" s="184"/>
      <c r="M195" s="183"/>
      <c r="N195" s="175"/>
    </row>
    <row r="196" spans="2:14" x14ac:dyDescent="0.35">
      <c r="B196" s="177" t="str">
        <f>IF(Lançamentos!$B191="","",Lançamentos!$B191)</f>
        <v/>
      </c>
      <c r="C196" s="178" t="str">
        <f>IF($B196="","",IFERROR(INDEX(Lançamentos!$J$3:$J$1001,MATCH($B196,Lançamentos!$B$3:$B$1001,0)),""))</f>
        <v/>
      </c>
      <c r="D196" s="415" t="str">
        <f>IF($B196="","",IFERROR(INDEX('E2 — Triagem'!$D$8:$D$507,MATCH($B196,'E2 — Triagem'!$B$8:$B$507,0)),""))</f>
        <v/>
      </c>
      <c r="E196" s="179"/>
      <c r="F196" s="179"/>
      <c r="G196" s="179"/>
      <c r="H196" s="179"/>
      <c r="I196" s="179"/>
      <c r="J196" s="180" t="str">
        <f t="shared" si="2"/>
        <v/>
      </c>
      <c r="K196" s="179"/>
      <c r="L196" s="184"/>
      <c r="M196" s="183"/>
      <c r="N196" s="175"/>
    </row>
    <row r="197" spans="2:14" x14ac:dyDescent="0.35">
      <c r="B197" s="177" t="str">
        <f>IF(Lançamentos!$B192="","",Lançamentos!$B192)</f>
        <v/>
      </c>
      <c r="C197" s="178" t="str">
        <f>IF($B197="","",IFERROR(INDEX(Lançamentos!$J$3:$J$1001,MATCH($B197,Lançamentos!$B$3:$B$1001,0)),""))</f>
        <v/>
      </c>
      <c r="D197" s="415" t="str">
        <f>IF($B197="","",IFERROR(INDEX('E2 — Triagem'!$D$8:$D$507,MATCH($B197,'E2 — Triagem'!$B$8:$B$507,0)),""))</f>
        <v/>
      </c>
      <c r="E197" s="179"/>
      <c r="F197" s="179"/>
      <c r="G197" s="179"/>
      <c r="H197" s="179"/>
      <c r="I197" s="179"/>
      <c r="J197" s="180" t="str">
        <f t="shared" si="2"/>
        <v/>
      </c>
      <c r="K197" s="179"/>
      <c r="L197" s="184"/>
      <c r="M197" s="183"/>
      <c r="N197" s="175"/>
    </row>
    <row r="198" spans="2:14" x14ac:dyDescent="0.35">
      <c r="B198" s="177" t="str">
        <f>IF(Lançamentos!$B193="","",Lançamentos!$B193)</f>
        <v/>
      </c>
      <c r="C198" s="178" t="str">
        <f>IF($B198="","",IFERROR(INDEX(Lançamentos!$J$3:$J$1001,MATCH($B198,Lançamentos!$B$3:$B$1001,0)),""))</f>
        <v/>
      </c>
      <c r="D198" s="415" t="str">
        <f>IF($B198="","",IFERROR(INDEX('E2 — Triagem'!$D$8:$D$507,MATCH($B198,'E2 — Triagem'!$B$8:$B$507,0)),""))</f>
        <v/>
      </c>
      <c r="E198" s="179"/>
      <c r="F198" s="179"/>
      <c r="G198" s="179"/>
      <c r="H198" s="179"/>
      <c r="I198" s="179"/>
      <c r="J198" s="180" t="str">
        <f t="shared" si="2"/>
        <v/>
      </c>
      <c r="K198" s="179"/>
      <c r="L198" s="184"/>
      <c r="M198" s="183"/>
      <c r="N198" s="175"/>
    </row>
    <row r="199" spans="2:14" x14ac:dyDescent="0.35">
      <c r="B199" s="177" t="str">
        <f>IF(Lançamentos!$B194="","",Lançamentos!$B194)</f>
        <v/>
      </c>
      <c r="C199" s="178" t="str">
        <f>IF($B199="","",IFERROR(INDEX(Lançamentos!$J$3:$J$1001,MATCH($B199,Lançamentos!$B$3:$B$1001,0)),""))</f>
        <v/>
      </c>
      <c r="D199" s="415" t="str">
        <f>IF($B199="","",IFERROR(INDEX('E2 — Triagem'!$D$8:$D$507,MATCH($B199,'E2 — Triagem'!$B$8:$B$507,0)),""))</f>
        <v/>
      </c>
      <c r="E199" s="179"/>
      <c r="F199" s="179"/>
      <c r="G199" s="179"/>
      <c r="H199" s="179"/>
      <c r="I199" s="179"/>
      <c r="J199" s="180" t="str">
        <f t="shared" si="2"/>
        <v/>
      </c>
      <c r="K199" s="179"/>
      <c r="L199" s="184"/>
      <c r="M199" s="183"/>
      <c r="N199" s="175"/>
    </row>
    <row r="200" spans="2:14" x14ac:dyDescent="0.35">
      <c r="B200" s="177" t="str">
        <f>IF(Lançamentos!$B195="","",Lançamentos!$B195)</f>
        <v/>
      </c>
      <c r="C200" s="178" t="str">
        <f>IF($B200="","",IFERROR(INDEX(Lançamentos!$J$3:$J$1001,MATCH($B200,Lançamentos!$B$3:$B$1001,0)),""))</f>
        <v/>
      </c>
      <c r="D200" s="415" t="str">
        <f>IF($B200="","",IFERROR(INDEX('E2 — Triagem'!$D$8:$D$507,MATCH($B200,'E2 — Triagem'!$B$8:$B$507,0)),""))</f>
        <v/>
      </c>
      <c r="E200" s="179"/>
      <c r="F200" s="179"/>
      <c r="G200" s="179"/>
      <c r="H200" s="179"/>
      <c r="I200" s="179"/>
      <c r="J200" s="180" t="str">
        <f t="shared" ref="J200:J207" si="3">IF(B200="","",IF(COUNTIF(E200:I200,"N/A")=5,0,IF(COUNTIF(E200:I200,"✔ Concluído")=5,1,MIN(99%,COUNTIF(E200:I200,"✔ Concluído")/(5-COUNTIF(E200:I200,"N/A"))))))</f>
        <v/>
      </c>
      <c r="K200" s="179"/>
      <c r="L200" s="184"/>
      <c r="M200" s="183"/>
      <c r="N200" s="175"/>
    </row>
    <row r="201" spans="2:14" x14ac:dyDescent="0.35">
      <c r="B201" s="177" t="str">
        <f>IF(Lançamentos!$B196="","",Lançamentos!$B196)</f>
        <v/>
      </c>
      <c r="C201" s="178" t="str">
        <f>IF($B201="","",IFERROR(INDEX(Lançamentos!$J$3:$J$1001,MATCH($B201,Lançamentos!$B$3:$B$1001,0)),""))</f>
        <v/>
      </c>
      <c r="D201" s="415" t="str">
        <f>IF($B201="","",IFERROR(INDEX('E2 — Triagem'!$D$8:$D$507,MATCH($B201,'E2 — Triagem'!$B$8:$B$507,0)),""))</f>
        <v/>
      </c>
      <c r="E201" s="179"/>
      <c r="F201" s="179"/>
      <c r="G201" s="179"/>
      <c r="H201" s="179"/>
      <c r="I201" s="179"/>
      <c r="J201" s="180" t="str">
        <f t="shared" si="3"/>
        <v/>
      </c>
      <c r="K201" s="179"/>
      <c r="L201" s="184"/>
      <c r="M201" s="183"/>
      <c r="N201" s="175"/>
    </row>
    <row r="202" spans="2:14" x14ac:dyDescent="0.35">
      <c r="B202" s="177" t="str">
        <f>IF(Lançamentos!$B197="","",Lançamentos!$B197)</f>
        <v/>
      </c>
      <c r="C202" s="178" t="str">
        <f>IF($B202="","",IFERROR(INDEX(Lançamentos!$J$3:$J$1001,MATCH($B202,Lançamentos!$B$3:$B$1001,0)),""))</f>
        <v/>
      </c>
      <c r="D202" s="415" t="str">
        <f>IF($B202="","",IFERROR(INDEX('E2 — Triagem'!$D$8:$D$507,MATCH($B202,'E2 — Triagem'!$B$8:$B$507,0)),""))</f>
        <v/>
      </c>
      <c r="E202" s="179"/>
      <c r="F202" s="179"/>
      <c r="G202" s="179"/>
      <c r="H202" s="179"/>
      <c r="I202" s="179"/>
      <c r="J202" s="180" t="str">
        <f t="shared" si="3"/>
        <v/>
      </c>
      <c r="K202" s="179"/>
      <c r="L202" s="184"/>
      <c r="M202" s="183"/>
      <c r="N202" s="175"/>
    </row>
    <row r="203" spans="2:14" x14ac:dyDescent="0.35">
      <c r="B203" s="177" t="str">
        <f>IF(Lançamentos!$B198="","",Lançamentos!$B198)</f>
        <v/>
      </c>
      <c r="C203" s="178" t="str">
        <f>IF($B203="","",IFERROR(INDEX(Lançamentos!$J$3:$J$1001,MATCH($B203,Lançamentos!$B$3:$B$1001,0)),""))</f>
        <v/>
      </c>
      <c r="D203" s="415" t="str">
        <f>IF($B203="","",IFERROR(INDEX('E2 — Triagem'!$D$8:$D$507,MATCH($B203,'E2 — Triagem'!$B$8:$B$507,0)),""))</f>
        <v/>
      </c>
      <c r="E203" s="179"/>
      <c r="F203" s="179"/>
      <c r="G203" s="179"/>
      <c r="H203" s="179"/>
      <c r="I203" s="179"/>
      <c r="J203" s="180" t="str">
        <f t="shared" si="3"/>
        <v/>
      </c>
      <c r="K203" s="179"/>
      <c r="L203" s="184"/>
      <c r="M203" s="183"/>
      <c r="N203" s="175"/>
    </row>
    <row r="204" spans="2:14" x14ac:dyDescent="0.35">
      <c r="B204" s="177" t="str">
        <f>IF(Lançamentos!$B199="","",Lançamentos!$B199)</f>
        <v/>
      </c>
      <c r="C204" s="178" t="str">
        <f>IF($B204="","",IFERROR(INDEX(Lançamentos!$J$3:$J$1001,MATCH($B204,Lançamentos!$B$3:$B$1001,0)),""))</f>
        <v/>
      </c>
      <c r="D204" s="415" t="str">
        <f>IF($B204="","",IFERROR(INDEX('E2 — Triagem'!$D$8:$D$507,MATCH($B204,'E2 — Triagem'!$B$8:$B$507,0)),""))</f>
        <v/>
      </c>
      <c r="E204" s="179"/>
      <c r="F204" s="179"/>
      <c r="G204" s="179"/>
      <c r="H204" s="179"/>
      <c r="I204" s="179"/>
      <c r="J204" s="180" t="str">
        <f t="shared" si="3"/>
        <v/>
      </c>
      <c r="K204" s="179"/>
      <c r="L204" s="184"/>
      <c r="M204" s="183"/>
      <c r="N204" s="175"/>
    </row>
    <row r="205" spans="2:14" x14ac:dyDescent="0.35">
      <c r="B205" s="177" t="str">
        <f>IF(Lançamentos!$B200="","",Lançamentos!$B200)</f>
        <v/>
      </c>
      <c r="C205" s="178" t="str">
        <f>IF($B205="","",IFERROR(INDEX(Lançamentos!$J$3:$J$1001,MATCH($B205,Lançamentos!$B$3:$B$1001,0)),""))</f>
        <v/>
      </c>
      <c r="D205" s="415" t="str">
        <f>IF($B205="","",IFERROR(INDEX('E2 — Triagem'!$D$8:$D$507,MATCH($B205,'E2 — Triagem'!$B$8:$B$507,0)),""))</f>
        <v/>
      </c>
      <c r="E205" s="179"/>
      <c r="F205" s="179"/>
      <c r="G205" s="179"/>
      <c r="H205" s="179"/>
      <c r="I205" s="179"/>
      <c r="J205" s="180" t="str">
        <f t="shared" si="3"/>
        <v/>
      </c>
      <c r="K205" s="179"/>
      <c r="L205" s="184"/>
      <c r="M205" s="183"/>
      <c r="N205" s="175"/>
    </row>
    <row r="206" spans="2:14" x14ac:dyDescent="0.35">
      <c r="B206" s="177" t="str">
        <f>IF(Lançamentos!$B201="","",Lançamentos!$B201)</f>
        <v/>
      </c>
      <c r="C206" s="178" t="str">
        <f>IF($B206="","",IFERROR(INDEX(Lançamentos!$J$3:$J$1001,MATCH($B206,Lançamentos!$B$3:$B$1001,0)),""))</f>
        <v/>
      </c>
      <c r="D206" s="415" t="str">
        <f>IF($B206="","",IFERROR(INDEX('E2 — Triagem'!$D$8:$D$507,MATCH($B206,'E2 — Triagem'!$B$8:$B$507,0)),""))</f>
        <v/>
      </c>
      <c r="E206" s="179"/>
      <c r="F206" s="179"/>
      <c r="G206" s="179"/>
      <c r="H206" s="179"/>
      <c r="I206" s="179"/>
      <c r="J206" s="180" t="str">
        <f t="shared" si="3"/>
        <v/>
      </c>
      <c r="K206" s="179"/>
      <c r="L206" s="184"/>
      <c r="M206" s="183"/>
      <c r="N206" s="175"/>
    </row>
    <row r="207" spans="2:14" x14ac:dyDescent="0.35">
      <c r="B207" s="185" t="str">
        <f>IF(Lançamentos!$B202="","",Lançamentos!$B202)</f>
        <v/>
      </c>
      <c r="C207" s="186" t="str">
        <f>IF($B207="","",IFERROR(INDEX(Lançamentos!$J$3:$J$1001,MATCH($B207,Lançamentos!$B$3:$B$1001,0)),""))</f>
        <v/>
      </c>
      <c r="D207" s="416" t="str">
        <f>IF($B207="","",IFERROR(INDEX('E2 — Triagem'!$D$8:$D$507,MATCH($B207,'E2 — Triagem'!$B$8:$B$507,0)),""))</f>
        <v/>
      </c>
      <c r="E207" s="187"/>
      <c r="F207" s="187"/>
      <c r="G207" s="187"/>
      <c r="H207" s="187"/>
      <c r="I207" s="187"/>
      <c r="J207" s="188" t="str">
        <f t="shared" si="3"/>
        <v/>
      </c>
      <c r="K207" s="187"/>
      <c r="L207" s="189"/>
      <c r="M207" s="190"/>
      <c r="N207" s="176"/>
    </row>
    <row r="208" spans="2:14" x14ac:dyDescent="0.35">
      <c r="B208" s="177" t="str">
        <f>IF(Lançamentos!$B203="","",Lançamentos!$B203)</f>
        <v/>
      </c>
      <c r="C208" s="178" t="str">
        <f>IF($B208="","",IFERROR(INDEX(Lançamentos!$J$3:$J$1001,MATCH($B208,Lançamentos!$B$3:$B$1001,0)),""))</f>
        <v/>
      </c>
      <c r="D208" s="179" t="str">
        <f>IF($B208="","",IFERROR(INDEX('E2 — Triagem'!$D$8:$D$507,MATCH($B208,'E2 — Triagem'!$B$8:$B$507,0)),""))</f>
        <v/>
      </c>
      <c r="E208" s="179"/>
      <c r="F208" s="179"/>
      <c r="G208" s="179"/>
      <c r="H208" s="179"/>
      <c r="I208" s="179"/>
      <c r="J208" s="184" t="str">
        <f t="shared" ref="J208:J271" si="4">IF(B208="","",IF(COUNTIF(E208:I208,"N/A")=5,0,IF(COUNTIF(E208:I208,"✔ Concluído")=5,1,MIN(99%,COUNTIF(E208:I208,"✔ Concluído")/(5-COUNTIF(E208:I208,"N/A"))))))</f>
        <v/>
      </c>
      <c r="K208" s="179"/>
      <c r="L208" s="184"/>
      <c r="M208" s="183"/>
    </row>
    <row r="209" spans="2:13" x14ac:dyDescent="0.35">
      <c r="B209" s="177" t="str">
        <f>IF(Lançamentos!$B204="","",Lançamentos!$B204)</f>
        <v/>
      </c>
      <c r="C209" s="178" t="str">
        <f>IF($B209="","",IFERROR(INDEX(Lançamentos!$J$3:$J$1001,MATCH($B209,Lançamentos!$B$3:$B$1001,0)),""))</f>
        <v/>
      </c>
      <c r="D209" s="179" t="str">
        <f>IF($B209="","",IFERROR(INDEX('E2 — Triagem'!$D$8:$D$507,MATCH($B209,'E2 — Triagem'!$B$8:$B$507,0)),""))</f>
        <v/>
      </c>
      <c r="E209" s="179"/>
      <c r="F209" s="179"/>
      <c r="G209" s="179"/>
      <c r="H209" s="179"/>
      <c r="I209" s="179"/>
      <c r="J209" s="184" t="str">
        <f t="shared" si="4"/>
        <v/>
      </c>
      <c r="K209" s="179"/>
      <c r="L209" s="184"/>
      <c r="M209" s="183"/>
    </row>
    <row r="210" spans="2:13" x14ac:dyDescent="0.35">
      <c r="B210" s="177" t="str">
        <f>IF(Lançamentos!$B205="","",Lançamentos!$B205)</f>
        <v/>
      </c>
      <c r="C210" s="178" t="str">
        <f>IF($B210="","",IFERROR(INDEX(Lançamentos!$J$3:$J$1001,MATCH($B210,Lançamentos!$B$3:$B$1001,0)),""))</f>
        <v/>
      </c>
      <c r="D210" s="179" t="str">
        <f>IF($B210="","",IFERROR(INDEX('E2 — Triagem'!$D$8:$D$507,MATCH($B210,'E2 — Triagem'!$B$8:$B$507,0)),""))</f>
        <v/>
      </c>
      <c r="E210" s="179"/>
      <c r="F210" s="179"/>
      <c r="G210" s="179"/>
      <c r="H210" s="179"/>
      <c r="I210" s="179"/>
      <c r="J210" s="184" t="str">
        <f t="shared" si="4"/>
        <v/>
      </c>
      <c r="K210" s="179"/>
      <c r="L210" s="184"/>
      <c r="M210" s="183"/>
    </row>
    <row r="211" spans="2:13" x14ac:dyDescent="0.35">
      <c r="B211" s="177" t="str">
        <f>IF(Lançamentos!$B206="","",Lançamentos!$B206)</f>
        <v/>
      </c>
      <c r="C211" s="178" t="str">
        <f>IF($B211="","",IFERROR(INDEX(Lançamentos!$J$3:$J$1001,MATCH($B211,Lançamentos!$B$3:$B$1001,0)),""))</f>
        <v/>
      </c>
      <c r="D211" s="179" t="str">
        <f>IF($B211="","",IFERROR(INDEX('E2 — Triagem'!$D$8:$D$507,MATCH($B211,'E2 — Triagem'!$B$8:$B$507,0)),""))</f>
        <v/>
      </c>
      <c r="E211" s="179"/>
      <c r="F211" s="179"/>
      <c r="G211" s="179"/>
      <c r="H211" s="179"/>
      <c r="I211" s="179"/>
      <c r="J211" s="184" t="str">
        <f t="shared" si="4"/>
        <v/>
      </c>
      <c r="K211" s="179"/>
      <c r="L211" s="184"/>
      <c r="M211" s="183"/>
    </row>
    <row r="212" spans="2:13" x14ac:dyDescent="0.35">
      <c r="B212" s="177" t="str">
        <f>IF(Lançamentos!$B207="","",Lançamentos!$B207)</f>
        <v/>
      </c>
      <c r="C212" s="178" t="str">
        <f>IF($B212="","",IFERROR(INDEX(Lançamentos!$J$3:$J$1001,MATCH($B212,Lançamentos!$B$3:$B$1001,0)),""))</f>
        <v/>
      </c>
      <c r="D212" s="179" t="str">
        <f>IF($B212="","",IFERROR(INDEX('E2 — Triagem'!$D$8:$D$507,MATCH($B212,'E2 — Triagem'!$B$8:$B$507,0)),""))</f>
        <v/>
      </c>
      <c r="E212" s="179"/>
      <c r="F212" s="179"/>
      <c r="G212" s="179"/>
      <c r="H212" s="179"/>
      <c r="I212" s="179"/>
      <c r="J212" s="184" t="str">
        <f t="shared" si="4"/>
        <v/>
      </c>
      <c r="K212" s="179"/>
      <c r="L212" s="184"/>
      <c r="M212" s="183"/>
    </row>
    <row r="213" spans="2:13" x14ac:dyDescent="0.35">
      <c r="B213" s="177" t="str">
        <f>IF(Lançamentos!$B208="","",Lançamentos!$B208)</f>
        <v/>
      </c>
      <c r="C213" s="178" t="str">
        <f>IF($B213="","",IFERROR(INDEX(Lançamentos!$J$3:$J$1001,MATCH($B213,Lançamentos!$B$3:$B$1001,0)),""))</f>
        <v/>
      </c>
      <c r="D213" s="179" t="str">
        <f>IF($B213="","",IFERROR(INDEX('E2 — Triagem'!$D$8:$D$507,MATCH($B213,'E2 — Triagem'!$B$8:$B$507,0)),""))</f>
        <v/>
      </c>
      <c r="E213" s="179"/>
      <c r="F213" s="179"/>
      <c r="G213" s="179"/>
      <c r="H213" s="179"/>
      <c r="I213" s="179"/>
      <c r="J213" s="184" t="str">
        <f t="shared" si="4"/>
        <v/>
      </c>
      <c r="K213" s="179"/>
      <c r="L213" s="184"/>
      <c r="M213" s="183"/>
    </row>
    <row r="214" spans="2:13" x14ac:dyDescent="0.35">
      <c r="B214" s="177" t="str">
        <f>IF(Lançamentos!$B209="","",Lançamentos!$B209)</f>
        <v/>
      </c>
      <c r="C214" s="178" t="str">
        <f>IF($B214="","",IFERROR(INDEX(Lançamentos!$J$3:$J$1001,MATCH($B214,Lançamentos!$B$3:$B$1001,0)),""))</f>
        <v/>
      </c>
      <c r="D214" s="179" t="str">
        <f>IF($B214="","",IFERROR(INDEX('E2 — Triagem'!$D$8:$D$507,MATCH($B214,'E2 — Triagem'!$B$8:$B$507,0)),""))</f>
        <v/>
      </c>
      <c r="E214" s="179"/>
      <c r="F214" s="179"/>
      <c r="G214" s="179"/>
      <c r="H214" s="179"/>
      <c r="I214" s="179"/>
      <c r="J214" s="184" t="str">
        <f t="shared" si="4"/>
        <v/>
      </c>
      <c r="K214" s="179"/>
      <c r="L214" s="184"/>
      <c r="M214" s="183"/>
    </row>
    <row r="215" spans="2:13" x14ac:dyDescent="0.35">
      <c r="B215" s="177" t="str">
        <f>IF(Lançamentos!$B210="","",Lançamentos!$B210)</f>
        <v/>
      </c>
      <c r="C215" s="178" t="str">
        <f>IF($B215="","",IFERROR(INDEX(Lançamentos!$J$3:$J$1001,MATCH($B215,Lançamentos!$B$3:$B$1001,0)),""))</f>
        <v/>
      </c>
      <c r="D215" s="179" t="str">
        <f>IF($B215="","",IFERROR(INDEX('E2 — Triagem'!$D$8:$D$507,MATCH($B215,'E2 — Triagem'!$B$8:$B$507,0)),""))</f>
        <v/>
      </c>
      <c r="E215" s="179"/>
      <c r="F215" s="179"/>
      <c r="G215" s="179"/>
      <c r="H215" s="179"/>
      <c r="I215" s="179"/>
      <c r="J215" s="184" t="str">
        <f t="shared" si="4"/>
        <v/>
      </c>
      <c r="K215" s="179"/>
      <c r="L215" s="184"/>
      <c r="M215" s="183"/>
    </row>
    <row r="216" spans="2:13" x14ac:dyDescent="0.35">
      <c r="B216" s="177" t="str">
        <f>IF(Lançamentos!$B211="","",Lançamentos!$B211)</f>
        <v/>
      </c>
      <c r="C216" s="178" t="str">
        <f>IF($B216="","",IFERROR(INDEX(Lançamentos!$J$3:$J$1001,MATCH($B216,Lançamentos!$B$3:$B$1001,0)),""))</f>
        <v/>
      </c>
      <c r="D216" s="179" t="str">
        <f>IF($B216="","",IFERROR(INDEX('E2 — Triagem'!$D$8:$D$507,MATCH($B216,'E2 — Triagem'!$B$8:$B$507,0)),""))</f>
        <v/>
      </c>
      <c r="E216" s="179"/>
      <c r="F216" s="179"/>
      <c r="G216" s="179"/>
      <c r="H216" s="179"/>
      <c r="I216" s="179"/>
      <c r="J216" s="184" t="str">
        <f t="shared" si="4"/>
        <v/>
      </c>
      <c r="K216" s="179"/>
      <c r="L216" s="184"/>
      <c r="M216" s="183"/>
    </row>
    <row r="217" spans="2:13" x14ac:dyDescent="0.35">
      <c r="B217" s="177" t="str">
        <f>IF(Lançamentos!$B212="","",Lançamentos!$B212)</f>
        <v/>
      </c>
      <c r="C217" s="178" t="str">
        <f>IF($B217="","",IFERROR(INDEX(Lançamentos!$J$3:$J$1001,MATCH($B217,Lançamentos!$B$3:$B$1001,0)),""))</f>
        <v/>
      </c>
      <c r="D217" s="179" t="str">
        <f>IF($B217="","",IFERROR(INDEX('E2 — Triagem'!$D$8:$D$507,MATCH($B217,'E2 — Triagem'!$B$8:$B$507,0)),""))</f>
        <v/>
      </c>
      <c r="E217" s="179"/>
      <c r="F217" s="179"/>
      <c r="G217" s="179"/>
      <c r="H217" s="179"/>
      <c r="I217" s="179"/>
      <c r="J217" s="184" t="str">
        <f t="shared" si="4"/>
        <v/>
      </c>
      <c r="K217" s="179"/>
      <c r="L217" s="184"/>
      <c r="M217" s="183"/>
    </row>
    <row r="218" spans="2:13" x14ac:dyDescent="0.35">
      <c r="B218" s="177" t="str">
        <f>IF(Lançamentos!$B213="","",Lançamentos!$B213)</f>
        <v/>
      </c>
      <c r="C218" s="178" t="str">
        <f>IF($B218="","",IFERROR(INDEX(Lançamentos!$J$3:$J$1001,MATCH($B218,Lançamentos!$B$3:$B$1001,0)),""))</f>
        <v/>
      </c>
      <c r="D218" s="179" t="str">
        <f>IF($B218="","",IFERROR(INDEX('E2 — Triagem'!$D$8:$D$507,MATCH($B218,'E2 — Triagem'!$B$8:$B$507,0)),""))</f>
        <v/>
      </c>
      <c r="E218" s="179"/>
      <c r="F218" s="179"/>
      <c r="G218" s="179"/>
      <c r="H218" s="179"/>
      <c r="I218" s="179"/>
      <c r="J218" s="184" t="str">
        <f t="shared" si="4"/>
        <v/>
      </c>
      <c r="K218" s="179"/>
      <c r="L218" s="184"/>
      <c r="M218" s="183"/>
    </row>
    <row r="219" spans="2:13" x14ac:dyDescent="0.35">
      <c r="B219" s="177" t="str">
        <f>IF(Lançamentos!$B214="","",Lançamentos!$B214)</f>
        <v/>
      </c>
      <c r="C219" s="178" t="str">
        <f>IF($B219="","",IFERROR(INDEX(Lançamentos!$J$3:$J$1001,MATCH($B219,Lançamentos!$B$3:$B$1001,0)),""))</f>
        <v/>
      </c>
      <c r="D219" s="179" t="str">
        <f>IF($B219="","",IFERROR(INDEX('E2 — Triagem'!$D$8:$D$507,MATCH($B219,'E2 — Triagem'!$B$8:$B$507,0)),""))</f>
        <v/>
      </c>
      <c r="E219" s="179"/>
      <c r="F219" s="179"/>
      <c r="G219" s="179"/>
      <c r="H219" s="179"/>
      <c r="I219" s="179"/>
      <c r="J219" s="184" t="str">
        <f t="shared" si="4"/>
        <v/>
      </c>
      <c r="K219" s="179"/>
      <c r="L219" s="184"/>
      <c r="M219" s="183"/>
    </row>
    <row r="220" spans="2:13" x14ac:dyDescent="0.35">
      <c r="B220" s="177" t="str">
        <f>IF(Lançamentos!$B215="","",Lançamentos!$B215)</f>
        <v/>
      </c>
      <c r="C220" s="178" t="str">
        <f>IF($B220="","",IFERROR(INDEX(Lançamentos!$J$3:$J$1001,MATCH($B220,Lançamentos!$B$3:$B$1001,0)),""))</f>
        <v/>
      </c>
      <c r="D220" s="179" t="str">
        <f>IF($B220="","",IFERROR(INDEX('E2 — Triagem'!$D$8:$D$507,MATCH($B220,'E2 — Triagem'!$B$8:$B$507,0)),""))</f>
        <v/>
      </c>
      <c r="E220" s="179"/>
      <c r="F220" s="179"/>
      <c r="G220" s="179"/>
      <c r="H220" s="179"/>
      <c r="I220" s="179"/>
      <c r="J220" s="184" t="str">
        <f t="shared" si="4"/>
        <v/>
      </c>
      <c r="K220" s="179"/>
      <c r="L220" s="184"/>
      <c r="M220" s="183"/>
    </row>
    <row r="221" spans="2:13" x14ac:dyDescent="0.35">
      <c r="B221" s="177" t="str">
        <f>IF(Lançamentos!$B216="","",Lançamentos!$B216)</f>
        <v/>
      </c>
      <c r="C221" s="178" t="str">
        <f>IF($B221="","",IFERROR(INDEX(Lançamentos!$J$3:$J$1001,MATCH($B221,Lançamentos!$B$3:$B$1001,0)),""))</f>
        <v/>
      </c>
      <c r="D221" s="179" t="str">
        <f>IF($B221="","",IFERROR(INDEX('E2 — Triagem'!$D$8:$D$507,MATCH($B221,'E2 — Triagem'!$B$8:$B$507,0)),""))</f>
        <v/>
      </c>
      <c r="E221" s="179"/>
      <c r="F221" s="179"/>
      <c r="G221" s="179"/>
      <c r="H221" s="179"/>
      <c r="I221" s="179"/>
      <c r="J221" s="184" t="str">
        <f t="shared" si="4"/>
        <v/>
      </c>
      <c r="K221" s="179"/>
      <c r="L221" s="184"/>
      <c r="M221" s="183"/>
    </row>
    <row r="222" spans="2:13" x14ac:dyDescent="0.35">
      <c r="B222" s="177" t="str">
        <f>IF(Lançamentos!$B217="","",Lançamentos!$B217)</f>
        <v/>
      </c>
      <c r="C222" s="178" t="str">
        <f>IF($B222="","",IFERROR(INDEX(Lançamentos!$J$3:$J$1001,MATCH($B222,Lançamentos!$B$3:$B$1001,0)),""))</f>
        <v/>
      </c>
      <c r="D222" s="179" t="str">
        <f>IF($B222="","",IFERROR(INDEX('E2 — Triagem'!$D$8:$D$507,MATCH($B222,'E2 — Triagem'!$B$8:$B$507,0)),""))</f>
        <v/>
      </c>
      <c r="E222" s="179"/>
      <c r="F222" s="179"/>
      <c r="G222" s="179"/>
      <c r="H222" s="179"/>
      <c r="I222" s="179"/>
      <c r="J222" s="184" t="str">
        <f t="shared" si="4"/>
        <v/>
      </c>
      <c r="K222" s="179"/>
      <c r="L222" s="184"/>
      <c r="M222" s="183"/>
    </row>
    <row r="223" spans="2:13" x14ac:dyDescent="0.35">
      <c r="B223" s="177" t="str">
        <f>IF(Lançamentos!$B218="","",Lançamentos!$B218)</f>
        <v/>
      </c>
      <c r="C223" s="178" t="str">
        <f>IF($B223="","",IFERROR(INDEX(Lançamentos!$J$3:$J$1001,MATCH($B223,Lançamentos!$B$3:$B$1001,0)),""))</f>
        <v/>
      </c>
      <c r="D223" s="179" t="str">
        <f>IF($B223="","",IFERROR(INDEX('E2 — Triagem'!$D$8:$D$507,MATCH($B223,'E2 — Triagem'!$B$8:$B$507,0)),""))</f>
        <v/>
      </c>
      <c r="E223" s="179"/>
      <c r="F223" s="179"/>
      <c r="G223" s="179"/>
      <c r="H223" s="179"/>
      <c r="I223" s="179"/>
      <c r="J223" s="184" t="str">
        <f t="shared" si="4"/>
        <v/>
      </c>
      <c r="K223" s="179"/>
      <c r="L223" s="184"/>
      <c r="M223" s="183"/>
    </row>
    <row r="224" spans="2:13" x14ac:dyDescent="0.35">
      <c r="B224" s="177" t="str">
        <f>IF(Lançamentos!$B219="","",Lançamentos!$B219)</f>
        <v/>
      </c>
      <c r="C224" s="178" t="str">
        <f>IF($B224="","",IFERROR(INDEX(Lançamentos!$J$3:$J$1001,MATCH($B224,Lançamentos!$B$3:$B$1001,0)),""))</f>
        <v/>
      </c>
      <c r="D224" s="179" t="str">
        <f>IF($B224="","",IFERROR(INDEX('E2 — Triagem'!$D$8:$D$507,MATCH($B224,'E2 — Triagem'!$B$8:$B$507,0)),""))</f>
        <v/>
      </c>
      <c r="E224" s="179"/>
      <c r="F224" s="179"/>
      <c r="G224" s="179"/>
      <c r="H224" s="179"/>
      <c r="I224" s="179"/>
      <c r="J224" s="184" t="str">
        <f t="shared" si="4"/>
        <v/>
      </c>
      <c r="K224" s="179"/>
      <c r="L224" s="184"/>
      <c r="M224" s="183"/>
    </row>
    <row r="225" spans="2:13" x14ac:dyDescent="0.35">
      <c r="B225" s="177" t="str">
        <f>IF(Lançamentos!$B220="","",Lançamentos!$B220)</f>
        <v/>
      </c>
      <c r="C225" s="178" t="str">
        <f>IF($B225="","",IFERROR(INDEX(Lançamentos!$J$3:$J$1001,MATCH($B225,Lançamentos!$B$3:$B$1001,0)),""))</f>
        <v/>
      </c>
      <c r="D225" s="179" t="str">
        <f>IF($B225="","",IFERROR(INDEX('E2 — Triagem'!$D$8:$D$507,MATCH($B225,'E2 — Triagem'!$B$8:$B$507,0)),""))</f>
        <v/>
      </c>
      <c r="E225" s="179"/>
      <c r="F225" s="179"/>
      <c r="G225" s="179"/>
      <c r="H225" s="179"/>
      <c r="I225" s="179"/>
      <c r="J225" s="184" t="str">
        <f t="shared" si="4"/>
        <v/>
      </c>
      <c r="K225" s="179"/>
      <c r="L225" s="184"/>
      <c r="M225" s="183"/>
    </row>
    <row r="226" spans="2:13" x14ac:dyDescent="0.35">
      <c r="B226" s="177" t="str">
        <f>IF(Lançamentos!$B221="","",Lançamentos!$B221)</f>
        <v/>
      </c>
      <c r="C226" s="178" t="str">
        <f>IF($B226="","",IFERROR(INDEX(Lançamentos!$J$3:$J$1001,MATCH($B226,Lançamentos!$B$3:$B$1001,0)),""))</f>
        <v/>
      </c>
      <c r="D226" s="179" t="str">
        <f>IF($B226="","",IFERROR(INDEX('E2 — Triagem'!$D$8:$D$507,MATCH($B226,'E2 — Triagem'!$B$8:$B$507,0)),""))</f>
        <v/>
      </c>
      <c r="E226" s="179"/>
      <c r="F226" s="179"/>
      <c r="G226" s="179"/>
      <c r="H226" s="179"/>
      <c r="I226" s="179"/>
      <c r="J226" s="184" t="str">
        <f t="shared" si="4"/>
        <v/>
      </c>
      <c r="K226" s="179"/>
      <c r="L226" s="184"/>
      <c r="M226" s="183"/>
    </row>
    <row r="227" spans="2:13" x14ac:dyDescent="0.35">
      <c r="B227" s="177" t="str">
        <f>IF(Lançamentos!$B222="","",Lançamentos!$B222)</f>
        <v/>
      </c>
      <c r="C227" s="178" t="str">
        <f>IF($B227="","",IFERROR(INDEX(Lançamentos!$J$3:$J$1001,MATCH($B227,Lançamentos!$B$3:$B$1001,0)),""))</f>
        <v/>
      </c>
      <c r="D227" s="179" t="str">
        <f>IF($B227="","",IFERROR(INDEX('E2 — Triagem'!$D$8:$D$507,MATCH($B227,'E2 — Triagem'!$B$8:$B$507,0)),""))</f>
        <v/>
      </c>
      <c r="E227" s="179"/>
      <c r="F227" s="179"/>
      <c r="G227" s="179"/>
      <c r="H227" s="179"/>
      <c r="I227" s="179"/>
      <c r="J227" s="184" t="str">
        <f t="shared" si="4"/>
        <v/>
      </c>
      <c r="K227" s="179"/>
      <c r="L227" s="184"/>
      <c r="M227" s="183"/>
    </row>
    <row r="228" spans="2:13" x14ac:dyDescent="0.35">
      <c r="B228" s="177" t="str">
        <f>IF(Lançamentos!$B223="","",Lançamentos!$B223)</f>
        <v/>
      </c>
      <c r="C228" s="178" t="str">
        <f>IF($B228="","",IFERROR(INDEX(Lançamentos!$J$3:$J$1001,MATCH($B228,Lançamentos!$B$3:$B$1001,0)),""))</f>
        <v/>
      </c>
      <c r="D228" s="179" t="str">
        <f>IF($B228="","",IFERROR(INDEX('E2 — Triagem'!$D$8:$D$507,MATCH($B228,'E2 — Triagem'!$B$8:$B$507,0)),""))</f>
        <v/>
      </c>
      <c r="E228" s="179"/>
      <c r="F228" s="179"/>
      <c r="G228" s="179"/>
      <c r="H228" s="179"/>
      <c r="I228" s="179"/>
      <c r="J228" s="184" t="str">
        <f t="shared" si="4"/>
        <v/>
      </c>
      <c r="K228" s="179"/>
      <c r="L228" s="184"/>
      <c r="M228" s="183"/>
    </row>
    <row r="229" spans="2:13" x14ac:dyDescent="0.35">
      <c r="B229" s="177" t="str">
        <f>IF(Lançamentos!$B224="","",Lançamentos!$B224)</f>
        <v/>
      </c>
      <c r="C229" s="178" t="str">
        <f>IF($B229="","",IFERROR(INDEX(Lançamentos!$J$3:$J$1001,MATCH($B229,Lançamentos!$B$3:$B$1001,0)),""))</f>
        <v/>
      </c>
      <c r="D229" s="179" t="str">
        <f>IF($B229="","",IFERROR(INDEX('E2 — Triagem'!$D$8:$D$507,MATCH($B229,'E2 — Triagem'!$B$8:$B$507,0)),""))</f>
        <v/>
      </c>
      <c r="E229" s="179"/>
      <c r="F229" s="179"/>
      <c r="G229" s="179"/>
      <c r="H229" s="179"/>
      <c r="I229" s="179"/>
      <c r="J229" s="184" t="str">
        <f t="shared" si="4"/>
        <v/>
      </c>
      <c r="K229" s="179"/>
      <c r="L229" s="184"/>
      <c r="M229" s="183"/>
    </row>
    <row r="230" spans="2:13" x14ac:dyDescent="0.35">
      <c r="B230" s="177" t="str">
        <f>IF(Lançamentos!$B225="","",Lançamentos!$B225)</f>
        <v/>
      </c>
      <c r="C230" s="178" t="str">
        <f>IF($B230="","",IFERROR(INDEX(Lançamentos!$J$3:$J$1001,MATCH($B230,Lançamentos!$B$3:$B$1001,0)),""))</f>
        <v/>
      </c>
      <c r="D230" s="179" t="str">
        <f>IF($B230="","",IFERROR(INDEX('E2 — Triagem'!$D$8:$D$507,MATCH($B230,'E2 — Triagem'!$B$8:$B$507,0)),""))</f>
        <v/>
      </c>
      <c r="E230" s="179"/>
      <c r="F230" s="179"/>
      <c r="G230" s="179"/>
      <c r="H230" s="179"/>
      <c r="I230" s="179"/>
      <c r="J230" s="184" t="str">
        <f t="shared" si="4"/>
        <v/>
      </c>
      <c r="K230" s="179"/>
      <c r="L230" s="184"/>
      <c r="M230" s="183"/>
    </row>
    <row r="231" spans="2:13" x14ac:dyDescent="0.35">
      <c r="B231" s="177" t="str">
        <f>IF(Lançamentos!$B226="","",Lançamentos!$B226)</f>
        <v/>
      </c>
      <c r="C231" s="178" t="str">
        <f>IF($B231="","",IFERROR(INDEX(Lançamentos!$J$3:$J$1001,MATCH($B231,Lançamentos!$B$3:$B$1001,0)),""))</f>
        <v/>
      </c>
      <c r="D231" s="179" t="str">
        <f>IF($B231="","",IFERROR(INDEX('E2 — Triagem'!$D$8:$D$507,MATCH($B231,'E2 — Triagem'!$B$8:$B$507,0)),""))</f>
        <v/>
      </c>
      <c r="E231" s="179"/>
      <c r="F231" s="179"/>
      <c r="G231" s="179"/>
      <c r="H231" s="179"/>
      <c r="I231" s="179"/>
      <c r="J231" s="184" t="str">
        <f t="shared" si="4"/>
        <v/>
      </c>
      <c r="K231" s="179"/>
      <c r="L231" s="184"/>
      <c r="M231" s="183"/>
    </row>
    <row r="232" spans="2:13" x14ac:dyDescent="0.35">
      <c r="B232" s="177" t="str">
        <f>IF(Lançamentos!$B227="","",Lançamentos!$B227)</f>
        <v/>
      </c>
      <c r="C232" s="178" t="str">
        <f>IF($B232="","",IFERROR(INDEX(Lançamentos!$J$3:$J$1001,MATCH($B232,Lançamentos!$B$3:$B$1001,0)),""))</f>
        <v/>
      </c>
      <c r="D232" s="179" t="str">
        <f>IF($B232="","",IFERROR(INDEX('E2 — Triagem'!$D$8:$D$507,MATCH($B232,'E2 — Triagem'!$B$8:$B$507,0)),""))</f>
        <v/>
      </c>
      <c r="E232" s="179"/>
      <c r="F232" s="179"/>
      <c r="G232" s="179"/>
      <c r="H232" s="179"/>
      <c r="I232" s="179"/>
      <c r="J232" s="184" t="str">
        <f t="shared" si="4"/>
        <v/>
      </c>
      <c r="K232" s="179"/>
      <c r="L232" s="184"/>
      <c r="M232" s="183"/>
    </row>
    <row r="233" spans="2:13" x14ac:dyDescent="0.35">
      <c r="B233" s="177" t="str">
        <f>IF(Lançamentos!$B228="","",Lançamentos!$B228)</f>
        <v/>
      </c>
      <c r="C233" s="178" t="str">
        <f>IF($B233="","",IFERROR(INDEX(Lançamentos!$J$3:$J$1001,MATCH($B233,Lançamentos!$B$3:$B$1001,0)),""))</f>
        <v/>
      </c>
      <c r="D233" s="179" t="str">
        <f>IF($B233="","",IFERROR(INDEX('E2 — Triagem'!$D$8:$D$507,MATCH($B233,'E2 — Triagem'!$B$8:$B$507,0)),""))</f>
        <v/>
      </c>
      <c r="E233" s="179"/>
      <c r="F233" s="179"/>
      <c r="G233" s="179"/>
      <c r="H233" s="179"/>
      <c r="I233" s="179"/>
      <c r="J233" s="184" t="str">
        <f t="shared" si="4"/>
        <v/>
      </c>
      <c r="K233" s="179"/>
      <c r="L233" s="184"/>
      <c r="M233" s="183"/>
    </row>
    <row r="234" spans="2:13" x14ac:dyDescent="0.35">
      <c r="B234" s="177" t="str">
        <f>IF(Lançamentos!$B229="","",Lançamentos!$B229)</f>
        <v/>
      </c>
      <c r="C234" s="178" t="str">
        <f>IF($B234="","",IFERROR(INDEX(Lançamentos!$J$3:$J$1001,MATCH($B234,Lançamentos!$B$3:$B$1001,0)),""))</f>
        <v/>
      </c>
      <c r="D234" s="179" t="str">
        <f>IF($B234="","",IFERROR(INDEX('E2 — Triagem'!$D$8:$D$507,MATCH($B234,'E2 — Triagem'!$B$8:$B$507,0)),""))</f>
        <v/>
      </c>
      <c r="E234" s="179"/>
      <c r="F234" s="179"/>
      <c r="G234" s="179"/>
      <c r="H234" s="179"/>
      <c r="I234" s="179"/>
      <c r="J234" s="184" t="str">
        <f t="shared" si="4"/>
        <v/>
      </c>
      <c r="K234" s="179"/>
      <c r="L234" s="184"/>
      <c r="M234" s="183"/>
    </row>
    <row r="235" spans="2:13" x14ac:dyDescent="0.35">
      <c r="B235" s="177" t="str">
        <f>IF(Lançamentos!$B230="","",Lançamentos!$B230)</f>
        <v/>
      </c>
      <c r="C235" s="178" t="str">
        <f>IF($B235="","",IFERROR(INDEX(Lançamentos!$J$3:$J$1001,MATCH($B235,Lançamentos!$B$3:$B$1001,0)),""))</f>
        <v/>
      </c>
      <c r="D235" s="179" t="str">
        <f>IF($B235="","",IFERROR(INDEX('E2 — Triagem'!$D$8:$D$507,MATCH($B235,'E2 — Triagem'!$B$8:$B$507,0)),""))</f>
        <v/>
      </c>
      <c r="E235" s="179"/>
      <c r="F235" s="179"/>
      <c r="G235" s="179"/>
      <c r="H235" s="179"/>
      <c r="I235" s="179"/>
      <c r="J235" s="184" t="str">
        <f t="shared" si="4"/>
        <v/>
      </c>
      <c r="K235" s="179"/>
      <c r="L235" s="184"/>
      <c r="M235" s="183"/>
    </row>
    <row r="236" spans="2:13" x14ac:dyDescent="0.35">
      <c r="B236" s="177" t="str">
        <f>IF(Lançamentos!$B231="","",Lançamentos!$B231)</f>
        <v/>
      </c>
      <c r="C236" s="178" t="str">
        <f>IF($B236="","",IFERROR(INDEX(Lançamentos!$J$3:$J$1001,MATCH($B236,Lançamentos!$B$3:$B$1001,0)),""))</f>
        <v/>
      </c>
      <c r="D236" s="179" t="str">
        <f>IF($B236="","",IFERROR(INDEX('E2 — Triagem'!$D$8:$D$507,MATCH($B236,'E2 — Triagem'!$B$8:$B$507,0)),""))</f>
        <v/>
      </c>
      <c r="E236" s="179"/>
      <c r="F236" s="179"/>
      <c r="G236" s="179"/>
      <c r="H236" s="179"/>
      <c r="I236" s="179"/>
      <c r="J236" s="184" t="str">
        <f t="shared" si="4"/>
        <v/>
      </c>
      <c r="K236" s="179"/>
      <c r="L236" s="184"/>
      <c r="M236" s="183"/>
    </row>
    <row r="237" spans="2:13" x14ac:dyDescent="0.35">
      <c r="B237" s="177" t="str">
        <f>IF(Lançamentos!$B232="","",Lançamentos!$B232)</f>
        <v/>
      </c>
      <c r="C237" s="178" t="str">
        <f>IF($B237="","",IFERROR(INDEX(Lançamentos!$J$3:$J$1001,MATCH($B237,Lançamentos!$B$3:$B$1001,0)),""))</f>
        <v/>
      </c>
      <c r="D237" s="179" t="str">
        <f>IF($B237="","",IFERROR(INDEX('E2 — Triagem'!$D$8:$D$507,MATCH($B237,'E2 — Triagem'!$B$8:$B$507,0)),""))</f>
        <v/>
      </c>
      <c r="E237" s="179"/>
      <c r="F237" s="179"/>
      <c r="G237" s="179"/>
      <c r="H237" s="179"/>
      <c r="I237" s="179"/>
      <c r="J237" s="184" t="str">
        <f t="shared" si="4"/>
        <v/>
      </c>
      <c r="K237" s="179"/>
      <c r="L237" s="184"/>
      <c r="M237" s="183"/>
    </row>
    <row r="238" spans="2:13" x14ac:dyDescent="0.35">
      <c r="B238" s="177" t="str">
        <f>IF(Lançamentos!$B233="","",Lançamentos!$B233)</f>
        <v/>
      </c>
      <c r="C238" s="178" t="str">
        <f>IF($B238="","",IFERROR(INDEX(Lançamentos!$J$3:$J$1001,MATCH($B238,Lançamentos!$B$3:$B$1001,0)),""))</f>
        <v/>
      </c>
      <c r="D238" s="179" t="str">
        <f>IF($B238="","",IFERROR(INDEX('E2 — Triagem'!$D$8:$D$507,MATCH($B238,'E2 — Triagem'!$B$8:$B$507,0)),""))</f>
        <v/>
      </c>
      <c r="E238" s="179"/>
      <c r="F238" s="179"/>
      <c r="G238" s="179"/>
      <c r="H238" s="179"/>
      <c r="I238" s="179"/>
      <c r="J238" s="184" t="str">
        <f t="shared" si="4"/>
        <v/>
      </c>
      <c r="K238" s="179"/>
      <c r="L238" s="184"/>
      <c r="M238" s="183"/>
    </row>
    <row r="239" spans="2:13" x14ac:dyDescent="0.35">
      <c r="B239" s="177" t="str">
        <f>IF(Lançamentos!$B234="","",Lançamentos!$B234)</f>
        <v/>
      </c>
      <c r="C239" s="178" t="str">
        <f>IF($B239="","",IFERROR(INDEX(Lançamentos!$J$3:$J$1001,MATCH($B239,Lançamentos!$B$3:$B$1001,0)),""))</f>
        <v/>
      </c>
      <c r="D239" s="179" t="str">
        <f>IF($B239="","",IFERROR(INDEX('E2 — Triagem'!$D$8:$D$507,MATCH($B239,'E2 — Triagem'!$B$8:$B$507,0)),""))</f>
        <v/>
      </c>
      <c r="E239" s="179"/>
      <c r="F239" s="179"/>
      <c r="G239" s="179"/>
      <c r="H239" s="179"/>
      <c r="I239" s="179"/>
      <c r="J239" s="184" t="str">
        <f t="shared" si="4"/>
        <v/>
      </c>
      <c r="K239" s="179"/>
      <c r="L239" s="184"/>
      <c r="M239" s="183"/>
    </row>
    <row r="240" spans="2:13" x14ac:dyDescent="0.35">
      <c r="B240" s="177" t="str">
        <f>IF(Lançamentos!$B235="","",Lançamentos!$B235)</f>
        <v/>
      </c>
      <c r="C240" s="178" t="str">
        <f>IF($B240="","",IFERROR(INDEX(Lançamentos!$J$3:$J$1001,MATCH($B240,Lançamentos!$B$3:$B$1001,0)),""))</f>
        <v/>
      </c>
      <c r="D240" s="179" t="str">
        <f>IF($B240="","",IFERROR(INDEX('E2 — Triagem'!$D$8:$D$507,MATCH($B240,'E2 — Triagem'!$B$8:$B$507,0)),""))</f>
        <v/>
      </c>
      <c r="E240" s="179"/>
      <c r="F240" s="179"/>
      <c r="G240" s="179"/>
      <c r="H240" s="179"/>
      <c r="I240" s="179"/>
      <c r="J240" s="184" t="str">
        <f t="shared" si="4"/>
        <v/>
      </c>
      <c r="K240" s="179"/>
      <c r="L240" s="184"/>
      <c r="M240" s="183"/>
    </row>
    <row r="241" spans="2:13" x14ac:dyDescent="0.35">
      <c r="B241" s="177" t="str">
        <f>IF(Lançamentos!$B236="","",Lançamentos!$B236)</f>
        <v/>
      </c>
      <c r="C241" s="178" t="str">
        <f>IF($B241="","",IFERROR(INDEX(Lançamentos!$J$3:$J$1001,MATCH($B241,Lançamentos!$B$3:$B$1001,0)),""))</f>
        <v/>
      </c>
      <c r="D241" s="179" t="str">
        <f>IF($B241="","",IFERROR(INDEX('E2 — Triagem'!$D$8:$D$507,MATCH($B241,'E2 — Triagem'!$B$8:$B$507,0)),""))</f>
        <v/>
      </c>
      <c r="E241" s="179"/>
      <c r="F241" s="179"/>
      <c r="G241" s="179"/>
      <c r="H241" s="179"/>
      <c r="I241" s="179"/>
      <c r="J241" s="184" t="str">
        <f t="shared" si="4"/>
        <v/>
      </c>
      <c r="K241" s="179"/>
      <c r="L241" s="184"/>
      <c r="M241" s="183"/>
    </row>
    <row r="242" spans="2:13" x14ac:dyDescent="0.35">
      <c r="B242" s="177" t="str">
        <f>IF(Lançamentos!$B237="","",Lançamentos!$B237)</f>
        <v/>
      </c>
      <c r="C242" s="178" t="str">
        <f>IF($B242="","",IFERROR(INDEX(Lançamentos!$J$3:$J$1001,MATCH($B242,Lançamentos!$B$3:$B$1001,0)),""))</f>
        <v/>
      </c>
      <c r="D242" s="179" t="str">
        <f>IF($B242="","",IFERROR(INDEX('E2 — Triagem'!$D$8:$D$507,MATCH($B242,'E2 — Triagem'!$B$8:$B$507,0)),""))</f>
        <v/>
      </c>
      <c r="E242" s="179"/>
      <c r="F242" s="179"/>
      <c r="G242" s="179"/>
      <c r="H242" s="179"/>
      <c r="I242" s="179"/>
      <c r="J242" s="184" t="str">
        <f t="shared" si="4"/>
        <v/>
      </c>
      <c r="K242" s="179"/>
      <c r="L242" s="184"/>
      <c r="M242" s="183"/>
    </row>
    <row r="243" spans="2:13" x14ac:dyDescent="0.35">
      <c r="B243" s="177" t="str">
        <f>IF(Lançamentos!$B238="","",Lançamentos!$B238)</f>
        <v/>
      </c>
      <c r="C243" s="178" t="str">
        <f>IF($B243="","",IFERROR(INDEX(Lançamentos!$J$3:$J$1001,MATCH($B243,Lançamentos!$B$3:$B$1001,0)),""))</f>
        <v/>
      </c>
      <c r="D243" s="179" t="str">
        <f>IF($B243="","",IFERROR(INDEX('E2 — Triagem'!$D$8:$D$507,MATCH($B243,'E2 — Triagem'!$B$8:$B$507,0)),""))</f>
        <v/>
      </c>
      <c r="E243" s="179"/>
      <c r="F243" s="179"/>
      <c r="G243" s="179"/>
      <c r="H243" s="179"/>
      <c r="I243" s="179"/>
      <c r="J243" s="184" t="str">
        <f t="shared" si="4"/>
        <v/>
      </c>
      <c r="K243" s="179"/>
      <c r="L243" s="184"/>
      <c r="M243" s="183"/>
    </row>
    <row r="244" spans="2:13" x14ac:dyDescent="0.35">
      <c r="B244" s="177" t="str">
        <f>IF(Lançamentos!$B239="","",Lançamentos!$B239)</f>
        <v/>
      </c>
      <c r="C244" s="178" t="str">
        <f>IF($B244="","",IFERROR(INDEX(Lançamentos!$J$3:$J$1001,MATCH($B244,Lançamentos!$B$3:$B$1001,0)),""))</f>
        <v/>
      </c>
      <c r="D244" s="179" t="str">
        <f>IF($B244="","",IFERROR(INDEX('E2 — Triagem'!$D$8:$D$507,MATCH($B244,'E2 — Triagem'!$B$8:$B$507,0)),""))</f>
        <v/>
      </c>
      <c r="E244" s="179"/>
      <c r="F244" s="179"/>
      <c r="G244" s="179"/>
      <c r="H244" s="179"/>
      <c r="I244" s="179"/>
      <c r="J244" s="184" t="str">
        <f t="shared" si="4"/>
        <v/>
      </c>
      <c r="K244" s="179"/>
      <c r="L244" s="184"/>
      <c r="M244" s="183"/>
    </row>
    <row r="245" spans="2:13" x14ac:dyDescent="0.35">
      <c r="B245" s="177" t="str">
        <f>IF(Lançamentos!$B240="","",Lançamentos!$B240)</f>
        <v/>
      </c>
      <c r="C245" s="178" t="str">
        <f>IF($B245="","",IFERROR(INDEX(Lançamentos!$J$3:$J$1001,MATCH($B245,Lançamentos!$B$3:$B$1001,0)),""))</f>
        <v/>
      </c>
      <c r="D245" s="179" t="str">
        <f>IF($B245="","",IFERROR(INDEX('E2 — Triagem'!$D$8:$D$507,MATCH($B245,'E2 — Triagem'!$B$8:$B$507,0)),""))</f>
        <v/>
      </c>
      <c r="E245" s="179"/>
      <c r="F245" s="179"/>
      <c r="G245" s="179"/>
      <c r="H245" s="179"/>
      <c r="I245" s="179"/>
      <c r="J245" s="184" t="str">
        <f t="shared" si="4"/>
        <v/>
      </c>
      <c r="K245" s="179"/>
      <c r="L245" s="184"/>
      <c r="M245" s="183"/>
    </row>
    <row r="246" spans="2:13" x14ac:dyDescent="0.35">
      <c r="B246" s="177" t="str">
        <f>IF(Lançamentos!$B241="","",Lançamentos!$B241)</f>
        <v/>
      </c>
      <c r="C246" s="178" t="str">
        <f>IF($B246="","",IFERROR(INDEX(Lançamentos!$J$3:$J$1001,MATCH($B246,Lançamentos!$B$3:$B$1001,0)),""))</f>
        <v/>
      </c>
      <c r="D246" s="179" t="str">
        <f>IF($B246="","",IFERROR(INDEX('E2 — Triagem'!$D$8:$D$507,MATCH($B246,'E2 — Triagem'!$B$8:$B$507,0)),""))</f>
        <v/>
      </c>
      <c r="E246" s="179"/>
      <c r="F246" s="179"/>
      <c r="G246" s="179"/>
      <c r="H246" s="179"/>
      <c r="I246" s="179"/>
      <c r="J246" s="184" t="str">
        <f t="shared" si="4"/>
        <v/>
      </c>
      <c r="K246" s="179"/>
      <c r="L246" s="184"/>
      <c r="M246" s="183"/>
    </row>
    <row r="247" spans="2:13" x14ac:dyDescent="0.35">
      <c r="B247" s="177" t="str">
        <f>IF(Lançamentos!$B242="","",Lançamentos!$B242)</f>
        <v/>
      </c>
      <c r="C247" s="178" t="str">
        <f>IF($B247="","",IFERROR(INDEX(Lançamentos!$J$3:$J$1001,MATCH($B247,Lançamentos!$B$3:$B$1001,0)),""))</f>
        <v/>
      </c>
      <c r="D247" s="179" t="str">
        <f>IF($B247="","",IFERROR(INDEX('E2 — Triagem'!$D$8:$D$507,MATCH($B247,'E2 — Triagem'!$B$8:$B$507,0)),""))</f>
        <v/>
      </c>
      <c r="E247" s="179"/>
      <c r="F247" s="179"/>
      <c r="G247" s="179"/>
      <c r="H247" s="179"/>
      <c r="I247" s="179"/>
      <c r="J247" s="184" t="str">
        <f t="shared" si="4"/>
        <v/>
      </c>
      <c r="K247" s="179"/>
      <c r="L247" s="184"/>
      <c r="M247" s="183"/>
    </row>
    <row r="248" spans="2:13" x14ac:dyDescent="0.35">
      <c r="B248" s="177" t="str">
        <f>IF(Lançamentos!$B243="","",Lançamentos!$B243)</f>
        <v/>
      </c>
      <c r="C248" s="178" t="str">
        <f>IF($B248="","",IFERROR(INDEX(Lançamentos!$J$3:$J$1001,MATCH($B248,Lançamentos!$B$3:$B$1001,0)),""))</f>
        <v/>
      </c>
      <c r="D248" s="179" t="str">
        <f>IF($B248="","",IFERROR(INDEX('E2 — Triagem'!$D$8:$D$507,MATCH($B248,'E2 — Triagem'!$B$8:$B$507,0)),""))</f>
        <v/>
      </c>
      <c r="E248" s="179"/>
      <c r="F248" s="179"/>
      <c r="G248" s="179"/>
      <c r="H248" s="179"/>
      <c r="I248" s="179"/>
      <c r="J248" s="184" t="str">
        <f t="shared" si="4"/>
        <v/>
      </c>
      <c r="K248" s="179"/>
      <c r="L248" s="184"/>
      <c r="M248" s="183"/>
    </row>
    <row r="249" spans="2:13" x14ac:dyDescent="0.35">
      <c r="B249" s="177" t="str">
        <f>IF(Lançamentos!$B244="","",Lançamentos!$B244)</f>
        <v/>
      </c>
      <c r="C249" s="178" t="str">
        <f>IF($B249="","",IFERROR(INDEX(Lançamentos!$J$3:$J$1001,MATCH($B249,Lançamentos!$B$3:$B$1001,0)),""))</f>
        <v/>
      </c>
      <c r="D249" s="179" t="str">
        <f>IF($B249="","",IFERROR(INDEX('E2 — Triagem'!$D$8:$D$507,MATCH($B249,'E2 — Triagem'!$B$8:$B$507,0)),""))</f>
        <v/>
      </c>
      <c r="E249" s="179"/>
      <c r="F249" s="179"/>
      <c r="G249" s="179"/>
      <c r="H249" s="179"/>
      <c r="I249" s="179"/>
      <c r="J249" s="184" t="str">
        <f t="shared" si="4"/>
        <v/>
      </c>
      <c r="K249" s="179"/>
      <c r="L249" s="184"/>
      <c r="M249" s="183"/>
    </row>
    <row r="250" spans="2:13" x14ac:dyDescent="0.35">
      <c r="B250" s="177" t="str">
        <f>IF(Lançamentos!$B245="","",Lançamentos!$B245)</f>
        <v/>
      </c>
      <c r="C250" s="178" t="str">
        <f>IF($B250="","",IFERROR(INDEX(Lançamentos!$J$3:$J$1001,MATCH($B250,Lançamentos!$B$3:$B$1001,0)),""))</f>
        <v/>
      </c>
      <c r="D250" s="179" t="str">
        <f>IF($B250="","",IFERROR(INDEX('E2 — Triagem'!$D$8:$D$507,MATCH($B250,'E2 — Triagem'!$B$8:$B$507,0)),""))</f>
        <v/>
      </c>
      <c r="E250" s="179"/>
      <c r="F250" s="179"/>
      <c r="G250" s="179"/>
      <c r="H250" s="179"/>
      <c r="I250" s="179"/>
      <c r="J250" s="184" t="str">
        <f t="shared" si="4"/>
        <v/>
      </c>
      <c r="K250" s="179"/>
      <c r="L250" s="184"/>
      <c r="M250" s="183"/>
    </row>
    <row r="251" spans="2:13" x14ac:dyDescent="0.35">
      <c r="B251" s="177" t="str">
        <f>IF(Lançamentos!$B246="","",Lançamentos!$B246)</f>
        <v/>
      </c>
      <c r="C251" s="178" t="str">
        <f>IF($B251="","",IFERROR(INDEX(Lançamentos!$J$3:$J$1001,MATCH($B251,Lançamentos!$B$3:$B$1001,0)),""))</f>
        <v/>
      </c>
      <c r="D251" s="179" t="str">
        <f>IF($B251="","",IFERROR(INDEX('E2 — Triagem'!$D$8:$D$507,MATCH($B251,'E2 — Triagem'!$B$8:$B$507,0)),""))</f>
        <v/>
      </c>
      <c r="E251" s="179"/>
      <c r="F251" s="179"/>
      <c r="G251" s="179"/>
      <c r="H251" s="179"/>
      <c r="I251" s="179"/>
      <c r="J251" s="184" t="str">
        <f t="shared" si="4"/>
        <v/>
      </c>
      <c r="K251" s="179"/>
      <c r="L251" s="184"/>
      <c r="M251" s="183"/>
    </row>
    <row r="252" spans="2:13" x14ac:dyDescent="0.35">
      <c r="B252" s="177" t="str">
        <f>IF(Lançamentos!$B247="","",Lançamentos!$B247)</f>
        <v/>
      </c>
      <c r="C252" s="178" t="str">
        <f>IF($B252="","",IFERROR(INDEX(Lançamentos!$J$3:$J$1001,MATCH($B252,Lançamentos!$B$3:$B$1001,0)),""))</f>
        <v/>
      </c>
      <c r="D252" s="179" t="str">
        <f>IF($B252="","",IFERROR(INDEX('E2 — Triagem'!$D$8:$D$507,MATCH($B252,'E2 — Triagem'!$B$8:$B$507,0)),""))</f>
        <v/>
      </c>
      <c r="E252" s="179"/>
      <c r="F252" s="179"/>
      <c r="G252" s="179"/>
      <c r="H252" s="179"/>
      <c r="I252" s="179"/>
      <c r="J252" s="184" t="str">
        <f t="shared" si="4"/>
        <v/>
      </c>
      <c r="K252" s="179"/>
      <c r="L252" s="184"/>
      <c r="M252" s="183"/>
    </row>
    <row r="253" spans="2:13" x14ac:dyDescent="0.35">
      <c r="B253" s="177" t="str">
        <f>IF(Lançamentos!$B248="","",Lançamentos!$B248)</f>
        <v/>
      </c>
      <c r="C253" s="178" t="str">
        <f>IF($B253="","",IFERROR(INDEX(Lançamentos!$J$3:$J$1001,MATCH($B253,Lançamentos!$B$3:$B$1001,0)),""))</f>
        <v/>
      </c>
      <c r="D253" s="179" t="str">
        <f>IF($B253="","",IFERROR(INDEX('E2 — Triagem'!$D$8:$D$507,MATCH($B253,'E2 — Triagem'!$B$8:$B$507,0)),""))</f>
        <v/>
      </c>
      <c r="E253" s="179"/>
      <c r="F253" s="179"/>
      <c r="G253" s="179"/>
      <c r="H253" s="179"/>
      <c r="I253" s="179"/>
      <c r="J253" s="184" t="str">
        <f t="shared" si="4"/>
        <v/>
      </c>
      <c r="K253" s="179"/>
      <c r="L253" s="184"/>
      <c r="M253" s="183"/>
    </row>
    <row r="254" spans="2:13" x14ac:dyDescent="0.35">
      <c r="B254" s="177" t="str">
        <f>IF(Lançamentos!$B249="","",Lançamentos!$B249)</f>
        <v/>
      </c>
      <c r="C254" s="178" t="str">
        <f>IF($B254="","",IFERROR(INDEX(Lançamentos!$J$3:$J$1001,MATCH($B254,Lançamentos!$B$3:$B$1001,0)),""))</f>
        <v/>
      </c>
      <c r="D254" s="179" t="str">
        <f>IF($B254="","",IFERROR(INDEX('E2 — Triagem'!$D$8:$D$507,MATCH($B254,'E2 — Triagem'!$B$8:$B$507,0)),""))</f>
        <v/>
      </c>
      <c r="E254" s="179"/>
      <c r="F254" s="179"/>
      <c r="G254" s="179"/>
      <c r="H254" s="179"/>
      <c r="I254" s="179"/>
      <c r="J254" s="184" t="str">
        <f t="shared" si="4"/>
        <v/>
      </c>
      <c r="K254" s="179"/>
      <c r="L254" s="184"/>
      <c r="M254" s="183"/>
    </row>
    <row r="255" spans="2:13" x14ac:dyDescent="0.35">
      <c r="B255" s="177" t="str">
        <f>IF(Lançamentos!$B250="","",Lançamentos!$B250)</f>
        <v/>
      </c>
      <c r="C255" s="178" t="str">
        <f>IF($B255="","",IFERROR(INDEX(Lançamentos!$J$3:$J$1001,MATCH($B255,Lançamentos!$B$3:$B$1001,0)),""))</f>
        <v/>
      </c>
      <c r="D255" s="179" t="str">
        <f>IF($B255="","",IFERROR(INDEX('E2 — Triagem'!$D$8:$D$507,MATCH($B255,'E2 — Triagem'!$B$8:$B$507,0)),""))</f>
        <v/>
      </c>
      <c r="E255" s="179"/>
      <c r="F255" s="179"/>
      <c r="G255" s="179"/>
      <c r="H255" s="179"/>
      <c r="I255" s="179"/>
      <c r="J255" s="184" t="str">
        <f t="shared" si="4"/>
        <v/>
      </c>
      <c r="K255" s="179"/>
      <c r="L255" s="184"/>
      <c r="M255" s="183"/>
    </row>
    <row r="256" spans="2:13" x14ac:dyDescent="0.35">
      <c r="B256" s="177" t="str">
        <f>IF(Lançamentos!$B251="","",Lançamentos!$B251)</f>
        <v/>
      </c>
      <c r="C256" s="178" t="str">
        <f>IF($B256="","",IFERROR(INDEX(Lançamentos!$J$3:$J$1001,MATCH($B256,Lançamentos!$B$3:$B$1001,0)),""))</f>
        <v/>
      </c>
      <c r="D256" s="179" t="str">
        <f>IF($B256="","",IFERROR(INDEX('E2 — Triagem'!$D$8:$D$507,MATCH($B256,'E2 — Triagem'!$B$8:$B$507,0)),""))</f>
        <v/>
      </c>
      <c r="E256" s="179"/>
      <c r="F256" s="179"/>
      <c r="G256" s="179"/>
      <c r="H256" s="179"/>
      <c r="I256" s="179"/>
      <c r="J256" s="184" t="str">
        <f t="shared" si="4"/>
        <v/>
      </c>
      <c r="K256" s="179"/>
      <c r="L256" s="184"/>
      <c r="M256" s="183"/>
    </row>
    <row r="257" spans="2:13" x14ac:dyDescent="0.35">
      <c r="B257" s="177" t="str">
        <f>IF(Lançamentos!$B252="","",Lançamentos!$B252)</f>
        <v/>
      </c>
      <c r="C257" s="178" t="str">
        <f>IF($B257="","",IFERROR(INDEX(Lançamentos!$J$3:$J$1001,MATCH($B257,Lançamentos!$B$3:$B$1001,0)),""))</f>
        <v/>
      </c>
      <c r="D257" s="179" t="str">
        <f>IF($B257="","",IFERROR(INDEX('E2 — Triagem'!$D$8:$D$507,MATCH($B257,'E2 — Triagem'!$B$8:$B$507,0)),""))</f>
        <v/>
      </c>
      <c r="E257" s="179"/>
      <c r="F257" s="179"/>
      <c r="G257" s="179"/>
      <c r="H257" s="179"/>
      <c r="I257" s="179"/>
      <c r="J257" s="184" t="str">
        <f t="shared" si="4"/>
        <v/>
      </c>
      <c r="K257" s="179"/>
      <c r="L257" s="184"/>
      <c r="M257" s="183"/>
    </row>
    <row r="258" spans="2:13" x14ac:dyDescent="0.35">
      <c r="B258" s="177" t="str">
        <f>IF(Lançamentos!$B253="","",Lançamentos!$B253)</f>
        <v/>
      </c>
      <c r="C258" s="178" t="str">
        <f>IF($B258="","",IFERROR(INDEX(Lançamentos!$J$3:$J$1001,MATCH($B258,Lançamentos!$B$3:$B$1001,0)),""))</f>
        <v/>
      </c>
      <c r="D258" s="179" t="str">
        <f>IF($B258="","",IFERROR(INDEX('E2 — Triagem'!$D$8:$D$507,MATCH($B258,'E2 — Triagem'!$B$8:$B$507,0)),""))</f>
        <v/>
      </c>
      <c r="E258" s="179"/>
      <c r="F258" s="179"/>
      <c r="G258" s="179"/>
      <c r="H258" s="179"/>
      <c r="I258" s="179"/>
      <c r="J258" s="184" t="str">
        <f t="shared" si="4"/>
        <v/>
      </c>
      <c r="K258" s="179"/>
      <c r="L258" s="184"/>
      <c r="M258" s="183"/>
    </row>
    <row r="259" spans="2:13" x14ac:dyDescent="0.35">
      <c r="B259" s="177" t="str">
        <f>IF(Lançamentos!$B254="","",Lançamentos!$B254)</f>
        <v/>
      </c>
      <c r="C259" s="178" t="str">
        <f>IF($B259="","",IFERROR(INDEX(Lançamentos!$J$3:$J$1001,MATCH($B259,Lançamentos!$B$3:$B$1001,0)),""))</f>
        <v/>
      </c>
      <c r="D259" s="179" t="str">
        <f>IF($B259="","",IFERROR(INDEX('E2 — Triagem'!$D$8:$D$507,MATCH($B259,'E2 — Triagem'!$B$8:$B$507,0)),""))</f>
        <v/>
      </c>
      <c r="E259" s="179"/>
      <c r="F259" s="179"/>
      <c r="G259" s="179"/>
      <c r="H259" s="179"/>
      <c r="I259" s="179"/>
      <c r="J259" s="184" t="str">
        <f t="shared" si="4"/>
        <v/>
      </c>
      <c r="K259" s="179"/>
      <c r="L259" s="184"/>
      <c r="M259" s="183"/>
    </row>
    <row r="260" spans="2:13" x14ac:dyDescent="0.35">
      <c r="B260" s="177" t="str">
        <f>IF(Lançamentos!$B255="","",Lançamentos!$B255)</f>
        <v/>
      </c>
      <c r="C260" s="178" t="str">
        <f>IF($B260="","",IFERROR(INDEX(Lançamentos!$J$3:$J$1001,MATCH($B260,Lançamentos!$B$3:$B$1001,0)),""))</f>
        <v/>
      </c>
      <c r="D260" s="179" t="str">
        <f>IF($B260="","",IFERROR(INDEX('E2 — Triagem'!$D$8:$D$507,MATCH($B260,'E2 — Triagem'!$B$8:$B$507,0)),""))</f>
        <v/>
      </c>
      <c r="E260" s="179"/>
      <c r="F260" s="179"/>
      <c r="G260" s="179"/>
      <c r="H260" s="179"/>
      <c r="I260" s="179"/>
      <c r="J260" s="184" t="str">
        <f t="shared" si="4"/>
        <v/>
      </c>
      <c r="K260" s="179"/>
      <c r="L260" s="184"/>
      <c r="M260" s="183"/>
    </row>
    <row r="261" spans="2:13" x14ac:dyDescent="0.35">
      <c r="B261" s="177" t="str">
        <f>IF(Lançamentos!$B256="","",Lançamentos!$B256)</f>
        <v/>
      </c>
      <c r="C261" s="178" t="str">
        <f>IF($B261="","",IFERROR(INDEX(Lançamentos!$J$3:$J$1001,MATCH($B261,Lançamentos!$B$3:$B$1001,0)),""))</f>
        <v/>
      </c>
      <c r="D261" s="179" t="str">
        <f>IF($B261="","",IFERROR(INDEX('E2 — Triagem'!$D$8:$D$507,MATCH($B261,'E2 — Triagem'!$B$8:$B$507,0)),""))</f>
        <v/>
      </c>
      <c r="E261" s="179"/>
      <c r="F261" s="179"/>
      <c r="G261" s="179"/>
      <c r="H261" s="179"/>
      <c r="I261" s="179"/>
      <c r="J261" s="184" t="str">
        <f t="shared" si="4"/>
        <v/>
      </c>
      <c r="K261" s="179"/>
      <c r="L261" s="184"/>
      <c r="M261" s="183"/>
    </row>
    <row r="262" spans="2:13" x14ac:dyDescent="0.35">
      <c r="B262" s="177" t="str">
        <f>IF(Lançamentos!$B257="","",Lançamentos!$B257)</f>
        <v/>
      </c>
      <c r="C262" s="178" t="str">
        <f>IF($B262="","",IFERROR(INDEX(Lançamentos!$J$3:$J$1001,MATCH($B262,Lançamentos!$B$3:$B$1001,0)),""))</f>
        <v/>
      </c>
      <c r="D262" s="179" t="str">
        <f>IF($B262="","",IFERROR(INDEX('E2 — Triagem'!$D$8:$D$507,MATCH($B262,'E2 — Triagem'!$B$8:$B$507,0)),""))</f>
        <v/>
      </c>
      <c r="E262" s="179"/>
      <c r="F262" s="179"/>
      <c r="G262" s="179"/>
      <c r="H262" s="179"/>
      <c r="I262" s="179"/>
      <c r="J262" s="184" t="str">
        <f t="shared" si="4"/>
        <v/>
      </c>
      <c r="K262" s="179"/>
      <c r="L262" s="184"/>
      <c r="M262" s="183"/>
    </row>
    <row r="263" spans="2:13" x14ac:dyDescent="0.35">
      <c r="B263" s="177" t="str">
        <f>IF(Lançamentos!$B258="","",Lançamentos!$B258)</f>
        <v/>
      </c>
      <c r="C263" s="178" t="str">
        <f>IF($B263="","",IFERROR(INDEX(Lançamentos!$J$3:$J$1001,MATCH($B263,Lançamentos!$B$3:$B$1001,0)),""))</f>
        <v/>
      </c>
      <c r="D263" s="179" t="str">
        <f>IF($B263="","",IFERROR(INDEX('E2 — Triagem'!$D$8:$D$507,MATCH($B263,'E2 — Triagem'!$B$8:$B$507,0)),""))</f>
        <v/>
      </c>
      <c r="E263" s="179"/>
      <c r="F263" s="179"/>
      <c r="G263" s="179"/>
      <c r="H263" s="179"/>
      <c r="I263" s="179"/>
      <c r="J263" s="184" t="str">
        <f t="shared" si="4"/>
        <v/>
      </c>
      <c r="K263" s="179"/>
      <c r="L263" s="184"/>
      <c r="M263" s="183"/>
    </row>
    <row r="264" spans="2:13" x14ac:dyDescent="0.35">
      <c r="B264" s="177" t="str">
        <f>IF(Lançamentos!$B259="","",Lançamentos!$B259)</f>
        <v/>
      </c>
      <c r="C264" s="178" t="str">
        <f>IF($B264="","",IFERROR(INDEX(Lançamentos!$J$3:$J$1001,MATCH($B264,Lançamentos!$B$3:$B$1001,0)),""))</f>
        <v/>
      </c>
      <c r="D264" s="179" t="str">
        <f>IF($B264="","",IFERROR(INDEX('E2 — Triagem'!$D$8:$D$507,MATCH($B264,'E2 — Triagem'!$B$8:$B$507,0)),""))</f>
        <v/>
      </c>
      <c r="E264" s="179"/>
      <c r="F264" s="179"/>
      <c r="G264" s="179"/>
      <c r="H264" s="179"/>
      <c r="I264" s="179"/>
      <c r="J264" s="184" t="str">
        <f t="shared" si="4"/>
        <v/>
      </c>
      <c r="K264" s="179"/>
      <c r="L264" s="184"/>
      <c r="M264" s="183"/>
    </row>
    <row r="265" spans="2:13" x14ac:dyDescent="0.35">
      <c r="B265" s="177" t="str">
        <f>IF(Lançamentos!$B260="","",Lançamentos!$B260)</f>
        <v/>
      </c>
      <c r="C265" s="178" t="str">
        <f>IF($B265="","",IFERROR(INDEX(Lançamentos!$J$3:$J$1001,MATCH($B265,Lançamentos!$B$3:$B$1001,0)),""))</f>
        <v/>
      </c>
      <c r="D265" s="179" t="str">
        <f>IF($B265="","",IFERROR(INDEX('E2 — Triagem'!$D$8:$D$507,MATCH($B265,'E2 — Triagem'!$B$8:$B$507,0)),""))</f>
        <v/>
      </c>
      <c r="E265" s="179"/>
      <c r="F265" s="179"/>
      <c r="G265" s="179"/>
      <c r="H265" s="179"/>
      <c r="I265" s="179"/>
      <c r="J265" s="184" t="str">
        <f t="shared" si="4"/>
        <v/>
      </c>
      <c r="K265" s="179"/>
      <c r="L265" s="184"/>
      <c r="M265" s="183"/>
    </row>
    <row r="266" spans="2:13" x14ac:dyDescent="0.35">
      <c r="B266" s="177" t="str">
        <f>IF(Lançamentos!$B261="","",Lançamentos!$B261)</f>
        <v/>
      </c>
      <c r="C266" s="178" t="str">
        <f>IF($B266="","",IFERROR(INDEX(Lançamentos!$J$3:$J$1001,MATCH($B266,Lançamentos!$B$3:$B$1001,0)),""))</f>
        <v/>
      </c>
      <c r="D266" s="179" t="str">
        <f>IF($B266="","",IFERROR(INDEX('E2 — Triagem'!$D$8:$D$507,MATCH($B266,'E2 — Triagem'!$B$8:$B$507,0)),""))</f>
        <v/>
      </c>
      <c r="E266" s="179"/>
      <c r="F266" s="179"/>
      <c r="G266" s="179"/>
      <c r="H266" s="179"/>
      <c r="I266" s="179"/>
      <c r="J266" s="184" t="str">
        <f t="shared" si="4"/>
        <v/>
      </c>
      <c r="K266" s="179"/>
      <c r="L266" s="184"/>
      <c r="M266" s="183"/>
    </row>
    <row r="267" spans="2:13" x14ac:dyDescent="0.35">
      <c r="B267" s="177" t="str">
        <f>IF(Lançamentos!$B262="","",Lançamentos!$B262)</f>
        <v/>
      </c>
      <c r="C267" s="178" t="str">
        <f>IF($B267="","",IFERROR(INDEX(Lançamentos!$J$3:$J$1001,MATCH($B267,Lançamentos!$B$3:$B$1001,0)),""))</f>
        <v/>
      </c>
      <c r="D267" s="179" t="str">
        <f>IF($B267="","",IFERROR(INDEX('E2 — Triagem'!$D$8:$D$507,MATCH($B267,'E2 — Triagem'!$B$8:$B$507,0)),""))</f>
        <v/>
      </c>
      <c r="E267" s="179"/>
      <c r="F267" s="179"/>
      <c r="G267" s="179"/>
      <c r="H267" s="179"/>
      <c r="I267" s="179"/>
      <c r="J267" s="184" t="str">
        <f t="shared" si="4"/>
        <v/>
      </c>
      <c r="K267" s="179"/>
      <c r="L267" s="184"/>
      <c r="M267" s="183"/>
    </row>
    <row r="268" spans="2:13" x14ac:dyDescent="0.35">
      <c r="B268" s="177" t="str">
        <f>IF(Lançamentos!$B263="","",Lançamentos!$B263)</f>
        <v/>
      </c>
      <c r="C268" s="178" t="str">
        <f>IF($B268="","",IFERROR(INDEX(Lançamentos!$J$3:$J$1001,MATCH($B268,Lançamentos!$B$3:$B$1001,0)),""))</f>
        <v/>
      </c>
      <c r="D268" s="179" t="str">
        <f>IF($B268="","",IFERROR(INDEX('E2 — Triagem'!$D$8:$D$507,MATCH($B268,'E2 — Triagem'!$B$8:$B$507,0)),""))</f>
        <v/>
      </c>
      <c r="E268" s="179"/>
      <c r="F268" s="179"/>
      <c r="G268" s="179"/>
      <c r="H268" s="179"/>
      <c r="I268" s="179"/>
      <c r="J268" s="184" t="str">
        <f t="shared" si="4"/>
        <v/>
      </c>
      <c r="K268" s="179"/>
      <c r="L268" s="184"/>
      <c r="M268" s="183"/>
    </row>
    <row r="269" spans="2:13" x14ac:dyDescent="0.35">
      <c r="B269" s="177" t="str">
        <f>IF(Lançamentos!$B264="","",Lançamentos!$B264)</f>
        <v/>
      </c>
      <c r="C269" s="178" t="str">
        <f>IF($B269="","",IFERROR(INDEX(Lançamentos!$J$3:$J$1001,MATCH($B269,Lançamentos!$B$3:$B$1001,0)),""))</f>
        <v/>
      </c>
      <c r="D269" s="179" t="str">
        <f>IF($B269="","",IFERROR(INDEX('E2 — Triagem'!$D$8:$D$507,MATCH($B269,'E2 — Triagem'!$B$8:$B$507,0)),""))</f>
        <v/>
      </c>
      <c r="E269" s="179"/>
      <c r="F269" s="179"/>
      <c r="G269" s="179"/>
      <c r="H269" s="179"/>
      <c r="I269" s="179"/>
      <c r="J269" s="184" t="str">
        <f t="shared" si="4"/>
        <v/>
      </c>
      <c r="K269" s="179"/>
      <c r="L269" s="184"/>
      <c r="M269" s="183"/>
    </row>
    <row r="270" spans="2:13" x14ac:dyDescent="0.35">
      <c r="B270" s="177" t="str">
        <f>IF(Lançamentos!$B265="","",Lançamentos!$B265)</f>
        <v/>
      </c>
      <c r="C270" s="178" t="str">
        <f>IF($B270="","",IFERROR(INDEX(Lançamentos!$J$3:$J$1001,MATCH($B270,Lançamentos!$B$3:$B$1001,0)),""))</f>
        <v/>
      </c>
      <c r="D270" s="179" t="str">
        <f>IF($B270="","",IFERROR(INDEX('E2 — Triagem'!$D$8:$D$507,MATCH($B270,'E2 — Triagem'!$B$8:$B$507,0)),""))</f>
        <v/>
      </c>
      <c r="E270" s="179"/>
      <c r="F270" s="179"/>
      <c r="G270" s="179"/>
      <c r="H270" s="179"/>
      <c r="I270" s="179"/>
      <c r="J270" s="184" t="str">
        <f t="shared" si="4"/>
        <v/>
      </c>
      <c r="K270" s="179"/>
      <c r="L270" s="184"/>
      <c r="M270" s="183"/>
    </row>
    <row r="271" spans="2:13" x14ac:dyDescent="0.35">
      <c r="B271" s="177" t="str">
        <f>IF(Lançamentos!$B266="","",Lançamentos!$B266)</f>
        <v/>
      </c>
      <c r="C271" s="178" t="str">
        <f>IF($B271="","",IFERROR(INDEX(Lançamentos!$J$3:$J$1001,MATCH($B271,Lançamentos!$B$3:$B$1001,0)),""))</f>
        <v/>
      </c>
      <c r="D271" s="179" t="str">
        <f>IF($B271="","",IFERROR(INDEX('E2 — Triagem'!$D$8:$D$507,MATCH($B271,'E2 — Triagem'!$B$8:$B$507,0)),""))</f>
        <v/>
      </c>
      <c r="E271" s="179"/>
      <c r="F271" s="179"/>
      <c r="G271" s="179"/>
      <c r="H271" s="179"/>
      <c r="I271" s="179"/>
      <c r="J271" s="184" t="str">
        <f t="shared" si="4"/>
        <v/>
      </c>
      <c r="K271" s="179"/>
      <c r="L271" s="184"/>
      <c r="M271" s="183"/>
    </row>
    <row r="272" spans="2:13" x14ac:dyDescent="0.35">
      <c r="B272" s="177" t="str">
        <f>IF(Lançamentos!$B267="","",Lançamentos!$B267)</f>
        <v/>
      </c>
      <c r="C272" s="178" t="str">
        <f>IF($B272="","",IFERROR(INDEX(Lançamentos!$J$3:$J$1001,MATCH($B272,Lançamentos!$B$3:$B$1001,0)),""))</f>
        <v/>
      </c>
      <c r="D272" s="179" t="str">
        <f>IF($B272="","",IFERROR(INDEX('E2 — Triagem'!$D$8:$D$507,MATCH($B272,'E2 — Triagem'!$B$8:$B$507,0)),""))</f>
        <v/>
      </c>
      <c r="E272" s="179"/>
      <c r="F272" s="179"/>
      <c r="G272" s="179"/>
      <c r="H272" s="179"/>
      <c r="I272" s="179"/>
      <c r="J272" s="184" t="str">
        <f t="shared" ref="J272:J335" si="5">IF(B272="","",IF(COUNTIF(E272:I272,"N/A")=5,0,IF(COUNTIF(E272:I272,"✔ Concluído")=5,1,MIN(99%,COUNTIF(E272:I272,"✔ Concluído")/(5-COUNTIF(E272:I272,"N/A"))))))</f>
        <v/>
      </c>
      <c r="K272" s="179"/>
      <c r="L272" s="184"/>
      <c r="M272" s="183"/>
    </row>
    <row r="273" spans="2:13" x14ac:dyDescent="0.35">
      <c r="B273" s="177" t="str">
        <f>IF(Lançamentos!$B268="","",Lançamentos!$B268)</f>
        <v/>
      </c>
      <c r="C273" s="178" t="str">
        <f>IF($B273="","",IFERROR(INDEX(Lançamentos!$J$3:$J$1001,MATCH($B273,Lançamentos!$B$3:$B$1001,0)),""))</f>
        <v/>
      </c>
      <c r="D273" s="179" t="str">
        <f>IF($B273="","",IFERROR(INDEX('E2 — Triagem'!$D$8:$D$507,MATCH($B273,'E2 — Triagem'!$B$8:$B$507,0)),""))</f>
        <v/>
      </c>
      <c r="E273" s="179"/>
      <c r="F273" s="179"/>
      <c r="G273" s="179"/>
      <c r="H273" s="179"/>
      <c r="I273" s="179"/>
      <c r="J273" s="184" t="str">
        <f t="shared" si="5"/>
        <v/>
      </c>
      <c r="K273" s="179"/>
      <c r="L273" s="184"/>
      <c r="M273" s="183"/>
    </row>
    <row r="274" spans="2:13" x14ac:dyDescent="0.35">
      <c r="B274" s="177" t="str">
        <f>IF(Lançamentos!$B269="","",Lançamentos!$B269)</f>
        <v/>
      </c>
      <c r="C274" s="178" t="str">
        <f>IF($B274="","",IFERROR(INDEX(Lançamentos!$J$3:$J$1001,MATCH($B274,Lançamentos!$B$3:$B$1001,0)),""))</f>
        <v/>
      </c>
      <c r="D274" s="179" t="str">
        <f>IF($B274="","",IFERROR(INDEX('E2 — Triagem'!$D$8:$D$507,MATCH($B274,'E2 — Triagem'!$B$8:$B$507,0)),""))</f>
        <v/>
      </c>
      <c r="E274" s="179"/>
      <c r="F274" s="179"/>
      <c r="G274" s="179"/>
      <c r="H274" s="179"/>
      <c r="I274" s="179"/>
      <c r="J274" s="184" t="str">
        <f t="shared" si="5"/>
        <v/>
      </c>
      <c r="K274" s="179"/>
      <c r="L274" s="184"/>
      <c r="M274" s="183"/>
    </row>
    <row r="275" spans="2:13" x14ac:dyDescent="0.35">
      <c r="B275" s="177" t="str">
        <f>IF(Lançamentos!$B270="","",Lançamentos!$B270)</f>
        <v/>
      </c>
      <c r="C275" s="178" t="str">
        <f>IF($B275="","",IFERROR(INDEX(Lançamentos!$J$3:$J$1001,MATCH($B275,Lançamentos!$B$3:$B$1001,0)),""))</f>
        <v/>
      </c>
      <c r="D275" s="179" t="str">
        <f>IF($B275="","",IFERROR(INDEX('E2 — Triagem'!$D$8:$D$507,MATCH($B275,'E2 — Triagem'!$B$8:$B$507,0)),""))</f>
        <v/>
      </c>
      <c r="E275" s="179"/>
      <c r="F275" s="179"/>
      <c r="G275" s="179"/>
      <c r="H275" s="179"/>
      <c r="I275" s="179"/>
      <c r="J275" s="184" t="str">
        <f t="shared" si="5"/>
        <v/>
      </c>
      <c r="K275" s="179"/>
      <c r="L275" s="184"/>
      <c r="M275" s="183"/>
    </row>
    <row r="276" spans="2:13" x14ac:dyDescent="0.35">
      <c r="B276" s="177" t="str">
        <f>IF(Lançamentos!$B271="","",Lançamentos!$B271)</f>
        <v/>
      </c>
      <c r="C276" s="178" t="str">
        <f>IF($B276="","",IFERROR(INDEX(Lançamentos!$J$3:$J$1001,MATCH($B276,Lançamentos!$B$3:$B$1001,0)),""))</f>
        <v/>
      </c>
      <c r="D276" s="179" t="str">
        <f>IF($B276="","",IFERROR(INDEX('E2 — Triagem'!$D$8:$D$507,MATCH($B276,'E2 — Triagem'!$B$8:$B$507,0)),""))</f>
        <v/>
      </c>
      <c r="E276" s="179"/>
      <c r="F276" s="179"/>
      <c r="G276" s="179"/>
      <c r="H276" s="179"/>
      <c r="I276" s="179"/>
      <c r="J276" s="184" t="str">
        <f t="shared" si="5"/>
        <v/>
      </c>
      <c r="K276" s="179"/>
      <c r="L276" s="184"/>
      <c r="M276" s="183"/>
    </row>
    <row r="277" spans="2:13" x14ac:dyDescent="0.35">
      <c r="B277" s="177" t="str">
        <f>IF(Lançamentos!$B272="","",Lançamentos!$B272)</f>
        <v/>
      </c>
      <c r="C277" s="178" t="str">
        <f>IF($B277="","",IFERROR(INDEX(Lançamentos!$J$3:$J$1001,MATCH($B277,Lançamentos!$B$3:$B$1001,0)),""))</f>
        <v/>
      </c>
      <c r="D277" s="179" t="str">
        <f>IF($B277="","",IFERROR(INDEX('E2 — Triagem'!$D$8:$D$507,MATCH($B277,'E2 — Triagem'!$B$8:$B$507,0)),""))</f>
        <v/>
      </c>
      <c r="E277" s="179"/>
      <c r="F277" s="179"/>
      <c r="G277" s="179"/>
      <c r="H277" s="179"/>
      <c r="I277" s="179"/>
      <c r="J277" s="184" t="str">
        <f t="shared" si="5"/>
        <v/>
      </c>
      <c r="K277" s="179"/>
      <c r="L277" s="184"/>
      <c r="M277" s="183"/>
    </row>
    <row r="278" spans="2:13" x14ac:dyDescent="0.35">
      <c r="B278" s="177" t="str">
        <f>IF(Lançamentos!$B273="","",Lançamentos!$B273)</f>
        <v/>
      </c>
      <c r="C278" s="178" t="str">
        <f>IF($B278="","",IFERROR(INDEX(Lançamentos!$J$3:$J$1001,MATCH($B278,Lançamentos!$B$3:$B$1001,0)),""))</f>
        <v/>
      </c>
      <c r="D278" s="179" t="str">
        <f>IF($B278="","",IFERROR(INDEX('E2 — Triagem'!$D$8:$D$507,MATCH($B278,'E2 — Triagem'!$B$8:$B$507,0)),""))</f>
        <v/>
      </c>
      <c r="E278" s="179"/>
      <c r="F278" s="179"/>
      <c r="G278" s="179"/>
      <c r="H278" s="179"/>
      <c r="I278" s="179"/>
      <c r="J278" s="184" t="str">
        <f t="shared" si="5"/>
        <v/>
      </c>
      <c r="K278" s="179"/>
      <c r="L278" s="184"/>
      <c r="M278" s="183"/>
    </row>
    <row r="279" spans="2:13" x14ac:dyDescent="0.35">
      <c r="B279" s="177" t="str">
        <f>IF(Lançamentos!$B274="","",Lançamentos!$B274)</f>
        <v/>
      </c>
      <c r="C279" s="178" t="str">
        <f>IF($B279="","",IFERROR(INDEX(Lançamentos!$J$3:$J$1001,MATCH($B279,Lançamentos!$B$3:$B$1001,0)),""))</f>
        <v/>
      </c>
      <c r="D279" s="179" t="str">
        <f>IF($B279="","",IFERROR(INDEX('E2 — Triagem'!$D$8:$D$507,MATCH($B279,'E2 — Triagem'!$B$8:$B$507,0)),""))</f>
        <v/>
      </c>
      <c r="E279" s="179"/>
      <c r="F279" s="179"/>
      <c r="G279" s="179"/>
      <c r="H279" s="179"/>
      <c r="I279" s="179"/>
      <c r="J279" s="184" t="str">
        <f t="shared" si="5"/>
        <v/>
      </c>
      <c r="K279" s="179"/>
      <c r="L279" s="184"/>
      <c r="M279" s="183"/>
    </row>
    <row r="280" spans="2:13" x14ac:dyDescent="0.35">
      <c r="B280" s="177" t="str">
        <f>IF(Lançamentos!$B275="","",Lançamentos!$B275)</f>
        <v/>
      </c>
      <c r="C280" s="178" t="str">
        <f>IF($B280="","",IFERROR(INDEX(Lançamentos!$J$3:$J$1001,MATCH($B280,Lançamentos!$B$3:$B$1001,0)),""))</f>
        <v/>
      </c>
      <c r="D280" s="179" t="str">
        <f>IF($B280="","",IFERROR(INDEX('E2 — Triagem'!$D$8:$D$507,MATCH($B280,'E2 — Triagem'!$B$8:$B$507,0)),""))</f>
        <v/>
      </c>
      <c r="E280" s="179"/>
      <c r="F280" s="179"/>
      <c r="G280" s="179"/>
      <c r="H280" s="179"/>
      <c r="I280" s="179"/>
      <c r="J280" s="184" t="str">
        <f t="shared" si="5"/>
        <v/>
      </c>
      <c r="K280" s="179"/>
      <c r="L280" s="184"/>
      <c r="M280" s="183"/>
    </row>
    <row r="281" spans="2:13" x14ac:dyDescent="0.35">
      <c r="B281" s="177" t="str">
        <f>IF(Lançamentos!$B276="","",Lançamentos!$B276)</f>
        <v/>
      </c>
      <c r="C281" s="178" t="str">
        <f>IF($B281="","",IFERROR(INDEX(Lançamentos!$J$3:$J$1001,MATCH($B281,Lançamentos!$B$3:$B$1001,0)),""))</f>
        <v/>
      </c>
      <c r="D281" s="179" t="str">
        <f>IF($B281="","",IFERROR(INDEX('E2 — Triagem'!$D$8:$D$507,MATCH($B281,'E2 — Triagem'!$B$8:$B$507,0)),""))</f>
        <v/>
      </c>
      <c r="E281" s="179"/>
      <c r="F281" s="179"/>
      <c r="G281" s="179"/>
      <c r="H281" s="179"/>
      <c r="I281" s="179"/>
      <c r="J281" s="184" t="str">
        <f t="shared" si="5"/>
        <v/>
      </c>
      <c r="K281" s="179"/>
      <c r="L281" s="184"/>
      <c r="M281" s="183"/>
    </row>
    <row r="282" spans="2:13" x14ac:dyDescent="0.35">
      <c r="B282" s="177" t="str">
        <f>IF(Lançamentos!$B277="","",Lançamentos!$B277)</f>
        <v/>
      </c>
      <c r="C282" s="178" t="str">
        <f>IF($B282="","",IFERROR(INDEX(Lançamentos!$J$3:$J$1001,MATCH($B282,Lançamentos!$B$3:$B$1001,0)),""))</f>
        <v/>
      </c>
      <c r="D282" s="179" t="str">
        <f>IF($B282="","",IFERROR(INDEX('E2 — Triagem'!$D$8:$D$507,MATCH($B282,'E2 — Triagem'!$B$8:$B$507,0)),""))</f>
        <v/>
      </c>
      <c r="E282" s="179"/>
      <c r="F282" s="179"/>
      <c r="G282" s="179"/>
      <c r="H282" s="179"/>
      <c r="I282" s="179"/>
      <c r="J282" s="184" t="str">
        <f t="shared" si="5"/>
        <v/>
      </c>
      <c r="K282" s="179"/>
      <c r="L282" s="184"/>
      <c r="M282" s="183"/>
    </row>
    <row r="283" spans="2:13" x14ac:dyDescent="0.35">
      <c r="B283" s="177" t="str">
        <f>IF(Lançamentos!$B278="","",Lançamentos!$B278)</f>
        <v/>
      </c>
      <c r="C283" s="178" t="str">
        <f>IF($B283="","",IFERROR(INDEX(Lançamentos!$J$3:$J$1001,MATCH($B283,Lançamentos!$B$3:$B$1001,0)),""))</f>
        <v/>
      </c>
      <c r="D283" s="179" t="str">
        <f>IF($B283="","",IFERROR(INDEX('E2 — Triagem'!$D$8:$D$507,MATCH($B283,'E2 — Triagem'!$B$8:$B$507,0)),""))</f>
        <v/>
      </c>
      <c r="E283" s="179"/>
      <c r="F283" s="179"/>
      <c r="G283" s="179"/>
      <c r="H283" s="179"/>
      <c r="I283" s="179"/>
      <c r="J283" s="184" t="str">
        <f t="shared" si="5"/>
        <v/>
      </c>
      <c r="K283" s="179"/>
      <c r="L283" s="184"/>
      <c r="M283" s="183"/>
    </row>
    <row r="284" spans="2:13" x14ac:dyDescent="0.35">
      <c r="B284" s="177" t="str">
        <f>IF(Lançamentos!$B279="","",Lançamentos!$B279)</f>
        <v/>
      </c>
      <c r="C284" s="178" t="str">
        <f>IF($B284="","",IFERROR(INDEX(Lançamentos!$J$3:$J$1001,MATCH($B284,Lançamentos!$B$3:$B$1001,0)),""))</f>
        <v/>
      </c>
      <c r="D284" s="179" t="str">
        <f>IF($B284="","",IFERROR(INDEX('E2 — Triagem'!$D$8:$D$507,MATCH($B284,'E2 — Triagem'!$B$8:$B$507,0)),""))</f>
        <v/>
      </c>
      <c r="E284" s="179"/>
      <c r="F284" s="179"/>
      <c r="G284" s="179"/>
      <c r="H284" s="179"/>
      <c r="I284" s="179"/>
      <c r="J284" s="184" t="str">
        <f t="shared" si="5"/>
        <v/>
      </c>
      <c r="K284" s="179"/>
      <c r="L284" s="184"/>
      <c r="M284" s="183"/>
    </row>
    <row r="285" spans="2:13" x14ac:dyDescent="0.35">
      <c r="B285" s="177" t="str">
        <f>IF(Lançamentos!$B280="","",Lançamentos!$B280)</f>
        <v/>
      </c>
      <c r="C285" s="178" t="str">
        <f>IF($B285="","",IFERROR(INDEX(Lançamentos!$J$3:$J$1001,MATCH($B285,Lançamentos!$B$3:$B$1001,0)),""))</f>
        <v/>
      </c>
      <c r="D285" s="179" t="str">
        <f>IF($B285="","",IFERROR(INDEX('E2 — Triagem'!$D$8:$D$507,MATCH($B285,'E2 — Triagem'!$B$8:$B$507,0)),""))</f>
        <v/>
      </c>
      <c r="E285" s="179"/>
      <c r="F285" s="179"/>
      <c r="G285" s="179"/>
      <c r="H285" s="179"/>
      <c r="I285" s="179"/>
      <c r="J285" s="184" t="str">
        <f t="shared" si="5"/>
        <v/>
      </c>
      <c r="K285" s="179"/>
      <c r="L285" s="184"/>
      <c r="M285" s="183"/>
    </row>
    <row r="286" spans="2:13" x14ac:dyDescent="0.35">
      <c r="B286" s="177" t="str">
        <f>IF(Lançamentos!$B281="","",Lançamentos!$B281)</f>
        <v/>
      </c>
      <c r="C286" s="178" t="str">
        <f>IF($B286="","",IFERROR(INDEX(Lançamentos!$J$3:$J$1001,MATCH($B286,Lançamentos!$B$3:$B$1001,0)),""))</f>
        <v/>
      </c>
      <c r="D286" s="179" t="str">
        <f>IF($B286="","",IFERROR(INDEX('E2 — Triagem'!$D$8:$D$507,MATCH($B286,'E2 — Triagem'!$B$8:$B$507,0)),""))</f>
        <v/>
      </c>
      <c r="E286" s="179"/>
      <c r="F286" s="179"/>
      <c r="G286" s="179"/>
      <c r="H286" s="179"/>
      <c r="I286" s="179"/>
      <c r="J286" s="184" t="str">
        <f t="shared" si="5"/>
        <v/>
      </c>
      <c r="K286" s="179"/>
      <c r="L286" s="184"/>
      <c r="M286" s="183"/>
    </row>
    <row r="287" spans="2:13" x14ac:dyDescent="0.35">
      <c r="B287" s="177" t="str">
        <f>IF(Lançamentos!$B282="","",Lançamentos!$B282)</f>
        <v/>
      </c>
      <c r="C287" s="178" t="str">
        <f>IF($B287="","",IFERROR(INDEX(Lançamentos!$J$3:$J$1001,MATCH($B287,Lançamentos!$B$3:$B$1001,0)),""))</f>
        <v/>
      </c>
      <c r="D287" s="179" t="str">
        <f>IF($B287="","",IFERROR(INDEX('E2 — Triagem'!$D$8:$D$507,MATCH($B287,'E2 — Triagem'!$B$8:$B$507,0)),""))</f>
        <v/>
      </c>
      <c r="E287" s="179"/>
      <c r="F287" s="179"/>
      <c r="G287" s="179"/>
      <c r="H287" s="179"/>
      <c r="I287" s="179"/>
      <c r="J287" s="184" t="str">
        <f t="shared" si="5"/>
        <v/>
      </c>
      <c r="K287" s="179"/>
      <c r="L287" s="184"/>
      <c r="M287" s="183"/>
    </row>
    <row r="288" spans="2:13" x14ac:dyDescent="0.35">
      <c r="B288" s="177" t="str">
        <f>IF(Lançamentos!$B283="","",Lançamentos!$B283)</f>
        <v/>
      </c>
      <c r="C288" s="178" t="str">
        <f>IF($B288="","",IFERROR(INDEX(Lançamentos!$J$3:$J$1001,MATCH($B288,Lançamentos!$B$3:$B$1001,0)),""))</f>
        <v/>
      </c>
      <c r="D288" s="179" t="str">
        <f>IF($B288="","",IFERROR(INDEX('E2 — Triagem'!$D$8:$D$507,MATCH($B288,'E2 — Triagem'!$B$8:$B$507,0)),""))</f>
        <v/>
      </c>
      <c r="E288" s="179"/>
      <c r="F288" s="179"/>
      <c r="G288" s="179"/>
      <c r="H288" s="179"/>
      <c r="I288" s="179"/>
      <c r="J288" s="184" t="str">
        <f t="shared" si="5"/>
        <v/>
      </c>
      <c r="K288" s="179"/>
      <c r="L288" s="184"/>
      <c r="M288" s="183"/>
    </row>
    <row r="289" spans="2:13" x14ac:dyDescent="0.35">
      <c r="B289" s="177" t="str">
        <f>IF(Lançamentos!$B284="","",Lançamentos!$B284)</f>
        <v/>
      </c>
      <c r="C289" s="178" t="str">
        <f>IF($B289="","",IFERROR(INDEX(Lançamentos!$J$3:$J$1001,MATCH($B289,Lançamentos!$B$3:$B$1001,0)),""))</f>
        <v/>
      </c>
      <c r="D289" s="179" t="str">
        <f>IF($B289="","",IFERROR(INDEX('E2 — Triagem'!$D$8:$D$507,MATCH($B289,'E2 — Triagem'!$B$8:$B$507,0)),""))</f>
        <v/>
      </c>
      <c r="E289" s="179"/>
      <c r="F289" s="179"/>
      <c r="G289" s="179"/>
      <c r="H289" s="179"/>
      <c r="I289" s="179"/>
      <c r="J289" s="184" t="str">
        <f t="shared" si="5"/>
        <v/>
      </c>
      <c r="K289" s="179"/>
      <c r="L289" s="184"/>
      <c r="M289" s="183"/>
    </row>
    <row r="290" spans="2:13" x14ac:dyDescent="0.35">
      <c r="B290" s="177" t="str">
        <f>IF(Lançamentos!$B285="","",Lançamentos!$B285)</f>
        <v/>
      </c>
      <c r="C290" s="178" t="str">
        <f>IF($B290="","",IFERROR(INDEX(Lançamentos!$J$3:$J$1001,MATCH($B290,Lançamentos!$B$3:$B$1001,0)),""))</f>
        <v/>
      </c>
      <c r="D290" s="179" t="str">
        <f>IF($B290="","",IFERROR(INDEX('E2 — Triagem'!$D$8:$D$507,MATCH($B290,'E2 — Triagem'!$B$8:$B$507,0)),""))</f>
        <v/>
      </c>
      <c r="E290" s="179"/>
      <c r="F290" s="179"/>
      <c r="G290" s="179"/>
      <c r="H290" s="179"/>
      <c r="I290" s="179"/>
      <c r="J290" s="184" t="str">
        <f t="shared" si="5"/>
        <v/>
      </c>
      <c r="K290" s="179"/>
      <c r="L290" s="184"/>
      <c r="M290" s="183"/>
    </row>
    <row r="291" spans="2:13" x14ac:dyDescent="0.35">
      <c r="B291" s="177" t="str">
        <f>IF(Lançamentos!$B286="","",Lançamentos!$B286)</f>
        <v/>
      </c>
      <c r="C291" s="178" t="str">
        <f>IF($B291="","",IFERROR(INDEX(Lançamentos!$J$3:$J$1001,MATCH($B291,Lançamentos!$B$3:$B$1001,0)),""))</f>
        <v/>
      </c>
      <c r="D291" s="179" t="str">
        <f>IF($B291="","",IFERROR(INDEX('E2 — Triagem'!$D$8:$D$507,MATCH($B291,'E2 — Triagem'!$B$8:$B$507,0)),""))</f>
        <v/>
      </c>
      <c r="E291" s="179"/>
      <c r="F291" s="179"/>
      <c r="G291" s="179"/>
      <c r="H291" s="179"/>
      <c r="I291" s="179"/>
      <c r="J291" s="184" t="str">
        <f t="shared" si="5"/>
        <v/>
      </c>
      <c r="K291" s="179"/>
      <c r="L291" s="184"/>
      <c r="M291" s="183"/>
    </row>
    <row r="292" spans="2:13" x14ac:dyDescent="0.35">
      <c r="B292" s="177" t="str">
        <f>IF(Lançamentos!$B287="","",Lançamentos!$B287)</f>
        <v/>
      </c>
      <c r="C292" s="178" t="str">
        <f>IF($B292="","",IFERROR(INDEX(Lançamentos!$J$3:$J$1001,MATCH($B292,Lançamentos!$B$3:$B$1001,0)),""))</f>
        <v/>
      </c>
      <c r="D292" s="179" t="str">
        <f>IF($B292="","",IFERROR(INDEX('E2 — Triagem'!$D$8:$D$507,MATCH($B292,'E2 — Triagem'!$B$8:$B$507,0)),""))</f>
        <v/>
      </c>
      <c r="E292" s="179"/>
      <c r="F292" s="179"/>
      <c r="G292" s="179"/>
      <c r="H292" s="179"/>
      <c r="I292" s="179"/>
      <c r="J292" s="184" t="str">
        <f t="shared" si="5"/>
        <v/>
      </c>
      <c r="K292" s="179"/>
      <c r="L292" s="184"/>
      <c r="M292" s="183"/>
    </row>
    <row r="293" spans="2:13" x14ac:dyDescent="0.35">
      <c r="B293" s="177" t="str">
        <f>IF(Lançamentos!$B288="","",Lançamentos!$B288)</f>
        <v/>
      </c>
      <c r="C293" s="178" t="str">
        <f>IF($B293="","",IFERROR(INDEX(Lançamentos!$J$3:$J$1001,MATCH($B293,Lançamentos!$B$3:$B$1001,0)),""))</f>
        <v/>
      </c>
      <c r="D293" s="179" t="str">
        <f>IF($B293="","",IFERROR(INDEX('E2 — Triagem'!$D$8:$D$507,MATCH($B293,'E2 — Triagem'!$B$8:$B$507,0)),""))</f>
        <v/>
      </c>
      <c r="E293" s="179"/>
      <c r="F293" s="179"/>
      <c r="G293" s="179"/>
      <c r="H293" s="179"/>
      <c r="I293" s="179"/>
      <c r="J293" s="184" t="str">
        <f t="shared" si="5"/>
        <v/>
      </c>
      <c r="K293" s="179"/>
      <c r="L293" s="184"/>
      <c r="M293" s="183"/>
    </row>
    <row r="294" spans="2:13" x14ac:dyDescent="0.35">
      <c r="B294" s="177" t="str">
        <f>IF(Lançamentos!$B289="","",Lançamentos!$B289)</f>
        <v/>
      </c>
      <c r="C294" s="178" t="str">
        <f>IF($B294="","",IFERROR(INDEX(Lançamentos!$J$3:$J$1001,MATCH($B294,Lançamentos!$B$3:$B$1001,0)),""))</f>
        <v/>
      </c>
      <c r="D294" s="179" t="str">
        <f>IF($B294="","",IFERROR(INDEX('E2 — Triagem'!$D$8:$D$507,MATCH($B294,'E2 — Triagem'!$B$8:$B$507,0)),""))</f>
        <v/>
      </c>
      <c r="E294" s="179"/>
      <c r="F294" s="179"/>
      <c r="G294" s="179"/>
      <c r="H294" s="179"/>
      <c r="I294" s="179"/>
      <c r="J294" s="184" t="str">
        <f t="shared" si="5"/>
        <v/>
      </c>
      <c r="K294" s="179"/>
      <c r="L294" s="184"/>
      <c r="M294" s="183"/>
    </row>
    <row r="295" spans="2:13" x14ac:dyDescent="0.35">
      <c r="B295" s="177" t="str">
        <f>IF(Lançamentos!$B290="","",Lançamentos!$B290)</f>
        <v/>
      </c>
      <c r="C295" s="178" t="str">
        <f>IF($B295="","",IFERROR(INDEX(Lançamentos!$J$3:$J$1001,MATCH($B295,Lançamentos!$B$3:$B$1001,0)),""))</f>
        <v/>
      </c>
      <c r="D295" s="179" t="str">
        <f>IF($B295="","",IFERROR(INDEX('E2 — Triagem'!$D$8:$D$507,MATCH($B295,'E2 — Triagem'!$B$8:$B$507,0)),""))</f>
        <v/>
      </c>
      <c r="E295" s="179"/>
      <c r="F295" s="179"/>
      <c r="G295" s="179"/>
      <c r="H295" s="179"/>
      <c r="I295" s="179"/>
      <c r="J295" s="184" t="str">
        <f t="shared" si="5"/>
        <v/>
      </c>
      <c r="K295" s="179"/>
      <c r="L295" s="184"/>
      <c r="M295" s="183"/>
    </row>
    <row r="296" spans="2:13" x14ac:dyDescent="0.35">
      <c r="B296" s="177" t="str">
        <f>IF(Lançamentos!$B291="","",Lançamentos!$B291)</f>
        <v/>
      </c>
      <c r="C296" s="178" t="str">
        <f>IF($B296="","",IFERROR(INDEX(Lançamentos!$J$3:$J$1001,MATCH($B296,Lançamentos!$B$3:$B$1001,0)),""))</f>
        <v/>
      </c>
      <c r="D296" s="179" t="str">
        <f>IF($B296="","",IFERROR(INDEX('E2 — Triagem'!$D$8:$D$507,MATCH($B296,'E2 — Triagem'!$B$8:$B$507,0)),""))</f>
        <v/>
      </c>
      <c r="E296" s="179"/>
      <c r="F296" s="179"/>
      <c r="G296" s="179"/>
      <c r="H296" s="179"/>
      <c r="I296" s="179"/>
      <c r="J296" s="184" t="str">
        <f t="shared" si="5"/>
        <v/>
      </c>
      <c r="K296" s="179"/>
      <c r="L296" s="184"/>
      <c r="M296" s="183"/>
    </row>
    <row r="297" spans="2:13" x14ac:dyDescent="0.35">
      <c r="B297" s="177" t="str">
        <f>IF(Lançamentos!$B292="","",Lançamentos!$B292)</f>
        <v/>
      </c>
      <c r="C297" s="178" t="str">
        <f>IF($B297="","",IFERROR(INDEX(Lançamentos!$J$3:$J$1001,MATCH($B297,Lançamentos!$B$3:$B$1001,0)),""))</f>
        <v/>
      </c>
      <c r="D297" s="179" t="str">
        <f>IF($B297="","",IFERROR(INDEX('E2 — Triagem'!$D$8:$D$507,MATCH($B297,'E2 — Triagem'!$B$8:$B$507,0)),""))</f>
        <v/>
      </c>
      <c r="E297" s="179"/>
      <c r="F297" s="179"/>
      <c r="G297" s="179"/>
      <c r="H297" s="179"/>
      <c r="I297" s="179"/>
      <c r="J297" s="184" t="str">
        <f t="shared" si="5"/>
        <v/>
      </c>
      <c r="K297" s="179"/>
      <c r="L297" s="184"/>
      <c r="M297" s="183"/>
    </row>
    <row r="298" spans="2:13" x14ac:dyDescent="0.35">
      <c r="B298" s="177" t="str">
        <f>IF(Lançamentos!$B293="","",Lançamentos!$B293)</f>
        <v/>
      </c>
      <c r="C298" s="178" t="str">
        <f>IF($B298="","",IFERROR(INDEX(Lançamentos!$J$3:$J$1001,MATCH($B298,Lançamentos!$B$3:$B$1001,0)),""))</f>
        <v/>
      </c>
      <c r="D298" s="179" t="str">
        <f>IF($B298="","",IFERROR(INDEX('E2 — Triagem'!$D$8:$D$507,MATCH($B298,'E2 — Triagem'!$B$8:$B$507,0)),""))</f>
        <v/>
      </c>
      <c r="E298" s="179"/>
      <c r="F298" s="179"/>
      <c r="G298" s="179"/>
      <c r="H298" s="179"/>
      <c r="I298" s="179"/>
      <c r="J298" s="184" t="str">
        <f t="shared" si="5"/>
        <v/>
      </c>
      <c r="K298" s="179"/>
      <c r="L298" s="184"/>
      <c r="M298" s="183"/>
    </row>
    <row r="299" spans="2:13" x14ac:dyDescent="0.35">
      <c r="B299" s="177" t="str">
        <f>IF(Lançamentos!$B294="","",Lançamentos!$B294)</f>
        <v/>
      </c>
      <c r="C299" s="178" t="str">
        <f>IF($B299="","",IFERROR(INDEX(Lançamentos!$J$3:$J$1001,MATCH($B299,Lançamentos!$B$3:$B$1001,0)),""))</f>
        <v/>
      </c>
      <c r="D299" s="179" t="str">
        <f>IF($B299="","",IFERROR(INDEX('E2 — Triagem'!$D$8:$D$507,MATCH($B299,'E2 — Triagem'!$B$8:$B$507,0)),""))</f>
        <v/>
      </c>
      <c r="E299" s="179"/>
      <c r="F299" s="179"/>
      <c r="G299" s="179"/>
      <c r="H299" s="179"/>
      <c r="I299" s="179"/>
      <c r="J299" s="184" t="str">
        <f t="shared" si="5"/>
        <v/>
      </c>
      <c r="K299" s="179"/>
      <c r="L299" s="184"/>
      <c r="M299" s="183"/>
    </row>
    <row r="300" spans="2:13" x14ac:dyDescent="0.35">
      <c r="B300" s="177" t="str">
        <f>IF(Lançamentos!$B295="","",Lançamentos!$B295)</f>
        <v/>
      </c>
      <c r="C300" s="178" t="str">
        <f>IF($B300="","",IFERROR(INDEX(Lançamentos!$J$3:$J$1001,MATCH($B300,Lançamentos!$B$3:$B$1001,0)),""))</f>
        <v/>
      </c>
      <c r="D300" s="179" t="str">
        <f>IF($B300="","",IFERROR(INDEX('E2 — Triagem'!$D$8:$D$507,MATCH($B300,'E2 — Triagem'!$B$8:$B$507,0)),""))</f>
        <v/>
      </c>
      <c r="E300" s="179"/>
      <c r="F300" s="179"/>
      <c r="G300" s="179"/>
      <c r="H300" s="179"/>
      <c r="I300" s="179"/>
      <c r="J300" s="184" t="str">
        <f t="shared" si="5"/>
        <v/>
      </c>
      <c r="K300" s="179"/>
      <c r="L300" s="184"/>
      <c r="M300" s="183"/>
    </row>
    <row r="301" spans="2:13" x14ac:dyDescent="0.35">
      <c r="B301" s="177" t="str">
        <f>IF(Lançamentos!$B296="","",Lançamentos!$B296)</f>
        <v/>
      </c>
      <c r="C301" s="178" t="str">
        <f>IF($B301="","",IFERROR(INDEX(Lançamentos!$J$3:$J$1001,MATCH($B301,Lançamentos!$B$3:$B$1001,0)),""))</f>
        <v/>
      </c>
      <c r="D301" s="179" t="str">
        <f>IF($B301="","",IFERROR(INDEX('E2 — Triagem'!$D$8:$D$507,MATCH($B301,'E2 — Triagem'!$B$8:$B$507,0)),""))</f>
        <v/>
      </c>
      <c r="E301" s="179"/>
      <c r="F301" s="179"/>
      <c r="G301" s="179"/>
      <c r="H301" s="179"/>
      <c r="I301" s="179"/>
      <c r="J301" s="184" t="str">
        <f t="shared" si="5"/>
        <v/>
      </c>
      <c r="K301" s="179"/>
      <c r="L301" s="184"/>
      <c r="M301" s="183"/>
    </row>
    <row r="302" spans="2:13" x14ac:dyDescent="0.35">
      <c r="B302" s="177" t="str">
        <f>IF(Lançamentos!$B297="","",Lançamentos!$B297)</f>
        <v/>
      </c>
      <c r="C302" s="178" t="str">
        <f>IF($B302="","",IFERROR(INDEX(Lançamentos!$J$3:$J$1001,MATCH($B302,Lançamentos!$B$3:$B$1001,0)),""))</f>
        <v/>
      </c>
      <c r="D302" s="179" t="str">
        <f>IF($B302="","",IFERROR(INDEX('E2 — Triagem'!$D$8:$D$507,MATCH($B302,'E2 — Triagem'!$B$8:$B$507,0)),""))</f>
        <v/>
      </c>
      <c r="E302" s="179"/>
      <c r="F302" s="179"/>
      <c r="G302" s="179"/>
      <c r="H302" s="179"/>
      <c r="I302" s="179"/>
      <c r="J302" s="184" t="str">
        <f t="shared" si="5"/>
        <v/>
      </c>
      <c r="K302" s="179"/>
      <c r="L302" s="184"/>
      <c r="M302" s="183"/>
    </row>
    <row r="303" spans="2:13" x14ac:dyDescent="0.35">
      <c r="B303" s="177" t="str">
        <f>IF(Lançamentos!$B298="","",Lançamentos!$B298)</f>
        <v/>
      </c>
      <c r="C303" s="178" t="str">
        <f>IF($B303="","",IFERROR(INDEX(Lançamentos!$J$3:$J$1001,MATCH($B303,Lançamentos!$B$3:$B$1001,0)),""))</f>
        <v/>
      </c>
      <c r="D303" s="179" t="str">
        <f>IF($B303="","",IFERROR(INDEX('E2 — Triagem'!$D$8:$D$507,MATCH($B303,'E2 — Triagem'!$B$8:$B$507,0)),""))</f>
        <v/>
      </c>
      <c r="E303" s="179"/>
      <c r="F303" s="179"/>
      <c r="G303" s="179"/>
      <c r="H303" s="179"/>
      <c r="I303" s="179"/>
      <c r="J303" s="184" t="str">
        <f t="shared" si="5"/>
        <v/>
      </c>
      <c r="K303" s="179"/>
      <c r="L303" s="184"/>
      <c r="M303" s="183"/>
    </row>
    <row r="304" spans="2:13" x14ac:dyDescent="0.35">
      <c r="B304" s="177" t="str">
        <f>IF(Lançamentos!$B299="","",Lançamentos!$B299)</f>
        <v/>
      </c>
      <c r="C304" s="178" t="str">
        <f>IF($B304="","",IFERROR(INDEX(Lançamentos!$J$3:$J$1001,MATCH($B304,Lançamentos!$B$3:$B$1001,0)),""))</f>
        <v/>
      </c>
      <c r="D304" s="179" t="str">
        <f>IF($B304="","",IFERROR(INDEX('E2 — Triagem'!$D$8:$D$507,MATCH($B304,'E2 — Triagem'!$B$8:$B$507,0)),""))</f>
        <v/>
      </c>
      <c r="E304" s="179"/>
      <c r="F304" s="179"/>
      <c r="G304" s="179"/>
      <c r="H304" s="179"/>
      <c r="I304" s="179"/>
      <c r="J304" s="184" t="str">
        <f t="shared" si="5"/>
        <v/>
      </c>
      <c r="K304" s="179"/>
      <c r="L304" s="184"/>
      <c r="M304" s="183"/>
    </row>
    <row r="305" spans="2:13" x14ac:dyDescent="0.35">
      <c r="B305" s="177" t="str">
        <f>IF(Lançamentos!$B300="","",Lançamentos!$B300)</f>
        <v/>
      </c>
      <c r="C305" s="178" t="str">
        <f>IF($B305="","",IFERROR(INDEX(Lançamentos!$J$3:$J$1001,MATCH($B305,Lançamentos!$B$3:$B$1001,0)),""))</f>
        <v/>
      </c>
      <c r="D305" s="179" t="str">
        <f>IF($B305="","",IFERROR(INDEX('E2 — Triagem'!$D$8:$D$507,MATCH($B305,'E2 — Triagem'!$B$8:$B$507,0)),""))</f>
        <v/>
      </c>
      <c r="E305" s="179"/>
      <c r="F305" s="179"/>
      <c r="G305" s="179"/>
      <c r="H305" s="179"/>
      <c r="I305" s="179"/>
      <c r="J305" s="184" t="str">
        <f t="shared" si="5"/>
        <v/>
      </c>
      <c r="K305" s="179"/>
      <c r="L305" s="184"/>
      <c r="M305" s="183"/>
    </row>
    <row r="306" spans="2:13" x14ac:dyDescent="0.35">
      <c r="B306" s="177" t="str">
        <f>IF(Lançamentos!$B301="","",Lançamentos!$B301)</f>
        <v/>
      </c>
      <c r="C306" s="178" t="str">
        <f>IF($B306="","",IFERROR(INDEX(Lançamentos!$J$3:$J$1001,MATCH($B306,Lançamentos!$B$3:$B$1001,0)),""))</f>
        <v/>
      </c>
      <c r="D306" s="179" t="str">
        <f>IF($B306="","",IFERROR(INDEX('E2 — Triagem'!$D$8:$D$507,MATCH($B306,'E2 — Triagem'!$B$8:$B$507,0)),""))</f>
        <v/>
      </c>
      <c r="E306" s="179"/>
      <c r="F306" s="179"/>
      <c r="G306" s="179"/>
      <c r="H306" s="179"/>
      <c r="I306" s="179"/>
      <c r="J306" s="184" t="str">
        <f t="shared" si="5"/>
        <v/>
      </c>
      <c r="K306" s="179"/>
      <c r="L306" s="184"/>
      <c r="M306" s="183"/>
    </row>
    <row r="307" spans="2:13" x14ac:dyDescent="0.35">
      <c r="B307" s="177" t="str">
        <f>IF(Lançamentos!$B302="","",Lançamentos!$B302)</f>
        <v/>
      </c>
      <c r="C307" s="178" t="str">
        <f>IF($B307="","",IFERROR(INDEX(Lançamentos!$J$3:$J$1001,MATCH($B307,Lançamentos!$B$3:$B$1001,0)),""))</f>
        <v/>
      </c>
      <c r="D307" s="179" t="str">
        <f>IF($B307="","",IFERROR(INDEX('E2 — Triagem'!$D$8:$D$507,MATCH($B307,'E2 — Triagem'!$B$8:$B$507,0)),""))</f>
        <v/>
      </c>
      <c r="E307" s="179"/>
      <c r="F307" s="179"/>
      <c r="G307" s="179"/>
      <c r="H307" s="179"/>
      <c r="I307" s="179"/>
      <c r="J307" s="184" t="str">
        <f t="shared" si="5"/>
        <v/>
      </c>
      <c r="K307" s="179"/>
      <c r="L307" s="184"/>
      <c r="M307" s="183"/>
    </row>
    <row r="308" spans="2:13" x14ac:dyDescent="0.35">
      <c r="B308" s="177" t="str">
        <f>IF(Lançamentos!$B303="","",Lançamentos!$B303)</f>
        <v/>
      </c>
      <c r="C308" s="178" t="str">
        <f>IF($B308="","",IFERROR(INDEX(Lançamentos!$J$3:$J$1001,MATCH($B308,Lançamentos!$B$3:$B$1001,0)),""))</f>
        <v/>
      </c>
      <c r="D308" s="179" t="str">
        <f>IF($B308="","",IFERROR(INDEX('E2 — Triagem'!$D$8:$D$507,MATCH($B308,'E2 — Triagem'!$B$8:$B$507,0)),""))</f>
        <v/>
      </c>
      <c r="E308" s="179"/>
      <c r="F308" s="179"/>
      <c r="G308" s="179"/>
      <c r="H308" s="179"/>
      <c r="I308" s="179"/>
      <c r="J308" s="184" t="str">
        <f t="shared" si="5"/>
        <v/>
      </c>
      <c r="K308" s="179"/>
      <c r="L308" s="184"/>
      <c r="M308" s="183"/>
    </row>
    <row r="309" spans="2:13" x14ac:dyDescent="0.35">
      <c r="B309" s="177" t="str">
        <f>IF(Lançamentos!$B304="","",Lançamentos!$B304)</f>
        <v/>
      </c>
      <c r="C309" s="178" t="str">
        <f>IF($B309="","",IFERROR(INDEX(Lançamentos!$J$3:$J$1001,MATCH($B309,Lançamentos!$B$3:$B$1001,0)),""))</f>
        <v/>
      </c>
      <c r="D309" s="179" t="str">
        <f>IF($B309="","",IFERROR(INDEX('E2 — Triagem'!$D$8:$D$507,MATCH($B309,'E2 — Triagem'!$B$8:$B$507,0)),""))</f>
        <v/>
      </c>
      <c r="E309" s="179"/>
      <c r="F309" s="179"/>
      <c r="G309" s="179"/>
      <c r="H309" s="179"/>
      <c r="I309" s="179"/>
      <c r="J309" s="184" t="str">
        <f t="shared" si="5"/>
        <v/>
      </c>
      <c r="K309" s="179"/>
      <c r="L309" s="184"/>
      <c r="M309" s="183"/>
    </row>
    <row r="310" spans="2:13" x14ac:dyDescent="0.35">
      <c r="B310" s="177" t="str">
        <f>IF(Lançamentos!$B305="","",Lançamentos!$B305)</f>
        <v/>
      </c>
      <c r="C310" s="178" t="str">
        <f>IF($B310="","",IFERROR(INDEX(Lançamentos!$J$3:$J$1001,MATCH($B310,Lançamentos!$B$3:$B$1001,0)),""))</f>
        <v/>
      </c>
      <c r="D310" s="179" t="str">
        <f>IF($B310="","",IFERROR(INDEX('E2 — Triagem'!$D$8:$D$507,MATCH($B310,'E2 — Triagem'!$B$8:$B$507,0)),""))</f>
        <v/>
      </c>
      <c r="E310" s="179"/>
      <c r="F310" s="179"/>
      <c r="G310" s="179"/>
      <c r="H310" s="179"/>
      <c r="I310" s="179"/>
      <c r="J310" s="184" t="str">
        <f t="shared" si="5"/>
        <v/>
      </c>
      <c r="K310" s="179"/>
      <c r="L310" s="184"/>
      <c r="M310" s="183"/>
    </row>
    <row r="311" spans="2:13" x14ac:dyDescent="0.35">
      <c r="B311" s="177" t="str">
        <f>IF(Lançamentos!$B306="","",Lançamentos!$B306)</f>
        <v/>
      </c>
      <c r="C311" s="178" t="str">
        <f>IF($B311="","",IFERROR(INDEX(Lançamentos!$J$3:$J$1001,MATCH($B311,Lançamentos!$B$3:$B$1001,0)),""))</f>
        <v/>
      </c>
      <c r="D311" s="179" t="str">
        <f>IF($B311="","",IFERROR(INDEX('E2 — Triagem'!$D$8:$D$507,MATCH($B311,'E2 — Triagem'!$B$8:$B$507,0)),""))</f>
        <v/>
      </c>
      <c r="E311" s="179"/>
      <c r="F311" s="179"/>
      <c r="G311" s="179"/>
      <c r="H311" s="179"/>
      <c r="I311" s="179"/>
      <c r="J311" s="184" t="str">
        <f t="shared" si="5"/>
        <v/>
      </c>
      <c r="K311" s="179"/>
      <c r="L311" s="184"/>
      <c r="M311" s="183"/>
    </row>
    <row r="312" spans="2:13" x14ac:dyDescent="0.35">
      <c r="B312" s="177" t="str">
        <f>IF(Lançamentos!$B307="","",Lançamentos!$B307)</f>
        <v/>
      </c>
      <c r="C312" s="178" t="str">
        <f>IF($B312="","",IFERROR(INDEX(Lançamentos!$J$3:$J$1001,MATCH($B312,Lançamentos!$B$3:$B$1001,0)),""))</f>
        <v/>
      </c>
      <c r="D312" s="179" t="str">
        <f>IF($B312="","",IFERROR(INDEX('E2 — Triagem'!$D$8:$D$507,MATCH($B312,'E2 — Triagem'!$B$8:$B$507,0)),""))</f>
        <v/>
      </c>
      <c r="E312" s="179"/>
      <c r="F312" s="179"/>
      <c r="G312" s="179"/>
      <c r="H312" s="179"/>
      <c r="I312" s="179"/>
      <c r="J312" s="184" t="str">
        <f t="shared" si="5"/>
        <v/>
      </c>
      <c r="K312" s="179"/>
      <c r="L312" s="184"/>
      <c r="M312" s="183"/>
    </row>
    <row r="313" spans="2:13" x14ac:dyDescent="0.35">
      <c r="B313" s="177" t="str">
        <f>IF(Lançamentos!$B308="","",Lançamentos!$B308)</f>
        <v/>
      </c>
      <c r="C313" s="178" t="str">
        <f>IF($B313="","",IFERROR(INDEX(Lançamentos!$J$3:$J$1001,MATCH($B313,Lançamentos!$B$3:$B$1001,0)),""))</f>
        <v/>
      </c>
      <c r="D313" s="179" t="str">
        <f>IF($B313="","",IFERROR(INDEX('E2 — Triagem'!$D$8:$D$507,MATCH($B313,'E2 — Triagem'!$B$8:$B$507,0)),""))</f>
        <v/>
      </c>
      <c r="E313" s="179"/>
      <c r="F313" s="179"/>
      <c r="G313" s="179"/>
      <c r="H313" s="179"/>
      <c r="I313" s="179"/>
      <c r="J313" s="184" t="str">
        <f t="shared" si="5"/>
        <v/>
      </c>
      <c r="K313" s="179"/>
      <c r="L313" s="184"/>
      <c r="M313" s="183"/>
    </row>
    <row r="314" spans="2:13" x14ac:dyDescent="0.35">
      <c r="B314" s="177" t="str">
        <f>IF(Lançamentos!$B309="","",Lançamentos!$B309)</f>
        <v/>
      </c>
      <c r="C314" s="178" t="str">
        <f>IF($B314="","",IFERROR(INDEX(Lançamentos!$J$3:$J$1001,MATCH($B314,Lançamentos!$B$3:$B$1001,0)),""))</f>
        <v/>
      </c>
      <c r="D314" s="179" t="str">
        <f>IF($B314="","",IFERROR(INDEX('E2 — Triagem'!$D$8:$D$507,MATCH($B314,'E2 — Triagem'!$B$8:$B$507,0)),""))</f>
        <v/>
      </c>
      <c r="E314" s="179"/>
      <c r="F314" s="179"/>
      <c r="G314" s="179"/>
      <c r="H314" s="179"/>
      <c r="I314" s="179"/>
      <c r="J314" s="184" t="str">
        <f t="shared" si="5"/>
        <v/>
      </c>
      <c r="K314" s="179"/>
      <c r="L314" s="184"/>
      <c r="M314" s="183"/>
    </row>
    <row r="315" spans="2:13" x14ac:dyDescent="0.35">
      <c r="B315" s="177" t="str">
        <f>IF(Lançamentos!$B310="","",Lançamentos!$B310)</f>
        <v/>
      </c>
      <c r="C315" s="178" t="str">
        <f>IF($B315="","",IFERROR(INDEX(Lançamentos!$J$3:$J$1001,MATCH($B315,Lançamentos!$B$3:$B$1001,0)),""))</f>
        <v/>
      </c>
      <c r="D315" s="179" t="str">
        <f>IF($B315="","",IFERROR(INDEX('E2 — Triagem'!$D$8:$D$507,MATCH($B315,'E2 — Triagem'!$B$8:$B$507,0)),""))</f>
        <v/>
      </c>
      <c r="E315" s="179"/>
      <c r="F315" s="179"/>
      <c r="G315" s="179"/>
      <c r="H315" s="179"/>
      <c r="I315" s="179"/>
      <c r="J315" s="184" t="str">
        <f t="shared" si="5"/>
        <v/>
      </c>
      <c r="K315" s="179"/>
      <c r="L315" s="184"/>
      <c r="M315" s="183"/>
    </row>
    <row r="316" spans="2:13" x14ac:dyDescent="0.35">
      <c r="B316" s="177" t="str">
        <f>IF(Lançamentos!$B311="","",Lançamentos!$B311)</f>
        <v/>
      </c>
      <c r="C316" s="178" t="str">
        <f>IF($B316="","",IFERROR(INDEX(Lançamentos!$J$3:$J$1001,MATCH($B316,Lançamentos!$B$3:$B$1001,0)),""))</f>
        <v/>
      </c>
      <c r="D316" s="179" t="str">
        <f>IF($B316="","",IFERROR(INDEX('E2 — Triagem'!$D$8:$D$507,MATCH($B316,'E2 — Triagem'!$B$8:$B$507,0)),""))</f>
        <v/>
      </c>
      <c r="E316" s="179"/>
      <c r="F316" s="179"/>
      <c r="G316" s="179"/>
      <c r="H316" s="179"/>
      <c r="I316" s="179"/>
      <c r="J316" s="184" t="str">
        <f t="shared" si="5"/>
        <v/>
      </c>
      <c r="K316" s="179"/>
      <c r="L316" s="184"/>
      <c r="M316" s="183"/>
    </row>
    <row r="317" spans="2:13" x14ac:dyDescent="0.35">
      <c r="B317" s="177" t="str">
        <f>IF(Lançamentos!$B312="","",Lançamentos!$B312)</f>
        <v/>
      </c>
      <c r="C317" s="178" t="str">
        <f>IF($B317="","",IFERROR(INDEX(Lançamentos!$J$3:$J$1001,MATCH($B317,Lançamentos!$B$3:$B$1001,0)),""))</f>
        <v/>
      </c>
      <c r="D317" s="179" t="str">
        <f>IF($B317="","",IFERROR(INDEX('E2 — Triagem'!$D$8:$D$507,MATCH($B317,'E2 — Triagem'!$B$8:$B$507,0)),""))</f>
        <v/>
      </c>
      <c r="E317" s="179"/>
      <c r="F317" s="179"/>
      <c r="G317" s="179"/>
      <c r="H317" s="179"/>
      <c r="I317" s="179"/>
      <c r="J317" s="184" t="str">
        <f t="shared" si="5"/>
        <v/>
      </c>
      <c r="K317" s="179"/>
      <c r="L317" s="184"/>
      <c r="M317" s="183"/>
    </row>
    <row r="318" spans="2:13" x14ac:dyDescent="0.35">
      <c r="B318" s="177" t="str">
        <f>IF(Lançamentos!$B313="","",Lançamentos!$B313)</f>
        <v/>
      </c>
      <c r="C318" s="178" t="str">
        <f>IF($B318="","",IFERROR(INDEX(Lançamentos!$J$3:$J$1001,MATCH($B318,Lançamentos!$B$3:$B$1001,0)),""))</f>
        <v/>
      </c>
      <c r="D318" s="179" t="str">
        <f>IF($B318="","",IFERROR(INDEX('E2 — Triagem'!$D$8:$D$507,MATCH($B318,'E2 — Triagem'!$B$8:$B$507,0)),""))</f>
        <v/>
      </c>
      <c r="E318" s="179"/>
      <c r="F318" s="179"/>
      <c r="G318" s="179"/>
      <c r="H318" s="179"/>
      <c r="I318" s="179"/>
      <c r="J318" s="184" t="str">
        <f t="shared" si="5"/>
        <v/>
      </c>
      <c r="K318" s="179"/>
      <c r="L318" s="184"/>
      <c r="M318" s="183"/>
    </row>
    <row r="319" spans="2:13" x14ac:dyDescent="0.35">
      <c r="B319" s="177" t="str">
        <f>IF(Lançamentos!$B314="","",Lançamentos!$B314)</f>
        <v/>
      </c>
      <c r="C319" s="178" t="str">
        <f>IF($B319="","",IFERROR(INDEX(Lançamentos!$J$3:$J$1001,MATCH($B319,Lançamentos!$B$3:$B$1001,0)),""))</f>
        <v/>
      </c>
      <c r="D319" s="179" t="str">
        <f>IF($B319="","",IFERROR(INDEX('E2 — Triagem'!$D$8:$D$507,MATCH($B319,'E2 — Triagem'!$B$8:$B$507,0)),""))</f>
        <v/>
      </c>
      <c r="E319" s="179"/>
      <c r="F319" s="179"/>
      <c r="G319" s="179"/>
      <c r="H319" s="179"/>
      <c r="I319" s="179"/>
      <c r="J319" s="184" t="str">
        <f t="shared" si="5"/>
        <v/>
      </c>
      <c r="K319" s="179"/>
      <c r="L319" s="184"/>
      <c r="M319" s="183"/>
    </row>
    <row r="320" spans="2:13" x14ac:dyDescent="0.35">
      <c r="B320" s="177" t="str">
        <f>IF(Lançamentos!$B315="","",Lançamentos!$B315)</f>
        <v/>
      </c>
      <c r="C320" s="178" t="str">
        <f>IF($B320="","",IFERROR(INDEX(Lançamentos!$J$3:$J$1001,MATCH($B320,Lançamentos!$B$3:$B$1001,0)),""))</f>
        <v/>
      </c>
      <c r="D320" s="179" t="str">
        <f>IF($B320="","",IFERROR(INDEX('E2 — Triagem'!$D$8:$D$507,MATCH($B320,'E2 — Triagem'!$B$8:$B$507,0)),""))</f>
        <v/>
      </c>
      <c r="E320" s="179"/>
      <c r="F320" s="179"/>
      <c r="G320" s="179"/>
      <c r="H320" s="179"/>
      <c r="I320" s="179"/>
      <c r="J320" s="184" t="str">
        <f t="shared" si="5"/>
        <v/>
      </c>
      <c r="K320" s="179"/>
      <c r="L320" s="184"/>
      <c r="M320" s="183"/>
    </row>
    <row r="321" spans="2:13" x14ac:dyDescent="0.35">
      <c r="B321" s="177" t="str">
        <f>IF(Lançamentos!$B316="","",Lançamentos!$B316)</f>
        <v/>
      </c>
      <c r="C321" s="178" t="str">
        <f>IF($B321="","",IFERROR(INDEX(Lançamentos!$J$3:$J$1001,MATCH($B321,Lançamentos!$B$3:$B$1001,0)),""))</f>
        <v/>
      </c>
      <c r="D321" s="179" t="str">
        <f>IF($B321="","",IFERROR(INDEX('E2 — Triagem'!$D$8:$D$507,MATCH($B321,'E2 — Triagem'!$B$8:$B$507,0)),""))</f>
        <v/>
      </c>
      <c r="E321" s="179"/>
      <c r="F321" s="179"/>
      <c r="G321" s="179"/>
      <c r="H321" s="179"/>
      <c r="I321" s="179"/>
      <c r="J321" s="184" t="str">
        <f t="shared" si="5"/>
        <v/>
      </c>
      <c r="K321" s="179"/>
      <c r="L321" s="184"/>
      <c r="M321" s="183"/>
    </row>
    <row r="322" spans="2:13" x14ac:dyDescent="0.35">
      <c r="B322" s="177" t="str">
        <f>IF(Lançamentos!$B317="","",Lançamentos!$B317)</f>
        <v/>
      </c>
      <c r="C322" s="178" t="str">
        <f>IF($B322="","",IFERROR(INDEX(Lançamentos!$J$3:$J$1001,MATCH($B322,Lançamentos!$B$3:$B$1001,0)),""))</f>
        <v/>
      </c>
      <c r="D322" s="179" t="str">
        <f>IF($B322="","",IFERROR(INDEX('E2 — Triagem'!$D$8:$D$507,MATCH($B322,'E2 — Triagem'!$B$8:$B$507,0)),""))</f>
        <v/>
      </c>
      <c r="E322" s="179"/>
      <c r="F322" s="179"/>
      <c r="G322" s="179"/>
      <c r="H322" s="179"/>
      <c r="I322" s="179"/>
      <c r="J322" s="184" t="str">
        <f t="shared" si="5"/>
        <v/>
      </c>
      <c r="K322" s="179"/>
      <c r="L322" s="184"/>
      <c r="M322" s="183"/>
    </row>
    <row r="323" spans="2:13" x14ac:dyDescent="0.35">
      <c r="B323" s="177" t="str">
        <f>IF(Lançamentos!$B318="","",Lançamentos!$B318)</f>
        <v/>
      </c>
      <c r="C323" s="178" t="str">
        <f>IF($B323="","",IFERROR(INDEX(Lançamentos!$J$3:$J$1001,MATCH($B323,Lançamentos!$B$3:$B$1001,0)),""))</f>
        <v/>
      </c>
      <c r="D323" s="179" t="str">
        <f>IF($B323="","",IFERROR(INDEX('E2 — Triagem'!$D$8:$D$507,MATCH($B323,'E2 — Triagem'!$B$8:$B$507,0)),""))</f>
        <v/>
      </c>
      <c r="E323" s="179"/>
      <c r="F323" s="179"/>
      <c r="G323" s="179"/>
      <c r="H323" s="179"/>
      <c r="I323" s="179"/>
      <c r="J323" s="184" t="str">
        <f t="shared" si="5"/>
        <v/>
      </c>
      <c r="K323" s="179"/>
      <c r="L323" s="184"/>
      <c r="M323" s="183"/>
    </row>
    <row r="324" spans="2:13" x14ac:dyDescent="0.35">
      <c r="B324" s="177" t="str">
        <f>IF(Lançamentos!$B319="","",Lançamentos!$B319)</f>
        <v/>
      </c>
      <c r="C324" s="178" t="str">
        <f>IF($B324="","",IFERROR(INDEX(Lançamentos!$J$3:$J$1001,MATCH($B324,Lançamentos!$B$3:$B$1001,0)),""))</f>
        <v/>
      </c>
      <c r="D324" s="179" t="str">
        <f>IF($B324="","",IFERROR(INDEX('E2 — Triagem'!$D$8:$D$507,MATCH($B324,'E2 — Triagem'!$B$8:$B$507,0)),""))</f>
        <v/>
      </c>
      <c r="E324" s="179"/>
      <c r="F324" s="179"/>
      <c r="G324" s="179"/>
      <c r="H324" s="179"/>
      <c r="I324" s="179"/>
      <c r="J324" s="184" t="str">
        <f t="shared" si="5"/>
        <v/>
      </c>
      <c r="K324" s="179"/>
      <c r="L324" s="184"/>
      <c r="M324" s="183"/>
    </row>
    <row r="325" spans="2:13" x14ac:dyDescent="0.35">
      <c r="B325" s="177" t="str">
        <f>IF(Lançamentos!$B320="","",Lançamentos!$B320)</f>
        <v/>
      </c>
      <c r="C325" s="178" t="str">
        <f>IF($B325="","",IFERROR(INDEX(Lançamentos!$J$3:$J$1001,MATCH($B325,Lançamentos!$B$3:$B$1001,0)),""))</f>
        <v/>
      </c>
      <c r="D325" s="179" t="str">
        <f>IF($B325="","",IFERROR(INDEX('E2 — Triagem'!$D$8:$D$507,MATCH($B325,'E2 — Triagem'!$B$8:$B$507,0)),""))</f>
        <v/>
      </c>
      <c r="E325" s="179"/>
      <c r="F325" s="179"/>
      <c r="G325" s="179"/>
      <c r="H325" s="179"/>
      <c r="I325" s="179"/>
      <c r="J325" s="184" t="str">
        <f t="shared" si="5"/>
        <v/>
      </c>
      <c r="K325" s="179"/>
      <c r="L325" s="184"/>
      <c r="M325" s="183"/>
    </row>
    <row r="326" spans="2:13" x14ac:dyDescent="0.35">
      <c r="B326" s="177" t="str">
        <f>IF(Lançamentos!$B321="","",Lançamentos!$B321)</f>
        <v/>
      </c>
      <c r="C326" s="178" t="str">
        <f>IF($B326="","",IFERROR(INDEX(Lançamentos!$J$3:$J$1001,MATCH($B326,Lançamentos!$B$3:$B$1001,0)),""))</f>
        <v/>
      </c>
      <c r="D326" s="179" t="str">
        <f>IF($B326="","",IFERROR(INDEX('E2 — Triagem'!$D$8:$D$507,MATCH($B326,'E2 — Triagem'!$B$8:$B$507,0)),""))</f>
        <v/>
      </c>
      <c r="E326" s="179"/>
      <c r="F326" s="179"/>
      <c r="G326" s="179"/>
      <c r="H326" s="179"/>
      <c r="I326" s="179"/>
      <c r="J326" s="184" t="str">
        <f t="shared" si="5"/>
        <v/>
      </c>
      <c r="K326" s="179"/>
      <c r="L326" s="184"/>
      <c r="M326" s="183"/>
    </row>
    <row r="327" spans="2:13" x14ac:dyDescent="0.35">
      <c r="B327" s="177" t="str">
        <f>IF(Lançamentos!$B322="","",Lançamentos!$B322)</f>
        <v/>
      </c>
      <c r="C327" s="178" t="str">
        <f>IF($B327="","",IFERROR(INDEX(Lançamentos!$J$3:$J$1001,MATCH($B327,Lançamentos!$B$3:$B$1001,0)),""))</f>
        <v/>
      </c>
      <c r="D327" s="179" t="str">
        <f>IF($B327="","",IFERROR(INDEX('E2 — Triagem'!$D$8:$D$507,MATCH($B327,'E2 — Triagem'!$B$8:$B$507,0)),""))</f>
        <v/>
      </c>
      <c r="E327" s="179"/>
      <c r="F327" s="179"/>
      <c r="G327" s="179"/>
      <c r="H327" s="179"/>
      <c r="I327" s="179"/>
      <c r="J327" s="184" t="str">
        <f t="shared" si="5"/>
        <v/>
      </c>
      <c r="K327" s="179"/>
      <c r="L327" s="184"/>
      <c r="M327" s="183"/>
    </row>
    <row r="328" spans="2:13" x14ac:dyDescent="0.35">
      <c r="B328" s="177" t="str">
        <f>IF(Lançamentos!$B323="","",Lançamentos!$B323)</f>
        <v/>
      </c>
      <c r="C328" s="178" t="str">
        <f>IF($B328="","",IFERROR(INDEX(Lançamentos!$J$3:$J$1001,MATCH($B328,Lançamentos!$B$3:$B$1001,0)),""))</f>
        <v/>
      </c>
      <c r="D328" s="179" t="str">
        <f>IF($B328="","",IFERROR(INDEX('E2 — Triagem'!$D$8:$D$507,MATCH($B328,'E2 — Triagem'!$B$8:$B$507,0)),""))</f>
        <v/>
      </c>
      <c r="E328" s="179"/>
      <c r="F328" s="179"/>
      <c r="G328" s="179"/>
      <c r="H328" s="179"/>
      <c r="I328" s="179"/>
      <c r="J328" s="184" t="str">
        <f t="shared" si="5"/>
        <v/>
      </c>
      <c r="K328" s="179"/>
      <c r="L328" s="184"/>
      <c r="M328" s="183"/>
    </row>
    <row r="329" spans="2:13" x14ac:dyDescent="0.35">
      <c r="B329" s="177" t="str">
        <f>IF(Lançamentos!$B324="","",Lançamentos!$B324)</f>
        <v/>
      </c>
      <c r="C329" s="178" t="str">
        <f>IF($B329="","",IFERROR(INDEX(Lançamentos!$J$3:$J$1001,MATCH($B329,Lançamentos!$B$3:$B$1001,0)),""))</f>
        <v/>
      </c>
      <c r="D329" s="179" t="str">
        <f>IF($B329="","",IFERROR(INDEX('E2 — Triagem'!$D$8:$D$507,MATCH($B329,'E2 — Triagem'!$B$8:$B$507,0)),""))</f>
        <v/>
      </c>
      <c r="E329" s="179"/>
      <c r="F329" s="179"/>
      <c r="G329" s="179"/>
      <c r="H329" s="179"/>
      <c r="I329" s="179"/>
      <c r="J329" s="184" t="str">
        <f t="shared" si="5"/>
        <v/>
      </c>
      <c r="K329" s="179"/>
      <c r="L329" s="184"/>
      <c r="M329" s="183"/>
    </row>
    <row r="330" spans="2:13" x14ac:dyDescent="0.35">
      <c r="B330" s="177" t="str">
        <f>IF(Lançamentos!$B325="","",Lançamentos!$B325)</f>
        <v/>
      </c>
      <c r="C330" s="178" t="str">
        <f>IF($B330="","",IFERROR(INDEX(Lançamentos!$J$3:$J$1001,MATCH($B330,Lançamentos!$B$3:$B$1001,0)),""))</f>
        <v/>
      </c>
      <c r="D330" s="179" t="str">
        <f>IF($B330="","",IFERROR(INDEX('E2 — Triagem'!$D$8:$D$507,MATCH($B330,'E2 — Triagem'!$B$8:$B$507,0)),""))</f>
        <v/>
      </c>
      <c r="E330" s="179"/>
      <c r="F330" s="179"/>
      <c r="G330" s="179"/>
      <c r="H330" s="179"/>
      <c r="I330" s="179"/>
      <c r="J330" s="184" t="str">
        <f t="shared" si="5"/>
        <v/>
      </c>
      <c r="K330" s="179"/>
      <c r="L330" s="184"/>
      <c r="M330" s="183"/>
    </row>
    <row r="331" spans="2:13" x14ac:dyDescent="0.35">
      <c r="B331" s="177" t="str">
        <f>IF(Lançamentos!$B326="","",Lançamentos!$B326)</f>
        <v/>
      </c>
      <c r="C331" s="178" t="str">
        <f>IF($B331="","",IFERROR(INDEX(Lançamentos!$J$3:$J$1001,MATCH($B331,Lançamentos!$B$3:$B$1001,0)),""))</f>
        <v/>
      </c>
      <c r="D331" s="179" t="str">
        <f>IF($B331="","",IFERROR(INDEX('E2 — Triagem'!$D$8:$D$507,MATCH($B331,'E2 — Triagem'!$B$8:$B$507,0)),""))</f>
        <v/>
      </c>
      <c r="E331" s="179"/>
      <c r="F331" s="179"/>
      <c r="G331" s="179"/>
      <c r="H331" s="179"/>
      <c r="I331" s="179"/>
      <c r="J331" s="184" t="str">
        <f t="shared" si="5"/>
        <v/>
      </c>
      <c r="K331" s="179"/>
      <c r="L331" s="184"/>
      <c r="M331" s="183"/>
    </row>
    <row r="332" spans="2:13" x14ac:dyDescent="0.35">
      <c r="B332" s="177" t="str">
        <f>IF(Lançamentos!$B327="","",Lançamentos!$B327)</f>
        <v/>
      </c>
      <c r="C332" s="178" t="str">
        <f>IF($B332="","",IFERROR(INDEX(Lançamentos!$J$3:$J$1001,MATCH($B332,Lançamentos!$B$3:$B$1001,0)),""))</f>
        <v/>
      </c>
      <c r="D332" s="179" t="str">
        <f>IF($B332="","",IFERROR(INDEX('E2 — Triagem'!$D$8:$D$507,MATCH($B332,'E2 — Triagem'!$B$8:$B$507,0)),""))</f>
        <v/>
      </c>
      <c r="E332" s="179"/>
      <c r="F332" s="179"/>
      <c r="G332" s="179"/>
      <c r="H332" s="179"/>
      <c r="I332" s="179"/>
      <c r="J332" s="184" t="str">
        <f t="shared" si="5"/>
        <v/>
      </c>
      <c r="K332" s="179"/>
      <c r="L332" s="184"/>
      <c r="M332" s="183"/>
    </row>
    <row r="333" spans="2:13" x14ac:dyDescent="0.35">
      <c r="B333" s="177" t="str">
        <f>IF(Lançamentos!$B328="","",Lançamentos!$B328)</f>
        <v/>
      </c>
      <c r="C333" s="178" t="str">
        <f>IF($B333="","",IFERROR(INDEX(Lançamentos!$J$3:$J$1001,MATCH($B333,Lançamentos!$B$3:$B$1001,0)),""))</f>
        <v/>
      </c>
      <c r="D333" s="179" t="str">
        <f>IF($B333="","",IFERROR(INDEX('E2 — Triagem'!$D$8:$D$507,MATCH($B333,'E2 — Triagem'!$B$8:$B$507,0)),""))</f>
        <v/>
      </c>
      <c r="E333" s="179"/>
      <c r="F333" s="179"/>
      <c r="G333" s="179"/>
      <c r="H333" s="179"/>
      <c r="I333" s="179"/>
      <c r="J333" s="184" t="str">
        <f t="shared" si="5"/>
        <v/>
      </c>
      <c r="K333" s="179"/>
      <c r="L333" s="184"/>
      <c r="M333" s="183"/>
    </row>
    <row r="334" spans="2:13" x14ac:dyDescent="0.35">
      <c r="B334" s="177" t="str">
        <f>IF(Lançamentos!$B329="","",Lançamentos!$B329)</f>
        <v/>
      </c>
      <c r="C334" s="178" t="str">
        <f>IF($B334="","",IFERROR(INDEX(Lançamentos!$J$3:$J$1001,MATCH($B334,Lançamentos!$B$3:$B$1001,0)),""))</f>
        <v/>
      </c>
      <c r="D334" s="179" t="str">
        <f>IF($B334="","",IFERROR(INDEX('E2 — Triagem'!$D$8:$D$507,MATCH($B334,'E2 — Triagem'!$B$8:$B$507,0)),""))</f>
        <v/>
      </c>
      <c r="E334" s="179"/>
      <c r="F334" s="179"/>
      <c r="G334" s="179"/>
      <c r="H334" s="179"/>
      <c r="I334" s="179"/>
      <c r="J334" s="184" t="str">
        <f t="shared" si="5"/>
        <v/>
      </c>
      <c r="K334" s="179"/>
      <c r="L334" s="184"/>
      <c r="M334" s="183"/>
    </row>
    <row r="335" spans="2:13" x14ac:dyDescent="0.35">
      <c r="B335" s="177" t="str">
        <f>IF(Lançamentos!$B330="","",Lançamentos!$B330)</f>
        <v/>
      </c>
      <c r="C335" s="178" t="str">
        <f>IF($B335="","",IFERROR(INDEX(Lançamentos!$J$3:$J$1001,MATCH($B335,Lançamentos!$B$3:$B$1001,0)),""))</f>
        <v/>
      </c>
      <c r="D335" s="179" t="str">
        <f>IF($B335="","",IFERROR(INDEX('E2 — Triagem'!$D$8:$D$507,MATCH($B335,'E2 — Triagem'!$B$8:$B$507,0)),""))</f>
        <v/>
      </c>
      <c r="E335" s="179"/>
      <c r="F335" s="179"/>
      <c r="G335" s="179"/>
      <c r="H335" s="179"/>
      <c r="I335" s="179"/>
      <c r="J335" s="184" t="str">
        <f t="shared" si="5"/>
        <v/>
      </c>
      <c r="K335" s="179"/>
      <c r="L335" s="184"/>
      <c r="M335" s="183"/>
    </row>
    <row r="336" spans="2:13" x14ac:dyDescent="0.35">
      <c r="B336" s="177" t="str">
        <f>IF(Lançamentos!$B331="","",Lançamentos!$B331)</f>
        <v/>
      </c>
      <c r="C336" s="178" t="str">
        <f>IF($B336="","",IFERROR(INDEX(Lançamentos!$J$3:$J$1001,MATCH($B336,Lançamentos!$B$3:$B$1001,0)),""))</f>
        <v/>
      </c>
      <c r="D336" s="179" t="str">
        <f>IF($B336="","",IFERROR(INDEX('E2 — Triagem'!$D$8:$D$507,MATCH($B336,'E2 — Triagem'!$B$8:$B$507,0)),""))</f>
        <v/>
      </c>
      <c r="E336" s="179"/>
      <c r="F336" s="179"/>
      <c r="G336" s="179"/>
      <c r="H336" s="179"/>
      <c r="I336" s="179"/>
      <c r="J336" s="184" t="str">
        <f t="shared" ref="J336:J399" si="6">IF(B336="","",IF(COUNTIF(E336:I336,"N/A")=5,0,IF(COUNTIF(E336:I336,"✔ Concluído")=5,1,MIN(99%,COUNTIF(E336:I336,"✔ Concluído")/(5-COUNTIF(E336:I336,"N/A"))))))</f>
        <v/>
      </c>
      <c r="K336" s="179"/>
      <c r="L336" s="184"/>
      <c r="M336" s="183"/>
    </row>
    <row r="337" spans="2:13" x14ac:dyDescent="0.35">
      <c r="B337" s="177" t="str">
        <f>IF(Lançamentos!$B332="","",Lançamentos!$B332)</f>
        <v/>
      </c>
      <c r="C337" s="178" t="str">
        <f>IF($B337="","",IFERROR(INDEX(Lançamentos!$J$3:$J$1001,MATCH($B337,Lançamentos!$B$3:$B$1001,0)),""))</f>
        <v/>
      </c>
      <c r="D337" s="179" t="str">
        <f>IF($B337="","",IFERROR(INDEX('E2 — Triagem'!$D$8:$D$507,MATCH($B337,'E2 — Triagem'!$B$8:$B$507,0)),""))</f>
        <v/>
      </c>
      <c r="E337" s="179"/>
      <c r="F337" s="179"/>
      <c r="G337" s="179"/>
      <c r="H337" s="179"/>
      <c r="I337" s="179"/>
      <c r="J337" s="184" t="str">
        <f t="shared" si="6"/>
        <v/>
      </c>
      <c r="K337" s="179"/>
      <c r="L337" s="184"/>
      <c r="M337" s="183"/>
    </row>
    <row r="338" spans="2:13" x14ac:dyDescent="0.35">
      <c r="B338" s="177" t="str">
        <f>IF(Lançamentos!$B333="","",Lançamentos!$B333)</f>
        <v/>
      </c>
      <c r="C338" s="178" t="str">
        <f>IF($B338="","",IFERROR(INDEX(Lançamentos!$J$3:$J$1001,MATCH($B338,Lançamentos!$B$3:$B$1001,0)),""))</f>
        <v/>
      </c>
      <c r="D338" s="179" t="str">
        <f>IF($B338="","",IFERROR(INDEX('E2 — Triagem'!$D$8:$D$507,MATCH($B338,'E2 — Triagem'!$B$8:$B$507,0)),""))</f>
        <v/>
      </c>
      <c r="E338" s="179"/>
      <c r="F338" s="179"/>
      <c r="G338" s="179"/>
      <c r="H338" s="179"/>
      <c r="I338" s="179"/>
      <c r="J338" s="184" t="str">
        <f t="shared" si="6"/>
        <v/>
      </c>
      <c r="K338" s="179"/>
      <c r="L338" s="184"/>
      <c r="M338" s="183"/>
    </row>
    <row r="339" spans="2:13" x14ac:dyDescent="0.35">
      <c r="B339" s="177" t="str">
        <f>IF(Lançamentos!$B334="","",Lançamentos!$B334)</f>
        <v/>
      </c>
      <c r="C339" s="178" t="str">
        <f>IF($B339="","",IFERROR(INDEX(Lançamentos!$J$3:$J$1001,MATCH($B339,Lançamentos!$B$3:$B$1001,0)),""))</f>
        <v/>
      </c>
      <c r="D339" s="179" t="str">
        <f>IF($B339="","",IFERROR(INDEX('E2 — Triagem'!$D$8:$D$507,MATCH($B339,'E2 — Triagem'!$B$8:$B$507,0)),""))</f>
        <v/>
      </c>
      <c r="E339" s="179"/>
      <c r="F339" s="179"/>
      <c r="G339" s="179"/>
      <c r="H339" s="179"/>
      <c r="I339" s="179"/>
      <c r="J339" s="184" t="str">
        <f t="shared" si="6"/>
        <v/>
      </c>
      <c r="K339" s="179"/>
      <c r="L339" s="184"/>
      <c r="M339" s="183"/>
    </row>
    <row r="340" spans="2:13" x14ac:dyDescent="0.35">
      <c r="B340" s="177" t="str">
        <f>IF(Lançamentos!$B335="","",Lançamentos!$B335)</f>
        <v/>
      </c>
      <c r="C340" s="178" t="str">
        <f>IF($B340="","",IFERROR(INDEX(Lançamentos!$J$3:$J$1001,MATCH($B340,Lançamentos!$B$3:$B$1001,0)),""))</f>
        <v/>
      </c>
      <c r="D340" s="179" t="str">
        <f>IF($B340="","",IFERROR(INDEX('E2 — Triagem'!$D$8:$D$507,MATCH($B340,'E2 — Triagem'!$B$8:$B$507,0)),""))</f>
        <v/>
      </c>
      <c r="E340" s="179"/>
      <c r="F340" s="179"/>
      <c r="G340" s="179"/>
      <c r="H340" s="179"/>
      <c r="I340" s="179"/>
      <c r="J340" s="184" t="str">
        <f t="shared" si="6"/>
        <v/>
      </c>
      <c r="K340" s="179"/>
      <c r="L340" s="184"/>
      <c r="M340" s="183"/>
    </row>
    <row r="341" spans="2:13" x14ac:dyDescent="0.35">
      <c r="B341" s="177" t="str">
        <f>IF(Lançamentos!$B336="","",Lançamentos!$B336)</f>
        <v/>
      </c>
      <c r="C341" s="178" t="str">
        <f>IF($B341="","",IFERROR(INDEX(Lançamentos!$J$3:$J$1001,MATCH($B341,Lançamentos!$B$3:$B$1001,0)),""))</f>
        <v/>
      </c>
      <c r="D341" s="179" t="str">
        <f>IF($B341="","",IFERROR(INDEX('E2 — Triagem'!$D$8:$D$507,MATCH($B341,'E2 — Triagem'!$B$8:$B$507,0)),""))</f>
        <v/>
      </c>
      <c r="E341" s="179"/>
      <c r="F341" s="179"/>
      <c r="G341" s="179"/>
      <c r="H341" s="179"/>
      <c r="I341" s="179"/>
      <c r="J341" s="184" t="str">
        <f t="shared" si="6"/>
        <v/>
      </c>
      <c r="K341" s="179"/>
      <c r="L341" s="184"/>
      <c r="M341" s="183"/>
    </row>
    <row r="342" spans="2:13" x14ac:dyDescent="0.35">
      <c r="B342" s="177" t="str">
        <f>IF(Lançamentos!$B337="","",Lançamentos!$B337)</f>
        <v/>
      </c>
      <c r="C342" s="178" t="str">
        <f>IF($B342="","",IFERROR(INDEX(Lançamentos!$J$3:$J$1001,MATCH($B342,Lançamentos!$B$3:$B$1001,0)),""))</f>
        <v/>
      </c>
      <c r="D342" s="179" t="str">
        <f>IF($B342="","",IFERROR(INDEX('E2 — Triagem'!$D$8:$D$507,MATCH($B342,'E2 — Triagem'!$B$8:$B$507,0)),""))</f>
        <v/>
      </c>
      <c r="E342" s="179"/>
      <c r="F342" s="179"/>
      <c r="G342" s="179"/>
      <c r="H342" s="179"/>
      <c r="I342" s="179"/>
      <c r="J342" s="184" t="str">
        <f t="shared" si="6"/>
        <v/>
      </c>
      <c r="K342" s="179"/>
      <c r="L342" s="184"/>
      <c r="M342" s="183"/>
    </row>
    <row r="343" spans="2:13" x14ac:dyDescent="0.35">
      <c r="B343" s="177" t="str">
        <f>IF(Lançamentos!$B338="","",Lançamentos!$B338)</f>
        <v/>
      </c>
      <c r="C343" s="178" t="str">
        <f>IF($B343="","",IFERROR(INDEX(Lançamentos!$J$3:$J$1001,MATCH($B343,Lançamentos!$B$3:$B$1001,0)),""))</f>
        <v/>
      </c>
      <c r="D343" s="179" t="str">
        <f>IF($B343="","",IFERROR(INDEX('E2 — Triagem'!$D$8:$D$507,MATCH($B343,'E2 — Triagem'!$B$8:$B$507,0)),""))</f>
        <v/>
      </c>
      <c r="E343" s="179"/>
      <c r="F343" s="179"/>
      <c r="G343" s="179"/>
      <c r="H343" s="179"/>
      <c r="I343" s="179"/>
      <c r="J343" s="184" t="str">
        <f t="shared" si="6"/>
        <v/>
      </c>
      <c r="K343" s="179"/>
      <c r="L343" s="184"/>
      <c r="M343" s="183"/>
    </row>
    <row r="344" spans="2:13" x14ac:dyDescent="0.35">
      <c r="B344" s="177" t="str">
        <f>IF(Lançamentos!$B339="","",Lançamentos!$B339)</f>
        <v/>
      </c>
      <c r="C344" s="178" t="str">
        <f>IF($B344="","",IFERROR(INDEX(Lançamentos!$J$3:$J$1001,MATCH($B344,Lançamentos!$B$3:$B$1001,0)),""))</f>
        <v/>
      </c>
      <c r="D344" s="179" t="str">
        <f>IF($B344="","",IFERROR(INDEX('E2 — Triagem'!$D$8:$D$507,MATCH($B344,'E2 — Triagem'!$B$8:$B$507,0)),""))</f>
        <v/>
      </c>
      <c r="E344" s="179"/>
      <c r="F344" s="179"/>
      <c r="G344" s="179"/>
      <c r="H344" s="179"/>
      <c r="I344" s="179"/>
      <c r="J344" s="184" t="str">
        <f t="shared" si="6"/>
        <v/>
      </c>
      <c r="K344" s="179"/>
      <c r="L344" s="184"/>
      <c r="M344" s="183"/>
    </row>
    <row r="345" spans="2:13" x14ac:dyDescent="0.35">
      <c r="B345" s="177" t="str">
        <f>IF(Lançamentos!$B340="","",Lançamentos!$B340)</f>
        <v/>
      </c>
      <c r="C345" s="178" t="str">
        <f>IF($B345="","",IFERROR(INDEX(Lançamentos!$J$3:$J$1001,MATCH($B345,Lançamentos!$B$3:$B$1001,0)),""))</f>
        <v/>
      </c>
      <c r="D345" s="179" t="str">
        <f>IF($B345="","",IFERROR(INDEX('E2 — Triagem'!$D$8:$D$507,MATCH($B345,'E2 — Triagem'!$B$8:$B$507,0)),""))</f>
        <v/>
      </c>
      <c r="E345" s="179"/>
      <c r="F345" s="179"/>
      <c r="G345" s="179"/>
      <c r="H345" s="179"/>
      <c r="I345" s="179"/>
      <c r="J345" s="184" t="str">
        <f t="shared" si="6"/>
        <v/>
      </c>
      <c r="K345" s="179"/>
      <c r="L345" s="184"/>
      <c r="M345" s="183"/>
    </row>
    <row r="346" spans="2:13" x14ac:dyDescent="0.35">
      <c r="B346" s="177" t="str">
        <f>IF(Lançamentos!$B341="","",Lançamentos!$B341)</f>
        <v/>
      </c>
      <c r="C346" s="178" t="str">
        <f>IF($B346="","",IFERROR(INDEX(Lançamentos!$J$3:$J$1001,MATCH($B346,Lançamentos!$B$3:$B$1001,0)),""))</f>
        <v/>
      </c>
      <c r="D346" s="179" t="str">
        <f>IF($B346="","",IFERROR(INDEX('E2 — Triagem'!$D$8:$D$507,MATCH($B346,'E2 — Triagem'!$B$8:$B$507,0)),""))</f>
        <v/>
      </c>
      <c r="E346" s="179"/>
      <c r="F346" s="179"/>
      <c r="G346" s="179"/>
      <c r="H346" s="179"/>
      <c r="I346" s="179"/>
      <c r="J346" s="184" t="str">
        <f t="shared" si="6"/>
        <v/>
      </c>
      <c r="K346" s="179"/>
      <c r="L346" s="184"/>
      <c r="M346" s="183"/>
    </row>
    <row r="347" spans="2:13" x14ac:dyDescent="0.35">
      <c r="B347" s="177" t="str">
        <f>IF(Lançamentos!$B342="","",Lançamentos!$B342)</f>
        <v/>
      </c>
      <c r="C347" s="178" t="str">
        <f>IF($B347="","",IFERROR(INDEX(Lançamentos!$J$3:$J$1001,MATCH($B347,Lançamentos!$B$3:$B$1001,0)),""))</f>
        <v/>
      </c>
      <c r="D347" s="179" t="str">
        <f>IF($B347="","",IFERROR(INDEX('E2 — Triagem'!$D$8:$D$507,MATCH($B347,'E2 — Triagem'!$B$8:$B$507,0)),""))</f>
        <v/>
      </c>
      <c r="E347" s="179"/>
      <c r="F347" s="179"/>
      <c r="G347" s="179"/>
      <c r="H347" s="179"/>
      <c r="I347" s="179"/>
      <c r="J347" s="184" t="str">
        <f t="shared" si="6"/>
        <v/>
      </c>
      <c r="K347" s="179"/>
      <c r="L347" s="184"/>
      <c r="M347" s="183"/>
    </row>
    <row r="348" spans="2:13" x14ac:dyDescent="0.35">
      <c r="B348" s="177" t="str">
        <f>IF(Lançamentos!$B343="","",Lançamentos!$B343)</f>
        <v/>
      </c>
      <c r="C348" s="178" t="str">
        <f>IF($B348="","",IFERROR(INDEX(Lançamentos!$J$3:$J$1001,MATCH($B348,Lançamentos!$B$3:$B$1001,0)),""))</f>
        <v/>
      </c>
      <c r="D348" s="179" t="str">
        <f>IF($B348="","",IFERROR(INDEX('E2 — Triagem'!$D$8:$D$507,MATCH($B348,'E2 — Triagem'!$B$8:$B$507,0)),""))</f>
        <v/>
      </c>
      <c r="E348" s="179"/>
      <c r="F348" s="179"/>
      <c r="G348" s="179"/>
      <c r="H348" s="179"/>
      <c r="I348" s="179"/>
      <c r="J348" s="184" t="str">
        <f t="shared" si="6"/>
        <v/>
      </c>
      <c r="K348" s="179"/>
      <c r="L348" s="184"/>
      <c r="M348" s="183"/>
    </row>
    <row r="349" spans="2:13" x14ac:dyDescent="0.35">
      <c r="B349" s="177" t="str">
        <f>IF(Lançamentos!$B344="","",Lançamentos!$B344)</f>
        <v/>
      </c>
      <c r="C349" s="178" t="str">
        <f>IF($B349="","",IFERROR(INDEX(Lançamentos!$J$3:$J$1001,MATCH($B349,Lançamentos!$B$3:$B$1001,0)),""))</f>
        <v/>
      </c>
      <c r="D349" s="179" t="str">
        <f>IF($B349="","",IFERROR(INDEX('E2 — Triagem'!$D$8:$D$507,MATCH($B349,'E2 — Triagem'!$B$8:$B$507,0)),""))</f>
        <v/>
      </c>
      <c r="E349" s="179"/>
      <c r="F349" s="179"/>
      <c r="G349" s="179"/>
      <c r="H349" s="179"/>
      <c r="I349" s="179"/>
      <c r="J349" s="184" t="str">
        <f t="shared" si="6"/>
        <v/>
      </c>
      <c r="K349" s="179"/>
      <c r="L349" s="184"/>
      <c r="M349" s="183"/>
    </row>
    <row r="350" spans="2:13" x14ac:dyDescent="0.35">
      <c r="B350" s="177" t="str">
        <f>IF(Lançamentos!$B345="","",Lançamentos!$B345)</f>
        <v/>
      </c>
      <c r="C350" s="178" t="str">
        <f>IF($B350="","",IFERROR(INDEX(Lançamentos!$J$3:$J$1001,MATCH($B350,Lançamentos!$B$3:$B$1001,0)),""))</f>
        <v/>
      </c>
      <c r="D350" s="179" t="str">
        <f>IF($B350="","",IFERROR(INDEX('E2 — Triagem'!$D$8:$D$507,MATCH($B350,'E2 — Triagem'!$B$8:$B$507,0)),""))</f>
        <v/>
      </c>
      <c r="E350" s="179"/>
      <c r="F350" s="179"/>
      <c r="G350" s="179"/>
      <c r="H350" s="179"/>
      <c r="I350" s="179"/>
      <c r="J350" s="184" t="str">
        <f t="shared" si="6"/>
        <v/>
      </c>
      <c r="K350" s="179"/>
      <c r="L350" s="184"/>
      <c r="M350" s="183"/>
    </row>
    <row r="351" spans="2:13" x14ac:dyDescent="0.35">
      <c r="B351" s="177" t="str">
        <f>IF(Lançamentos!$B346="","",Lançamentos!$B346)</f>
        <v/>
      </c>
      <c r="C351" s="178" t="str">
        <f>IF($B351="","",IFERROR(INDEX(Lançamentos!$J$3:$J$1001,MATCH($B351,Lançamentos!$B$3:$B$1001,0)),""))</f>
        <v/>
      </c>
      <c r="D351" s="179" t="str">
        <f>IF($B351="","",IFERROR(INDEX('E2 — Triagem'!$D$8:$D$507,MATCH($B351,'E2 — Triagem'!$B$8:$B$507,0)),""))</f>
        <v/>
      </c>
      <c r="E351" s="179"/>
      <c r="F351" s="179"/>
      <c r="G351" s="179"/>
      <c r="H351" s="179"/>
      <c r="I351" s="179"/>
      <c r="J351" s="184" t="str">
        <f t="shared" si="6"/>
        <v/>
      </c>
      <c r="K351" s="179"/>
      <c r="L351" s="184"/>
      <c r="M351" s="183"/>
    </row>
    <row r="352" spans="2:13" x14ac:dyDescent="0.35">
      <c r="B352" s="177" t="str">
        <f>IF(Lançamentos!$B347="","",Lançamentos!$B347)</f>
        <v/>
      </c>
      <c r="C352" s="178" t="str">
        <f>IF($B352="","",IFERROR(INDEX(Lançamentos!$J$3:$J$1001,MATCH($B352,Lançamentos!$B$3:$B$1001,0)),""))</f>
        <v/>
      </c>
      <c r="D352" s="179" t="str">
        <f>IF($B352="","",IFERROR(INDEX('E2 — Triagem'!$D$8:$D$507,MATCH($B352,'E2 — Triagem'!$B$8:$B$507,0)),""))</f>
        <v/>
      </c>
      <c r="E352" s="179"/>
      <c r="F352" s="179"/>
      <c r="G352" s="179"/>
      <c r="H352" s="179"/>
      <c r="I352" s="179"/>
      <c r="J352" s="184" t="str">
        <f t="shared" si="6"/>
        <v/>
      </c>
      <c r="K352" s="179"/>
      <c r="L352" s="184"/>
      <c r="M352" s="183"/>
    </row>
    <row r="353" spans="2:13" x14ac:dyDescent="0.35">
      <c r="B353" s="177" t="str">
        <f>IF(Lançamentos!$B348="","",Lançamentos!$B348)</f>
        <v/>
      </c>
      <c r="C353" s="178" t="str">
        <f>IF($B353="","",IFERROR(INDEX(Lançamentos!$J$3:$J$1001,MATCH($B353,Lançamentos!$B$3:$B$1001,0)),""))</f>
        <v/>
      </c>
      <c r="D353" s="179" t="str">
        <f>IF($B353="","",IFERROR(INDEX('E2 — Triagem'!$D$8:$D$507,MATCH($B353,'E2 — Triagem'!$B$8:$B$507,0)),""))</f>
        <v/>
      </c>
      <c r="E353" s="179"/>
      <c r="F353" s="179"/>
      <c r="G353" s="179"/>
      <c r="H353" s="179"/>
      <c r="I353" s="179"/>
      <c r="J353" s="184" t="str">
        <f t="shared" si="6"/>
        <v/>
      </c>
      <c r="K353" s="179"/>
      <c r="L353" s="184"/>
      <c r="M353" s="183"/>
    </row>
    <row r="354" spans="2:13" x14ac:dyDescent="0.35">
      <c r="B354" s="177" t="str">
        <f>IF(Lançamentos!$B349="","",Lançamentos!$B349)</f>
        <v/>
      </c>
      <c r="C354" s="178" t="str">
        <f>IF($B354="","",IFERROR(INDEX(Lançamentos!$J$3:$J$1001,MATCH($B354,Lançamentos!$B$3:$B$1001,0)),""))</f>
        <v/>
      </c>
      <c r="D354" s="179" t="str">
        <f>IF($B354="","",IFERROR(INDEX('E2 — Triagem'!$D$8:$D$507,MATCH($B354,'E2 — Triagem'!$B$8:$B$507,0)),""))</f>
        <v/>
      </c>
      <c r="E354" s="179"/>
      <c r="F354" s="179"/>
      <c r="G354" s="179"/>
      <c r="H354" s="179"/>
      <c r="I354" s="179"/>
      <c r="J354" s="184" t="str">
        <f t="shared" si="6"/>
        <v/>
      </c>
      <c r="K354" s="179"/>
      <c r="L354" s="184"/>
      <c r="M354" s="183"/>
    </row>
    <row r="355" spans="2:13" x14ac:dyDescent="0.35">
      <c r="B355" s="177" t="str">
        <f>IF(Lançamentos!$B350="","",Lançamentos!$B350)</f>
        <v/>
      </c>
      <c r="C355" s="178" t="str">
        <f>IF($B355="","",IFERROR(INDEX(Lançamentos!$J$3:$J$1001,MATCH($B355,Lançamentos!$B$3:$B$1001,0)),""))</f>
        <v/>
      </c>
      <c r="D355" s="179" t="str">
        <f>IF($B355="","",IFERROR(INDEX('E2 — Triagem'!$D$8:$D$507,MATCH($B355,'E2 — Triagem'!$B$8:$B$507,0)),""))</f>
        <v/>
      </c>
      <c r="E355" s="179"/>
      <c r="F355" s="179"/>
      <c r="G355" s="179"/>
      <c r="H355" s="179"/>
      <c r="I355" s="179"/>
      <c r="J355" s="184" t="str">
        <f t="shared" si="6"/>
        <v/>
      </c>
      <c r="K355" s="179"/>
      <c r="L355" s="184"/>
      <c r="M355" s="183"/>
    </row>
    <row r="356" spans="2:13" x14ac:dyDescent="0.35">
      <c r="B356" s="177" t="str">
        <f>IF(Lançamentos!$B351="","",Lançamentos!$B351)</f>
        <v/>
      </c>
      <c r="C356" s="178" t="str">
        <f>IF($B356="","",IFERROR(INDEX(Lançamentos!$J$3:$J$1001,MATCH($B356,Lançamentos!$B$3:$B$1001,0)),""))</f>
        <v/>
      </c>
      <c r="D356" s="179" t="str">
        <f>IF($B356="","",IFERROR(INDEX('E2 — Triagem'!$D$8:$D$507,MATCH($B356,'E2 — Triagem'!$B$8:$B$507,0)),""))</f>
        <v/>
      </c>
      <c r="E356" s="179"/>
      <c r="F356" s="179"/>
      <c r="G356" s="179"/>
      <c r="H356" s="179"/>
      <c r="I356" s="179"/>
      <c r="J356" s="184" t="str">
        <f t="shared" si="6"/>
        <v/>
      </c>
      <c r="K356" s="179"/>
      <c r="L356" s="184"/>
      <c r="M356" s="183"/>
    </row>
    <row r="357" spans="2:13" x14ac:dyDescent="0.35">
      <c r="B357" s="177" t="str">
        <f>IF(Lançamentos!$B352="","",Lançamentos!$B352)</f>
        <v/>
      </c>
      <c r="C357" s="178" t="str">
        <f>IF($B357="","",IFERROR(INDEX(Lançamentos!$J$3:$J$1001,MATCH($B357,Lançamentos!$B$3:$B$1001,0)),""))</f>
        <v/>
      </c>
      <c r="D357" s="179" t="str">
        <f>IF($B357="","",IFERROR(INDEX('E2 — Triagem'!$D$8:$D$507,MATCH($B357,'E2 — Triagem'!$B$8:$B$507,0)),""))</f>
        <v/>
      </c>
      <c r="E357" s="179"/>
      <c r="F357" s="179"/>
      <c r="G357" s="179"/>
      <c r="H357" s="179"/>
      <c r="I357" s="179"/>
      <c r="J357" s="184" t="str">
        <f t="shared" si="6"/>
        <v/>
      </c>
      <c r="K357" s="179"/>
      <c r="L357" s="184"/>
      <c r="M357" s="183"/>
    </row>
    <row r="358" spans="2:13" x14ac:dyDescent="0.35">
      <c r="B358" s="177" t="str">
        <f>IF(Lançamentos!$B353="","",Lançamentos!$B353)</f>
        <v/>
      </c>
      <c r="C358" s="178" t="str">
        <f>IF($B358="","",IFERROR(INDEX(Lançamentos!$J$3:$J$1001,MATCH($B358,Lançamentos!$B$3:$B$1001,0)),""))</f>
        <v/>
      </c>
      <c r="D358" s="179" t="str">
        <f>IF($B358="","",IFERROR(INDEX('E2 — Triagem'!$D$8:$D$507,MATCH($B358,'E2 — Triagem'!$B$8:$B$507,0)),""))</f>
        <v/>
      </c>
      <c r="E358" s="179"/>
      <c r="F358" s="179"/>
      <c r="G358" s="179"/>
      <c r="H358" s="179"/>
      <c r="I358" s="179"/>
      <c r="J358" s="184" t="str">
        <f t="shared" si="6"/>
        <v/>
      </c>
      <c r="K358" s="179"/>
      <c r="L358" s="184"/>
      <c r="M358" s="183"/>
    </row>
    <row r="359" spans="2:13" x14ac:dyDescent="0.35">
      <c r="B359" s="177" t="str">
        <f>IF(Lançamentos!$B354="","",Lançamentos!$B354)</f>
        <v/>
      </c>
      <c r="C359" s="178" t="str">
        <f>IF($B359="","",IFERROR(INDEX(Lançamentos!$J$3:$J$1001,MATCH($B359,Lançamentos!$B$3:$B$1001,0)),""))</f>
        <v/>
      </c>
      <c r="D359" s="179" t="str">
        <f>IF($B359="","",IFERROR(INDEX('E2 — Triagem'!$D$8:$D$507,MATCH($B359,'E2 — Triagem'!$B$8:$B$507,0)),""))</f>
        <v/>
      </c>
      <c r="E359" s="179"/>
      <c r="F359" s="179"/>
      <c r="G359" s="179"/>
      <c r="H359" s="179"/>
      <c r="I359" s="179"/>
      <c r="J359" s="184" t="str">
        <f t="shared" si="6"/>
        <v/>
      </c>
      <c r="K359" s="179"/>
      <c r="L359" s="184"/>
      <c r="M359" s="183"/>
    </row>
    <row r="360" spans="2:13" x14ac:dyDescent="0.35">
      <c r="B360" s="177" t="str">
        <f>IF(Lançamentos!$B355="","",Lançamentos!$B355)</f>
        <v/>
      </c>
      <c r="C360" s="178" t="str">
        <f>IF($B360="","",IFERROR(INDEX(Lançamentos!$J$3:$J$1001,MATCH($B360,Lançamentos!$B$3:$B$1001,0)),""))</f>
        <v/>
      </c>
      <c r="D360" s="179" t="str">
        <f>IF($B360="","",IFERROR(INDEX('E2 — Triagem'!$D$8:$D$507,MATCH($B360,'E2 — Triagem'!$B$8:$B$507,0)),""))</f>
        <v/>
      </c>
      <c r="E360" s="179"/>
      <c r="F360" s="179"/>
      <c r="G360" s="179"/>
      <c r="H360" s="179"/>
      <c r="I360" s="179"/>
      <c r="J360" s="184" t="str">
        <f t="shared" si="6"/>
        <v/>
      </c>
      <c r="K360" s="179"/>
      <c r="L360" s="184"/>
      <c r="M360" s="183"/>
    </row>
    <row r="361" spans="2:13" x14ac:dyDescent="0.35">
      <c r="B361" s="177" t="str">
        <f>IF(Lançamentos!$B356="","",Lançamentos!$B356)</f>
        <v/>
      </c>
      <c r="C361" s="178" t="str">
        <f>IF($B361="","",IFERROR(INDEX(Lançamentos!$J$3:$J$1001,MATCH($B361,Lançamentos!$B$3:$B$1001,0)),""))</f>
        <v/>
      </c>
      <c r="D361" s="179" t="str">
        <f>IF($B361="","",IFERROR(INDEX('E2 — Triagem'!$D$8:$D$507,MATCH($B361,'E2 — Triagem'!$B$8:$B$507,0)),""))</f>
        <v/>
      </c>
      <c r="E361" s="179"/>
      <c r="F361" s="179"/>
      <c r="G361" s="179"/>
      <c r="H361" s="179"/>
      <c r="I361" s="179"/>
      <c r="J361" s="184" t="str">
        <f t="shared" si="6"/>
        <v/>
      </c>
      <c r="K361" s="179"/>
      <c r="L361" s="184"/>
      <c r="M361" s="183"/>
    </row>
    <row r="362" spans="2:13" x14ac:dyDescent="0.35">
      <c r="B362" s="177" t="str">
        <f>IF(Lançamentos!$B357="","",Lançamentos!$B357)</f>
        <v/>
      </c>
      <c r="C362" s="178" t="str">
        <f>IF($B362="","",IFERROR(INDEX(Lançamentos!$J$3:$J$1001,MATCH($B362,Lançamentos!$B$3:$B$1001,0)),""))</f>
        <v/>
      </c>
      <c r="D362" s="179" t="str">
        <f>IF($B362="","",IFERROR(INDEX('E2 — Triagem'!$D$8:$D$507,MATCH($B362,'E2 — Triagem'!$B$8:$B$507,0)),""))</f>
        <v/>
      </c>
      <c r="E362" s="179"/>
      <c r="F362" s="179"/>
      <c r="G362" s="179"/>
      <c r="H362" s="179"/>
      <c r="I362" s="179"/>
      <c r="J362" s="184" t="str">
        <f t="shared" si="6"/>
        <v/>
      </c>
      <c r="K362" s="179"/>
      <c r="L362" s="184"/>
      <c r="M362" s="183"/>
    </row>
    <row r="363" spans="2:13" x14ac:dyDescent="0.35">
      <c r="B363" s="177" t="str">
        <f>IF(Lançamentos!$B358="","",Lançamentos!$B358)</f>
        <v/>
      </c>
      <c r="C363" s="178" t="str">
        <f>IF($B363="","",IFERROR(INDEX(Lançamentos!$J$3:$J$1001,MATCH($B363,Lançamentos!$B$3:$B$1001,0)),""))</f>
        <v/>
      </c>
      <c r="D363" s="179" t="str">
        <f>IF($B363="","",IFERROR(INDEX('E2 — Triagem'!$D$8:$D$507,MATCH($B363,'E2 — Triagem'!$B$8:$B$507,0)),""))</f>
        <v/>
      </c>
      <c r="E363" s="179"/>
      <c r="F363" s="179"/>
      <c r="G363" s="179"/>
      <c r="H363" s="179"/>
      <c r="I363" s="179"/>
      <c r="J363" s="184" t="str">
        <f t="shared" si="6"/>
        <v/>
      </c>
      <c r="K363" s="179"/>
      <c r="L363" s="184"/>
      <c r="M363" s="183"/>
    </row>
    <row r="364" spans="2:13" x14ac:dyDescent="0.35">
      <c r="B364" s="177" t="str">
        <f>IF(Lançamentos!$B359="","",Lançamentos!$B359)</f>
        <v/>
      </c>
      <c r="C364" s="178" t="str">
        <f>IF($B364="","",IFERROR(INDEX(Lançamentos!$J$3:$J$1001,MATCH($B364,Lançamentos!$B$3:$B$1001,0)),""))</f>
        <v/>
      </c>
      <c r="D364" s="179" t="str">
        <f>IF($B364="","",IFERROR(INDEX('E2 — Triagem'!$D$8:$D$507,MATCH($B364,'E2 — Triagem'!$B$8:$B$507,0)),""))</f>
        <v/>
      </c>
      <c r="E364" s="179"/>
      <c r="F364" s="179"/>
      <c r="G364" s="179"/>
      <c r="H364" s="179"/>
      <c r="I364" s="179"/>
      <c r="J364" s="184" t="str">
        <f t="shared" si="6"/>
        <v/>
      </c>
      <c r="K364" s="179"/>
      <c r="L364" s="184"/>
      <c r="M364" s="183"/>
    </row>
    <row r="365" spans="2:13" x14ac:dyDescent="0.35">
      <c r="B365" s="177" t="str">
        <f>IF(Lançamentos!$B360="","",Lançamentos!$B360)</f>
        <v/>
      </c>
      <c r="C365" s="178" t="str">
        <f>IF($B365="","",IFERROR(INDEX(Lançamentos!$J$3:$J$1001,MATCH($B365,Lançamentos!$B$3:$B$1001,0)),""))</f>
        <v/>
      </c>
      <c r="D365" s="179" t="str">
        <f>IF($B365="","",IFERROR(INDEX('E2 — Triagem'!$D$8:$D$507,MATCH($B365,'E2 — Triagem'!$B$8:$B$507,0)),""))</f>
        <v/>
      </c>
      <c r="E365" s="179"/>
      <c r="F365" s="179"/>
      <c r="G365" s="179"/>
      <c r="H365" s="179"/>
      <c r="I365" s="179"/>
      <c r="J365" s="184" t="str">
        <f t="shared" si="6"/>
        <v/>
      </c>
      <c r="K365" s="179"/>
      <c r="L365" s="184"/>
      <c r="M365" s="183"/>
    </row>
    <row r="366" spans="2:13" x14ac:dyDescent="0.35">
      <c r="B366" s="177" t="str">
        <f>IF(Lançamentos!$B361="","",Lançamentos!$B361)</f>
        <v/>
      </c>
      <c r="C366" s="178" t="str">
        <f>IF($B366="","",IFERROR(INDEX(Lançamentos!$J$3:$J$1001,MATCH($B366,Lançamentos!$B$3:$B$1001,0)),""))</f>
        <v/>
      </c>
      <c r="D366" s="179" t="str">
        <f>IF($B366="","",IFERROR(INDEX('E2 — Triagem'!$D$8:$D$507,MATCH($B366,'E2 — Triagem'!$B$8:$B$507,0)),""))</f>
        <v/>
      </c>
      <c r="E366" s="179"/>
      <c r="F366" s="179"/>
      <c r="G366" s="179"/>
      <c r="H366" s="179"/>
      <c r="I366" s="179"/>
      <c r="J366" s="184" t="str">
        <f t="shared" si="6"/>
        <v/>
      </c>
      <c r="K366" s="179"/>
      <c r="L366" s="184"/>
      <c r="M366" s="183"/>
    </row>
    <row r="367" spans="2:13" x14ac:dyDescent="0.35">
      <c r="B367" s="177" t="str">
        <f>IF(Lançamentos!$B362="","",Lançamentos!$B362)</f>
        <v/>
      </c>
      <c r="C367" s="178" t="str">
        <f>IF($B367="","",IFERROR(INDEX(Lançamentos!$J$3:$J$1001,MATCH($B367,Lançamentos!$B$3:$B$1001,0)),""))</f>
        <v/>
      </c>
      <c r="D367" s="179" t="str">
        <f>IF($B367="","",IFERROR(INDEX('E2 — Triagem'!$D$8:$D$507,MATCH($B367,'E2 — Triagem'!$B$8:$B$507,0)),""))</f>
        <v/>
      </c>
      <c r="E367" s="179"/>
      <c r="F367" s="179"/>
      <c r="G367" s="179"/>
      <c r="H367" s="179"/>
      <c r="I367" s="179"/>
      <c r="J367" s="184" t="str">
        <f t="shared" si="6"/>
        <v/>
      </c>
      <c r="K367" s="179"/>
      <c r="L367" s="184"/>
      <c r="M367" s="183"/>
    </row>
    <row r="368" spans="2:13" x14ac:dyDescent="0.35">
      <c r="B368" s="177" t="str">
        <f>IF(Lançamentos!$B363="","",Lançamentos!$B363)</f>
        <v/>
      </c>
      <c r="C368" s="178" t="str">
        <f>IF($B368="","",IFERROR(INDEX(Lançamentos!$J$3:$J$1001,MATCH($B368,Lançamentos!$B$3:$B$1001,0)),""))</f>
        <v/>
      </c>
      <c r="D368" s="179" t="str">
        <f>IF($B368="","",IFERROR(INDEX('E2 — Triagem'!$D$8:$D$507,MATCH($B368,'E2 — Triagem'!$B$8:$B$507,0)),""))</f>
        <v/>
      </c>
      <c r="E368" s="179"/>
      <c r="F368" s="179"/>
      <c r="G368" s="179"/>
      <c r="H368" s="179"/>
      <c r="I368" s="179"/>
      <c r="J368" s="184" t="str">
        <f t="shared" si="6"/>
        <v/>
      </c>
      <c r="K368" s="179"/>
      <c r="L368" s="184"/>
      <c r="M368" s="183"/>
    </row>
    <row r="369" spans="2:13" x14ac:dyDescent="0.35">
      <c r="B369" s="177" t="str">
        <f>IF(Lançamentos!$B364="","",Lançamentos!$B364)</f>
        <v/>
      </c>
      <c r="C369" s="178" t="str">
        <f>IF($B369="","",IFERROR(INDEX(Lançamentos!$J$3:$J$1001,MATCH($B369,Lançamentos!$B$3:$B$1001,0)),""))</f>
        <v/>
      </c>
      <c r="D369" s="179" t="str">
        <f>IF($B369="","",IFERROR(INDEX('E2 — Triagem'!$D$8:$D$507,MATCH($B369,'E2 — Triagem'!$B$8:$B$507,0)),""))</f>
        <v/>
      </c>
      <c r="E369" s="179"/>
      <c r="F369" s="179"/>
      <c r="G369" s="179"/>
      <c r="H369" s="179"/>
      <c r="I369" s="179"/>
      <c r="J369" s="184" t="str">
        <f t="shared" si="6"/>
        <v/>
      </c>
      <c r="K369" s="179"/>
      <c r="L369" s="184"/>
      <c r="M369" s="183"/>
    </row>
    <row r="370" spans="2:13" x14ac:dyDescent="0.35">
      <c r="B370" s="177" t="str">
        <f>IF(Lançamentos!$B365="","",Lançamentos!$B365)</f>
        <v/>
      </c>
      <c r="C370" s="178" t="str">
        <f>IF($B370="","",IFERROR(INDEX(Lançamentos!$J$3:$J$1001,MATCH($B370,Lançamentos!$B$3:$B$1001,0)),""))</f>
        <v/>
      </c>
      <c r="D370" s="179" t="str">
        <f>IF($B370="","",IFERROR(INDEX('E2 — Triagem'!$D$8:$D$507,MATCH($B370,'E2 — Triagem'!$B$8:$B$507,0)),""))</f>
        <v/>
      </c>
      <c r="E370" s="179"/>
      <c r="F370" s="179"/>
      <c r="G370" s="179"/>
      <c r="H370" s="179"/>
      <c r="I370" s="179"/>
      <c r="J370" s="184" t="str">
        <f t="shared" si="6"/>
        <v/>
      </c>
      <c r="K370" s="179"/>
      <c r="L370" s="184"/>
      <c r="M370" s="183"/>
    </row>
    <row r="371" spans="2:13" x14ac:dyDescent="0.35">
      <c r="B371" s="177" t="str">
        <f>IF(Lançamentos!$B366="","",Lançamentos!$B366)</f>
        <v/>
      </c>
      <c r="C371" s="178" t="str">
        <f>IF($B371="","",IFERROR(INDEX(Lançamentos!$J$3:$J$1001,MATCH($B371,Lançamentos!$B$3:$B$1001,0)),""))</f>
        <v/>
      </c>
      <c r="D371" s="179" t="str">
        <f>IF($B371="","",IFERROR(INDEX('E2 — Triagem'!$D$8:$D$507,MATCH($B371,'E2 — Triagem'!$B$8:$B$507,0)),""))</f>
        <v/>
      </c>
      <c r="E371" s="179"/>
      <c r="F371" s="179"/>
      <c r="G371" s="179"/>
      <c r="H371" s="179"/>
      <c r="I371" s="179"/>
      <c r="J371" s="184" t="str">
        <f t="shared" si="6"/>
        <v/>
      </c>
      <c r="K371" s="179"/>
      <c r="L371" s="184"/>
      <c r="M371" s="183"/>
    </row>
    <row r="372" spans="2:13" x14ac:dyDescent="0.35">
      <c r="B372" s="177" t="str">
        <f>IF(Lançamentos!$B367="","",Lançamentos!$B367)</f>
        <v/>
      </c>
      <c r="C372" s="178" t="str">
        <f>IF($B372="","",IFERROR(INDEX(Lançamentos!$J$3:$J$1001,MATCH($B372,Lançamentos!$B$3:$B$1001,0)),""))</f>
        <v/>
      </c>
      <c r="D372" s="179" t="str">
        <f>IF($B372="","",IFERROR(INDEX('E2 — Triagem'!$D$8:$D$507,MATCH($B372,'E2 — Triagem'!$B$8:$B$507,0)),""))</f>
        <v/>
      </c>
      <c r="E372" s="179"/>
      <c r="F372" s="179"/>
      <c r="G372" s="179"/>
      <c r="H372" s="179"/>
      <c r="I372" s="179"/>
      <c r="J372" s="184" t="str">
        <f t="shared" si="6"/>
        <v/>
      </c>
      <c r="K372" s="179"/>
      <c r="L372" s="184"/>
      <c r="M372" s="183"/>
    </row>
    <row r="373" spans="2:13" x14ac:dyDescent="0.35">
      <c r="B373" s="177" t="str">
        <f>IF(Lançamentos!$B368="","",Lançamentos!$B368)</f>
        <v/>
      </c>
      <c r="C373" s="178" t="str">
        <f>IF($B373="","",IFERROR(INDEX(Lançamentos!$J$3:$J$1001,MATCH($B373,Lançamentos!$B$3:$B$1001,0)),""))</f>
        <v/>
      </c>
      <c r="D373" s="179" t="str">
        <f>IF($B373="","",IFERROR(INDEX('E2 — Triagem'!$D$8:$D$507,MATCH($B373,'E2 — Triagem'!$B$8:$B$507,0)),""))</f>
        <v/>
      </c>
      <c r="E373" s="179"/>
      <c r="F373" s="179"/>
      <c r="G373" s="179"/>
      <c r="H373" s="179"/>
      <c r="I373" s="179"/>
      <c r="J373" s="184" t="str">
        <f t="shared" si="6"/>
        <v/>
      </c>
      <c r="K373" s="179"/>
      <c r="L373" s="184"/>
      <c r="M373" s="183"/>
    </row>
    <row r="374" spans="2:13" x14ac:dyDescent="0.35">
      <c r="B374" s="177" t="str">
        <f>IF(Lançamentos!$B369="","",Lançamentos!$B369)</f>
        <v/>
      </c>
      <c r="C374" s="178" t="str">
        <f>IF($B374="","",IFERROR(INDEX(Lançamentos!$J$3:$J$1001,MATCH($B374,Lançamentos!$B$3:$B$1001,0)),""))</f>
        <v/>
      </c>
      <c r="D374" s="179" t="str">
        <f>IF($B374="","",IFERROR(INDEX('E2 — Triagem'!$D$8:$D$507,MATCH($B374,'E2 — Triagem'!$B$8:$B$507,0)),""))</f>
        <v/>
      </c>
      <c r="E374" s="179"/>
      <c r="F374" s="179"/>
      <c r="G374" s="179"/>
      <c r="H374" s="179"/>
      <c r="I374" s="179"/>
      <c r="J374" s="184" t="str">
        <f t="shared" si="6"/>
        <v/>
      </c>
      <c r="K374" s="179"/>
      <c r="L374" s="184"/>
      <c r="M374" s="183"/>
    </row>
    <row r="375" spans="2:13" x14ac:dyDescent="0.35">
      <c r="B375" s="177" t="str">
        <f>IF(Lançamentos!$B370="","",Lançamentos!$B370)</f>
        <v/>
      </c>
      <c r="C375" s="178" t="str">
        <f>IF($B375="","",IFERROR(INDEX(Lançamentos!$J$3:$J$1001,MATCH($B375,Lançamentos!$B$3:$B$1001,0)),""))</f>
        <v/>
      </c>
      <c r="D375" s="179" t="str">
        <f>IF($B375="","",IFERROR(INDEX('E2 — Triagem'!$D$8:$D$507,MATCH($B375,'E2 — Triagem'!$B$8:$B$507,0)),""))</f>
        <v/>
      </c>
      <c r="E375" s="179"/>
      <c r="F375" s="179"/>
      <c r="G375" s="179"/>
      <c r="H375" s="179"/>
      <c r="I375" s="179"/>
      <c r="J375" s="184" t="str">
        <f t="shared" si="6"/>
        <v/>
      </c>
      <c r="K375" s="179"/>
      <c r="L375" s="184"/>
      <c r="M375" s="183"/>
    </row>
    <row r="376" spans="2:13" x14ac:dyDescent="0.35">
      <c r="B376" s="177" t="str">
        <f>IF(Lançamentos!$B371="","",Lançamentos!$B371)</f>
        <v/>
      </c>
      <c r="C376" s="178" t="str">
        <f>IF($B376="","",IFERROR(INDEX(Lançamentos!$J$3:$J$1001,MATCH($B376,Lançamentos!$B$3:$B$1001,0)),""))</f>
        <v/>
      </c>
      <c r="D376" s="179" t="str">
        <f>IF($B376="","",IFERROR(INDEX('E2 — Triagem'!$D$8:$D$507,MATCH($B376,'E2 — Triagem'!$B$8:$B$507,0)),""))</f>
        <v/>
      </c>
      <c r="E376" s="179"/>
      <c r="F376" s="179"/>
      <c r="G376" s="179"/>
      <c r="H376" s="179"/>
      <c r="I376" s="179"/>
      <c r="J376" s="184" t="str">
        <f t="shared" si="6"/>
        <v/>
      </c>
      <c r="K376" s="179"/>
      <c r="L376" s="184"/>
      <c r="M376" s="183"/>
    </row>
    <row r="377" spans="2:13" x14ac:dyDescent="0.35">
      <c r="B377" s="177" t="str">
        <f>IF(Lançamentos!$B372="","",Lançamentos!$B372)</f>
        <v/>
      </c>
      <c r="C377" s="178" t="str">
        <f>IF($B377="","",IFERROR(INDEX(Lançamentos!$J$3:$J$1001,MATCH($B377,Lançamentos!$B$3:$B$1001,0)),""))</f>
        <v/>
      </c>
      <c r="D377" s="179" t="str">
        <f>IF($B377="","",IFERROR(INDEX('E2 — Triagem'!$D$8:$D$507,MATCH($B377,'E2 — Triagem'!$B$8:$B$507,0)),""))</f>
        <v/>
      </c>
      <c r="E377" s="179"/>
      <c r="F377" s="179"/>
      <c r="G377" s="179"/>
      <c r="H377" s="179"/>
      <c r="I377" s="179"/>
      <c r="J377" s="184" t="str">
        <f t="shared" si="6"/>
        <v/>
      </c>
      <c r="K377" s="179"/>
      <c r="L377" s="184"/>
      <c r="M377" s="183"/>
    </row>
    <row r="378" spans="2:13" x14ac:dyDescent="0.35">
      <c r="B378" s="177" t="str">
        <f>IF(Lançamentos!$B373="","",Lançamentos!$B373)</f>
        <v/>
      </c>
      <c r="C378" s="178" t="str">
        <f>IF($B378="","",IFERROR(INDEX(Lançamentos!$J$3:$J$1001,MATCH($B378,Lançamentos!$B$3:$B$1001,0)),""))</f>
        <v/>
      </c>
      <c r="D378" s="179" t="str">
        <f>IF($B378="","",IFERROR(INDEX('E2 — Triagem'!$D$8:$D$507,MATCH($B378,'E2 — Triagem'!$B$8:$B$507,0)),""))</f>
        <v/>
      </c>
      <c r="E378" s="179"/>
      <c r="F378" s="179"/>
      <c r="G378" s="179"/>
      <c r="H378" s="179"/>
      <c r="I378" s="179"/>
      <c r="J378" s="184" t="str">
        <f t="shared" si="6"/>
        <v/>
      </c>
      <c r="K378" s="179"/>
      <c r="L378" s="184"/>
      <c r="M378" s="183"/>
    </row>
    <row r="379" spans="2:13" x14ac:dyDescent="0.35">
      <c r="B379" s="177" t="str">
        <f>IF(Lançamentos!$B374="","",Lançamentos!$B374)</f>
        <v/>
      </c>
      <c r="C379" s="178" t="str">
        <f>IF($B379="","",IFERROR(INDEX(Lançamentos!$J$3:$J$1001,MATCH($B379,Lançamentos!$B$3:$B$1001,0)),""))</f>
        <v/>
      </c>
      <c r="D379" s="179" t="str">
        <f>IF($B379="","",IFERROR(INDEX('E2 — Triagem'!$D$8:$D$507,MATCH($B379,'E2 — Triagem'!$B$8:$B$507,0)),""))</f>
        <v/>
      </c>
      <c r="E379" s="179"/>
      <c r="F379" s="179"/>
      <c r="G379" s="179"/>
      <c r="H379" s="179"/>
      <c r="I379" s="179"/>
      <c r="J379" s="184" t="str">
        <f t="shared" si="6"/>
        <v/>
      </c>
      <c r="K379" s="179"/>
      <c r="L379" s="184"/>
      <c r="M379" s="183"/>
    </row>
    <row r="380" spans="2:13" x14ac:dyDescent="0.35">
      <c r="B380" s="177" t="str">
        <f>IF(Lançamentos!$B375="","",Lançamentos!$B375)</f>
        <v/>
      </c>
      <c r="C380" s="178" t="str">
        <f>IF($B380="","",IFERROR(INDEX(Lançamentos!$J$3:$J$1001,MATCH($B380,Lançamentos!$B$3:$B$1001,0)),""))</f>
        <v/>
      </c>
      <c r="D380" s="179" t="str">
        <f>IF($B380="","",IFERROR(INDEX('E2 — Triagem'!$D$8:$D$507,MATCH($B380,'E2 — Triagem'!$B$8:$B$507,0)),""))</f>
        <v/>
      </c>
      <c r="E380" s="179"/>
      <c r="F380" s="179"/>
      <c r="G380" s="179"/>
      <c r="H380" s="179"/>
      <c r="I380" s="179"/>
      <c r="J380" s="184" t="str">
        <f t="shared" si="6"/>
        <v/>
      </c>
      <c r="K380" s="179"/>
      <c r="L380" s="184"/>
      <c r="M380" s="183"/>
    </row>
    <row r="381" spans="2:13" x14ac:dyDescent="0.35">
      <c r="B381" s="177" t="str">
        <f>IF(Lançamentos!$B376="","",Lançamentos!$B376)</f>
        <v/>
      </c>
      <c r="C381" s="178" t="str">
        <f>IF($B381="","",IFERROR(INDEX(Lançamentos!$J$3:$J$1001,MATCH($B381,Lançamentos!$B$3:$B$1001,0)),""))</f>
        <v/>
      </c>
      <c r="D381" s="179" t="str">
        <f>IF($B381="","",IFERROR(INDEX('E2 — Triagem'!$D$8:$D$507,MATCH($B381,'E2 — Triagem'!$B$8:$B$507,0)),""))</f>
        <v/>
      </c>
      <c r="E381" s="179"/>
      <c r="F381" s="179"/>
      <c r="G381" s="179"/>
      <c r="H381" s="179"/>
      <c r="I381" s="179"/>
      <c r="J381" s="184" t="str">
        <f t="shared" si="6"/>
        <v/>
      </c>
      <c r="K381" s="179"/>
      <c r="L381" s="184"/>
      <c r="M381" s="183"/>
    </row>
    <row r="382" spans="2:13" x14ac:dyDescent="0.35">
      <c r="B382" s="177" t="str">
        <f>IF(Lançamentos!$B377="","",Lançamentos!$B377)</f>
        <v/>
      </c>
      <c r="C382" s="178" t="str">
        <f>IF($B382="","",IFERROR(INDEX(Lançamentos!$J$3:$J$1001,MATCH($B382,Lançamentos!$B$3:$B$1001,0)),""))</f>
        <v/>
      </c>
      <c r="D382" s="179" t="str">
        <f>IF($B382="","",IFERROR(INDEX('E2 — Triagem'!$D$8:$D$507,MATCH($B382,'E2 — Triagem'!$B$8:$B$507,0)),""))</f>
        <v/>
      </c>
      <c r="E382" s="179"/>
      <c r="F382" s="179"/>
      <c r="G382" s="179"/>
      <c r="H382" s="179"/>
      <c r="I382" s="179"/>
      <c r="J382" s="184" t="str">
        <f t="shared" si="6"/>
        <v/>
      </c>
      <c r="K382" s="179"/>
      <c r="L382" s="184"/>
      <c r="M382" s="183"/>
    </row>
    <row r="383" spans="2:13" x14ac:dyDescent="0.35">
      <c r="B383" s="177" t="str">
        <f>IF(Lançamentos!$B378="","",Lançamentos!$B378)</f>
        <v/>
      </c>
      <c r="C383" s="178" t="str">
        <f>IF($B383="","",IFERROR(INDEX(Lançamentos!$J$3:$J$1001,MATCH($B383,Lançamentos!$B$3:$B$1001,0)),""))</f>
        <v/>
      </c>
      <c r="D383" s="179" t="str">
        <f>IF($B383="","",IFERROR(INDEX('E2 — Triagem'!$D$8:$D$507,MATCH($B383,'E2 — Triagem'!$B$8:$B$507,0)),""))</f>
        <v/>
      </c>
      <c r="E383" s="179"/>
      <c r="F383" s="179"/>
      <c r="G383" s="179"/>
      <c r="H383" s="179"/>
      <c r="I383" s="179"/>
      <c r="J383" s="184" t="str">
        <f t="shared" si="6"/>
        <v/>
      </c>
      <c r="K383" s="179"/>
      <c r="L383" s="184"/>
      <c r="M383" s="183"/>
    </row>
    <row r="384" spans="2:13" x14ac:dyDescent="0.35">
      <c r="B384" s="177" t="str">
        <f>IF(Lançamentos!$B379="","",Lançamentos!$B379)</f>
        <v/>
      </c>
      <c r="C384" s="178" t="str">
        <f>IF($B384="","",IFERROR(INDEX(Lançamentos!$J$3:$J$1001,MATCH($B384,Lançamentos!$B$3:$B$1001,0)),""))</f>
        <v/>
      </c>
      <c r="D384" s="179" t="str">
        <f>IF($B384="","",IFERROR(INDEX('E2 — Triagem'!$D$8:$D$507,MATCH($B384,'E2 — Triagem'!$B$8:$B$507,0)),""))</f>
        <v/>
      </c>
      <c r="E384" s="179"/>
      <c r="F384" s="179"/>
      <c r="G384" s="179"/>
      <c r="H384" s="179"/>
      <c r="I384" s="179"/>
      <c r="J384" s="184" t="str">
        <f t="shared" si="6"/>
        <v/>
      </c>
      <c r="K384" s="179"/>
      <c r="L384" s="184"/>
      <c r="M384" s="183"/>
    </row>
    <row r="385" spans="2:13" x14ac:dyDescent="0.35">
      <c r="B385" s="177" t="str">
        <f>IF(Lançamentos!$B380="","",Lançamentos!$B380)</f>
        <v/>
      </c>
      <c r="C385" s="178" t="str">
        <f>IF($B385="","",IFERROR(INDEX(Lançamentos!$J$3:$J$1001,MATCH($B385,Lançamentos!$B$3:$B$1001,0)),""))</f>
        <v/>
      </c>
      <c r="D385" s="179" t="str">
        <f>IF($B385="","",IFERROR(INDEX('E2 — Triagem'!$D$8:$D$507,MATCH($B385,'E2 — Triagem'!$B$8:$B$507,0)),""))</f>
        <v/>
      </c>
      <c r="E385" s="179"/>
      <c r="F385" s="179"/>
      <c r="G385" s="179"/>
      <c r="H385" s="179"/>
      <c r="I385" s="179"/>
      <c r="J385" s="184" t="str">
        <f t="shared" si="6"/>
        <v/>
      </c>
      <c r="K385" s="179"/>
      <c r="L385" s="184"/>
      <c r="M385" s="183"/>
    </row>
    <row r="386" spans="2:13" x14ac:dyDescent="0.35">
      <c r="B386" s="177" t="str">
        <f>IF(Lançamentos!$B381="","",Lançamentos!$B381)</f>
        <v/>
      </c>
      <c r="C386" s="178" t="str">
        <f>IF($B386="","",IFERROR(INDEX(Lançamentos!$J$3:$J$1001,MATCH($B386,Lançamentos!$B$3:$B$1001,0)),""))</f>
        <v/>
      </c>
      <c r="D386" s="179" t="str">
        <f>IF($B386="","",IFERROR(INDEX('E2 — Triagem'!$D$8:$D$507,MATCH($B386,'E2 — Triagem'!$B$8:$B$507,0)),""))</f>
        <v/>
      </c>
      <c r="E386" s="179"/>
      <c r="F386" s="179"/>
      <c r="G386" s="179"/>
      <c r="H386" s="179"/>
      <c r="I386" s="179"/>
      <c r="J386" s="184" t="str">
        <f t="shared" si="6"/>
        <v/>
      </c>
      <c r="K386" s="179"/>
      <c r="L386" s="184"/>
      <c r="M386" s="183"/>
    </row>
    <row r="387" spans="2:13" x14ac:dyDescent="0.35">
      <c r="B387" s="177" t="str">
        <f>IF(Lançamentos!$B382="","",Lançamentos!$B382)</f>
        <v/>
      </c>
      <c r="C387" s="178" t="str">
        <f>IF($B387="","",IFERROR(INDEX(Lançamentos!$J$3:$J$1001,MATCH($B387,Lançamentos!$B$3:$B$1001,0)),""))</f>
        <v/>
      </c>
      <c r="D387" s="179" t="str">
        <f>IF($B387="","",IFERROR(INDEX('E2 — Triagem'!$D$8:$D$507,MATCH($B387,'E2 — Triagem'!$B$8:$B$507,0)),""))</f>
        <v/>
      </c>
      <c r="E387" s="179"/>
      <c r="F387" s="179"/>
      <c r="G387" s="179"/>
      <c r="H387" s="179"/>
      <c r="I387" s="179"/>
      <c r="J387" s="184" t="str">
        <f t="shared" si="6"/>
        <v/>
      </c>
      <c r="K387" s="179"/>
      <c r="L387" s="184"/>
      <c r="M387" s="183"/>
    </row>
    <row r="388" spans="2:13" x14ac:dyDescent="0.35">
      <c r="B388" s="177" t="str">
        <f>IF(Lançamentos!$B383="","",Lançamentos!$B383)</f>
        <v/>
      </c>
      <c r="C388" s="178" t="str">
        <f>IF($B388="","",IFERROR(INDEX(Lançamentos!$J$3:$J$1001,MATCH($B388,Lançamentos!$B$3:$B$1001,0)),""))</f>
        <v/>
      </c>
      <c r="D388" s="179" t="str">
        <f>IF($B388="","",IFERROR(INDEX('E2 — Triagem'!$D$8:$D$507,MATCH($B388,'E2 — Triagem'!$B$8:$B$507,0)),""))</f>
        <v/>
      </c>
      <c r="E388" s="179"/>
      <c r="F388" s="179"/>
      <c r="G388" s="179"/>
      <c r="H388" s="179"/>
      <c r="I388" s="179"/>
      <c r="J388" s="184" t="str">
        <f t="shared" si="6"/>
        <v/>
      </c>
      <c r="K388" s="179"/>
      <c r="L388" s="184"/>
      <c r="M388" s="183"/>
    </row>
    <row r="389" spans="2:13" x14ac:dyDescent="0.35">
      <c r="B389" s="177" t="str">
        <f>IF(Lançamentos!$B384="","",Lançamentos!$B384)</f>
        <v/>
      </c>
      <c r="C389" s="178" t="str">
        <f>IF($B389="","",IFERROR(INDEX(Lançamentos!$J$3:$J$1001,MATCH($B389,Lançamentos!$B$3:$B$1001,0)),""))</f>
        <v/>
      </c>
      <c r="D389" s="179" t="str">
        <f>IF($B389="","",IFERROR(INDEX('E2 — Triagem'!$D$8:$D$507,MATCH($B389,'E2 — Triagem'!$B$8:$B$507,0)),""))</f>
        <v/>
      </c>
      <c r="E389" s="179"/>
      <c r="F389" s="179"/>
      <c r="G389" s="179"/>
      <c r="H389" s="179"/>
      <c r="I389" s="179"/>
      <c r="J389" s="184" t="str">
        <f t="shared" si="6"/>
        <v/>
      </c>
      <c r="K389" s="179"/>
      <c r="L389" s="184"/>
      <c r="M389" s="183"/>
    </row>
    <row r="390" spans="2:13" x14ac:dyDescent="0.35">
      <c r="B390" s="177" t="str">
        <f>IF(Lançamentos!$B385="","",Lançamentos!$B385)</f>
        <v/>
      </c>
      <c r="C390" s="178" t="str">
        <f>IF($B390="","",IFERROR(INDEX(Lançamentos!$J$3:$J$1001,MATCH($B390,Lançamentos!$B$3:$B$1001,0)),""))</f>
        <v/>
      </c>
      <c r="D390" s="179" t="str">
        <f>IF($B390="","",IFERROR(INDEX('E2 — Triagem'!$D$8:$D$507,MATCH($B390,'E2 — Triagem'!$B$8:$B$507,0)),""))</f>
        <v/>
      </c>
      <c r="E390" s="179"/>
      <c r="F390" s="179"/>
      <c r="G390" s="179"/>
      <c r="H390" s="179"/>
      <c r="I390" s="179"/>
      <c r="J390" s="184" t="str">
        <f t="shared" si="6"/>
        <v/>
      </c>
      <c r="K390" s="179"/>
      <c r="L390" s="184"/>
      <c r="M390" s="183"/>
    </row>
    <row r="391" spans="2:13" x14ac:dyDescent="0.35">
      <c r="B391" s="177" t="str">
        <f>IF(Lançamentos!$B386="","",Lançamentos!$B386)</f>
        <v/>
      </c>
      <c r="C391" s="178" t="str">
        <f>IF($B391="","",IFERROR(INDEX(Lançamentos!$J$3:$J$1001,MATCH($B391,Lançamentos!$B$3:$B$1001,0)),""))</f>
        <v/>
      </c>
      <c r="D391" s="179" t="str">
        <f>IF($B391="","",IFERROR(INDEX('E2 — Triagem'!$D$8:$D$507,MATCH($B391,'E2 — Triagem'!$B$8:$B$507,0)),""))</f>
        <v/>
      </c>
      <c r="E391" s="179"/>
      <c r="F391" s="179"/>
      <c r="G391" s="179"/>
      <c r="H391" s="179"/>
      <c r="I391" s="179"/>
      <c r="J391" s="184" t="str">
        <f t="shared" si="6"/>
        <v/>
      </c>
      <c r="K391" s="179"/>
      <c r="L391" s="184"/>
      <c r="M391" s="183"/>
    </row>
    <row r="392" spans="2:13" x14ac:dyDescent="0.35">
      <c r="B392" s="177" t="str">
        <f>IF(Lançamentos!$B387="","",Lançamentos!$B387)</f>
        <v/>
      </c>
      <c r="C392" s="178" t="str">
        <f>IF($B392="","",IFERROR(INDEX(Lançamentos!$J$3:$J$1001,MATCH($B392,Lançamentos!$B$3:$B$1001,0)),""))</f>
        <v/>
      </c>
      <c r="D392" s="179" t="str">
        <f>IF($B392="","",IFERROR(INDEX('E2 — Triagem'!$D$8:$D$507,MATCH($B392,'E2 — Triagem'!$B$8:$B$507,0)),""))</f>
        <v/>
      </c>
      <c r="E392" s="179"/>
      <c r="F392" s="179"/>
      <c r="G392" s="179"/>
      <c r="H392" s="179"/>
      <c r="I392" s="179"/>
      <c r="J392" s="184" t="str">
        <f t="shared" si="6"/>
        <v/>
      </c>
      <c r="K392" s="179"/>
      <c r="L392" s="184"/>
      <c r="M392" s="183"/>
    </row>
    <row r="393" spans="2:13" x14ac:dyDescent="0.35">
      <c r="B393" s="177" t="str">
        <f>IF(Lançamentos!$B388="","",Lançamentos!$B388)</f>
        <v/>
      </c>
      <c r="C393" s="178" t="str">
        <f>IF($B393="","",IFERROR(INDEX(Lançamentos!$J$3:$J$1001,MATCH($B393,Lançamentos!$B$3:$B$1001,0)),""))</f>
        <v/>
      </c>
      <c r="D393" s="179" t="str">
        <f>IF($B393="","",IFERROR(INDEX('E2 — Triagem'!$D$8:$D$507,MATCH($B393,'E2 — Triagem'!$B$8:$B$507,0)),""))</f>
        <v/>
      </c>
      <c r="E393" s="179"/>
      <c r="F393" s="179"/>
      <c r="G393" s="179"/>
      <c r="H393" s="179"/>
      <c r="I393" s="179"/>
      <c r="J393" s="184" t="str">
        <f t="shared" si="6"/>
        <v/>
      </c>
      <c r="K393" s="179"/>
      <c r="L393" s="184"/>
      <c r="M393" s="183"/>
    </row>
    <row r="394" spans="2:13" x14ac:dyDescent="0.35">
      <c r="B394" s="177" t="str">
        <f>IF(Lançamentos!$B389="","",Lançamentos!$B389)</f>
        <v/>
      </c>
      <c r="C394" s="178" t="str">
        <f>IF($B394="","",IFERROR(INDEX(Lançamentos!$J$3:$J$1001,MATCH($B394,Lançamentos!$B$3:$B$1001,0)),""))</f>
        <v/>
      </c>
      <c r="D394" s="179" t="str">
        <f>IF($B394="","",IFERROR(INDEX('E2 — Triagem'!$D$8:$D$507,MATCH($B394,'E2 — Triagem'!$B$8:$B$507,0)),""))</f>
        <v/>
      </c>
      <c r="E394" s="179"/>
      <c r="F394" s="179"/>
      <c r="G394" s="179"/>
      <c r="H394" s="179"/>
      <c r="I394" s="179"/>
      <c r="J394" s="184" t="str">
        <f t="shared" si="6"/>
        <v/>
      </c>
      <c r="K394" s="179"/>
      <c r="L394" s="184"/>
      <c r="M394" s="183"/>
    </row>
    <row r="395" spans="2:13" x14ac:dyDescent="0.35">
      <c r="B395" s="177" t="str">
        <f>IF(Lançamentos!$B390="","",Lançamentos!$B390)</f>
        <v/>
      </c>
      <c r="C395" s="178" t="str">
        <f>IF($B395="","",IFERROR(INDEX(Lançamentos!$J$3:$J$1001,MATCH($B395,Lançamentos!$B$3:$B$1001,0)),""))</f>
        <v/>
      </c>
      <c r="D395" s="179" t="str">
        <f>IF($B395="","",IFERROR(INDEX('E2 — Triagem'!$D$8:$D$507,MATCH($B395,'E2 — Triagem'!$B$8:$B$507,0)),""))</f>
        <v/>
      </c>
      <c r="E395" s="179"/>
      <c r="F395" s="179"/>
      <c r="G395" s="179"/>
      <c r="H395" s="179"/>
      <c r="I395" s="179"/>
      <c r="J395" s="184" t="str">
        <f t="shared" si="6"/>
        <v/>
      </c>
      <c r="K395" s="179"/>
      <c r="L395" s="184"/>
      <c r="M395" s="183"/>
    </row>
    <row r="396" spans="2:13" x14ac:dyDescent="0.35">
      <c r="B396" s="177" t="str">
        <f>IF(Lançamentos!$B391="","",Lançamentos!$B391)</f>
        <v/>
      </c>
      <c r="C396" s="178" t="str">
        <f>IF($B396="","",IFERROR(INDEX(Lançamentos!$J$3:$J$1001,MATCH($B396,Lançamentos!$B$3:$B$1001,0)),""))</f>
        <v/>
      </c>
      <c r="D396" s="179" t="str">
        <f>IF($B396="","",IFERROR(INDEX('E2 — Triagem'!$D$8:$D$507,MATCH($B396,'E2 — Triagem'!$B$8:$B$507,0)),""))</f>
        <v/>
      </c>
      <c r="E396" s="179"/>
      <c r="F396" s="179"/>
      <c r="G396" s="179"/>
      <c r="H396" s="179"/>
      <c r="I396" s="179"/>
      <c r="J396" s="184" t="str">
        <f t="shared" si="6"/>
        <v/>
      </c>
      <c r="K396" s="179"/>
      <c r="L396" s="184"/>
      <c r="M396" s="183"/>
    </row>
    <row r="397" spans="2:13" x14ac:dyDescent="0.35">
      <c r="B397" s="177" t="str">
        <f>IF(Lançamentos!$B392="","",Lançamentos!$B392)</f>
        <v/>
      </c>
      <c r="C397" s="178" t="str">
        <f>IF($B397="","",IFERROR(INDEX(Lançamentos!$J$3:$J$1001,MATCH($B397,Lançamentos!$B$3:$B$1001,0)),""))</f>
        <v/>
      </c>
      <c r="D397" s="179" t="str">
        <f>IF($B397="","",IFERROR(INDEX('E2 — Triagem'!$D$8:$D$507,MATCH($B397,'E2 — Triagem'!$B$8:$B$507,0)),""))</f>
        <v/>
      </c>
      <c r="E397" s="179"/>
      <c r="F397" s="179"/>
      <c r="G397" s="179"/>
      <c r="H397" s="179"/>
      <c r="I397" s="179"/>
      <c r="J397" s="184" t="str">
        <f t="shared" si="6"/>
        <v/>
      </c>
      <c r="K397" s="179"/>
      <c r="L397" s="184"/>
      <c r="M397" s="183"/>
    </row>
    <row r="398" spans="2:13" x14ac:dyDescent="0.35">
      <c r="B398" s="177" t="str">
        <f>IF(Lançamentos!$B393="","",Lançamentos!$B393)</f>
        <v/>
      </c>
      <c r="C398" s="178" t="str">
        <f>IF($B398="","",IFERROR(INDEX(Lançamentos!$J$3:$J$1001,MATCH($B398,Lançamentos!$B$3:$B$1001,0)),""))</f>
        <v/>
      </c>
      <c r="D398" s="179" t="str">
        <f>IF($B398="","",IFERROR(INDEX('E2 — Triagem'!$D$8:$D$507,MATCH($B398,'E2 — Triagem'!$B$8:$B$507,0)),""))</f>
        <v/>
      </c>
      <c r="E398" s="179"/>
      <c r="F398" s="179"/>
      <c r="G398" s="179"/>
      <c r="H398" s="179"/>
      <c r="I398" s="179"/>
      <c r="J398" s="184" t="str">
        <f t="shared" si="6"/>
        <v/>
      </c>
      <c r="K398" s="179"/>
      <c r="L398" s="184"/>
      <c r="M398" s="183"/>
    </row>
    <row r="399" spans="2:13" x14ac:dyDescent="0.35">
      <c r="B399" s="177" t="str">
        <f>IF(Lançamentos!$B394="","",Lançamentos!$B394)</f>
        <v/>
      </c>
      <c r="C399" s="178" t="str">
        <f>IF($B399="","",IFERROR(INDEX(Lançamentos!$J$3:$J$1001,MATCH($B399,Lançamentos!$B$3:$B$1001,0)),""))</f>
        <v/>
      </c>
      <c r="D399" s="179" t="str">
        <f>IF($B399="","",IFERROR(INDEX('E2 — Triagem'!$D$8:$D$507,MATCH($B399,'E2 — Triagem'!$B$8:$B$507,0)),""))</f>
        <v/>
      </c>
      <c r="E399" s="179"/>
      <c r="F399" s="179"/>
      <c r="G399" s="179"/>
      <c r="H399" s="179"/>
      <c r="I399" s="179"/>
      <c r="J399" s="184" t="str">
        <f t="shared" si="6"/>
        <v/>
      </c>
      <c r="K399" s="179"/>
      <c r="L399" s="184"/>
      <c r="M399" s="183"/>
    </row>
    <row r="400" spans="2:13" x14ac:dyDescent="0.35">
      <c r="B400" s="177" t="str">
        <f>IF(Lançamentos!$B395="","",Lançamentos!$B395)</f>
        <v/>
      </c>
      <c r="C400" s="178" t="str">
        <f>IF($B400="","",IFERROR(INDEX(Lançamentos!$J$3:$J$1001,MATCH($B400,Lançamentos!$B$3:$B$1001,0)),""))</f>
        <v/>
      </c>
      <c r="D400" s="179" t="str">
        <f>IF($B400="","",IFERROR(INDEX('E2 — Triagem'!$D$8:$D$507,MATCH($B400,'E2 — Triagem'!$B$8:$B$507,0)),""))</f>
        <v/>
      </c>
      <c r="E400" s="179"/>
      <c r="F400" s="179"/>
      <c r="G400" s="179"/>
      <c r="H400" s="179"/>
      <c r="I400" s="179"/>
      <c r="J400" s="184" t="str">
        <f t="shared" ref="J400:J463" si="7">IF(B400="","",IF(COUNTIF(E400:I400,"N/A")=5,0,IF(COUNTIF(E400:I400,"✔ Concluído")=5,1,MIN(99%,COUNTIF(E400:I400,"✔ Concluído")/(5-COUNTIF(E400:I400,"N/A"))))))</f>
        <v/>
      </c>
      <c r="K400" s="179"/>
      <c r="L400" s="184"/>
      <c r="M400" s="183"/>
    </row>
    <row r="401" spans="2:13" x14ac:dyDescent="0.35">
      <c r="B401" s="177" t="str">
        <f>IF(Lançamentos!$B396="","",Lançamentos!$B396)</f>
        <v/>
      </c>
      <c r="C401" s="178" t="str">
        <f>IF($B401="","",IFERROR(INDEX(Lançamentos!$J$3:$J$1001,MATCH($B401,Lançamentos!$B$3:$B$1001,0)),""))</f>
        <v/>
      </c>
      <c r="D401" s="179" t="str">
        <f>IF($B401="","",IFERROR(INDEX('E2 — Triagem'!$D$8:$D$507,MATCH($B401,'E2 — Triagem'!$B$8:$B$507,0)),""))</f>
        <v/>
      </c>
      <c r="E401" s="179"/>
      <c r="F401" s="179"/>
      <c r="G401" s="179"/>
      <c r="H401" s="179"/>
      <c r="I401" s="179"/>
      <c r="J401" s="184" t="str">
        <f t="shared" si="7"/>
        <v/>
      </c>
      <c r="K401" s="179"/>
      <c r="L401" s="184"/>
      <c r="M401" s="183"/>
    </row>
    <row r="402" spans="2:13" x14ac:dyDescent="0.35">
      <c r="B402" s="177" t="str">
        <f>IF(Lançamentos!$B397="","",Lançamentos!$B397)</f>
        <v/>
      </c>
      <c r="C402" s="178" t="str">
        <f>IF($B402="","",IFERROR(INDEX(Lançamentos!$J$3:$J$1001,MATCH($B402,Lançamentos!$B$3:$B$1001,0)),""))</f>
        <v/>
      </c>
      <c r="D402" s="179" t="str">
        <f>IF($B402="","",IFERROR(INDEX('E2 — Triagem'!$D$8:$D$507,MATCH($B402,'E2 — Triagem'!$B$8:$B$507,0)),""))</f>
        <v/>
      </c>
      <c r="E402" s="179"/>
      <c r="F402" s="179"/>
      <c r="G402" s="179"/>
      <c r="H402" s="179"/>
      <c r="I402" s="179"/>
      <c r="J402" s="184" t="str">
        <f t="shared" si="7"/>
        <v/>
      </c>
      <c r="K402" s="179"/>
      <c r="L402" s="184"/>
      <c r="M402" s="183"/>
    </row>
    <row r="403" spans="2:13" x14ac:dyDescent="0.35">
      <c r="B403" s="177" t="str">
        <f>IF(Lançamentos!$B398="","",Lançamentos!$B398)</f>
        <v/>
      </c>
      <c r="C403" s="178" t="str">
        <f>IF($B403="","",IFERROR(INDEX(Lançamentos!$J$3:$J$1001,MATCH($B403,Lançamentos!$B$3:$B$1001,0)),""))</f>
        <v/>
      </c>
      <c r="D403" s="179" t="str">
        <f>IF($B403="","",IFERROR(INDEX('E2 — Triagem'!$D$8:$D$507,MATCH($B403,'E2 — Triagem'!$B$8:$B$507,0)),""))</f>
        <v/>
      </c>
      <c r="E403" s="179"/>
      <c r="F403" s="179"/>
      <c r="G403" s="179"/>
      <c r="H403" s="179"/>
      <c r="I403" s="179"/>
      <c r="J403" s="184" t="str">
        <f t="shared" si="7"/>
        <v/>
      </c>
      <c r="K403" s="179"/>
      <c r="L403" s="184"/>
      <c r="M403" s="183"/>
    </row>
    <row r="404" spans="2:13" x14ac:dyDescent="0.35">
      <c r="B404" s="177" t="str">
        <f>IF(Lançamentos!$B399="","",Lançamentos!$B399)</f>
        <v/>
      </c>
      <c r="C404" s="178" t="str">
        <f>IF($B404="","",IFERROR(INDEX(Lançamentos!$J$3:$J$1001,MATCH($B404,Lançamentos!$B$3:$B$1001,0)),""))</f>
        <v/>
      </c>
      <c r="D404" s="179" t="str">
        <f>IF($B404="","",IFERROR(INDEX('E2 — Triagem'!$D$8:$D$507,MATCH($B404,'E2 — Triagem'!$B$8:$B$507,0)),""))</f>
        <v/>
      </c>
      <c r="E404" s="179"/>
      <c r="F404" s="179"/>
      <c r="G404" s="179"/>
      <c r="H404" s="179"/>
      <c r="I404" s="179"/>
      <c r="J404" s="184" t="str">
        <f t="shared" si="7"/>
        <v/>
      </c>
      <c r="K404" s="179"/>
      <c r="L404" s="184"/>
      <c r="M404" s="183"/>
    </row>
    <row r="405" spans="2:13" x14ac:dyDescent="0.35">
      <c r="B405" s="177" t="str">
        <f>IF(Lançamentos!$B400="","",Lançamentos!$B400)</f>
        <v/>
      </c>
      <c r="C405" s="178" t="str">
        <f>IF($B405="","",IFERROR(INDEX(Lançamentos!$J$3:$J$1001,MATCH($B405,Lançamentos!$B$3:$B$1001,0)),""))</f>
        <v/>
      </c>
      <c r="D405" s="179" t="str">
        <f>IF($B405="","",IFERROR(INDEX('E2 — Triagem'!$D$8:$D$507,MATCH($B405,'E2 — Triagem'!$B$8:$B$507,0)),""))</f>
        <v/>
      </c>
      <c r="E405" s="179"/>
      <c r="F405" s="179"/>
      <c r="G405" s="179"/>
      <c r="H405" s="179"/>
      <c r="I405" s="179"/>
      <c r="J405" s="184" t="str">
        <f t="shared" si="7"/>
        <v/>
      </c>
      <c r="K405" s="179"/>
      <c r="L405" s="184"/>
      <c r="M405" s="183"/>
    </row>
    <row r="406" spans="2:13" x14ac:dyDescent="0.35">
      <c r="B406" s="177" t="str">
        <f>IF(Lançamentos!$B401="","",Lançamentos!$B401)</f>
        <v/>
      </c>
      <c r="C406" s="178" t="str">
        <f>IF($B406="","",IFERROR(INDEX(Lançamentos!$J$3:$J$1001,MATCH($B406,Lançamentos!$B$3:$B$1001,0)),""))</f>
        <v/>
      </c>
      <c r="D406" s="179" t="str">
        <f>IF($B406="","",IFERROR(INDEX('E2 — Triagem'!$D$8:$D$507,MATCH($B406,'E2 — Triagem'!$B$8:$B$507,0)),""))</f>
        <v/>
      </c>
      <c r="E406" s="179"/>
      <c r="F406" s="179"/>
      <c r="G406" s="179"/>
      <c r="H406" s="179"/>
      <c r="I406" s="179"/>
      <c r="J406" s="184" t="str">
        <f t="shared" si="7"/>
        <v/>
      </c>
      <c r="K406" s="179"/>
      <c r="L406" s="184"/>
      <c r="M406" s="183"/>
    </row>
    <row r="407" spans="2:13" x14ac:dyDescent="0.35">
      <c r="B407" s="177" t="str">
        <f>IF(Lançamentos!$B402="","",Lançamentos!$B402)</f>
        <v/>
      </c>
      <c r="C407" s="178" t="str">
        <f>IF($B407="","",IFERROR(INDEX(Lançamentos!$J$3:$J$1001,MATCH($B407,Lançamentos!$B$3:$B$1001,0)),""))</f>
        <v/>
      </c>
      <c r="D407" s="179" t="str">
        <f>IF($B407="","",IFERROR(INDEX('E2 — Triagem'!$D$8:$D$507,MATCH($B407,'E2 — Triagem'!$B$8:$B$507,0)),""))</f>
        <v/>
      </c>
      <c r="E407" s="179"/>
      <c r="F407" s="179"/>
      <c r="G407" s="179"/>
      <c r="H407" s="179"/>
      <c r="I407" s="179"/>
      <c r="J407" s="184" t="str">
        <f t="shared" si="7"/>
        <v/>
      </c>
      <c r="K407" s="179"/>
      <c r="L407" s="184"/>
      <c r="M407" s="183"/>
    </row>
    <row r="408" spans="2:13" x14ac:dyDescent="0.35">
      <c r="B408" s="177" t="str">
        <f>IF(Lançamentos!$B403="","",Lançamentos!$B403)</f>
        <v/>
      </c>
      <c r="C408" s="178" t="str">
        <f>IF($B408="","",IFERROR(INDEX(Lançamentos!$J$3:$J$1001,MATCH($B408,Lançamentos!$B$3:$B$1001,0)),""))</f>
        <v/>
      </c>
      <c r="D408" s="179" t="str">
        <f>IF($B408="","",IFERROR(INDEX('E2 — Triagem'!$D$8:$D$507,MATCH($B408,'E2 — Triagem'!$B$8:$B$507,0)),""))</f>
        <v/>
      </c>
      <c r="E408" s="179"/>
      <c r="F408" s="179"/>
      <c r="G408" s="179"/>
      <c r="H408" s="179"/>
      <c r="I408" s="179"/>
      <c r="J408" s="184" t="str">
        <f t="shared" si="7"/>
        <v/>
      </c>
      <c r="K408" s="179"/>
      <c r="L408" s="184"/>
      <c r="M408" s="183"/>
    </row>
    <row r="409" spans="2:13" x14ac:dyDescent="0.35">
      <c r="B409" s="177" t="str">
        <f>IF(Lançamentos!$B404="","",Lançamentos!$B404)</f>
        <v/>
      </c>
      <c r="C409" s="178" t="str">
        <f>IF($B409="","",IFERROR(INDEX(Lançamentos!$J$3:$J$1001,MATCH($B409,Lançamentos!$B$3:$B$1001,0)),""))</f>
        <v/>
      </c>
      <c r="D409" s="179" t="str">
        <f>IF($B409="","",IFERROR(INDEX('E2 — Triagem'!$D$8:$D$507,MATCH($B409,'E2 — Triagem'!$B$8:$B$507,0)),""))</f>
        <v/>
      </c>
      <c r="E409" s="179"/>
      <c r="F409" s="179"/>
      <c r="G409" s="179"/>
      <c r="H409" s="179"/>
      <c r="I409" s="179"/>
      <c r="J409" s="184" t="str">
        <f t="shared" si="7"/>
        <v/>
      </c>
      <c r="K409" s="179"/>
      <c r="L409" s="184"/>
      <c r="M409" s="183"/>
    </row>
    <row r="410" spans="2:13" x14ac:dyDescent="0.35">
      <c r="B410" s="177" t="str">
        <f>IF(Lançamentos!$B405="","",Lançamentos!$B405)</f>
        <v/>
      </c>
      <c r="C410" s="178" t="str">
        <f>IF($B410="","",IFERROR(INDEX(Lançamentos!$J$3:$J$1001,MATCH($B410,Lançamentos!$B$3:$B$1001,0)),""))</f>
        <v/>
      </c>
      <c r="D410" s="179" t="str">
        <f>IF($B410="","",IFERROR(INDEX('E2 — Triagem'!$D$8:$D$507,MATCH($B410,'E2 — Triagem'!$B$8:$B$507,0)),""))</f>
        <v/>
      </c>
      <c r="E410" s="179"/>
      <c r="F410" s="179"/>
      <c r="G410" s="179"/>
      <c r="H410" s="179"/>
      <c r="I410" s="179"/>
      <c r="J410" s="184" t="str">
        <f t="shared" si="7"/>
        <v/>
      </c>
      <c r="K410" s="179"/>
      <c r="L410" s="184"/>
      <c r="M410" s="183"/>
    </row>
    <row r="411" spans="2:13" x14ac:dyDescent="0.35">
      <c r="B411" s="177" t="str">
        <f>IF(Lançamentos!$B406="","",Lançamentos!$B406)</f>
        <v/>
      </c>
      <c r="C411" s="178" t="str">
        <f>IF($B411="","",IFERROR(INDEX(Lançamentos!$J$3:$J$1001,MATCH($B411,Lançamentos!$B$3:$B$1001,0)),""))</f>
        <v/>
      </c>
      <c r="D411" s="179" t="str">
        <f>IF($B411="","",IFERROR(INDEX('E2 — Triagem'!$D$8:$D$507,MATCH($B411,'E2 — Triagem'!$B$8:$B$507,0)),""))</f>
        <v/>
      </c>
      <c r="E411" s="179"/>
      <c r="F411" s="179"/>
      <c r="G411" s="179"/>
      <c r="H411" s="179"/>
      <c r="I411" s="179"/>
      <c r="J411" s="184" t="str">
        <f t="shared" si="7"/>
        <v/>
      </c>
      <c r="K411" s="179"/>
      <c r="L411" s="184"/>
      <c r="M411" s="183"/>
    </row>
    <row r="412" spans="2:13" x14ac:dyDescent="0.35">
      <c r="B412" s="177" t="str">
        <f>IF(Lançamentos!$B407="","",Lançamentos!$B407)</f>
        <v/>
      </c>
      <c r="C412" s="178" t="str">
        <f>IF($B412="","",IFERROR(INDEX(Lançamentos!$J$3:$J$1001,MATCH($B412,Lançamentos!$B$3:$B$1001,0)),""))</f>
        <v/>
      </c>
      <c r="D412" s="179" t="str">
        <f>IF($B412="","",IFERROR(INDEX('E2 — Triagem'!$D$8:$D$507,MATCH($B412,'E2 — Triagem'!$B$8:$B$507,0)),""))</f>
        <v/>
      </c>
      <c r="E412" s="179"/>
      <c r="F412" s="179"/>
      <c r="G412" s="179"/>
      <c r="H412" s="179"/>
      <c r="I412" s="179"/>
      <c r="J412" s="184" t="str">
        <f t="shared" si="7"/>
        <v/>
      </c>
      <c r="K412" s="179"/>
      <c r="L412" s="184"/>
      <c r="M412" s="183"/>
    </row>
    <row r="413" spans="2:13" x14ac:dyDescent="0.35">
      <c r="B413" s="177" t="str">
        <f>IF(Lançamentos!$B408="","",Lançamentos!$B408)</f>
        <v/>
      </c>
      <c r="C413" s="178" t="str">
        <f>IF($B413="","",IFERROR(INDEX(Lançamentos!$J$3:$J$1001,MATCH($B413,Lançamentos!$B$3:$B$1001,0)),""))</f>
        <v/>
      </c>
      <c r="D413" s="179" t="str">
        <f>IF($B413="","",IFERROR(INDEX('E2 — Triagem'!$D$8:$D$507,MATCH($B413,'E2 — Triagem'!$B$8:$B$507,0)),""))</f>
        <v/>
      </c>
      <c r="E413" s="179"/>
      <c r="F413" s="179"/>
      <c r="G413" s="179"/>
      <c r="H413" s="179"/>
      <c r="I413" s="179"/>
      <c r="J413" s="184" t="str">
        <f t="shared" si="7"/>
        <v/>
      </c>
      <c r="K413" s="179"/>
      <c r="L413" s="184"/>
      <c r="M413" s="183"/>
    </row>
    <row r="414" spans="2:13" x14ac:dyDescent="0.35">
      <c r="B414" s="177" t="str">
        <f>IF(Lançamentos!$B409="","",Lançamentos!$B409)</f>
        <v/>
      </c>
      <c r="C414" s="178" t="str">
        <f>IF($B414="","",IFERROR(INDEX(Lançamentos!$J$3:$J$1001,MATCH($B414,Lançamentos!$B$3:$B$1001,0)),""))</f>
        <v/>
      </c>
      <c r="D414" s="179" t="str">
        <f>IF($B414="","",IFERROR(INDEX('E2 — Triagem'!$D$8:$D$507,MATCH($B414,'E2 — Triagem'!$B$8:$B$507,0)),""))</f>
        <v/>
      </c>
      <c r="E414" s="179"/>
      <c r="F414" s="179"/>
      <c r="G414" s="179"/>
      <c r="H414" s="179"/>
      <c r="I414" s="179"/>
      <c r="J414" s="184" t="str">
        <f t="shared" si="7"/>
        <v/>
      </c>
      <c r="K414" s="179"/>
      <c r="L414" s="184"/>
      <c r="M414" s="183"/>
    </row>
    <row r="415" spans="2:13" x14ac:dyDescent="0.35">
      <c r="B415" s="177" t="str">
        <f>IF(Lançamentos!$B410="","",Lançamentos!$B410)</f>
        <v/>
      </c>
      <c r="C415" s="178" t="str">
        <f>IF($B415="","",IFERROR(INDEX(Lançamentos!$J$3:$J$1001,MATCH($B415,Lançamentos!$B$3:$B$1001,0)),""))</f>
        <v/>
      </c>
      <c r="D415" s="179" t="str">
        <f>IF($B415="","",IFERROR(INDEX('E2 — Triagem'!$D$8:$D$507,MATCH($B415,'E2 — Triagem'!$B$8:$B$507,0)),""))</f>
        <v/>
      </c>
      <c r="E415" s="179"/>
      <c r="F415" s="179"/>
      <c r="G415" s="179"/>
      <c r="H415" s="179"/>
      <c r="I415" s="179"/>
      <c r="J415" s="184" t="str">
        <f t="shared" si="7"/>
        <v/>
      </c>
      <c r="K415" s="179"/>
      <c r="L415" s="184"/>
      <c r="M415" s="183"/>
    </row>
    <row r="416" spans="2:13" x14ac:dyDescent="0.35">
      <c r="B416" s="177" t="str">
        <f>IF(Lançamentos!$B411="","",Lançamentos!$B411)</f>
        <v/>
      </c>
      <c r="C416" s="178" t="str">
        <f>IF($B416="","",IFERROR(INDEX(Lançamentos!$J$3:$J$1001,MATCH($B416,Lançamentos!$B$3:$B$1001,0)),""))</f>
        <v/>
      </c>
      <c r="D416" s="179" t="str">
        <f>IF($B416="","",IFERROR(INDEX('E2 — Triagem'!$D$8:$D$507,MATCH($B416,'E2 — Triagem'!$B$8:$B$507,0)),""))</f>
        <v/>
      </c>
      <c r="E416" s="179"/>
      <c r="F416" s="179"/>
      <c r="G416" s="179"/>
      <c r="H416" s="179"/>
      <c r="I416" s="179"/>
      <c r="J416" s="184" t="str">
        <f t="shared" si="7"/>
        <v/>
      </c>
      <c r="K416" s="179"/>
      <c r="L416" s="184"/>
      <c r="M416" s="183"/>
    </row>
    <row r="417" spans="2:13" x14ac:dyDescent="0.35">
      <c r="B417" s="177" t="str">
        <f>IF(Lançamentos!$B412="","",Lançamentos!$B412)</f>
        <v/>
      </c>
      <c r="C417" s="178" t="str">
        <f>IF($B417="","",IFERROR(INDEX(Lançamentos!$J$3:$J$1001,MATCH($B417,Lançamentos!$B$3:$B$1001,0)),""))</f>
        <v/>
      </c>
      <c r="D417" s="179" t="str">
        <f>IF($B417="","",IFERROR(INDEX('E2 — Triagem'!$D$8:$D$507,MATCH($B417,'E2 — Triagem'!$B$8:$B$507,0)),""))</f>
        <v/>
      </c>
      <c r="E417" s="179"/>
      <c r="F417" s="179"/>
      <c r="G417" s="179"/>
      <c r="H417" s="179"/>
      <c r="I417" s="179"/>
      <c r="J417" s="184" t="str">
        <f t="shared" si="7"/>
        <v/>
      </c>
      <c r="K417" s="179"/>
      <c r="L417" s="184"/>
      <c r="M417" s="183"/>
    </row>
    <row r="418" spans="2:13" x14ac:dyDescent="0.35">
      <c r="B418" s="177" t="str">
        <f>IF(Lançamentos!$B413="","",Lançamentos!$B413)</f>
        <v/>
      </c>
      <c r="C418" s="178" t="str">
        <f>IF($B418="","",IFERROR(INDEX(Lançamentos!$J$3:$J$1001,MATCH($B418,Lançamentos!$B$3:$B$1001,0)),""))</f>
        <v/>
      </c>
      <c r="D418" s="179" t="str">
        <f>IF($B418="","",IFERROR(INDEX('E2 — Triagem'!$D$8:$D$507,MATCH($B418,'E2 — Triagem'!$B$8:$B$507,0)),""))</f>
        <v/>
      </c>
      <c r="E418" s="179"/>
      <c r="F418" s="179"/>
      <c r="G418" s="179"/>
      <c r="H418" s="179"/>
      <c r="I418" s="179"/>
      <c r="J418" s="184" t="str">
        <f t="shared" si="7"/>
        <v/>
      </c>
      <c r="K418" s="179"/>
      <c r="L418" s="184"/>
      <c r="M418" s="183"/>
    </row>
    <row r="419" spans="2:13" x14ac:dyDescent="0.35">
      <c r="B419" s="177" t="str">
        <f>IF(Lançamentos!$B414="","",Lançamentos!$B414)</f>
        <v/>
      </c>
      <c r="C419" s="178" t="str">
        <f>IF($B419="","",IFERROR(INDEX(Lançamentos!$J$3:$J$1001,MATCH($B419,Lançamentos!$B$3:$B$1001,0)),""))</f>
        <v/>
      </c>
      <c r="D419" s="179" t="str">
        <f>IF($B419="","",IFERROR(INDEX('E2 — Triagem'!$D$8:$D$507,MATCH($B419,'E2 — Triagem'!$B$8:$B$507,0)),""))</f>
        <v/>
      </c>
      <c r="E419" s="179"/>
      <c r="F419" s="179"/>
      <c r="G419" s="179"/>
      <c r="H419" s="179"/>
      <c r="I419" s="179"/>
      <c r="J419" s="184" t="str">
        <f t="shared" si="7"/>
        <v/>
      </c>
      <c r="K419" s="179"/>
      <c r="L419" s="184"/>
      <c r="M419" s="183"/>
    </row>
    <row r="420" spans="2:13" x14ac:dyDescent="0.35">
      <c r="B420" s="177" t="str">
        <f>IF(Lançamentos!$B415="","",Lançamentos!$B415)</f>
        <v/>
      </c>
      <c r="C420" s="178" t="str">
        <f>IF($B420="","",IFERROR(INDEX(Lançamentos!$J$3:$J$1001,MATCH($B420,Lançamentos!$B$3:$B$1001,0)),""))</f>
        <v/>
      </c>
      <c r="D420" s="179" t="str">
        <f>IF($B420="","",IFERROR(INDEX('E2 — Triagem'!$D$8:$D$507,MATCH($B420,'E2 — Triagem'!$B$8:$B$507,0)),""))</f>
        <v/>
      </c>
      <c r="E420" s="179"/>
      <c r="F420" s="179"/>
      <c r="G420" s="179"/>
      <c r="H420" s="179"/>
      <c r="I420" s="179"/>
      <c r="J420" s="184" t="str">
        <f t="shared" si="7"/>
        <v/>
      </c>
      <c r="K420" s="179"/>
      <c r="L420" s="184"/>
      <c r="M420" s="183"/>
    </row>
    <row r="421" spans="2:13" x14ac:dyDescent="0.35">
      <c r="B421" s="177" t="str">
        <f>IF(Lançamentos!$B416="","",Lançamentos!$B416)</f>
        <v/>
      </c>
      <c r="C421" s="178" t="str">
        <f>IF($B421="","",IFERROR(INDEX(Lançamentos!$J$3:$J$1001,MATCH($B421,Lançamentos!$B$3:$B$1001,0)),""))</f>
        <v/>
      </c>
      <c r="D421" s="179" t="str">
        <f>IF($B421="","",IFERROR(INDEX('E2 — Triagem'!$D$8:$D$507,MATCH($B421,'E2 — Triagem'!$B$8:$B$507,0)),""))</f>
        <v/>
      </c>
      <c r="E421" s="179"/>
      <c r="F421" s="179"/>
      <c r="G421" s="179"/>
      <c r="H421" s="179"/>
      <c r="I421" s="179"/>
      <c r="J421" s="184" t="str">
        <f t="shared" si="7"/>
        <v/>
      </c>
      <c r="K421" s="179"/>
      <c r="L421" s="184"/>
      <c r="M421" s="183"/>
    </row>
    <row r="422" spans="2:13" x14ac:dyDescent="0.35">
      <c r="B422" s="177" t="str">
        <f>IF(Lançamentos!$B417="","",Lançamentos!$B417)</f>
        <v/>
      </c>
      <c r="C422" s="178" t="str">
        <f>IF($B422="","",IFERROR(INDEX(Lançamentos!$J$3:$J$1001,MATCH($B422,Lançamentos!$B$3:$B$1001,0)),""))</f>
        <v/>
      </c>
      <c r="D422" s="179" t="str">
        <f>IF($B422="","",IFERROR(INDEX('E2 — Triagem'!$D$8:$D$507,MATCH($B422,'E2 — Triagem'!$B$8:$B$507,0)),""))</f>
        <v/>
      </c>
      <c r="E422" s="179"/>
      <c r="F422" s="179"/>
      <c r="G422" s="179"/>
      <c r="H422" s="179"/>
      <c r="I422" s="179"/>
      <c r="J422" s="184" t="str">
        <f t="shared" si="7"/>
        <v/>
      </c>
      <c r="K422" s="179"/>
      <c r="L422" s="184"/>
      <c r="M422" s="183"/>
    </row>
    <row r="423" spans="2:13" x14ac:dyDescent="0.35">
      <c r="B423" s="177" t="str">
        <f>IF(Lançamentos!$B418="","",Lançamentos!$B418)</f>
        <v/>
      </c>
      <c r="C423" s="178" t="str">
        <f>IF($B423="","",IFERROR(INDEX(Lançamentos!$J$3:$J$1001,MATCH($B423,Lançamentos!$B$3:$B$1001,0)),""))</f>
        <v/>
      </c>
      <c r="D423" s="179" t="str">
        <f>IF($B423="","",IFERROR(INDEX('E2 — Triagem'!$D$8:$D$507,MATCH($B423,'E2 — Triagem'!$B$8:$B$507,0)),""))</f>
        <v/>
      </c>
      <c r="E423" s="179"/>
      <c r="F423" s="179"/>
      <c r="G423" s="179"/>
      <c r="H423" s="179"/>
      <c r="I423" s="179"/>
      <c r="J423" s="184" t="str">
        <f t="shared" si="7"/>
        <v/>
      </c>
      <c r="K423" s="179"/>
      <c r="L423" s="184"/>
      <c r="M423" s="183"/>
    </row>
    <row r="424" spans="2:13" x14ac:dyDescent="0.35">
      <c r="B424" s="177" t="str">
        <f>IF(Lançamentos!$B419="","",Lançamentos!$B419)</f>
        <v/>
      </c>
      <c r="C424" s="178" t="str">
        <f>IF($B424="","",IFERROR(INDEX(Lançamentos!$J$3:$J$1001,MATCH($B424,Lançamentos!$B$3:$B$1001,0)),""))</f>
        <v/>
      </c>
      <c r="D424" s="179" t="str">
        <f>IF($B424="","",IFERROR(INDEX('E2 — Triagem'!$D$8:$D$507,MATCH($B424,'E2 — Triagem'!$B$8:$B$507,0)),""))</f>
        <v/>
      </c>
      <c r="E424" s="179"/>
      <c r="F424" s="179"/>
      <c r="G424" s="179"/>
      <c r="H424" s="179"/>
      <c r="I424" s="179"/>
      <c r="J424" s="184" t="str">
        <f t="shared" si="7"/>
        <v/>
      </c>
      <c r="K424" s="179"/>
      <c r="L424" s="184"/>
      <c r="M424" s="183"/>
    </row>
    <row r="425" spans="2:13" x14ac:dyDescent="0.35">
      <c r="B425" s="177" t="str">
        <f>IF(Lançamentos!$B420="","",Lançamentos!$B420)</f>
        <v/>
      </c>
      <c r="C425" s="178" t="str">
        <f>IF($B425="","",IFERROR(INDEX(Lançamentos!$J$3:$J$1001,MATCH($B425,Lançamentos!$B$3:$B$1001,0)),""))</f>
        <v/>
      </c>
      <c r="D425" s="179" t="str">
        <f>IF($B425="","",IFERROR(INDEX('E2 — Triagem'!$D$8:$D$507,MATCH($B425,'E2 — Triagem'!$B$8:$B$507,0)),""))</f>
        <v/>
      </c>
      <c r="E425" s="179"/>
      <c r="F425" s="179"/>
      <c r="G425" s="179"/>
      <c r="H425" s="179"/>
      <c r="I425" s="179"/>
      <c r="J425" s="184" t="str">
        <f t="shared" si="7"/>
        <v/>
      </c>
      <c r="K425" s="179"/>
      <c r="L425" s="184"/>
      <c r="M425" s="183"/>
    </row>
    <row r="426" spans="2:13" x14ac:dyDescent="0.35">
      <c r="B426" s="177" t="str">
        <f>IF(Lançamentos!$B421="","",Lançamentos!$B421)</f>
        <v/>
      </c>
      <c r="C426" s="178" t="str">
        <f>IF($B426="","",IFERROR(INDEX(Lançamentos!$J$3:$J$1001,MATCH($B426,Lançamentos!$B$3:$B$1001,0)),""))</f>
        <v/>
      </c>
      <c r="D426" s="179" t="str">
        <f>IF($B426="","",IFERROR(INDEX('E2 — Triagem'!$D$8:$D$507,MATCH($B426,'E2 — Triagem'!$B$8:$B$507,0)),""))</f>
        <v/>
      </c>
      <c r="E426" s="179"/>
      <c r="F426" s="179"/>
      <c r="G426" s="179"/>
      <c r="H426" s="179"/>
      <c r="I426" s="179"/>
      <c r="J426" s="184" t="str">
        <f t="shared" si="7"/>
        <v/>
      </c>
      <c r="K426" s="179"/>
      <c r="L426" s="184"/>
      <c r="M426" s="183"/>
    </row>
    <row r="427" spans="2:13" x14ac:dyDescent="0.35">
      <c r="B427" s="177" t="str">
        <f>IF(Lançamentos!$B422="","",Lançamentos!$B422)</f>
        <v/>
      </c>
      <c r="C427" s="178" t="str">
        <f>IF($B427="","",IFERROR(INDEX(Lançamentos!$J$3:$J$1001,MATCH($B427,Lançamentos!$B$3:$B$1001,0)),""))</f>
        <v/>
      </c>
      <c r="D427" s="179" t="str">
        <f>IF($B427="","",IFERROR(INDEX('E2 — Triagem'!$D$8:$D$507,MATCH($B427,'E2 — Triagem'!$B$8:$B$507,0)),""))</f>
        <v/>
      </c>
      <c r="E427" s="179"/>
      <c r="F427" s="179"/>
      <c r="G427" s="179"/>
      <c r="H427" s="179"/>
      <c r="I427" s="179"/>
      <c r="J427" s="184" t="str">
        <f t="shared" si="7"/>
        <v/>
      </c>
      <c r="K427" s="179"/>
      <c r="L427" s="184"/>
      <c r="M427" s="183"/>
    </row>
    <row r="428" spans="2:13" x14ac:dyDescent="0.35">
      <c r="B428" s="177" t="str">
        <f>IF(Lançamentos!$B423="","",Lançamentos!$B423)</f>
        <v/>
      </c>
      <c r="C428" s="178" t="str">
        <f>IF($B428="","",IFERROR(INDEX(Lançamentos!$J$3:$J$1001,MATCH($B428,Lançamentos!$B$3:$B$1001,0)),""))</f>
        <v/>
      </c>
      <c r="D428" s="179" t="str">
        <f>IF($B428="","",IFERROR(INDEX('E2 — Triagem'!$D$8:$D$507,MATCH($B428,'E2 — Triagem'!$B$8:$B$507,0)),""))</f>
        <v/>
      </c>
      <c r="E428" s="179"/>
      <c r="F428" s="179"/>
      <c r="G428" s="179"/>
      <c r="H428" s="179"/>
      <c r="I428" s="179"/>
      <c r="J428" s="184" t="str">
        <f t="shared" si="7"/>
        <v/>
      </c>
      <c r="K428" s="179"/>
      <c r="L428" s="184"/>
      <c r="M428" s="183"/>
    </row>
    <row r="429" spans="2:13" x14ac:dyDescent="0.35">
      <c r="B429" s="177" t="str">
        <f>IF(Lançamentos!$B424="","",Lançamentos!$B424)</f>
        <v/>
      </c>
      <c r="C429" s="178" t="str">
        <f>IF($B429="","",IFERROR(INDEX(Lançamentos!$J$3:$J$1001,MATCH($B429,Lançamentos!$B$3:$B$1001,0)),""))</f>
        <v/>
      </c>
      <c r="D429" s="179" t="str">
        <f>IF($B429="","",IFERROR(INDEX('E2 — Triagem'!$D$8:$D$507,MATCH($B429,'E2 — Triagem'!$B$8:$B$507,0)),""))</f>
        <v/>
      </c>
      <c r="E429" s="179"/>
      <c r="F429" s="179"/>
      <c r="G429" s="179"/>
      <c r="H429" s="179"/>
      <c r="I429" s="179"/>
      <c r="J429" s="184" t="str">
        <f t="shared" si="7"/>
        <v/>
      </c>
      <c r="K429" s="179"/>
      <c r="L429" s="184"/>
      <c r="M429" s="183"/>
    </row>
    <row r="430" spans="2:13" x14ac:dyDescent="0.35">
      <c r="B430" s="177" t="str">
        <f>IF(Lançamentos!$B425="","",Lançamentos!$B425)</f>
        <v/>
      </c>
      <c r="C430" s="178" t="str">
        <f>IF($B430="","",IFERROR(INDEX(Lançamentos!$J$3:$J$1001,MATCH($B430,Lançamentos!$B$3:$B$1001,0)),""))</f>
        <v/>
      </c>
      <c r="D430" s="179" t="str">
        <f>IF($B430="","",IFERROR(INDEX('E2 — Triagem'!$D$8:$D$507,MATCH($B430,'E2 — Triagem'!$B$8:$B$507,0)),""))</f>
        <v/>
      </c>
      <c r="E430" s="179"/>
      <c r="F430" s="179"/>
      <c r="G430" s="179"/>
      <c r="H430" s="179"/>
      <c r="I430" s="179"/>
      <c r="J430" s="184" t="str">
        <f t="shared" si="7"/>
        <v/>
      </c>
      <c r="K430" s="179"/>
      <c r="L430" s="184"/>
      <c r="M430" s="183"/>
    </row>
    <row r="431" spans="2:13" x14ac:dyDescent="0.35">
      <c r="B431" s="177" t="str">
        <f>IF(Lançamentos!$B426="","",Lançamentos!$B426)</f>
        <v/>
      </c>
      <c r="C431" s="178" t="str">
        <f>IF($B431="","",IFERROR(INDEX(Lançamentos!$J$3:$J$1001,MATCH($B431,Lançamentos!$B$3:$B$1001,0)),""))</f>
        <v/>
      </c>
      <c r="D431" s="179" t="str">
        <f>IF($B431="","",IFERROR(INDEX('E2 — Triagem'!$D$8:$D$507,MATCH($B431,'E2 — Triagem'!$B$8:$B$507,0)),""))</f>
        <v/>
      </c>
      <c r="E431" s="179"/>
      <c r="F431" s="179"/>
      <c r="G431" s="179"/>
      <c r="H431" s="179"/>
      <c r="I431" s="179"/>
      <c r="J431" s="184" t="str">
        <f t="shared" si="7"/>
        <v/>
      </c>
      <c r="K431" s="179"/>
      <c r="L431" s="184"/>
      <c r="M431" s="183"/>
    </row>
    <row r="432" spans="2:13" x14ac:dyDescent="0.35">
      <c r="B432" s="177" t="str">
        <f>IF(Lançamentos!$B427="","",Lançamentos!$B427)</f>
        <v/>
      </c>
      <c r="C432" s="178" t="str">
        <f>IF($B432="","",IFERROR(INDEX(Lançamentos!$J$3:$J$1001,MATCH($B432,Lançamentos!$B$3:$B$1001,0)),""))</f>
        <v/>
      </c>
      <c r="D432" s="179" t="str">
        <f>IF($B432="","",IFERROR(INDEX('E2 — Triagem'!$D$8:$D$507,MATCH($B432,'E2 — Triagem'!$B$8:$B$507,0)),""))</f>
        <v/>
      </c>
      <c r="E432" s="179"/>
      <c r="F432" s="179"/>
      <c r="G432" s="179"/>
      <c r="H432" s="179"/>
      <c r="I432" s="179"/>
      <c r="J432" s="184" t="str">
        <f t="shared" si="7"/>
        <v/>
      </c>
      <c r="K432" s="179"/>
      <c r="L432" s="184"/>
      <c r="M432" s="183"/>
    </row>
    <row r="433" spans="2:13" x14ac:dyDescent="0.35">
      <c r="B433" s="177" t="str">
        <f>IF(Lançamentos!$B428="","",Lançamentos!$B428)</f>
        <v/>
      </c>
      <c r="C433" s="178" t="str">
        <f>IF($B433="","",IFERROR(INDEX(Lançamentos!$J$3:$J$1001,MATCH($B433,Lançamentos!$B$3:$B$1001,0)),""))</f>
        <v/>
      </c>
      <c r="D433" s="179" t="str">
        <f>IF($B433="","",IFERROR(INDEX('E2 — Triagem'!$D$8:$D$507,MATCH($B433,'E2 — Triagem'!$B$8:$B$507,0)),""))</f>
        <v/>
      </c>
      <c r="E433" s="179"/>
      <c r="F433" s="179"/>
      <c r="G433" s="179"/>
      <c r="H433" s="179"/>
      <c r="I433" s="179"/>
      <c r="J433" s="184" t="str">
        <f t="shared" si="7"/>
        <v/>
      </c>
      <c r="K433" s="179"/>
      <c r="L433" s="184"/>
      <c r="M433" s="183"/>
    </row>
    <row r="434" spans="2:13" x14ac:dyDescent="0.35">
      <c r="B434" s="177" t="str">
        <f>IF(Lançamentos!$B429="","",Lançamentos!$B429)</f>
        <v/>
      </c>
      <c r="C434" s="178" t="str">
        <f>IF($B434="","",IFERROR(INDEX(Lançamentos!$J$3:$J$1001,MATCH($B434,Lançamentos!$B$3:$B$1001,0)),""))</f>
        <v/>
      </c>
      <c r="D434" s="179" t="str">
        <f>IF($B434="","",IFERROR(INDEX('E2 — Triagem'!$D$8:$D$507,MATCH($B434,'E2 — Triagem'!$B$8:$B$507,0)),""))</f>
        <v/>
      </c>
      <c r="E434" s="179"/>
      <c r="F434" s="179"/>
      <c r="G434" s="179"/>
      <c r="H434" s="179"/>
      <c r="I434" s="179"/>
      <c r="J434" s="184" t="str">
        <f t="shared" si="7"/>
        <v/>
      </c>
      <c r="K434" s="179"/>
      <c r="L434" s="184"/>
      <c r="M434" s="183"/>
    </row>
    <row r="435" spans="2:13" x14ac:dyDescent="0.35">
      <c r="B435" s="177" t="str">
        <f>IF(Lançamentos!$B430="","",Lançamentos!$B430)</f>
        <v/>
      </c>
      <c r="C435" s="178" t="str">
        <f>IF($B435="","",IFERROR(INDEX(Lançamentos!$J$3:$J$1001,MATCH($B435,Lançamentos!$B$3:$B$1001,0)),""))</f>
        <v/>
      </c>
      <c r="D435" s="179" t="str">
        <f>IF($B435="","",IFERROR(INDEX('E2 — Triagem'!$D$8:$D$507,MATCH($B435,'E2 — Triagem'!$B$8:$B$507,0)),""))</f>
        <v/>
      </c>
      <c r="E435" s="179"/>
      <c r="F435" s="179"/>
      <c r="G435" s="179"/>
      <c r="H435" s="179"/>
      <c r="I435" s="179"/>
      <c r="J435" s="184" t="str">
        <f t="shared" si="7"/>
        <v/>
      </c>
      <c r="K435" s="179"/>
      <c r="L435" s="184"/>
      <c r="M435" s="183"/>
    </row>
    <row r="436" spans="2:13" x14ac:dyDescent="0.35">
      <c r="B436" s="177" t="str">
        <f>IF(Lançamentos!$B431="","",Lançamentos!$B431)</f>
        <v/>
      </c>
      <c r="C436" s="178" t="str">
        <f>IF($B436="","",IFERROR(INDEX(Lançamentos!$J$3:$J$1001,MATCH($B436,Lançamentos!$B$3:$B$1001,0)),""))</f>
        <v/>
      </c>
      <c r="D436" s="179" t="str">
        <f>IF($B436="","",IFERROR(INDEX('E2 — Triagem'!$D$8:$D$507,MATCH($B436,'E2 — Triagem'!$B$8:$B$507,0)),""))</f>
        <v/>
      </c>
      <c r="E436" s="179"/>
      <c r="F436" s="179"/>
      <c r="G436" s="179"/>
      <c r="H436" s="179"/>
      <c r="I436" s="179"/>
      <c r="J436" s="184" t="str">
        <f t="shared" si="7"/>
        <v/>
      </c>
      <c r="K436" s="179"/>
      <c r="L436" s="184"/>
      <c r="M436" s="183"/>
    </row>
    <row r="437" spans="2:13" x14ac:dyDescent="0.35">
      <c r="B437" s="177" t="str">
        <f>IF(Lançamentos!$B432="","",Lançamentos!$B432)</f>
        <v/>
      </c>
      <c r="C437" s="178" t="str">
        <f>IF($B437="","",IFERROR(INDEX(Lançamentos!$J$3:$J$1001,MATCH($B437,Lançamentos!$B$3:$B$1001,0)),""))</f>
        <v/>
      </c>
      <c r="D437" s="179" t="str">
        <f>IF($B437="","",IFERROR(INDEX('E2 — Triagem'!$D$8:$D$507,MATCH($B437,'E2 — Triagem'!$B$8:$B$507,0)),""))</f>
        <v/>
      </c>
      <c r="E437" s="179"/>
      <c r="F437" s="179"/>
      <c r="G437" s="179"/>
      <c r="H437" s="179"/>
      <c r="I437" s="179"/>
      <c r="J437" s="184" t="str">
        <f t="shared" si="7"/>
        <v/>
      </c>
      <c r="K437" s="179"/>
      <c r="L437" s="184"/>
      <c r="M437" s="183"/>
    </row>
    <row r="438" spans="2:13" x14ac:dyDescent="0.35">
      <c r="B438" s="177" t="str">
        <f>IF(Lançamentos!$B433="","",Lançamentos!$B433)</f>
        <v/>
      </c>
      <c r="C438" s="178" t="str">
        <f>IF($B438="","",IFERROR(INDEX(Lançamentos!$J$3:$J$1001,MATCH($B438,Lançamentos!$B$3:$B$1001,0)),""))</f>
        <v/>
      </c>
      <c r="D438" s="179" t="str">
        <f>IF($B438="","",IFERROR(INDEX('E2 — Triagem'!$D$8:$D$507,MATCH($B438,'E2 — Triagem'!$B$8:$B$507,0)),""))</f>
        <v/>
      </c>
      <c r="E438" s="179"/>
      <c r="F438" s="179"/>
      <c r="G438" s="179"/>
      <c r="H438" s="179"/>
      <c r="I438" s="179"/>
      <c r="J438" s="184" t="str">
        <f t="shared" si="7"/>
        <v/>
      </c>
      <c r="K438" s="179"/>
      <c r="L438" s="184"/>
      <c r="M438" s="183"/>
    </row>
    <row r="439" spans="2:13" x14ac:dyDescent="0.35">
      <c r="B439" s="177" t="str">
        <f>IF(Lançamentos!$B434="","",Lançamentos!$B434)</f>
        <v/>
      </c>
      <c r="C439" s="178" t="str">
        <f>IF($B439="","",IFERROR(INDEX(Lançamentos!$J$3:$J$1001,MATCH($B439,Lançamentos!$B$3:$B$1001,0)),""))</f>
        <v/>
      </c>
      <c r="D439" s="179" t="str">
        <f>IF($B439="","",IFERROR(INDEX('E2 — Triagem'!$D$8:$D$507,MATCH($B439,'E2 — Triagem'!$B$8:$B$507,0)),""))</f>
        <v/>
      </c>
      <c r="E439" s="179"/>
      <c r="F439" s="179"/>
      <c r="G439" s="179"/>
      <c r="H439" s="179"/>
      <c r="I439" s="179"/>
      <c r="J439" s="184" t="str">
        <f t="shared" si="7"/>
        <v/>
      </c>
      <c r="K439" s="179"/>
      <c r="L439" s="184"/>
      <c r="M439" s="183"/>
    </row>
    <row r="440" spans="2:13" x14ac:dyDescent="0.35">
      <c r="B440" s="177" t="str">
        <f>IF(Lançamentos!$B435="","",Lançamentos!$B435)</f>
        <v/>
      </c>
      <c r="C440" s="178" t="str">
        <f>IF($B440="","",IFERROR(INDEX(Lançamentos!$J$3:$J$1001,MATCH($B440,Lançamentos!$B$3:$B$1001,0)),""))</f>
        <v/>
      </c>
      <c r="D440" s="179" t="str">
        <f>IF($B440="","",IFERROR(INDEX('E2 — Triagem'!$D$8:$D$507,MATCH($B440,'E2 — Triagem'!$B$8:$B$507,0)),""))</f>
        <v/>
      </c>
      <c r="E440" s="179"/>
      <c r="F440" s="179"/>
      <c r="G440" s="179"/>
      <c r="H440" s="179"/>
      <c r="I440" s="179"/>
      <c r="J440" s="184" t="str">
        <f t="shared" si="7"/>
        <v/>
      </c>
      <c r="K440" s="179"/>
      <c r="L440" s="184"/>
      <c r="M440" s="183"/>
    </row>
    <row r="441" spans="2:13" x14ac:dyDescent="0.35">
      <c r="B441" s="177" t="str">
        <f>IF(Lançamentos!$B436="","",Lançamentos!$B436)</f>
        <v/>
      </c>
      <c r="C441" s="178" t="str">
        <f>IF($B441="","",IFERROR(INDEX(Lançamentos!$J$3:$J$1001,MATCH($B441,Lançamentos!$B$3:$B$1001,0)),""))</f>
        <v/>
      </c>
      <c r="D441" s="179" t="str">
        <f>IF($B441="","",IFERROR(INDEX('E2 — Triagem'!$D$8:$D$507,MATCH($B441,'E2 — Triagem'!$B$8:$B$507,0)),""))</f>
        <v/>
      </c>
      <c r="E441" s="179"/>
      <c r="F441" s="179"/>
      <c r="G441" s="179"/>
      <c r="H441" s="179"/>
      <c r="I441" s="179"/>
      <c r="J441" s="184" t="str">
        <f t="shared" si="7"/>
        <v/>
      </c>
      <c r="K441" s="179"/>
      <c r="L441" s="184"/>
      <c r="M441" s="183"/>
    </row>
    <row r="442" spans="2:13" x14ac:dyDescent="0.35">
      <c r="B442" s="177" t="str">
        <f>IF(Lançamentos!$B437="","",Lançamentos!$B437)</f>
        <v/>
      </c>
      <c r="C442" s="178" t="str">
        <f>IF($B442="","",IFERROR(INDEX(Lançamentos!$J$3:$J$1001,MATCH($B442,Lançamentos!$B$3:$B$1001,0)),""))</f>
        <v/>
      </c>
      <c r="D442" s="179" t="str">
        <f>IF($B442="","",IFERROR(INDEX('E2 — Triagem'!$D$8:$D$507,MATCH($B442,'E2 — Triagem'!$B$8:$B$507,0)),""))</f>
        <v/>
      </c>
      <c r="E442" s="179"/>
      <c r="F442" s="179"/>
      <c r="G442" s="179"/>
      <c r="H442" s="179"/>
      <c r="I442" s="179"/>
      <c r="J442" s="184" t="str">
        <f t="shared" si="7"/>
        <v/>
      </c>
      <c r="K442" s="179"/>
      <c r="L442" s="184"/>
      <c r="M442" s="183"/>
    </row>
    <row r="443" spans="2:13" x14ac:dyDescent="0.35">
      <c r="B443" s="177" t="str">
        <f>IF(Lançamentos!$B438="","",Lançamentos!$B438)</f>
        <v/>
      </c>
      <c r="C443" s="178" t="str">
        <f>IF($B443="","",IFERROR(INDEX(Lançamentos!$J$3:$J$1001,MATCH($B443,Lançamentos!$B$3:$B$1001,0)),""))</f>
        <v/>
      </c>
      <c r="D443" s="179" t="str">
        <f>IF($B443="","",IFERROR(INDEX('E2 — Triagem'!$D$8:$D$507,MATCH($B443,'E2 — Triagem'!$B$8:$B$507,0)),""))</f>
        <v/>
      </c>
      <c r="E443" s="179"/>
      <c r="F443" s="179"/>
      <c r="G443" s="179"/>
      <c r="H443" s="179"/>
      <c r="I443" s="179"/>
      <c r="J443" s="184" t="str">
        <f t="shared" si="7"/>
        <v/>
      </c>
      <c r="K443" s="179"/>
      <c r="L443" s="184"/>
      <c r="M443" s="183"/>
    </row>
    <row r="444" spans="2:13" x14ac:dyDescent="0.35">
      <c r="B444" s="177" t="str">
        <f>IF(Lançamentos!$B439="","",Lançamentos!$B439)</f>
        <v/>
      </c>
      <c r="C444" s="178" t="str">
        <f>IF($B444="","",IFERROR(INDEX(Lançamentos!$J$3:$J$1001,MATCH($B444,Lançamentos!$B$3:$B$1001,0)),""))</f>
        <v/>
      </c>
      <c r="D444" s="179" t="str">
        <f>IF($B444="","",IFERROR(INDEX('E2 — Triagem'!$D$8:$D$507,MATCH($B444,'E2 — Triagem'!$B$8:$B$507,0)),""))</f>
        <v/>
      </c>
      <c r="E444" s="179"/>
      <c r="F444" s="179"/>
      <c r="G444" s="179"/>
      <c r="H444" s="179"/>
      <c r="I444" s="179"/>
      <c r="J444" s="184" t="str">
        <f t="shared" si="7"/>
        <v/>
      </c>
      <c r="K444" s="179"/>
      <c r="L444" s="184"/>
      <c r="M444" s="183"/>
    </row>
    <row r="445" spans="2:13" x14ac:dyDescent="0.35">
      <c r="B445" s="177" t="str">
        <f>IF(Lançamentos!$B440="","",Lançamentos!$B440)</f>
        <v/>
      </c>
      <c r="C445" s="178" t="str">
        <f>IF($B445="","",IFERROR(INDEX(Lançamentos!$J$3:$J$1001,MATCH($B445,Lançamentos!$B$3:$B$1001,0)),""))</f>
        <v/>
      </c>
      <c r="D445" s="179" t="str">
        <f>IF($B445="","",IFERROR(INDEX('E2 — Triagem'!$D$8:$D$507,MATCH($B445,'E2 — Triagem'!$B$8:$B$507,0)),""))</f>
        <v/>
      </c>
      <c r="E445" s="179"/>
      <c r="F445" s="179"/>
      <c r="G445" s="179"/>
      <c r="H445" s="179"/>
      <c r="I445" s="179"/>
      <c r="J445" s="184" t="str">
        <f t="shared" si="7"/>
        <v/>
      </c>
      <c r="K445" s="179"/>
      <c r="L445" s="184"/>
      <c r="M445" s="183"/>
    </row>
    <row r="446" spans="2:13" x14ac:dyDescent="0.35">
      <c r="B446" s="177" t="str">
        <f>IF(Lançamentos!$B441="","",Lançamentos!$B441)</f>
        <v/>
      </c>
      <c r="C446" s="178" t="str">
        <f>IF($B446="","",IFERROR(INDEX(Lançamentos!$J$3:$J$1001,MATCH($B446,Lançamentos!$B$3:$B$1001,0)),""))</f>
        <v/>
      </c>
      <c r="D446" s="179" t="str">
        <f>IF($B446="","",IFERROR(INDEX('E2 — Triagem'!$D$8:$D$507,MATCH($B446,'E2 — Triagem'!$B$8:$B$507,0)),""))</f>
        <v/>
      </c>
      <c r="E446" s="179"/>
      <c r="F446" s="179"/>
      <c r="G446" s="179"/>
      <c r="H446" s="179"/>
      <c r="I446" s="179"/>
      <c r="J446" s="184" t="str">
        <f t="shared" si="7"/>
        <v/>
      </c>
      <c r="K446" s="179"/>
      <c r="L446" s="184"/>
      <c r="M446" s="183"/>
    </row>
    <row r="447" spans="2:13" x14ac:dyDescent="0.35">
      <c r="B447" s="177" t="str">
        <f>IF(Lançamentos!$B442="","",Lançamentos!$B442)</f>
        <v/>
      </c>
      <c r="C447" s="178" t="str">
        <f>IF($B447="","",IFERROR(INDEX(Lançamentos!$J$3:$J$1001,MATCH($B447,Lançamentos!$B$3:$B$1001,0)),""))</f>
        <v/>
      </c>
      <c r="D447" s="179" t="str">
        <f>IF($B447="","",IFERROR(INDEX('E2 — Triagem'!$D$8:$D$507,MATCH($B447,'E2 — Triagem'!$B$8:$B$507,0)),""))</f>
        <v/>
      </c>
      <c r="E447" s="179"/>
      <c r="F447" s="179"/>
      <c r="G447" s="179"/>
      <c r="H447" s="179"/>
      <c r="I447" s="179"/>
      <c r="J447" s="184" t="str">
        <f t="shared" si="7"/>
        <v/>
      </c>
      <c r="K447" s="179"/>
      <c r="L447" s="184"/>
      <c r="M447" s="183"/>
    </row>
    <row r="448" spans="2:13" x14ac:dyDescent="0.35">
      <c r="B448" s="177" t="str">
        <f>IF(Lançamentos!$B443="","",Lançamentos!$B443)</f>
        <v/>
      </c>
      <c r="C448" s="178" t="str">
        <f>IF($B448="","",IFERROR(INDEX(Lançamentos!$J$3:$J$1001,MATCH($B448,Lançamentos!$B$3:$B$1001,0)),""))</f>
        <v/>
      </c>
      <c r="D448" s="179" t="str">
        <f>IF($B448="","",IFERROR(INDEX('E2 — Triagem'!$D$8:$D$507,MATCH($B448,'E2 — Triagem'!$B$8:$B$507,0)),""))</f>
        <v/>
      </c>
      <c r="E448" s="179"/>
      <c r="F448" s="179"/>
      <c r="G448" s="179"/>
      <c r="H448" s="179"/>
      <c r="I448" s="179"/>
      <c r="J448" s="184" t="str">
        <f t="shared" si="7"/>
        <v/>
      </c>
      <c r="K448" s="179"/>
      <c r="L448" s="184"/>
      <c r="M448" s="183"/>
    </row>
    <row r="449" spans="2:13" x14ac:dyDescent="0.35">
      <c r="B449" s="177" t="str">
        <f>IF(Lançamentos!$B444="","",Lançamentos!$B444)</f>
        <v/>
      </c>
      <c r="C449" s="178" t="str">
        <f>IF($B449="","",IFERROR(INDEX(Lançamentos!$J$3:$J$1001,MATCH($B449,Lançamentos!$B$3:$B$1001,0)),""))</f>
        <v/>
      </c>
      <c r="D449" s="179" t="str">
        <f>IF($B449="","",IFERROR(INDEX('E2 — Triagem'!$D$8:$D$507,MATCH($B449,'E2 — Triagem'!$B$8:$B$507,0)),""))</f>
        <v/>
      </c>
      <c r="E449" s="179"/>
      <c r="F449" s="179"/>
      <c r="G449" s="179"/>
      <c r="H449" s="179"/>
      <c r="I449" s="179"/>
      <c r="J449" s="184" t="str">
        <f t="shared" si="7"/>
        <v/>
      </c>
      <c r="K449" s="179"/>
      <c r="L449" s="184"/>
      <c r="M449" s="183"/>
    </row>
    <row r="450" spans="2:13" x14ac:dyDescent="0.35">
      <c r="B450" s="177" t="str">
        <f>IF(Lançamentos!$B445="","",Lançamentos!$B445)</f>
        <v/>
      </c>
      <c r="C450" s="178" t="str">
        <f>IF($B450="","",IFERROR(INDEX(Lançamentos!$J$3:$J$1001,MATCH($B450,Lançamentos!$B$3:$B$1001,0)),""))</f>
        <v/>
      </c>
      <c r="D450" s="179" t="str">
        <f>IF($B450="","",IFERROR(INDEX('E2 — Triagem'!$D$8:$D$507,MATCH($B450,'E2 — Triagem'!$B$8:$B$507,0)),""))</f>
        <v/>
      </c>
      <c r="E450" s="179"/>
      <c r="F450" s="179"/>
      <c r="G450" s="179"/>
      <c r="H450" s="179"/>
      <c r="I450" s="179"/>
      <c r="J450" s="184" t="str">
        <f t="shared" si="7"/>
        <v/>
      </c>
      <c r="K450" s="179"/>
      <c r="L450" s="184"/>
      <c r="M450" s="183"/>
    </row>
    <row r="451" spans="2:13" x14ac:dyDescent="0.35">
      <c r="B451" s="177" t="str">
        <f>IF(Lançamentos!$B446="","",Lançamentos!$B446)</f>
        <v/>
      </c>
      <c r="C451" s="178" t="str">
        <f>IF($B451="","",IFERROR(INDEX(Lançamentos!$J$3:$J$1001,MATCH($B451,Lançamentos!$B$3:$B$1001,0)),""))</f>
        <v/>
      </c>
      <c r="D451" s="179" t="str">
        <f>IF($B451="","",IFERROR(INDEX('E2 — Triagem'!$D$8:$D$507,MATCH($B451,'E2 — Triagem'!$B$8:$B$507,0)),""))</f>
        <v/>
      </c>
      <c r="E451" s="179"/>
      <c r="F451" s="179"/>
      <c r="G451" s="179"/>
      <c r="H451" s="179"/>
      <c r="I451" s="179"/>
      <c r="J451" s="184" t="str">
        <f t="shared" si="7"/>
        <v/>
      </c>
      <c r="K451" s="179"/>
      <c r="L451" s="184"/>
      <c r="M451" s="183"/>
    </row>
    <row r="452" spans="2:13" x14ac:dyDescent="0.35">
      <c r="B452" s="177" t="str">
        <f>IF(Lançamentos!$B447="","",Lançamentos!$B447)</f>
        <v/>
      </c>
      <c r="C452" s="178" t="str">
        <f>IF($B452="","",IFERROR(INDEX(Lançamentos!$J$3:$J$1001,MATCH($B452,Lançamentos!$B$3:$B$1001,0)),""))</f>
        <v/>
      </c>
      <c r="D452" s="179" t="str">
        <f>IF($B452="","",IFERROR(INDEX('E2 — Triagem'!$D$8:$D$507,MATCH($B452,'E2 — Triagem'!$B$8:$B$507,0)),""))</f>
        <v/>
      </c>
      <c r="E452" s="179"/>
      <c r="F452" s="179"/>
      <c r="G452" s="179"/>
      <c r="H452" s="179"/>
      <c r="I452" s="179"/>
      <c r="J452" s="184" t="str">
        <f t="shared" si="7"/>
        <v/>
      </c>
      <c r="K452" s="179"/>
      <c r="L452" s="184"/>
      <c r="M452" s="183"/>
    </row>
    <row r="453" spans="2:13" x14ac:dyDescent="0.35">
      <c r="B453" s="177" t="str">
        <f>IF(Lançamentos!$B448="","",Lançamentos!$B448)</f>
        <v/>
      </c>
      <c r="C453" s="178" t="str">
        <f>IF($B453="","",IFERROR(INDEX(Lançamentos!$J$3:$J$1001,MATCH($B453,Lançamentos!$B$3:$B$1001,0)),""))</f>
        <v/>
      </c>
      <c r="D453" s="179" t="str">
        <f>IF($B453="","",IFERROR(INDEX('E2 — Triagem'!$D$8:$D$507,MATCH($B453,'E2 — Triagem'!$B$8:$B$507,0)),""))</f>
        <v/>
      </c>
      <c r="E453" s="179"/>
      <c r="F453" s="179"/>
      <c r="G453" s="179"/>
      <c r="H453" s="179"/>
      <c r="I453" s="179"/>
      <c r="J453" s="184" t="str">
        <f t="shared" si="7"/>
        <v/>
      </c>
      <c r="K453" s="179"/>
      <c r="L453" s="184"/>
      <c r="M453" s="183"/>
    </row>
    <row r="454" spans="2:13" x14ac:dyDescent="0.35">
      <c r="B454" s="177" t="str">
        <f>IF(Lançamentos!$B449="","",Lançamentos!$B449)</f>
        <v/>
      </c>
      <c r="C454" s="178" t="str">
        <f>IF($B454="","",IFERROR(INDEX(Lançamentos!$J$3:$J$1001,MATCH($B454,Lançamentos!$B$3:$B$1001,0)),""))</f>
        <v/>
      </c>
      <c r="D454" s="179" t="str">
        <f>IF($B454="","",IFERROR(INDEX('E2 — Triagem'!$D$8:$D$507,MATCH($B454,'E2 — Triagem'!$B$8:$B$507,0)),""))</f>
        <v/>
      </c>
      <c r="E454" s="179"/>
      <c r="F454" s="179"/>
      <c r="G454" s="179"/>
      <c r="H454" s="179"/>
      <c r="I454" s="179"/>
      <c r="J454" s="184" t="str">
        <f t="shared" si="7"/>
        <v/>
      </c>
      <c r="K454" s="179"/>
      <c r="L454" s="184"/>
      <c r="M454" s="183"/>
    </row>
    <row r="455" spans="2:13" x14ac:dyDescent="0.35">
      <c r="B455" s="177" t="str">
        <f>IF(Lançamentos!$B450="","",Lançamentos!$B450)</f>
        <v/>
      </c>
      <c r="C455" s="178" t="str">
        <f>IF($B455="","",IFERROR(INDEX(Lançamentos!$J$3:$J$1001,MATCH($B455,Lançamentos!$B$3:$B$1001,0)),""))</f>
        <v/>
      </c>
      <c r="D455" s="179" t="str">
        <f>IF($B455="","",IFERROR(INDEX('E2 — Triagem'!$D$8:$D$507,MATCH($B455,'E2 — Triagem'!$B$8:$B$507,0)),""))</f>
        <v/>
      </c>
      <c r="E455" s="179"/>
      <c r="F455" s="179"/>
      <c r="G455" s="179"/>
      <c r="H455" s="179"/>
      <c r="I455" s="179"/>
      <c r="J455" s="184" t="str">
        <f t="shared" si="7"/>
        <v/>
      </c>
      <c r="K455" s="179"/>
      <c r="L455" s="184"/>
      <c r="M455" s="183"/>
    </row>
    <row r="456" spans="2:13" x14ac:dyDescent="0.35">
      <c r="B456" s="177" t="str">
        <f>IF(Lançamentos!$B451="","",Lançamentos!$B451)</f>
        <v/>
      </c>
      <c r="C456" s="178" t="str">
        <f>IF($B456="","",IFERROR(INDEX(Lançamentos!$J$3:$J$1001,MATCH($B456,Lançamentos!$B$3:$B$1001,0)),""))</f>
        <v/>
      </c>
      <c r="D456" s="179" t="str">
        <f>IF($B456="","",IFERROR(INDEX('E2 — Triagem'!$D$8:$D$507,MATCH($B456,'E2 — Triagem'!$B$8:$B$507,0)),""))</f>
        <v/>
      </c>
      <c r="E456" s="179"/>
      <c r="F456" s="179"/>
      <c r="G456" s="179"/>
      <c r="H456" s="179"/>
      <c r="I456" s="179"/>
      <c r="J456" s="184" t="str">
        <f t="shared" si="7"/>
        <v/>
      </c>
      <c r="K456" s="179"/>
      <c r="L456" s="184"/>
      <c r="M456" s="183"/>
    </row>
    <row r="457" spans="2:13" x14ac:dyDescent="0.35">
      <c r="B457" s="177" t="str">
        <f>IF(Lançamentos!$B452="","",Lançamentos!$B452)</f>
        <v/>
      </c>
      <c r="C457" s="178" t="str">
        <f>IF($B457="","",IFERROR(INDEX(Lançamentos!$J$3:$J$1001,MATCH($B457,Lançamentos!$B$3:$B$1001,0)),""))</f>
        <v/>
      </c>
      <c r="D457" s="179" t="str">
        <f>IF($B457="","",IFERROR(INDEX('E2 — Triagem'!$D$8:$D$507,MATCH($B457,'E2 — Triagem'!$B$8:$B$507,0)),""))</f>
        <v/>
      </c>
      <c r="E457" s="179"/>
      <c r="F457" s="179"/>
      <c r="G457" s="179"/>
      <c r="H457" s="179"/>
      <c r="I457" s="179"/>
      <c r="J457" s="184" t="str">
        <f t="shared" si="7"/>
        <v/>
      </c>
      <c r="K457" s="179"/>
      <c r="L457" s="184"/>
      <c r="M457" s="183"/>
    </row>
    <row r="458" spans="2:13" x14ac:dyDescent="0.35">
      <c r="B458" s="177" t="str">
        <f>IF(Lançamentos!$B453="","",Lançamentos!$B453)</f>
        <v/>
      </c>
      <c r="C458" s="178" t="str">
        <f>IF($B458="","",IFERROR(INDEX(Lançamentos!$J$3:$J$1001,MATCH($B458,Lançamentos!$B$3:$B$1001,0)),""))</f>
        <v/>
      </c>
      <c r="D458" s="179" t="str">
        <f>IF($B458="","",IFERROR(INDEX('E2 — Triagem'!$D$8:$D$507,MATCH($B458,'E2 — Triagem'!$B$8:$B$507,0)),""))</f>
        <v/>
      </c>
      <c r="E458" s="179"/>
      <c r="F458" s="179"/>
      <c r="G458" s="179"/>
      <c r="H458" s="179"/>
      <c r="I458" s="179"/>
      <c r="J458" s="184" t="str">
        <f t="shared" si="7"/>
        <v/>
      </c>
      <c r="K458" s="179"/>
      <c r="L458" s="184"/>
      <c r="M458" s="183"/>
    </row>
    <row r="459" spans="2:13" x14ac:dyDescent="0.35">
      <c r="B459" s="177" t="str">
        <f>IF(Lançamentos!$B454="","",Lançamentos!$B454)</f>
        <v/>
      </c>
      <c r="C459" s="178" t="str">
        <f>IF($B459="","",IFERROR(INDEX(Lançamentos!$J$3:$J$1001,MATCH($B459,Lançamentos!$B$3:$B$1001,0)),""))</f>
        <v/>
      </c>
      <c r="D459" s="179" t="str">
        <f>IF($B459="","",IFERROR(INDEX('E2 — Triagem'!$D$8:$D$507,MATCH($B459,'E2 — Triagem'!$B$8:$B$507,0)),""))</f>
        <v/>
      </c>
      <c r="E459" s="179"/>
      <c r="F459" s="179"/>
      <c r="G459" s="179"/>
      <c r="H459" s="179"/>
      <c r="I459" s="179"/>
      <c r="J459" s="184" t="str">
        <f t="shared" si="7"/>
        <v/>
      </c>
      <c r="K459" s="179"/>
      <c r="L459" s="184"/>
      <c r="M459" s="183"/>
    </row>
    <row r="460" spans="2:13" x14ac:dyDescent="0.35">
      <c r="B460" s="177" t="str">
        <f>IF(Lançamentos!$B455="","",Lançamentos!$B455)</f>
        <v/>
      </c>
      <c r="C460" s="178" t="str">
        <f>IF($B460="","",IFERROR(INDEX(Lançamentos!$J$3:$J$1001,MATCH($B460,Lançamentos!$B$3:$B$1001,0)),""))</f>
        <v/>
      </c>
      <c r="D460" s="179" t="str">
        <f>IF($B460="","",IFERROR(INDEX('E2 — Triagem'!$D$8:$D$507,MATCH($B460,'E2 — Triagem'!$B$8:$B$507,0)),""))</f>
        <v/>
      </c>
      <c r="E460" s="179"/>
      <c r="F460" s="179"/>
      <c r="G460" s="179"/>
      <c r="H460" s="179"/>
      <c r="I460" s="179"/>
      <c r="J460" s="184" t="str">
        <f t="shared" si="7"/>
        <v/>
      </c>
      <c r="K460" s="179"/>
      <c r="L460" s="184"/>
      <c r="M460" s="183"/>
    </row>
    <row r="461" spans="2:13" x14ac:dyDescent="0.35">
      <c r="B461" s="177" t="str">
        <f>IF(Lançamentos!$B456="","",Lançamentos!$B456)</f>
        <v/>
      </c>
      <c r="C461" s="178" t="str">
        <f>IF($B461="","",IFERROR(INDEX(Lançamentos!$J$3:$J$1001,MATCH($B461,Lançamentos!$B$3:$B$1001,0)),""))</f>
        <v/>
      </c>
      <c r="D461" s="179" t="str">
        <f>IF($B461="","",IFERROR(INDEX('E2 — Triagem'!$D$8:$D$507,MATCH($B461,'E2 — Triagem'!$B$8:$B$507,0)),""))</f>
        <v/>
      </c>
      <c r="E461" s="179"/>
      <c r="F461" s="179"/>
      <c r="G461" s="179"/>
      <c r="H461" s="179"/>
      <c r="I461" s="179"/>
      <c r="J461" s="184" t="str">
        <f t="shared" si="7"/>
        <v/>
      </c>
      <c r="K461" s="179"/>
      <c r="L461" s="184"/>
      <c r="M461" s="183"/>
    </row>
    <row r="462" spans="2:13" x14ac:dyDescent="0.35">
      <c r="B462" s="177" t="str">
        <f>IF(Lançamentos!$B457="","",Lançamentos!$B457)</f>
        <v/>
      </c>
      <c r="C462" s="178" t="str">
        <f>IF($B462="","",IFERROR(INDEX(Lançamentos!$J$3:$J$1001,MATCH($B462,Lançamentos!$B$3:$B$1001,0)),""))</f>
        <v/>
      </c>
      <c r="D462" s="179" t="str">
        <f>IF($B462="","",IFERROR(INDEX('E2 — Triagem'!$D$8:$D$507,MATCH($B462,'E2 — Triagem'!$B$8:$B$507,0)),""))</f>
        <v/>
      </c>
      <c r="E462" s="179"/>
      <c r="F462" s="179"/>
      <c r="G462" s="179"/>
      <c r="H462" s="179"/>
      <c r="I462" s="179"/>
      <c r="J462" s="184" t="str">
        <f t="shared" si="7"/>
        <v/>
      </c>
      <c r="K462" s="179"/>
      <c r="L462" s="184"/>
      <c r="M462" s="183"/>
    </row>
    <row r="463" spans="2:13" x14ac:dyDescent="0.35">
      <c r="B463" s="177" t="str">
        <f>IF(Lançamentos!$B458="","",Lançamentos!$B458)</f>
        <v/>
      </c>
      <c r="C463" s="178" t="str">
        <f>IF($B463="","",IFERROR(INDEX(Lançamentos!$J$3:$J$1001,MATCH($B463,Lançamentos!$B$3:$B$1001,0)),""))</f>
        <v/>
      </c>
      <c r="D463" s="179" t="str">
        <f>IF($B463="","",IFERROR(INDEX('E2 — Triagem'!$D$8:$D$507,MATCH($B463,'E2 — Triagem'!$B$8:$B$507,0)),""))</f>
        <v/>
      </c>
      <c r="E463" s="179"/>
      <c r="F463" s="179"/>
      <c r="G463" s="179"/>
      <c r="H463" s="179"/>
      <c r="I463" s="179"/>
      <c r="J463" s="184" t="str">
        <f t="shared" si="7"/>
        <v/>
      </c>
      <c r="K463" s="179"/>
      <c r="L463" s="184"/>
      <c r="M463" s="183"/>
    </row>
    <row r="464" spans="2:13" x14ac:dyDescent="0.35">
      <c r="B464" s="177" t="str">
        <f>IF(Lançamentos!$B459="","",Lançamentos!$B459)</f>
        <v/>
      </c>
      <c r="C464" s="178" t="str">
        <f>IF($B464="","",IFERROR(INDEX(Lançamentos!$J$3:$J$1001,MATCH($B464,Lançamentos!$B$3:$B$1001,0)),""))</f>
        <v/>
      </c>
      <c r="D464" s="179" t="str">
        <f>IF($B464="","",IFERROR(INDEX('E2 — Triagem'!$D$8:$D$507,MATCH($B464,'E2 — Triagem'!$B$8:$B$507,0)),""))</f>
        <v/>
      </c>
      <c r="E464" s="179"/>
      <c r="F464" s="179"/>
      <c r="G464" s="179"/>
      <c r="H464" s="179"/>
      <c r="I464" s="179"/>
      <c r="J464" s="184" t="str">
        <f t="shared" ref="J464:J507" si="8">IF(B464="","",IF(COUNTIF(E464:I464,"N/A")=5,0,IF(COUNTIF(E464:I464,"✔ Concluído")=5,1,MIN(99%,COUNTIF(E464:I464,"✔ Concluído")/(5-COUNTIF(E464:I464,"N/A"))))))</f>
        <v/>
      </c>
      <c r="K464" s="179"/>
      <c r="L464" s="184"/>
      <c r="M464" s="183"/>
    </row>
    <row r="465" spans="2:13" x14ac:dyDescent="0.35">
      <c r="B465" s="177" t="str">
        <f>IF(Lançamentos!$B460="","",Lançamentos!$B460)</f>
        <v/>
      </c>
      <c r="C465" s="178" t="str">
        <f>IF($B465="","",IFERROR(INDEX(Lançamentos!$J$3:$J$1001,MATCH($B465,Lançamentos!$B$3:$B$1001,0)),""))</f>
        <v/>
      </c>
      <c r="D465" s="179" t="str">
        <f>IF($B465="","",IFERROR(INDEX('E2 — Triagem'!$D$8:$D$507,MATCH($B465,'E2 — Triagem'!$B$8:$B$507,0)),""))</f>
        <v/>
      </c>
      <c r="E465" s="179"/>
      <c r="F465" s="179"/>
      <c r="G465" s="179"/>
      <c r="H465" s="179"/>
      <c r="I465" s="179"/>
      <c r="J465" s="184" t="str">
        <f t="shared" si="8"/>
        <v/>
      </c>
      <c r="K465" s="179"/>
      <c r="L465" s="184"/>
      <c r="M465" s="183"/>
    </row>
    <row r="466" spans="2:13" x14ac:dyDescent="0.35">
      <c r="B466" s="177" t="str">
        <f>IF(Lançamentos!$B461="","",Lançamentos!$B461)</f>
        <v/>
      </c>
      <c r="C466" s="178" t="str">
        <f>IF($B466="","",IFERROR(INDEX(Lançamentos!$J$3:$J$1001,MATCH($B466,Lançamentos!$B$3:$B$1001,0)),""))</f>
        <v/>
      </c>
      <c r="D466" s="179" t="str">
        <f>IF($B466="","",IFERROR(INDEX('E2 — Triagem'!$D$8:$D$507,MATCH($B466,'E2 — Triagem'!$B$8:$B$507,0)),""))</f>
        <v/>
      </c>
      <c r="E466" s="179"/>
      <c r="F466" s="179"/>
      <c r="G466" s="179"/>
      <c r="H466" s="179"/>
      <c r="I466" s="179"/>
      <c r="J466" s="184" t="str">
        <f t="shared" si="8"/>
        <v/>
      </c>
      <c r="K466" s="179"/>
      <c r="L466" s="184"/>
      <c r="M466" s="183"/>
    </row>
    <row r="467" spans="2:13" x14ac:dyDescent="0.35">
      <c r="B467" s="177" t="str">
        <f>IF(Lançamentos!$B462="","",Lançamentos!$B462)</f>
        <v/>
      </c>
      <c r="C467" s="178" t="str">
        <f>IF($B467="","",IFERROR(INDEX(Lançamentos!$J$3:$J$1001,MATCH($B467,Lançamentos!$B$3:$B$1001,0)),""))</f>
        <v/>
      </c>
      <c r="D467" s="179" t="str">
        <f>IF($B467="","",IFERROR(INDEX('E2 — Triagem'!$D$8:$D$507,MATCH($B467,'E2 — Triagem'!$B$8:$B$507,0)),""))</f>
        <v/>
      </c>
      <c r="E467" s="179"/>
      <c r="F467" s="179"/>
      <c r="G467" s="179"/>
      <c r="H467" s="179"/>
      <c r="I467" s="179"/>
      <c r="J467" s="184" t="str">
        <f t="shared" si="8"/>
        <v/>
      </c>
      <c r="K467" s="179"/>
      <c r="L467" s="184"/>
      <c r="M467" s="183"/>
    </row>
    <row r="468" spans="2:13" x14ac:dyDescent="0.35">
      <c r="B468" s="177" t="str">
        <f>IF(Lançamentos!$B463="","",Lançamentos!$B463)</f>
        <v/>
      </c>
      <c r="C468" s="178" t="str">
        <f>IF($B468="","",IFERROR(INDEX(Lançamentos!$J$3:$J$1001,MATCH($B468,Lançamentos!$B$3:$B$1001,0)),""))</f>
        <v/>
      </c>
      <c r="D468" s="179" t="str">
        <f>IF($B468="","",IFERROR(INDEX('E2 — Triagem'!$D$8:$D$507,MATCH($B468,'E2 — Triagem'!$B$8:$B$507,0)),""))</f>
        <v/>
      </c>
      <c r="E468" s="179"/>
      <c r="F468" s="179"/>
      <c r="G468" s="179"/>
      <c r="H468" s="179"/>
      <c r="I468" s="179"/>
      <c r="J468" s="184" t="str">
        <f t="shared" si="8"/>
        <v/>
      </c>
      <c r="K468" s="179"/>
      <c r="L468" s="184"/>
      <c r="M468" s="183"/>
    </row>
    <row r="469" spans="2:13" x14ac:dyDescent="0.35">
      <c r="B469" s="177" t="str">
        <f>IF(Lançamentos!$B464="","",Lançamentos!$B464)</f>
        <v/>
      </c>
      <c r="C469" s="178" t="str">
        <f>IF($B469="","",IFERROR(INDEX(Lançamentos!$J$3:$J$1001,MATCH($B469,Lançamentos!$B$3:$B$1001,0)),""))</f>
        <v/>
      </c>
      <c r="D469" s="179" t="str">
        <f>IF($B469="","",IFERROR(INDEX('E2 — Triagem'!$D$8:$D$507,MATCH($B469,'E2 — Triagem'!$B$8:$B$507,0)),""))</f>
        <v/>
      </c>
      <c r="E469" s="179"/>
      <c r="F469" s="179"/>
      <c r="G469" s="179"/>
      <c r="H469" s="179"/>
      <c r="I469" s="179"/>
      <c r="J469" s="184" t="str">
        <f t="shared" si="8"/>
        <v/>
      </c>
      <c r="K469" s="179"/>
      <c r="L469" s="184"/>
      <c r="M469" s="183"/>
    </row>
    <row r="470" spans="2:13" x14ac:dyDescent="0.35">
      <c r="B470" s="177" t="str">
        <f>IF(Lançamentos!$B465="","",Lançamentos!$B465)</f>
        <v/>
      </c>
      <c r="C470" s="178" t="str">
        <f>IF($B470="","",IFERROR(INDEX(Lançamentos!$J$3:$J$1001,MATCH($B470,Lançamentos!$B$3:$B$1001,0)),""))</f>
        <v/>
      </c>
      <c r="D470" s="179" t="str">
        <f>IF($B470="","",IFERROR(INDEX('E2 — Triagem'!$D$8:$D$507,MATCH($B470,'E2 — Triagem'!$B$8:$B$507,0)),""))</f>
        <v/>
      </c>
      <c r="E470" s="179"/>
      <c r="F470" s="179"/>
      <c r="G470" s="179"/>
      <c r="H470" s="179"/>
      <c r="I470" s="179"/>
      <c r="J470" s="184" t="str">
        <f t="shared" si="8"/>
        <v/>
      </c>
      <c r="K470" s="179"/>
      <c r="L470" s="184"/>
      <c r="M470" s="183"/>
    </row>
    <row r="471" spans="2:13" x14ac:dyDescent="0.35">
      <c r="B471" s="177" t="str">
        <f>IF(Lançamentos!$B466="","",Lançamentos!$B466)</f>
        <v/>
      </c>
      <c r="C471" s="178" t="str">
        <f>IF($B471="","",IFERROR(INDEX(Lançamentos!$J$3:$J$1001,MATCH($B471,Lançamentos!$B$3:$B$1001,0)),""))</f>
        <v/>
      </c>
      <c r="D471" s="179" t="str">
        <f>IF($B471="","",IFERROR(INDEX('E2 — Triagem'!$D$8:$D$507,MATCH($B471,'E2 — Triagem'!$B$8:$B$507,0)),""))</f>
        <v/>
      </c>
      <c r="E471" s="179"/>
      <c r="F471" s="179"/>
      <c r="G471" s="179"/>
      <c r="H471" s="179"/>
      <c r="I471" s="179"/>
      <c r="J471" s="184" t="str">
        <f t="shared" si="8"/>
        <v/>
      </c>
      <c r="K471" s="179"/>
      <c r="L471" s="184"/>
      <c r="M471" s="183"/>
    </row>
    <row r="472" spans="2:13" x14ac:dyDescent="0.35">
      <c r="B472" s="177" t="str">
        <f>IF(Lançamentos!$B467="","",Lançamentos!$B467)</f>
        <v/>
      </c>
      <c r="C472" s="178" t="str">
        <f>IF($B472="","",IFERROR(INDEX(Lançamentos!$J$3:$J$1001,MATCH($B472,Lançamentos!$B$3:$B$1001,0)),""))</f>
        <v/>
      </c>
      <c r="D472" s="179" t="str">
        <f>IF($B472="","",IFERROR(INDEX('E2 — Triagem'!$D$8:$D$507,MATCH($B472,'E2 — Triagem'!$B$8:$B$507,0)),""))</f>
        <v/>
      </c>
      <c r="E472" s="179"/>
      <c r="F472" s="179"/>
      <c r="G472" s="179"/>
      <c r="H472" s="179"/>
      <c r="I472" s="179"/>
      <c r="J472" s="184" t="str">
        <f t="shared" si="8"/>
        <v/>
      </c>
      <c r="K472" s="179"/>
      <c r="L472" s="184"/>
      <c r="M472" s="183"/>
    </row>
    <row r="473" spans="2:13" x14ac:dyDescent="0.35">
      <c r="B473" s="177" t="str">
        <f>IF(Lançamentos!$B468="","",Lançamentos!$B468)</f>
        <v/>
      </c>
      <c r="C473" s="178" t="str">
        <f>IF($B473="","",IFERROR(INDEX(Lançamentos!$J$3:$J$1001,MATCH($B473,Lançamentos!$B$3:$B$1001,0)),""))</f>
        <v/>
      </c>
      <c r="D473" s="179" t="str">
        <f>IF($B473="","",IFERROR(INDEX('E2 — Triagem'!$D$8:$D$507,MATCH($B473,'E2 — Triagem'!$B$8:$B$507,0)),""))</f>
        <v/>
      </c>
      <c r="E473" s="179"/>
      <c r="F473" s="179"/>
      <c r="G473" s="179"/>
      <c r="H473" s="179"/>
      <c r="I473" s="179"/>
      <c r="J473" s="184" t="str">
        <f t="shared" si="8"/>
        <v/>
      </c>
      <c r="K473" s="179"/>
      <c r="L473" s="184"/>
      <c r="M473" s="183"/>
    </row>
    <row r="474" spans="2:13" x14ac:dyDescent="0.35">
      <c r="B474" s="177" t="str">
        <f>IF(Lançamentos!$B469="","",Lançamentos!$B469)</f>
        <v/>
      </c>
      <c r="C474" s="178" t="str">
        <f>IF($B474="","",IFERROR(INDEX(Lançamentos!$J$3:$J$1001,MATCH($B474,Lançamentos!$B$3:$B$1001,0)),""))</f>
        <v/>
      </c>
      <c r="D474" s="179" t="str">
        <f>IF($B474="","",IFERROR(INDEX('E2 — Triagem'!$D$8:$D$507,MATCH($B474,'E2 — Triagem'!$B$8:$B$507,0)),""))</f>
        <v/>
      </c>
      <c r="E474" s="179"/>
      <c r="F474" s="179"/>
      <c r="G474" s="179"/>
      <c r="H474" s="179"/>
      <c r="I474" s="179"/>
      <c r="J474" s="184" t="str">
        <f t="shared" si="8"/>
        <v/>
      </c>
      <c r="K474" s="179"/>
      <c r="L474" s="184"/>
      <c r="M474" s="183"/>
    </row>
    <row r="475" spans="2:13" x14ac:dyDescent="0.35">
      <c r="B475" s="177" t="str">
        <f>IF(Lançamentos!$B470="","",Lançamentos!$B470)</f>
        <v/>
      </c>
      <c r="C475" s="178" t="str">
        <f>IF($B475="","",IFERROR(INDEX(Lançamentos!$J$3:$J$1001,MATCH($B475,Lançamentos!$B$3:$B$1001,0)),""))</f>
        <v/>
      </c>
      <c r="D475" s="179" t="str">
        <f>IF($B475="","",IFERROR(INDEX('E2 — Triagem'!$D$8:$D$507,MATCH($B475,'E2 — Triagem'!$B$8:$B$507,0)),""))</f>
        <v/>
      </c>
      <c r="E475" s="179"/>
      <c r="F475" s="179"/>
      <c r="G475" s="179"/>
      <c r="H475" s="179"/>
      <c r="I475" s="179"/>
      <c r="J475" s="184" t="str">
        <f t="shared" si="8"/>
        <v/>
      </c>
      <c r="K475" s="179"/>
      <c r="L475" s="184"/>
      <c r="M475" s="183"/>
    </row>
    <row r="476" spans="2:13" x14ac:dyDescent="0.35">
      <c r="B476" s="177" t="str">
        <f>IF(Lançamentos!$B471="","",Lançamentos!$B471)</f>
        <v/>
      </c>
      <c r="C476" s="178" t="str">
        <f>IF($B476="","",IFERROR(INDEX(Lançamentos!$J$3:$J$1001,MATCH($B476,Lançamentos!$B$3:$B$1001,0)),""))</f>
        <v/>
      </c>
      <c r="D476" s="179" t="str">
        <f>IF($B476="","",IFERROR(INDEX('E2 — Triagem'!$D$8:$D$507,MATCH($B476,'E2 — Triagem'!$B$8:$B$507,0)),""))</f>
        <v/>
      </c>
      <c r="E476" s="179"/>
      <c r="F476" s="179"/>
      <c r="G476" s="179"/>
      <c r="H476" s="179"/>
      <c r="I476" s="179"/>
      <c r="J476" s="184" t="str">
        <f t="shared" si="8"/>
        <v/>
      </c>
      <c r="K476" s="179"/>
      <c r="L476" s="184"/>
      <c r="M476" s="183"/>
    </row>
    <row r="477" spans="2:13" x14ac:dyDescent="0.35">
      <c r="B477" s="177" t="str">
        <f>IF(Lançamentos!$B472="","",Lançamentos!$B472)</f>
        <v/>
      </c>
      <c r="C477" s="178" t="str">
        <f>IF($B477="","",IFERROR(INDEX(Lançamentos!$J$3:$J$1001,MATCH($B477,Lançamentos!$B$3:$B$1001,0)),""))</f>
        <v/>
      </c>
      <c r="D477" s="179" t="str">
        <f>IF($B477="","",IFERROR(INDEX('E2 — Triagem'!$D$8:$D$507,MATCH($B477,'E2 — Triagem'!$B$8:$B$507,0)),""))</f>
        <v/>
      </c>
      <c r="E477" s="179"/>
      <c r="F477" s="179"/>
      <c r="G477" s="179"/>
      <c r="H477" s="179"/>
      <c r="I477" s="179"/>
      <c r="J477" s="184" t="str">
        <f t="shared" si="8"/>
        <v/>
      </c>
      <c r="K477" s="179"/>
      <c r="L477" s="184"/>
      <c r="M477" s="183"/>
    </row>
    <row r="478" spans="2:13" x14ac:dyDescent="0.35">
      <c r="B478" s="177" t="str">
        <f>IF(Lançamentos!$B473="","",Lançamentos!$B473)</f>
        <v/>
      </c>
      <c r="C478" s="178" t="str">
        <f>IF($B478="","",IFERROR(INDEX(Lançamentos!$J$3:$J$1001,MATCH($B478,Lançamentos!$B$3:$B$1001,0)),""))</f>
        <v/>
      </c>
      <c r="D478" s="179" t="str">
        <f>IF($B478="","",IFERROR(INDEX('E2 — Triagem'!$D$8:$D$507,MATCH($B478,'E2 — Triagem'!$B$8:$B$507,0)),""))</f>
        <v/>
      </c>
      <c r="E478" s="179"/>
      <c r="F478" s="179"/>
      <c r="G478" s="179"/>
      <c r="H478" s="179"/>
      <c r="I478" s="179"/>
      <c r="J478" s="184" t="str">
        <f t="shared" si="8"/>
        <v/>
      </c>
      <c r="K478" s="179"/>
      <c r="L478" s="184"/>
      <c r="M478" s="183"/>
    </row>
    <row r="479" spans="2:13" x14ac:dyDescent="0.35">
      <c r="B479" s="177" t="str">
        <f>IF(Lançamentos!$B474="","",Lançamentos!$B474)</f>
        <v/>
      </c>
      <c r="C479" s="178" t="str">
        <f>IF($B479="","",IFERROR(INDEX(Lançamentos!$J$3:$J$1001,MATCH($B479,Lançamentos!$B$3:$B$1001,0)),""))</f>
        <v/>
      </c>
      <c r="D479" s="179" t="str">
        <f>IF($B479="","",IFERROR(INDEX('E2 — Triagem'!$D$8:$D$507,MATCH($B479,'E2 — Triagem'!$B$8:$B$507,0)),""))</f>
        <v/>
      </c>
      <c r="E479" s="179"/>
      <c r="F479" s="179"/>
      <c r="G479" s="179"/>
      <c r="H479" s="179"/>
      <c r="I479" s="179"/>
      <c r="J479" s="184" t="str">
        <f t="shared" si="8"/>
        <v/>
      </c>
      <c r="K479" s="179"/>
      <c r="L479" s="184"/>
      <c r="M479" s="183"/>
    </row>
    <row r="480" spans="2:13" x14ac:dyDescent="0.35">
      <c r="B480" s="177" t="str">
        <f>IF(Lançamentos!$B475="","",Lançamentos!$B475)</f>
        <v/>
      </c>
      <c r="C480" s="178" t="str">
        <f>IF($B480="","",IFERROR(INDEX(Lançamentos!$J$3:$J$1001,MATCH($B480,Lançamentos!$B$3:$B$1001,0)),""))</f>
        <v/>
      </c>
      <c r="D480" s="179" t="str">
        <f>IF($B480="","",IFERROR(INDEX('E2 — Triagem'!$D$8:$D$507,MATCH($B480,'E2 — Triagem'!$B$8:$B$507,0)),""))</f>
        <v/>
      </c>
      <c r="E480" s="179"/>
      <c r="F480" s="179"/>
      <c r="G480" s="179"/>
      <c r="H480" s="179"/>
      <c r="I480" s="179"/>
      <c r="J480" s="184" t="str">
        <f t="shared" si="8"/>
        <v/>
      </c>
      <c r="K480" s="179"/>
      <c r="L480" s="184"/>
      <c r="M480" s="183"/>
    </row>
    <row r="481" spans="2:13" x14ac:dyDescent="0.35">
      <c r="B481" s="177" t="str">
        <f>IF(Lançamentos!$B476="","",Lançamentos!$B476)</f>
        <v/>
      </c>
      <c r="C481" s="178" t="str">
        <f>IF($B481="","",IFERROR(INDEX(Lançamentos!$J$3:$J$1001,MATCH($B481,Lançamentos!$B$3:$B$1001,0)),""))</f>
        <v/>
      </c>
      <c r="D481" s="179" t="str">
        <f>IF($B481="","",IFERROR(INDEX('E2 — Triagem'!$D$8:$D$507,MATCH($B481,'E2 — Triagem'!$B$8:$B$507,0)),""))</f>
        <v/>
      </c>
      <c r="E481" s="179"/>
      <c r="F481" s="179"/>
      <c r="G481" s="179"/>
      <c r="H481" s="179"/>
      <c r="I481" s="179"/>
      <c r="J481" s="184" t="str">
        <f t="shared" si="8"/>
        <v/>
      </c>
      <c r="K481" s="179"/>
      <c r="L481" s="184"/>
      <c r="M481" s="183"/>
    </row>
    <row r="482" spans="2:13" x14ac:dyDescent="0.35">
      <c r="B482" s="177" t="str">
        <f>IF(Lançamentos!$B477="","",Lançamentos!$B477)</f>
        <v/>
      </c>
      <c r="C482" s="178" t="str">
        <f>IF($B482="","",IFERROR(INDEX(Lançamentos!$J$3:$J$1001,MATCH($B482,Lançamentos!$B$3:$B$1001,0)),""))</f>
        <v/>
      </c>
      <c r="D482" s="179" t="str">
        <f>IF($B482="","",IFERROR(INDEX('E2 — Triagem'!$D$8:$D$507,MATCH($B482,'E2 — Triagem'!$B$8:$B$507,0)),""))</f>
        <v/>
      </c>
      <c r="E482" s="179"/>
      <c r="F482" s="179"/>
      <c r="G482" s="179"/>
      <c r="H482" s="179"/>
      <c r="I482" s="179"/>
      <c r="J482" s="184" t="str">
        <f t="shared" si="8"/>
        <v/>
      </c>
      <c r="K482" s="179"/>
      <c r="L482" s="184"/>
      <c r="M482" s="183"/>
    </row>
    <row r="483" spans="2:13" x14ac:dyDescent="0.35">
      <c r="B483" s="177" t="str">
        <f>IF(Lançamentos!$B478="","",Lançamentos!$B478)</f>
        <v/>
      </c>
      <c r="C483" s="178" t="str">
        <f>IF($B483="","",IFERROR(INDEX(Lançamentos!$J$3:$J$1001,MATCH($B483,Lançamentos!$B$3:$B$1001,0)),""))</f>
        <v/>
      </c>
      <c r="D483" s="179" t="str">
        <f>IF($B483="","",IFERROR(INDEX('E2 — Triagem'!$D$8:$D$507,MATCH($B483,'E2 — Triagem'!$B$8:$B$507,0)),""))</f>
        <v/>
      </c>
      <c r="E483" s="179"/>
      <c r="F483" s="179"/>
      <c r="G483" s="179"/>
      <c r="H483" s="179"/>
      <c r="I483" s="179"/>
      <c r="J483" s="184" t="str">
        <f t="shared" si="8"/>
        <v/>
      </c>
      <c r="K483" s="179"/>
      <c r="L483" s="184"/>
      <c r="M483" s="183"/>
    </row>
    <row r="484" spans="2:13" x14ac:dyDescent="0.35">
      <c r="B484" s="177" t="str">
        <f>IF(Lançamentos!$B479="","",Lançamentos!$B479)</f>
        <v/>
      </c>
      <c r="C484" s="178" t="str">
        <f>IF($B484="","",IFERROR(INDEX(Lançamentos!$J$3:$J$1001,MATCH($B484,Lançamentos!$B$3:$B$1001,0)),""))</f>
        <v/>
      </c>
      <c r="D484" s="179" t="str">
        <f>IF($B484="","",IFERROR(INDEX('E2 — Triagem'!$D$8:$D$507,MATCH($B484,'E2 — Triagem'!$B$8:$B$507,0)),""))</f>
        <v/>
      </c>
      <c r="E484" s="179"/>
      <c r="F484" s="179"/>
      <c r="G484" s="179"/>
      <c r="H484" s="179"/>
      <c r="I484" s="179"/>
      <c r="J484" s="184" t="str">
        <f t="shared" si="8"/>
        <v/>
      </c>
      <c r="K484" s="179"/>
      <c r="L484" s="184"/>
      <c r="M484" s="183"/>
    </row>
    <row r="485" spans="2:13" x14ac:dyDescent="0.35">
      <c r="B485" s="177" t="str">
        <f>IF(Lançamentos!$B480="","",Lançamentos!$B480)</f>
        <v/>
      </c>
      <c r="C485" s="178" t="str">
        <f>IF($B485="","",IFERROR(INDEX(Lançamentos!$J$3:$J$1001,MATCH($B485,Lançamentos!$B$3:$B$1001,0)),""))</f>
        <v/>
      </c>
      <c r="D485" s="179" t="str">
        <f>IF($B485="","",IFERROR(INDEX('E2 — Triagem'!$D$8:$D$507,MATCH($B485,'E2 — Triagem'!$B$8:$B$507,0)),""))</f>
        <v/>
      </c>
      <c r="E485" s="179"/>
      <c r="F485" s="179"/>
      <c r="G485" s="179"/>
      <c r="H485" s="179"/>
      <c r="I485" s="179"/>
      <c r="J485" s="184" t="str">
        <f t="shared" si="8"/>
        <v/>
      </c>
      <c r="K485" s="179"/>
      <c r="L485" s="184"/>
      <c r="M485" s="183"/>
    </row>
    <row r="486" spans="2:13" x14ac:dyDescent="0.35">
      <c r="B486" s="177" t="str">
        <f>IF(Lançamentos!$B481="","",Lançamentos!$B481)</f>
        <v/>
      </c>
      <c r="C486" s="178" t="str">
        <f>IF($B486="","",IFERROR(INDEX(Lançamentos!$J$3:$J$1001,MATCH($B486,Lançamentos!$B$3:$B$1001,0)),""))</f>
        <v/>
      </c>
      <c r="D486" s="179" t="str">
        <f>IF($B486="","",IFERROR(INDEX('E2 — Triagem'!$D$8:$D$507,MATCH($B486,'E2 — Triagem'!$B$8:$B$507,0)),""))</f>
        <v/>
      </c>
      <c r="E486" s="179"/>
      <c r="F486" s="179"/>
      <c r="G486" s="179"/>
      <c r="H486" s="179"/>
      <c r="I486" s="179"/>
      <c r="J486" s="184" t="str">
        <f t="shared" si="8"/>
        <v/>
      </c>
      <c r="K486" s="179"/>
      <c r="L486" s="184"/>
      <c r="M486" s="183"/>
    </row>
    <row r="487" spans="2:13" x14ac:dyDescent="0.35">
      <c r="B487" s="177" t="str">
        <f>IF(Lançamentos!$B482="","",Lançamentos!$B482)</f>
        <v/>
      </c>
      <c r="C487" s="178" t="str">
        <f>IF($B487="","",IFERROR(INDEX(Lançamentos!$J$3:$J$1001,MATCH($B487,Lançamentos!$B$3:$B$1001,0)),""))</f>
        <v/>
      </c>
      <c r="D487" s="179" t="str">
        <f>IF($B487="","",IFERROR(INDEX('E2 — Triagem'!$D$8:$D$507,MATCH($B487,'E2 — Triagem'!$B$8:$B$507,0)),""))</f>
        <v/>
      </c>
      <c r="E487" s="179"/>
      <c r="F487" s="179"/>
      <c r="G487" s="179"/>
      <c r="H487" s="179"/>
      <c r="I487" s="179"/>
      <c r="J487" s="184" t="str">
        <f t="shared" si="8"/>
        <v/>
      </c>
      <c r="K487" s="179"/>
      <c r="L487" s="184"/>
      <c r="M487" s="183"/>
    </row>
    <row r="488" spans="2:13" x14ac:dyDescent="0.35">
      <c r="B488" s="177" t="str">
        <f>IF(Lançamentos!$B483="","",Lançamentos!$B483)</f>
        <v/>
      </c>
      <c r="C488" s="178" t="str">
        <f>IF($B488="","",IFERROR(INDEX(Lançamentos!$J$3:$J$1001,MATCH($B488,Lançamentos!$B$3:$B$1001,0)),""))</f>
        <v/>
      </c>
      <c r="D488" s="179" t="str">
        <f>IF($B488="","",IFERROR(INDEX('E2 — Triagem'!$D$8:$D$507,MATCH($B488,'E2 — Triagem'!$B$8:$B$507,0)),""))</f>
        <v/>
      </c>
      <c r="E488" s="179"/>
      <c r="F488" s="179"/>
      <c r="G488" s="179"/>
      <c r="H488" s="179"/>
      <c r="I488" s="179"/>
      <c r="J488" s="184" t="str">
        <f t="shared" si="8"/>
        <v/>
      </c>
      <c r="K488" s="179"/>
      <c r="L488" s="184"/>
      <c r="M488" s="183"/>
    </row>
    <row r="489" spans="2:13" x14ac:dyDescent="0.35">
      <c r="B489" s="177" t="str">
        <f>IF(Lançamentos!$B484="","",Lançamentos!$B484)</f>
        <v/>
      </c>
      <c r="C489" s="178" t="str">
        <f>IF($B489="","",IFERROR(INDEX(Lançamentos!$J$3:$J$1001,MATCH($B489,Lançamentos!$B$3:$B$1001,0)),""))</f>
        <v/>
      </c>
      <c r="D489" s="179" t="str">
        <f>IF($B489="","",IFERROR(INDEX('E2 — Triagem'!$D$8:$D$507,MATCH($B489,'E2 — Triagem'!$B$8:$B$507,0)),""))</f>
        <v/>
      </c>
      <c r="E489" s="179"/>
      <c r="F489" s="179"/>
      <c r="G489" s="179"/>
      <c r="H489" s="179"/>
      <c r="I489" s="179"/>
      <c r="J489" s="184" t="str">
        <f t="shared" si="8"/>
        <v/>
      </c>
      <c r="K489" s="179"/>
      <c r="L489" s="184"/>
      <c r="M489" s="183"/>
    </row>
    <row r="490" spans="2:13" x14ac:dyDescent="0.35">
      <c r="B490" s="177" t="str">
        <f>IF(Lançamentos!$B485="","",Lançamentos!$B485)</f>
        <v/>
      </c>
      <c r="C490" s="178" t="str">
        <f>IF($B490="","",IFERROR(INDEX(Lançamentos!$J$3:$J$1001,MATCH($B490,Lançamentos!$B$3:$B$1001,0)),""))</f>
        <v/>
      </c>
      <c r="D490" s="179" t="str">
        <f>IF($B490="","",IFERROR(INDEX('E2 — Triagem'!$D$8:$D$507,MATCH($B490,'E2 — Triagem'!$B$8:$B$507,0)),""))</f>
        <v/>
      </c>
      <c r="E490" s="179"/>
      <c r="F490" s="179"/>
      <c r="G490" s="179"/>
      <c r="H490" s="179"/>
      <c r="I490" s="179"/>
      <c r="J490" s="184" t="str">
        <f t="shared" si="8"/>
        <v/>
      </c>
      <c r="K490" s="179"/>
      <c r="L490" s="184"/>
      <c r="M490" s="183"/>
    </row>
    <row r="491" spans="2:13" x14ac:dyDescent="0.35">
      <c r="B491" s="177" t="str">
        <f>IF(Lançamentos!$B486="","",Lançamentos!$B486)</f>
        <v/>
      </c>
      <c r="C491" s="178" t="str">
        <f>IF($B491="","",IFERROR(INDEX(Lançamentos!$J$3:$J$1001,MATCH($B491,Lançamentos!$B$3:$B$1001,0)),""))</f>
        <v/>
      </c>
      <c r="D491" s="179" t="str">
        <f>IF($B491="","",IFERROR(INDEX('E2 — Triagem'!$D$8:$D$507,MATCH($B491,'E2 — Triagem'!$B$8:$B$507,0)),""))</f>
        <v/>
      </c>
      <c r="E491" s="179"/>
      <c r="F491" s="179"/>
      <c r="G491" s="179"/>
      <c r="H491" s="179"/>
      <c r="I491" s="179"/>
      <c r="J491" s="184" t="str">
        <f t="shared" si="8"/>
        <v/>
      </c>
      <c r="K491" s="179"/>
      <c r="L491" s="184"/>
      <c r="M491" s="183"/>
    </row>
    <row r="492" spans="2:13" x14ac:dyDescent="0.35">
      <c r="B492" s="177" t="str">
        <f>IF(Lançamentos!$B487="","",Lançamentos!$B487)</f>
        <v/>
      </c>
      <c r="C492" s="178" t="str">
        <f>IF($B492="","",IFERROR(INDEX(Lançamentos!$J$3:$J$1001,MATCH($B492,Lançamentos!$B$3:$B$1001,0)),""))</f>
        <v/>
      </c>
      <c r="D492" s="179" t="str">
        <f>IF($B492="","",IFERROR(INDEX('E2 — Triagem'!$D$8:$D$507,MATCH($B492,'E2 — Triagem'!$B$8:$B$507,0)),""))</f>
        <v/>
      </c>
      <c r="E492" s="179"/>
      <c r="F492" s="179"/>
      <c r="G492" s="179"/>
      <c r="H492" s="179"/>
      <c r="I492" s="179"/>
      <c r="J492" s="184" t="str">
        <f t="shared" si="8"/>
        <v/>
      </c>
      <c r="K492" s="179"/>
      <c r="L492" s="184"/>
      <c r="M492" s="183"/>
    </row>
    <row r="493" spans="2:13" x14ac:dyDescent="0.35">
      <c r="B493" s="177" t="str">
        <f>IF(Lançamentos!$B488="","",Lançamentos!$B488)</f>
        <v/>
      </c>
      <c r="C493" s="178" t="str">
        <f>IF($B493="","",IFERROR(INDEX(Lançamentos!$J$3:$J$1001,MATCH($B493,Lançamentos!$B$3:$B$1001,0)),""))</f>
        <v/>
      </c>
      <c r="D493" s="179" t="str">
        <f>IF($B493="","",IFERROR(INDEX('E2 — Triagem'!$D$8:$D$507,MATCH($B493,'E2 — Triagem'!$B$8:$B$507,0)),""))</f>
        <v/>
      </c>
      <c r="E493" s="179"/>
      <c r="F493" s="179"/>
      <c r="G493" s="179"/>
      <c r="H493" s="179"/>
      <c r="I493" s="179"/>
      <c r="J493" s="184" t="str">
        <f t="shared" si="8"/>
        <v/>
      </c>
      <c r="K493" s="179"/>
      <c r="L493" s="184"/>
      <c r="M493" s="183"/>
    </row>
    <row r="494" spans="2:13" x14ac:dyDescent="0.35">
      <c r="B494" s="177" t="str">
        <f>IF(Lançamentos!$B489="","",Lançamentos!$B489)</f>
        <v/>
      </c>
      <c r="C494" s="178" t="str">
        <f>IF($B494="","",IFERROR(INDEX(Lançamentos!$J$3:$J$1001,MATCH($B494,Lançamentos!$B$3:$B$1001,0)),""))</f>
        <v/>
      </c>
      <c r="D494" s="179" t="str">
        <f>IF($B494="","",IFERROR(INDEX('E2 — Triagem'!$D$8:$D$507,MATCH($B494,'E2 — Triagem'!$B$8:$B$507,0)),""))</f>
        <v/>
      </c>
      <c r="E494" s="179"/>
      <c r="F494" s="179"/>
      <c r="G494" s="179"/>
      <c r="H494" s="179"/>
      <c r="I494" s="179"/>
      <c r="J494" s="184" t="str">
        <f t="shared" si="8"/>
        <v/>
      </c>
      <c r="K494" s="179"/>
      <c r="L494" s="184"/>
      <c r="M494" s="183"/>
    </row>
    <row r="495" spans="2:13" x14ac:dyDescent="0.35">
      <c r="B495" s="177" t="str">
        <f>IF(Lançamentos!$B490="","",Lançamentos!$B490)</f>
        <v/>
      </c>
      <c r="C495" s="178" t="str">
        <f>IF($B495="","",IFERROR(INDEX(Lançamentos!$J$3:$J$1001,MATCH($B495,Lançamentos!$B$3:$B$1001,0)),""))</f>
        <v/>
      </c>
      <c r="D495" s="179" t="str">
        <f>IF($B495="","",IFERROR(INDEX('E2 — Triagem'!$D$8:$D$507,MATCH($B495,'E2 — Triagem'!$B$8:$B$507,0)),""))</f>
        <v/>
      </c>
      <c r="E495" s="179"/>
      <c r="F495" s="179"/>
      <c r="G495" s="179"/>
      <c r="H495" s="179"/>
      <c r="I495" s="179"/>
      <c r="J495" s="184" t="str">
        <f t="shared" si="8"/>
        <v/>
      </c>
      <c r="K495" s="179"/>
      <c r="L495" s="184"/>
      <c r="M495" s="183"/>
    </row>
    <row r="496" spans="2:13" x14ac:dyDescent="0.35">
      <c r="B496" s="177" t="str">
        <f>IF(Lançamentos!$B491="","",Lançamentos!$B491)</f>
        <v/>
      </c>
      <c r="C496" s="178" t="str">
        <f>IF($B496="","",IFERROR(INDEX(Lançamentos!$J$3:$J$1001,MATCH($B496,Lançamentos!$B$3:$B$1001,0)),""))</f>
        <v/>
      </c>
      <c r="D496" s="179" t="str">
        <f>IF($B496="","",IFERROR(INDEX('E2 — Triagem'!$D$8:$D$507,MATCH($B496,'E2 — Triagem'!$B$8:$B$507,0)),""))</f>
        <v/>
      </c>
      <c r="E496" s="179"/>
      <c r="F496" s="179"/>
      <c r="G496" s="179"/>
      <c r="H496" s="179"/>
      <c r="I496" s="179"/>
      <c r="J496" s="184" t="str">
        <f t="shared" si="8"/>
        <v/>
      </c>
      <c r="K496" s="179"/>
      <c r="L496" s="184"/>
      <c r="M496" s="183"/>
    </row>
    <row r="497" spans="2:13" x14ac:dyDescent="0.35">
      <c r="B497" s="177" t="str">
        <f>IF(Lançamentos!$B492="","",Lançamentos!$B492)</f>
        <v/>
      </c>
      <c r="C497" s="178" t="str">
        <f>IF($B497="","",IFERROR(INDEX(Lançamentos!$J$3:$J$1001,MATCH($B497,Lançamentos!$B$3:$B$1001,0)),""))</f>
        <v/>
      </c>
      <c r="D497" s="179" t="str">
        <f>IF($B497="","",IFERROR(INDEX('E2 — Triagem'!$D$8:$D$507,MATCH($B497,'E2 — Triagem'!$B$8:$B$507,0)),""))</f>
        <v/>
      </c>
      <c r="E497" s="179"/>
      <c r="F497" s="179"/>
      <c r="G497" s="179"/>
      <c r="H497" s="179"/>
      <c r="I497" s="179"/>
      <c r="J497" s="184" t="str">
        <f t="shared" si="8"/>
        <v/>
      </c>
      <c r="K497" s="179"/>
      <c r="L497" s="184"/>
      <c r="M497" s="183"/>
    </row>
    <row r="498" spans="2:13" x14ac:dyDescent="0.35">
      <c r="B498" s="177" t="str">
        <f>IF(Lançamentos!$B493="","",Lançamentos!$B493)</f>
        <v/>
      </c>
      <c r="C498" s="178" t="str">
        <f>IF($B498="","",IFERROR(INDEX(Lançamentos!$J$3:$J$1001,MATCH($B498,Lançamentos!$B$3:$B$1001,0)),""))</f>
        <v/>
      </c>
      <c r="D498" s="179" t="str">
        <f>IF($B498="","",IFERROR(INDEX('E2 — Triagem'!$D$8:$D$507,MATCH($B498,'E2 — Triagem'!$B$8:$B$507,0)),""))</f>
        <v/>
      </c>
      <c r="E498" s="179"/>
      <c r="F498" s="179"/>
      <c r="G498" s="179"/>
      <c r="H498" s="179"/>
      <c r="I498" s="179"/>
      <c r="J498" s="184" t="str">
        <f t="shared" si="8"/>
        <v/>
      </c>
      <c r="K498" s="179"/>
      <c r="L498" s="184"/>
      <c r="M498" s="183"/>
    </row>
    <row r="499" spans="2:13" x14ac:dyDescent="0.35">
      <c r="B499" s="177" t="str">
        <f>IF(Lançamentos!$B494="","",Lançamentos!$B494)</f>
        <v/>
      </c>
      <c r="C499" s="178" t="str">
        <f>IF($B499="","",IFERROR(INDEX(Lançamentos!$J$3:$J$1001,MATCH($B499,Lançamentos!$B$3:$B$1001,0)),""))</f>
        <v/>
      </c>
      <c r="D499" s="179" t="str">
        <f>IF($B499="","",IFERROR(INDEX('E2 — Triagem'!$D$8:$D$507,MATCH($B499,'E2 — Triagem'!$B$8:$B$507,0)),""))</f>
        <v/>
      </c>
      <c r="E499" s="179"/>
      <c r="F499" s="179"/>
      <c r="G499" s="179"/>
      <c r="H499" s="179"/>
      <c r="I499" s="179"/>
      <c r="J499" s="184" t="str">
        <f t="shared" si="8"/>
        <v/>
      </c>
      <c r="K499" s="179"/>
      <c r="L499" s="184"/>
      <c r="M499" s="183"/>
    </row>
    <row r="500" spans="2:13" x14ac:dyDescent="0.35">
      <c r="B500" s="177" t="str">
        <f>IF(Lançamentos!$B495="","",Lançamentos!$B495)</f>
        <v/>
      </c>
      <c r="C500" s="178" t="str">
        <f>IF($B500="","",IFERROR(INDEX(Lançamentos!$J$3:$J$1001,MATCH($B500,Lançamentos!$B$3:$B$1001,0)),""))</f>
        <v/>
      </c>
      <c r="D500" s="179" t="str">
        <f>IF($B500="","",IFERROR(INDEX('E2 — Triagem'!$D$8:$D$507,MATCH($B500,'E2 — Triagem'!$B$8:$B$507,0)),""))</f>
        <v/>
      </c>
      <c r="E500" s="179"/>
      <c r="F500" s="179"/>
      <c r="G500" s="179"/>
      <c r="H500" s="179"/>
      <c r="I500" s="179"/>
      <c r="J500" s="184" t="str">
        <f t="shared" si="8"/>
        <v/>
      </c>
      <c r="K500" s="179"/>
      <c r="L500" s="184"/>
      <c r="M500" s="183"/>
    </row>
    <row r="501" spans="2:13" x14ac:dyDescent="0.35">
      <c r="B501" s="177" t="str">
        <f>IF(Lançamentos!$B496="","",Lançamentos!$B496)</f>
        <v/>
      </c>
      <c r="C501" s="178" t="str">
        <f>IF($B501="","",IFERROR(INDEX(Lançamentos!$J$3:$J$1001,MATCH($B501,Lançamentos!$B$3:$B$1001,0)),""))</f>
        <v/>
      </c>
      <c r="D501" s="179" t="str">
        <f>IF($B501="","",IFERROR(INDEX('E2 — Triagem'!$D$8:$D$507,MATCH($B501,'E2 — Triagem'!$B$8:$B$507,0)),""))</f>
        <v/>
      </c>
      <c r="E501" s="179"/>
      <c r="F501" s="179"/>
      <c r="G501" s="179"/>
      <c r="H501" s="179"/>
      <c r="I501" s="179"/>
      <c r="J501" s="184" t="str">
        <f t="shared" si="8"/>
        <v/>
      </c>
      <c r="K501" s="179"/>
      <c r="L501" s="184"/>
      <c r="M501" s="183"/>
    </row>
    <row r="502" spans="2:13" x14ac:dyDescent="0.35">
      <c r="B502" s="177" t="str">
        <f>IF(Lançamentos!$B497="","",Lançamentos!$B497)</f>
        <v/>
      </c>
      <c r="C502" s="178" t="str">
        <f>IF($B502="","",IFERROR(INDEX(Lançamentos!$J$3:$J$1001,MATCH($B502,Lançamentos!$B$3:$B$1001,0)),""))</f>
        <v/>
      </c>
      <c r="D502" s="179" t="str">
        <f>IF($B502="","",IFERROR(INDEX('E2 — Triagem'!$D$8:$D$507,MATCH($B502,'E2 — Triagem'!$B$8:$B$507,0)),""))</f>
        <v/>
      </c>
      <c r="E502" s="179"/>
      <c r="F502" s="179"/>
      <c r="G502" s="179"/>
      <c r="H502" s="179"/>
      <c r="I502" s="179"/>
      <c r="J502" s="184" t="str">
        <f t="shared" si="8"/>
        <v/>
      </c>
      <c r="K502" s="179"/>
      <c r="L502" s="184"/>
      <c r="M502" s="183"/>
    </row>
    <row r="503" spans="2:13" x14ac:dyDescent="0.35">
      <c r="B503" s="177" t="str">
        <f>IF(Lançamentos!$B498="","",Lançamentos!$B498)</f>
        <v/>
      </c>
      <c r="C503" s="178" t="str">
        <f>IF($B503="","",IFERROR(INDEX(Lançamentos!$J$3:$J$1001,MATCH($B503,Lançamentos!$B$3:$B$1001,0)),""))</f>
        <v/>
      </c>
      <c r="D503" s="179" t="str">
        <f>IF($B503="","",IFERROR(INDEX('E2 — Triagem'!$D$8:$D$507,MATCH($B503,'E2 — Triagem'!$B$8:$B$507,0)),""))</f>
        <v/>
      </c>
      <c r="E503" s="179"/>
      <c r="F503" s="179"/>
      <c r="G503" s="179"/>
      <c r="H503" s="179"/>
      <c r="I503" s="179"/>
      <c r="J503" s="184" t="str">
        <f t="shared" si="8"/>
        <v/>
      </c>
      <c r="K503" s="179"/>
      <c r="L503" s="184"/>
      <c r="M503" s="183"/>
    </row>
    <row r="504" spans="2:13" x14ac:dyDescent="0.35">
      <c r="B504" s="177" t="str">
        <f>IF(Lançamentos!$B499="","",Lançamentos!$B499)</f>
        <v/>
      </c>
      <c r="C504" s="178" t="str">
        <f>IF($B504="","",IFERROR(INDEX(Lançamentos!$J$3:$J$1001,MATCH($B504,Lançamentos!$B$3:$B$1001,0)),""))</f>
        <v/>
      </c>
      <c r="D504" s="179" t="str">
        <f>IF($B504="","",IFERROR(INDEX('E2 — Triagem'!$D$8:$D$507,MATCH($B504,'E2 — Triagem'!$B$8:$B$507,0)),""))</f>
        <v/>
      </c>
      <c r="E504" s="179"/>
      <c r="F504" s="179"/>
      <c r="G504" s="179"/>
      <c r="H504" s="179"/>
      <c r="I504" s="179"/>
      <c r="J504" s="184" t="str">
        <f t="shared" si="8"/>
        <v/>
      </c>
      <c r="K504" s="179"/>
      <c r="L504" s="184"/>
      <c r="M504" s="183"/>
    </row>
    <row r="505" spans="2:13" x14ac:dyDescent="0.35">
      <c r="B505" s="177" t="str">
        <f>IF(Lançamentos!$B500="","",Lançamentos!$B500)</f>
        <v/>
      </c>
      <c r="C505" s="178" t="str">
        <f>IF($B505="","",IFERROR(INDEX(Lançamentos!$J$3:$J$1001,MATCH($B505,Lançamentos!$B$3:$B$1001,0)),""))</f>
        <v/>
      </c>
      <c r="D505" s="179" t="str">
        <f>IF($B505="","",IFERROR(INDEX('E2 — Triagem'!$D$8:$D$507,MATCH($B505,'E2 — Triagem'!$B$8:$B$507,0)),""))</f>
        <v/>
      </c>
      <c r="E505" s="179"/>
      <c r="F505" s="179"/>
      <c r="G505" s="179"/>
      <c r="H505" s="179"/>
      <c r="I505" s="179"/>
      <c r="J505" s="184" t="str">
        <f t="shared" si="8"/>
        <v/>
      </c>
      <c r="K505" s="179"/>
      <c r="L505" s="184"/>
      <c r="M505" s="183"/>
    </row>
    <row r="506" spans="2:13" x14ac:dyDescent="0.35">
      <c r="B506" s="177" t="str">
        <f>IF(Lançamentos!$B501="","",Lançamentos!$B501)</f>
        <v/>
      </c>
      <c r="C506" s="178" t="str">
        <f>IF($B506="","",IFERROR(INDEX(Lançamentos!$J$3:$J$1001,MATCH($B506,Lançamentos!$B$3:$B$1001,0)),""))</f>
        <v/>
      </c>
      <c r="D506" s="179" t="str">
        <f>IF($B506="","",IFERROR(INDEX('E2 — Triagem'!$D$8:$D$507,MATCH($B506,'E2 — Triagem'!$B$8:$B$507,0)),""))</f>
        <v/>
      </c>
      <c r="E506" s="179"/>
      <c r="F506" s="179"/>
      <c r="G506" s="179"/>
      <c r="H506" s="179"/>
      <c r="I506" s="179"/>
      <c r="J506" s="184" t="str">
        <f t="shared" si="8"/>
        <v/>
      </c>
      <c r="K506" s="179"/>
      <c r="L506" s="184"/>
      <c r="M506" s="183"/>
    </row>
    <row r="507" spans="2:13" x14ac:dyDescent="0.35">
      <c r="B507" s="185" t="str">
        <f>IF(Lançamentos!$B502="","",Lançamentos!$B502)</f>
        <v/>
      </c>
      <c r="C507" s="186" t="str">
        <f>IF($B507="","",IFERROR(INDEX(Lançamentos!$J$3:$J$1001,MATCH($B507,Lançamentos!$B$3:$B$1001,0)),""))</f>
        <v/>
      </c>
      <c r="D507" s="187" t="str">
        <f>IF($B507="","",IFERROR(INDEX('E2 — Triagem'!$D$8:$D$507,MATCH($B507,'E2 — Triagem'!$B$8:$B$507,0)),""))</f>
        <v/>
      </c>
      <c r="E507" s="187"/>
      <c r="F507" s="187"/>
      <c r="G507" s="187"/>
      <c r="H507" s="187"/>
      <c r="I507" s="187"/>
      <c r="J507" s="189" t="str">
        <f t="shared" si="8"/>
        <v/>
      </c>
      <c r="K507" s="187"/>
      <c r="L507" s="189"/>
      <c r="M507" s="190"/>
    </row>
  </sheetData>
  <conditionalFormatting sqref="B8:M507">
    <cfRule type="expression" dxfId="133" priority="15" stopIfTrue="1">
      <formula>AND($B8&lt;&gt;"",COUNTIF($E8:$I8,"✔ Concluído")=5)</formula>
    </cfRule>
    <cfRule type="expression" dxfId="132" priority="17">
      <formula>AND($B8&lt;&gt;"",COUNTIF($E8:$I8,"⛔ Bloqueado")&gt;0)</formula>
    </cfRule>
    <cfRule type="expression" dxfId="131" priority="19">
      <formula>AND($B8&lt;&gt;"",COUNTIF($E8:$I8,"🔄 Em andamento")&gt;0,COUNTIF($E8:$I8,"⛔ Bloqueado")=0)</formula>
    </cfRule>
    <cfRule type="expression" dxfId="130" priority="21">
      <formula>AND($B8&lt;&gt;"",COUNTIF($E8:$I8,"⏳ Pendente")&gt;0,COUNTIF($E8:$I8,"🔄 Em andamento")=0,COUNTIF($E8:$I8,"⛔ Bloqueado")=0)</formula>
    </cfRule>
    <cfRule type="expression" dxfId="129" priority="23">
      <formula>AND($B8&lt;&gt;"",COUNTIF($E8:$I8,"N/A")=5)</formula>
    </cfRule>
  </conditionalFormatting>
  <conditionalFormatting sqref="E8:I507">
    <cfRule type="expression" dxfId="128" priority="25">
      <formula>E8="✔ Concluído"</formula>
    </cfRule>
    <cfRule type="expression" dxfId="127" priority="27">
      <formula>E8="⏳ Pendente"</formula>
    </cfRule>
    <cfRule type="expression" dxfId="126" priority="29">
      <formula>E8="🔄 Em andamento"</formula>
    </cfRule>
    <cfRule type="expression" dxfId="125" priority="31">
      <formula>E8="N/A"</formula>
    </cfRule>
    <cfRule type="expression" dxfId="124" priority="33">
      <formula>AND(E8="N/A",$K8="",$L8="")</formula>
    </cfRule>
    <cfRule type="expression" dxfId="123" priority="35">
      <formula>E8="⛔ Bloqueado"</formula>
    </cfRule>
  </conditionalFormatting>
  <conditionalFormatting sqref="K8:K507">
    <cfRule type="expression" dxfId="122" priority="13" stopIfTrue="1">
      <formula>AND($B8&lt;&gt;"",COUNTIF($E8:$I8,"✔ Concluído")=5,$K8="")</formula>
    </cfRule>
  </conditionalFormatting>
  <conditionalFormatting sqref="B208:M507">
    <cfRule type="expression" dxfId="121" priority="1" stopIfTrue="1">
      <formula>AND($B208&lt;&gt;"",COUNTIF($E208:$I208,"✔ Concluído")=5)</formula>
    </cfRule>
    <cfRule type="expression" dxfId="120" priority="2">
      <formula>AND($B208&lt;&gt;"",COUNTIF($E208:$I208,"⛔ Bloqueado")&gt;0)</formula>
    </cfRule>
    <cfRule type="expression" dxfId="119" priority="3">
      <formula>AND($B208&lt;&gt;"",COUNTIF($E208:$I208,"🔄 Em andamento")&gt;0,COUNTIF($E208:$I208,"⛔ Bloqueado")=0)</formula>
    </cfRule>
    <cfRule type="expression" dxfId="118" priority="4">
      <formula>AND($B208&lt;&gt;"",COUNTIF($E208:$I208,"⏳ Pendente")&gt;0,COUNTIF($E208:$I208,"🔄 Em andamento")=0,COUNTIF($E208:$I208,"⛔ Bloqueado")=0)</formula>
    </cfRule>
    <cfRule type="expression" dxfId="117" priority="5">
      <formula>AND($B208&lt;&gt;"",COUNTIF($E208:$I208,"N/A")=5)</formula>
    </cfRule>
  </conditionalFormatting>
  <conditionalFormatting sqref="E208:I507">
    <cfRule type="expression" dxfId="116" priority="6">
      <formula>E208="✔ Concluído"</formula>
    </cfRule>
    <cfRule type="expression" dxfId="115" priority="7">
      <formula>E208="⏳ Pendente"</formula>
    </cfRule>
    <cfRule type="expression" dxfId="114" priority="8">
      <formula>E208="🔄 Em andamento"</formula>
    </cfRule>
    <cfRule type="expression" dxfId="113" priority="9">
      <formula>E208="N/A"</formula>
    </cfRule>
    <cfRule type="expression" dxfId="112" priority="10">
      <formula>AND(E208="N/A",$K208="",$L208="")</formula>
    </cfRule>
    <cfRule type="expression" dxfId="111" priority="11">
      <formula>E208="⛔ Bloqueado"</formula>
    </cfRule>
  </conditionalFormatting>
  <dataValidations count="2">
    <dataValidation type="list" allowBlank="1" sqref="K17:K507 E8:I507" xr:uid="{46F64A15-4A61-46DA-AF2B-17EB42EB801C}">
      <formula1>"⏳ Pendente,🔄 Em andamento,✔ Concluído,⛔ Bloqueado,N/A"</formula1>
    </dataValidation>
    <dataValidation showDropDown="1" sqref="J1:J1048576" xr:uid="{658680E4-A439-4BBD-8F8E-EDAC1403AB28}"/>
  </dataValidations>
  <pageMargins left="0.75" right="0.75" top="1" bottom="1" header="0.511811023622047" footer="0.511811023622047"/>
  <pageSetup paperSize="9" orientation="portrait" horizontalDpi="300" verticalDpi="300"/>
  <legacyDrawing r:id="rId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XFC507"/>
  <sheetViews>
    <sheetView showGridLines="0" zoomScale="80" zoomScaleNormal="80" workbookViewId="0">
      <pane ySplit="7" topLeftCell="A8" activePane="bottomLeft" state="frozen"/>
      <selection sqref="A1:XFD1048576"/>
      <selection pane="bottomLeft" activeCell="B2" sqref="B2"/>
    </sheetView>
  </sheetViews>
  <sheetFormatPr defaultColWidth="0" defaultRowHeight="14.5" x14ac:dyDescent="0.35"/>
  <cols>
    <col min="1" max="1" width="1.54296875" bestFit="1" customWidth="1"/>
    <col min="2" max="2" width="15.453125" customWidth="1"/>
    <col min="3" max="3" width="41.81640625" customWidth="1"/>
    <col min="4" max="4" width="27.26953125" customWidth="1"/>
    <col min="5" max="8" width="31.81640625" customWidth="1"/>
    <col min="9" max="9" width="34.54296875" customWidth="1"/>
    <col min="10" max="10" width="31.81640625" customWidth="1"/>
    <col min="11" max="11" width="14.81640625" customWidth="1"/>
    <col min="12" max="12" width="40" customWidth="1"/>
    <col min="13" max="13" width="42.7265625" customWidth="1"/>
    <col min="14" max="14" width="22.7265625" customWidth="1"/>
    <col min="15" max="16383" width="8.54296875" hidden="1"/>
    <col min="16384" max="16384" width="1.54296875" bestFit="1" customWidth="1"/>
  </cols>
  <sheetData>
    <row r="2" spans="2:14" ht="19" customHeight="1" x14ac:dyDescent="0.35">
      <c r="B2" s="314" t="s">
        <v>521</v>
      </c>
      <c r="C2" s="133"/>
      <c r="D2" s="133"/>
      <c r="E2" s="133"/>
      <c r="F2" s="133"/>
      <c r="G2" s="133"/>
      <c r="H2" s="133"/>
      <c r="I2" s="133"/>
      <c r="J2" s="133"/>
      <c r="K2" s="133"/>
      <c r="L2" s="133"/>
      <c r="M2" s="133"/>
      <c r="N2" s="133"/>
    </row>
    <row r="3" spans="2:14" ht="22" customHeight="1" x14ac:dyDescent="0.35">
      <c r="B3" s="130" t="s">
        <v>522</v>
      </c>
      <c r="C3" s="130"/>
      <c r="D3" s="130"/>
      <c r="E3" s="130"/>
      <c r="F3" s="130"/>
      <c r="G3" s="130"/>
      <c r="H3" s="130"/>
      <c r="I3" s="130"/>
      <c r="J3" s="130"/>
      <c r="K3" s="130"/>
      <c r="L3" s="130"/>
      <c r="M3" s="130"/>
      <c r="N3" s="130"/>
    </row>
    <row r="4" spans="2:14" ht="29.15" customHeight="1" x14ac:dyDescent="0.35">
      <c r="B4" s="53" t="s">
        <v>523</v>
      </c>
      <c r="C4" s="51"/>
      <c r="D4" s="51"/>
      <c r="E4" s="51"/>
      <c r="F4" s="51"/>
      <c r="G4" s="51"/>
      <c r="H4" s="51"/>
      <c r="I4" s="51"/>
      <c r="J4" s="51"/>
      <c r="K4" s="51"/>
      <c r="L4" s="51"/>
      <c r="M4" s="51"/>
      <c r="N4" s="51"/>
    </row>
    <row r="5" spans="2:14" ht="29.15" customHeight="1" x14ac:dyDescent="0.35">
      <c r="B5" s="54" t="s">
        <v>524</v>
      </c>
      <c r="C5" s="52"/>
      <c r="D5" s="52"/>
      <c r="E5" s="52"/>
      <c r="F5" s="52"/>
      <c r="G5" s="52"/>
      <c r="H5" s="52"/>
      <c r="I5" s="52"/>
      <c r="J5" s="52"/>
      <c r="K5" s="52"/>
      <c r="L5" s="52"/>
      <c r="M5" s="52"/>
      <c r="N5" s="52"/>
    </row>
    <row r="6" spans="2:14" ht="14.5" customHeight="1" x14ac:dyDescent="0.35"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</row>
    <row r="7" spans="2:14" ht="37" customHeight="1" x14ac:dyDescent="0.35">
      <c r="B7" s="298" t="s">
        <v>8</v>
      </c>
      <c r="C7" s="299" t="s">
        <v>127</v>
      </c>
      <c r="D7" s="299" t="s">
        <v>14</v>
      </c>
      <c r="E7" s="299" t="s">
        <v>525</v>
      </c>
      <c r="F7" s="299" t="s">
        <v>526</v>
      </c>
      <c r="G7" s="299" t="s">
        <v>527</v>
      </c>
      <c r="H7" s="299" t="s">
        <v>528</v>
      </c>
      <c r="I7" s="299" t="s">
        <v>529</v>
      </c>
      <c r="J7" s="299" t="s">
        <v>530</v>
      </c>
      <c r="K7" s="299" t="s">
        <v>479</v>
      </c>
      <c r="L7" s="299" t="s">
        <v>109</v>
      </c>
      <c r="M7" s="299" t="s">
        <v>33</v>
      </c>
      <c r="N7" s="300" t="s">
        <v>531</v>
      </c>
    </row>
    <row r="8" spans="2:14" ht="14.5" customHeight="1" x14ac:dyDescent="0.35">
      <c r="B8" s="191" t="str">
        <f>IF(Lançamentos!$B3="","",Lançamentos!$B3)</f>
        <v/>
      </c>
      <c r="C8" s="192" t="str">
        <f>IF($B8="","",IFERROR(INDEX(Lançamentos!$J$3:$J$1001,MATCH($B8,Lançamentos!$B$3:$B$1001,0)),""))</f>
        <v/>
      </c>
      <c r="D8" s="413" t="str">
        <f>IF($B8="","",IFERROR(INDEX('E2 — Triagem'!$D$8:$D$507,MATCH($B8,'E2 — Triagem'!$B$8:$B$507,0)),""))</f>
        <v/>
      </c>
      <c r="E8" s="193"/>
      <c r="F8" s="193"/>
      <c r="G8" s="193"/>
      <c r="H8" s="193"/>
      <c r="I8" s="193"/>
      <c r="J8" s="193"/>
      <c r="K8" s="194" t="str">
        <f t="shared" ref="K8:K71" si="0">IF(B8="","",IF(N8="Não",0,IF(COUNTIF(E8:J8,"N/A")=6,0,COUNTIF(E8:J8,"✔ Concluído")/(6-COUNTIF(E8:J8,"N/A")))))</f>
        <v/>
      </c>
      <c r="L8" s="181"/>
      <c r="M8" s="181"/>
      <c r="N8" s="195" t="str">
        <f>IF(B8="","",IF('E5 — Validação'!M8="✅ Aprovado sem Ajustes","Não",IF(OR('E5 — Validação'!M8="⚠️ Aprovado com Ajustes",'E5 — Validação'!M8="❌ Reprovado"),"Sim","")))</f>
        <v/>
      </c>
    </row>
    <row r="9" spans="2:14" ht="14.5" customHeight="1" x14ac:dyDescent="0.35">
      <c r="B9" s="191" t="str">
        <f>IF(Lançamentos!$B4="","",Lançamentos!$B4)</f>
        <v/>
      </c>
      <c r="C9" s="192" t="str">
        <f>IF($B9="","",IFERROR(INDEX(Lançamentos!$J$3:$J$1001,MATCH($B9,Lançamentos!$B$3:$B$1001,0)),""))</f>
        <v/>
      </c>
      <c r="D9" s="413" t="str">
        <f>IF($B9="","",IFERROR(INDEX('E2 — Triagem'!$D$8:$D$507,MATCH($B9,'E2 — Triagem'!$B$8:$B$507,0)),""))</f>
        <v/>
      </c>
      <c r="E9" s="193"/>
      <c r="F9" s="193"/>
      <c r="G9" s="193"/>
      <c r="H9" s="193"/>
      <c r="I9" s="193"/>
      <c r="J9" s="193"/>
      <c r="K9" s="194" t="str">
        <f t="shared" si="0"/>
        <v/>
      </c>
      <c r="L9" s="181"/>
      <c r="M9" s="181"/>
      <c r="N9" s="195" t="str">
        <f>IF(B9="","",IF('E5 — Validação'!M9="✅ Aprovado sem Ajustes","Não",IF(OR('E5 — Validação'!M9="⚠️ Aprovado com Ajustes",'E5 — Validação'!M9="❌ Reprovado"),"Sim","")))</f>
        <v/>
      </c>
    </row>
    <row r="10" spans="2:14" ht="14.5" customHeight="1" x14ac:dyDescent="0.35">
      <c r="B10" s="191" t="str">
        <f>IF(Lançamentos!$B5="","",Lançamentos!$B5)</f>
        <v/>
      </c>
      <c r="C10" s="192" t="str">
        <f>IF($B10="","",IFERROR(INDEX(Lançamentos!$J$3:$J$1001,MATCH($B10,Lançamentos!$B$3:$B$1001,0)),""))</f>
        <v/>
      </c>
      <c r="D10" s="413" t="str">
        <f>IF($B10="","",IFERROR(INDEX('E2 — Triagem'!$D$8:$D$507,MATCH($B10,'E2 — Triagem'!$B$8:$B$507,0)),""))</f>
        <v/>
      </c>
      <c r="E10" s="193"/>
      <c r="F10" s="193"/>
      <c r="G10" s="193"/>
      <c r="H10" s="193"/>
      <c r="I10" s="193"/>
      <c r="J10" s="193"/>
      <c r="K10" s="194" t="str">
        <f t="shared" si="0"/>
        <v/>
      </c>
      <c r="L10" s="181"/>
      <c r="M10" s="181"/>
      <c r="N10" s="195" t="str">
        <f>IF(B10="","",IF('E5 — Validação'!M10="✅ Aprovado sem Ajustes","Não",IF(OR('E5 — Validação'!M10="⚠️ Aprovado com Ajustes",'E5 — Validação'!M10="❌ Reprovado"),"Sim","")))</f>
        <v/>
      </c>
    </row>
    <row r="11" spans="2:14" ht="14.5" customHeight="1" x14ac:dyDescent="0.35">
      <c r="B11" s="191" t="str">
        <f>IF(Lançamentos!$B6="","",Lançamentos!$B6)</f>
        <v/>
      </c>
      <c r="C11" s="192" t="str">
        <f>IF($B11="","",IFERROR(INDEX(Lançamentos!$J$3:$J$1001,MATCH($B11,Lançamentos!$B$3:$B$1001,0)),""))</f>
        <v/>
      </c>
      <c r="D11" s="413" t="str">
        <f>IF($B11="","",IFERROR(INDEX('E2 — Triagem'!$D$8:$D$507,MATCH($B11,'E2 — Triagem'!$B$8:$B$507,0)),""))</f>
        <v/>
      </c>
      <c r="E11" s="193"/>
      <c r="F11" s="193"/>
      <c r="G11" s="193"/>
      <c r="H11" s="193"/>
      <c r="I11" s="193"/>
      <c r="J11" s="193"/>
      <c r="K11" s="194" t="str">
        <f t="shared" si="0"/>
        <v/>
      </c>
      <c r="L11" s="181"/>
      <c r="M11" s="181"/>
      <c r="N11" s="195" t="str">
        <f>IF(B11="","",IF('E5 — Validação'!M11="✅ Aprovado sem Ajustes","Não",IF(OR('E5 — Validação'!M11="⚠️ Aprovado com Ajustes",'E5 — Validação'!M11="❌ Reprovado"),"Sim","")))</f>
        <v/>
      </c>
    </row>
    <row r="12" spans="2:14" ht="14.5" customHeight="1" x14ac:dyDescent="0.35">
      <c r="B12" s="191" t="str">
        <f>IF(Lançamentos!$B7="","",Lançamentos!$B7)</f>
        <v/>
      </c>
      <c r="C12" s="192" t="str">
        <f>IF($B12="","",IFERROR(INDEX(Lançamentos!$J$3:$J$1001,MATCH($B12,Lançamentos!$B$3:$B$1001,0)),""))</f>
        <v/>
      </c>
      <c r="D12" s="413" t="str">
        <f>IF($B12="","",IFERROR(INDEX('E2 — Triagem'!$D$8:$D$507,MATCH($B12,'E2 — Triagem'!$B$8:$B$507,0)),""))</f>
        <v/>
      </c>
      <c r="E12" s="193"/>
      <c r="F12" s="193"/>
      <c r="G12" s="193"/>
      <c r="H12" s="193"/>
      <c r="I12" s="193"/>
      <c r="J12" s="193"/>
      <c r="K12" s="194" t="str">
        <f t="shared" si="0"/>
        <v/>
      </c>
      <c r="L12" s="181"/>
      <c r="M12" s="181"/>
      <c r="N12" s="195" t="str">
        <f>IF(B12="","",IF('E5 — Validação'!M12="✅ Aprovado sem Ajustes","Não",IF(OR('E5 — Validação'!M12="⚠️ Aprovado com Ajustes",'E5 — Validação'!M12="❌ Reprovado"),"Sim","")))</f>
        <v/>
      </c>
    </row>
    <row r="13" spans="2:14" ht="14.5" customHeight="1" x14ac:dyDescent="0.35">
      <c r="B13" s="191" t="str">
        <f>IF(Lançamentos!$B8="","",Lançamentos!$B8)</f>
        <v/>
      </c>
      <c r="C13" s="192" t="str">
        <f>IF($B13="","",IFERROR(INDEX(Lançamentos!$J$3:$J$1001,MATCH($B13,Lançamentos!$B$3:$B$1001,0)),""))</f>
        <v/>
      </c>
      <c r="D13" s="413" t="str">
        <f>IF($B13="","",IFERROR(INDEX('E2 — Triagem'!$D$8:$D$507,MATCH($B13,'E2 — Triagem'!$B$8:$B$507,0)),""))</f>
        <v/>
      </c>
      <c r="E13" s="193"/>
      <c r="F13" s="193"/>
      <c r="G13" s="193"/>
      <c r="H13" s="193"/>
      <c r="I13" s="193"/>
      <c r="J13" s="193"/>
      <c r="K13" s="194" t="str">
        <f t="shared" si="0"/>
        <v/>
      </c>
      <c r="L13" s="181"/>
      <c r="M13" s="181"/>
      <c r="N13" s="195" t="str">
        <f>IF(B13="","",IF('E5 — Validação'!M13="✅ Aprovado sem Ajustes","Não",IF(OR('E5 — Validação'!M13="⚠️ Aprovado com Ajustes",'E5 — Validação'!M13="❌ Reprovado"),"Sim","")))</f>
        <v/>
      </c>
    </row>
    <row r="14" spans="2:14" ht="14.5" customHeight="1" x14ac:dyDescent="0.35">
      <c r="B14" s="191" t="str">
        <f>IF(Lançamentos!$B9="","",Lançamentos!$B9)</f>
        <v/>
      </c>
      <c r="C14" s="192" t="str">
        <f>IF($B14="","",IFERROR(INDEX(Lançamentos!$J$3:$J$1001,MATCH($B14,Lançamentos!$B$3:$B$1001,0)),""))</f>
        <v/>
      </c>
      <c r="D14" s="413" t="str">
        <f>IF($B14="","",IFERROR(INDEX('E2 — Triagem'!$D$8:$D$507,MATCH($B14,'E2 — Triagem'!$B$8:$B$507,0)),""))</f>
        <v/>
      </c>
      <c r="E14" s="193"/>
      <c r="F14" s="193"/>
      <c r="G14" s="193"/>
      <c r="H14" s="193"/>
      <c r="I14" s="193"/>
      <c r="J14" s="193"/>
      <c r="K14" s="194" t="str">
        <f t="shared" si="0"/>
        <v/>
      </c>
      <c r="L14" s="181"/>
      <c r="M14" s="181"/>
      <c r="N14" s="195" t="str">
        <f>IF(B14="","",IF('E5 — Validação'!M14="✅ Aprovado sem Ajustes","Não",IF(OR('E5 — Validação'!M14="⚠️ Aprovado com Ajustes",'E5 — Validação'!M14="❌ Reprovado"),"Sim","")))</f>
        <v/>
      </c>
    </row>
    <row r="15" spans="2:14" ht="14.5" customHeight="1" x14ac:dyDescent="0.35">
      <c r="B15" s="191" t="str">
        <f>IF(Lançamentos!$B10="","",Lançamentos!$B10)</f>
        <v/>
      </c>
      <c r="C15" s="192" t="str">
        <f>IF($B15="","",IFERROR(INDEX(Lançamentos!$J$3:$J$1001,MATCH($B15,Lançamentos!$B$3:$B$1001,0)),""))</f>
        <v/>
      </c>
      <c r="D15" s="413" t="str">
        <f>IF($B15="","",IFERROR(INDEX('E2 — Triagem'!$D$8:$D$507,MATCH($B15,'E2 — Triagem'!$B$8:$B$507,0)),""))</f>
        <v/>
      </c>
      <c r="E15" s="193"/>
      <c r="F15" s="193"/>
      <c r="G15" s="193"/>
      <c r="H15" s="193"/>
      <c r="I15" s="193"/>
      <c r="J15" s="193"/>
      <c r="K15" s="194" t="str">
        <f t="shared" si="0"/>
        <v/>
      </c>
      <c r="L15" s="181"/>
      <c r="M15" s="181"/>
      <c r="N15" s="195" t="str">
        <f>IF(B15="","",IF('E5 — Validação'!M15="✅ Aprovado sem Ajustes","Não",IF(OR('E5 — Validação'!M15="⚠️ Aprovado com Ajustes",'E5 — Validação'!M15="❌ Reprovado"),"Sim","")))</f>
        <v/>
      </c>
    </row>
    <row r="16" spans="2:14" ht="14.5" customHeight="1" x14ac:dyDescent="0.35">
      <c r="B16" s="191" t="str">
        <f>IF(Lançamentos!$B11="","",Lançamentos!$B11)</f>
        <v/>
      </c>
      <c r="C16" s="192" t="str">
        <f>IF($B16="","",IFERROR(INDEX(Lançamentos!$J$3:$J$1001,MATCH($B16,Lançamentos!$B$3:$B$1001,0)),""))</f>
        <v/>
      </c>
      <c r="D16" s="413" t="str">
        <f>IF($B16="","",IFERROR(INDEX('E2 — Triagem'!$D$8:$D$507,MATCH($B16,'E2 — Triagem'!$B$8:$B$507,0)),""))</f>
        <v/>
      </c>
      <c r="E16" s="193"/>
      <c r="F16" s="193"/>
      <c r="G16" s="193"/>
      <c r="H16" s="193"/>
      <c r="I16" s="193"/>
      <c r="J16" s="193"/>
      <c r="K16" s="194" t="str">
        <f t="shared" si="0"/>
        <v/>
      </c>
      <c r="L16" s="181"/>
      <c r="M16" s="181"/>
      <c r="N16" s="195" t="str">
        <f>IF(B16="","",IF('E5 — Validação'!M16="✅ Aprovado sem Ajustes","Não",IF(OR('E5 — Validação'!M16="⚠️ Aprovado com Ajustes",'E5 — Validação'!M16="❌ Reprovado"),"Sim","")))</f>
        <v/>
      </c>
    </row>
    <row r="17" spans="2:14" ht="14.5" customHeight="1" x14ac:dyDescent="0.35">
      <c r="B17" s="191" t="str">
        <f>IF(Lançamentos!$B12="","",Lançamentos!$B12)</f>
        <v/>
      </c>
      <c r="C17" s="192" t="str">
        <f>IF($B17="","",IFERROR(INDEX(Lançamentos!$J$3:$J$1001,MATCH($B17,Lançamentos!$B$3:$B$1001,0)),""))</f>
        <v/>
      </c>
      <c r="D17" s="413" t="str">
        <f>IF($B17="","",IFERROR(INDEX('E2 — Triagem'!$D$8:$D$507,MATCH($B17,'E2 — Triagem'!$B$8:$B$507,0)),""))</f>
        <v/>
      </c>
      <c r="E17" s="193"/>
      <c r="F17" s="193"/>
      <c r="G17" s="193"/>
      <c r="H17" s="193"/>
      <c r="I17" s="193"/>
      <c r="J17" s="193"/>
      <c r="K17" s="194" t="str">
        <f t="shared" si="0"/>
        <v/>
      </c>
      <c r="L17" s="181"/>
      <c r="M17" s="181"/>
      <c r="N17" s="195" t="str">
        <f>IF(B17="","",IF('E5 — Validação'!M17="✅ Aprovado sem Ajustes","Não",IF(OR('E5 — Validação'!M17="⚠️ Aprovado com Ajustes",'E5 — Validação'!M17="❌ Reprovado"),"Sim","")))</f>
        <v/>
      </c>
    </row>
    <row r="18" spans="2:14" ht="14.5" customHeight="1" x14ac:dyDescent="0.35">
      <c r="B18" s="191" t="str">
        <f>IF(Lançamentos!$B13="","",Lançamentos!$B13)</f>
        <v/>
      </c>
      <c r="C18" s="192" t="str">
        <f>IF($B18="","",IFERROR(INDEX(Lançamentos!$J$3:$J$1001,MATCH($B18,Lançamentos!$B$3:$B$1001,0)),""))</f>
        <v/>
      </c>
      <c r="D18" s="413" t="str">
        <f>IF($B18="","",IFERROR(INDEX('E2 — Triagem'!$D$8:$D$507,MATCH($B18,'E2 — Triagem'!$B$8:$B$507,0)),""))</f>
        <v/>
      </c>
      <c r="E18" s="193"/>
      <c r="F18" s="193"/>
      <c r="G18" s="193"/>
      <c r="H18" s="193"/>
      <c r="I18" s="193"/>
      <c r="J18" s="193"/>
      <c r="K18" s="194" t="str">
        <f t="shared" si="0"/>
        <v/>
      </c>
      <c r="L18" s="181"/>
      <c r="M18" s="181"/>
      <c r="N18" s="195" t="str">
        <f>IF(B18="","",IF('E5 — Validação'!M18="✅ Aprovado sem Ajustes","Não",IF(OR('E5 — Validação'!M18="⚠️ Aprovado com Ajustes",'E5 — Validação'!M18="❌ Reprovado"),"Sim","")))</f>
        <v/>
      </c>
    </row>
    <row r="19" spans="2:14" ht="14.5" customHeight="1" x14ac:dyDescent="0.35">
      <c r="B19" s="191" t="str">
        <f>IF(Lançamentos!$B14="","",Lançamentos!$B14)</f>
        <v/>
      </c>
      <c r="C19" s="192" t="str">
        <f>IF($B19="","",IFERROR(INDEX(Lançamentos!$J$3:$J$1001,MATCH($B19,Lançamentos!$B$3:$B$1001,0)),""))</f>
        <v/>
      </c>
      <c r="D19" s="413" t="str">
        <f>IF($B19="","",IFERROR(INDEX('E2 — Triagem'!$D$8:$D$507,MATCH($B19,'E2 — Triagem'!$B$8:$B$507,0)),""))</f>
        <v/>
      </c>
      <c r="E19" s="193"/>
      <c r="F19" s="193"/>
      <c r="G19" s="193"/>
      <c r="H19" s="193"/>
      <c r="I19" s="193"/>
      <c r="J19" s="193"/>
      <c r="K19" s="194" t="str">
        <f t="shared" si="0"/>
        <v/>
      </c>
      <c r="L19" s="181"/>
      <c r="M19" s="181"/>
      <c r="N19" s="195" t="str">
        <f>IF(B19="","",IF('E5 — Validação'!M19="✅ Aprovado sem Ajustes","Não",IF(OR('E5 — Validação'!M19="⚠️ Aprovado com Ajustes",'E5 — Validação'!M19="❌ Reprovado"),"Sim","")))</f>
        <v/>
      </c>
    </row>
    <row r="20" spans="2:14" ht="14.5" customHeight="1" x14ac:dyDescent="0.35">
      <c r="B20" s="191" t="str">
        <f>IF(Lançamentos!$B15="","",Lançamentos!$B15)</f>
        <v/>
      </c>
      <c r="C20" s="192" t="str">
        <f>IF($B20="","",IFERROR(INDEX(Lançamentos!$J$3:$J$1001,MATCH($B20,Lançamentos!$B$3:$B$1001,0)),""))</f>
        <v/>
      </c>
      <c r="D20" s="413" t="str">
        <f>IF($B20="","",IFERROR(INDEX('E2 — Triagem'!$D$8:$D$507,MATCH($B20,'E2 — Triagem'!$B$8:$B$507,0)),""))</f>
        <v/>
      </c>
      <c r="E20" s="193"/>
      <c r="F20" s="193"/>
      <c r="G20" s="193"/>
      <c r="H20" s="193"/>
      <c r="I20" s="193"/>
      <c r="J20" s="193"/>
      <c r="K20" s="194" t="str">
        <f t="shared" si="0"/>
        <v/>
      </c>
      <c r="L20" s="181"/>
      <c r="M20" s="181"/>
      <c r="N20" s="195" t="str">
        <f>IF(B20="","",IF('E5 — Validação'!M20="✅ Aprovado sem Ajustes","Não",IF(OR('E5 — Validação'!M20="⚠️ Aprovado com Ajustes",'E5 — Validação'!M20="❌ Reprovado"),"Sim","")))</f>
        <v/>
      </c>
    </row>
    <row r="21" spans="2:14" ht="14.5" customHeight="1" x14ac:dyDescent="0.35">
      <c r="B21" s="191" t="str">
        <f>IF(Lançamentos!$B16="","",Lançamentos!$B16)</f>
        <v/>
      </c>
      <c r="C21" s="192" t="str">
        <f>IF($B21="","",IFERROR(INDEX(Lançamentos!$J$3:$J$1001,MATCH($B21,Lançamentos!$B$3:$B$1001,0)),""))</f>
        <v/>
      </c>
      <c r="D21" s="413" t="str">
        <f>IF($B21="","",IFERROR(INDEX('E2 — Triagem'!$D$8:$D$507,MATCH($B21,'E2 — Triagem'!$B$8:$B$507,0)),""))</f>
        <v/>
      </c>
      <c r="E21" s="193"/>
      <c r="F21" s="193"/>
      <c r="G21" s="193"/>
      <c r="H21" s="193"/>
      <c r="I21" s="193"/>
      <c r="J21" s="193"/>
      <c r="K21" s="194" t="str">
        <f t="shared" si="0"/>
        <v/>
      </c>
      <c r="L21" s="181"/>
      <c r="M21" s="181"/>
      <c r="N21" s="195" t="str">
        <f>IF(B21="","",IF('E5 — Validação'!M21="✅ Aprovado sem Ajustes","Não",IF(OR('E5 — Validação'!M21="⚠️ Aprovado com Ajustes",'E5 — Validação'!M21="❌ Reprovado"),"Sim","")))</f>
        <v/>
      </c>
    </row>
    <row r="22" spans="2:14" ht="14.5" customHeight="1" x14ac:dyDescent="0.35">
      <c r="B22" s="191" t="str">
        <f>IF(Lançamentos!$B17="","",Lançamentos!$B17)</f>
        <v/>
      </c>
      <c r="C22" s="192" t="str">
        <f>IF($B22="","",IFERROR(INDEX(Lançamentos!$J$3:$J$1001,MATCH($B22,Lançamentos!$B$3:$B$1001,0)),""))</f>
        <v/>
      </c>
      <c r="D22" s="413" t="str">
        <f>IF($B22="","",IFERROR(INDEX('E2 — Triagem'!$D$8:$D$507,MATCH($B22,'E2 — Triagem'!$B$8:$B$507,0)),""))</f>
        <v/>
      </c>
      <c r="E22" s="193"/>
      <c r="F22" s="193"/>
      <c r="G22" s="193"/>
      <c r="H22" s="193"/>
      <c r="I22" s="193"/>
      <c r="J22" s="193"/>
      <c r="K22" s="194" t="str">
        <f t="shared" si="0"/>
        <v/>
      </c>
      <c r="L22" s="181"/>
      <c r="M22" s="181"/>
      <c r="N22" s="195" t="str">
        <f>IF(B22="","",IF('E5 — Validação'!M22="✅ Aprovado sem Ajustes","Não",IF(OR('E5 — Validação'!M22="⚠️ Aprovado com Ajustes",'E5 — Validação'!M22="❌ Reprovado"),"Sim","")))</f>
        <v/>
      </c>
    </row>
    <row r="23" spans="2:14" ht="14.5" customHeight="1" x14ac:dyDescent="0.35">
      <c r="B23" s="191" t="str">
        <f>IF(Lançamentos!$B18="","",Lançamentos!$B18)</f>
        <v/>
      </c>
      <c r="C23" s="192" t="str">
        <f>IF($B23="","",IFERROR(INDEX(Lançamentos!$J$3:$J$1001,MATCH($B23,Lançamentos!$B$3:$B$1001,0)),""))</f>
        <v/>
      </c>
      <c r="D23" s="413" t="str">
        <f>IF($B23="","",IFERROR(INDEX('E2 — Triagem'!$D$8:$D$507,MATCH($B23,'E2 — Triagem'!$B$8:$B$507,0)),""))</f>
        <v/>
      </c>
      <c r="E23" s="193"/>
      <c r="F23" s="193"/>
      <c r="G23" s="193"/>
      <c r="H23" s="193"/>
      <c r="I23" s="193"/>
      <c r="J23" s="193"/>
      <c r="K23" s="194" t="str">
        <f t="shared" si="0"/>
        <v/>
      </c>
      <c r="L23" s="181"/>
      <c r="M23" s="181"/>
      <c r="N23" s="195" t="str">
        <f>IF(B23="","",IF('E5 — Validação'!M23="✅ Aprovado sem Ajustes","Não",IF(OR('E5 — Validação'!M23="⚠️ Aprovado com Ajustes",'E5 — Validação'!M23="❌ Reprovado"),"Sim","")))</f>
        <v/>
      </c>
    </row>
    <row r="24" spans="2:14" ht="14.5" customHeight="1" x14ac:dyDescent="0.35">
      <c r="B24" s="191" t="str">
        <f>IF(Lançamentos!$B19="","",Lançamentos!$B19)</f>
        <v/>
      </c>
      <c r="C24" s="192" t="str">
        <f>IF($B24="","",IFERROR(INDEX(Lançamentos!$J$3:$J$1001,MATCH($B24,Lançamentos!$B$3:$B$1001,0)),""))</f>
        <v/>
      </c>
      <c r="D24" s="413" t="str">
        <f>IF($B24="","",IFERROR(INDEX('E2 — Triagem'!$D$8:$D$507,MATCH($B24,'E2 — Triagem'!$B$8:$B$507,0)),""))</f>
        <v/>
      </c>
      <c r="E24" s="193"/>
      <c r="F24" s="193"/>
      <c r="G24" s="193"/>
      <c r="H24" s="193"/>
      <c r="I24" s="193"/>
      <c r="J24" s="193"/>
      <c r="K24" s="194" t="str">
        <f t="shared" si="0"/>
        <v/>
      </c>
      <c r="L24" s="181"/>
      <c r="M24" s="181"/>
      <c r="N24" s="195" t="str">
        <f>IF(B24="","",IF('E5 — Validação'!M24="✅ Aprovado sem Ajustes","Não",IF(OR('E5 — Validação'!M24="⚠️ Aprovado com Ajustes",'E5 — Validação'!M24="❌ Reprovado"),"Sim","")))</f>
        <v/>
      </c>
    </row>
    <row r="25" spans="2:14" ht="14.5" customHeight="1" x14ac:dyDescent="0.35">
      <c r="B25" s="191" t="str">
        <f>IF(Lançamentos!$B20="","",Lançamentos!$B20)</f>
        <v/>
      </c>
      <c r="C25" s="192" t="str">
        <f>IF($B25="","",IFERROR(INDEX(Lançamentos!$J$3:$J$1001,MATCH($B25,Lançamentos!$B$3:$B$1001,0)),""))</f>
        <v/>
      </c>
      <c r="D25" s="413" t="str">
        <f>IF($B25="","",IFERROR(INDEX('E2 — Triagem'!$D$8:$D$507,MATCH($B25,'E2 — Triagem'!$B$8:$B$507,0)),""))</f>
        <v/>
      </c>
      <c r="E25" s="193"/>
      <c r="F25" s="193"/>
      <c r="G25" s="193"/>
      <c r="H25" s="193"/>
      <c r="I25" s="193"/>
      <c r="J25" s="193"/>
      <c r="K25" s="194" t="str">
        <f t="shared" si="0"/>
        <v/>
      </c>
      <c r="L25" s="181"/>
      <c r="M25" s="181"/>
      <c r="N25" s="195" t="str">
        <f>IF(B25="","",IF('E5 — Validação'!M25="✅ Aprovado sem Ajustes","Não",IF(OR('E5 — Validação'!M25="⚠️ Aprovado com Ajustes",'E5 — Validação'!M25="❌ Reprovado"),"Sim","")))</f>
        <v/>
      </c>
    </row>
    <row r="26" spans="2:14" ht="14.5" customHeight="1" x14ac:dyDescent="0.35">
      <c r="B26" s="191" t="str">
        <f>IF(Lançamentos!$B21="","",Lançamentos!$B21)</f>
        <v/>
      </c>
      <c r="C26" s="192" t="str">
        <f>IF($B26="","",IFERROR(INDEX(Lançamentos!$J$3:$J$1001,MATCH($B26,Lançamentos!$B$3:$B$1001,0)),""))</f>
        <v/>
      </c>
      <c r="D26" s="413" t="str">
        <f>IF($B26="","",IFERROR(INDEX('E2 — Triagem'!$D$8:$D$507,MATCH($B26,'E2 — Triagem'!$B$8:$B$507,0)),""))</f>
        <v/>
      </c>
      <c r="E26" s="193"/>
      <c r="F26" s="193"/>
      <c r="G26" s="193"/>
      <c r="H26" s="193"/>
      <c r="I26" s="193"/>
      <c r="J26" s="193"/>
      <c r="K26" s="194" t="str">
        <f t="shared" si="0"/>
        <v/>
      </c>
      <c r="L26" s="181"/>
      <c r="M26" s="181"/>
      <c r="N26" s="195" t="str">
        <f>IF(B26="","",IF('E5 — Validação'!M26="✅ Aprovado sem Ajustes","Não",IF(OR('E5 — Validação'!M26="⚠️ Aprovado com Ajustes",'E5 — Validação'!M26="❌ Reprovado"),"Sim","")))</f>
        <v/>
      </c>
    </row>
    <row r="27" spans="2:14" ht="14.5" customHeight="1" x14ac:dyDescent="0.35">
      <c r="B27" s="191" t="str">
        <f>IF(Lançamentos!$B22="","",Lançamentos!$B22)</f>
        <v/>
      </c>
      <c r="C27" s="192" t="str">
        <f>IF($B27="","",IFERROR(INDEX(Lançamentos!$J$3:$J$1001,MATCH($B27,Lançamentos!$B$3:$B$1001,0)),""))</f>
        <v/>
      </c>
      <c r="D27" s="413" t="str">
        <f>IF($B27="","",IFERROR(INDEX('E2 — Triagem'!$D$8:$D$507,MATCH($B27,'E2 — Triagem'!$B$8:$B$507,0)),""))</f>
        <v/>
      </c>
      <c r="E27" s="193"/>
      <c r="F27" s="193"/>
      <c r="G27" s="193"/>
      <c r="H27" s="193"/>
      <c r="I27" s="193"/>
      <c r="J27" s="193"/>
      <c r="K27" s="194" t="str">
        <f t="shared" si="0"/>
        <v/>
      </c>
      <c r="L27" s="181"/>
      <c r="M27" s="181"/>
      <c r="N27" s="195" t="str">
        <f>IF(B27="","",IF('E5 — Validação'!M27="✅ Aprovado sem Ajustes","Não",IF(OR('E5 — Validação'!M27="⚠️ Aprovado com Ajustes",'E5 — Validação'!M27="❌ Reprovado"),"Sim","")))</f>
        <v/>
      </c>
    </row>
    <row r="28" spans="2:14" ht="14.5" customHeight="1" x14ac:dyDescent="0.35">
      <c r="B28" s="191" t="str">
        <f>IF(Lançamentos!$B23="","",Lançamentos!$B23)</f>
        <v/>
      </c>
      <c r="C28" s="192" t="str">
        <f>IF($B28="","",IFERROR(INDEX(Lançamentos!$J$3:$J$1001,MATCH($B28,Lançamentos!$B$3:$B$1001,0)),""))</f>
        <v/>
      </c>
      <c r="D28" s="413" t="str">
        <f>IF($B28="","",IFERROR(INDEX('E2 — Triagem'!$D$8:$D$507,MATCH($B28,'E2 — Triagem'!$B$8:$B$507,0)),""))</f>
        <v/>
      </c>
      <c r="E28" s="193"/>
      <c r="F28" s="193"/>
      <c r="G28" s="193"/>
      <c r="H28" s="193"/>
      <c r="I28" s="193"/>
      <c r="J28" s="193"/>
      <c r="K28" s="194" t="str">
        <f t="shared" si="0"/>
        <v/>
      </c>
      <c r="L28" s="181"/>
      <c r="M28" s="181"/>
      <c r="N28" s="195" t="str">
        <f>IF(B28="","",IF('E5 — Validação'!M28="✅ Aprovado sem Ajustes","Não",IF(OR('E5 — Validação'!M28="⚠️ Aprovado com Ajustes",'E5 — Validação'!M28="❌ Reprovado"),"Sim","")))</f>
        <v/>
      </c>
    </row>
    <row r="29" spans="2:14" ht="14.5" customHeight="1" x14ac:dyDescent="0.35">
      <c r="B29" s="191" t="str">
        <f>IF(Lançamentos!$B24="","",Lançamentos!$B24)</f>
        <v/>
      </c>
      <c r="C29" s="192" t="str">
        <f>IF($B29="","",IFERROR(INDEX(Lançamentos!$J$3:$J$1001,MATCH($B29,Lançamentos!$B$3:$B$1001,0)),""))</f>
        <v/>
      </c>
      <c r="D29" s="413" t="str">
        <f>IF($B29="","",IFERROR(INDEX('E2 — Triagem'!$D$8:$D$507,MATCH($B29,'E2 — Triagem'!$B$8:$B$507,0)),""))</f>
        <v/>
      </c>
      <c r="E29" s="193"/>
      <c r="F29" s="193"/>
      <c r="G29" s="193"/>
      <c r="H29" s="193"/>
      <c r="I29" s="193"/>
      <c r="J29" s="193"/>
      <c r="K29" s="194" t="str">
        <f t="shared" si="0"/>
        <v/>
      </c>
      <c r="L29" s="181"/>
      <c r="M29" s="181"/>
      <c r="N29" s="195" t="str">
        <f>IF(B29="","",IF('E5 — Validação'!M29="✅ Aprovado sem Ajustes","Não",IF(OR('E5 — Validação'!M29="⚠️ Aprovado com Ajustes",'E5 — Validação'!M29="❌ Reprovado"),"Sim","")))</f>
        <v/>
      </c>
    </row>
    <row r="30" spans="2:14" ht="14.5" customHeight="1" x14ac:dyDescent="0.35">
      <c r="B30" s="191" t="str">
        <f>IF(Lançamentos!$B25="","",Lançamentos!$B25)</f>
        <v/>
      </c>
      <c r="C30" s="192" t="str">
        <f>IF($B30="","",IFERROR(INDEX(Lançamentos!$J$3:$J$1001,MATCH($B30,Lançamentos!$B$3:$B$1001,0)),""))</f>
        <v/>
      </c>
      <c r="D30" s="413" t="str">
        <f>IF($B30="","",IFERROR(INDEX('E2 — Triagem'!$D$8:$D$507,MATCH($B30,'E2 — Triagem'!$B$8:$B$507,0)),""))</f>
        <v/>
      </c>
      <c r="E30" s="193"/>
      <c r="F30" s="193"/>
      <c r="G30" s="193"/>
      <c r="H30" s="193"/>
      <c r="I30" s="193"/>
      <c r="J30" s="193"/>
      <c r="K30" s="194" t="str">
        <f t="shared" si="0"/>
        <v/>
      </c>
      <c r="L30" s="181"/>
      <c r="M30" s="181"/>
      <c r="N30" s="195" t="str">
        <f>IF(B30="","",IF('E5 — Validação'!M30="✅ Aprovado sem Ajustes","Não",IF(OR('E5 — Validação'!M30="⚠️ Aprovado com Ajustes",'E5 — Validação'!M30="❌ Reprovado"),"Sim","")))</f>
        <v/>
      </c>
    </row>
    <row r="31" spans="2:14" ht="14.5" customHeight="1" x14ac:dyDescent="0.35">
      <c r="B31" s="191" t="str">
        <f>IF(Lançamentos!$B26="","",Lançamentos!$B26)</f>
        <v/>
      </c>
      <c r="C31" s="192" t="str">
        <f>IF($B31="","",IFERROR(INDEX(Lançamentos!$J$3:$J$1001,MATCH($B31,Lançamentos!$B$3:$B$1001,0)),""))</f>
        <v/>
      </c>
      <c r="D31" s="413" t="str">
        <f>IF($B31="","",IFERROR(INDEX('E2 — Triagem'!$D$8:$D$507,MATCH($B31,'E2 — Triagem'!$B$8:$B$507,0)),""))</f>
        <v/>
      </c>
      <c r="E31" s="193"/>
      <c r="F31" s="193"/>
      <c r="G31" s="193"/>
      <c r="H31" s="193"/>
      <c r="I31" s="193"/>
      <c r="J31" s="193"/>
      <c r="K31" s="194" t="str">
        <f t="shared" si="0"/>
        <v/>
      </c>
      <c r="L31" s="181"/>
      <c r="M31" s="181"/>
      <c r="N31" s="195" t="str">
        <f>IF(B31="","",IF('E5 — Validação'!M31="✅ Aprovado sem Ajustes","Não",IF(OR('E5 — Validação'!M31="⚠️ Aprovado com Ajustes",'E5 — Validação'!M31="❌ Reprovado"),"Sim","")))</f>
        <v/>
      </c>
    </row>
    <row r="32" spans="2:14" ht="14.5" customHeight="1" x14ac:dyDescent="0.35">
      <c r="B32" s="191" t="str">
        <f>IF(Lançamentos!$B27="","",Lançamentos!$B27)</f>
        <v/>
      </c>
      <c r="C32" s="192" t="str">
        <f>IF($B32="","",IFERROR(INDEX(Lançamentos!$J$3:$J$1001,MATCH($B32,Lançamentos!$B$3:$B$1001,0)),""))</f>
        <v/>
      </c>
      <c r="D32" s="413" t="str">
        <f>IF($B32="","",IFERROR(INDEX('E2 — Triagem'!$D$8:$D$507,MATCH($B32,'E2 — Triagem'!$B$8:$B$507,0)),""))</f>
        <v/>
      </c>
      <c r="E32" s="193"/>
      <c r="F32" s="193"/>
      <c r="G32" s="193"/>
      <c r="H32" s="193"/>
      <c r="I32" s="193"/>
      <c r="J32" s="193"/>
      <c r="K32" s="194" t="str">
        <f t="shared" si="0"/>
        <v/>
      </c>
      <c r="L32" s="181"/>
      <c r="M32" s="181"/>
      <c r="N32" s="195" t="str">
        <f>IF(B32="","",IF('E5 — Validação'!M32="✅ Aprovado sem Ajustes","Não",IF(OR('E5 — Validação'!M32="⚠️ Aprovado com Ajustes",'E5 — Validação'!M32="❌ Reprovado"),"Sim","")))</f>
        <v/>
      </c>
    </row>
    <row r="33" spans="2:14" ht="14.5" customHeight="1" x14ac:dyDescent="0.35">
      <c r="B33" s="191" t="str">
        <f>IF(Lançamentos!$B28="","",Lançamentos!$B28)</f>
        <v/>
      </c>
      <c r="C33" s="192" t="str">
        <f>IF($B33="","",IFERROR(INDEX(Lançamentos!$J$3:$J$1001,MATCH($B33,Lançamentos!$B$3:$B$1001,0)),""))</f>
        <v/>
      </c>
      <c r="D33" s="413" t="str">
        <f>IF($B33="","",IFERROR(INDEX('E2 — Triagem'!$D$8:$D$507,MATCH($B33,'E2 — Triagem'!$B$8:$B$507,0)),""))</f>
        <v/>
      </c>
      <c r="E33" s="193"/>
      <c r="F33" s="193"/>
      <c r="G33" s="193"/>
      <c r="H33" s="193"/>
      <c r="I33" s="193"/>
      <c r="J33" s="193"/>
      <c r="K33" s="194" t="str">
        <f t="shared" si="0"/>
        <v/>
      </c>
      <c r="L33" s="181"/>
      <c r="M33" s="181"/>
      <c r="N33" s="195" t="str">
        <f>IF(B33="","",IF('E5 — Validação'!M33="✅ Aprovado sem Ajustes","Não",IF(OR('E5 — Validação'!M33="⚠️ Aprovado com Ajustes",'E5 — Validação'!M33="❌ Reprovado"),"Sim","")))</f>
        <v/>
      </c>
    </row>
    <row r="34" spans="2:14" ht="14.5" customHeight="1" x14ac:dyDescent="0.35">
      <c r="B34" s="191" t="str">
        <f>IF(Lançamentos!$B29="","",Lançamentos!$B29)</f>
        <v/>
      </c>
      <c r="C34" s="192" t="str">
        <f>IF($B34="","",IFERROR(INDEX(Lançamentos!$J$3:$J$1001,MATCH($B34,Lançamentos!$B$3:$B$1001,0)),""))</f>
        <v/>
      </c>
      <c r="D34" s="413" t="str">
        <f>IF($B34="","",IFERROR(INDEX('E2 — Triagem'!$D$8:$D$507,MATCH($B34,'E2 — Triagem'!$B$8:$B$507,0)),""))</f>
        <v/>
      </c>
      <c r="E34" s="193"/>
      <c r="F34" s="193"/>
      <c r="G34" s="193"/>
      <c r="H34" s="193"/>
      <c r="I34" s="193"/>
      <c r="J34" s="193"/>
      <c r="K34" s="194" t="str">
        <f t="shared" si="0"/>
        <v/>
      </c>
      <c r="L34" s="181"/>
      <c r="M34" s="181"/>
      <c r="N34" s="195" t="str">
        <f>IF(B34="","",IF('E5 — Validação'!M34="✅ Aprovado sem Ajustes","Não",IF(OR('E5 — Validação'!M34="⚠️ Aprovado com Ajustes",'E5 — Validação'!M34="❌ Reprovado"),"Sim","")))</f>
        <v/>
      </c>
    </row>
    <row r="35" spans="2:14" ht="14.5" customHeight="1" x14ac:dyDescent="0.35">
      <c r="B35" s="191" t="str">
        <f>IF(Lançamentos!$B30="","",Lançamentos!$B30)</f>
        <v/>
      </c>
      <c r="C35" s="192" t="str">
        <f>IF($B35="","",IFERROR(INDEX(Lançamentos!$J$3:$J$1001,MATCH($B35,Lançamentos!$B$3:$B$1001,0)),""))</f>
        <v/>
      </c>
      <c r="D35" s="413" t="str">
        <f>IF($B35="","",IFERROR(INDEX('E2 — Triagem'!$D$8:$D$507,MATCH($B35,'E2 — Triagem'!$B$8:$B$507,0)),""))</f>
        <v/>
      </c>
      <c r="E35" s="193"/>
      <c r="F35" s="193"/>
      <c r="G35" s="193"/>
      <c r="H35" s="193"/>
      <c r="I35" s="193"/>
      <c r="J35" s="193"/>
      <c r="K35" s="194" t="str">
        <f t="shared" si="0"/>
        <v/>
      </c>
      <c r="L35" s="181"/>
      <c r="M35" s="181"/>
      <c r="N35" s="195" t="str">
        <f>IF(B35="","",IF('E5 — Validação'!M35="✅ Aprovado sem Ajustes","Não",IF(OR('E5 — Validação'!M35="⚠️ Aprovado com Ajustes",'E5 — Validação'!M35="❌ Reprovado"),"Sim","")))</f>
        <v/>
      </c>
    </row>
    <row r="36" spans="2:14" ht="14.5" customHeight="1" x14ac:dyDescent="0.35">
      <c r="B36" s="191" t="str">
        <f>IF(Lançamentos!$B31="","",Lançamentos!$B31)</f>
        <v/>
      </c>
      <c r="C36" s="192" t="str">
        <f>IF($B36="","",IFERROR(INDEX(Lançamentos!$J$3:$J$1001,MATCH($B36,Lançamentos!$B$3:$B$1001,0)),""))</f>
        <v/>
      </c>
      <c r="D36" s="413" t="str">
        <f>IF($B36="","",IFERROR(INDEX('E2 — Triagem'!$D$8:$D$507,MATCH($B36,'E2 — Triagem'!$B$8:$B$507,0)),""))</f>
        <v/>
      </c>
      <c r="E36" s="193"/>
      <c r="F36" s="193"/>
      <c r="G36" s="193"/>
      <c r="H36" s="193"/>
      <c r="I36" s="193"/>
      <c r="J36" s="193"/>
      <c r="K36" s="194" t="str">
        <f t="shared" si="0"/>
        <v/>
      </c>
      <c r="L36" s="181"/>
      <c r="M36" s="181"/>
      <c r="N36" s="195" t="str">
        <f>IF(B36="","",IF('E5 — Validação'!M36="✅ Aprovado sem Ajustes","Não",IF(OR('E5 — Validação'!M36="⚠️ Aprovado com Ajustes",'E5 — Validação'!M36="❌ Reprovado"),"Sim","")))</f>
        <v/>
      </c>
    </row>
    <row r="37" spans="2:14" ht="14.5" customHeight="1" x14ac:dyDescent="0.35">
      <c r="B37" s="191" t="str">
        <f>IF(Lançamentos!$B32="","",Lançamentos!$B32)</f>
        <v/>
      </c>
      <c r="C37" s="192" t="str">
        <f>IF($B37="","",IFERROR(INDEX(Lançamentos!$J$3:$J$1001,MATCH($B37,Lançamentos!$B$3:$B$1001,0)),""))</f>
        <v/>
      </c>
      <c r="D37" s="413" t="str">
        <f>IF($B37="","",IFERROR(INDEX('E2 — Triagem'!$D$8:$D$507,MATCH($B37,'E2 — Triagem'!$B$8:$B$507,0)),""))</f>
        <v/>
      </c>
      <c r="E37" s="193"/>
      <c r="F37" s="193"/>
      <c r="G37" s="193"/>
      <c r="H37" s="193"/>
      <c r="I37" s="193"/>
      <c r="J37" s="193"/>
      <c r="K37" s="194" t="str">
        <f t="shared" si="0"/>
        <v/>
      </c>
      <c r="L37" s="181"/>
      <c r="M37" s="181"/>
      <c r="N37" s="195" t="str">
        <f>IF(B37="","",IF('E5 — Validação'!M37="✅ Aprovado sem Ajustes","Não",IF(OR('E5 — Validação'!M37="⚠️ Aprovado com Ajustes",'E5 — Validação'!M37="❌ Reprovado"),"Sim","")))</f>
        <v/>
      </c>
    </row>
    <row r="38" spans="2:14" ht="14.5" customHeight="1" x14ac:dyDescent="0.35">
      <c r="B38" s="191" t="str">
        <f>IF(Lançamentos!$B33="","",Lançamentos!$B33)</f>
        <v/>
      </c>
      <c r="C38" s="192" t="str">
        <f>IF($B38="","",IFERROR(INDEX(Lançamentos!$J$3:$J$1001,MATCH($B38,Lançamentos!$B$3:$B$1001,0)),""))</f>
        <v/>
      </c>
      <c r="D38" s="413" t="str">
        <f>IF($B38="","",IFERROR(INDEX('E2 — Triagem'!$D$8:$D$507,MATCH($B38,'E2 — Triagem'!$B$8:$B$507,0)),""))</f>
        <v/>
      </c>
      <c r="E38" s="193"/>
      <c r="F38" s="193"/>
      <c r="G38" s="193"/>
      <c r="H38" s="193"/>
      <c r="I38" s="193"/>
      <c r="J38" s="193"/>
      <c r="K38" s="194" t="str">
        <f t="shared" si="0"/>
        <v/>
      </c>
      <c r="L38" s="181"/>
      <c r="M38" s="181"/>
      <c r="N38" s="195" t="str">
        <f>IF(B38="","",IF('E5 — Validação'!M38="✅ Aprovado sem Ajustes","Não",IF(OR('E5 — Validação'!M38="⚠️ Aprovado com Ajustes",'E5 — Validação'!M38="❌ Reprovado"),"Sim","")))</f>
        <v/>
      </c>
    </row>
    <row r="39" spans="2:14" ht="14.5" customHeight="1" x14ac:dyDescent="0.35">
      <c r="B39" s="191" t="str">
        <f>IF(Lançamentos!$B34="","",Lançamentos!$B34)</f>
        <v/>
      </c>
      <c r="C39" s="192" t="str">
        <f>IF($B39="","",IFERROR(INDEX(Lançamentos!$J$3:$J$1001,MATCH($B39,Lançamentos!$B$3:$B$1001,0)),""))</f>
        <v/>
      </c>
      <c r="D39" s="413" t="str">
        <f>IF($B39="","",IFERROR(INDEX('E2 — Triagem'!$D$8:$D$507,MATCH($B39,'E2 — Triagem'!$B$8:$B$507,0)),""))</f>
        <v/>
      </c>
      <c r="E39" s="193"/>
      <c r="F39" s="193"/>
      <c r="G39" s="193"/>
      <c r="H39" s="193"/>
      <c r="I39" s="193"/>
      <c r="J39" s="193"/>
      <c r="K39" s="194" t="str">
        <f t="shared" si="0"/>
        <v/>
      </c>
      <c r="L39" s="181"/>
      <c r="M39" s="181"/>
      <c r="N39" s="195" t="str">
        <f>IF(B39="","",IF('E5 — Validação'!M39="✅ Aprovado sem Ajustes","Não",IF(OR('E5 — Validação'!M39="⚠️ Aprovado com Ajustes",'E5 — Validação'!M39="❌ Reprovado"),"Sim","")))</f>
        <v/>
      </c>
    </row>
    <row r="40" spans="2:14" ht="14.5" customHeight="1" x14ac:dyDescent="0.35">
      <c r="B40" s="191" t="str">
        <f>IF(Lançamentos!$B35="","",Lançamentos!$B35)</f>
        <v/>
      </c>
      <c r="C40" s="192" t="str">
        <f>IF($B40="","",IFERROR(INDEX(Lançamentos!$J$3:$J$1001,MATCH($B40,Lançamentos!$B$3:$B$1001,0)),""))</f>
        <v/>
      </c>
      <c r="D40" s="413" t="str">
        <f>IF($B40="","",IFERROR(INDEX('E2 — Triagem'!$D$8:$D$507,MATCH($B40,'E2 — Triagem'!$B$8:$B$507,0)),""))</f>
        <v/>
      </c>
      <c r="E40" s="193"/>
      <c r="F40" s="193"/>
      <c r="G40" s="193"/>
      <c r="H40" s="193"/>
      <c r="I40" s="193"/>
      <c r="J40" s="193"/>
      <c r="K40" s="194" t="str">
        <f t="shared" si="0"/>
        <v/>
      </c>
      <c r="L40" s="181"/>
      <c r="M40" s="181"/>
      <c r="N40" s="195" t="str">
        <f>IF(B40="","",IF('E5 — Validação'!M40="✅ Aprovado sem Ajustes","Não",IF(OR('E5 — Validação'!M40="⚠️ Aprovado com Ajustes",'E5 — Validação'!M40="❌ Reprovado"),"Sim","")))</f>
        <v/>
      </c>
    </row>
    <row r="41" spans="2:14" ht="14.5" customHeight="1" x14ac:dyDescent="0.35">
      <c r="B41" s="191" t="str">
        <f>IF(Lançamentos!$B36="","",Lançamentos!$B36)</f>
        <v/>
      </c>
      <c r="C41" s="192" t="str">
        <f>IF($B41="","",IFERROR(INDEX(Lançamentos!$J$3:$J$1001,MATCH($B41,Lançamentos!$B$3:$B$1001,0)),""))</f>
        <v/>
      </c>
      <c r="D41" s="413" t="str">
        <f>IF($B41="","",IFERROR(INDEX('E2 — Triagem'!$D$8:$D$507,MATCH($B41,'E2 — Triagem'!$B$8:$B$507,0)),""))</f>
        <v/>
      </c>
      <c r="E41" s="193"/>
      <c r="F41" s="193"/>
      <c r="G41" s="193"/>
      <c r="H41" s="193"/>
      <c r="I41" s="193"/>
      <c r="J41" s="193"/>
      <c r="K41" s="194" t="str">
        <f t="shared" si="0"/>
        <v/>
      </c>
      <c r="L41" s="181"/>
      <c r="M41" s="181"/>
      <c r="N41" s="195" t="str">
        <f>IF(B41="","",IF('E5 — Validação'!M41="✅ Aprovado sem Ajustes","Não",IF(OR('E5 — Validação'!M41="⚠️ Aprovado com Ajustes",'E5 — Validação'!M41="❌ Reprovado"),"Sim","")))</f>
        <v/>
      </c>
    </row>
    <row r="42" spans="2:14" ht="14.5" customHeight="1" x14ac:dyDescent="0.35">
      <c r="B42" s="191" t="str">
        <f>IF(Lançamentos!$B37="","",Lançamentos!$B37)</f>
        <v/>
      </c>
      <c r="C42" s="192" t="str">
        <f>IF($B42="","",IFERROR(INDEX(Lançamentos!$J$3:$J$1001,MATCH($B42,Lançamentos!$B$3:$B$1001,0)),""))</f>
        <v/>
      </c>
      <c r="D42" s="413" t="str">
        <f>IF($B42="","",IFERROR(INDEX('E2 — Triagem'!$D$8:$D$507,MATCH($B42,'E2 — Triagem'!$B$8:$B$507,0)),""))</f>
        <v/>
      </c>
      <c r="E42" s="193"/>
      <c r="F42" s="193"/>
      <c r="G42" s="193"/>
      <c r="H42" s="193"/>
      <c r="I42" s="193"/>
      <c r="J42" s="193"/>
      <c r="K42" s="194" t="str">
        <f t="shared" si="0"/>
        <v/>
      </c>
      <c r="L42" s="181"/>
      <c r="M42" s="181"/>
      <c r="N42" s="195" t="str">
        <f>IF(B42="","",IF('E5 — Validação'!M42="✅ Aprovado sem Ajustes","Não",IF(OR('E5 — Validação'!M42="⚠️ Aprovado com Ajustes",'E5 — Validação'!M42="❌ Reprovado"),"Sim","")))</f>
        <v/>
      </c>
    </row>
    <row r="43" spans="2:14" ht="14.5" customHeight="1" x14ac:dyDescent="0.35">
      <c r="B43" s="191" t="str">
        <f>IF(Lançamentos!$B38="","",Lançamentos!$B38)</f>
        <v/>
      </c>
      <c r="C43" s="192" t="str">
        <f>IF($B43="","",IFERROR(INDEX(Lançamentos!$J$3:$J$1001,MATCH($B43,Lançamentos!$B$3:$B$1001,0)),""))</f>
        <v/>
      </c>
      <c r="D43" s="413" t="str">
        <f>IF($B43="","",IFERROR(INDEX('E2 — Triagem'!$D$8:$D$507,MATCH($B43,'E2 — Triagem'!$B$8:$B$507,0)),""))</f>
        <v/>
      </c>
      <c r="E43" s="193"/>
      <c r="F43" s="193"/>
      <c r="G43" s="193"/>
      <c r="H43" s="193"/>
      <c r="I43" s="193"/>
      <c r="J43" s="193"/>
      <c r="K43" s="194" t="str">
        <f t="shared" si="0"/>
        <v/>
      </c>
      <c r="L43" s="181"/>
      <c r="M43" s="181"/>
      <c r="N43" s="195" t="str">
        <f>IF(B43="","",IF('E5 — Validação'!M43="✅ Aprovado sem Ajustes","Não",IF(OR('E5 — Validação'!M43="⚠️ Aprovado com Ajustes",'E5 — Validação'!M43="❌ Reprovado"),"Sim","")))</f>
        <v/>
      </c>
    </row>
    <row r="44" spans="2:14" ht="14.5" customHeight="1" x14ac:dyDescent="0.35">
      <c r="B44" s="191" t="str">
        <f>IF(Lançamentos!$B39="","",Lançamentos!$B39)</f>
        <v/>
      </c>
      <c r="C44" s="192" t="str">
        <f>IF($B44="","",IFERROR(INDEX(Lançamentos!$J$3:$J$1001,MATCH($B44,Lançamentos!$B$3:$B$1001,0)),""))</f>
        <v/>
      </c>
      <c r="D44" s="413" t="str">
        <f>IF($B44="","",IFERROR(INDEX('E2 — Triagem'!$D$8:$D$507,MATCH($B44,'E2 — Triagem'!$B$8:$B$507,0)),""))</f>
        <v/>
      </c>
      <c r="E44" s="193"/>
      <c r="F44" s="193"/>
      <c r="G44" s="193"/>
      <c r="H44" s="193"/>
      <c r="I44" s="193"/>
      <c r="J44" s="193"/>
      <c r="K44" s="194" t="str">
        <f t="shared" si="0"/>
        <v/>
      </c>
      <c r="L44" s="181"/>
      <c r="M44" s="181"/>
      <c r="N44" s="195" t="str">
        <f>IF(B44="","",IF('E5 — Validação'!M44="✅ Aprovado sem Ajustes","Não",IF(OR('E5 — Validação'!M44="⚠️ Aprovado com Ajustes",'E5 — Validação'!M44="❌ Reprovado"),"Sim","")))</f>
        <v/>
      </c>
    </row>
    <row r="45" spans="2:14" ht="14.5" customHeight="1" x14ac:dyDescent="0.35">
      <c r="B45" s="191" t="str">
        <f>IF(Lançamentos!$B40="","",Lançamentos!$B40)</f>
        <v/>
      </c>
      <c r="C45" s="192" t="str">
        <f>IF($B45="","",IFERROR(INDEX(Lançamentos!$J$3:$J$1001,MATCH($B45,Lançamentos!$B$3:$B$1001,0)),""))</f>
        <v/>
      </c>
      <c r="D45" s="413" t="str">
        <f>IF($B45="","",IFERROR(INDEX('E2 — Triagem'!$D$8:$D$507,MATCH($B45,'E2 — Triagem'!$B$8:$B$507,0)),""))</f>
        <v/>
      </c>
      <c r="E45" s="193"/>
      <c r="F45" s="193"/>
      <c r="G45" s="193"/>
      <c r="H45" s="193"/>
      <c r="I45" s="193"/>
      <c r="J45" s="193"/>
      <c r="K45" s="194" t="str">
        <f t="shared" si="0"/>
        <v/>
      </c>
      <c r="L45" s="181"/>
      <c r="M45" s="181"/>
      <c r="N45" s="195" t="str">
        <f>IF(B45="","",IF('E5 — Validação'!M45="✅ Aprovado sem Ajustes","Não",IF(OR('E5 — Validação'!M45="⚠️ Aprovado com Ajustes",'E5 — Validação'!M45="❌ Reprovado"),"Sim","")))</f>
        <v/>
      </c>
    </row>
    <row r="46" spans="2:14" ht="14.5" customHeight="1" x14ac:dyDescent="0.35">
      <c r="B46" s="191" t="str">
        <f>IF(Lançamentos!$B41="","",Lançamentos!$B41)</f>
        <v/>
      </c>
      <c r="C46" s="192" t="str">
        <f>IF($B46="","",IFERROR(INDEX(Lançamentos!$J$3:$J$1001,MATCH($B46,Lançamentos!$B$3:$B$1001,0)),""))</f>
        <v/>
      </c>
      <c r="D46" s="413" t="str">
        <f>IF($B46="","",IFERROR(INDEX('E2 — Triagem'!$D$8:$D$507,MATCH($B46,'E2 — Triagem'!$B$8:$B$507,0)),""))</f>
        <v/>
      </c>
      <c r="E46" s="193"/>
      <c r="F46" s="193"/>
      <c r="G46" s="193"/>
      <c r="H46" s="193"/>
      <c r="I46" s="193"/>
      <c r="J46" s="193"/>
      <c r="K46" s="194" t="str">
        <f t="shared" si="0"/>
        <v/>
      </c>
      <c r="L46" s="181"/>
      <c r="M46" s="181"/>
      <c r="N46" s="195" t="str">
        <f>IF(B46="","",IF('E5 — Validação'!M46="✅ Aprovado sem Ajustes","Não",IF(OR('E5 — Validação'!M46="⚠️ Aprovado com Ajustes",'E5 — Validação'!M46="❌ Reprovado"),"Sim","")))</f>
        <v/>
      </c>
    </row>
    <row r="47" spans="2:14" ht="14.5" customHeight="1" x14ac:dyDescent="0.35">
      <c r="B47" s="191" t="str">
        <f>IF(Lançamentos!$B42="","",Lançamentos!$B42)</f>
        <v/>
      </c>
      <c r="C47" s="192" t="str">
        <f>IF($B47="","",IFERROR(INDEX(Lançamentos!$J$3:$J$1001,MATCH($B47,Lançamentos!$B$3:$B$1001,0)),""))</f>
        <v/>
      </c>
      <c r="D47" s="413" t="str">
        <f>IF($B47="","",IFERROR(INDEX('E2 — Triagem'!$D$8:$D$507,MATCH($B47,'E2 — Triagem'!$B$8:$B$507,0)),""))</f>
        <v/>
      </c>
      <c r="E47" s="193"/>
      <c r="F47" s="193"/>
      <c r="G47" s="193"/>
      <c r="H47" s="193"/>
      <c r="I47" s="193"/>
      <c r="J47" s="193"/>
      <c r="K47" s="194" t="str">
        <f t="shared" si="0"/>
        <v/>
      </c>
      <c r="L47" s="181"/>
      <c r="M47" s="181"/>
      <c r="N47" s="195" t="str">
        <f>IF(B47="","",IF('E5 — Validação'!M47="✅ Aprovado sem Ajustes","Não",IF(OR('E5 — Validação'!M47="⚠️ Aprovado com Ajustes",'E5 — Validação'!M47="❌ Reprovado"),"Sim","")))</f>
        <v/>
      </c>
    </row>
    <row r="48" spans="2:14" ht="14.5" customHeight="1" x14ac:dyDescent="0.35">
      <c r="B48" s="191" t="str">
        <f>IF(Lançamentos!$B43="","",Lançamentos!$B43)</f>
        <v/>
      </c>
      <c r="C48" s="192" t="str">
        <f>IF($B48="","",IFERROR(INDEX(Lançamentos!$J$3:$J$1001,MATCH($B48,Lançamentos!$B$3:$B$1001,0)),""))</f>
        <v/>
      </c>
      <c r="D48" s="413" t="str">
        <f>IF($B48="","",IFERROR(INDEX('E2 — Triagem'!$D$8:$D$507,MATCH($B48,'E2 — Triagem'!$B$8:$B$507,0)),""))</f>
        <v/>
      </c>
      <c r="E48" s="193"/>
      <c r="F48" s="193"/>
      <c r="G48" s="193"/>
      <c r="H48" s="193"/>
      <c r="I48" s="193"/>
      <c r="J48" s="193"/>
      <c r="K48" s="194" t="str">
        <f t="shared" si="0"/>
        <v/>
      </c>
      <c r="L48" s="181"/>
      <c r="M48" s="181"/>
      <c r="N48" s="195" t="str">
        <f>IF(B48="","",IF('E5 — Validação'!M48="✅ Aprovado sem Ajustes","Não",IF(OR('E5 — Validação'!M48="⚠️ Aprovado com Ajustes",'E5 — Validação'!M48="❌ Reprovado"),"Sim","")))</f>
        <v/>
      </c>
    </row>
    <row r="49" spans="2:14" ht="14.5" customHeight="1" x14ac:dyDescent="0.35">
      <c r="B49" s="191" t="str">
        <f>IF(Lançamentos!$B44="","",Lançamentos!$B44)</f>
        <v/>
      </c>
      <c r="C49" s="192" t="str">
        <f>IF($B49="","",IFERROR(INDEX(Lançamentos!$J$3:$J$1001,MATCH($B49,Lançamentos!$B$3:$B$1001,0)),""))</f>
        <v/>
      </c>
      <c r="D49" s="413" t="str">
        <f>IF($B49="","",IFERROR(INDEX('E2 — Triagem'!$D$8:$D$507,MATCH($B49,'E2 — Triagem'!$B$8:$B$507,0)),""))</f>
        <v/>
      </c>
      <c r="E49" s="193"/>
      <c r="F49" s="193"/>
      <c r="G49" s="193"/>
      <c r="H49" s="193"/>
      <c r="I49" s="193"/>
      <c r="J49" s="193"/>
      <c r="K49" s="194" t="str">
        <f t="shared" si="0"/>
        <v/>
      </c>
      <c r="L49" s="181"/>
      <c r="M49" s="181"/>
      <c r="N49" s="195" t="str">
        <f>IF(B49="","",IF('E5 — Validação'!M49="✅ Aprovado sem Ajustes","Não",IF(OR('E5 — Validação'!M49="⚠️ Aprovado com Ajustes",'E5 — Validação'!M49="❌ Reprovado"),"Sim","")))</f>
        <v/>
      </c>
    </row>
    <row r="50" spans="2:14" ht="14.5" customHeight="1" x14ac:dyDescent="0.35">
      <c r="B50" s="191" t="str">
        <f>IF(Lançamentos!$B45="","",Lançamentos!$B45)</f>
        <v/>
      </c>
      <c r="C50" s="192" t="str">
        <f>IF($B50="","",IFERROR(INDEX(Lançamentos!$J$3:$J$1001,MATCH($B50,Lançamentos!$B$3:$B$1001,0)),""))</f>
        <v/>
      </c>
      <c r="D50" s="413" t="str">
        <f>IF($B50="","",IFERROR(INDEX('E2 — Triagem'!$D$8:$D$507,MATCH($B50,'E2 — Triagem'!$B$8:$B$507,0)),""))</f>
        <v/>
      </c>
      <c r="E50" s="193"/>
      <c r="F50" s="193"/>
      <c r="G50" s="193"/>
      <c r="H50" s="193"/>
      <c r="I50" s="193"/>
      <c r="J50" s="193"/>
      <c r="K50" s="194" t="str">
        <f t="shared" si="0"/>
        <v/>
      </c>
      <c r="L50" s="181"/>
      <c r="M50" s="181"/>
      <c r="N50" s="195" t="str">
        <f>IF(B50="","",IF('E5 — Validação'!M50="✅ Aprovado sem Ajustes","Não",IF(OR('E5 — Validação'!M50="⚠️ Aprovado com Ajustes",'E5 — Validação'!M50="❌ Reprovado"),"Sim","")))</f>
        <v/>
      </c>
    </row>
    <row r="51" spans="2:14" ht="14.5" customHeight="1" x14ac:dyDescent="0.35">
      <c r="B51" s="191" t="str">
        <f>IF(Lançamentos!$B46="","",Lançamentos!$B46)</f>
        <v/>
      </c>
      <c r="C51" s="192" t="str">
        <f>IF($B51="","",IFERROR(INDEX(Lançamentos!$J$3:$J$1001,MATCH($B51,Lançamentos!$B$3:$B$1001,0)),""))</f>
        <v/>
      </c>
      <c r="D51" s="413" t="str">
        <f>IF($B51="","",IFERROR(INDEX('E2 — Triagem'!$D$8:$D$507,MATCH($B51,'E2 — Triagem'!$B$8:$B$507,0)),""))</f>
        <v/>
      </c>
      <c r="E51" s="193"/>
      <c r="F51" s="193"/>
      <c r="G51" s="193"/>
      <c r="H51" s="193"/>
      <c r="I51" s="193"/>
      <c r="J51" s="193"/>
      <c r="K51" s="194" t="str">
        <f t="shared" si="0"/>
        <v/>
      </c>
      <c r="L51" s="181"/>
      <c r="M51" s="181"/>
      <c r="N51" s="195" t="str">
        <f>IF(B51="","",IF('E5 — Validação'!M51="✅ Aprovado sem Ajustes","Não",IF(OR('E5 — Validação'!M51="⚠️ Aprovado com Ajustes",'E5 — Validação'!M51="❌ Reprovado"),"Sim","")))</f>
        <v/>
      </c>
    </row>
    <row r="52" spans="2:14" ht="14.5" customHeight="1" x14ac:dyDescent="0.35">
      <c r="B52" s="191" t="str">
        <f>IF(Lançamentos!$B47="","",Lançamentos!$B47)</f>
        <v/>
      </c>
      <c r="C52" s="192" t="str">
        <f>IF($B52="","",IFERROR(INDEX(Lançamentos!$J$3:$J$1001,MATCH($B52,Lançamentos!$B$3:$B$1001,0)),""))</f>
        <v/>
      </c>
      <c r="D52" s="413" t="str">
        <f>IF($B52="","",IFERROR(INDEX('E2 — Triagem'!$D$8:$D$507,MATCH($B52,'E2 — Triagem'!$B$8:$B$507,0)),""))</f>
        <v/>
      </c>
      <c r="E52" s="193"/>
      <c r="F52" s="193"/>
      <c r="G52" s="193"/>
      <c r="H52" s="193"/>
      <c r="I52" s="193"/>
      <c r="J52" s="193"/>
      <c r="K52" s="194" t="str">
        <f t="shared" si="0"/>
        <v/>
      </c>
      <c r="L52" s="181"/>
      <c r="M52" s="181"/>
      <c r="N52" s="195" t="str">
        <f>IF(B52="","",IF('E5 — Validação'!M52="✅ Aprovado sem Ajustes","Não",IF(OR('E5 — Validação'!M52="⚠️ Aprovado com Ajustes",'E5 — Validação'!M52="❌ Reprovado"),"Sim","")))</f>
        <v/>
      </c>
    </row>
    <row r="53" spans="2:14" ht="14.5" customHeight="1" x14ac:dyDescent="0.35">
      <c r="B53" s="191" t="str">
        <f>IF(Lançamentos!$B48="","",Lançamentos!$B48)</f>
        <v/>
      </c>
      <c r="C53" s="192" t="str">
        <f>IF($B53="","",IFERROR(INDEX(Lançamentos!$J$3:$J$1001,MATCH($B53,Lançamentos!$B$3:$B$1001,0)),""))</f>
        <v/>
      </c>
      <c r="D53" s="413" t="str">
        <f>IF($B53="","",IFERROR(INDEX('E2 — Triagem'!$D$8:$D$507,MATCH($B53,'E2 — Triagem'!$B$8:$B$507,0)),""))</f>
        <v/>
      </c>
      <c r="E53" s="193"/>
      <c r="F53" s="193"/>
      <c r="G53" s="193"/>
      <c r="H53" s="193"/>
      <c r="I53" s="193"/>
      <c r="J53" s="193"/>
      <c r="K53" s="194" t="str">
        <f t="shared" si="0"/>
        <v/>
      </c>
      <c r="L53" s="181"/>
      <c r="M53" s="181"/>
      <c r="N53" s="195" t="str">
        <f>IF(B53="","",IF('E5 — Validação'!M53="✅ Aprovado sem Ajustes","Não",IF(OR('E5 — Validação'!M53="⚠️ Aprovado com Ajustes",'E5 — Validação'!M53="❌ Reprovado"),"Sim","")))</f>
        <v/>
      </c>
    </row>
    <row r="54" spans="2:14" ht="14.5" customHeight="1" x14ac:dyDescent="0.35">
      <c r="B54" s="191" t="str">
        <f>IF(Lançamentos!$B49="","",Lançamentos!$B49)</f>
        <v/>
      </c>
      <c r="C54" s="192" t="str">
        <f>IF($B54="","",IFERROR(INDEX(Lançamentos!$J$3:$J$1001,MATCH($B54,Lançamentos!$B$3:$B$1001,0)),""))</f>
        <v/>
      </c>
      <c r="D54" s="413" t="str">
        <f>IF($B54="","",IFERROR(INDEX('E2 — Triagem'!$D$8:$D$507,MATCH($B54,'E2 — Triagem'!$B$8:$B$507,0)),""))</f>
        <v/>
      </c>
      <c r="E54" s="193"/>
      <c r="F54" s="193"/>
      <c r="G54" s="193"/>
      <c r="H54" s="193"/>
      <c r="I54" s="193"/>
      <c r="J54" s="193"/>
      <c r="K54" s="194" t="str">
        <f t="shared" si="0"/>
        <v/>
      </c>
      <c r="L54" s="181"/>
      <c r="M54" s="181"/>
      <c r="N54" s="195" t="str">
        <f>IF(B54="","",IF('E5 — Validação'!M54="✅ Aprovado sem Ajustes","Não",IF(OR('E5 — Validação'!M54="⚠️ Aprovado com Ajustes",'E5 — Validação'!M54="❌ Reprovado"),"Sim","")))</f>
        <v/>
      </c>
    </row>
    <row r="55" spans="2:14" ht="14.5" customHeight="1" x14ac:dyDescent="0.35">
      <c r="B55" s="191" t="str">
        <f>IF(Lançamentos!$B50="","",Lançamentos!$B50)</f>
        <v/>
      </c>
      <c r="C55" s="192" t="str">
        <f>IF($B55="","",IFERROR(INDEX(Lançamentos!$J$3:$J$1001,MATCH($B55,Lançamentos!$B$3:$B$1001,0)),""))</f>
        <v/>
      </c>
      <c r="D55" s="413" t="str">
        <f>IF($B55="","",IFERROR(INDEX('E2 — Triagem'!$D$8:$D$507,MATCH($B55,'E2 — Triagem'!$B$8:$B$507,0)),""))</f>
        <v/>
      </c>
      <c r="E55" s="193"/>
      <c r="F55" s="193"/>
      <c r="G55" s="193"/>
      <c r="H55" s="193"/>
      <c r="I55" s="193"/>
      <c r="J55" s="193"/>
      <c r="K55" s="194" t="str">
        <f t="shared" si="0"/>
        <v/>
      </c>
      <c r="L55" s="181"/>
      <c r="M55" s="181"/>
      <c r="N55" s="195" t="str">
        <f>IF(B55="","",IF('E5 — Validação'!M55="✅ Aprovado sem Ajustes","Não",IF(OR('E5 — Validação'!M55="⚠️ Aprovado com Ajustes",'E5 — Validação'!M55="❌ Reprovado"),"Sim","")))</f>
        <v/>
      </c>
    </row>
    <row r="56" spans="2:14" ht="14.5" customHeight="1" x14ac:dyDescent="0.35">
      <c r="B56" s="191" t="str">
        <f>IF(Lançamentos!$B51="","",Lançamentos!$B51)</f>
        <v/>
      </c>
      <c r="C56" s="192" t="str">
        <f>IF($B56="","",IFERROR(INDEX(Lançamentos!$J$3:$J$1001,MATCH($B56,Lançamentos!$B$3:$B$1001,0)),""))</f>
        <v/>
      </c>
      <c r="D56" s="413" t="str">
        <f>IF($B56="","",IFERROR(INDEX('E2 — Triagem'!$D$8:$D$507,MATCH($B56,'E2 — Triagem'!$B$8:$B$507,0)),""))</f>
        <v/>
      </c>
      <c r="E56" s="193"/>
      <c r="F56" s="193"/>
      <c r="G56" s="193"/>
      <c r="H56" s="193"/>
      <c r="I56" s="193"/>
      <c r="J56" s="193"/>
      <c r="K56" s="194" t="str">
        <f t="shared" si="0"/>
        <v/>
      </c>
      <c r="L56" s="181"/>
      <c r="M56" s="181"/>
      <c r="N56" s="195" t="str">
        <f>IF(B56="","",IF('E5 — Validação'!M56="✅ Aprovado sem Ajustes","Não",IF(OR('E5 — Validação'!M56="⚠️ Aprovado com Ajustes",'E5 — Validação'!M56="❌ Reprovado"),"Sim","")))</f>
        <v/>
      </c>
    </row>
    <row r="57" spans="2:14" ht="14.5" customHeight="1" x14ac:dyDescent="0.35">
      <c r="B57" s="191" t="str">
        <f>IF(Lançamentos!$B52="","",Lançamentos!$B52)</f>
        <v/>
      </c>
      <c r="C57" s="192" t="str">
        <f>IF($B57="","",IFERROR(INDEX(Lançamentos!$J$3:$J$1001,MATCH($B57,Lançamentos!$B$3:$B$1001,0)),""))</f>
        <v/>
      </c>
      <c r="D57" s="413" t="str">
        <f>IF($B57="","",IFERROR(INDEX('E2 — Triagem'!$D$8:$D$507,MATCH($B57,'E2 — Triagem'!$B$8:$B$507,0)),""))</f>
        <v/>
      </c>
      <c r="E57" s="193"/>
      <c r="F57" s="193"/>
      <c r="G57" s="193"/>
      <c r="H57" s="193"/>
      <c r="I57" s="193"/>
      <c r="J57" s="193"/>
      <c r="K57" s="194" t="str">
        <f t="shared" si="0"/>
        <v/>
      </c>
      <c r="L57" s="181"/>
      <c r="M57" s="181"/>
      <c r="N57" s="195" t="str">
        <f>IF(B57="","",IF('E5 — Validação'!M57="✅ Aprovado sem Ajustes","Não",IF(OR('E5 — Validação'!M57="⚠️ Aprovado com Ajustes",'E5 — Validação'!M57="❌ Reprovado"),"Sim","")))</f>
        <v/>
      </c>
    </row>
    <row r="58" spans="2:14" ht="14.5" customHeight="1" x14ac:dyDescent="0.35">
      <c r="B58" s="191" t="str">
        <f>IF(Lançamentos!$B53="","",Lançamentos!$B53)</f>
        <v/>
      </c>
      <c r="C58" s="192" t="str">
        <f>IF($B58="","",IFERROR(INDEX(Lançamentos!$J$3:$J$1001,MATCH($B58,Lançamentos!$B$3:$B$1001,0)),""))</f>
        <v/>
      </c>
      <c r="D58" s="413" t="str">
        <f>IF($B58="","",IFERROR(INDEX('E2 — Triagem'!$D$8:$D$507,MATCH($B58,'E2 — Triagem'!$B$8:$B$507,0)),""))</f>
        <v/>
      </c>
      <c r="E58" s="193"/>
      <c r="F58" s="193"/>
      <c r="G58" s="193"/>
      <c r="H58" s="193"/>
      <c r="I58" s="193"/>
      <c r="J58" s="193"/>
      <c r="K58" s="194" t="str">
        <f t="shared" si="0"/>
        <v/>
      </c>
      <c r="L58" s="181"/>
      <c r="M58" s="181"/>
      <c r="N58" s="195" t="str">
        <f>IF(B58="","",IF('E5 — Validação'!M58="✅ Aprovado sem Ajustes","Não",IF(OR('E5 — Validação'!M58="⚠️ Aprovado com Ajustes",'E5 — Validação'!M58="❌ Reprovado"),"Sim","")))</f>
        <v/>
      </c>
    </row>
    <row r="59" spans="2:14" ht="14.5" customHeight="1" x14ac:dyDescent="0.35">
      <c r="B59" s="191" t="str">
        <f>IF(Lançamentos!$B54="","",Lançamentos!$B54)</f>
        <v/>
      </c>
      <c r="C59" s="192" t="str">
        <f>IF($B59="","",IFERROR(INDEX(Lançamentos!$J$3:$J$1001,MATCH($B59,Lançamentos!$B$3:$B$1001,0)),""))</f>
        <v/>
      </c>
      <c r="D59" s="413" t="str">
        <f>IF($B59="","",IFERROR(INDEX('E2 — Triagem'!$D$8:$D$507,MATCH($B59,'E2 — Triagem'!$B$8:$B$507,0)),""))</f>
        <v/>
      </c>
      <c r="E59" s="193"/>
      <c r="F59" s="193"/>
      <c r="G59" s="193"/>
      <c r="H59" s="193"/>
      <c r="I59" s="193"/>
      <c r="J59" s="193"/>
      <c r="K59" s="194" t="str">
        <f t="shared" si="0"/>
        <v/>
      </c>
      <c r="L59" s="181"/>
      <c r="M59" s="181"/>
      <c r="N59" s="195" t="str">
        <f>IF(B59="","",IF('E5 — Validação'!M59="✅ Aprovado sem Ajustes","Não",IF(OR('E5 — Validação'!M59="⚠️ Aprovado com Ajustes",'E5 — Validação'!M59="❌ Reprovado"),"Sim","")))</f>
        <v/>
      </c>
    </row>
    <row r="60" spans="2:14" ht="14.5" customHeight="1" x14ac:dyDescent="0.35">
      <c r="B60" s="191" t="str">
        <f>IF(Lançamentos!$B55="","",Lançamentos!$B55)</f>
        <v/>
      </c>
      <c r="C60" s="192" t="str">
        <f>IF($B60="","",IFERROR(INDEX(Lançamentos!$J$3:$J$1001,MATCH($B60,Lançamentos!$B$3:$B$1001,0)),""))</f>
        <v/>
      </c>
      <c r="D60" s="413" t="str">
        <f>IF($B60="","",IFERROR(INDEX('E2 — Triagem'!$D$8:$D$507,MATCH($B60,'E2 — Triagem'!$B$8:$B$507,0)),""))</f>
        <v/>
      </c>
      <c r="E60" s="193"/>
      <c r="F60" s="193"/>
      <c r="G60" s="193"/>
      <c r="H60" s="193"/>
      <c r="I60" s="193"/>
      <c r="J60" s="193"/>
      <c r="K60" s="194" t="str">
        <f t="shared" si="0"/>
        <v/>
      </c>
      <c r="L60" s="181"/>
      <c r="M60" s="181"/>
      <c r="N60" s="195" t="str">
        <f>IF(B60="","",IF('E5 — Validação'!M60="✅ Aprovado sem Ajustes","Não",IF(OR('E5 — Validação'!M60="⚠️ Aprovado com Ajustes",'E5 — Validação'!M60="❌ Reprovado"),"Sim","")))</f>
        <v/>
      </c>
    </row>
    <row r="61" spans="2:14" ht="14.5" customHeight="1" x14ac:dyDescent="0.35">
      <c r="B61" s="191" t="str">
        <f>IF(Lançamentos!$B56="","",Lançamentos!$B56)</f>
        <v/>
      </c>
      <c r="C61" s="192" t="str">
        <f>IF($B61="","",IFERROR(INDEX(Lançamentos!$J$3:$J$1001,MATCH($B61,Lançamentos!$B$3:$B$1001,0)),""))</f>
        <v/>
      </c>
      <c r="D61" s="413" t="str">
        <f>IF($B61="","",IFERROR(INDEX('E2 — Triagem'!$D$8:$D$507,MATCH($B61,'E2 — Triagem'!$B$8:$B$507,0)),""))</f>
        <v/>
      </c>
      <c r="E61" s="193"/>
      <c r="F61" s="193"/>
      <c r="G61" s="193"/>
      <c r="H61" s="193"/>
      <c r="I61" s="193"/>
      <c r="J61" s="193"/>
      <c r="K61" s="194" t="str">
        <f t="shared" si="0"/>
        <v/>
      </c>
      <c r="L61" s="181"/>
      <c r="M61" s="181"/>
      <c r="N61" s="195" t="str">
        <f>IF(B61="","",IF('E5 — Validação'!M61="✅ Aprovado sem Ajustes","Não",IF(OR('E5 — Validação'!M61="⚠️ Aprovado com Ajustes",'E5 — Validação'!M61="❌ Reprovado"),"Sim","")))</f>
        <v/>
      </c>
    </row>
    <row r="62" spans="2:14" ht="14.5" customHeight="1" x14ac:dyDescent="0.35">
      <c r="B62" s="191" t="str">
        <f>IF(Lançamentos!$B57="","",Lançamentos!$B57)</f>
        <v/>
      </c>
      <c r="C62" s="192" t="str">
        <f>IF($B62="","",IFERROR(INDEX(Lançamentos!$J$3:$J$1001,MATCH($B62,Lançamentos!$B$3:$B$1001,0)),""))</f>
        <v/>
      </c>
      <c r="D62" s="413" t="str">
        <f>IF($B62="","",IFERROR(INDEX('E2 — Triagem'!$D$8:$D$507,MATCH($B62,'E2 — Triagem'!$B$8:$B$507,0)),""))</f>
        <v/>
      </c>
      <c r="E62" s="193"/>
      <c r="F62" s="193"/>
      <c r="G62" s="193"/>
      <c r="H62" s="193"/>
      <c r="I62" s="193"/>
      <c r="J62" s="193"/>
      <c r="K62" s="194" t="str">
        <f t="shared" si="0"/>
        <v/>
      </c>
      <c r="L62" s="181"/>
      <c r="M62" s="181"/>
      <c r="N62" s="195" t="str">
        <f>IF(B62="","",IF('E5 — Validação'!M62="✅ Aprovado sem Ajustes","Não",IF(OR('E5 — Validação'!M62="⚠️ Aprovado com Ajustes",'E5 — Validação'!M62="❌ Reprovado"),"Sim","")))</f>
        <v/>
      </c>
    </row>
    <row r="63" spans="2:14" ht="14.5" customHeight="1" x14ac:dyDescent="0.35">
      <c r="B63" s="191" t="str">
        <f>IF(Lançamentos!$B58="","",Lançamentos!$B58)</f>
        <v/>
      </c>
      <c r="C63" s="192" t="str">
        <f>IF($B63="","",IFERROR(INDEX(Lançamentos!$J$3:$J$1001,MATCH($B63,Lançamentos!$B$3:$B$1001,0)),""))</f>
        <v/>
      </c>
      <c r="D63" s="413" t="str">
        <f>IF($B63="","",IFERROR(INDEX('E2 — Triagem'!$D$8:$D$507,MATCH($B63,'E2 — Triagem'!$B$8:$B$507,0)),""))</f>
        <v/>
      </c>
      <c r="E63" s="193"/>
      <c r="F63" s="193"/>
      <c r="G63" s="193"/>
      <c r="H63" s="193"/>
      <c r="I63" s="193"/>
      <c r="J63" s="193"/>
      <c r="K63" s="194" t="str">
        <f t="shared" si="0"/>
        <v/>
      </c>
      <c r="L63" s="181"/>
      <c r="M63" s="181"/>
      <c r="N63" s="195" t="str">
        <f>IF(B63="","",IF('E5 — Validação'!M63="✅ Aprovado sem Ajustes","Não",IF(OR('E5 — Validação'!M63="⚠️ Aprovado com Ajustes",'E5 — Validação'!M63="❌ Reprovado"),"Sim","")))</f>
        <v/>
      </c>
    </row>
    <row r="64" spans="2:14" ht="14.5" customHeight="1" x14ac:dyDescent="0.35">
      <c r="B64" s="191" t="str">
        <f>IF(Lançamentos!$B59="","",Lançamentos!$B59)</f>
        <v/>
      </c>
      <c r="C64" s="192" t="str">
        <f>IF($B64="","",IFERROR(INDEX(Lançamentos!$J$3:$J$1001,MATCH($B64,Lançamentos!$B$3:$B$1001,0)),""))</f>
        <v/>
      </c>
      <c r="D64" s="413" t="str">
        <f>IF($B64="","",IFERROR(INDEX('E2 — Triagem'!$D$8:$D$507,MATCH($B64,'E2 — Triagem'!$B$8:$B$507,0)),""))</f>
        <v/>
      </c>
      <c r="E64" s="193"/>
      <c r="F64" s="193"/>
      <c r="G64" s="193"/>
      <c r="H64" s="193"/>
      <c r="I64" s="193"/>
      <c r="J64" s="193"/>
      <c r="K64" s="194" t="str">
        <f t="shared" si="0"/>
        <v/>
      </c>
      <c r="L64" s="181"/>
      <c r="M64" s="181"/>
      <c r="N64" s="195" t="str">
        <f>IF(B64="","",IF('E5 — Validação'!M64="✅ Aprovado sem Ajustes","Não",IF(OR('E5 — Validação'!M64="⚠️ Aprovado com Ajustes",'E5 — Validação'!M64="❌ Reprovado"),"Sim","")))</f>
        <v/>
      </c>
    </row>
    <row r="65" spans="2:14" ht="14.5" customHeight="1" x14ac:dyDescent="0.35">
      <c r="B65" s="191" t="str">
        <f>IF(Lançamentos!$B60="","",Lançamentos!$B60)</f>
        <v/>
      </c>
      <c r="C65" s="192" t="str">
        <f>IF($B65="","",IFERROR(INDEX(Lançamentos!$J$3:$J$1001,MATCH($B65,Lançamentos!$B$3:$B$1001,0)),""))</f>
        <v/>
      </c>
      <c r="D65" s="413" t="str">
        <f>IF($B65="","",IFERROR(INDEX('E2 — Triagem'!$D$8:$D$507,MATCH($B65,'E2 — Triagem'!$B$8:$B$507,0)),""))</f>
        <v/>
      </c>
      <c r="E65" s="193"/>
      <c r="F65" s="193"/>
      <c r="G65" s="193"/>
      <c r="H65" s="193"/>
      <c r="I65" s="193"/>
      <c r="J65" s="193"/>
      <c r="K65" s="194" t="str">
        <f t="shared" si="0"/>
        <v/>
      </c>
      <c r="L65" s="181"/>
      <c r="M65" s="181"/>
      <c r="N65" s="195" t="str">
        <f>IF(B65="","",IF('E5 — Validação'!M65="✅ Aprovado sem Ajustes","Não",IF(OR('E5 — Validação'!M65="⚠️ Aprovado com Ajustes",'E5 — Validação'!M65="❌ Reprovado"),"Sim","")))</f>
        <v/>
      </c>
    </row>
    <row r="66" spans="2:14" ht="14.5" customHeight="1" x14ac:dyDescent="0.35">
      <c r="B66" s="191" t="str">
        <f>IF(Lançamentos!$B61="","",Lançamentos!$B61)</f>
        <v/>
      </c>
      <c r="C66" s="192" t="str">
        <f>IF($B66="","",IFERROR(INDEX(Lançamentos!$J$3:$J$1001,MATCH($B66,Lançamentos!$B$3:$B$1001,0)),""))</f>
        <v/>
      </c>
      <c r="D66" s="413" t="str">
        <f>IF($B66="","",IFERROR(INDEX('E2 — Triagem'!$D$8:$D$507,MATCH($B66,'E2 — Triagem'!$B$8:$B$507,0)),""))</f>
        <v/>
      </c>
      <c r="E66" s="193"/>
      <c r="F66" s="193"/>
      <c r="G66" s="193"/>
      <c r="H66" s="193"/>
      <c r="I66" s="193"/>
      <c r="J66" s="193"/>
      <c r="K66" s="194" t="str">
        <f t="shared" si="0"/>
        <v/>
      </c>
      <c r="L66" s="181"/>
      <c r="M66" s="181"/>
      <c r="N66" s="195" t="str">
        <f>IF(B66="","",IF('E5 — Validação'!M66="✅ Aprovado sem Ajustes","Não",IF(OR('E5 — Validação'!M66="⚠️ Aprovado com Ajustes",'E5 — Validação'!M66="❌ Reprovado"),"Sim","")))</f>
        <v/>
      </c>
    </row>
    <row r="67" spans="2:14" ht="14.5" customHeight="1" x14ac:dyDescent="0.35">
      <c r="B67" s="191" t="str">
        <f>IF(Lançamentos!$B62="","",Lançamentos!$B62)</f>
        <v/>
      </c>
      <c r="C67" s="192" t="str">
        <f>IF($B67="","",IFERROR(INDEX(Lançamentos!$J$3:$J$1001,MATCH($B67,Lançamentos!$B$3:$B$1001,0)),""))</f>
        <v/>
      </c>
      <c r="D67" s="413" t="str">
        <f>IF($B67="","",IFERROR(INDEX('E2 — Triagem'!$D$8:$D$507,MATCH($B67,'E2 — Triagem'!$B$8:$B$507,0)),""))</f>
        <v/>
      </c>
      <c r="E67" s="193"/>
      <c r="F67" s="193"/>
      <c r="G67" s="193"/>
      <c r="H67" s="193"/>
      <c r="I67" s="193"/>
      <c r="J67" s="193"/>
      <c r="K67" s="194" t="str">
        <f t="shared" si="0"/>
        <v/>
      </c>
      <c r="L67" s="181"/>
      <c r="M67" s="181"/>
      <c r="N67" s="195" t="str">
        <f>IF(B67="","",IF('E5 — Validação'!M67="✅ Aprovado sem Ajustes","Não",IF(OR('E5 — Validação'!M67="⚠️ Aprovado com Ajustes",'E5 — Validação'!M67="❌ Reprovado"),"Sim","")))</f>
        <v/>
      </c>
    </row>
    <row r="68" spans="2:14" ht="14.5" customHeight="1" x14ac:dyDescent="0.35">
      <c r="B68" s="191" t="str">
        <f>IF(Lançamentos!$B63="","",Lançamentos!$B63)</f>
        <v/>
      </c>
      <c r="C68" s="192" t="str">
        <f>IF($B68="","",IFERROR(INDEX(Lançamentos!$J$3:$J$1001,MATCH($B68,Lançamentos!$B$3:$B$1001,0)),""))</f>
        <v/>
      </c>
      <c r="D68" s="413" t="str">
        <f>IF($B68="","",IFERROR(INDEX('E2 — Triagem'!$D$8:$D$507,MATCH($B68,'E2 — Triagem'!$B$8:$B$507,0)),""))</f>
        <v/>
      </c>
      <c r="E68" s="193"/>
      <c r="F68" s="193"/>
      <c r="G68" s="193"/>
      <c r="H68" s="193"/>
      <c r="I68" s="193"/>
      <c r="J68" s="193"/>
      <c r="K68" s="194" t="str">
        <f t="shared" si="0"/>
        <v/>
      </c>
      <c r="L68" s="181"/>
      <c r="M68" s="181"/>
      <c r="N68" s="195" t="str">
        <f>IF(B68="","",IF('E5 — Validação'!M68="✅ Aprovado sem Ajustes","Não",IF(OR('E5 — Validação'!M68="⚠️ Aprovado com Ajustes",'E5 — Validação'!M68="❌ Reprovado"),"Sim","")))</f>
        <v/>
      </c>
    </row>
    <row r="69" spans="2:14" ht="14.5" customHeight="1" x14ac:dyDescent="0.35">
      <c r="B69" s="191" t="str">
        <f>IF(Lançamentos!$B64="","",Lançamentos!$B64)</f>
        <v/>
      </c>
      <c r="C69" s="192" t="str">
        <f>IF($B69="","",IFERROR(INDEX(Lançamentos!$J$3:$J$1001,MATCH($B69,Lançamentos!$B$3:$B$1001,0)),""))</f>
        <v/>
      </c>
      <c r="D69" s="413" t="str">
        <f>IF($B69="","",IFERROR(INDEX('E2 — Triagem'!$D$8:$D$507,MATCH($B69,'E2 — Triagem'!$B$8:$B$507,0)),""))</f>
        <v/>
      </c>
      <c r="E69" s="193"/>
      <c r="F69" s="193"/>
      <c r="G69" s="193"/>
      <c r="H69" s="193"/>
      <c r="I69" s="193"/>
      <c r="J69" s="193"/>
      <c r="K69" s="194" t="str">
        <f t="shared" si="0"/>
        <v/>
      </c>
      <c r="L69" s="181"/>
      <c r="M69" s="181"/>
      <c r="N69" s="195" t="str">
        <f>IF(B69="","",IF('E5 — Validação'!M69="✅ Aprovado sem Ajustes","Não",IF(OR('E5 — Validação'!M69="⚠️ Aprovado com Ajustes",'E5 — Validação'!M69="❌ Reprovado"),"Sim","")))</f>
        <v/>
      </c>
    </row>
    <row r="70" spans="2:14" ht="14.5" customHeight="1" x14ac:dyDescent="0.35">
      <c r="B70" s="191" t="str">
        <f>IF(Lançamentos!$B65="","",Lançamentos!$B65)</f>
        <v/>
      </c>
      <c r="C70" s="192" t="str">
        <f>IF($B70="","",IFERROR(INDEX(Lançamentos!$J$3:$J$1001,MATCH($B70,Lançamentos!$B$3:$B$1001,0)),""))</f>
        <v/>
      </c>
      <c r="D70" s="413" t="str">
        <f>IF($B70="","",IFERROR(INDEX('E2 — Triagem'!$D$8:$D$507,MATCH($B70,'E2 — Triagem'!$B$8:$B$507,0)),""))</f>
        <v/>
      </c>
      <c r="E70" s="193"/>
      <c r="F70" s="193"/>
      <c r="G70" s="193"/>
      <c r="H70" s="193"/>
      <c r="I70" s="193"/>
      <c r="J70" s="193"/>
      <c r="K70" s="194" t="str">
        <f t="shared" si="0"/>
        <v/>
      </c>
      <c r="L70" s="181"/>
      <c r="M70" s="181"/>
      <c r="N70" s="195" t="str">
        <f>IF(B70="","",IF('E5 — Validação'!M70="✅ Aprovado sem Ajustes","Não",IF(OR('E5 — Validação'!M70="⚠️ Aprovado com Ajustes",'E5 — Validação'!M70="❌ Reprovado"),"Sim","")))</f>
        <v/>
      </c>
    </row>
    <row r="71" spans="2:14" ht="14.5" customHeight="1" x14ac:dyDescent="0.35">
      <c r="B71" s="191" t="str">
        <f>IF(Lançamentos!$B66="","",Lançamentos!$B66)</f>
        <v/>
      </c>
      <c r="C71" s="192" t="str">
        <f>IF($B71="","",IFERROR(INDEX(Lançamentos!$J$3:$J$1001,MATCH($B71,Lançamentos!$B$3:$B$1001,0)),""))</f>
        <v/>
      </c>
      <c r="D71" s="413" t="str">
        <f>IF($B71="","",IFERROR(INDEX('E2 — Triagem'!$D$8:$D$507,MATCH($B71,'E2 — Triagem'!$B$8:$B$507,0)),""))</f>
        <v/>
      </c>
      <c r="E71" s="193"/>
      <c r="F71" s="193"/>
      <c r="G71" s="193"/>
      <c r="H71" s="193"/>
      <c r="I71" s="193"/>
      <c r="J71" s="193"/>
      <c r="K71" s="194" t="str">
        <f t="shared" si="0"/>
        <v/>
      </c>
      <c r="L71" s="181"/>
      <c r="M71" s="181"/>
      <c r="N71" s="195" t="str">
        <f>IF(B71="","",IF('E5 — Validação'!M71="✅ Aprovado sem Ajustes","Não",IF(OR('E5 — Validação'!M71="⚠️ Aprovado com Ajustes",'E5 — Validação'!M71="❌ Reprovado"),"Sim","")))</f>
        <v/>
      </c>
    </row>
    <row r="72" spans="2:14" ht="14.5" customHeight="1" x14ac:dyDescent="0.35">
      <c r="B72" s="191" t="str">
        <f>IF(Lançamentos!$B67="","",Lançamentos!$B67)</f>
        <v/>
      </c>
      <c r="C72" s="192" t="str">
        <f>IF($B72="","",IFERROR(INDEX(Lançamentos!$J$3:$J$1001,MATCH($B72,Lançamentos!$B$3:$B$1001,0)),""))</f>
        <v/>
      </c>
      <c r="D72" s="413" t="str">
        <f>IF($B72="","",IFERROR(INDEX('E2 — Triagem'!$D$8:$D$507,MATCH($B72,'E2 — Triagem'!$B$8:$B$507,0)),""))</f>
        <v/>
      </c>
      <c r="E72" s="193"/>
      <c r="F72" s="193"/>
      <c r="G72" s="193"/>
      <c r="H72" s="193"/>
      <c r="I72" s="193"/>
      <c r="J72" s="193"/>
      <c r="K72" s="194" t="str">
        <f t="shared" ref="K72:K135" si="1">IF(B72="","",IF(N72="Não",0,IF(COUNTIF(E72:J72,"N/A")=6,0,COUNTIF(E72:J72,"✔ Concluído")/(6-COUNTIF(E72:J72,"N/A")))))</f>
        <v/>
      </c>
      <c r="L72" s="181"/>
      <c r="M72" s="181"/>
      <c r="N72" s="195" t="str">
        <f>IF(B72="","",IF('E5 — Validação'!M72="✅ Aprovado sem Ajustes","Não",IF(OR('E5 — Validação'!M72="⚠️ Aprovado com Ajustes",'E5 — Validação'!M72="❌ Reprovado"),"Sim","")))</f>
        <v/>
      </c>
    </row>
    <row r="73" spans="2:14" ht="14.5" customHeight="1" x14ac:dyDescent="0.35">
      <c r="B73" s="191" t="str">
        <f>IF(Lançamentos!$B68="","",Lançamentos!$B68)</f>
        <v/>
      </c>
      <c r="C73" s="192" t="str">
        <f>IF($B73="","",IFERROR(INDEX(Lançamentos!$J$3:$J$1001,MATCH($B73,Lançamentos!$B$3:$B$1001,0)),""))</f>
        <v/>
      </c>
      <c r="D73" s="413" t="str">
        <f>IF($B73="","",IFERROR(INDEX('E2 — Triagem'!$D$8:$D$507,MATCH($B73,'E2 — Triagem'!$B$8:$B$507,0)),""))</f>
        <v/>
      </c>
      <c r="E73" s="193"/>
      <c r="F73" s="193"/>
      <c r="G73" s="193"/>
      <c r="H73" s="193"/>
      <c r="I73" s="193"/>
      <c r="J73" s="193"/>
      <c r="K73" s="194" t="str">
        <f t="shared" si="1"/>
        <v/>
      </c>
      <c r="L73" s="181"/>
      <c r="M73" s="181"/>
      <c r="N73" s="195" t="str">
        <f>IF(B73="","",IF('E5 — Validação'!M73="✅ Aprovado sem Ajustes","Não",IF(OR('E5 — Validação'!M73="⚠️ Aprovado com Ajustes",'E5 — Validação'!M73="❌ Reprovado"),"Sim","")))</f>
        <v/>
      </c>
    </row>
    <row r="74" spans="2:14" ht="14.5" customHeight="1" x14ac:dyDescent="0.35">
      <c r="B74" s="191" t="str">
        <f>IF(Lançamentos!$B69="","",Lançamentos!$B69)</f>
        <v/>
      </c>
      <c r="C74" s="192" t="str">
        <f>IF($B74="","",IFERROR(INDEX(Lançamentos!$J$3:$J$1001,MATCH($B74,Lançamentos!$B$3:$B$1001,0)),""))</f>
        <v/>
      </c>
      <c r="D74" s="413" t="str">
        <f>IF($B74="","",IFERROR(INDEX('E2 — Triagem'!$D$8:$D$507,MATCH($B74,'E2 — Triagem'!$B$8:$B$507,0)),""))</f>
        <v/>
      </c>
      <c r="E74" s="193"/>
      <c r="F74" s="193"/>
      <c r="G74" s="193"/>
      <c r="H74" s="193"/>
      <c r="I74" s="193"/>
      <c r="J74" s="193"/>
      <c r="K74" s="194" t="str">
        <f t="shared" si="1"/>
        <v/>
      </c>
      <c r="L74" s="181"/>
      <c r="M74" s="181"/>
      <c r="N74" s="195" t="str">
        <f>IF(B74="","",IF('E5 — Validação'!M74="✅ Aprovado sem Ajustes","Não",IF(OR('E5 — Validação'!M74="⚠️ Aprovado com Ajustes",'E5 — Validação'!M74="❌ Reprovado"),"Sim","")))</f>
        <v/>
      </c>
    </row>
    <row r="75" spans="2:14" ht="14.5" customHeight="1" x14ac:dyDescent="0.35">
      <c r="B75" s="191" t="str">
        <f>IF(Lançamentos!$B70="","",Lançamentos!$B70)</f>
        <v/>
      </c>
      <c r="C75" s="192" t="str">
        <f>IF($B75="","",IFERROR(INDEX(Lançamentos!$J$3:$J$1001,MATCH($B75,Lançamentos!$B$3:$B$1001,0)),""))</f>
        <v/>
      </c>
      <c r="D75" s="413" t="str">
        <f>IF($B75="","",IFERROR(INDEX('E2 — Triagem'!$D$8:$D$507,MATCH($B75,'E2 — Triagem'!$B$8:$B$507,0)),""))</f>
        <v/>
      </c>
      <c r="E75" s="193"/>
      <c r="F75" s="193"/>
      <c r="G75" s="193"/>
      <c r="H75" s="193"/>
      <c r="I75" s="193"/>
      <c r="J75" s="193"/>
      <c r="K75" s="194" t="str">
        <f t="shared" si="1"/>
        <v/>
      </c>
      <c r="L75" s="181"/>
      <c r="M75" s="181"/>
      <c r="N75" s="195" t="str">
        <f>IF(B75="","",IF('E5 — Validação'!M75="✅ Aprovado sem Ajustes","Não",IF(OR('E5 — Validação'!M75="⚠️ Aprovado com Ajustes",'E5 — Validação'!M75="❌ Reprovado"),"Sim","")))</f>
        <v/>
      </c>
    </row>
    <row r="76" spans="2:14" ht="14.5" customHeight="1" x14ac:dyDescent="0.35">
      <c r="B76" s="191" t="str">
        <f>IF(Lançamentos!$B71="","",Lançamentos!$B71)</f>
        <v/>
      </c>
      <c r="C76" s="192" t="str">
        <f>IF($B76="","",IFERROR(INDEX(Lançamentos!$J$3:$J$1001,MATCH($B76,Lançamentos!$B$3:$B$1001,0)),""))</f>
        <v/>
      </c>
      <c r="D76" s="413" t="str">
        <f>IF($B76="","",IFERROR(INDEX('E2 — Triagem'!$D$8:$D$507,MATCH($B76,'E2 — Triagem'!$B$8:$B$507,0)),""))</f>
        <v/>
      </c>
      <c r="E76" s="193"/>
      <c r="F76" s="193"/>
      <c r="G76" s="193"/>
      <c r="H76" s="193"/>
      <c r="I76" s="193"/>
      <c r="J76" s="193"/>
      <c r="K76" s="194" t="str">
        <f t="shared" si="1"/>
        <v/>
      </c>
      <c r="L76" s="181"/>
      <c r="M76" s="181"/>
      <c r="N76" s="195" t="str">
        <f>IF(B76="","",IF('E5 — Validação'!M76="✅ Aprovado sem Ajustes","Não",IF(OR('E5 — Validação'!M76="⚠️ Aprovado com Ajustes",'E5 — Validação'!M76="❌ Reprovado"),"Sim","")))</f>
        <v/>
      </c>
    </row>
    <row r="77" spans="2:14" ht="14.5" customHeight="1" x14ac:dyDescent="0.35">
      <c r="B77" s="191" t="str">
        <f>IF(Lançamentos!$B72="","",Lançamentos!$B72)</f>
        <v/>
      </c>
      <c r="C77" s="192" t="str">
        <f>IF($B77="","",IFERROR(INDEX(Lançamentos!$J$3:$J$1001,MATCH($B77,Lançamentos!$B$3:$B$1001,0)),""))</f>
        <v/>
      </c>
      <c r="D77" s="413" t="str">
        <f>IF($B77="","",IFERROR(INDEX('E2 — Triagem'!$D$8:$D$507,MATCH($B77,'E2 — Triagem'!$B$8:$B$507,0)),""))</f>
        <v/>
      </c>
      <c r="E77" s="193"/>
      <c r="F77" s="193"/>
      <c r="G77" s="193"/>
      <c r="H77" s="193"/>
      <c r="I77" s="193"/>
      <c r="J77" s="193"/>
      <c r="K77" s="194" t="str">
        <f t="shared" si="1"/>
        <v/>
      </c>
      <c r="L77" s="181"/>
      <c r="M77" s="181"/>
      <c r="N77" s="195" t="str">
        <f>IF(B77="","",IF('E5 — Validação'!M77="✅ Aprovado sem Ajustes","Não",IF(OR('E5 — Validação'!M77="⚠️ Aprovado com Ajustes",'E5 — Validação'!M77="❌ Reprovado"),"Sim","")))</f>
        <v/>
      </c>
    </row>
    <row r="78" spans="2:14" ht="14.5" customHeight="1" x14ac:dyDescent="0.35">
      <c r="B78" s="191" t="str">
        <f>IF(Lançamentos!$B73="","",Lançamentos!$B73)</f>
        <v/>
      </c>
      <c r="C78" s="192" t="str">
        <f>IF($B78="","",IFERROR(INDEX(Lançamentos!$J$3:$J$1001,MATCH($B78,Lançamentos!$B$3:$B$1001,0)),""))</f>
        <v/>
      </c>
      <c r="D78" s="413" t="str">
        <f>IF($B78="","",IFERROR(INDEX('E2 — Triagem'!$D$8:$D$507,MATCH($B78,'E2 — Triagem'!$B$8:$B$507,0)),""))</f>
        <v/>
      </c>
      <c r="E78" s="193"/>
      <c r="F78" s="193"/>
      <c r="G78" s="193"/>
      <c r="H78" s="193"/>
      <c r="I78" s="193"/>
      <c r="J78" s="193"/>
      <c r="K78" s="194" t="str">
        <f t="shared" si="1"/>
        <v/>
      </c>
      <c r="L78" s="181"/>
      <c r="M78" s="181"/>
      <c r="N78" s="195" t="str">
        <f>IF(B78="","",IF('E5 — Validação'!M78="✅ Aprovado sem Ajustes","Não",IF(OR('E5 — Validação'!M78="⚠️ Aprovado com Ajustes",'E5 — Validação'!M78="❌ Reprovado"),"Sim","")))</f>
        <v/>
      </c>
    </row>
    <row r="79" spans="2:14" ht="14.5" customHeight="1" x14ac:dyDescent="0.35">
      <c r="B79" s="191" t="str">
        <f>IF(Lançamentos!$B74="","",Lançamentos!$B74)</f>
        <v/>
      </c>
      <c r="C79" s="192" t="str">
        <f>IF($B79="","",IFERROR(INDEX(Lançamentos!$J$3:$J$1001,MATCH($B79,Lançamentos!$B$3:$B$1001,0)),""))</f>
        <v/>
      </c>
      <c r="D79" s="413" t="str">
        <f>IF($B79="","",IFERROR(INDEX('E2 — Triagem'!$D$8:$D$507,MATCH($B79,'E2 — Triagem'!$B$8:$B$507,0)),""))</f>
        <v/>
      </c>
      <c r="E79" s="193"/>
      <c r="F79" s="193"/>
      <c r="G79" s="193"/>
      <c r="H79" s="193"/>
      <c r="I79" s="193"/>
      <c r="J79" s="193"/>
      <c r="K79" s="194" t="str">
        <f t="shared" si="1"/>
        <v/>
      </c>
      <c r="L79" s="181"/>
      <c r="M79" s="181"/>
      <c r="N79" s="195" t="str">
        <f>IF(B79="","",IF('E5 — Validação'!M79="✅ Aprovado sem Ajustes","Não",IF(OR('E5 — Validação'!M79="⚠️ Aprovado com Ajustes",'E5 — Validação'!M79="❌ Reprovado"),"Sim","")))</f>
        <v/>
      </c>
    </row>
    <row r="80" spans="2:14" ht="14.5" customHeight="1" x14ac:dyDescent="0.35">
      <c r="B80" s="191" t="str">
        <f>IF(Lançamentos!$B75="","",Lançamentos!$B75)</f>
        <v/>
      </c>
      <c r="C80" s="192" t="str">
        <f>IF($B80="","",IFERROR(INDEX(Lançamentos!$J$3:$J$1001,MATCH($B80,Lançamentos!$B$3:$B$1001,0)),""))</f>
        <v/>
      </c>
      <c r="D80" s="413" t="str">
        <f>IF($B80="","",IFERROR(INDEX('E2 — Triagem'!$D$8:$D$507,MATCH($B80,'E2 — Triagem'!$B$8:$B$507,0)),""))</f>
        <v/>
      </c>
      <c r="E80" s="193"/>
      <c r="F80" s="193"/>
      <c r="G80" s="193"/>
      <c r="H80" s="193"/>
      <c r="I80" s="193"/>
      <c r="J80" s="193"/>
      <c r="K80" s="194" t="str">
        <f t="shared" si="1"/>
        <v/>
      </c>
      <c r="L80" s="181"/>
      <c r="M80" s="181"/>
      <c r="N80" s="195" t="str">
        <f>IF(B80="","",IF('E5 — Validação'!M80="✅ Aprovado sem Ajustes","Não",IF(OR('E5 — Validação'!M80="⚠️ Aprovado com Ajustes",'E5 — Validação'!M80="❌ Reprovado"),"Sim","")))</f>
        <v/>
      </c>
    </row>
    <row r="81" spans="2:14" ht="14.5" customHeight="1" x14ac:dyDescent="0.35">
      <c r="B81" s="191" t="str">
        <f>IF(Lançamentos!$B76="","",Lançamentos!$B76)</f>
        <v/>
      </c>
      <c r="C81" s="192" t="str">
        <f>IF($B81="","",IFERROR(INDEX(Lançamentos!$J$3:$J$1001,MATCH($B81,Lançamentos!$B$3:$B$1001,0)),""))</f>
        <v/>
      </c>
      <c r="D81" s="413" t="str">
        <f>IF($B81="","",IFERROR(INDEX('E2 — Triagem'!$D$8:$D$507,MATCH($B81,'E2 — Triagem'!$B$8:$B$507,0)),""))</f>
        <v/>
      </c>
      <c r="E81" s="193"/>
      <c r="F81" s="193"/>
      <c r="G81" s="193"/>
      <c r="H81" s="193"/>
      <c r="I81" s="193"/>
      <c r="J81" s="193"/>
      <c r="K81" s="194" t="str">
        <f t="shared" si="1"/>
        <v/>
      </c>
      <c r="L81" s="181"/>
      <c r="M81" s="181"/>
      <c r="N81" s="195" t="str">
        <f>IF(B81="","",IF('E5 — Validação'!M81="✅ Aprovado sem Ajustes","Não",IF(OR('E5 — Validação'!M81="⚠️ Aprovado com Ajustes",'E5 — Validação'!M81="❌ Reprovado"),"Sim","")))</f>
        <v/>
      </c>
    </row>
    <row r="82" spans="2:14" ht="14.5" customHeight="1" x14ac:dyDescent="0.35">
      <c r="B82" s="191" t="str">
        <f>IF(Lançamentos!$B77="","",Lançamentos!$B77)</f>
        <v/>
      </c>
      <c r="C82" s="192" t="str">
        <f>IF($B82="","",IFERROR(INDEX(Lançamentos!$J$3:$J$1001,MATCH($B82,Lançamentos!$B$3:$B$1001,0)),""))</f>
        <v/>
      </c>
      <c r="D82" s="413" t="str">
        <f>IF($B82="","",IFERROR(INDEX('E2 — Triagem'!$D$8:$D$507,MATCH($B82,'E2 — Triagem'!$B$8:$B$507,0)),""))</f>
        <v/>
      </c>
      <c r="E82" s="193"/>
      <c r="F82" s="193"/>
      <c r="G82" s="193"/>
      <c r="H82" s="193"/>
      <c r="I82" s="193"/>
      <c r="J82" s="193"/>
      <c r="K82" s="194" t="str">
        <f t="shared" si="1"/>
        <v/>
      </c>
      <c r="L82" s="181"/>
      <c r="M82" s="181"/>
      <c r="N82" s="195" t="str">
        <f>IF(B82="","",IF('E5 — Validação'!M82="✅ Aprovado sem Ajustes","Não",IF(OR('E5 — Validação'!M82="⚠️ Aprovado com Ajustes",'E5 — Validação'!M82="❌ Reprovado"),"Sim","")))</f>
        <v/>
      </c>
    </row>
    <row r="83" spans="2:14" ht="14.5" customHeight="1" x14ac:dyDescent="0.35">
      <c r="B83" s="191" t="str">
        <f>IF(Lançamentos!$B78="","",Lançamentos!$B78)</f>
        <v/>
      </c>
      <c r="C83" s="192" t="str">
        <f>IF($B83="","",IFERROR(INDEX(Lançamentos!$J$3:$J$1001,MATCH($B83,Lançamentos!$B$3:$B$1001,0)),""))</f>
        <v/>
      </c>
      <c r="D83" s="413" t="str">
        <f>IF($B83="","",IFERROR(INDEX('E2 — Triagem'!$D$8:$D$507,MATCH($B83,'E2 — Triagem'!$B$8:$B$507,0)),""))</f>
        <v/>
      </c>
      <c r="E83" s="193"/>
      <c r="F83" s="193"/>
      <c r="G83" s="193"/>
      <c r="H83" s="193"/>
      <c r="I83" s="193"/>
      <c r="J83" s="193"/>
      <c r="K83" s="194" t="str">
        <f t="shared" si="1"/>
        <v/>
      </c>
      <c r="L83" s="181"/>
      <c r="M83" s="181"/>
      <c r="N83" s="195" t="str">
        <f>IF(B83="","",IF('E5 — Validação'!M83="✅ Aprovado sem Ajustes","Não",IF(OR('E5 — Validação'!M83="⚠️ Aprovado com Ajustes",'E5 — Validação'!M83="❌ Reprovado"),"Sim","")))</f>
        <v/>
      </c>
    </row>
    <row r="84" spans="2:14" ht="14.5" customHeight="1" x14ac:dyDescent="0.35">
      <c r="B84" s="191" t="str">
        <f>IF(Lançamentos!$B79="","",Lançamentos!$B79)</f>
        <v/>
      </c>
      <c r="C84" s="192" t="str">
        <f>IF($B84="","",IFERROR(INDEX(Lançamentos!$J$3:$J$1001,MATCH($B84,Lançamentos!$B$3:$B$1001,0)),""))</f>
        <v/>
      </c>
      <c r="D84" s="413" t="str">
        <f>IF($B84="","",IFERROR(INDEX('E2 — Triagem'!$D$8:$D$507,MATCH($B84,'E2 — Triagem'!$B$8:$B$507,0)),""))</f>
        <v/>
      </c>
      <c r="E84" s="193"/>
      <c r="F84" s="193"/>
      <c r="G84" s="193"/>
      <c r="H84" s="193"/>
      <c r="I84" s="193"/>
      <c r="J84" s="193"/>
      <c r="K84" s="194" t="str">
        <f t="shared" si="1"/>
        <v/>
      </c>
      <c r="L84" s="181"/>
      <c r="M84" s="181"/>
      <c r="N84" s="195" t="str">
        <f>IF(B84="","",IF('E5 — Validação'!M84="✅ Aprovado sem Ajustes","Não",IF(OR('E5 — Validação'!M84="⚠️ Aprovado com Ajustes",'E5 — Validação'!M84="❌ Reprovado"),"Sim","")))</f>
        <v/>
      </c>
    </row>
    <row r="85" spans="2:14" ht="14.5" customHeight="1" x14ac:dyDescent="0.35">
      <c r="B85" s="191" t="str">
        <f>IF(Lançamentos!$B80="","",Lançamentos!$B80)</f>
        <v/>
      </c>
      <c r="C85" s="192" t="str">
        <f>IF($B85="","",IFERROR(INDEX(Lançamentos!$J$3:$J$1001,MATCH($B85,Lançamentos!$B$3:$B$1001,0)),""))</f>
        <v/>
      </c>
      <c r="D85" s="413" t="str">
        <f>IF($B85="","",IFERROR(INDEX('E2 — Triagem'!$D$8:$D$507,MATCH($B85,'E2 — Triagem'!$B$8:$B$507,0)),""))</f>
        <v/>
      </c>
      <c r="E85" s="193"/>
      <c r="F85" s="193"/>
      <c r="G85" s="193"/>
      <c r="H85" s="193"/>
      <c r="I85" s="193"/>
      <c r="J85" s="193"/>
      <c r="K85" s="194" t="str">
        <f t="shared" si="1"/>
        <v/>
      </c>
      <c r="L85" s="181"/>
      <c r="M85" s="181"/>
      <c r="N85" s="195" t="str">
        <f>IF(B85="","",IF('E5 — Validação'!M85="✅ Aprovado sem Ajustes","Não",IF(OR('E5 — Validação'!M85="⚠️ Aprovado com Ajustes",'E5 — Validação'!M85="❌ Reprovado"),"Sim","")))</f>
        <v/>
      </c>
    </row>
    <row r="86" spans="2:14" ht="14.5" customHeight="1" x14ac:dyDescent="0.35">
      <c r="B86" s="191" t="str">
        <f>IF(Lançamentos!$B81="","",Lançamentos!$B81)</f>
        <v/>
      </c>
      <c r="C86" s="192" t="str">
        <f>IF($B86="","",IFERROR(INDEX(Lançamentos!$J$3:$J$1001,MATCH($B86,Lançamentos!$B$3:$B$1001,0)),""))</f>
        <v/>
      </c>
      <c r="D86" s="413" t="str">
        <f>IF($B86="","",IFERROR(INDEX('E2 — Triagem'!$D$8:$D$507,MATCH($B86,'E2 — Triagem'!$B$8:$B$507,0)),""))</f>
        <v/>
      </c>
      <c r="E86" s="193"/>
      <c r="F86" s="193"/>
      <c r="G86" s="193"/>
      <c r="H86" s="193"/>
      <c r="I86" s="193"/>
      <c r="J86" s="193"/>
      <c r="K86" s="194" t="str">
        <f t="shared" si="1"/>
        <v/>
      </c>
      <c r="L86" s="181"/>
      <c r="M86" s="181"/>
      <c r="N86" s="195" t="str">
        <f>IF(B86="","",IF('E5 — Validação'!M86="✅ Aprovado sem Ajustes","Não",IF(OR('E5 — Validação'!M86="⚠️ Aprovado com Ajustes",'E5 — Validação'!M86="❌ Reprovado"),"Sim","")))</f>
        <v/>
      </c>
    </row>
    <row r="87" spans="2:14" ht="14.5" customHeight="1" x14ac:dyDescent="0.35">
      <c r="B87" s="191" t="str">
        <f>IF(Lançamentos!$B82="","",Lançamentos!$B82)</f>
        <v/>
      </c>
      <c r="C87" s="192" t="str">
        <f>IF($B87="","",IFERROR(INDEX(Lançamentos!$J$3:$J$1001,MATCH($B87,Lançamentos!$B$3:$B$1001,0)),""))</f>
        <v/>
      </c>
      <c r="D87" s="413" t="str">
        <f>IF($B87="","",IFERROR(INDEX('E2 — Triagem'!$D$8:$D$507,MATCH($B87,'E2 — Triagem'!$B$8:$B$507,0)),""))</f>
        <v/>
      </c>
      <c r="E87" s="193"/>
      <c r="F87" s="193"/>
      <c r="G87" s="193"/>
      <c r="H87" s="193"/>
      <c r="I87" s="193"/>
      <c r="J87" s="193"/>
      <c r="K87" s="194" t="str">
        <f t="shared" si="1"/>
        <v/>
      </c>
      <c r="L87" s="181"/>
      <c r="M87" s="181"/>
      <c r="N87" s="195" t="str">
        <f>IF(B87="","",IF('E5 — Validação'!M87="✅ Aprovado sem Ajustes","Não",IF(OR('E5 — Validação'!M87="⚠️ Aprovado com Ajustes",'E5 — Validação'!M87="❌ Reprovado"),"Sim","")))</f>
        <v/>
      </c>
    </row>
    <row r="88" spans="2:14" ht="14.5" customHeight="1" x14ac:dyDescent="0.35">
      <c r="B88" s="191" t="str">
        <f>IF(Lançamentos!$B83="","",Lançamentos!$B83)</f>
        <v/>
      </c>
      <c r="C88" s="192" t="str">
        <f>IF($B88="","",IFERROR(INDEX(Lançamentos!$J$3:$J$1001,MATCH($B88,Lançamentos!$B$3:$B$1001,0)),""))</f>
        <v/>
      </c>
      <c r="D88" s="413" t="str">
        <f>IF($B88="","",IFERROR(INDEX('E2 — Triagem'!$D$8:$D$507,MATCH($B88,'E2 — Triagem'!$B$8:$B$507,0)),""))</f>
        <v/>
      </c>
      <c r="E88" s="193"/>
      <c r="F88" s="193"/>
      <c r="G88" s="193"/>
      <c r="H88" s="193"/>
      <c r="I88" s="193"/>
      <c r="J88" s="193"/>
      <c r="K88" s="194" t="str">
        <f t="shared" si="1"/>
        <v/>
      </c>
      <c r="L88" s="181"/>
      <c r="M88" s="181"/>
      <c r="N88" s="195" t="str">
        <f>IF(B88="","",IF('E5 — Validação'!M88="✅ Aprovado sem Ajustes","Não",IF(OR('E5 — Validação'!M88="⚠️ Aprovado com Ajustes",'E5 — Validação'!M88="❌ Reprovado"),"Sim","")))</f>
        <v/>
      </c>
    </row>
    <row r="89" spans="2:14" ht="14.5" customHeight="1" x14ac:dyDescent="0.35">
      <c r="B89" s="191" t="str">
        <f>IF(Lançamentos!$B84="","",Lançamentos!$B84)</f>
        <v/>
      </c>
      <c r="C89" s="192" t="str">
        <f>IF($B89="","",IFERROR(INDEX(Lançamentos!$J$3:$J$1001,MATCH($B89,Lançamentos!$B$3:$B$1001,0)),""))</f>
        <v/>
      </c>
      <c r="D89" s="413" t="str">
        <f>IF($B89="","",IFERROR(INDEX('E2 — Triagem'!$D$8:$D$507,MATCH($B89,'E2 — Triagem'!$B$8:$B$507,0)),""))</f>
        <v/>
      </c>
      <c r="E89" s="193"/>
      <c r="F89" s="193"/>
      <c r="G89" s="193"/>
      <c r="H89" s="193"/>
      <c r="I89" s="193"/>
      <c r="J89" s="193"/>
      <c r="K89" s="194" t="str">
        <f t="shared" si="1"/>
        <v/>
      </c>
      <c r="L89" s="181"/>
      <c r="M89" s="181"/>
      <c r="N89" s="195" t="str">
        <f>IF(B89="","",IF('E5 — Validação'!M89="✅ Aprovado sem Ajustes","Não",IF(OR('E5 — Validação'!M89="⚠️ Aprovado com Ajustes",'E5 — Validação'!M89="❌ Reprovado"),"Sim","")))</f>
        <v/>
      </c>
    </row>
    <row r="90" spans="2:14" ht="14.5" customHeight="1" x14ac:dyDescent="0.35">
      <c r="B90" s="191" t="str">
        <f>IF(Lançamentos!$B85="","",Lançamentos!$B85)</f>
        <v/>
      </c>
      <c r="C90" s="192" t="str">
        <f>IF($B90="","",IFERROR(INDEX(Lançamentos!$J$3:$J$1001,MATCH($B90,Lançamentos!$B$3:$B$1001,0)),""))</f>
        <v/>
      </c>
      <c r="D90" s="413" t="str">
        <f>IF($B90="","",IFERROR(INDEX('E2 — Triagem'!$D$8:$D$507,MATCH($B90,'E2 — Triagem'!$B$8:$B$507,0)),""))</f>
        <v/>
      </c>
      <c r="E90" s="193"/>
      <c r="F90" s="193"/>
      <c r="G90" s="193"/>
      <c r="H90" s="193"/>
      <c r="I90" s="193"/>
      <c r="J90" s="193"/>
      <c r="K90" s="194" t="str">
        <f t="shared" si="1"/>
        <v/>
      </c>
      <c r="L90" s="181"/>
      <c r="M90" s="181"/>
      <c r="N90" s="195" t="str">
        <f>IF(B90="","",IF('E5 — Validação'!M90="✅ Aprovado sem Ajustes","Não",IF(OR('E5 — Validação'!M90="⚠️ Aprovado com Ajustes",'E5 — Validação'!M90="❌ Reprovado"),"Sim","")))</f>
        <v/>
      </c>
    </row>
    <row r="91" spans="2:14" ht="14.5" customHeight="1" x14ac:dyDescent="0.35">
      <c r="B91" s="191" t="str">
        <f>IF(Lançamentos!$B86="","",Lançamentos!$B86)</f>
        <v/>
      </c>
      <c r="C91" s="192" t="str">
        <f>IF($B91="","",IFERROR(INDEX(Lançamentos!$J$3:$J$1001,MATCH($B91,Lançamentos!$B$3:$B$1001,0)),""))</f>
        <v/>
      </c>
      <c r="D91" s="413" t="str">
        <f>IF($B91="","",IFERROR(INDEX('E2 — Triagem'!$D$8:$D$507,MATCH($B91,'E2 — Triagem'!$B$8:$B$507,0)),""))</f>
        <v/>
      </c>
      <c r="E91" s="193"/>
      <c r="F91" s="193"/>
      <c r="G91" s="193"/>
      <c r="H91" s="193"/>
      <c r="I91" s="193"/>
      <c r="J91" s="193"/>
      <c r="K91" s="194" t="str">
        <f t="shared" si="1"/>
        <v/>
      </c>
      <c r="L91" s="181"/>
      <c r="M91" s="181"/>
      <c r="N91" s="195" t="str">
        <f>IF(B91="","",IF('E5 — Validação'!M91="✅ Aprovado sem Ajustes","Não",IF(OR('E5 — Validação'!M91="⚠️ Aprovado com Ajustes",'E5 — Validação'!M91="❌ Reprovado"),"Sim","")))</f>
        <v/>
      </c>
    </row>
    <row r="92" spans="2:14" ht="14.5" customHeight="1" x14ac:dyDescent="0.35">
      <c r="B92" s="191" t="str">
        <f>IF(Lançamentos!$B87="","",Lançamentos!$B87)</f>
        <v/>
      </c>
      <c r="C92" s="192" t="str">
        <f>IF($B92="","",IFERROR(INDEX(Lançamentos!$J$3:$J$1001,MATCH($B92,Lançamentos!$B$3:$B$1001,0)),""))</f>
        <v/>
      </c>
      <c r="D92" s="413" t="str">
        <f>IF($B92="","",IFERROR(INDEX('E2 — Triagem'!$D$8:$D$507,MATCH($B92,'E2 — Triagem'!$B$8:$B$507,0)),""))</f>
        <v/>
      </c>
      <c r="E92" s="193"/>
      <c r="F92" s="193"/>
      <c r="G92" s="193"/>
      <c r="H92" s="193"/>
      <c r="I92" s="193"/>
      <c r="J92" s="193"/>
      <c r="K92" s="194" t="str">
        <f t="shared" si="1"/>
        <v/>
      </c>
      <c r="L92" s="181"/>
      <c r="M92" s="181"/>
      <c r="N92" s="195" t="str">
        <f>IF(B92="","",IF('E5 — Validação'!M92="✅ Aprovado sem Ajustes","Não",IF(OR('E5 — Validação'!M92="⚠️ Aprovado com Ajustes",'E5 — Validação'!M92="❌ Reprovado"),"Sim","")))</f>
        <v/>
      </c>
    </row>
    <row r="93" spans="2:14" ht="14.5" customHeight="1" x14ac:dyDescent="0.35">
      <c r="B93" s="191" t="str">
        <f>IF(Lançamentos!$B88="","",Lançamentos!$B88)</f>
        <v/>
      </c>
      <c r="C93" s="192" t="str">
        <f>IF($B93="","",IFERROR(INDEX(Lançamentos!$J$3:$J$1001,MATCH($B93,Lançamentos!$B$3:$B$1001,0)),""))</f>
        <v/>
      </c>
      <c r="D93" s="413" t="str">
        <f>IF($B93="","",IFERROR(INDEX('E2 — Triagem'!$D$8:$D$507,MATCH($B93,'E2 — Triagem'!$B$8:$B$507,0)),""))</f>
        <v/>
      </c>
      <c r="E93" s="193"/>
      <c r="F93" s="193"/>
      <c r="G93" s="193"/>
      <c r="H93" s="193"/>
      <c r="I93" s="193"/>
      <c r="J93" s="193"/>
      <c r="K93" s="194" t="str">
        <f t="shared" si="1"/>
        <v/>
      </c>
      <c r="L93" s="181"/>
      <c r="M93" s="181"/>
      <c r="N93" s="195" t="str">
        <f>IF(B93="","",IF('E5 — Validação'!M93="✅ Aprovado sem Ajustes","Não",IF(OR('E5 — Validação'!M93="⚠️ Aprovado com Ajustes",'E5 — Validação'!M93="❌ Reprovado"),"Sim","")))</f>
        <v/>
      </c>
    </row>
    <row r="94" spans="2:14" ht="14.5" customHeight="1" x14ac:dyDescent="0.35">
      <c r="B94" s="191" t="str">
        <f>IF(Lançamentos!$B89="","",Lançamentos!$B89)</f>
        <v/>
      </c>
      <c r="C94" s="192" t="str">
        <f>IF($B94="","",IFERROR(INDEX(Lançamentos!$J$3:$J$1001,MATCH($B94,Lançamentos!$B$3:$B$1001,0)),""))</f>
        <v/>
      </c>
      <c r="D94" s="413" t="str">
        <f>IF($B94="","",IFERROR(INDEX('E2 — Triagem'!$D$8:$D$507,MATCH($B94,'E2 — Triagem'!$B$8:$B$507,0)),""))</f>
        <v/>
      </c>
      <c r="E94" s="193"/>
      <c r="F94" s="193"/>
      <c r="G94" s="193"/>
      <c r="H94" s="193"/>
      <c r="I94" s="193"/>
      <c r="J94" s="193"/>
      <c r="K94" s="194" t="str">
        <f t="shared" si="1"/>
        <v/>
      </c>
      <c r="L94" s="181"/>
      <c r="M94" s="181"/>
      <c r="N94" s="195" t="str">
        <f>IF(B94="","",IF('E5 — Validação'!M94="✅ Aprovado sem Ajustes","Não",IF(OR('E5 — Validação'!M94="⚠️ Aprovado com Ajustes",'E5 — Validação'!M94="❌ Reprovado"),"Sim","")))</f>
        <v/>
      </c>
    </row>
    <row r="95" spans="2:14" ht="14.5" customHeight="1" x14ac:dyDescent="0.35">
      <c r="B95" s="191" t="str">
        <f>IF(Lançamentos!$B90="","",Lançamentos!$B90)</f>
        <v/>
      </c>
      <c r="C95" s="192" t="str">
        <f>IF($B95="","",IFERROR(INDEX(Lançamentos!$J$3:$J$1001,MATCH($B95,Lançamentos!$B$3:$B$1001,0)),""))</f>
        <v/>
      </c>
      <c r="D95" s="413" t="str">
        <f>IF($B95="","",IFERROR(INDEX('E2 — Triagem'!$D$8:$D$507,MATCH($B95,'E2 — Triagem'!$B$8:$B$507,0)),""))</f>
        <v/>
      </c>
      <c r="E95" s="193"/>
      <c r="F95" s="193"/>
      <c r="G95" s="193"/>
      <c r="H95" s="193"/>
      <c r="I95" s="193"/>
      <c r="J95" s="193"/>
      <c r="K95" s="194" t="str">
        <f t="shared" si="1"/>
        <v/>
      </c>
      <c r="L95" s="181"/>
      <c r="M95" s="181"/>
      <c r="N95" s="195" t="str">
        <f>IF(B95="","",IF('E5 — Validação'!M95="✅ Aprovado sem Ajustes","Não",IF(OR('E5 — Validação'!M95="⚠️ Aprovado com Ajustes",'E5 — Validação'!M95="❌ Reprovado"),"Sim","")))</f>
        <v/>
      </c>
    </row>
    <row r="96" spans="2:14" ht="14.5" customHeight="1" x14ac:dyDescent="0.35">
      <c r="B96" s="191" t="str">
        <f>IF(Lançamentos!$B91="","",Lançamentos!$B91)</f>
        <v/>
      </c>
      <c r="C96" s="192" t="str">
        <f>IF($B96="","",IFERROR(INDEX(Lançamentos!$J$3:$J$1001,MATCH($B96,Lançamentos!$B$3:$B$1001,0)),""))</f>
        <v/>
      </c>
      <c r="D96" s="413" t="str">
        <f>IF($B96="","",IFERROR(INDEX('E2 — Triagem'!$D$8:$D$507,MATCH($B96,'E2 — Triagem'!$B$8:$B$507,0)),""))</f>
        <v/>
      </c>
      <c r="E96" s="193"/>
      <c r="F96" s="193"/>
      <c r="G96" s="193"/>
      <c r="H96" s="193"/>
      <c r="I96" s="193"/>
      <c r="J96" s="193"/>
      <c r="K96" s="194" t="str">
        <f t="shared" si="1"/>
        <v/>
      </c>
      <c r="L96" s="181"/>
      <c r="M96" s="181"/>
      <c r="N96" s="195" t="str">
        <f>IF(B96="","",IF('E5 — Validação'!M96="✅ Aprovado sem Ajustes","Não",IF(OR('E5 — Validação'!M96="⚠️ Aprovado com Ajustes",'E5 — Validação'!M96="❌ Reprovado"),"Sim","")))</f>
        <v/>
      </c>
    </row>
    <row r="97" spans="2:14" ht="14.5" customHeight="1" x14ac:dyDescent="0.35">
      <c r="B97" s="191" t="str">
        <f>IF(Lançamentos!$B92="","",Lançamentos!$B92)</f>
        <v/>
      </c>
      <c r="C97" s="192" t="str">
        <f>IF($B97="","",IFERROR(INDEX(Lançamentos!$J$3:$J$1001,MATCH($B97,Lançamentos!$B$3:$B$1001,0)),""))</f>
        <v/>
      </c>
      <c r="D97" s="413" t="str">
        <f>IF($B97="","",IFERROR(INDEX('E2 — Triagem'!$D$8:$D$507,MATCH($B97,'E2 — Triagem'!$B$8:$B$507,0)),""))</f>
        <v/>
      </c>
      <c r="E97" s="193"/>
      <c r="F97" s="193"/>
      <c r="G97" s="193"/>
      <c r="H97" s="193"/>
      <c r="I97" s="193"/>
      <c r="J97" s="193"/>
      <c r="K97" s="194" t="str">
        <f t="shared" si="1"/>
        <v/>
      </c>
      <c r="L97" s="181"/>
      <c r="M97" s="181"/>
      <c r="N97" s="195" t="str">
        <f>IF(B97="","",IF('E5 — Validação'!M97="✅ Aprovado sem Ajustes","Não",IF(OR('E5 — Validação'!M97="⚠️ Aprovado com Ajustes",'E5 — Validação'!M97="❌ Reprovado"),"Sim","")))</f>
        <v/>
      </c>
    </row>
    <row r="98" spans="2:14" ht="14.5" customHeight="1" x14ac:dyDescent="0.35">
      <c r="B98" s="191" t="str">
        <f>IF(Lançamentos!$B93="","",Lançamentos!$B93)</f>
        <v/>
      </c>
      <c r="C98" s="192" t="str">
        <f>IF($B98="","",IFERROR(INDEX(Lançamentos!$J$3:$J$1001,MATCH($B98,Lançamentos!$B$3:$B$1001,0)),""))</f>
        <v/>
      </c>
      <c r="D98" s="413" t="str">
        <f>IF($B98="","",IFERROR(INDEX('E2 — Triagem'!$D$8:$D$507,MATCH($B98,'E2 — Triagem'!$B$8:$B$507,0)),""))</f>
        <v/>
      </c>
      <c r="E98" s="193"/>
      <c r="F98" s="193"/>
      <c r="G98" s="193"/>
      <c r="H98" s="193"/>
      <c r="I98" s="193"/>
      <c r="J98" s="193"/>
      <c r="K98" s="194" t="str">
        <f t="shared" si="1"/>
        <v/>
      </c>
      <c r="L98" s="181"/>
      <c r="M98" s="181"/>
      <c r="N98" s="195" t="str">
        <f>IF(B98="","",IF('E5 — Validação'!M98="✅ Aprovado sem Ajustes","Não",IF(OR('E5 — Validação'!M98="⚠️ Aprovado com Ajustes",'E5 — Validação'!M98="❌ Reprovado"),"Sim","")))</f>
        <v/>
      </c>
    </row>
    <row r="99" spans="2:14" ht="14.5" customHeight="1" x14ac:dyDescent="0.35">
      <c r="B99" s="191" t="str">
        <f>IF(Lançamentos!$B94="","",Lançamentos!$B94)</f>
        <v/>
      </c>
      <c r="C99" s="192" t="str">
        <f>IF($B99="","",IFERROR(INDEX(Lançamentos!$J$3:$J$1001,MATCH($B99,Lançamentos!$B$3:$B$1001,0)),""))</f>
        <v/>
      </c>
      <c r="D99" s="413" t="str">
        <f>IF($B99="","",IFERROR(INDEX('E2 — Triagem'!$D$8:$D$507,MATCH($B99,'E2 — Triagem'!$B$8:$B$507,0)),""))</f>
        <v/>
      </c>
      <c r="E99" s="193"/>
      <c r="F99" s="193"/>
      <c r="G99" s="193"/>
      <c r="H99" s="193"/>
      <c r="I99" s="193"/>
      <c r="J99" s="193"/>
      <c r="K99" s="194" t="str">
        <f t="shared" si="1"/>
        <v/>
      </c>
      <c r="L99" s="181"/>
      <c r="M99" s="181"/>
      <c r="N99" s="195" t="str">
        <f>IF(B99="","",IF('E5 — Validação'!M99="✅ Aprovado sem Ajustes","Não",IF(OR('E5 — Validação'!M99="⚠️ Aprovado com Ajustes",'E5 — Validação'!M99="❌ Reprovado"),"Sim","")))</f>
        <v/>
      </c>
    </row>
    <row r="100" spans="2:14" ht="14.5" customHeight="1" x14ac:dyDescent="0.35">
      <c r="B100" s="191" t="str">
        <f>IF(Lançamentos!$B95="","",Lançamentos!$B95)</f>
        <v/>
      </c>
      <c r="C100" s="192" t="str">
        <f>IF($B100="","",IFERROR(INDEX(Lançamentos!$J$3:$J$1001,MATCH($B100,Lançamentos!$B$3:$B$1001,0)),""))</f>
        <v/>
      </c>
      <c r="D100" s="413" t="str">
        <f>IF($B100="","",IFERROR(INDEX('E2 — Triagem'!$D$8:$D$507,MATCH($B100,'E2 — Triagem'!$B$8:$B$507,0)),""))</f>
        <v/>
      </c>
      <c r="E100" s="193"/>
      <c r="F100" s="193"/>
      <c r="G100" s="193"/>
      <c r="H100" s="193"/>
      <c r="I100" s="193"/>
      <c r="J100" s="193"/>
      <c r="K100" s="194" t="str">
        <f t="shared" si="1"/>
        <v/>
      </c>
      <c r="L100" s="181"/>
      <c r="M100" s="181"/>
      <c r="N100" s="195" t="str">
        <f>IF(B100="","",IF('E5 — Validação'!M100="✅ Aprovado sem Ajustes","Não",IF(OR('E5 — Validação'!M100="⚠️ Aprovado com Ajustes",'E5 — Validação'!M100="❌ Reprovado"),"Sim","")))</f>
        <v/>
      </c>
    </row>
    <row r="101" spans="2:14" ht="14.5" customHeight="1" x14ac:dyDescent="0.35">
      <c r="B101" s="191" t="str">
        <f>IF(Lançamentos!$B96="","",Lançamentos!$B96)</f>
        <v/>
      </c>
      <c r="C101" s="192" t="str">
        <f>IF($B101="","",IFERROR(INDEX(Lançamentos!$J$3:$J$1001,MATCH($B101,Lançamentos!$B$3:$B$1001,0)),""))</f>
        <v/>
      </c>
      <c r="D101" s="413" t="str">
        <f>IF($B101="","",IFERROR(INDEX('E2 — Triagem'!$D$8:$D$507,MATCH($B101,'E2 — Triagem'!$B$8:$B$507,0)),""))</f>
        <v/>
      </c>
      <c r="E101" s="193"/>
      <c r="F101" s="193"/>
      <c r="G101" s="193"/>
      <c r="H101" s="193"/>
      <c r="I101" s="193"/>
      <c r="J101" s="193"/>
      <c r="K101" s="194" t="str">
        <f t="shared" si="1"/>
        <v/>
      </c>
      <c r="L101" s="181"/>
      <c r="M101" s="181"/>
      <c r="N101" s="195" t="str">
        <f>IF(B101="","",IF('E5 — Validação'!M101="✅ Aprovado sem Ajustes","Não",IF(OR('E5 — Validação'!M101="⚠️ Aprovado com Ajustes",'E5 — Validação'!M101="❌ Reprovado"),"Sim","")))</f>
        <v/>
      </c>
    </row>
    <row r="102" spans="2:14" ht="14.5" customHeight="1" x14ac:dyDescent="0.35">
      <c r="B102" s="191" t="str">
        <f>IF(Lançamentos!$B97="","",Lançamentos!$B97)</f>
        <v/>
      </c>
      <c r="C102" s="192" t="str">
        <f>IF($B102="","",IFERROR(INDEX(Lançamentos!$J$3:$J$1001,MATCH($B102,Lançamentos!$B$3:$B$1001,0)),""))</f>
        <v/>
      </c>
      <c r="D102" s="413" t="str">
        <f>IF($B102="","",IFERROR(INDEX('E2 — Triagem'!$D$8:$D$507,MATCH($B102,'E2 — Triagem'!$B$8:$B$507,0)),""))</f>
        <v/>
      </c>
      <c r="E102" s="193"/>
      <c r="F102" s="193"/>
      <c r="G102" s="193"/>
      <c r="H102" s="193"/>
      <c r="I102" s="193"/>
      <c r="J102" s="193"/>
      <c r="K102" s="194" t="str">
        <f t="shared" si="1"/>
        <v/>
      </c>
      <c r="L102" s="181"/>
      <c r="M102" s="181"/>
      <c r="N102" s="195" t="str">
        <f>IF(B102="","",IF('E5 — Validação'!M102="✅ Aprovado sem Ajustes","Não",IF(OR('E5 — Validação'!M102="⚠️ Aprovado com Ajustes",'E5 — Validação'!M102="❌ Reprovado"),"Sim","")))</f>
        <v/>
      </c>
    </row>
    <row r="103" spans="2:14" ht="14.5" customHeight="1" x14ac:dyDescent="0.35">
      <c r="B103" s="191" t="str">
        <f>IF(Lançamentos!$B98="","",Lançamentos!$B98)</f>
        <v/>
      </c>
      <c r="C103" s="192" t="str">
        <f>IF($B103="","",IFERROR(INDEX(Lançamentos!$J$3:$J$1001,MATCH($B103,Lançamentos!$B$3:$B$1001,0)),""))</f>
        <v/>
      </c>
      <c r="D103" s="413" t="str">
        <f>IF($B103="","",IFERROR(INDEX('E2 — Triagem'!$D$8:$D$507,MATCH($B103,'E2 — Triagem'!$B$8:$B$507,0)),""))</f>
        <v/>
      </c>
      <c r="E103" s="193"/>
      <c r="F103" s="193"/>
      <c r="G103" s="193"/>
      <c r="H103" s="193"/>
      <c r="I103" s="193"/>
      <c r="J103" s="193"/>
      <c r="K103" s="194" t="str">
        <f t="shared" si="1"/>
        <v/>
      </c>
      <c r="L103" s="181"/>
      <c r="M103" s="181"/>
      <c r="N103" s="195" t="str">
        <f>IF(B103="","",IF('E5 — Validação'!M103="✅ Aprovado sem Ajustes","Não",IF(OR('E5 — Validação'!M103="⚠️ Aprovado com Ajustes",'E5 — Validação'!M103="❌ Reprovado"),"Sim","")))</f>
        <v/>
      </c>
    </row>
    <row r="104" spans="2:14" ht="14.5" customHeight="1" x14ac:dyDescent="0.35">
      <c r="B104" s="191" t="str">
        <f>IF(Lançamentos!$B99="","",Lançamentos!$B99)</f>
        <v/>
      </c>
      <c r="C104" s="192" t="str">
        <f>IF($B104="","",IFERROR(INDEX(Lançamentos!$J$3:$J$1001,MATCH($B104,Lançamentos!$B$3:$B$1001,0)),""))</f>
        <v/>
      </c>
      <c r="D104" s="413" t="str">
        <f>IF($B104="","",IFERROR(INDEX('E2 — Triagem'!$D$8:$D$507,MATCH($B104,'E2 — Triagem'!$B$8:$B$507,0)),""))</f>
        <v/>
      </c>
      <c r="E104" s="193"/>
      <c r="F104" s="193"/>
      <c r="G104" s="193"/>
      <c r="H104" s="193"/>
      <c r="I104" s="193"/>
      <c r="J104" s="193"/>
      <c r="K104" s="194" t="str">
        <f t="shared" si="1"/>
        <v/>
      </c>
      <c r="L104" s="181"/>
      <c r="M104" s="181"/>
      <c r="N104" s="195" t="str">
        <f>IF(B104="","",IF('E5 — Validação'!M104="✅ Aprovado sem Ajustes","Não",IF(OR('E5 — Validação'!M104="⚠️ Aprovado com Ajustes",'E5 — Validação'!M104="❌ Reprovado"),"Sim","")))</f>
        <v/>
      </c>
    </row>
    <row r="105" spans="2:14" ht="14.5" customHeight="1" x14ac:dyDescent="0.35">
      <c r="B105" s="191" t="str">
        <f>IF(Lançamentos!$B100="","",Lançamentos!$B100)</f>
        <v/>
      </c>
      <c r="C105" s="192" t="str">
        <f>IF($B105="","",IFERROR(INDEX(Lançamentos!$J$3:$J$1001,MATCH($B105,Lançamentos!$B$3:$B$1001,0)),""))</f>
        <v/>
      </c>
      <c r="D105" s="413" t="str">
        <f>IF($B105="","",IFERROR(INDEX('E2 — Triagem'!$D$8:$D$507,MATCH($B105,'E2 — Triagem'!$B$8:$B$507,0)),""))</f>
        <v/>
      </c>
      <c r="E105" s="193"/>
      <c r="F105" s="193"/>
      <c r="G105" s="193"/>
      <c r="H105" s="193"/>
      <c r="I105" s="193"/>
      <c r="J105" s="193"/>
      <c r="K105" s="194" t="str">
        <f t="shared" si="1"/>
        <v/>
      </c>
      <c r="L105" s="181"/>
      <c r="M105" s="181"/>
      <c r="N105" s="195" t="str">
        <f>IF(B105="","",IF('E5 — Validação'!M105="✅ Aprovado sem Ajustes","Não",IF(OR('E5 — Validação'!M105="⚠️ Aprovado com Ajustes",'E5 — Validação'!M105="❌ Reprovado"),"Sim","")))</f>
        <v/>
      </c>
    </row>
    <row r="106" spans="2:14" ht="14.5" customHeight="1" x14ac:dyDescent="0.35">
      <c r="B106" s="191" t="str">
        <f>IF(Lançamentos!$B101="","",Lançamentos!$B101)</f>
        <v/>
      </c>
      <c r="C106" s="192" t="str">
        <f>IF($B106="","",IFERROR(INDEX(Lançamentos!$J$3:$J$1001,MATCH($B106,Lançamentos!$B$3:$B$1001,0)),""))</f>
        <v/>
      </c>
      <c r="D106" s="413" t="str">
        <f>IF($B106="","",IFERROR(INDEX('E2 — Triagem'!$D$8:$D$507,MATCH($B106,'E2 — Triagem'!$B$8:$B$507,0)),""))</f>
        <v/>
      </c>
      <c r="E106" s="193"/>
      <c r="F106" s="193"/>
      <c r="G106" s="193"/>
      <c r="H106" s="193"/>
      <c r="I106" s="193"/>
      <c r="J106" s="193"/>
      <c r="K106" s="194" t="str">
        <f t="shared" si="1"/>
        <v/>
      </c>
      <c r="L106" s="181"/>
      <c r="M106" s="181"/>
      <c r="N106" s="195" t="str">
        <f>IF(B106="","",IF('E5 — Validação'!M106="✅ Aprovado sem Ajustes","Não",IF(OR('E5 — Validação'!M106="⚠️ Aprovado com Ajustes",'E5 — Validação'!M106="❌ Reprovado"),"Sim","")))</f>
        <v/>
      </c>
    </row>
    <row r="107" spans="2:14" ht="14.5" customHeight="1" x14ac:dyDescent="0.35">
      <c r="B107" s="191" t="str">
        <f>IF(Lançamentos!$B102="","",Lançamentos!$B102)</f>
        <v/>
      </c>
      <c r="C107" s="192" t="str">
        <f>IF($B107="","",IFERROR(INDEX(Lançamentos!$J$3:$J$1001,MATCH($B107,Lançamentos!$B$3:$B$1001,0)),""))</f>
        <v/>
      </c>
      <c r="D107" s="413" t="str">
        <f>IF($B107="","",IFERROR(INDEX('E2 — Triagem'!$D$8:$D$507,MATCH($B107,'E2 — Triagem'!$B$8:$B$507,0)),""))</f>
        <v/>
      </c>
      <c r="E107" s="193"/>
      <c r="F107" s="193"/>
      <c r="G107" s="193"/>
      <c r="H107" s="193"/>
      <c r="I107" s="193"/>
      <c r="J107" s="193"/>
      <c r="K107" s="194" t="str">
        <f t="shared" si="1"/>
        <v/>
      </c>
      <c r="L107" s="181"/>
      <c r="M107" s="181"/>
      <c r="N107" s="195" t="str">
        <f>IF(B107="","",IF('E5 — Validação'!M107="✅ Aprovado sem Ajustes","Não",IF(OR('E5 — Validação'!M107="⚠️ Aprovado com Ajustes",'E5 — Validação'!M107="❌ Reprovado"),"Sim","")))</f>
        <v/>
      </c>
    </row>
    <row r="108" spans="2:14" ht="14.5" customHeight="1" x14ac:dyDescent="0.35">
      <c r="B108" s="191" t="str">
        <f>IF(Lançamentos!$B103="","",Lançamentos!$B103)</f>
        <v/>
      </c>
      <c r="C108" s="192" t="str">
        <f>IF($B108="","",IFERROR(INDEX(Lançamentos!$J$3:$J$1001,MATCH($B108,Lançamentos!$B$3:$B$1001,0)),""))</f>
        <v/>
      </c>
      <c r="D108" s="413" t="str">
        <f>IF($B108="","",IFERROR(INDEX('E2 — Triagem'!$D$8:$D$507,MATCH($B108,'E2 — Triagem'!$B$8:$B$507,0)),""))</f>
        <v/>
      </c>
      <c r="E108" s="193"/>
      <c r="F108" s="193"/>
      <c r="G108" s="193"/>
      <c r="H108" s="193"/>
      <c r="I108" s="193"/>
      <c r="J108" s="193"/>
      <c r="K108" s="194" t="str">
        <f t="shared" si="1"/>
        <v/>
      </c>
      <c r="L108" s="181"/>
      <c r="M108" s="181"/>
      <c r="N108" s="195" t="str">
        <f>IF(B108="","",IF('E5 — Validação'!M108="✅ Aprovado sem Ajustes","Não",IF(OR('E5 — Validação'!M108="⚠️ Aprovado com Ajustes",'E5 — Validação'!M108="❌ Reprovado"),"Sim","")))</f>
        <v/>
      </c>
    </row>
    <row r="109" spans="2:14" ht="14.5" customHeight="1" x14ac:dyDescent="0.35">
      <c r="B109" s="191" t="str">
        <f>IF(Lançamentos!$B104="","",Lançamentos!$B104)</f>
        <v/>
      </c>
      <c r="C109" s="192" t="str">
        <f>IF($B109="","",IFERROR(INDEX(Lançamentos!$J$3:$J$1001,MATCH($B109,Lançamentos!$B$3:$B$1001,0)),""))</f>
        <v/>
      </c>
      <c r="D109" s="413" t="str">
        <f>IF($B109="","",IFERROR(INDEX('E2 — Triagem'!$D$8:$D$507,MATCH($B109,'E2 — Triagem'!$B$8:$B$507,0)),""))</f>
        <v/>
      </c>
      <c r="E109" s="193"/>
      <c r="F109" s="193"/>
      <c r="G109" s="193"/>
      <c r="H109" s="193"/>
      <c r="I109" s="193"/>
      <c r="J109" s="193"/>
      <c r="K109" s="194" t="str">
        <f t="shared" si="1"/>
        <v/>
      </c>
      <c r="L109" s="181"/>
      <c r="M109" s="181"/>
      <c r="N109" s="195" t="str">
        <f>IF(B109="","",IF('E5 — Validação'!M109="✅ Aprovado sem Ajustes","Não",IF(OR('E5 — Validação'!M109="⚠️ Aprovado com Ajustes",'E5 — Validação'!M109="❌ Reprovado"),"Sim","")))</f>
        <v/>
      </c>
    </row>
    <row r="110" spans="2:14" ht="14.5" customHeight="1" x14ac:dyDescent="0.35">
      <c r="B110" s="191" t="str">
        <f>IF(Lançamentos!$B105="","",Lançamentos!$B105)</f>
        <v/>
      </c>
      <c r="C110" s="192" t="str">
        <f>IF($B110="","",IFERROR(INDEX(Lançamentos!$J$3:$J$1001,MATCH($B110,Lançamentos!$B$3:$B$1001,0)),""))</f>
        <v/>
      </c>
      <c r="D110" s="413" t="str">
        <f>IF($B110="","",IFERROR(INDEX('E2 — Triagem'!$D$8:$D$507,MATCH($B110,'E2 — Triagem'!$B$8:$B$507,0)),""))</f>
        <v/>
      </c>
      <c r="E110" s="193"/>
      <c r="F110" s="193"/>
      <c r="G110" s="193"/>
      <c r="H110" s="193"/>
      <c r="I110" s="193"/>
      <c r="J110" s="193"/>
      <c r="K110" s="194" t="str">
        <f t="shared" si="1"/>
        <v/>
      </c>
      <c r="L110" s="181"/>
      <c r="M110" s="181"/>
      <c r="N110" s="195" t="str">
        <f>IF(B110="","",IF('E5 — Validação'!M110="✅ Aprovado sem Ajustes","Não",IF(OR('E5 — Validação'!M110="⚠️ Aprovado com Ajustes",'E5 — Validação'!M110="❌ Reprovado"),"Sim","")))</f>
        <v/>
      </c>
    </row>
    <row r="111" spans="2:14" ht="14.5" customHeight="1" x14ac:dyDescent="0.35">
      <c r="B111" s="191" t="str">
        <f>IF(Lançamentos!$B106="","",Lançamentos!$B106)</f>
        <v/>
      </c>
      <c r="C111" s="192" t="str">
        <f>IF($B111="","",IFERROR(INDEX(Lançamentos!$J$3:$J$1001,MATCH($B111,Lançamentos!$B$3:$B$1001,0)),""))</f>
        <v/>
      </c>
      <c r="D111" s="413" t="str">
        <f>IF($B111="","",IFERROR(INDEX('E2 — Triagem'!$D$8:$D$507,MATCH($B111,'E2 — Triagem'!$B$8:$B$507,0)),""))</f>
        <v/>
      </c>
      <c r="E111" s="193"/>
      <c r="F111" s="193"/>
      <c r="G111" s="193"/>
      <c r="H111" s="193"/>
      <c r="I111" s="193"/>
      <c r="J111" s="193"/>
      <c r="K111" s="194" t="str">
        <f t="shared" si="1"/>
        <v/>
      </c>
      <c r="L111" s="181"/>
      <c r="M111" s="181"/>
      <c r="N111" s="195" t="str">
        <f>IF(B111="","",IF('E5 — Validação'!M111="✅ Aprovado sem Ajustes","Não",IF(OR('E5 — Validação'!M111="⚠️ Aprovado com Ajustes",'E5 — Validação'!M111="❌ Reprovado"),"Sim","")))</f>
        <v/>
      </c>
    </row>
    <row r="112" spans="2:14" ht="14.5" customHeight="1" x14ac:dyDescent="0.35">
      <c r="B112" s="191" t="str">
        <f>IF(Lançamentos!$B107="","",Lançamentos!$B107)</f>
        <v/>
      </c>
      <c r="C112" s="192" t="str">
        <f>IF($B112="","",IFERROR(INDEX(Lançamentos!$J$3:$J$1001,MATCH($B112,Lançamentos!$B$3:$B$1001,0)),""))</f>
        <v/>
      </c>
      <c r="D112" s="413" t="str">
        <f>IF($B112="","",IFERROR(INDEX('E2 — Triagem'!$D$8:$D$507,MATCH($B112,'E2 — Triagem'!$B$8:$B$507,0)),""))</f>
        <v/>
      </c>
      <c r="E112" s="193"/>
      <c r="F112" s="193"/>
      <c r="G112" s="193"/>
      <c r="H112" s="193"/>
      <c r="I112" s="193"/>
      <c r="J112" s="193"/>
      <c r="K112" s="194" t="str">
        <f t="shared" si="1"/>
        <v/>
      </c>
      <c r="L112" s="181"/>
      <c r="M112" s="181"/>
      <c r="N112" s="195" t="str">
        <f>IF(B112="","",IF('E5 — Validação'!M112="✅ Aprovado sem Ajustes","Não",IF(OR('E5 — Validação'!M112="⚠️ Aprovado com Ajustes",'E5 — Validação'!M112="❌ Reprovado"),"Sim","")))</f>
        <v/>
      </c>
    </row>
    <row r="113" spans="2:14" ht="14.5" customHeight="1" x14ac:dyDescent="0.35">
      <c r="B113" s="191" t="str">
        <f>IF(Lançamentos!$B108="","",Lançamentos!$B108)</f>
        <v/>
      </c>
      <c r="C113" s="192" t="str">
        <f>IF($B113="","",IFERROR(INDEX(Lançamentos!$J$3:$J$1001,MATCH($B113,Lançamentos!$B$3:$B$1001,0)),""))</f>
        <v/>
      </c>
      <c r="D113" s="413" t="str">
        <f>IF($B113="","",IFERROR(INDEX('E2 — Triagem'!$D$8:$D$507,MATCH($B113,'E2 — Triagem'!$B$8:$B$507,0)),""))</f>
        <v/>
      </c>
      <c r="E113" s="193"/>
      <c r="F113" s="193"/>
      <c r="G113" s="193"/>
      <c r="H113" s="193"/>
      <c r="I113" s="193"/>
      <c r="J113" s="193"/>
      <c r="K113" s="194" t="str">
        <f t="shared" si="1"/>
        <v/>
      </c>
      <c r="L113" s="181"/>
      <c r="M113" s="181"/>
      <c r="N113" s="195" t="str">
        <f>IF(B113="","",IF('E5 — Validação'!M113="✅ Aprovado sem Ajustes","Não",IF(OR('E5 — Validação'!M113="⚠️ Aprovado com Ajustes",'E5 — Validação'!M113="❌ Reprovado"),"Sim","")))</f>
        <v/>
      </c>
    </row>
    <row r="114" spans="2:14" ht="14.5" customHeight="1" x14ac:dyDescent="0.35">
      <c r="B114" s="191" t="str">
        <f>IF(Lançamentos!$B109="","",Lançamentos!$B109)</f>
        <v/>
      </c>
      <c r="C114" s="192" t="str">
        <f>IF($B114="","",IFERROR(INDEX(Lançamentos!$J$3:$J$1001,MATCH($B114,Lançamentos!$B$3:$B$1001,0)),""))</f>
        <v/>
      </c>
      <c r="D114" s="413" t="str">
        <f>IF($B114="","",IFERROR(INDEX('E2 — Triagem'!$D$8:$D$507,MATCH($B114,'E2 — Triagem'!$B$8:$B$507,0)),""))</f>
        <v/>
      </c>
      <c r="E114" s="193"/>
      <c r="F114" s="193"/>
      <c r="G114" s="193"/>
      <c r="H114" s="193"/>
      <c r="I114" s="193"/>
      <c r="J114" s="193"/>
      <c r="K114" s="194" t="str">
        <f t="shared" si="1"/>
        <v/>
      </c>
      <c r="L114" s="181"/>
      <c r="M114" s="181"/>
      <c r="N114" s="195" t="str">
        <f>IF(B114="","",IF('E5 — Validação'!M114="✅ Aprovado sem Ajustes","Não",IF(OR('E5 — Validação'!M114="⚠️ Aprovado com Ajustes",'E5 — Validação'!M114="❌ Reprovado"),"Sim","")))</f>
        <v/>
      </c>
    </row>
    <row r="115" spans="2:14" ht="14.5" customHeight="1" x14ac:dyDescent="0.35">
      <c r="B115" s="191" t="str">
        <f>IF(Lançamentos!$B110="","",Lançamentos!$B110)</f>
        <v/>
      </c>
      <c r="C115" s="192" t="str">
        <f>IF($B115="","",IFERROR(INDEX(Lançamentos!$J$3:$J$1001,MATCH($B115,Lançamentos!$B$3:$B$1001,0)),""))</f>
        <v/>
      </c>
      <c r="D115" s="413" t="str">
        <f>IF($B115="","",IFERROR(INDEX('E2 — Triagem'!$D$8:$D$507,MATCH($B115,'E2 — Triagem'!$B$8:$B$507,0)),""))</f>
        <v/>
      </c>
      <c r="E115" s="193"/>
      <c r="F115" s="193"/>
      <c r="G115" s="193"/>
      <c r="H115" s="193"/>
      <c r="I115" s="193"/>
      <c r="J115" s="193"/>
      <c r="K115" s="194" t="str">
        <f t="shared" si="1"/>
        <v/>
      </c>
      <c r="L115" s="181"/>
      <c r="M115" s="181"/>
      <c r="N115" s="195" t="str">
        <f>IF(B115="","",IF('E5 — Validação'!M115="✅ Aprovado sem Ajustes","Não",IF(OR('E5 — Validação'!M115="⚠️ Aprovado com Ajustes",'E5 — Validação'!M115="❌ Reprovado"),"Sim","")))</f>
        <v/>
      </c>
    </row>
    <row r="116" spans="2:14" ht="14.5" customHeight="1" x14ac:dyDescent="0.35">
      <c r="B116" s="191" t="str">
        <f>IF(Lançamentos!$B111="","",Lançamentos!$B111)</f>
        <v/>
      </c>
      <c r="C116" s="192" t="str">
        <f>IF($B116="","",IFERROR(INDEX(Lançamentos!$J$3:$J$1001,MATCH($B116,Lançamentos!$B$3:$B$1001,0)),""))</f>
        <v/>
      </c>
      <c r="D116" s="413" t="str">
        <f>IF($B116="","",IFERROR(INDEX('E2 — Triagem'!$D$8:$D$507,MATCH($B116,'E2 — Triagem'!$B$8:$B$507,0)),""))</f>
        <v/>
      </c>
      <c r="E116" s="193"/>
      <c r="F116" s="193"/>
      <c r="G116" s="193"/>
      <c r="H116" s="193"/>
      <c r="I116" s="193"/>
      <c r="J116" s="193"/>
      <c r="K116" s="194" t="str">
        <f t="shared" si="1"/>
        <v/>
      </c>
      <c r="L116" s="181"/>
      <c r="M116" s="181"/>
      <c r="N116" s="195" t="str">
        <f>IF(B116="","",IF('E5 — Validação'!M116="✅ Aprovado sem Ajustes","Não",IF(OR('E5 — Validação'!M116="⚠️ Aprovado com Ajustes",'E5 — Validação'!M116="❌ Reprovado"),"Sim","")))</f>
        <v/>
      </c>
    </row>
    <row r="117" spans="2:14" ht="14.5" customHeight="1" x14ac:dyDescent="0.35">
      <c r="B117" s="191" t="str">
        <f>IF(Lançamentos!$B112="","",Lançamentos!$B112)</f>
        <v/>
      </c>
      <c r="C117" s="192" t="str">
        <f>IF($B117="","",IFERROR(INDEX(Lançamentos!$J$3:$J$1001,MATCH($B117,Lançamentos!$B$3:$B$1001,0)),""))</f>
        <v/>
      </c>
      <c r="D117" s="413" t="str">
        <f>IF($B117="","",IFERROR(INDEX('E2 — Triagem'!$D$8:$D$507,MATCH($B117,'E2 — Triagem'!$B$8:$B$507,0)),""))</f>
        <v/>
      </c>
      <c r="E117" s="193"/>
      <c r="F117" s="193"/>
      <c r="G117" s="193"/>
      <c r="H117" s="193"/>
      <c r="I117" s="193"/>
      <c r="J117" s="193"/>
      <c r="K117" s="194" t="str">
        <f t="shared" si="1"/>
        <v/>
      </c>
      <c r="L117" s="181"/>
      <c r="M117" s="181"/>
      <c r="N117" s="195" t="str">
        <f>IF(B117="","",IF('E5 — Validação'!M117="✅ Aprovado sem Ajustes","Não",IF(OR('E5 — Validação'!M117="⚠️ Aprovado com Ajustes",'E5 — Validação'!M117="❌ Reprovado"),"Sim","")))</f>
        <v/>
      </c>
    </row>
    <row r="118" spans="2:14" ht="14.5" customHeight="1" x14ac:dyDescent="0.35">
      <c r="B118" s="191" t="str">
        <f>IF(Lançamentos!$B113="","",Lançamentos!$B113)</f>
        <v/>
      </c>
      <c r="C118" s="192" t="str">
        <f>IF($B118="","",IFERROR(INDEX(Lançamentos!$J$3:$J$1001,MATCH($B118,Lançamentos!$B$3:$B$1001,0)),""))</f>
        <v/>
      </c>
      <c r="D118" s="413" t="str">
        <f>IF($B118="","",IFERROR(INDEX('E2 — Triagem'!$D$8:$D$507,MATCH($B118,'E2 — Triagem'!$B$8:$B$507,0)),""))</f>
        <v/>
      </c>
      <c r="E118" s="193"/>
      <c r="F118" s="193"/>
      <c r="G118" s="193"/>
      <c r="H118" s="193"/>
      <c r="I118" s="193"/>
      <c r="J118" s="193"/>
      <c r="K118" s="194" t="str">
        <f t="shared" si="1"/>
        <v/>
      </c>
      <c r="L118" s="181"/>
      <c r="M118" s="181"/>
      <c r="N118" s="195" t="str">
        <f>IF(B118="","",IF('E5 — Validação'!M118="✅ Aprovado sem Ajustes","Não",IF(OR('E5 — Validação'!M118="⚠️ Aprovado com Ajustes",'E5 — Validação'!M118="❌ Reprovado"),"Sim","")))</f>
        <v/>
      </c>
    </row>
    <row r="119" spans="2:14" ht="14.5" customHeight="1" x14ac:dyDescent="0.35">
      <c r="B119" s="191" t="str">
        <f>IF(Lançamentos!$B114="","",Lançamentos!$B114)</f>
        <v/>
      </c>
      <c r="C119" s="192" t="str">
        <f>IF($B119="","",IFERROR(INDEX(Lançamentos!$J$3:$J$1001,MATCH($B119,Lançamentos!$B$3:$B$1001,0)),""))</f>
        <v/>
      </c>
      <c r="D119" s="413" t="str">
        <f>IF($B119="","",IFERROR(INDEX('E2 — Triagem'!$D$8:$D$507,MATCH($B119,'E2 — Triagem'!$B$8:$B$507,0)),""))</f>
        <v/>
      </c>
      <c r="E119" s="193"/>
      <c r="F119" s="193"/>
      <c r="G119" s="193"/>
      <c r="H119" s="193"/>
      <c r="I119" s="193"/>
      <c r="J119" s="193"/>
      <c r="K119" s="194" t="str">
        <f t="shared" si="1"/>
        <v/>
      </c>
      <c r="L119" s="181"/>
      <c r="M119" s="181"/>
      <c r="N119" s="195" t="str">
        <f>IF(B119="","",IF('E5 — Validação'!M119="✅ Aprovado sem Ajustes","Não",IF(OR('E5 — Validação'!M119="⚠️ Aprovado com Ajustes",'E5 — Validação'!M119="❌ Reprovado"),"Sim","")))</f>
        <v/>
      </c>
    </row>
    <row r="120" spans="2:14" ht="14.5" customHeight="1" x14ac:dyDescent="0.35">
      <c r="B120" s="191" t="str">
        <f>IF(Lançamentos!$B115="","",Lançamentos!$B115)</f>
        <v/>
      </c>
      <c r="C120" s="192" t="str">
        <f>IF($B120="","",IFERROR(INDEX(Lançamentos!$J$3:$J$1001,MATCH($B120,Lançamentos!$B$3:$B$1001,0)),""))</f>
        <v/>
      </c>
      <c r="D120" s="413" t="str">
        <f>IF($B120="","",IFERROR(INDEX('E2 — Triagem'!$D$8:$D$507,MATCH($B120,'E2 — Triagem'!$B$8:$B$507,0)),""))</f>
        <v/>
      </c>
      <c r="E120" s="193"/>
      <c r="F120" s="193"/>
      <c r="G120" s="193"/>
      <c r="H120" s="193"/>
      <c r="I120" s="193"/>
      <c r="J120" s="193"/>
      <c r="K120" s="194" t="str">
        <f t="shared" si="1"/>
        <v/>
      </c>
      <c r="L120" s="181"/>
      <c r="M120" s="181"/>
      <c r="N120" s="195" t="str">
        <f>IF(B120="","",IF('E5 — Validação'!M120="✅ Aprovado sem Ajustes","Não",IF(OR('E5 — Validação'!M120="⚠️ Aprovado com Ajustes",'E5 — Validação'!M120="❌ Reprovado"),"Sim","")))</f>
        <v/>
      </c>
    </row>
    <row r="121" spans="2:14" ht="14.5" customHeight="1" x14ac:dyDescent="0.35">
      <c r="B121" s="191" t="str">
        <f>IF(Lançamentos!$B116="","",Lançamentos!$B116)</f>
        <v/>
      </c>
      <c r="C121" s="192" t="str">
        <f>IF($B121="","",IFERROR(INDEX(Lançamentos!$J$3:$J$1001,MATCH($B121,Lançamentos!$B$3:$B$1001,0)),""))</f>
        <v/>
      </c>
      <c r="D121" s="413" t="str">
        <f>IF($B121="","",IFERROR(INDEX('E2 — Triagem'!$D$8:$D$507,MATCH($B121,'E2 — Triagem'!$B$8:$B$507,0)),""))</f>
        <v/>
      </c>
      <c r="E121" s="193"/>
      <c r="F121" s="193"/>
      <c r="G121" s="193"/>
      <c r="H121" s="193"/>
      <c r="I121" s="193"/>
      <c r="J121" s="193"/>
      <c r="K121" s="194" t="str">
        <f t="shared" si="1"/>
        <v/>
      </c>
      <c r="L121" s="181"/>
      <c r="M121" s="181"/>
      <c r="N121" s="195" t="str">
        <f>IF(B121="","",IF('E5 — Validação'!M121="✅ Aprovado sem Ajustes","Não",IF(OR('E5 — Validação'!M121="⚠️ Aprovado com Ajustes",'E5 — Validação'!M121="❌ Reprovado"),"Sim","")))</f>
        <v/>
      </c>
    </row>
    <row r="122" spans="2:14" ht="14.5" customHeight="1" x14ac:dyDescent="0.35">
      <c r="B122" s="191" t="str">
        <f>IF(Lançamentos!$B117="","",Lançamentos!$B117)</f>
        <v/>
      </c>
      <c r="C122" s="192" t="str">
        <f>IF($B122="","",IFERROR(INDEX(Lançamentos!$J$3:$J$1001,MATCH($B122,Lançamentos!$B$3:$B$1001,0)),""))</f>
        <v/>
      </c>
      <c r="D122" s="413" t="str">
        <f>IF($B122="","",IFERROR(INDEX('E2 — Triagem'!$D$8:$D$507,MATCH($B122,'E2 — Triagem'!$B$8:$B$507,0)),""))</f>
        <v/>
      </c>
      <c r="E122" s="193"/>
      <c r="F122" s="193"/>
      <c r="G122" s="193"/>
      <c r="H122" s="193"/>
      <c r="I122" s="193"/>
      <c r="J122" s="193"/>
      <c r="K122" s="194" t="str">
        <f t="shared" si="1"/>
        <v/>
      </c>
      <c r="L122" s="181"/>
      <c r="M122" s="181"/>
      <c r="N122" s="195" t="str">
        <f>IF(B122="","",IF('E5 — Validação'!M122="✅ Aprovado sem Ajustes","Não",IF(OR('E5 — Validação'!M122="⚠️ Aprovado com Ajustes",'E5 — Validação'!M122="❌ Reprovado"),"Sim","")))</f>
        <v/>
      </c>
    </row>
    <row r="123" spans="2:14" ht="14.5" customHeight="1" x14ac:dyDescent="0.35">
      <c r="B123" s="191" t="str">
        <f>IF(Lançamentos!$B118="","",Lançamentos!$B118)</f>
        <v/>
      </c>
      <c r="C123" s="192" t="str">
        <f>IF($B123="","",IFERROR(INDEX(Lançamentos!$J$3:$J$1001,MATCH($B123,Lançamentos!$B$3:$B$1001,0)),""))</f>
        <v/>
      </c>
      <c r="D123" s="413" t="str">
        <f>IF($B123="","",IFERROR(INDEX('E2 — Triagem'!$D$8:$D$507,MATCH($B123,'E2 — Triagem'!$B$8:$B$507,0)),""))</f>
        <v/>
      </c>
      <c r="E123" s="193"/>
      <c r="F123" s="193"/>
      <c r="G123" s="193"/>
      <c r="H123" s="193"/>
      <c r="I123" s="193"/>
      <c r="J123" s="193"/>
      <c r="K123" s="194" t="str">
        <f t="shared" si="1"/>
        <v/>
      </c>
      <c r="L123" s="181"/>
      <c r="M123" s="181"/>
      <c r="N123" s="195" t="str">
        <f>IF(B123="","",IF('E5 — Validação'!M123="✅ Aprovado sem Ajustes","Não",IF(OR('E5 — Validação'!M123="⚠️ Aprovado com Ajustes",'E5 — Validação'!M123="❌ Reprovado"),"Sim","")))</f>
        <v/>
      </c>
    </row>
    <row r="124" spans="2:14" ht="14.5" customHeight="1" x14ac:dyDescent="0.35">
      <c r="B124" s="191" t="str">
        <f>IF(Lançamentos!$B119="","",Lançamentos!$B119)</f>
        <v/>
      </c>
      <c r="C124" s="192" t="str">
        <f>IF($B124="","",IFERROR(INDEX(Lançamentos!$J$3:$J$1001,MATCH($B124,Lançamentos!$B$3:$B$1001,0)),""))</f>
        <v/>
      </c>
      <c r="D124" s="413" t="str">
        <f>IF($B124="","",IFERROR(INDEX('E2 — Triagem'!$D$8:$D$507,MATCH($B124,'E2 — Triagem'!$B$8:$B$507,0)),""))</f>
        <v/>
      </c>
      <c r="E124" s="193"/>
      <c r="F124" s="193"/>
      <c r="G124" s="193"/>
      <c r="H124" s="193"/>
      <c r="I124" s="193"/>
      <c r="J124" s="193"/>
      <c r="K124" s="194" t="str">
        <f t="shared" si="1"/>
        <v/>
      </c>
      <c r="L124" s="181"/>
      <c r="M124" s="181"/>
      <c r="N124" s="195" t="str">
        <f>IF(B124="","",IF('E5 — Validação'!M124="✅ Aprovado sem Ajustes","Não",IF(OR('E5 — Validação'!M124="⚠️ Aprovado com Ajustes",'E5 — Validação'!M124="❌ Reprovado"),"Sim","")))</f>
        <v/>
      </c>
    </row>
    <row r="125" spans="2:14" ht="14.5" customHeight="1" x14ac:dyDescent="0.35">
      <c r="B125" s="191" t="str">
        <f>IF(Lançamentos!$B120="","",Lançamentos!$B120)</f>
        <v/>
      </c>
      <c r="C125" s="192" t="str">
        <f>IF($B125="","",IFERROR(INDEX(Lançamentos!$J$3:$J$1001,MATCH($B125,Lançamentos!$B$3:$B$1001,0)),""))</f>
        <v/>
      </c>
      <c r="D125" s="413" t="str">
        <f>IF($B125="","",IFERROR(INDEX('E2 — Triagem'!$D$8:$D$507,MATCH($B125,'E2 — Triagem'!$B$8:$B$507,0)),""))</f>
        <v/>
      </c>
      <c r="E125" s="193"/>
      <c r="F125" s="193"/>
      <c r="G125" s="193"/>
      <c r="H125" s="193"/>
      <c r="I125" s="193"/>
      <c r="J125" s="193"/>
      <c r="K125" s="194" t="str">
        <f t="shared" si="1"/>
        <v/>
      </c>
      <c r="L125" s="181"/>
      <c r="M125" s="181"/>
      <c r="N125" s="195" t="str">
        <f>IF(B125="","",IF('E5 — Validação'!M125="✅ Aprovado sem Ajustes","Não",IF(OR('E5 — Validação'!M125="⚠️ Aprovado com Ajustes",'E5 — Validação'!M125="❌ Reprovado"),"Sim","")))</f>
        <v/>
      </c>
    </row>
    <row r="126" spans="2:14" ht="14.5" customHeight="1" x14ac:dyDescent="0.35">
      <c r="B126" s="191" t="str">
        <f>IF(Lançamentos!$B121="","",Lançamentos!$B121)</f>
        <v/>
      </c>
      <c r="C126" s="192" t="str">
        <f>IF($B126="","",IFERROR(INDEX(Lançamentos!$J$3:$J$1001,MATCH($B126,Lançamentos!$B$3:$B$1001,0)),""))</f>
        <v/>
      </c>
      <c r="D126" s="413" t="str">
        <f>IF($B126="","",IFERROR(INDEX('E2 — Triagem'!$D$8:$D$507,MATCH($B126,'E2 — Triagem'!$B$8:$B$507,0)),""))</f>
        <v/>
      </c>
      <c r="E126" s="193"/>
      <c r="F126" s="193"/>
      <c r="G126" s="193"/>
      <c r="H126" s="193"/>
      <c r="I126" s="193"/>
      <c r="J126" s="193"/>
      <c r="K126" s="194" t="str">
        <f t="shared" si="1"/>
        <v/>
      </c>
      <c r="L126" s="181"/>
      <c r="M126" s="181"/>
      <c r="N126" s="195" t="str">
        <f>IF(B126="","",IF('E5 — Validação'!M126="✅ Aprovado sem Ajustes","Não",IF(OR('E5 — Validação'!M126="⚠️ Aprovado com Ajustes",'E5 — Validação'!M126="❌ Reprovado"),"Sim","")))</f>
        <v/>
      </c>
    </row>
    <row r="127" spans="2:14" ht="14.5" customHeight="1" x14ac:dyDescent="0.35">
      <c r="B127" s="191" t="str">
        <f>IF(Lançamentos!$B122="","",Lançamentos!$B122)</f>
        <v/>
      </c>
      <c r="C127" s="192" t="str">
        <f>IF($B127="","",IFERROR(INDEX(Lançamentos!$J$3:$J$1001,MATCH($B127,Lançamentos!$B$3:$B$1001,0)),""))</f>
        <v/>
      </c>
      <c r="D127" s="413" t="str">
        <f>IF($B127="","",IFERROR(INDEX('E2 — Triagem'!$D$8:$D$507,MATCH($B127,'E2 — Triagem'!$B$8:$B$507,0)),""))</f>
        <v/>
      </c>
      <c r="E127" s="193"/>
      <c r="F127" s="193"/>
      <c r="G127" s="193"/>
      <c r="H127" s="193"/>
      <c r="I127" s="193"/>
      <c r="J127" s="193"/>
      <c r="K127" s="194" t="str">
        <f t="shared" si="1"/>
        <v/>
      </c>
      <c r="L127" s="181"/>
      <c r="M127" s="181"/>
      <c r="N127" s="195" t="str">
        <f>IF(B127="","",IF('E5 — Validação'!M127="✅ Aprovado sem Ajustes","Não",IF(OR('E5 — Validação'!M127="⚠️ Aprovado com Ajustes",'E5 — Validação'!M127="❌ Reprovado"),"Sim","")))</f>
        <v/>
      </c>
    </row>
    <row r="128" spans="2:14" ht="14.5" customHeight="1" x14ac:dyDescent="0.35">
      <c r="B128" s="191" t="str">
        <f>IF(Lançamentos!$B123="","",Lançamentos!$B123)</f>
        <v/>
      </c>
      <c r="C128" s="192" t="str">
        <f>IF($B128="","",IFERROR(INDEX(Lançamentos!$J$3:$J$1001,MATCH($B128,Lançamentos!$B$3:$B$1001,0)),""))</f>
        <v/>
      </c>
      <c r="D128" s="413" t="str">
        <f>IF($B128="","",IFERROR(INDEX('E2 — Triagem'!$D$8:$D$507,MATCH($B128,'E2 — Triagem'!$B$8:$B$507,0)),""))</f>
        <v/>
      </c>
      <c r="E128" s="193"/>
      <c r="F128" s="193"/>
      <c r="G128" s="193"/>
      <c r="H128" s="193"/>
      <c r="I128" s="193"/>
      <c r="J128" s="193"/>
      <c r="K128" s="194" t="str">
        <f t="shared" si="1"/>
        <v/>
      </c>
      <c r="L128" s="181"/>
      <c r="M128" s="181"/>
      <c r="N128" s="195" t="str">
        <f>IF(B128="","",IF('E5 — Validação'!M128="✅ Aprovado sem Ajustes","Não",IF(OR('E5 — Validação'!M128="⚠️ Aprovado com Ajustes",'E5 — Validação'!M128="❌ Reprovado"),"Sim","")))</f>
        <v/>
      </c>
    </row>
    <row r="129" spans="2:14" ht="14.5" customHeight="1" x14ac:dyDescent="0.35">
      <c r="B129" s="191" t="str">
        <f>IF(Lançamentos!$B124="","",Lançamentos!$B124)</f>
        <v/>
      </c>
      <c r="C129" s="192" t="str">
        <f>IF($B129="","",IFERROR(INDEX(Lançamentos!$J$3:$J$1001,MATCH($B129,Lançamentos!$B$3:$B$1001,0)),""))</f>
        <v/>
      </c>
      <c r="D129" s="413" t="str">
        <f>IF($B129="","",IFERROR(INDEX('E2 — Triagem'!$D$8:$D$507,MATCH($B129,'E2 — Triagem'!$B$8:$B$507,0)),""))</f>
        <v/>
      </c>
      <c r="E129" s="193"/>
      <c r="F129" s="193"/>
      <c r="G129" s="193"/>
      <c r="H129" s="193"/>
      <c r="I129" s="193"/>
      <c r="J129" s="193"/>
      <c r="K129" s="194" t="str">
        <f t="shared" si="1"/>
        <v/>
      </c>
      <c r="L129" s="181"/>
      <c r="M129" s="181"/>
      <c r="N129" s="195" t="str">
        <f>IF(B129="","",IF('E5 — Validação'!M129="✅ Aprovado sem Ajustes","Não",IF(OR('E5 — Validação'!M129="⚠️ Aprovado com Ajustes",'E5 — Validação'!M129="❌ Reprovado"),"Sim","")))</f>
        <v/>
      </c>
    </row>
    <row r="130" spans="2:14" ht="14.5" customHeight="1" x14ac:dyDescent="0.35">
      <c r="B130" s="191" t="str">
        <f>IF(Lançamentos!$B125="","",Lançamentos!$B125)</f>
        <v/>
      </c>
      <c r="C130" s="192" t="str">
        <f>IF($B130="","",IFERROR(INDEX(Lançamentos!$J$3:$J$1001,MATCH($B130,Lançamentos!$B$3:$B$1001,0)),""))</f>
        <v/>
      </c>
      <c r="D130" s="413" t="str">
        <f>IF($B130="","",IFERROR(INDEX('E2 — Triagem'!$D$8:$D$507,MATCH($B130,'E2 — Triagem'!$B$8:$B$507,0)),""))</f>
        <v/>
      </c>
      <c r="E130" s="193"/>
      <c r="F130" s="193"/>
      <c r="G130" s="193"/>
      <c r="H130" s="193"/>
      <c r="I130" s="193"/>
      <c r="J130" s="193"/>
      <c r="K130" s="194" t="str">
        <f t="shared" si="1"/>
        <v/>
      </c>
      <c r="L130" s="181"/>
      <c r="M130" s="181"/>
      <c r="N130" s="195" t="str">
        <f>IF(B130="","",IF('E5 — Validação'!M130="✅ Aprovado sem Ajustes","Não",IF(OR('E5 — Validação'!M130="⚠️ Aprovado com Ajustes",'E5 — Validação'!M130="❌ Reprovado"),"Sim","")))</f>
        <v/>
      </c>
    </row>
    <row r="131" spans="2:14" ht="14.5" customHeight="1" x14ac:dyDescent="0.35">
      <c r="B131" s="191" t="str">
        <f>IF(Lançamentos!$B126="","",Lançamentos!$B126)</f>
        <v/>
      </c>
      <c r="C131" s="192" t="str">
        <f>IF($B131="","",IFERROR(INDEX(Lançamentos!$J$3:$J$1001,MATCH($B131,Lançamentos!$B$3:$B$1001,0)),""))</f>
        <v/>
      </c>
      <c r="D131" s="413" t="str">
        <f>IF($B131="","",IFERROR(INDEX('E2 — Triagem'!$D$8:$D$507,MATCH($B131,'E2 — Triagem'!$B$8:$B$507,0)),""))</f>
        <v/>
      </c>
      <c r="E131" s="193"/>
      <c r="F131" s="193"/>
      <c r="G131" s="193"/>
      <c r="H131" s="193"/>
      <c r="I131" s="193"/>
      <c r="J131" s="193"/>
      <c r="K131" s="194" t="str">
        <f t="shared" si="1"/>
        <v/>
      </c>
      <c r="L131" s="181"/>
      <c r="M131" s="181"/>
      <c r="N131" s="195" t="str">
        <f>IF(B131="","",IF('E5 — Validação'!M131="✅ Aprovado sem Ajustes","Não",IF(OR('E5 — Validação'!M131="⚠️ Aprovado com Ajustes",'E5 — Validação'!M131="❌ Reprovado"),"Sim","")))</f>
        <v/>
      </c>
    </row>
    <row r="132" spans="2:14" ht="14.5" customHeight="1" x14ac:dyDescent="0.35">
      <c r="B132" s="191" t="str">
        <f>IF(Lançamentos!$B127="","",Lançamentos!$B127)</f>
        <v/>
      </c>
      <c r="C132" s="192" t="str">
        <f>IF($B132="","",IFERROR(INDEX(Lançamentos!$J$3:$J$1001,MATCH($B132,Lançamentos!$B$3:$B$1001,0)),""))</f>
        <v/>
      </c>
      <c r="D132" s="413" t="str">
        <f>IF($B132="","",IFERROR(INDEX('E2 — Triagem'!$D$8:$D$507,MATCH($B132,'E2 — Triagem'!$B$8:$B$507,0)),""))</f>
        <v/>
      </c>
      <c r="E132" s="193"/>
      <c r="F132" s="193"/>
      <c r="G132" s="193"/>
      <c r="H132" s="193"/>
      <c r="I132" s="193"/>
      <c r="J132" s="193"/>
      <c r="K132" s="194" t="str">
        <f t="shared" si="1"/>
        <v/>
      </c>
      <c r="L132" s="181"/>
      <c r="M132" s="181"/>
      <c r="N132" s="195" t="str">
        <f>IF(B132="","",IF('E5 — Validação'!M132="✅ Aprovado sem Ajustes","Não",IF(OR('E5 — Validação'!M132="⚠️ Aprovado com Ajustes",'E5 — Validação'!M132="❌ Reprovado"),"Sim","")))</f>
        <v/>
      </c>
    </row>
    <row r="133" spans="2:14" ht="14.5" customHeight="1" x14ac:dyDescent="0.35">
      <c r="B133" s="191" t="str">
        <f>IF(Lançamentos!$B128="","",Lançamentos!$B128)</f>
        <v/>
      </c>
      <c r="C133" s="192" t="str">
        <f>IF($B133="","",IFERROR(INDEX(Lançamentos!$J$3:$J$1001,MATCH($B133,Lançamentos!$B$3:$B$1001,0)),""))</f>
        <v/>
      </c>
      <c r="D133" s="413" t="str">
        <f>IF($B133="","",IFERROR(INDEX('E2 — Triagem'!$D$8:$D$507,MATCH($B133,'E2 — Triagem'!$B$8:$B$507,0)),""))</f>
        <v/>
      </c>
      <c r="E133" s="193"/>
      <c r="F133" s="193"/>
      <c r="G133" s="193"/>
      <c r="H133" s="193"/>
      <c r="I133" s="193"/>
      <c r="J133" s="193"/>
      <c r="K133" s="194" t="str">
        <f t="shared" si="1"/>
        <v/>
      </c>
      <c r="L133" s="181"/>
      <c r="M133" s="181"/>
      <c r="N133" s="195" t="str">
        <f>IF(B133="","",IF('E5 — Validação'!M133="✅ Aprovado sem Ajustes","Não",IF(OR('E5 — Validação'!M133="⚠️ Aprovado com Ajustes",'E5 — Validação'!M133="❌ Reprovado"),"Sim","")))</f>
        <v/>
      </c>
    </row>
    <row r="134" spans="2:14" ht="14.5" customHeight="1" x14ac:dyDescent="0.35">
      <c r="B134" s="191" t="str">
        <f>IF(Lançamentos!$B129="","",Lançamentos!$B129)</f>
        <v/>
      </c>
      <c r="C134" s="192" t="str">
        <f>IF($B134="","",IFERROR(INDEX(Lançamentos!$J$3:$J$1001,MATCH($B134,Lançamentos!$B$3:$B$1001,0)),""))</f>
        <v/>
      </c>
      <c r="D134" s="413" t="str">
        <f>IF($B134="","",IFERROR(INDEX('E2 — Triagem'!$D$8:$D$507,MATCH($B134,'E2 — Triagem'!$B$8:$B$507,0)),""))</f>
        <v/>
      </c>
      <c r="E134" s="193"/>
      <c r="F134" s="193"/>
      <c r="G134" s="193"/>
      <c r="H134" s="193"/>
      <c r="I134" s="193"/>
      <c r="J134" s="193"/>
      <c r="K134" s="194" t="str">
        <f t="shared" si="1"/>
        <v/>
      </c>
      <c r="L134" s="181"/>
      <c r="M134" s="181"/>
      <c r="N134" s="195" t="str">
        <f>IF(B134="","",IF('E5 — Validação'!M134="✅ Aprovado sem Ajustes","Não",IF(OR('E5 — Validação'!M134="⚠️ Aprovado com Ajustes",'E5 — Validação'!M134="❌ Reprovado"),"Sim","")))</f>
        <v/>
      </c>
    </row>
    <row r="135" spans="2:14" ht="14.5" customHeight="1" x14ac:dyDescent="0.35">
      <c r="B135" s="191" t="str">
        <f>IF(Lançamentos!$B130="","",Lançamentos!$B130)</f>
        <v/>
      </c>
      <c r="C135" s="192" t="str">
        <f>IF($B135="","",IFERROR(INDEX(Lançamentos!$J$3:$J$1001,MATCH($B135,Lançamentos!$B$3:$B$1001,0)),""))</f>
        <v/>
      </c>
      <c r="D135" s="413" t="str">
        <f>IF($B135="","",IFERROR(INDEX('E2 — Triagem'!$D$8:$D$507,MATCH($B135,'E2 — Triagem'!$B$8:$B$507,0)),""))</f>
        <v/>
      </c>
      <c r="E135" s="193"/>
      <c r="F135" s="193"/>
      <c r="G135" s="193"/>
      <c r="H135" s="193"/>
      <c r="I135" s="193"/>
      <c r="J135" s="193"/>
      <c r="K135" s="194" t="str">
        <f t="shared" si="1"/>
        <v/>
      </c>
      <c r="L135" s="181"/>
      <c r="M135" s="181"/>
      <c r="N135" s="195" t="str">
        <f>IF(B135="","",IF('E5 — Validação'!M135="✅ Aprovado sem Ajustes","Não",IF(OR('E5 — Validação'!M135="⚠️ Aprovado com Ajustes",'E5 — Validação'!M135="❌ Reprovado"),"Sim","")))</f>
        <v/>
      </c>
    </row>
    <row r="136" spans="2:14" ht="14.5" customHeight="1" x14ac:dyDescent="0.35">
      <c r="B136" s="191" t="str">
        <f>IF(Lançamentos!$B131="","",Lançamentos!$B131)</f>
        <v/>
      </c>
      <c r="C136" s="192" t="str">
        <f>IF($B136="","",IFERROR(INDEX(Lançamentos!$J$3:$J$1001,MATCH($B136,Lançamentos!$B$3:$B$1001,0)),""))</f>
        <v/>
      </c>
      <c r="D136" s="413" t="str">
        <f>IF($B136="","",IFERROR(INDEX('E2 — Triagem'!$D$8:$D$507,MATCH($B136,'E2 — Triagem'!$B$8:$B$507,0)),""))</f>
        <v/>
      </c>
      <c r="E136" s="193"/>
      <c r="F136" s="193"/>
      <c r="G136" s="193"/>
      <c r="H136" s="193"/>
      <c r="I136" s="193"/>
      <c r="J136" s="193"/>
      <c r="K136" s="194" t="str">
        <f t="shared" ref="K136:K199" si="2">IF(B136="","",IF(N136="Não",0,IF(COUNTIF(E136:J136,"N/A")=6,0,COUNTIF(E136:J136,"✔ Concluído")/(6-COUNTIF(E136:J136,"N/A")))))</f>
        <v/>
      </c>
      <c r="L136" s="181"/>
      <c r="M136" s="181"/>
      <c r="N136" s="195" t="str">
        <f>IF(B136="","",IF('E5 — Validação'!M136="✅ Aprovado sem Ajustes","Não",IF(OR('E5 — Validação'!M136="⚠️ Aprovado com Ajustes",'E5 — Validação'!M136="❌ Reprovado"),"Sim","")))</f>
        <v/>
      </c>
    </row>
    <row r="137" spans="2:14" ht="14.5" customHeight="1" x14ac:dyDescent="0.35">
      <c r="B137" s="191" t="str">
        <f>IF(Lançamentos!$B132="","",Lançamentos!$B132)</f>
        <v/>
      </c>
      <c r="C137" s="192" t="str">
        <f>IF($B137="","",IFERROR(INDEX(Lançamentos!$J$3:$J$1001,MATCH($B137,Lançamentos!$B$3:$B$1001,0)),""))</f>
        <v/>
      </c>
      <c r="D137" s="413" t="str">
        <f>IF($B137="","",IFERROR(INDEX('E2 — Triagem'!$D$8:$D$507,MATCH($B137,'E2 — Triagem'!$B$8:$B$507,0)),""))</f>
        <v/>
      </c>
      <c r="E137" s="193"/>
      <c r="F137" s="193"/>
      <c r="G137" s="193"/>
      <c r="H137" s="193"/>
      <c r="I137" s="193"/>
      <c r="J137" s="193"/>
      <c r="K137" s="194" t="str">
        <f t="shared" si="2"/>
        <v/>
      </c>
      <c r="L137" s="181"/>
      <c r="M137" s="181"/>
      <c r="N137" s="195" t="str">
        <f>IF(B137="","",IF('E5 — Validação'!M137="✅ Aprovado sem Ajustes","Não",IF(OR('E5 — Validação'!M137="⚠️ Aprovado com Ajustes",'E5 — Validação'!M137="❌ Reprovado"),"Sim","")))</f>
        <v/>
      </c>
    </row>
    <row r="138" spans="2:14" ht="14.5" customHeight="1" x14ac:dyDescent="0.35">
      <c r="B138" s="191" t="str">
        <f>IF(Lançamentos!$B133="","",Lançamentos!$B133)</f>
        <v/>
      </c>
      <c r="C138" s="192" t="str">
        <f>IF($B138="","",IFERROR(INDEX(Lançamentos!$J$3:$J$1001,MATCH($B138,Lançamentos!$B$3:$B$1001,0)),""))</f>
        <v/>
      </c>
      <c r="D138" s="413" t="str">
        <f>IF($B138="","",IFERROR(INDEX('E2 — Triagem'!$D$8:$D$507,MATCH($B138,'E2 — Triagem'!$B$8:$B$507,0)),""))</f>
        <v/>
      </c>
      <c r="E138" s="193"/>
      <c r="F138" s="193"/>
      <c r="G138" s="193"/>
      <c r="H138" s="193"/>
      <c r="I138" s="193"/>
      <c r="J138" s="193"/>
      <c r="K138" s="194" t="str">
        <f t="shared" si="2"/>
        <v/>
      </c>
      <c r="L138" s="181"/>
      <c r="M138" s="181"/>
      <c r="N138" s="195" t="str">
        <f>IF(B138="","",IF('E5 — Validação'!M138="✅ Aprovado sem Ajustes","Não",IF(OR('E5 — Validação'!M138="⚠️ Aprovado com Ajustes",'E5 — Validação'!M138="❌ Reprovado"),"Sim","")))</f>
        <v/>
      </c>
    </row>
    <row r="139" spans="2:14" ht="14.5" customHeight="1" x14ac:dyDescent="0.35">
      <c r="B139" s="191" t="str">
        <f>IF(Lançamentos!$B134="","",Lançamentos!$B134)</f>
        <v/>
      </c>
      <c r="C139" s="192" t="str">
        <f>IF($B139="","",IFERROR(INDEX(Lançamentos!$J$3:$J$1001,MATCH($B139,Lançamentos!$B$3:$B$1001,0)),""))</f>
        <v/>
      </c>
      <c r="D139" s="413" t="str">
        <f>IF($B139="","",IFERROR(INDEX('E2 — Triagem'!$D$8:$D$507,MATCH($B139,'E2 — Triagem'!$B$8:$B$507,0)),""))</f>
        <v/>
      </c>
      <c r="E139" s="193"/>
      <c r="F139" s="193"/>
      <c r="G139" s="193"/>
      <c r="H139" s="193"/>
      <c r="I139" s="193"/>
      <c r="J139" s="193"/>
      <c r="K139" s="194" t="str">
        <f t="shared" si="2"/>
        <v/>
      </c>
      <c r="L139" s="181"/>
      <c r="M139" s="181"/>
      <c r="N139" s="195" t="str">
        <f>IF(B139="","",IF('E5 — Validação'!M139="✅ Aprovado sem Ajustes","Não",IF(OR('E5 — Validação'!M139="⚠️ Aprovado com Ajustes",'E5 — Validação'!M139="❌ Reprovado"),"Sim","")))</f>
        <v/>
      </c>
    </row>
    <row r="140" spans="2:14" ht="14.5" customHeight="1" x14ac:dyDescent="0.35">
      <c r="B140" s="191" t="str">
        <f>IF(Lançamentos!$B135="","",Lançamentos!$B135)</f>
        <v/>
      </c>
      <c r="C140" s="192" t="str">
        <f>IF($B140="","",IFERROR(INDEX(Lançamentos!$J$3:$J$1001,MATCH($B140,Lançamentos!$B$3:$B$1001,0)),""))</f>
        <v/>
      </c>
      <c r="D140" s="413" t="str">
        <f>IF($B140="","",IFERROR(INDEX('E2 — Triagem'!$D$8:$D$507,MATCH($B140,'E2 — Triagem'!$B$8:$B$507,0)),""))</f>
        <v/>
      </c>
      <c r="E140" s="193"/>
      <c r="F140" s="193"/>
      <c r="G140" s="193"/>
      <c r="H140" s="193"/>
      <c r="I140" s="193"/>
      <c r="J140" s="193"/>
      <c r="K140" s="194" t="str">
        <f t="shared" si="2"/>
        <v/>
      </c>
      <c r="L140" s="181"/>
      <c r="M140" s="181"/>
      <c r="N140" s="195" t="str">
        <f>IF(B140="","",IF('E5 — Validação'!M140="✅ Aprovado sem Ajustes","Não",IF(OR('E5 — Validação'!M140="⚠️ Aprovado com Ajustes",'E5 — Validação'!M140="❌ Reprovado"),"Sim","")))</f>
        <v/>
      </c>
    </row>
    <row r="141" spans="2:14" ht="14.5" customHeight="1" x14ac:dyDescent="0.35">
      <c r="B141" s="191" t="str">
        <f>IF(Lançamentos!$B136="","",Lançamentos!$B136)</f>
        <v/>
      </c>
      <c r="C141" s="192" t="str">
        <f>IF($B141="","",IFERROR(INDEX(Lançamentos!$J$3:$J$1001,MATCH($B141,Lançamentos!$B$3:$B$1001,0)),""))</f>
        <v/>
      </c>
      <c r="D141" s="413" t="str">
        <f>IF($B141="","",IFERROR(INDEX('E2 — Triagem'!$D$8:$D$507,MATCH($B141,'E2 — Triagem'!$B$8:$B$507,0)),""))</f>
        <v/>
      </c>
      <c r="E141" s="193"/>
      <c r="F141" s="193"/>
      <c r="G141" s="193"/>
      <c r="H141" s="193"/>
      <c r="I141" s="193"/>
      <c r="J141" s="193"/>
      <c r="K141" s="194" t="str">
        <f t="shared" si="2"/>
        <v/>
      </c>
      <c r="L141" s="181"/>
      <c r="M141" s="181"/>
      <c r="N141" s="195" t="str">
        <f>IF(B141="","",IF('E5 — Validação'!M141="✅ Aprovado sem Ajustes","Não",IF(OR('E5 — Validação'!M141="⚠️ Aprovado com Ajustes",'E5 — Validação'!M141="❌ Reprovado"),"Sim","")))</f>
        <v/>
      </c>
    </row>
    <row r="142" spans="2:14" ht="14.5" customHeight="1" x14ac:dyDescent="0.35">
      <c r="B142" s="191" t="str">
        <f>IF(Lançamentos!$B137="","",Lançamentos!$B137)</f>
        <v/>
      </c>
      <c r="C142" s="192" t="str">
        <f>IF($B142="","",IFERROR(INDEX(Lançamentos!$J$3:$J$1001,MATCH($B142,Lançamentos!$B$3:$B$1001,0)),""))</f>
        <v/>
      </c>
      <c r="D142" s="413" t="str">
        <f>IF($B142="","",IFERROR(INDEX('E2 — Triagem'!$D$8:$D$507,MATCH($B142,'E2 — Triagem'!$B$8:$B$507,0)),""))</f>
        <v/>
      </c>
      <c r="E142" s="193"/>
      <c r="F142" s="193"/>
      <c r="G142" s="193"/>
      <c r="H142" s="193"/>
      <c r="I142" s="193"/>
      <c r="J142" s="193"/>
      <c r="K142" s="194" t="str">
        <f t="shared" si="2"/>
        <v/>
      </c>
      <c r="L142" s="181"/>
      <c r="M142" s="181"/>
      <c r="N142" s="195" t="str">
        <f>IF(B142="","",IF('E5 — Validação'!M142="✅ Aprovado sem Ajustes","Não",IF(OR('E5 — Validação'!M142="⚠️ Aprovado com Ajustes",'E5 — Validação'!M142="❌ Reprovado"),"Sim","")))</f>
        <v/>
      </c>
    </row>
    <row r="143" spans="2:14" ht="14.5" customHeight="1" x14ac:dyDescent="0.35">
      <c r="B143" s="191" t="str">
        <f>IF(Lançamentos!$B138="","",Lançamentos!$B138)</f>
        <v/>
      </c>
      <c r="C143" s="192" t="str">
        <f>IF($B143="","",IFERROR(INDEX(Lançamentos!$J$3:$J$1001,MATCH($B143,Lançamentos!$B$3:$B$1001,0)),""))</f>
        <v/>
      </c>
      <c r="D143" s="413" t="str">
        <f>IF($B143="","",IFERROR(INDEX('E2 — Triagem'!$D$8:$D$507,MATCH($B143,'E2 — Triagem'!$B$8:$B$507,0)),""))</f>
        <v/>
      </c>
      <c r="E143" s="193"/>
      <c r="F143" s="193"/>
      <c r="G143" s="193"/>
      <c r="H143" s="193"/>
      <c r="I143" s="193"/>
      <c r="J143" s="193"/>
      <c r="K143" s="194" t="str">
        <f t="shared" si="2"/>
        <v/>
      </c>
      <c r="L143" s="181"/>
      <c r="M143" s="181"/>
      <c r="N143" s="195" t="str">
        <f>IF(B143="","",IF('E5 — Validação'!M143="✅ Aprovado sem Ajustes","Não",IF(OR('E5 — Validação'!M143="⚠️ Aprovado com Ajustes",'E5 — Validação'!M143="❌ Reprovado"),"Sim","")))</f>
        <v/>
      </c>
    </row>
    <row r="144" spans="2:14" ht="14.5" customHeight="1" x14ac:dyDescent="0.35">
      <c r="B144" s="191" t="str">
        <f>IF(Lançamentos!$B139="","",Lançamentos!$B139)</f>
        <v/>
      </c>
      <c r="C144" s="192" t="str">
        <f>IF($B144="","",IFERROR(INDEX(Lançamentos!$J$3:$J$1001,MATCH($B144,Lançamentos!$B$3:$B$1001,0)),""))</f>
        <v/>
      </c>
      <c r="D144" s="413" t="str">
        <f>IF($B144="","",IFERROR(INDEX('E2 — Triagem'!$D$8:$D$507,MATCH($B144,'E2 — Triagem'!$B$8:$B$507,0)),""))</f>
        <v/>
      </c>
      <c r="E144" s="193"/>
      <c r="F144" s="193"/>
      <c r="G144" s="193"/>
      <c r="H144" s="193"/>
      <c r="I144" s="193"/>
      <c r="J144" s="193"/>
      <c r="K144" s="194" t="str">
        <f t="shared" si="2"/>
        <v/>
      </c>
      <c r="L144" s="181"/>
      <c r="M144" s="181"/>
      <c r="N144" s="195" t="str">
        <f>IF(B144="","",IF('E5 — Validação'!M144="✅ Aprovado sem Ajustes","Não",IF(OR('E5 — Validação'!M144="⚠️ Aprovado com Ajustes",'E5 — Validação'!M144="❌ Reprovado"),"Sim","")))</f>
        <v/>
      </c>
    </row>
    <row r="145" spans="2:14" ht="14.5" customHeight="1" x14ac:dyDescent="0.35">
      <c r="B145" s="191" t="str">
        <f>IF(Lançamentos!$B140="","",Lançamentos!$B140)</f>
        <v/>
      </c>
      <c r="C145" s="192" t="str">
        <f>IF($B145="","",IFERROR(INDEX(Lançamentos!$J$3:$J$1001,MATCH($B145,Lançamentos!$B$3:$B$1001,0)),""))</f>
        <v/>
      </c>
      <c r="D145" s="413" t="str">
        <f>IF($B145="","",IFERROR(INDEX('E2 — Triagem'!$D$8:$D$507,MATCH($B145,'E2 — Triagem'!$B$8:$B$507,0)),""))</f>
        <v/>
      </c>
      <c r="E145" s="193"/>
      <c r="F145" s="193"/>
      <c r="G145" s="193"/>
      <c r="H145" s="193"/>
      <c r="I145" s="193"/>
      <c r="J145" s="193"/>
      <c r="K145" s="194" t="str">
        <f t="shared" si="2"/>
        <v/>
      </c>
      <c r="L145" s="181"/>
      <c r="M145" s="181"/>
      <c r="N145" s="195" t="str">
        <f>IF(B145="","",IF('E5 — Validação'!M145="✅ Aprovado sem Ajustes","Não",IF(OR('E5 — Validação'!M145="⚠️ Aprovado com Ajustes",'E5 — Validação'!M145="❌ Reprovado"),"Sim","")))</f>
        <v/>
      </c>
    </row>
    <row r="146" spans="2:14" ht="14.5" customHeight="1" x14ac:dyDescent="0.35">
      <c r="B146" s="191" t="str">
        <f>IF(Lançamentos!$B141="","",Lançamentos!$B141)</f>
        <v/>
      </c>
      <c r="C146" s="192" t="str">
        <f>IF($B146="","",IFERROR(INDEX(Lançamentos!$J$3:$J$1001,MATCH($B146,Lançamentos!$B$3:$B$1001,0)),""))</f>
        <v/>
      </c>
      <c r="D146" s="413" t="str">
        <f>IF($B146="","",IFERROR(INDEX('E2 — Triagem'!$D$8:$D$507,MATCH($B146,'E2 — Triagem'!$B$8:$B$507,0)),""))</f>
        <v/>
      </c>
      <c r="E146" s="193"/>
      <c r="F146" s="193"/>
      <c r="G146" s="193"/>
      <c r="H146" s="193"/>
      <c r="I146" s="193"/>
      <c r="J146" s="193"/>
      <c r="K146" s="194" t="str">
        <f t="shared" si="2"/>
        <v/>
      </c>
      <c r="L146" s="181"/>
      <c r="M146" s="181"/>
      <c r="N146" s="195" t="str">
        <f>IF(B146="","",IF('E5 — Validação'!M146="✅ Aprovado sem Ajustes","Não",IF(OR('E5 — Validação'!M146="⚠️ Aprovado com Ajustes",'E5 — Validação'!M146="❌ Reprovado"),"Sim","")))</f>
        <v/>
      </c>
    </row>
    <row r="147" spans="2:14" ht="14.5" customHeight="1" x14ac:dyDescent="0.35">
      <c r="B147" s="191" t="str">
        <f>IF(Lançamentos!$B142="","",Lançamentos!$B142)</f>
        <v/>
      </c>
      <c r="C147" s="192" t="str">
        <f>IF($B147="","",IFERROR(INDEX(Lançamentos!$J$3:$J$1001,MATCH($B147,Lançamentos!$B$3:$B$1001,0)),""))</f>
        <v/>
      </c>
      <c r="D147" s="413" t="str">
        <f>IF($B147="","",IFERROR(INDEX('E2 — Triagem'!$D$8:$D$507,MATCH($B147,'E2 — Triagem'!$B$8:$B$507,0)),""))</f>
        <v/>
      </c>
      <c r="E147" s="193"/>
      <c r="F147" s="193"/>
      <c r="G147" s="193"/>
      <c r="H147" s="193"/>
      <c r="I147" s="193"/>
      <c r="J147" s="193"/>
      <c r="K147" s="194" t="str">
        <f t="shared" si="2"/>
        <v/>
      </c>
      <c r="L147" s="181"/>
      <c r="M147" s="181"/>
      <c r="N147" s="195" t="str">
        <f>IF(B147="","",IF('E5 — Validação'!M147="✅ Aprovado sem Ajustes","Não",IF(OR('E5 — Validação'!M147="⚠️ Aprovado com Ajustes",'E5 — Validação'!M147="❌ Reprovado"),"Sim","")))</f>
        <v/>
      </c>
    </row>
    <row r="148" spans="2:14" ht="14.5" customHeight="1" x14ac:dyDescent="0.35">
      <c r="B148" s="191" t="str">
        <f>IF(Lançamentos!$B143="","",Lançamentos!$B143)</f>
        <v/>
      </c>
      <c r="C148" s="192" t="str">
        <f>IF($B148="","",IFERROR(INDEX(Lançamentos!$J$3:$J$1001,MATCH($B148,Lançamentos!$B$3:$B$1001,0)),""))</f>
        <v/>
      </c>
      <c r="D148" s="413" t="str">
        <f>IF($B148="","",IFERROR(INDEX('E2 — Triagem'!$D$8:$D$507,MATCH($B148,'E2 — Triagem'!$B$8:$B$507,0)),""))</f>
        <v/>
      </c>
      <c r="E148" s="193"/>
      <c r="F148" s="193"/>
      <c r="G148" s="193"/>
      <c r="H148" s="193"/>
      <c r="I148" s="193"/>
      <c r="J148" s="193"/>
      <c r="K148" s="194" t="str">
        <f t="shared" si="2"/>
        <v/>
      </c>
      <c r="L148" s="181"/>
      <c r="M148" s="181"/>
      <c r="N148" s="195" t="str">
        <f>IF(B148="","",IF('E5 — Validação'!M148="✅ Aprovado sem Ajustes","Não",IF(OR('E5 — Validação'!M148="⚠️ Aprovado com Ajustes",'E5 — Validação'!M148="❌ Reprovado"),"Sim","")))</f>
        <v/>
      </c>
    </row>
    <row r="149" spans="2:14" ht="14.5" customHeight="1" x14ac:dyDescent="0.35">
      <c r="B149" s="191" t="str">
        <f>IF(Lançamentos!$B144="","",Lançamentos!$B144)</f>
        <v/>
      </c>
      <c r="C149" s="192" t="str">
        <f>IF($B149="","",IFERROR(INDEX(Lançamentos!$J$3:$J$1001,MATCH($B149,Lançamentos!$B$3:$B$1001,0)),""))</f>
        <v/>
      </c>
      <c r="D149" s="413" t="str">
        <f>IF($B149="","",IFERROR(INDEX('E2 — Triagem'!$D$8:$D$507,MATCH($B149,'E2 — Triagem'!$B$8:$B$507,0)),""))</f>
        <v/>
      </c>
      <c r="E149" s="193"/>
      <c r="F149" s="193"/>
      <c r="G149" s="193"/>
      <c r="H149" s="193"/>
      <c r="I149" s="193"/>
      <c r="J149" s="193"/>
      <c r="K149" s="194" t="str">
        <f t="shared" si="2"/>
        <v/>
      </c>
      <c r="L149" s="181"/>
      <c r="M149" s="181"/>
      <c r="N149" s="195" t="str">
        <f>IF(B149="","",IF('E5 — Validação'!M149="✅ Aprovado sem Ajustes","Não",IF(OR('E5 — Validação'!M149="⚠️ Aprovado com Ajustes",'E5 — Validação'!M149="❌ Reprovado"),"Sim","")))</f>
        <v/>
      </c>
    </row>
    <row r="150" spans="2:14" ht="14.5" customHeight="1" x14ac:dyDescent="0.35">
      <c r="B150" s="191" t="str">
        <f>IF(Lançamentos!$B145="","",Lançamentos!$B145)</f>
        <v/>
      </c>
      <c r="C150" s="192" t="str">
        <f>IF($B150="","",IFERROR(INDEX(Lançamentos!$J$3:$J$1001,MATCH($B150,Lançamentos!$B$3:$B$1001,0)),""))</f>
        <v/>
      </c>
      <c r="D150" s="413" t="str">
        <f>IF($B150="","",IFERROR(INDEX('E2 — Triagem'!$D$8:$D$507,MATCH($B150,'E2 — Triagem'!$B$8:$B$507,0)),""))</f>
        <v/>
      </c>
      <c r="E150" s="193"/>
      <c r="F150" s="193"/>
      <c r="G150" s="193"/>
      <c r="H150" s="193"/>
      <c r="I150" s="193"/>
      <c r="J150" s="193"/>
      <c r="K150" s="194" t="str">
        <f t="shared" si="2"/>
        <v/>
      </c>
      <c r="L150" s="181"/>
      <c r="M150" s="181"/>
      <c r="N150" s="195" t="str">
        <f>IF(B150="","",IF('E5 — Validação'!M150="✅ Aprovado sem Ajustes","Não",IF(OR('E5 — Validação'!M150="⚠️ Aprovado com Ajustes",'E5 — Validação'!M150="❌ Reprovado"),"Sim","")))</f>
        <v/>
      </c>
    </row>
    <row r="151" spans="2:14" ht="14.5" customHeight="1" x14ac:dyDescent="0.35">
      <c r="B151" s="191" t="str">
        <f>IF(Lançamentos!$B146="","",Lançamentos!$B146)</f>
        <v/>
      </c>
      <c r="C151" s="192" t="str">
        <f>IF($B151="","",IFERROR(INDEX(Lançamentos!$J$3:$J$1001,MATCH($B151,Lançamentos!$B$3:$B$1001,0)),""))</f>
        <v/>
      </c>
      <c r="D151" s="413" t="str">
        <f>IF($B151="","",IFERROR(INDEX('E2 — Triagem'!$D$8:$D$507,MATCH($B151,'E2 — Triagem'!$B$8:$B$507,0)),""))</f>
        <v/>
      </c>
      <c r="E151" s="193"/>
      <c r="F151" s="193"/>
      <c r="G151" s="193"/>
      <c r="H151" s="193"/>
      <c r="I151" s="193"/>
      <c r="J151" s="193"/>
      <c r="K151" s="194" t="str">
        <f t="shared" si="2"/>
        <v/>
      </c>
      <c r="L151" s="181"/>
      <c r="M151" s="181"/>
      <c r="N151" s="195" t="str">
        <f>IF(B151="","",IF('E5 — Validação'!M151="✅ Aprovado sem Ajustes","Não",IF(OR('E5 — Validação'!M151="⚠️ Aprovado com Ajustes",'E5 — Validação'!M151="❌ Reprovado"),"Sim","")))</f>
        <v/>
      </c>
    </row>
    <row r="152" spans="2:14" ht="14.5" customHeight="1" x14ac:dyDescent="0.35">
      <c r="B152" s="191" t="str">
        <f>IF(Lançamentos!$B147="","",Lançamentos!$B147)</f>
        <v/>
      </c>
      <c r="C152" s="192" t="str">
        <f>IF($B152="","",IFERROR(INDEX(Lançamentos!$J$3:$J$1001,MATCH($B152,Lançamentos!$B$3:$B$1001,0)),""))</f>
        <v/>
      </c>
      <c r="D152" s="413" t="str">
        <f>IF($B152="","",IFERROR(INDEX('E2 — Triagem'!$D$8:$D$507,MATCH($B152,'E2 — Triagem'!$B$8:$B$507,0)),""))</f>
        <v/>
      </c>
      <c r="E152" s="193"/>
      <c r="F152" s="193"/>
      <c r="G152" s="193"/>
      <c r="H152" s="193"/>
      <c r="I152" s="193"/>
      <c r="J152" s="193"/>
      <c r="K152" s="194" t="str">
        <f t="shared" si="2"/>
        <v/>
      </c>
      <c r="L152" s="181"/>
      <c r="M152" s="181"/>
      <c r="N152" s="195" t="str">
        <f>IF(B152="","",IF('E5 — Validação'!M152="✅ Aprovado sem Ajustes","Não",IF(OR('E5 — Validação'!M152="⚠️ Aprovado com Ajustes",'E5 — Validação'!M152="❌ Reprovado"),"Sim","")))</f>
        <v/>
      </c>
    </row>
    <row r="153" spans="2:14" ht="14.5" customHeight="1" x14ac:dyDescent="0.35">
      <c r="B153" s="191" t="str">
        <f>IF(Lançamentos!$B148="","",Lançamentos!$B148)</f>
        <v/>
      </c>
      <c r="C153" s="192" t="str">
        <f>IF($B153="","",IFERROR(INDEX(Lançamentos!$J$3:$J$1001,MATCH($B153,Lançamentos!$B$3:$B$1001,0)),""))</f>
        <v/>
      </c>
      <c r="D153" s="413" t="str">
        <f>IF($B153="","",IFERROR(INDEX('E2 — Triagem'!$D$8:$D$507,MATCH($B153,'E2 — Triagem'!$B$8:$B$507,0)),""))</f>
        <v/>
      </c>
      <c r="E153" s="193"/>
      <c r="F153" s="193"/>
      <c r="G153" s="193"/>
      <c r="H153" s="193"/>
      <c r="I153" s="193"/>
      <c r="J153" s="193"/>
      <c r="K153" s="194" t="str">
        <f t="shared" si="2"/>
        <v/>
      </c>
      <c r="L153" s="181"/>
      <c r="M153" s="181"/>
      <c r="N153" s="195" t="str">
        <f>IF(B153="","",IF('E5 — Validação'!M153="✅ Aprovado sem Ajustes","Não",IF(OR('E5 — Validação'!M153="⚠️ Aprovado com Ajustes",'E5 — Validação'!M153="❌ Reprovado"),"Sim","")))</f>
        <v/>
      </c>
    </row>
    <row r="154" spans="2:14" ht="14.5" customHeight="1" x14ac:dyDescent="0.35">
      <c r="B154" s="191" t="str">
        <f>IF(Lançamentos!$B149="","",Lançamentos!$B149)</f>
        <v/>
      </c>
      <c r="C154" s="192" t="str">
        <f>IF($B154="","",IFERROR(INDEX(Lançamentos!$J$3:$J$1001,MATCH($B154,Lançamentos!$B$3:$B$1001,0)),""))</f>
        <v/>
      </c>
      <c r="D154" s="413" t="str">
        <f>IF($B154="","",IFERROR(INDEX('E2 — Triagem'!$D$8:$D$507,MATCH($B154,'E2 — Triagem'!$B$8:$B$507,0)),""))</f>
        <v/>
      </c>
      <c r="E154" s="193"/>
      <c r="F154" s="193"/>
      <c r="G154" s="193"/>
      <c r="H154" s="193"/>
      <c r="I154" s="193"/>
      <c r="J154" s="193"/>
      <c r="K154" s="194" t="str">
        <f t="shared" si="2"/>
        <v/>
      </c>
      <c r="L154" s="181"/>
      <c r="M154" s="181"/>
      <c r="N154" s="195" t="str">
        <f>IF(B154="","",IF('E5 — Validação'!M154="✅ Aprovado sem Ajustes","Não",IF(OR('E5 — Validação'!M154="⚠️ Aprovado com Ajustes",'E5 — Validação'!M154="❌ Reprovado"),"Sim","")))</f>
        <v/>
      </c>
    </row>
    <row r="155" spans="2:14" ht="14.5" customHeight="1" x14ac:dyDescent="0.35">
      <c r="B155" s="191" t="str">
        <f>IF(Lançamentos!$B150="","",Lançamentos!$B150)</f>
        <v/>
      </c>
      <c r="C155" s="192" t="str">
        <f>IF($B155="","",IFERROR(INDEX(Lançamentos!$J$3:$J$1001,MATCH($B155,Lançamentos!$B$3:$B$1001,0)),""))</f>
        <v/>
      </c>
      <c r="D155" s="413" t="str">
        <f>IF($B155="","",IFERROR(INDEX('E2 — Triagem'!$D$8:$D$507,MATCH($B155,'E2 — Triagem'!$B$8:$B$507,0)),""))</f>
        <v/>
      </c>
      <c r="E155" s="193"/>
      <c r="F155" s="193"/>
      <c r="G155" s="193"/>
      <c r="H155" s="193"/>
      <c r="I155" s="193"/>
      <c r="J155" s="193"/>
      <c r="K155" s="194" t="str">
        <f t="shared" si="2"/>
        <v/>
      </c>
      <c r="L155" s="181"/>
      <c r="M155" s="181"/>
      <c r="N155" s="195" t="str">
        <f>IF(B155="","",IF('E5 — Validação'!M155="✅ Aprovado sem Ajustes","Não",IF(OR('E5 — Validação'!M155="⚠️ Aprovado com Ajustes",'E5 — Validação'!M155="❌ Reprovado"),"Sim","")))</f>
        <v/>
      </c>
    </row>
    <row r="156" spans="2:14" ht="14.5" customHeight="1" x14ac:dyDescent="0.35">
      <c r="B156" s="191" t="str">
        <f>IF(Lançamentos!$B151="","",Lançamentos!$B151)</f>
        <v/>
      </c>
      <c r="C156" s="192" t="str">
        <f>IF($B156="","",IFERROR(INDEX(Lançamentos!$J$3:$J$1001,MATCH($B156,Lançamentos!$B$3:$B$1001,0)),""))</f>
        <v/>
      </c>
      <c r="D156" s="413" t="str">
        <f>IF($B156="","",IFERROR(INDEX('E2 — Triagem'!$D$8:$D$507,MATCH($B156,'E2 — Triagem'!$B$8:$B$507,0)),""))</f>
        <v/>
      </c>
      <c r="E156" s="193"/>
      <c r="F156" s="193"/>
      <c r="G156" s="193"/>
      <c r="H156" s="193"/>
      <c r="I156" s="193"/>
      <c r="J156" s="193"/>
      <c r="K156" s="194" t="str">
        <f t="shared" si="2"/>
        <v/>
      </c>
      <c r="L156" s="181"/>
      <c r="M156" s="181"/>
      <c r="N156" s="195" t="str">
        <f>IF(B156="","",IF('E5 — Validação'!M156="✅ Aprovado sem Ajustes","Não",IF(OR('E5 — Validação'!M156="⚠️ Aprovado com Ajustes",'E5 — Validação'!M156="❌ Reprovado"),"Sim","")))</f>
        <v/>
      </c>
    </row>
    <row r="157" spans="2:14" ht="14.5" customHeight="1" x14ac:dyDescent="0.35">
      <c r="B157" s="191" t="str">
        <f>IF(Lançamentos!$B152="","",Lançamentos!$B152)</f>
        <v/>
      </c>
      <c r="C157" s="192" t="str">
        <f>IF($B157="","",IFERROR(INDEX(Lançamentos!$J$3:$J$1001,MATCH($B157,Lançamentos!$B$3:$B$1001,0)),""))</f>
        <v/>
      </c>
      <c r="D157" s="413" t="str">
        <f>IF($B157="","",IFERROR(INDEX('E2 — Triagem'!$D$8:$D$507,MATCH($B157,'E2 — Triagem'!$B$8:$B$507,0)),""))</f>
        <v/>
      </c>
      <c r="E157" s="193"/>
      <c r="F157" s="193"/>
      <c r="G157" s="193"/>
      <c r="H157" s="193"/>
      <c r="I157" s="193"/>
      <c r="J157" s="193"/>
      <c r="K157" s="194" t="str">
        <f t="shared" si="2"/>
        <v/>
      </c>
      <c r="L157" s="181"/>
      <c r="M157" s="181"/>
      <c r="N157" s="195" t="str">
        <f>IF(B157="","",IF('E5 — Validação'!M157="✅ Aprovado sem Ajustes","Não",IF(OR('E5 — Validação'!M157="⚠️ Aprovado com Ajustes",'E5 — Validação'!M157="❌ Reprovado"),"Sim","")))</f>
        <v/>
      </c>
    </row>
    <row r="158" spans="2:14" ht="14.5" customHeight="1" x14ac:dyDescent="0.35">
      <c r="B158" s="191" t="str">
        <f>IF(Lançamentos!$B153="","",Lançamentos!$B153)</f>
        <v/>
      </c>
      <c r="C158" s="192" t="str">
        <f>IF($B158="","",IFERROR(INDEX(Lançamentos!$J$3:$J$1001,MATCH($B158,Lançamentos!$B$3:$B$1001,0)),""))</f>
        <v/>
      </c>
      <c r="D158" s="413" t="str">
        <f>IF($B158="","",IFERROR(INDEX('E2 — Triagem'!$D$8:$D$507,MATCH($B158,'E2 — Triagem'!$B$8:$B$507,0)),""))</f>
        <v/>
      </c>
      <c r="E158" s="193"/>
      <c r="F158" s="193"/>
      <c r="G158" s="193"/>
      <c r="H158" s="193"/>
      <c r="I158" s="193"/>
      <c r="J158" s="193"/>
      <c r="K158" s="194" t="str">
        <f t="shared" si="2"/>
        <v/>
      </c>
      <c r="L158" s="181"/>
      <c r="M158" s="181"/>
      <c r="N158" s="195" t="str">
        <f>IF(B158="","",IF('E5 — Validação'!M158="✅ Aprovado sem Ajustes","Não",IF(OR('E5 — Validação'!M158="⚠️ Aprovado com Ajustes",'E5 — Validação'!M158="❌ Reprovado"),"Sim","")))</f>
        <v/>
      </c>
    </row>
    <row r="159" spans="2:14" ht="14.5" customHeight="1" x14ac:dyDescent="0.35">
      <c r="B159" s="191" t="str">
        <f>IF(Lançamentos!$B154="","",Lançamentos!$B154)</f>
        <v/>
      </c>
      <c r="C159" s="192" t="str">
        <f>IF($B159="","",IFERROR(INDEX(Lançamentos!$J$3:$J$1001,MATCH($B159,Lançamentos!$B$3:$B$1001,0)),""))</f>
        <v/>
      </c>
      <c r="D159" s="413" t="str">
        <f>IF($B159="","",IFERROR(INDEX('E2 — Triagem'!$D$8:$D$507,MATCH($B159,'E2 — Triagem'!$B$8:$B$507,0)),""))</f>
        <v/>
      </c>
      <c r="E159" s="193"/>
      <c r="F159" s="193"/>
      <c r="G159" s="193"/>
      <c r="H159" s="193"/>
      <c r="I159" s="193"/>
      <c r="J159" s="193"/>
      <c r="K159" s="194" t="str">
        <f t="shared" si="2"/>
        <v/>
      </c>
      <c r="L159" s="181"/>
      <c r="M159" s="181"/>
      <c r="N159" s="195" t="str">
        <f>IF(B159="","",IF('E5 — Validação'!M159="✅ Aprovado sem Ajustes","Não",IF(OR('E5 — Validação'!M159="⚠️ Aprovado com Ajustes",'E5 — Validação'!M159="❌ Reprovado"),"Sim","")))</f>
        <v/>
      </c>
    </row>
    <row r="160" spans="2:14" ht="14.5" customHeight="1" x14ac:dyDescent="0.35">
      <c r="B160" s="191" t="str">
        <f>IF(Lançamentos!$B155="","",Lançamentos!$B155)</f>
        <v/>
      </c>
      <c r="C160" s="192" t="str">
        <f>IF($B160="","",IFERROR(INDEX(Lançamentos!$J$3:$J$1001,MATCH($B160,Lançamentos!$B$3:$B$1001,0)),""))</f>
        <v/>
      </c>
      <c r="D160" s="413" t="str">
        <f>IF($B160="","",IFERROR(INDEX('E2 — Triagem'!$D$8:$D$507,MATCH($B160,'E2 — Triagem'!$B$8:$B$507,0)),""))</f>
        <v/>
      </c>
      <c r="E160" s="193"/>
      <c r="F160" s="193"/>
      <c r="G160" s="193"/>
      <c r="H160" s="193"/>
      <c r="I160" s="193"/>
      <c r="J160" s="193"/>
      <c r="K160" s="194" t="str">
        <f t="shared" si="2"/>
        <v/>
      </c>
      <c r="L160" s="181"/>
      <c r="M160" s="181"/>
      <c r="N160" s="195" t="str">
        <f>IF(B160="","",IF('E5 — Validação'!M160="✅ Aprovado sem Ajustes","Não",IF(OR('E5 — Validação'!M160="⚠️ Aprovado com Ajustes",'E5 — Validação'!M160="❌ Reprovado"),"Sim","")))</f>
        <v/>
      </c>
    </row>
    <row r="161" spans="2:14" ht="14.5" customHeight="1" x14ac:dyDescent="0.35">
      <c r="B161" s="191" t="str">
        <f>IF(Lançamentos!$B156="","",Lançamentos!$B156)</f>
        <v/>
      </c>
      <c r="C161" s="192" t="str">
        <f>IF($B161="","",IFERROR(INDEX(Lançamentos!$J$3:$J$1001,MATCH($B161,Lançamentos!$B$3:$B$1001,0)),""))</f>
        <v/>
      </c>
      <c r="D161" s="413" t="str">
        <f>IF($B161="","",IFERROR(INDEX('E2 — Triagem'!$D$8:$D$507,MATCH($B161,'E2 — Triagem'!$B$8:$B$507,0)),""))</f>
        <v/>
      </c>
      <c r="E161" s="193"/>
      <c r="F161" s="193"/>
      <c r="G161" s="193"/>
      <c r="H161" s="193"/>
      <c r="I161" s="193"/>
      <c r="J161" s="193"/>
      <c r="K161" s="194" t="str">
        <f t="shared" si="2"/>
        <v/>
      </c>
      <c r="L161" s="181"/>
      <c r="M161" s="181"/>
      <c r="N161" s="195" t="str">
        <f>IF(B161="","",IF('E5 — Validação'!M161="✅ Aprovado sem Ajustes","Não",IF(OR('E5 — Validação'!M161="⚠️ Aprovado com Ajustes",'E5 — Validação'!M161="❌ Reprovado"),"Sim","")))</f>
        <v/>
      </c>
    </row>
    <row r="162" spans="2:14" ht="14.5" customHeight="1" x14ac:dyDescent="0.35">
      <c r="B162" s="191" t="str">
        <f>IF(Lançamentos!$B157="","",Lançamentos!$B157)</f>
        <v/>
      </c>
      <c r="C162" s="192" t="str">
        <f>IF($B162="","",IFERROR(INDEX(Lançamentos!$J$3:$J$1001,MATCH($B162,Lançamentos!$B$3:$B$1001,0)),""))</f>
        <v/>
      </c>
      <c r="D162" s="413" t="str">
        <f>IF($B162="","",IFERROR(INDEX('E2 — Triagem'!$D$8:$D$507,MATCH($B162,'E2 — Triagem'!$B$8:$B$507,0)),""))</f>
        <v/>
      </c>
      <c r="E162" s="193"/>
      <c r="F162" s="193"/>
      <c r="G162" s="193"/>
      <c r="H162" s="193"/>
      <c r="I162" s="193"/>
      <c r="J162" s="193"/>
      <c r="K162" s="194" t="str">
        <f t="shared" si="2"/>
        <v/>
      </c>
      <c r="L162" s="181"/>
      <c r="M162" s="181"/>
      <c r="N162" s="195" t="str">
        <f>IF(B162="","",IF('E5 — Validação'!M162="✅ Aprovado sem Ajustes","Não",IF(OR('E5 — Validação'!M162="⚠️ Aprovado com Ajustes",'E5 — Validação'!M162="❌ Reprovado"),"Sim","")))</f>
        <v/>
      </c>
    </row>
    <row r="163" spans="2:14" ht="14.5" customHeight="1" x14ac:dyDescent="0.35">
      <c r="B163" s="191" t="str">
        <f>IF(Lançamentos!$B158="","",Lançamentos!$B158)</f>
        <v/>
      </c>
      <c r="C163" s="192" t="str">
        <f>IF($B163="","",IFERROR(INDEX(Lançamentos!$J$3:$J$1001,MATCH($B163,Lançamentos!$B$3:$B$1001,0)),""))</f>
        <v/>
      </c>
      <c r="D163" s="413" t="str">
        <f>IF($B163="","",IFERROR(INDEX('E2 — Triagem'!$D$8:$D$507,MATCH($B163,'E2 — Triagem'!$B$8:$B$507,0)),""))</f>
        <v/>
      </c>
      <c r="E163" s="193"/>
      <c r="F163" s="193"/>
      <c r="G163" s="193"/>
      <c r="H163" s="193"/>
      <c r="I163" s="193"/>
      <c r="J163" s="193"/>
      <c r="K163" s="194" t="str">
        <f t="shared" si="2"/>
        <v/>
      </c>
      <c r="L163" s="181"/>
      <c r="M163" s="181"/>
      <c r="N163" s="195" t="str">
        <f>IF(B163="","",IF('E5 — Validação'!M163="✅ Aprovado sem Ajustes","Não",IF(OR('E5 — Validação'!M163="⚠️ Aprovado com Ajustes",'E5 — Validação'!M163="❌ Reprovado"),"Sim","")))</f>
        <v/>
      </c>
    </row>
    <row r="164" spans="2:14" ht="14.5" customHeight="1" x14ac:dyDescent="0.35">
      <c r="B164" s="191" t="str">
        <f>IF(Lançamentos!$B159="","",Lançamentos!$B159)</f>
        <v/>
      </c>
      <c r="C164" s="192" t="str">
        <f>IF($B164="","",IFERROR(INDEX(Lançamentos!$J$3:$J$1001,MATCH($B164,Lançamentos!$B$3:$B$1001,0)),""))</f>
        <v/>
      </c>
      <c r="D164" s="413" t="str">
        <f>IF($B164="","",IFERROR(INDEX('E2 — Triagem'!$D$8:$D$507,MATCH($B164,'E2 — Triagem'!$B$8:$B$507,0)),""))</f>
        <v/>
      </c>
      <c r="E164" s="193"/>
      <c r="F164" s="193"/>
      <c r="G164" s="193"/>
      <c r="H164" s="193"/>
      <c r="I164" s="193"/>
      <c r="J164" s="193"/>
      <c r="K164" s="194" t="str">
        <f t="shared" si="2"/>
        <v/>
      </c>
      <c r="L164" s="181"/>
      <c r="M164" s="181"/>
      <c r="N164" s="195" t="str">
        <f>IF(B164="","",IF('E5 — Validação'!M164="✅ Aprovado sem Ajustes","Não",IF(OR('E5 — Validação'!M164="⚠️ Aprovado com Ajustes",'E5 — Validação'!M164="❌ Reprovado"),"Sim","")))</f>
        <v/>
      </c>
    </row>
    <row r="165" spans="2:14" ht="14.5" customHeight="1" x14ac:dyDescent="0.35">
      <c r="B165" s="191" t="str">
        <f>IF(Lançamentos!$B160="","",Lançamentos!$B160)</f>
        <v/>
      </c>
      <c r="C165" s="192" t="str">
        <f>IF($B165="","",IFERROR(INDEX(Lançamentos!$J$3:$J$1001,MATCH($B165,Lançamentos!$B$3:$B$1001,0)),""))</f>
        <v/>
      </c>
      <c r="D165" s="413" t="str">
        <f>IF($B165="","",IFERROR(INDEX('E2 — Triagem'!$D$8:$D$507,MATCH($B165,'E2 — Triagem'!$B$8:$B$507,0)),""))</f>
        <v/>
      </c>
      <c r="E165" s="193"/>
      <c r="F165" s="193"/>
      <c r="G165" s="193"/>
      <c r="H165" s="193"/>
      <c r="I165" s="193"/>
      <c r="J165" s="193"/>
      <c r="K165" s="194" t="str">
        <f t="shared" si="2"/>
        <v/>
      </c>
      <c r="L165" s="181"/>
      <c r="M165" s="181"/>
      <c r="N165" s="195" t="str">
        <f>IF(B165="","",IF('E5 — Validação'!M165="✅ Aprovado sem Ajustes","Não",IF(OR('E5 — Validação'!M165="⚠️ Aprovado com Ajustes",'E5 — Validação'!M165="❌ Reprovado"),"Sim","")))</f>
        <v/>
      </c>
    </row>
    <row r="166" spans="2:14" ht="14.5" customHeight="1" x14ac:dyDescent="0.35">
      <c r="B166" s="191" t="str">
        <f>IF(Lançamentos!$B161="","",Lançamentos!$B161)</f>
        <v/>
      </c>
      <c r="C166" s="192" t="str">
        <f>IF($B166="","",IFERROR(INDEX(Lançamentos!$J$3:$J$1001,MATCH($B166,Lançamentos!$B$3:$B$1001,0)),""))</f>
        <v/>
      </c>
      <c r="D166" s="413" t="str">
        <f>IF($B166="","",IFERROR(INDEX('E2 — Triagem'!$D$8:$D$507,MATCH($B166,'E2 — Triagem'!$B$8:$B$507,0)),""))</f>
        <v/>
      </c>
      <c r="E166" s="193"/>
      <c r="F166" s="193"/>
      <c r="G166" s="193"/>
      <c r="H166" s="193"/>
      <c r="I166" s="193"/>
      <c r="J166" s="193"/>
      <c r="K166" s="194" t="str">
        <f t="shared" si="2"/>
        <v/>
      </c>
      <c r="L166" s="181"/>
      <c r="M166" s="181"/>
      <c r="N166" s="195" t="str">
        <f>IF(B166="","",IF('E5 — Validação'!M166="✅ Aprovado sem Ajustes","Não",IF(OR('E5 — Validação'!M166="⚠️ Aprovado com Ajustes",'E5 — Validação'!M166="❌ Reprovado"),"Sim","")))</f>
        <v/>
      </c>
    </row>
    <row r="167" spans="2:14" ht="14.5" customHeight="1" x14ac:dyDescent="0.35">
      <c r="B167" s="191" t="str">
        <f>IF(Lançamentos!$B162="","",Lançamentos!$B162)</f>
        <v/>
      </c>
      <c r="C167" s="192" t="str">
        <f>IF($B167="","",IFERROR(INDEX(Lançamentos!$J$3:$J$1001,MATCH($B167,Lançamentos!$B$3:$B$1001,0)),""))</f>
        <v/>
      </c>
      <c r="D167" s="413" t="str">
        <f>IF($B167="","",IFERROR(INDEX('E2 — Triagem'!$D$8:$D$507,MATCH($B167,'E2 — Triagem'!$B$8:$B$507,0)),""))</f>
        <v/>
      </c>
      <c r="E167" s="193"/>
      <c r="F167" s="193"/>
      <c r="G167" s="193"/>
      <c r="H167" s="193"/>
      <c r="I167" s="193"/>
      <c r="J167" s="193"/>
      <c r="K167" s="194" t="str">
        <f t="shared" si="2"/>
        <v/>
      </c>
      <c r="L167" s="181"/>
      <c r="M167" s="181"/>
      <c r="N167" s="195" t="str">
        <f>IF(B167="","",IF('E5 — Validação'!M167="✅ Aprovado sem Ajustes","Não",IF(OR('E5 — Validação'!M167="⚠️ Aprovado com Ajustes",'E5 — Validação'!M167="❌ Reprovado"),"Sim","")))</f>
        <v/>
      </c>
    </row>
    <row r="168" spans="2:14" ht="14.5" customHeight="1" x14ac:dyDescent="0.35">
      <c r="B168" s="191" t="str">
        <f>IF(Lançamentos!$B163="","",Lançamentos!$B163)</f>
        <v/>
      </c>
      <c r="C168" s="192" t="str">
        <f>IF($B168="","",IFERROR(INDEX(Lançamentos!$J$3:$J$1001,MATCH($B168,Lançamentos!$B$3:$B$1001,0)),""))</f>
        <v/>
      </c>
      <c r="D168" s="413" t="str">
        <f>IF($B168="","",IFERROR(INDEX('E2 — Triagem'!$D$8:$D$507,MATCH($B168,'E2 — Triagem'!$B$8:$B$507,0)),""))</f>
        <v/>
      </c>
      <c r="E168" s="193"/>
      <c r="F168" s="193"/>
      <c r="G168" s="193"/>
      <c r="H168" s="193"/>
      <c r="I168" s="193"/>
      <c r="J168" s="193"/>
      <c r="K168" s="194" t="str">
        <f t="shared" si="2"/>
        <v/>
      </c>
      <c r="L168" s="181"/>
      <c r="M168" s="181"/>
      <c r="N168" s="195" t="str">
        <f>IF(B168="","",IF('E5 — Validação'!M168="✅ Aprovado sem Ajustes","Não",IF(OR('E5 — Validação'!M168="⚠️ Aprovado com Ajustes",'E5 — Validação'!M168="❌ Reprovado"),"Sim","")))</f>
        <v/>
      </c>
    </row>
    <row r="169" spans="2:14" ht="14.5" customHeight="1" x14ac:dyDescent="0.35">
      <c r="B169" s="191" t="str">
        <f>IF(Lançamentos!$B164="","",Lançamentos!$B164)</f>
        <v/>
      </c>
      <c r="C169" s="192" t="str">
        <f>IF($B169="","",IFERROR(INDEX(Lançamentos!$J$3:$J$1001,MATCH($B169,Lançamentos!$B$3:$B$1001,0)),""))</f>
        <v/>
      </c>
      <c r="D169" s="413" t="str">
        <f>IF($B169="","",IFERROR(INDEX('E2 — Triagem'!$D$8:$D$507,MATCH($B169,'E2 — Triagem'!$B$8:$B$507,0)),""))</f>
        <v/>
      </c>
      <c r="E169" s="193"/>
      <c r="F169" s="193"/>
      <c r="G169" s="193"/>
      <c r="H169" s="193"/>
      <c r="I169" s="193"/>
      <c r="J169" s="193"/>
      <c r="K169" s="194" t="str">
        <f t="shared" si="2"/>
        <v/>
      </c>
      <c r="L169" s="181"/>
      <c r="M169" s="181"/>
      <c r="N169" s="195" t="str">
        <f>IF(B169="","",IF('E5 — Validação'!M169="✅ Aprovado sem Ajustes","Não",IF(OR('E5 — Validação'!M169="⚠️ Aprovado com Ajustes",'E5 — Validação'!M169="❌ Reprovado"),"Sim","")))</f>
        <v/>
      </c>
    </row>
    <row r="170" spans="2:14" ht="14.5" customHeight="1" x14ac:dyDescent="0.35">
      <c r="B170" s="191" t="str">
        <f>IF(Lançamentos!$B165="","",Lançamentos!$B165)</f>
        <v/>
      </c>
      <c r="C170" s="192" t="str">
        <f>IF($B170="","",IFERROR(INDEX(Lançamentos!$J$3:$J$1001,MATCH($B170,Lançamentos!$B$3:$B$1001,0)),""))</f>
        <v/>
      </c>
      <c r="D170" s="413" t="str">
        <f>IF($B170="","",IFERROR(INDEX('E2 — Triagem'!$D$8:$D$507,MATCH($B170,'E2 — Triagem'!$B$8:$B$507,0)),""))</f>
        <v/>
      </c>
      <c r="E170" s="193"/>
      <c r="F170" s="193"/>
      <c r="G170" s="193"/>
      <c r="H170" s="193"/>
      <c r="I170" s="193"/>
      <c r="J170" s="193"/>
      <c r="K170" s="194" t="str">
        <f t="shared" si="2"/>
        <v/>
      </c>
      <c r="L170" s="181"/>
      <c r="M170" s="181"/>
      <c r="N170" s="195" t="str">
        <f>IF(B170="","",IF('E5 — Validação'!M170="✅ Aprovado sem Ajustes","Não",IF(OR('E5 — Validação'!M170="⚠️ Aprovado com Ajustes",'E5 — Validação'!M170="❌ Reprovado"),"Sim","")))</f>
        <v/>
      </c>
    </row>
    <row r="171" spans="2:14" ht="14.5" customHeight="1" x14ac:dyDescent="0.35">
      <c r="B171" s="191" t="str">
        <f>IF(Lançamentos!$B166="","",Lançamentos!$B166)</f>
        <v/>
      </c>
      <c r="C171" s="192" t="str">
        <f>IF($B171="","",IFERROR(INDEX(Lançamentos!$J$3:$J$1001,MATCH($B171,Lançamentos!$B$3:$B$1001,0)),""))</f>
        <v/>
      </c>
      <c r="D171" s="413" t="str">
        <f>IF($B171="","",IFERROR(INDEX('E2 — Triagem'!$D$8:$D$507,MATCH($B171,'E2 — Triagem'!$B$8:$B$507,0)),""))</f>
        <v/>
      </c>
      <c r="E171" s="193"/>
      <c r="F171" s="193"/>
      <c r="G171" s="193"/>
      <c r="H171" s="193"/>
      <c r="I171" s="193"/>
      <c r="J171" s="193"/>
      <c r="K171" s="194" t="str">
        <f t="shared" si="2"/>
        <v/>
      </c>
      <c r="L171" s="181"/>
      <c r="M171" s="181"/>
      <c r="N171" s="195" t="str">
        <f>IF(B171="","",IF('E5 — Validação'!M171="✅ Aprovado sem Ajustes","Não",IF(OR('E5 — Validação'!M171="⚠️ Aprovado com Ajustes",'E5 — Validação'!M171="❌ Reprovado"),"Sim","")))</f>
        <v/>
      </c>
    </row>
    <row r="172" spans="2:14" ht="14.5" customHeight="1" x14ac:dyDescent="0.35">
      <c r="B172" s="191" t="str">
        <f>IF(Lançamentos!$B167="","",Lançamentos!$B167)</f>
        <v/>
      </c>
      <c r="C172" s="192" t="str">
        <f>IF($B172="","",IFERROR(INDEX(Lançamentos!$J$3:$J$1001,MATCH($B172,Lançamentos!$B$3:$B$1001,0)),""))</f>
        <v/>
      </c>
      <c r="D172" s="413" t="str">
        <f>IF($B172="","",IFERROR(INDEX('E2 — Triagem'!$D$8:$D$507,MATCH($B172,'E2 — Triagem'!$B$8:$B$507,0)),""))</f>
        <v/>
      </c>
      <c r="E172" s="193"/>
      <c r="F172" s="193"/>
      <c r="G172" s="193"/>
      <c r="H172" s="193"/>
      <c r="I172" s="193"/>
      <c r="J172" s="193"/>
      <c r="K172" s="194" t="str">
        <f t="shared" si="2"/>
        <v/>
      </c>
      <c r="L172" s="181"/>
      <c r="M172" s="181"/>
      <c r="N172" s="195" t="str">
        <f>IF(B172="","",IF('E5 — Validação'!M172="✅ Aprovado sem Ajustes","Não",IF(OR('E5 — Validação'!M172="⚠️ Aprovado com Ajustes",'E5 — Validação'!M172="❌ Reprovado"),"Sim","")))</f>
        <v/>
      </c>
    </row>
    <row r="173" spans="2:14" ht="14.5" customHeight="1" x14ac:dyDescent="0.35">
      <c r="B173" s="191" t="str">
        <f>IF(Lançamentos!$B168="","",Lançamentos!$B168)</f>
        <v/>
      </c>
      <c r="C173" s="192" t="str">
        <f>IF($B173="","",IFERROR(INDEX(Lançamentos!$J$3:$J$1001,MATCH($B173,Lançamentos!$B$3:$B$1001,0)),""))</f>
        <v/>
      </c>
      <c r="D173" s="413" t="str">
        <f>IF($B173="","",IFERROR(INDEX('E2 — Triagem'!$D$8:$D$507,MATCH($B173,'E2 — Triagem'!$B$8:$B$507,0)),""))</f>
        <v/>
      </c>
      <c r="E173" s="193"/>
      <c r="F173" s="193"/>
      <c r="G173" s="193"/>
      <c r="H173" s="193"/>
      <c r="I173" s="193"/>
      <c r="J173" s="193"/>
      <c r="K173" s="194" t="str">
        <f t="shared" si="2"/>
        <v/>
      </c>
      <c r="L173" s="181"/>
      <c r="M173" s="181"/>
      <c r="N173" s="195" t="str">
        <f>IF(B173="","",IF('E5 — Validação'!M173="✅ Aprovado sem Ajustes","Não",IF(OR('E5 — Validação'!M173="⚠️ Aprovado com Ajustes",'E5 — Validação'!M173="❌ Reprovado"),"Sim","")))</f>
        <v/>
      </c>
    </row>
    <row r="174" spans="2:14" ht="14.5" customHeight="1" x14ac:dyDescent="0.35">
      <c r="B174" s="191" t="str">
        <f>IF(Lançamentos!$B169="","",Lançamentos!$B169)</f>
        <v/>
      </c>
      <c r="C174" s="192" t="str">
        <f>IF($B174="","",IFERROR(INDEX(Lançamentos!$J$3:$J$1001,MATCH($B174,Lançamentos!$B$3:$B$1001,0)),""))</f>
        <v/>
      </c>
      <c r="D174" s="413" t="str">
        <f>IF($B174="","",IFERROR(INDEX('E2 — Triagem'!$D$8:$D$507,MATCH($B174,'E2 — Triagem'!$B$8:$B$507,0)),""))</f>
        <v/>
      </c>
      <c r="E174" s="193"/>
      <c r="F174" s="193"/>
      <c r="G174" s="193"/>
      <c r="H174" s="193"/>
      <c r="I174" s="193"/>
      <c r="J174" s="193"/>
      <c r="K174" s="194" t="str">
        <f t="shared" si="2"/>
        <v/>
      </c>
      <c r="L174" s="181"/>
      <c r="M174" s="181"/>
      <c r="N174" s="195" t="str">
        <f>IF(B174="","",IF('E5 — Validação'!M174="✅ Aprovado sem Ajustes","Não",IF(OR('E5 — Validação'!M174="⚠️ Aprovado com Ajustes",'E5 — Validação'!M174="❌ Reprovado"),"Sim","")))</f>
        <v/>
      </c>
    </row>
    <row r="175" spans="2:14" ht="14.5" customHeight="1" x14ac:dyDescent="0.35">
      <c r="B175" s="191" t="str">
        <f>IF(Lançamentos!$B170="","",Lançamentos!$B170)</f>
        <v/>
      </c>
      <c r="C175" s="192" t="str">
        <f>IF($B175="","",IFERROR(INDEX(Lançamentos!$J$3:$J$1001,MATCH($B175,Lançamentos!$B$3:$B$1001,0)),""))</f>
        <v/>
      </c>
      <c r="D175" s="413" t="str">
        <f>IF($B175="","",IFERROR(INDEX('E2 — Triagem'!$D$8:$D$507,MATCH($B175,'E2 — Triagem'!$B$8:$B$507,0)),""))</f>
        <v/>
      </c>
      <c r="E175" s="193"/>
      <c r="F175" s="193"/>
      <c r="G175" s="193"/>
      <c r="H175" s="193"/>
      <c r="I175" s="193"/>
      <c r="J175" s="193"/>
      <c r="K175" s="194" t="str">
        <f t="shared" si="2"/>
        <v/>
      </c>
      <c r="L175" s="181"/>
      <c r="M175" s="181"/>
      <c r="N175" s="195" t="str">
        <f>IF(B175="","",IF('E5 — Validação'!M175="✅ Aprovado sem Ajustes","Não",IF(OR('E5 — Validação'!M175="⚠️ Aprovado com Ajustes",'E5 — Validação'!M175="❌ Reprovado"),"Sim","")))</f>
        <v/>
      </c>
    </row>
    <row r="176" spans="2:14" ht="14.5" customHeight="1" x14ac:dyDescent="0.35">
      <c r="B176" s="191" t="str">
        <f>IF(Lançamentos!$B171="","",Lançamentos!$B171)</f>
        <v/>
      </c>
      <c r="C176" s="192" t="str">
        <f>IF($B176="","",IFERROR(INDEX(Lançamentos!$J$3:$J$1001,MATCH($B176,Lançamentos!$B$3:$B$1001,0)),""))</f>
        <v/>
      </c>
      <c r="D176" s="413" t="str">
        <f>IF($B176="","",IFERROR(INDEX('E2 — Triagem'!$D$8:$D$507,MATCH($B176,'E2 — Triagem'!$B$8:$B$507,0)),""))</f>
        <v/>
      </c>
      <c r="E176" s="193"/>
      <c r="F176" s="193"/>
      <c r="G176" s="193"/>
      <c r="H176" s="193"/>
      <c r="I176" s="193"/>
      <c r="J176" s="193"/>
      <c r="K176" s="194" t="str">
        <f t="shared" si="2"/>
        <v/>
      </c>
      <c r="L176" s="181"/>
      <c r="M176" s="181"/>
      <c r="N176" s="195" t="str">
        <f>IF(B176="","",IF('E5 — Validação'!M176="✅ Aprovado sem Ajustes","Não",IF(OR('E5 — Validação'!M176="⚠️ Aprovado com Ajustes",'E5 — Validação'!M176="❌ Reprovado"),"Sim","")))</f>
        <v/>
      </c>
    </row>
    <row r="177" spans="2:14" ht="14.5" customHeight="1" x14ac:dyDescent="0.35">
      <c r="B177" s="191" t="str">
        <f>IF(Lançamentos!$B172="","",Lançamentos!$B172)</f>
        <v/>
      </c>
      <c r="C177" s="192" t="str">
        <f>IF($B177="","",IFERROR(INDEX(Lançamentos!$J$3:$J$1001,MATCH($B177,Lançamentos!$B$3:$B$1001,0)),""))</f>
        <v/>
      </c>
      <c r="D177" s="413" t="str">
        <f>IF($B177="","",IFERROR(INDEX('E2 — Triagem'!$D$8:$D$507,MATCH($B177,'E2 — Triagem'!$B$8:$B$507,0)),""))</f>
        <v/>
      </c>
      <c r="E177" s="193"/>
      <c r="F177" s="193"/>
      <c r="G177" s="193"/>
      <c r="H177" s="193"/>
      <c r="I177" s="193"/>
      <c r="J177" s="193"/>
      <c r="K177" s="194" t="str">
        <f t="shared" si="2"/>
        <v/>
      </c>
      <c r="L177" s="181"/>
      <c r="M177" s="181"/>
      <c r="N177" s="195" t="str">
        <f>IF(B177="","",IF('E5 — Validação'!M177="✅ Aprovado sem Ajustes","Não",IF(OR('E5 — Validação'!M177="⚠️ Aprovado com Ajustes",'E5 — Validação'!M177="❌ Reprovado"),"Sim","")))</f>
        <v/>
      </c>
    </row>
    <row r="178" spans="2:14" ht="14.5" customHeight="1" x14ac:dyDescent="0.35">
      <c r="B178" s="191" t="str">
        <f>IF(Lançamentos!$B173="","",Lançamentos!$B173)</f>
        <v/>
      </c>
      <c r="C178" s="192" t="str">
        <f>IF($B178="","",IFERROR(INDEX(Lançamentos!$J$3:$J$1001,MATCH($B178,Lançamentos!$B$3:$B$1001,0)),""))</f>
        <v/>
      </c>
      <c r="D178" s="413" t="str">
        <f>IF($B178="","",IFERROR(INDEX('E2 — Triagem'!$D$8:$D$507,MATCH($B178,'E2 — Triagem'!$B$8:$B$507,0)),""))</f>
        <v/>
      </c>
      <c r="E178" s="193"/>
      <c r="F178" s="193"/>
      <c r="G178" s="193"/>
      <c r="H178" s="193"/>
      <c r="I178" s="193"/>
      <c r="J178" s="193"/>
      <c r="K178" s="194" t="str">
        <f t="shared" si="2"/>
        <v/>
      </c>
      <c r="L178" s="181"/>
      <c r="M178" s="181"/>
      <c r="N178" s="195" t="str">
        <f>IF(B178="","",IF('E5 — Validação'!M178="✅ Aprovado sem Ajustes","Não",IF(OR('E5 — Validação'!M178="⚠️ Aprovado com Ajustes",'E5 — Validação'!M178="❌ Reprovado"),"Sim","")))</f>
        <v/>
      </c>
    </row>
    <row r="179" spans="2:14" ht="14.5" customHeight="1" x14ac:dyDescent="0.35">
      <c r="B179" s="191" t="str">
        <f>IF(Lançamentos!$B174="","",Lançamentos!$B174)</f>
        <v/>
      </c>
      <c r="C179" s="192" t="str">
        <f>IF($B179="","",IFERROR(INDEX(Lançamentos!$J$3:$J$1001,MATCH($B179,Lançamentos!$B$3:$B$1001,0)),""))</f>
        <v/>
      </c>
      <c r="D179" s="413" t="str">
        <f>IF($B179="","",IFERROR(INDEX('E2 — Triagem'!$D$8:$D$507,MATCH($B179,'E2 — Triagem'!$B$8:$B$507,0)),""))</f>
        <v/>
      </c>
      <c r="E179" s="193"/>
      <c r="F179" s="193"/>
      <c r="G179" s="193"/>
      <c r="H179" s="193"/>
      <c r="I179" s="193"/>
      <c r="J179" s="193"/>
      <c r="K179" s="194" t="str">
        <f t="shared" si="2"/>
        <v/>
      </c>
      <c r="L179" s="181"/>
      <c r="M179" s="181"/>
      <c r="N179" s="195" t="str">
        <f>IF(B179="","",IF('E5 — Validação'!M179="✅ Aprovado sem Ajustes","Não",IF(OR('E5 — Validação'!M179="⚠️ Aprovado com Ajustes",'E5 — Validação'!M179="❌ Reprovado"),"Sim","")))</f>
        <v/>
      </c>
    </row>
    <row r="180" spans="2:14" ht="14.5" customHeight="1" x14ac:dyDescent="0.35">
      <c r="B180" s="191" t="str">
        <f>IF(Lançamentos!$B175="","",Lançamentos!$B175)</f>
        <v/>
      </c>
      <c r="C180" s="192" t="str">
        <f>IF($B180="","",IFERROR(INDEX(Lançamentos!$J$3:$J$1001,MATCH($B180,Lançamentos!$B$3:$B$1001,0)),""))</f>
        <v/>
      </c>
      <c r="D180" s="413" t="str">
        <f>IF($B180="","",IFERROR(INDEX('E2 — Triagem'!$D$8:$D$507,MATCH($B180,'E2 — Triagem'!$B$8:$B$507,0)),""))</f>
        <v/>
      </c>
      <c r="E180" s="193"/>
      <c r="F180" s="193"/>
      <c r="G180" s="193"/>
      <c r="H180" s="193"/>
      <c r="I180" s="193"/>
      <c r="J180" s="193"/>
      <c r="K180" s="194" t="str">
        <f t="shared" si="2"/>
        <v/>
      </c>
      <c r="L180" s="181"/>
      <c r="M180" s="181"/>
      <c r="N180" s="195" t="str">
        <f>IF(B180="","",IF('E5 — Validação'!M180="✅ Aprovado sem Ajustes","Não",IF(OR('E5 — Validação'!M180="⚠️ Aprovado com Ajustes",'E5 — Validação'!M180="❌ Reprovado"),"Sim","")))</f>
        <v/>
      </c>
    </row>
    <row r="181" spans="2:14" ht="14.5" customHeight="1" x14ac:dyDescent="0.35">
      <c r="B181" s="191" t="str">
        <f>IF(Lançamentos!$B176="","",Lançamentos!$B176)</f>
        <v/>
      </c>
      <c r="C181" s="192" t="str">
        <f>IF($B181="","",IFERROR(INDEX(Lançamentos!$J$3:$J$1001,MATCH($B181,Lançamentos!$B$3:$B$1001,0)),""))</f>
        <v/>
      </c>
      <c r="D181" s="413" t="str">
        <f>IF($B181="","",IFERROR(INDEX('E2 — Triagem'!$D$8:$D$507,MATCH($B181,'E2 — Triagem'!$B$8:$B$507,0)),""))</f>
        <v/>
      </c>
      <c r="E181" s="193"/>
      <c r="F181" s="193"/>
      <c r="G181" s="193"/>
      <c r="H181" s="193"/>
      <c r="I181" s="193"/>
      <c r="J181" s="193"/>
      <c r="K181" s="194" t="str">
        <f t="shared" si="2"/>
        <v/>
      </c>
      <c r="L181" s="181"/>
      <c r="M181" s="181"/>
      <c r="N181" s="195" t="str">
        <f>IF(B181="","",IF('E5 — Validação'!M181="✅ Aprovado sem Ajustes","Não",IF(OR('E5 — Validação'!M181="⚠️ Aprovado com Ajustes",'E5 — Validação'!M181="❌ Reprovado"),"Sim","")))</f>
        <v/>
      </c>
    </row>
    <row r="182" spans="2:14" ht="14.5" customHeight="1" x14ac:dyDescent="0.35">
      <c r="B182" s="191" t="str">
        <f>IF(Lançamentos!$B177="","",Lançamentos!$B177)</f>
        <v/>
      </c>
      <c r="C182" s="192" t="str">
        <f>IF($B182="","",IFERROR(INDEX(Lançamentos!$J$3:$J$1001,MATCH($B182,Lançamentos!$B$3:$B$1001,0)),""))</f>
        <v/>
      </c>
      <c r="D182" s="413" t="str">
        <f>IF($B182="","",IFERROR(INDEX('E2 — Triagem'!$D$8:$D$507,MATCH($B182,'E2 — Triagem'!$B$8:$B$507,0)),""))</f>
        <v/>
      </c>
      <c r="E182" s="193"/>
      <c r="F182" s="193"/>
      <c r="G182" s="193"/>
      <c r="H182" s="193"/>
      <c r="I182" s="193"/>
      <c r="J182" s="193"/>
      <c r="K182" s="194" t="str">
        <f t="shared" si="2"/>
        <v/>
      </c>
      <c r="L182" s="181"/>
      <c r="M182" s="181"/>
      <c r="N182" s="195" t="str">
        <f>IF(B182="","",IF('E5 — Validação'!M182="✅ Aprovado sem Ajustes","Não",IF(OR('E5 — Validação'!M182="⚠️ Aprovado com Ajustes",'E5 — Validação'!M182="❌ Reprovado"),"Sim","")))</f>
        <v/>
      </c>
    </row>
    <row r="183" spans="2:14" ht="14.5" customHeight="1" x14ac:dyDescent="0.35">
      <c r="B183" s="191" t="str">
        <f>IF(Lançamentos!$B178="","",Lançamentos!$B178)</f>
        <v/>
      </c>
      <c r="C183" s="192" t="str">
        <f>IF($B183="","",IFERROR(INDEX(Lançamentos!$J$3:$J$1001,MATCH($B183,Lançamentos!$B$3:$B$1001,0)),""))</f>
        <v/>
      </c>
      <c r="D183" s="413" t="str">
        <f>IF($B183="","",IFERROR(INDEX('E2 — Triagem'!$D$8:$D$507,MATCH($B183,'E2 — Triagem'!$B$8:$B$507,0)),""))</f>
        <v/>
      </c>
      <c r="E183" s="193"/>
      <c r="F183" s="193"/>
      <c r="G183" s="193"/>
      <c r="H183" s="193"/>
      <c r="I183" s="193"/>
      <c r="J183" s="193"/>
      <c r="K183" s="194" t="str">
        <f t="shared" si="2"/>
        <v/>
      </c>
      <c r="L183" s="181"/>
      <c r="M183" s="181"/>
      <c r="N183" s="195" t="str">
        <f>IF(B183="","",IF('E5 — Validação'!M183="✅ Aprovado sem Ajustes","Não",IF(OR('E5 — Validação'!M183="⚠️ Aprovado com Ajustes",'E5 — Validação'!M183="❌ Reprovado"),"Sim","")))</f>
        <v/>
      </c>
    </row>
    <row r="184" spans="2:14" ht="14.5" customHeight="1" x14ac:dyDescent="0.35">
      <c r="B184" s="191" t="str">
        <f>IF(Lançamentos!$B179="","",Lançamentos!$B179)</f>
        <v/>
      </c>
      <c r="C184" s="192" t="str">
        <f>IF($B184="","",IFERROR(INDEX(Lançamentos!$J$3:$J$1001,MATCH($B184,Lançamentos!$B$3:$B$1001,0)),""))</f>
        <v/>
      </c>
      <c r="D184" s="413" t="str">
        <f>IF($B184="","",IFERROR(INDEX('E2 — Triagem'!$D$8:$D$507,MATCH($B184,'E2 — Triagem'!$B$8:$B$507,0)),""))</f>
        <v/>
      </c>
      <c r="E184" s="193"/>
      <c r="F184" s="193"/>
      <c r="G184" s="193"/>
      <c r="H184" s="193"/>
      <c r="I184" s="193"/>
      <c r="J184" s="193"/>
      <c r="K184" s="194" t="str">
        <f t="shared" si="2"/>
        <v/>
      </c>
      <c r="L184" s="181"/>
      <c r="M184" s="181"/>
      <c r="N184" s="195" t="str">
        <f>IF(B184="","",IF('E5 — Validação'!M184="✅ Aprovado sem Ajustes","Não",IF(OR('E5 — Validação'!M184="⚠️ Aprovado com Ajustes",'E5 — Validação'!M184="❌ Reprovado"),"Sim","")))</f>
        <v/>
      </c>
    </row>
    <row r="185" spans="2:14" ht="14.5" customHeight="1" x14ac:dyDescent="0.35">
      <c r="B185" s="191" t="str">
        <f>IF(Lançamentos!$B180="","",Lançamentos!$B180)</f>
        <v/>
      </c>
      <c r="C185" s="192" t="str">
        <f>IF($B185="","",IFERROR(INDEX(Lançamentos!$J$3:$J$1001,MATCH($B185,Lançamentos!$B$3:$B$1001,0)),""))</f>
        <v/>
      </c>
      <c r="D185" s="413" t="str">
        <f>IF($B185="","",IFERROR(INDEX('E2 — Triagem'!$D$8:$D$507,MATCH($B185,'E2 — Triagem'!$B$8:$B$507,0)),""))</f>
        <v/>
      </c>
      <c r="E185" s="193"/>
      <c r="F185" s="193"/>
      <c r="G185" s="193"/>
      <c r="H185" s="193"/>
      <c r="I185" s="193"/>
      <c r="J185" s="193"/>
      <c r="K185" s="194" t="str">
        <f t="shared" si="2"/>
        <v/>
      </c>
      <c r="L185" s="181"/>
      <c r="M185" s="181"/>
      <c r="N185" s="195" t="str">
        <f>IF(B185="","",IF('E5 — Validação'!M185="✅ Aprovado sem Ajustes","Não",IF(OR('E5 — Validação'!M185="⚠️ Aprovado com Ajustes",'E5 — Validação'!M185="❌ Reprovado"),"Sim","")))</f>
        <v/>
      </c>
    </row>
    <row r="186" spans="2:14" ht="14.5" customHeight="1" x14ac:dyDescent="0.35">
      <c r="B186" s="191" t="str">
        <f>IF(Lançamentos!$B181="","",Lançamentos!$B181)</f>
        <v/>
      </c>
      <c r="C186" s="192" t="str">
        <f>IF($B186="","",IFERROR(INDEX(Lançamentos!$J$3:$J$1001,MATCH($B186,Lançamentos!$B$3:$B$1001,0)),""))</f>
        <v/>
      </c>
      <c r="D186" s="413" t="str">
        <f>IF($B186="","",IFERROR(INDEX('E2 — Triagem'!$D$8:$D$507,MATCH($B186,'E2 — Triagem'!$B$8:$B$507,0)),""))</f>
        <v/>
      </c>
      <c r="E186" s="193"/>
      <c r="F186" s="193"/>
      <c r="G186" s="193"/>
      <c r="H186" s="193"/>
      <c r="I186" s="193"/>
      <c r="J186" s="193"/>
      <c r="K186" s="194" t="str">
        <f t="shared" si="2"/>
        <v/>
      </c>
      <c r="L186" s="181"/>
      <c r="M186" s="181"/>
      <c r="N186" s="195" t="str">
        <f>IF(B186="","",IF('E5 — Validação'!M186="✅ Aprovado sem Ajustes","Não",IF(OR('E5 — Validação'!M186="⚠️ Aprovado com Ajustes",'E5 — Validação'!M186="❌ Reprovado"),"Sim","")))</f>
        <v/>
      </c>
    </row>
    <row r="187" spans="2:14" ht="14.5" customHeight="1" x14ac:dyDescent="0.35">
      <c r="B187" s="191" t="str">
        <f>IF(Lançamentos!$B182="","",Lançamentos!$B182)</f>
        <v/>
      </c>
      <c r="C187" s="192" t="str">
        <f>IF($B187="","",IFERROR(INDEX(Lançamentos!$J$3:$J$1001,MATCH($B187,Lançamentos!$B$3:$B$1001,0)),""))</f>
        <v/>
      </c>
      <c r="D187" s="413" t="str">
        <f>IF($B187="","",IFERROR(INDEX('E2 — Triagem'!$D$8:$D$507,MATCH($B187,'E2 — Triagem'!$B$8:$B$507,0)),""))</f>
        <v/>
      </c>
      <c r="E187" s="193"/>
      <c r="F187" s="193"/>
      <c r="G187" s="193"/>
      <c r="H187" s="193"/>
      <c r="I187" s="193"/>
      <c r="J187" s="193"/>
      <c r="K187" s="194" t="str">
        <f t="shared" si="2"/>
        <v/>
      </c>
      <c r="L187" s="181"/>
      <c r="M187" s="181"/>
      <c r="N187" s="195" t="str">
        <f>IF(B187="","",IF('E5 — Validação'!M187="✅ Aprovado sem Ajustes","Não",IF(OR('E5 — Validação'!M187="⚠️ Aprovado com Ajustes",'E5 — Validação'!M187="❌ Reprovado"),"Sim","")))</f>
        <v/>
      </c>
    </row>
    <row r="188" spans="2:14" ht="14.5" customHeight="1" x14ac:dyDescent="0.35">
      <c r="B188" s="191" t="str">
        <f>IF(Lançamentos!$B183="","",Lançamentos!$B183)</f>
        <v/>
      </c>
      <c r="C188" s="192" t="str">
        <f>IF($B188="","",IFERROR(INDEX(Lançamentos!$J$3:$J$1001,MATCH($B188,Lançamentos!$B$3:$B$1001,0)),""))</f>
        <v/>
      </c>
      <c r="D188" s="413" t="str">
        <f>IF($B188="","",IFERROR(INDEX('E2 — Triagem'!$D$8:$D$507,MATCH($B188,'E2 — Triagem'!$B$8:$B$507,0)),""))</f>
        <v/>
      </c>
      <c r="E188" s="193"/>
      <c r="F188" s="193"/>
      <c r="G188" s="193"/>
      <c r="H188" s="193"/>
      <c r="I188" s="193"/>
      <c r="J188" s="193"/>
      <c r="K188" s="194" t="str">
        <f t="shared" si="2"/>
        <v/>
      </c>
      <c r="L188" s="181"/>
      <c r="M188" s="181"/>
      <c r="N188" s="195" t="str">
        <f>IF(B188="","",IF('E5 — Validação'!M188="✅ Aprovado sem Ajustes","Não",IF(OR('E5 — Validação'!M188="⚠️ Aprovado com Ajustes",'E5 — Validação'!M188="❌ Reprovado"),"Sim","")))</f>
        <v/>
      </c>
    </row>
    <row r="189" spans="2:14" ht="14.5" customHeight="1" x14ac:dyDescent="0.35">
      <c r="B189" s="191" t="str">
        <f>IF(Lançamentos!$B184="","",Lançamentos!$B184)</f>
        <v/>
      </c>
      <c r="C189" s="192" t="str">
        <f>IF($B189="","",IFERROR(INDEX(Lançamentos!$J$3:$J$1001,MATCH($B189,Lançamentos!$B$3:$B$1001,0)),""))</f>
        <v/>
      </c>
      <c r="D189" s="413" t="str">
        <f>IF($B189="","",IFERROR(INDEX('E2 — Triagem'!$D$8:$D$507,MATCH($B189,'E2 — Triagem'!$B$8:$B$507,0)),""))</f>
        <v/>
      </c>
      <c r="E189" s="193"/>
      <c r="F189" s="193"/>
      <c r="G189" s="193"/>
      <c r="H189" s="193"/>
      <c r="I189" s="193"/>
      <c r="J189" s="193"/>
      <c r="K189" s="194" t="str">
        <f t="shared" si="2"/>
        <v/>
      </c>
      <c r="L189" s="181"/>
      <c r="M189" s="181"/>
      <c r="N189" s="195" t="str">
        <f>IF(B189="","",IF('E5 — Validação'!M189="✅ Aprovado sem Ajustes","Não",IF(OR('E5 — Validação'!M189="⚠️ Aprovado com Ajustes",'E5 — Validação'!M189="❌ Reprovado"),"Sim","")))</f>
        <v/>
      </c>
    </row>
    <row r="190" spans="2:14" ht="14.5" customHeight="1" x14ac:dyDescent="0.35">
      <c r="B190" s="191" t="str">
        <f>IF(Lançamentos!$B185="","",Lançamentos!$B185)</f>
        <v/>
      </c>
      <c r="C190" s="192" t="str">
        <f>IF($B190="","",IFERROR(INDEX(Lançamentos!$J$3:$J$1001,MATCH($B190,Lançamentos!$B$3:$B$1001,0)),""))</f>
        <v/>
      </c>
      <c r="D190" s="413" t="str">
        <f>IF($B190="","",IFERROR(INDEX('E2 — Triagem'!$D$8:$D$507,MATCH($B190,'E2 — Triagem'!$B$8:$B$507,0)),""))</f>
        <v/>
      </c>
      <c r="E190" s="193"/>
      <c r="F190" s="193"/>
      <c r="G190" s="193"/>
      <c r="H190" s="193"/>
      <c r="I190" s="193"/>
      <c r="J190" s="193"/>
      <c r="K190" s="194" t="str">
        <f t="shared" si="2"/>
        <v/>
      </c>
      <c r="L190" s="181"/>
      <c r="M190" s="181"/>
      <c r="N190" s="195" t="str">
        <f>IF(B190="","",IF('E5 — Validação'!M190="✅ Aprovado sem Ajustes","Não",IF(OR('E5 — Validação'!M190="⚠️ Aprovado com Ajustes",'E5 — Validação'!M190="❌ Reprovado"),"Sim","")))</f>
        <v/>
      </c>
    </row>
    <row r="191" spans="2:14" ht="14.5" customHeight="1" x14ac:dyDescent="0.35">
      <c r="B191" s="191" t="str">
        <f>IF(Lançamentos!$B186="","",Lançamentos!$B186)</f>
        <v/>
      </c>
      <c r="C191" s="192" t="str">
        <f>IF($B191="","",IFERROR(INDEX(Lançamentos!$J$3:$J$1001,MATCH($B191,Lançamentos!$B$3:$B$1001,0)),""))</f>
        <v/>
      </c>
      <c r="D191" s="413" t="str">
        <f>IF($B191="","",IFERROR(INDEX('E2 — Triagem'!$D$8:$D$507,MATCH($B191,'E2 — Triagem'!$B$8:$B$507,0)),""))</f>
        <v/>
      </c>
      <c r="E191" s="193"/>
      <c r="F191" s="193"/>
      <c r="G191" s="193"/>
      <c r="H191" s="193"/>
      <c r="I191" s="193"/>
      <c r="J191" s="193"/>
      <c r="K191" s="194" t="str">
        <f t="shared" si="2"/>
        <v/>
      </c>
      <c r="L191" s="181"/>
      <c r="M191" s="181"/>
      <c r="N191" s="195" t="str">
        <f>IF(B191="","",IF('E5 — Validação'!M191="✅ Aprovado sem Ajustes","Não",IF(OR('E5 — Validação'!M191="⚠️ Aprovado com Ajustes",'E5 — Validação'!M191="❌ Reprovado"),"Sim","")))</f>
        <v/>
      </c>
    </row>
    <row r="192" spans="2:14" ht="14.5" customHeight="1" x14ac:dyDescent="0.35">
      <c r="B192" s="191" t="str">
        <f>IF(Lançamentos!$B187="","",Lançamentos!$B187)</f>
        <v/>
      </c>
      <c r="C192" s="192" t="str">
        <f>IF($B192="","",IFERROR(INDEX(Lançamentos!$J$3:$J$1001,MATCH($B192,Lançamentos!$B$3:$B$1001,0)),""))</f>
        <v/>
      </c>
      <c r="D192" s="413" t="str">
        <f>IF($B192="","",IFERROR(INDEX('E2 — Triagem'!$D$8:$D$507,MATCH($B192,'E2 — Triagem'!$B$8:$B$507,0)),""))</f>
        <v/>
      </c>
      <c r="E192" s="193"/>
      <c r="F192" s="193"/>
      <c r="G192" s="193"/>
      <c r="H192" s="193"/>
      <c r="I192" s="193"/>
      <c r="J192" s="193"/>
      <c r="K192" s="194" t="str">
        <f t="shared" si="2"/>
        <v/>
      </c>
      <c r="L192" s="181"/>
      <c r="M192" s="181"/>
      <c r="N192" s="195" t="str">
        <f>IF(B192="","",IF('E5 — Validação'!M192="✅ Aprovado sem Ajustes","Não",IF(OR('E5 — Validação'!M192="⚠️ Aprovado com Ajustes",'E5 — Validação'!M192="❌ Reprovado"),"Sim","")))</f>
        <v/>
      </c>
    </row>
    <row r="193" spans="2:14" ht="14.5" customHeight="1" x14ac:dyDescent="0.35">
      <c r="B193" s="191" t="str">
        <f>IF(Lançamentos!$B188="","",Lançamentos!$B188)</f>
        <v/>
      </c>
      <c r="C193" s="192" t="str">
        <f>IF($B193="","",IFERROR(INDEX(Lançamentos!$J$3:$J$1001,MATCH($B193,Lançamentos!$B$3:$B$1001,0)),""))</f>
        <v/>
      </c>
      <c r="D193" s="413" t="str">
        <f>IF($B193="","",IFERROR(INDEX('E2 — Triagem'!$D$8:$D$507,MATCH($B193,'E2 — Triagem'!$B$8:$B$507,0)),""))</f>
        <v/>
      </c>
      <c r="E193" s="193"/>
      <c r="F193" s="193"/>
      <c r="G193" s="193"/>
      <c r="H193" s="193"/>
      <c r="I193" s="193"/>
      <c r="J193" s="193"/>
      <c r="K193" s="194" t="str">
        <f t="shared" si="2"/>
        <v/>
      </c>
      <c r="L193" s="181"/>
      <c r="M193" s="181"/>
      <c r="N193" s="195" t="str">
        <f>IF(B193="","",IF('E5 — Validação'!M193="✅ Aprovado sem Ajustes","Não",IF(OR('E5 — Validação'!M193="⚠️ Aprovado com Ajustes",'E5 — Validação'!M193="❌ Reprovado"),"Sim","")))</f>
        <v/>
      </c>
    </row>
    <row r="194" spans="2:14" ht="14.5" customHeight="1" x14ac:dyDescent="0.35">
      <c r="B194" s="191" t="str">
        <f>IF(Lançamentos!$B189="","",Lançamentos!$B189)</f>
        <v/>
      </c>
      <c r="C194" s="192" t="str">
        <f>IF($B194="","",IFERROR(INDEX(Lançamentos!$J$3:$J$1001,MATCH($B194,Lançamentos!$B$3:$B$1001,0)),""))</f>
        <v/>
      </c>
      <c r="D194" s="413" t="str">
        <f>IF($B194="","",IFERROR(INDEX('E2 — Triagem'!$D$8:$D$507,MATCH($B194,'E2 — Triagem'!$B$8:$B$507,0)),""))</f>
        <v/>
      </c>
      <c r="E194" s="193"/>
      <c r="F194" s="193"/>
      <c r="G194" s="193"/>
      <c r="H194" s="193"/>
      <c r="I194" s="193"/>
      <c r="J194" s="193"/>
      <c r="K194" s="194" t="str">
        <f t="shared" si="2"/>
        <v/>
      </c>
      <c r="L194" s="181"/>
      <c r="M194" s="181"/>
      <c r="N194" s="195" t="str">
        <f>IF(B194="","",IF('E5 — Validação'!M194="✅ Aprovado sem Ajustes","Não",IF(OR('E5 — Validação'!M194="⚠️ Aprovado com Ajustes",'E5 — Validação'!M194="❌ Reprovado"),"Sim","")))</f>
        <v/>
      </c>
    </row>
    <row r="195" spans="2:14" ht="14.5" customHeight="1" x14ac:dyDescent="0.35">
      <c r="B195" s="191" t="str">
        <f>IF(Lançamentos!$B190="","",Lançamentos!$B190)</f>
        <v/>
      </c>
      <c r="C195" s="192" t="str">
        <f>IF($B195="","",IFERROR(INDEX(Lançamentos!$J$3:$J$1001,MATCH($B195,Lançamentos!$B$3:$B$1001,0)),""))</f>
        <v/>
      </c>
      <c r="D195" s="413" t="str">
        <f>IF($B195="","",IFERROR(INDEX('E2 — Triagem'!$D$8:$D$507,MATCH($B195,'E2 — Triagem'!$B$8:$B$507,0)),""))</f>
        <v/>
      </c>
      <c r="E195" s="193"/>
      <c r="F195" s="193"/>
      <c r="G195" s="193"/>
      <c r="H195" s="193"/>
      <c r="I195" s="193"/>
      <c r="J195" s="193"/>
      <c r="K195" s="194" t="str">
        <f t="shared" si="2"/>
        <v/>
      </c>
      <c r="L195" s="181"/>
      <c r="M195" s="181"/>
      <c r="N195" s="195" t="str">
        <f>IF(B195="","",IF('E5 — Validação'!M195="✅ Aprovado sem Ajustes","Não",IF(OR('E5 — Validação'!M195="⚠️ Aprovado com Ajustes",'E5 — Validação'!M195="❌ Reprovado"),"Sim","")))</f>
        <v/>
      </c>
    </row>
    <row r="196" spans="2:14" ht="14.5" customHeight="1" x14ac:dyDescent="0.35">
      <c r="B196" s="191" t="str">
        <f>IF(Lançamentos!$B191="","",Lançamentos!$B191)</f>
        <v/>
      </c>
      <c r="C196" s="192" t="str">
        <f>IF($B196="","",IFERROR(INDEX(Lançamentos!$J$3:$J$1001,MATCH($B196,Lançamentos!$B$3:$B$1001,0)),""))</f>
        <v/>
      </c>
      <c r="D196" s="413" t="str">
        <f>IF($B196="","",IFERROR(INDEX('E2 — Triagem'!$D$8:$D$507,MATCH($B196,'E2 — Triagem'!$B$8:$B$507,0)),""))</f>
        <v/>
      </c>
      <c r="E196" s="193"/>
      <c r="F196" s="193"/>
      <c r="G196" s="193"/>
      <c r="H196" s="193"/>
      <c r="I196" s="193"/>
      <c r="J196" s="193"/>
      <c r="K196" s="194" t="str">
        <f t="shared" si="2"/>
        <v/>
      </c>
      <c r="L196" s="181"/>
      <c r="M196" s="181"/>
      <c r="N196" s="195" t="str">
        <f>IF(B196="","",IF('E5 — Validação'!M196="✅ Aprovado sem Ajustes","Não",IF(OR('E5 — Validação'!M196="⚠️ Aprovado com Ajustes",'E5 — Validação'!M196="❌ Reprovado"),"Sim","")))</f>
        <v/>
      </c>
    </row>
    <row r="197" spans="2:14" ht="14.5" customHeight="1" x14ac:dyDescent="0.35">
      <c r="B197" s="191" t="str">
        <f>IF(Lançamentos!$B192="","",Lançamentos!$B192)</f>
        <v/>
      </c>
      <c r="C197" s="192" t="str">
        <f>IF($B197="","",IFERROR(INDEX(Lançamentos!$J$3:$J$1001,MATCH($B197,Lançamentos!$B$3:$B$1001,0)),""))</f>
        <v/>
      </c>
      <c r="D197" s="413" t="str">
        <f>IF($B197="","",IFERROR(INDEX('E2 — Triagem'!$D$8:$D$507,MATCH($B197,'E2 — Triagem'!$B$8:$B$507,0)),""))</f>
        <v/>
      </c>
      <c r="E197" s="193"/>
      <c r="F197" s="193"/>
      <c r="G197" s="193"/>
      <c r="H197" s="193"/>
      <c r="I197" s="193"/>
      <c r="J197" s="193"/>
      <c r="K197" s="194" t="str">
        <f t="shared" si="2"/>
        <v/>
      </c>
      <c r="L197" s="181"/>
      <c r="M197" s="181"/>
      <c r="N197" s="195" t="str">
        <f>IF(B197="","",IF('E5 — Validação'!M197="✅ Aprovado sem Ajustes","Não",IF(OR('E5 — Validação'!M197="⚠️ Aprovado com Ajustes",'E5 — Validação'!M197="❌ Reprovado"),"Sim","")))</f>
        <v/>
      </c>
    </row>
    <row r="198" spans="2:14" ht="14.5" customHeight="1" x14ac:dyDescent="0.35">
      <c r="B198" s="191" t="str">
        <f>IF(Lançamentos!$B193="","",Lançamentos!$B193)</f>
        <v/>
      </c>
      <c r="C198" s="192" t="str">
        <f>IF($B198="","",IFERROR(INDEX(Lançamentos!$J$3:$J$1001,MATCH($B198,Lançamentos!$B$3:$B$1001,0)),""))</f>
        <v/>
      </c>
      <c r="D198" s="413" t="str">
        <f>IF($B198="","",IFERROR(INDEX('E2 — Triagem'!$D$8:$D$507,MATCH($B198,'E2 — Triagem'!$B$8:$B$507,0)),""))</f>
        <v/>
      </c>
      <c r="E198" s="193"/>
      <c r="F198" s="193"/>
      <c r="G198" s="193"/>
      <c r="H198" s="193"/>
      <c r="I198" s="193"/>
      <c r="J198" s="193"/>
      <c r="K198" s="194" t="str">
        <f t="shared" si="2"/>
        <v/>
      </c>
      <c r="L198" s="181"/>
      <c r="M198" s="181"/>
      <c r="N198" s="195" t="str">
        <f>IF(B198="","",IF('E5 — Validação'!M198="✅ Aprovado sem Ajustes","Não",IF(OR('E5 — Validação'!M198="⚠️ Aprovado com Ajustes",'E5 — Validação'!M198="❌ Reprovado"),"Sim","")))</f>
        <v/>
      </c>
    </row>
    <row r="199" spans="2:14" ht="14.5" customHeight="1" x14ac:dyDescent="0.35">
      <c r="B199" s="191" t="str">
        <f>IF(Lançamentos!$B194="","",Lançamentos!$B194)</f>
        <v/>
      </c>
      <c r="C199" s="192" t="str">
        <f>IF($B199="","",IFERROR(INDEX(Lançamentos!$J$3:$J$1001,MATCH($B199,Lançamentos!$B$3:$B$1001,0)),""))</f>
        <v/>
      </c>
      <c r="D199" s="413" t="str">
        <f>IF($B199="","",IFERROR(INDEX('E2 — Triagem'!$D$8:$D$507,MATCH($B199,'E2 — Triagem'!$B$8:$B$507,0)),""))</f>
        <v/>
      </c>
      <c r="E199" s="193"/>
      <c r="F199" s="193"/>
      <c r="G199" s="193"/>
      <c r="H199" s="193"/>
      <c r="I199" s="193"/>
      <c r="J199" s="193"/>
      <c r="K199" s="194" t="str">
        <f t="shared" si="2"/>
        <v/>
      </c>
      <c r="L199" s="181"/>
      <c r="M199" s="181"/>
      <c r="N199" s="195" t="str">
        <f>IF(B199="","",IF('E5 — Validação'!M199="✅ Aprovado sem Ajustes","Não",IF(OR('E5 — Validação'!M199="⚠️ Aprovado com Ajustes",'E5 — Validação'!M199="❌ Reprovado"),"Sim","")))</f>
        <v/>
      </c>
    </row>
    <row r="200" spans="2:14" ht="14.5" customHeight="1" x14ac:dyDescent="0.35">
      <c r="B200" s="191" t="str">
        <f>IF(Lançamentos!$B195="","",Lançamentos!$B195)</f>
        <v/>
      </c>
      <c r="C200" s="192" t="str">
        <f>IF($B200="","",IFERROR(INDEX(Lançamentos!$J$3:$J$1001,MATCH($B200,Lançamentos!$B$3:$B$1001,0)),""))</f>
        <v/>
      </c>
      <c r="D200" s="413" t="str">
        <f>IF($B200="","",IFERROR(INDEX('E2 — Triagem'!$D$8:$D$507,MATCH($B200,'E2 — Triagem'!$B$8:$B$507,0)),""))</f>
        <v/>
      </c>
      <c r="E200" s="193"/>
      <c r="F200" s="193"/>
      <c r="G200" s="193"/>
      <c r="H200" s="193"/>
      <c r="I200" s="193"/>
      <c r="J200" s="193"/>
      <c r="K200" s="194" t="str">
        <f t="shared" ref="K200:K207" si="3">IF(B200="","",IF(N200="Não",0,IF(COUNTIF(E200:J200,"N/A")=6,0,COUNTIF(E200:J200,"✔ Concluído")/(6-COUNTIF(E200:J200,"N/A")))))</f>
        <v/>
      </c>
      <c r="L200" s="181"/>
      <c r="M200" s="181"/>
      <c r="N200" s="195" t="str">
        <f>IF(B200="","",IF('E5 — Validação'!M200="✅ Aprovado sem Ajustes","Não",IF(OR('E5 — Validação'!M200="⚠️ Aprovado com Ajustes",'E5 — Validação'!M200="❌ Reprovado"),"Sim","")))</f>
        <v/>
      </c>
    </row>
    <row r="201" spans="2:14" ht="14.5" customHeight="1" x14ac:dyDescent="0.35">
      <c r="B201" s="191" t="str">
        <f>IF(Lançamentos!$B196="","",Lançamentos!$B196)</f>
        <v/>
      </c>
      <c r="C201" s="192" t="str">
        <f>IF($B201="","",IFERROR(INDEX(Lançamentos!$J$3:$J$1001,MATCH($B201,Lançamentos!$B$3:$B$1001,0)),""))</f>
        <v/>
      </c>
      <c r="D201" s="413" t="str">
        <f>IF($B201="","",IFERROR(INDEX('E2 — Triagem'!$D$8:$D$507,MATCH($B201,'E2 — Triagem'!$B$8:$B$507,0)),""))</f>
        <v/>
      </c>
      <c r="E201" s="193"/>
      <c r="F201" s="193"/>
      <c r="G201" s="193"/>
      <c r="H201" s="193"/>
      <c r="I201" s="193"/>
      <c r="J201" s="193"/>
      <c r="K201" s="194" t="str">
        <f t="shared" si="3"/>
        <v/>
      </c>
      <c r="L201" s="181"/>
      <c r="M201" s="181"/>
      <c r="N201" s="195" t="str">
        <f>IF(B201="","",IF('E5 — Validação'!M201="✅ Aprovado sem Ajustes","Não",IF(OR('E5 — Validação'!M201="⚠️ Aprovado com Ajustes",'E5 — Validação'!M201="❌ Reprovado"),"Sim","")))</f>
        <v/>
      </c>
    </row>
    <row r="202" spans="2:14" ht="14.5" customHeight="1" x14ac:dyDescent="0.35">
      <c r="B202" s="191" t="str">
        <f>IF(Lançamentos!$B197="","",Lançamentos!$B197)</f>
        <v/>
      </c>
      <c r="C202" s="192" t="str">
        <f>IF($B202="","",IFERROR(INDEX(Lançamentos!$J$3:$J$1001,MATCH($B202,Lançamentos!$B$3:$B$1001,0)),""))</f>
        <v/>
      </c>
      <c r="D202" s="413" t="str">
        <f>IF($B202="","",IFERROR(INDEX('E2 — Triagem'!$D$8:$D$507,MATCH($B202,'E2 — Triagem'!$B$8:$B$507,0)),""))</f>
        <v/>
      </c>
      <c r="E202" s="193"/>
      <c r="F202" s="193"/>
      <c r="G202" s="193"/>
      <c r="H202" s="193"/>
      <c r="I202" s="193"/>
      <c r="J202" s="193"/>
      <c r="K202" s="194" t="str">
        <f t="shared" si="3"/>
        <v/>
      </c>
      <c r="L202" s="181"/>
      <c r="M202" s="181"/>
      <c r="N202" s="195" t="str">
        <f>IF(B202="","",IF('E5 — Validação'!M202="✅ Aprovado sem Ajustes","Não",IF(OR('E5 — Validação'!M202="⚠️ Aprovado com Ajustes",'E5 — Validação'!M202="❌ Reprovado"),"Sim","")))</f>
        <v/>
      </c>
    </row>
    <row r="203" spans="2:14" ht="14.5" customHeight="1" x14ac:dyDescent="0.35">
      <c r="B203" s="191" t="str">
        <f>IF(Lançamentos!$B198="","",Lançamentos!$B198)</f>
        <v/>
      </c>
      <c r="C203" s="192" t="str">
        <f>IF($B203="","",IFERROR(INDEX(Lançamentos!$J$3:$J$1001,MATCH($B203,Lançamentos!$B$3:$B$1001,0)),""))</f>
        <v/>
      </c>
      <c r="D203" s="413" t="str">
        <f>IF($B203="","",IFERROR(INDEX('E2 — Triagem'!$D$8:$D$507,MATCH($B203,'E2 — Triagem'!$B$8:$B$507,0)),""))</f>
        <v/>
      </c>
      <c r="E203" s="193"/>
      <c r="F203" s="193"/>
      <c r="G203" s="193"/>
      <c r="H203" s="193"/>
      <c r="I203" s="193"/>
      <c r="J203" s="193"/>
      <c r="K203" s="194" t="str">
        <f t="shared" si="3"/>
        <v/>
      </c>
      <c r="L203" s="181"/>
      <c r="M203" s="181"/>
      <c r="N203" s="195" t="str">
        <f>IF(B203="","",IF('E5 — Validação'!M203="✅ Aprovado sem Ajustes","Não",IF(OR('E5 — Validação'!M203="⚠️ Aprovado com Ajustes",'E5 — Validação'!M203="❌ Reprovado"),"Sim","")))</f>
        <v/>
      </c>
    </row>
    <row r="204" spans="2:14" ht="14.5" customHeight="1" x14ac:dyDescent="0.35">
      <c r="B204" s="191" t="str">
        <f>IF(Lançamentos!$B199="","",Lançamentos!$B199)</f>
        <v/>
      </c>
      <c r="C204" s="192" t="str">
        <f>IF($B204="","",IFERROR(INDEX(Lançamentos!$J$3:$J$1001,MATCH($B204,Lançamentos!$B$3:$B$1001,0)),""))</f>
        <v/>
      </c>
      <c r="D204" s="413" t="str">
        <f>IF($B204="","",IFERROR(INDEX('E2 — Triagem'!$D$8:$D$507,MATCH($B204,'E2 — Triagem'!$B$8:$B$507,0)),""))</f>
        <v/>
      </c>
      <c r="E204" s="193"/>
      <c r="F204" s="193"/>
      <c r="G204" s="193"/>
      <c r="H204" s="193"/>
      <c r="I204" s="193"/>
      <c r="J204" s="193"/>
      <c r="K204" s="194" t="str">
        <f t="shared" si="3"/>
        <v/>
      </c>
      <c r="L204" s="181"/>
      <c r="M204" s="181"/>
      <c r="N204" s="195" t="str">
        <f>IF(B204="","",IF('E5 — Validação'!M204="✅ Aprovado sem Ajustes","Não",IF(OR('E5 — Validação'!M204="⚠️ Aprovado com Ajustes",'E5 — Validação'!M204="❌ Reprovado"),"Sim","")))</f>
        <v/>
      </c>
    </row>
    <row r="205" spans="2:14" ht="14.5" customHeight="1" x14ac:dyDescent="0.35">
      <c r="B205" s="191" t="str">
        <f>IF(Lançamentos!$B200="","",Lançamentos!$B200)</f>
        <v/>
      </c>
      <c r="C205" s="192" t="str">
        <f>IF($B205="","",IFERROR(INDEX(Lançamentos!$J$3:$J$1001,MATCH($B205,Lançamentos!$B$3:$B$1001,0)),""))</f>
        <v/>
      </c>
      <c r="D205" s="413" t="str">
        <f>IF($B205="","",IFERROR(INDEX('E2 — Triagem'!$D$8:$D$507,MATCH($B205,'E2 — Triagem'!$B$8:$B$507,0)),""))</f>
        <v/>
      </c>
      <c r="E205" s="193"/>
      <c r="F205" s="193"/>
      <c r="G205" s="193"/>
      <c r="H205" s="193"/>
      <c r="I205" s="193"/>
      <c r="J205" s="193"/>
      <c r="K205" s="194" t="str">
        <f t="shared" si="3"/>
        <v/>
      </c>
      <c r="L205" s="181"/>
      <c r="M205" s="181"/>
      <c r="N205" s="195" t="str">
        <f>IF(B205="","",IF('E5 — Validação'!M205="✅ Aprovado sem Ajustes","Não",IF(OR('E5 — Validação'!M205="⚠️ Aprovado com Ajustes",'E5 — Validação'!M205="❌ Reprovado"),"Sim","")))</f>
        <v/>
      </c>
    </row>
    <row r="206" spans="2:14" ht="14.5" customHeight="1" x14ac:dyDescent="0.35">
      <c r="B206" s="191" t="str">
        <f>IF(Lançamentos!$B201="","",Lançamentos!$B201)</f>
        <v/>
      </c>
      <c r="C206" s="192" t="str">
        <f>IF($B206="","",IFERROR(INDEX(Lançamentos!$J$3:$J$1001,MATCH($B206,Lançamentos!$B$3:$B$1001,0)),""))</f>
        <v/>
      </c>
      <c r="D206" s="413" t="str">
        <f>IF($B206="","",IFERROR(INDEX('E2 — Triagem'!$D$8:$D$507,MATCH($B206,'E2 — Triagem'!$B$8:$B$507,0)),""))</f>
        <v/>
      </c>
      <c r="E206" s="193"/>
      <c r="F206" s="193"/>
      <c r="G206" s="193"/>
      <c r="H206" s="193"/>
      <c r="I206" s="193"/>
      <c r="J206" s="193"/>
      <c r="K206" s="194" t="str">
        <f t="shared" si="3"/>
        <v/>
      </c>
      <c r="L206" s="181"/>
      <c r="M206" s="181"/>
      <c r="N206" s="195" t="str">
        <f>IF(B206="","",IF('E5 — Validação'!M206="✅ Aprovado sem Ajustes","Não",IF(OR('E5 — Validação'!M206="⚠️ Aprovado com Ajustes",'E5 — Validação'!M206="❌ Reprovado"),"Sim","")))</f>
        <v/>
      </c>
    </row>
    <row r="207" spans="2:14" ht="14.5" customHeight="1" x14ac:dyDescent="0.35">
      <c r="B207" s="196" t="str">
        <f>IF(Lançamentos!$B202="","",Lançamentos!$B202)</f>
        <v/>
      </c>
      <c r="C207" s="197" t="str">
        <f>IF($B207="","",IFERROR(INDEX(Lançamentos!$J$3:$J$1001,MATCH($B207,Lançamentos!$B$3:$B$1001,0)),""))</f>
        <v/>
      </c>
      <c r="D207" s="414" t="str">
        <f>IF($B207="","",IFERROR(INDEX('E2 — Triagem'!$D$8:$D$507,MATCH($B207,'E2 — Triagem'!$B$8:$B$507,0)),""))</f>
        <v/>
      </c>
      <c r="E207" s="198"/>
      <c r="F207" s="198"/>
      <c r="G207" s="198"/>
      <c r="H207" s="198"/>
      <c r="I207" s="198"/>
      <c r="J207" s="198"/>
      <c r="K207" s="199" t="str">
        <f t="shared" si="3"/>
        <v/>
      </c>
      <c r="L207" s="200"/>
      <c r="M207" s="200"/>
      <c r="N207" s="201" t="str">
        <f>IF(B207="","",IF('E5 — Validação'!M207="✅ Aprovado sem Ajustes","Não",IF(OR('E5 — Validação'!M207="⚠️ Aprovado com Ajustes",'E5 — Validação'!M207="❌ Reprovado"),"Sim","")))</f>
        <v/>
      </c>
    </row>
    <row r="208" spans="2:14" x14ac:dyDescent="0.35">
      <c r="B208" s="445" t="str">
        <f>IF(Lançamentos!$B203="","",Lançamentos!$B203)</f>
        <v/>
      </c>
      <c r="C208" s="446" t="str">
        <f>IF($B208="","",IFERROR(INDEX(Lançamentos!$J$3:$J$1001,MATCH($B208,Lançamentos!$B$3:$B$1001,0)),""))</f>
        <v/>
      </c>
      <c r="D208" s="447" t="str">
        <f>IF($B208="","",IFERROR(INDEX('E2 — Triagem'!$D$8:$D$507,MATCH($B208,'E2 — Triagem'!$B$8:$B$507,0)),""))</f>
        <v/>
      </c>
      <c r="E208" s="447"/>
      <c r="F208" s="447"/>
      <c r="G208" s="447"/>
      <c r="H208" s="447"/>
      <c r="I208" s="447"/>
      <c r="J208" s="447"/>
      <c r="K208" s="194" t="str">
        <f t="shared" ref="K208:K271" si="4">IF(B208="","",IF(N208="Não",0,IF(COUNTIF(E208:J208,"N/A")=6,0,COUNTIF(E208:J208,"✔ Concluído")/(6-COUNTIF(E208:J208,"N/A")))))</f>
        <v/>
      </c>
      <c r="L208" s="448"/>
      <c r="M208" s="448"/>
      <c r="N208" s="449" t="str">
        <f>IF(B208="","",IF('E5 — Validação'!M208="✅ Aprovado sem Ajustes","Não",IF(OR('E5 — Validação'!M208="⚠️ Aprovado com Ajustes",'E5 — Validação'!M208="❌ Reprovado"),"Sim","")))</f>
        <v/>
      </c>
    </row>
    <row r="209" spans="2:14" x14ac:dyDescent="0.35">
      <c r="B209" s="445" t="str">
        <f>IF(Lançamentos!$B204="","",Lançamentos!$B204)</f>
        <v/>
      </c>
      <c r="C209" s="446" t="str">
        <f>IF($B209="","",IFERROR(INDEX(Lançamentos!$J$3:$J$1001,MATCH($B209,Lançamentos!$B$3:$B$1001,0)),""))</f>
        <v/>
      </c>
      <c r="D209" s="447" t="str">
        <f>IF($B209="","",IFERROR(INDEX('E2 — Triagem'!$D$8:$D$507,MATCH($B209,'E2 — Triagem'!$B$8:$B$507,0)),""))</f>
        <v/>
      </c>
      <c r="E209" s="447"/>
      <c r="F209" s="447"/>
      <c r="G209" s="447"/>
      <c r="H209" s="447"/>
      <c r="I209" s="447"/>
      <c r="J209" s="447"/>
      <c r="K209" s="194" t="str">
        <f t="shared" si="4"/>
        <v/>
      </c>
      <c r="L209" s="448"/>
      <c r="M209" s="448"/>
      <c r="N209" s="449" t="str">
        <f>IF(B209="","",IF('E5 — Validação'!M209="✅ Aprovado sem Ajustes","Não",IF(OR('E5 — Validação'!M209="⚠️ Aprovado com Ajustes",'E5 — Validação'!M209="❌ Reprovado"),"Sim","")))</f>
        <v/>
      </c>
    </row>
    <row r="210" spans="2:14" x14ac:dyDescent="0.35">
      <c r="B210" s="445" t="str">
        <f>IF(Lançamentos!$B205="","",Lançamentos!$B205)</f>
        <v/>
      </c>
      <c r="C210" s="446" t="str">
        <f>IF($B210="","",IFERROR(INDEX(Lançamentos!$J$3:$J$1001,MATCH($B210,Lançamentos!$B$3:$B$1001,0)),""))</f>
        <v/>
      </c>
      <c r="D210" s="447" t="str">
        <f>IF($B210="","",IFERROR(INDEX('E2 — Triagem'!$D$8:$D$507,MATCH($B210,'E2 — Triagem'!$B$8:$B$507,0)),""))</f>
        <v/>
      </c>
      <c r="E210" s="447"/>
      <c r="F210" s="447"/>
      <c r="G210" s="447"/>
      <c r="H210" s="447"/>
      <c r="I210" s="447"/>
      <c r="J210" s="447"/>
      <c r="K210" s="194" t="str">
        <f t="shared" si="4"/>
        <v/>
      </c>
      <c r="L210" s="448"/>
      <c r="M210" s="448"/>
      <c r="N210" s="449" t="str">
        <f>IF(B210="","",IF('E5 — Validação'!M210="✅ Aprovado sem Ajustes","Não",IF(OR('E5 — Validação'!M210="⚠️ Aprovado com Ajustes",'E5 — Validação'!M210="❌ Reprovado"),"Sim","")))</f>
        <v/>
      </c>
    </row>
    <row r="211" spans="2:14" x14ac:dyDescent="0.35">
      <c r="B211" s="445" t="str">
        <f>IF(Lançamentos!$B206="","",Lançamentos!$B206)</f>
        <v/>
      </c>
      <c r="C211" s="446" t="str">
        <f>IF($B211="","",IFERROR(INDEX(Lançamentos!$J$3:$J$1001,MATCH($B211,Lançamentos!$B$3:$B$1001,0)),""))</f>
        <v/>
      </c>
      <c r="D211" s="447" t="str">
        <f>IF($B211="","",IFERROR(INDEX('E2 — Triagem'!$D$8:$D$507,MATCH($B211,'E2 — Triagem'!$B$8:$B$507,0)),""))</f>
        <v/>
      </c>
      <c r="E211" s="447"/>
      <c r="F211" s="447"/>
      <c r="G211" s="447"/>
      <c r="H211" s="447"/>
      <c r="I211" s="447"/>
      <c r="J211" s="447"/>
      <c r="K211" s="194" t="str">
        <f t="shared" si="4"/>
        <v/>
      </c>
      <c r="L211" s="448"/>
      <c r="M211" s="448"/>
      <c r="N211" s="449" t="str">
        <f>IF(B211="","",IF('E5 — Validação'!M211="✅ Aprovado sem Ajustes","Não",IF(OR('E5 — Validação'!M211="⚠️ Aprovado com Ajustes",'E5 — Validação'!M211="❌ Reprovado"),"Sim","")))</f>
        <v/>
      </c>
    </row>
    <row r="212" spans="2:14" x14ac:dyDescent="0.35">
      <c r="B212" s="445" t="str">
        <f>IF(Lançamentos!$B207="","",Lançamentos!$B207)</f>
        <v/>
      </c>
      <c r="C212" s="446" t="str">
        <f>IF($B212="","",IFERROR(INDEX(Lançamentos!$J$3:$J$1001,MATCH($B212,Lançamentos!$B$3:$B$1001,0)),""))</f>
        <v/>
      </c>
      <c r="D212" s="447" t="str">
        <f>IF($B212="","",IFERROR(INDEX('E2 — Triagem'!$D$8:$D$507,MATCH($B212,'E2 — Triagem'!$B$8:$B$507,0)),""))</f>
        <v/>
      </c>
      <c r="E212" s="447"/>
      <c r="F212" s="447"/>
      <c r="G212" s="447"/>
      <c r="H212" s="447"/>
      <c r="I212" s="447"/>
      <c r="J212" s="447"/>
      <c r="K212" s="194" t="str">
        <f t="shared" si="4"/>
        <v/>
      </c>
      <c r="L212" s="448"/>
      <c r="M212" s="448"/>
      <c r="N212" s="449" t="str">
        <f>IF(B212="","",IF('E5 — Validação'!M212="✅ Aprovado sem Ajustes","Não",IF(OR('E5 — Validação'!M212="⚠️ Aprovado com Ajustes",'E5 — Validação'!M212="❌ Reprovado"),"Sim","")))</f>
        <v/>
      </c>
    </row>
    <row r="213" spans="2:14" x14ac:dyDescent="0.35">
      <c r="B213" s="445" t="str">
        <f>IF(Lançamentos!$B208="","",Lançamentos!$B208)</f>
        <v/>
      </c>
      <c r="C213" s="446" t="str">
        <f>IF($B213="","",IFERROR(INDEX(Lançamentos!$J$3:$J$1001,MATCH($B213,Lançamentos!$B$3:$B$1001,0)),""))</f>
        <v/>
      </c>
      <c r="D213" s="447" t="str">
        <f>IF($B213="","",IFERROR(INDEX('E2 — Triagem'!$D$8:$D$507,MATCH($B213,'E2 — Triagem'!$B$8:$B$507,0)),""))</f>
        <v/>
      </c>
      <c r="E213" s="447"/>
      <c r="F213" s="447"/>
      <c r="G213" s="447"/>
      <c r="H213" s="447"/>
      <c r="I213" s="447"/>
      <c r="J213" s="447"/>
      <c r="K213" s="194" t="str">
        <f t="shared" si="4"/>
        <v/>
      </c>
      <c r="L213" s="448"/>
      <c r="M213" s="448"/>
      <c r="N213" s="449" t="str">
        <f>IF(B213="","",IF('E5 — Validação'!M213="✅ Aprovado sem Ajustes","Não",IF(OR('E5 — Validação'!M213="⚠️ Aprovado com Ajustes",'E5 — Validação'!M213="❌ Reprovado"),"Sim","")))</f>
        <v/>
      </c>
    </row>
    <row r="214" spans="2:14" x14ac:dyDescent="0.35">
      <c r="B214" s="445" t="str">
        <f>IF(Lançamentos!$B209="","",Lançamentos!$B209)</f>
        <v/>
      </c>
      <c r="C214" s="446" t="str">
        <f>IF($B214="","",IFERROR(INDEX(Lançamentos!$J$3:$J$1001,MATCH($B214,Lançamentos!$B$3:$B$1001,0)),""))</f>
        <v/>
      </c>
      <c r="D214" s="447" t="str">
        <f>IF($B214="","",IFERROR(INDEX('E2 — Triagem'!$D$8:$D$507,MATCH($B214,'E2 — Triagem'!$B$8:$B$507,0)),""))</f>
        <v/>
      </c>
      <c r="E214" s="447"/>
      <c r="F214" s="447"/>
      <c r="G214" s="447"/>
      <c r="H214" s="447"/>
      <c r="I214" s="447"/>
      <c r="J214" s="447"/>
      <c r="K214" s="194" t="str">
        <f t="shared" si="4"/>
        <v/>
      </c>
      <c r="L214" s="448"/>
      <c r="M214" s="448"/>
      <c r="N214" s="449" t="str">
        <f>IF(B214="","",IF('E5 — Validação'!M214="✅ Aprovado sem Ajustes","Não",IF(OR('E5 — Validação'!M214="⚠️ Aprovado com Ajustes",'E5 — Validação'!M214="❌ Reprovado"),"Sim","")))</f>
        <v/>
      </c>
    </row>
    <row r="215" spans="2:14" x14ac:dyDescent="0.35">
      <c r="B215" s="445" t="str">
        <f>IF(Lançamentos!$B210="","",Lançamentos!$B210)</f>
        <v/>
      </c>
      <c r="C215" s="446" t="str">
        <f>IF($B215="","",IFERROR(INDEX(Lançamentos!$J$3:$J$1001,MATCH($B215,Lançamentos!$B$3:$B$1001,0)),""))</f>
        <v/>
      </c>
      <c r="D215" s="447" t="str">
        <f>IF($B215="","",IFERROR(INDEX('E2 — Triagem'!$D$8:$D$507,MATCH($B215,'E2 — Triagem'!$B$8:$B$507,0)),""))</f>
        <v/>
      </c>
      <c r="E215" s="447"/>
      <c r="F215" s="447"/>
      <c r="G215" s="447"/>
      <c r="H215" s="447"/>
      <c r="I215" s="447"/>
      <c r="J215" s="447"/>
      <c r="K215" s="194" t="str">
        <f t="shared" si="4"/>
        <v/>
      </c>
      <c r="L215" s="448"/>
      <c r="M215" s="448"/>
      <c r="N215" s="449" t="str">
        <f>IF(B215="","",IF('E5 — Validação'!M215="✅ Aprovado sem Ajustes","Não",IF(OR('E5 — Validação'!M215="⚠️ Aprovado com Ajustes",'E5 — Validação'!M215="❌ Reprovado"),"Sim","")))</f>
        <v/>
      </c>
    </row>
    <row r="216" spans="2:14" x14ac:dyDescent="0.35">
      <c r="B216" s="445" t="str">
        <f>IF(Lançamentos!$B211="","",Lançamentos!$B211)</f>
        <v/>
      </c>
      <c r="C216" s="446" t="str">
        <f>IF($B216="","",IFERROR(INDEX(Lançamentos!$J$3:$J$1001,MATCH($B216,Lançamentos!$B$3:$B$1001,0)),""))</f>
        <v/>
      </c>
      <c r="D216" s="447" t="str">
        <f>IF($B216="","",IFERROR(INDEX('E2 — Triagem'!$D$8:$D$507,MATCH($B216,'E2 — Triagem'!$B$8:$B$507,0)),""))</f>
        <v/>
      </c>
      <c r="E216" s="447"/>
      <c r="F216" s="447"/>
      <c r="G216" s="447"/>
      <c r="H216" s="447"/>
      <c r="I216" s="447"/>
      <c r="J216" s="447"/>
      <c r="K216" s="194" t="str">
        <f t="shared" si="4"/>
        <v/>
      </c>
      <c r="L216" s="448"/>
      <c r="M216" s="448"/>
      <c r="N216" s="449" t="str">
        <f>IF(B216="","",IF('E5 — Validação'!M216="✅ Aprovado sem Ajustes","Não",IF(OR('E5 — Validação'!M216="⚠️ Aprovado com Ajustes",'E5 — Validação'!M216="❌ Reprovado"),"Sim","")))</f>
        <v/>
      </c>
    </row>
    <row r="217" spans="2:14" x14ac:dyDescent="0.35">
      <c r="B217" s="445" t="str">
        <f>IF(Lançamentos!$B212="","",Lançamentos!$B212)</f>
        <v/>
      </c>
      <c r="C217" s="446" t="str">
        <f>IF($B217="","",IFERROR(INDEX(Lançamentos!$J$3:$J$1001,MATCH($B217,Lançamentos!$B$3:$B$1001,0)),""))</f>
        <v/>
      </c>
      <c r="D217" s="447" t="str">
        <f>IF($B217="","",IFERROR(INDEX('E2 — Triagem'!$D$8:$D$507,MATCH($B217,'E2 — Triagem'!$B$8:$B$507,0)),""))</f>
        <v/>
      </c>
      <c r="E217" s="447"/>
      <c r="F217" s="447"/>
      <c r="G217" s="447"/>
      <c r="H217" s="447"/>
      <c r="I217" s="447"/>
      <c r="J217" s="447"/>
      <c r="K217" s="194" t="str">
        <f t="shared" si="4"/>
        <v/>
      </c>
      <c r="L217" s="448"/>
      <c r="M217" s="448"/>
      <c r="N217" s="449" t="str">
        <f>IF(B217="","",IF('E5 — Validação'!M217="✅ Aprovado sem Ajustes","Não",IF(OR('E5 — Validação'!M217="⚠️ Aprovado com Ajustes",'E5 — Validação'!M217="❌ Reprovado"),"Sim","")))</f>
        <v/>
      </c>
    </row>
    <row r="218" spans="2:14" x14ac:dyDescent="0.35">
      <c r="B218" s="445" t="str">
        <f>IF(Lançamentos!$B213="","",Lançamentos!$B213)</f>
        <v/>
      </c>
      <c r="C218" s="446" t="str">
        <f>IF($B218="","",IFERROR(INDEX(Lançamentos!$J$3:$J$1001,MATCH($B218,Lançamentos!$B$3:$B$1001,0)),""))</f>
        <v/>
      </c>
      <c r="D218" s="447" t="str">
        <f>IF($B218="","",IFERROR(INDEX('E2 — Triagem'!$D$8:$D$507,MATCH($B218,'E2 — Triagem'!$B$8:$B$507,0)),""))</f>
        <v/>
      </c>
      <c r="E218" s="447"/>
      <c r="F218" s="447"/>
      <c r="G218" s="447"/>
      <c r="H218" s="447"/>
      <c r="I218" s="447"/>
      <c r="J218" s="447"/>
      <c r="K218" s="194" t="str">
        <f t="shared" si="4"/>
        <v/>
      </c>
      <c r="L218" s="448"/>
      <c r="M218" s="448"/>
      <c r="N218" s="449" t="str">
        <f>IF(B218="","",IF('E5 — Validação'!M218="✅ Aprovado sem Ajustes","Não",IF(OR('E5 — Validação'!M218="⚠️ Aprovado com Ajustes",'E5 — Validação'!M218="❌ Reprovado"),"Sim","")))</f>
        <v/>
      </c>
    </row>
    <row r="219" spans="2:14" x14ac:dyDescent="0.35">
      <c r="B219" s="445" t="str">
        <f>IF(Lançamentos!$B214="","",Lançamentos!$B214)</f>
        <v/>
      </c>
      <c r="C219" s="446" t="str">
        <f>IF($B219="","",IFERROR(INDEX(Lançamentos!$J$3:$J$1001,MATCH($B219,Lançamentos!$B$3:$B$1001,0)),""))</f>
        <v/>
      </c>
      <c r="D219" s="447" t="str">
        <f>IF($B219="","",IFERROR(INDEX('E2 — Triagem'!$D$8:$D$507,MATCH($B219,'E2 — Triagem'!$B$8:$B$507,0)),""))</f>
        <v/>
      </c>
      <c r="E219" s="447"/>
      <c r="F219" s="447"/>
      <c r="G219" s="447"/>
      <c r="H219" s="447"/>
      <c r="I219" s="447"/>
      <c r="J219" s="447"/>
      <c r="K219" s="194" t="str">
        <f t="shared" si="4"/>
        <v/>
      </c>
      <c r="L219" s="448"/>
      <c r="M219" s="448"/>
      <c r="N219" s="449" t="str">
        <f>IF(B219="","",IF('E5 — Validação'!M219="✅ Aprovado sem Ajustes","Não",IF(OR('E5 — Validação'!M219="⚠️ Aprovado com Ajustes",'E5 — Validação'!M219="❌ Reprovado"),"Sim","")))</f>
        <v/>
      </c>
    </row>
    <row r="220" spans="2:14" x14ac:dyDescent="0.35">
      <c r="B220" s="445" t="str">
        <f>IF(Lançamentos!$B215="","",Lançamentos!$B215)</f>
        <v/>
      </c>
      <c r="C220" s="446" t="str">
        <f>IF($B220="","",IFERROR(INDEX(Lançamentos!$J$3:$J$1001,MATCH($B220,Lançamentos!$B$3:$B$1001,0)),""))</f>
        <v/>
      </c>
      <c r="D220" s="447" t="str">
        <f>IF($B220="","",IFERROR(INDEX('E2 — Triagem'!$D$8:$D$507,MATCH($B220,'E2 — Triagem'!$B$8:$B$507,0)),""))</f>
        <v/>
      </c>
      <c r="E220" s="447"/>
      <c r="F220" s="447"/>
      <c r="G220" s="447"/>
      <c r="H220" s="447"/>
      <c r="I220" s="447"/>
      <c r="J220" s="447"/>
      <c r="K220" s="194" t="str">
        <f t="shared" si="4"/>
        <v/>
      </c>
      <c r="L220" s="448"/>
      <c r="M220" s="448"/>
      <c r="N220" s="449" t="str">
        <f>IF(B220="","",IF('E5 — Validação'!M220="✅ Aprovado sem Ajustes","Não",IF(OR('E5 — Validação'!M220="⚠️ Aprovado com Ajustes",'E5 — Validação'!M220="❌ Reprovado"),"Sim","")))</f>
        <v/>
      </c>
    </row>
    <row r="221" spans="2:14" x14ac:dyDescent="0.35">
      <c r="B221" s="445" t="str">
        <f>IF(Lançamentos!$B216="","",Lançamentos!$B216)</f>
        <v/>
      </c>
      <c r="C221" s="446" t="str">
        <f>IF($B221="","",IFERROR(INDEX(Lançamentos!$J$3:$J$1001,MATCH($B221,Lançamentos!$B$3:$B$1001,0)),""))</f>
        <v/>
      </c>
      <c r="D221" s="447" t="str">
        <f>IF($B221="","",IFERROR(INDEX('E2 — Triagem'!$D$8:$D$507,MATCH($B221,'E2 — Triagem'!$B$8:$B$507,0)),""))</f>
        <v/>
      </c>
      <c r="E221" s="447"/>
      <c r="F221" s="447"/>
      <c r="G221" s="447"/>
      <c r="H221" s="447"/>
      <c r="I221" s="447"/>
      <c r="J221" s="447"/>
      <c r="K221" s="194" t="str">
        <f t="shared" si="4"/>
        <v/>
      </c>
      <c r="L221" s="448"/>
      <c r="M221" s="448"/>
      <c r="N221" s="449" t="str">
        <f>IF(B221="","",IF('E5 — Validação'!M221="✅ Aprovado sem Ajustes","Não",IF(OR('E5 — Validação'!M221="⚠️ Aprovado com Ajustes",'E5 — Validação'!M221="❌ Reprovado"),"Sim","")))</f>
        <v/>
      </c>
    </row>
    <row r="222" spans="2:14" x14ac:dyDescent="0.35">
      <c r="B222" s="445" t="str">
        <f>IF(Lançamentos!$B217="","",Lançamentos!$B217)</f>
        <v/>
      </c>
      <c r="C222" s="446" t="str">
        <f>IF($B222="","",IFERROR(INDEX(Lançamentos!$J$3:$J$1001,MATCH($B222,Lançamentos!$B$3:$B$1001,0)),""))</f>
        <v/>
      </c>
      <c r="D222" s="447" t="str">
        <f>IF($B222="","",IFERROR(INDEX('E2 — Triagem'!$D$8:$D$507,MATCH($B222,'E2 — Triagem'!$B$8:$B$507,0)),""))</f>
        <v/>
      </c>
      <c r="E222" s="447"/>
      <c r="F222" s="447"/>
      <c r="G222" s="447"/>
      <c r="H222" s="447"/>
      <c r="I222" s="447"/>
      <c r="J222" s="447"/>
      <c r="K222" s="194" t="str">
        <f t="shared" si="4"/>
        <v/>
      </c>
      <c r="L222" s="448"/>
      <c r="M222" s="448"/>
      <c r="N222" s="449" t="str">
        <f>IF(B222="","",IF('E5 — Validação'!M222="✅ Aprovado sem Ajustes","Não",IF(OR('E5 — Validação'!M222="⚠️ Aprovado com Ajustes",'E5 — Validação'!M222="❌ Reprovado"),"Sim","")))</f>
        <v/>
      </c>
    </row>
    <row r="223" spans="2:14" x14ac:dyDescent="0.35">
      <c r="B223" s="445" t="str">
        <f>IF(Lançamentos!$B218="","",Lançamentos!$B218)</f>
        <v/>
      </c>
      <c r="C223" s="446" t="str">
        <f>IF($B223="","",IFERROR(INDEX(Lançamentos!$J$3:$J$1001,MATCH($B223,Lançamentos!$B$3:$B$1001,0)),""))</f>
        <v/>
      </c>
      <c r="D223" s="447" t="str">
        <f>IF($B223="","",IFERROR(INDEX('E2 — Triagem'!$D$8:$D$507,MATCH($B223,'E2 — Triagem'!$B$8:$B$507,0)),""))</f>
        <v/>
      </c>
      <c r="E223" s="447"/>
      <c r="F223" s="447"/>
      <c r="G223" s="447"/>
      <c r="H223" s="447"/>
      <c r="I223" s="447"/>
      <c r="J223" s="447"/>
      <c r="K223" s="194" t="str">
        <f t="shared" si="4"/>
        <v/>
      </c>
      <c r="L223" s="448"/>
      <c r="M223" s="448"/>
      <c r="N223" s="449" t="str">
        <f>IF(B223="","",IF('E5 — Validação'!M223="✅ Aprovado sem Ajustes","Não",IF(OR('E5 — Validação'!M223="⚠️ Aprovado com Ajustes",'E5 — Validação'!M223="❌ Reprovado"),"Sim","")))</f>
        <v/>
      </c>
    </row>
    <row r="224" spans="2:14" x14ac:dyDescent="0.35">
      <c r="B224" s="445" t="str">
        <f>IF(Lançamentos!$B219="","",Lançamentos!$B219)</f>
        <v/>
      </c>
      <c r="C224" s="446" t="str">
        <f>IF($B224="","",IFERROR(INDEX(Lançamentos!$J$3:$J$1001,MATCH($B224,Lançamentos!$B$3:$B$1001,0)),""))</f>
        <v/>
      </c>
      <c r="D224" s="447" t="str">
        <f>IF($B224="","",IFERROR(INDEX('E2 — Triagem'!$D$8:$D$507,MATCH($B224,'E2 — Triagem'!$B$8:$B$507,0)),""))</f>
        <v/>
      </c>
      <c r="E224" s="447"/>
      <c r="F224" s="447"/>
      <c r="G224" s="447"/>
      <c r="H224" s="447"/>
      <c r="I224" s="447"/>
      <c r="J224" s="447"/>
      <c r="K224" s="194" t="str">
        <f t="shared" si="4"/>
        <v/>
      </c>
      <c r="L224" s="448"/>
      <c r="M224" s="448"/>
      <c r="N224" s="449" t="str">
        <f>IF(B224="","",IF('E5 — Validação'!M224="✅ Aprovado sem Ajustes","Não",IF(OR('E5 — Validação'!M224="⚠️ Aprovado com Ajustes",'E5 — Validação'!M224="❌ Reprovado"),"Sim","")))</f>
        <v/>
      </c>
    </row>
    <row r="225" spans="2:14" x14ac:dyDescent="0.35">
      <c r="B225" s="445" t="str">
        <f>IF(Lançamentos!$B220="","",Lançamentos!$B220)</f>
        <v/>
      </c>
      <c r="C225" s="446" t="str">
        <f>IF($B225="","",IFERROR(INDEX(Lançamentos!$J$3:$J$1001,MATCH($B225,Lançamentos!$B$3:$B$1001,0)),""))</f>
        <v/>
      </c>
      <c r="D225" s="447" t="str">
        <f>IF($B225="","",IFERROR(INDEX('E2 — Triagem'!$D$8:$D$507,MATCH($B225,'E2 — Triagem'!$B$8:$B$507,0)),""))</f>
        <v/>
      </c>
      <c r="E225" s="447"/>
      <c r="F225" s="447"/>
      <c r="G225" s="447"/>
      <c r="H225" s="447"/>
      <c r="I225" s="447"/>
      <c r="J225" s="447"/>
      <c r="K225" s="194" t="str">
        <f t="shared" si="4"/>
        <v/>
      </c>
      <c r="L225" s="448"/>
      <c r="M225" s="448"/>
      <c r="N225" s="449" t="str">
        <f>IF(B225="","",IF('E5 — Validação'!M225="✅ Aprovado sem Ajustes","Não",IF(OR('E5 — Validação'!M225="⚠️ Aprovado com Ajustes",'E5 — Validação'!M225="❌ Reprovado"),"Sim","")))</f>
        <v/>
      </c>
    </row>
    <row r="226" spans="2:14" x14ac:dyDescent="0.35">
      <c r="B226" s="445" t="str">
        <f>IF(Lançamentos!$B221="","",Lançamentos!$B221)</f>
        <v/>
      </c>
      <c r="C226" s="446" t="str">
        <f>IF($B226="","",IFERROR(INDEX(Lançamentos!$J$3:$J$1001,MATCH($B226,Lançamentos!$B$3:$B$1001,0)),""))</f>
        <v/>
      </c>
      <c r="D226" s="447" t="str">
        <f>IF($B226="","",IFERROR(INDEX('E2 — Triagem'!$D$8:$D$507,MATCH($B226,'E2 — Triagem'!$B$8:$B$507,0)),""))</f>
        <v/>
      </c>
      <c r="E226" s="447"/>
      <c r="F226" s="447"/>
      <c r="G226" s="447"/>
      <c r="H226" s="447"/>
      <c r="I226" s="447"/>
      <c r="J226" s="447"/>
      <c r="K226" s="194" t="str">
        <f t="shared" si="4"/>
        <v/>
      </c>
      <c r="L226" s="448"/>
      <c r="M226" s="448"/>
      <c r="N226" s="449" t="str">
        <f>IF(B226="","",IF('E5 — Validação'!M226="✅ Aprovado sem Ajustes","Não",IF(OR('E5 — Validação'!M226="⚠️ Aprovado com Ajustes",'E5 — Validação'!M226="❌ Reprovado"),"Sim","")))</f>
        <v/>
      </c>
    </row>
    <row r="227" spans="2:14" x14ac:dyDescent="0.35">
      <c r="B227" s="445" t="str">
        <f>IF(Lançamentos!$B222="","",Lançamentos!$B222)</f>
        <v/>
      </c>
      <c r="C227" s="446" t="str">
        <f>IF($B227="","",IFERROR(INDEX(Lançamentos!$J$3:$J$1001,MATCH($B227,Lançamentos!$B$3:$B$1001,0)),""))</f>
        <v/>
      </c>
      <c r="D227" s="447" t="str">
        <f>IF($B227="","",IFERROR(INDEX('E2 — Triagem'!$D$8:$D$507,MATCH($B227,'E2 — Triagem'!$B$8:$B$507,0)),""))</f>
        <v/>
      </c>
      <c r="E227" s="447"/>
      <c r="F227" s="447"/>
      <c r="G227" s="447"/>
      <c r="H227" s="447"/>
      <c r="I227" s="447"/>
      <c r="J227" s="447"/>
      <c r="K227" s="194" t="str">
        <f t="shared" si="4"/>
        <v/>
      </c>
      <c r="L227" s="448"/>
      <c r="M227" s="448"/>
      <c r="N227" s="449" t="str">
        <f>IF(B227="","",IF('E5 — Validação'!M227="✅ Aprovado sem Ajustes","Não",IF(OR('E5 — Validação'!M227="⚠️ Aprovado com Ajustes",'E5 — Validação'!M227="❌ Reprovado"),"Sim","")))</f>
        <v/>
      </c>
    </row>
    <row r="228" spans="2:14" x14ac:dyDescent="0.35">
      <c r="B228" s="445" t="str">
        <f>IF(Lançamentos!$B223="","",Lançamentos!$B223)</f>
        <v/>
      </c>
      <c r="C228" s="446" t="str">
        <f>IF($B228="","",IFERROR(INDEX(Lançamentos!$J$3:$J$1001,MATCH($B228,Lançamentos!$B$3:$B$1001,0)),""))</f>
        <v/>
      </c>
      <c r="D228" s="447" t="str">
        <f>IF($B228="","",IFERROR(INDEX('E2 — Triagem'!$D$8:$D$507,MATCH($B228,'E2 — Triagem'!$B$8:$B$507,0)),""))</f>
        <v/>
      </c>
      <c r="E228" s="447"/>
      <c r="F228" s="447"/>
      <c r="G228" s="447"/>
      <c r="H228" s="447"/>
      <c r="I228" s="447"/>
      <c r="J228" s="447"/>
      <c r="K228" s="194" t="str">
        <f t="shared" si="4"/>
        <v/>
      </c>
      <c r="L228" s="448"/>
      <c r="M228" s="448"/>
      <c r="N228" s="449" t="str">
        <f>IF(B228="","",IF('E5 — Validação'!M228="✅ Aprovado sem Ajustes","Não",IF(OR('E5 — Validação'!M228="⚠️ Aprovado com Ajustes",'E5 — Validação'!M228="❌ Reprovado"),"Sim","")))</f>
        <v/>
      </c>
    </row>
    <row r="229" spans="2:14" x14ac:dyDescent="0.35">
      <c r="B229" s="445" t="str">
        <f>IF(Lançamentos!$B224="","",Lançamentos!$B224)</f>
        <v/>
      </c>
      <c r="C229" s="446" t="str">
        <f>IF($B229="","",IFERROR(INDEX(Lançamentos!$J$3:$J$1001,MATCH($B229,Lançamentos!$B$3:$B$1001,0)),""))</f>
        <v/>
      </c>
      <c r="D229" s="447" t="str">
        <f>IF($B229="","",IFERROR(INDEX('E2 — Triagem'!$D$8:$D$507,MATCH($B229,'E2 — Triagem'!$B$8:$B$507,0)),""))</f>
        <v/>
      </c>
      <c r="E229" s="447"/>
      <c r="F229" s="447"/>
      <c r="G229" s="447"/>
      <c r="H229" s="447"/>
      <c r="I229" s="447"/>
      <c r="J229" s="447"/>
      <c r="K229" s="194" t="str">
        <f t="shared" si="4"/>
        <v/>
      </c>
      <c r="L229" s="448"/>
      <c r="M229" s="448"/>
      <c r="N229" s="449" t="str">
        <f>IF(B229="","",IF('E5 — Validação'!M229="✅ Aprovado sem Ajustes","Não",IF(OR('E5 — Validação'!M229="⚠️ Aprovado com Ajustes",'E5 — Validação'!M229="❌ Reprovado"),"Sim","")))</f>
        <v/>
      </c>
    </row>
    <row r="230" spans="2:14" x14ac:dyDescent="0.35">
      <c r="B230" s="445" t="str">
        <f>IF(Lançamentos!$B225="","",Lançamentos!$B225)</f>
        <v/>
      </c>
      <c r="C230" s="446" t="str">
        <f>IF($B230="","",IFERROR(INDEX(Lançamentos!$J$3:$J$1001,MATCH($B230,Lançamentos!$B$3:$B$1001,0)),""))</f>
        <v/>
      </c>
      <c r="D230" s="447" t="str">
        <f>IF($B230="","",IFERROR(INDEX('E2 — Triagem'!$D$8:$D$507,MATCH($B230,'E2 — Triagem'!$B$8:$B$507,0)),""))</f>
        <v/>
      </c>
      <c r="E230" s="447"/>
      <c r="F230" s="447"/>
      <c r="G230" s="447"/>
      <c r="H230" s="447"/>
      <c r="I230" s="447"/>
      <c r="J230" s="447"/>
      <c r="K230" s="194" t="str">
        <f t="shared" si="4"/>
        <v/>
      </c>
      <c r="L230" s="448"/>
      <c r="M230" s="448"/>
      <c r="N230" s="449" t="str">
        <f>IF(B230="","",IF('E5 — Validação'!M230="✅ Aprovado sem Ajustes","Não",IF(OR('E5 — Validação'!M230="⚠️ Aprovado com Ajustes",'E5 — Validação'!M230="❌ Reprovado"),"Sim","")))</f>
        <v/>
      </c>
    </row>
    <row r="231" spans="2:14" x14ac:dyDescent="0.35">
      <c r="B231" s="445" t="str">
        <f>IF(Lançamentos!$B226="","",Lançamentos!$B226)</f>
        <v/>
      </c>
      <c r="C231" s="446" t="str">
        <f>IF($B231="","",IFERROR(INDEX(Lançamentos!$J$3:$J$1001,MATCH($B231,Lançamentos!$B$3:$B$1001,0)),""))</f>
        <v/>
      </c>
      <c r="D231" s="447" t="str">
        <f>IF($B231="","",IFERROR(INDEX('E2 — Triagem'!$D$8:$D$507,MATCH($B231,'E2 — Triagem'!$B$8:$B$507,0)),""))</f>
        <v/>
      </c>
      <c r="E231" s="447"/>
      <c r="F231" s="447"/>
      <c r="G231" s="447"/>
      <c r="H231" s="447"/>
      <c r="I231" s="447"/>
      <c r="J231" s="447"/>
      <c r="K231" s="194" t="str">
        <f t="shared" si="4"/>
        <v/>
      </c>
      <c r="L231" s="448"/>
      <c r="M231" s="448"/>
      <c r="N231" s="449" t="str">
        <f>IF(B231="","",IF('E5 — Validação'!M231="✅ Aprovado sem Ajustes","Não",IF(OR('E5 — Validação'!M231="⚠️ Aprovado com Ajustes",'E5 — Validação'!M231="❌ Reprovado"),"Sim","")))</f>
        <v/>
      </c>
    </row>
    <row r="232" spans="2:14" x14ac:dyDescent="0.35">
      <c r="B232" s="445" t="str">
        <f>IF(Lançamentos!$B227="","",Lançamentos!$B227)</f>
        <v/>
      </c>
      <c r="C232" s="446" t="str">
        <f>IF($B232="","",IFERROR(INDEX(Lançamentos!$J$3:$J$1001,MATCH($B232,Lançamentos!$B$3:$B$1001,0)),""))</f>
        <v/>
      </c>
      <c r="D232" s="447" t="str">
        <f>IF($B232="","",IFERROR(INDEX('E2 — Triagem'!$D$8:$D$507,MATCH($B232,'E2 — Triagem'!$B$8:$B$507,0)),""))</f>
        <v/>
      </c>
      <c r="E232" s="447"/>
      <c r="F232" s="447"/>
      <c r="G232" s="447"/>
      <c r="H232" s="447"/>
      <c r="I232" s="447"/>
      <c r="J232" s="447"/>
      <c r="K232" s="194" t="str">
        <f t="shared" si="4"/>
        <v/>
      </c>
      <c r="L232" s="448"/>
      <c r="M232" s="448"/>
      <c r="N232" s="449" t="str">
        <f>IF(B232="","",IF('E5 — Validação'!M232="✅ Aprovado sem Ajustes","Não",IF(OR('E5 — Validação'!M232="⚠️ Aprovado com Ajustes",'E5 — Validação'!M232="❌ Reprovado"),"Sim","")))</f>
        <v/>
      </c>
    </row>
    <row r="233" spans="2:14" x14ac:dyDescent="0.35">
      <c r="B233" s="445" t="str">
        <f>IF(Lançamentos!$B228="","",Lançamentos!$B228)</f>
        <v/>
      </c>
      <c r="C233" s="446" t="str">
        <f>IF($B233="","",IFERROR(INDEX(Lançamentos!$J$3:$J$1001,MATCH($B233,Lançamentos!$B$3:$B$1001,0)),""))</f>
        <v/>
      </c>
      <c r="D233" s="447" t="str">
        <f>IF($B233="","",IFERROR(INDEX('E2 — Triagem'!$D$8:$D$507,MATCH($B233,'E2 — Triagem'!$B$8:$B$507,0)),""))</f>
        <v/>
      </c>
      <c r="E233" s="447"/>
      <c r="F233" s="447"/>
      <c r="G233" s="447"/>
      <c r="H233" s="447"/>
      <c r="I233" s="447"/>
      <c r="J233" s="447"/>
      <c r="K233" s="194" t="str">
        <f t="shared" si="4"/>
        <v/>
      </c>
      <c r="L233" s="448"/>
      <c r="M233" s="448"/>
      <c r="N233" s="449" t="str">
        <f>IF(B233="","",IF('E5 — Validação'!M233="✅ Aprovado sem Ajustes","Não",IF(OR('E5 — Validação'!M233="⚠️ Aprovado com Ajustes",'E5 — Validação'!M233="❌ Reprovado"),"Sim","")))</f>
        <v/>
      </c>
    </row>
    <row r="234" spans="2:14" x14ac:dyDescent="0.35">
      <c r="B234" s="445" t="str">
        <f>IF(Lançamentos!$B229="","",Lançamentos!$B229)</f>
        <v/>
      </c>
      <c r="C234" s="446" t="str">
        <f>IF($B234="","",IFERROR(INDEX(Lançamentos!$J$3:$J$1001,MATCH($B234,Lançamentos!$B$3:$B$1001,0)),""))</f>
        <v/>
      </c>
      <c r="D234" s="447" t="str">
        <f>IF($B234="","",IFERROR(INDEX('E2 — Triagem'!$D$8:$D$507,MATCH($B234,'E2 — Triagem'!$B$8:$B$507,0)),""))</f>
        <v/>
      </c>
      <c r="E234" s="447"/>
      <c r="F234" s="447"/>
      <c r="G234" s="447"/>
      <c r="H234" s="447"/>
      <c r="I234" s="447"/>
      <c r="J234" s="447"/>
      <c r="K234" s="194" t="str">
        <f t="shared" si="4"/>
        <v/>
      </c>
      <c r="L234" s="448"/>
      <c r="M234" s="448"/>
      <c r="N234" s="449" t="str">
        <f>IF(B234="","",IF('E5 — Validação'!M234="✅ Aprovado sem Ajustes","Não",IF(OR('E5 — Validação'!M234="⚠️ Aprovado com Ajustes",'E5 — Validação'!M234="❌ Reprovado"),"Sim","")))</f>
        <v/>
      </c>
    </row>
    <row r="235" spans="2:14" x14ac:dyDescent="0.35">
      <c r="B235" s="445" t="str">
        <f>IF(Lançamentos!$B230="","",Lançamentos!$B230)</f>
        <v/>
      </c>
      <c r="C235" s="446" t="str">
        <f>IF($B235="","",IFERROR(INDEX(Lançamentos!$J$3:$J$1001,MATCH($B235,Lançamentos!$B$3:$B$1001,0)),""))</f>
        <v/>
      </c>
      <c r="D235" s="447" t="str">
        <f>IF($B235="","",IFERROR(INDEX('E2 — Triagem'!$D$8:$D$507,MATCH($B235,'E2 — Triagem'!$B$8:$B$507,0)),""))</f>
        <v/>
      </c>
      <c r="E235" s="447"/>
      <c r="F235" s="447"/>
      <c r="G235" s="447"/>
      <c r="H235" s="447"/>
      <c r="I235" s="447"/>
      <c r="J235" s="447"/>
      <c r="K235" s="194" t="str">
        <f t="shared" si="4"/>
        <v/>
      </c>
      <c r="L235" s="448"/>
      <c r="M235" s="448"/>
      <c r="N235" s="449" t="str">
        <f>IF(B235="","",IF('E5 — Validação'!M235="✅ Aprovado sem Ajustes","Não",IF(OR('E5 — Validação'!M235="⚠️ Aprovado com Ajustes",'E5 — Validação'!M235="❌ Reprovado"),"Sim","")))</f>
        <v/>
      </c>
    </row>
    <row r="236" spans="2:14" x14ac:dyDescent="0.35">
      <c r="B236" s="445" t="str">
        <f>IF(Lançamentos!$B231="","",Lançamentos!$B231)</f>
        <v/>
      </c>
      <c r="C236" s="446" t="str">
        <f>IF($B236="","",IFERROR(INDEX(Lançamentos!$J$3:$J$1001,MATCH($B236,Lançamentos!$B$3:$B$1001,0)),""))</f>
        <v/>
      </c>
      <c r="D236" s="447" t="str">
        <f>IF($B236="","",IFERROR(INDEX('E2 — Triagem'!$D$8:$D$507,MATCH($B236,'E2 — Triagem'!$B$8:$B$507,0)),""))</f>
        <v/>
      </c>
      <c r="E236" s="447"/>
      <c r="F236" s="447"/>
      <c r="G236" s="447"/>
      <c r="H236" s="447"/>
      <c r="I236" s="447"/>
      <c r="J236" s="447"/>
      <c r="K236" s="194" t="str">
        <f t="shared" si="4"/>
        <v/>
      </c>
      <c r="L236" s="448"/>
      <c r="M236" s="448"/>
      <c r="N236" s="449" t="str">
        <f>IF(B236="","",IF('E5 — Validação'!M236="✅ Aprovado sem Ajustes","Não",IF(OR('E5 — Validação'!M236="⚠️ Aprovado com Ajustes",'E5 — Validação'!M236="❌ Reprovado"),"Sim","")))</f>
        <v/>
      </c>
    </row>
    <row r="237" spans="2:14" x14ac:dyDescent="0.35">
      <c r="B237" s="445" t="str">
        <f>IF(Lançamentos!$B232="","",Lançamentos!$B232)</f>
        <v/>
      </c>
      <c r="C237" s="446" t="str">
        <f>IF($B237="","",IFERROR(INDEX(Lançamentos!$J$3:$J$1001,MATCH($B237,Lançamentos!$B$3:$B$1001,0)),""))</f>
        <v/>
      </c>
      <c r="D237" s="447" t="str">
        <f>IF($B237="","",IFERROR(INDEX('E2 — Triagem'!$D$8:$D$507,MATCH($B237,'E2 — Triagem'!$B$8:$B$507,0)),""))</f>
        <v/>
      </c>
      <c r="E237" s="447"/>
      <c r="F237" s="447"/>
      <c r="G237" s="447"/>
      <c r="H237" s="447"/>
      <c r="I237" s="447"/>
      <c r="J237" s="447"/>
      <c r="K237" s="194" t="str">
        <f t="shared" si="4"/>
        <v/>
      </c>
      <c r="L237" s="448"/>
      <c r="M237" s="448"/>
      <c r="N237" s="449" t="str">
        <f>IF(B237="","",IF('E5 — Validação'!M237="✅ Aprovado sem Ajustes","Não",IF(OR('E5 — Validação'!M237="⚠️ Aprovado com Ajustes",'E5 — Validação'!M237="❌ Reprovado"),"Sim","")))</f>
        <v/>
      </c>
    </row>
    <row r="238" spans="2:14" x14ac:dyDescent="0.35">
      <c r="B238" s="445" t="str">
        <f>IF(Lançamentos!$B233="","",Lançamentos!$B233)</f>
        <v/>
      </c>
      <c r="C238" s="446" t="str">
        <f>IF($B238="","",IFERROR(INDEX(Lançamentos!$J$3:$J$1001,MATCH($B238,Lançamentos!$B$3:$B$1001,0)),""))</f>
        <v/>
      </c>
      <c r="D238" s="447" t="str">
        <f>IF($B238="","",IFERROR(INDEX('E2 — Triagem'!$D$8:$D$507,MATCH($B238,'E2 — Triagem'!$B$8:$B$507,0)),""))</f>
        <v/>
      </c>
      <c r="E238" s="447"/>
      <c r="F238" s="447"/>
      <c r="G238" s="447"/>
      <c r="H238" s="447"/>
      <c r="I238" s="447"/>
      <c r="J238" s="447"/>
      <c r="K238" s="194" t="str">
        <f t="shared" si="4"/>
        <v/>
      </c>
      <c r="L238" s="448"/>
      <c r="M238" s="448"/>
      <c r="N238" s="449" t="str">
        <f>IF(B238="","",IF('E5 — Validação'!M238="✅ Aprovado sem Ajustes","Não",IF(OR('E5 — Validação'!M238="⚠️ Aprovado com Ajustes",'E5 — Validação'!M238="❌ Reprovado"),"Sim","")))</f>
        <v/>
      </c>
    </row>
    <row r="239" spans="2:14" x14ac:dyDescent="0.35">
      <c r="B239" s="445" t="str">
        <f>IF(Lançamentos!$B234="","",Lançamentos!$B234)</f>
        <v/>
      </c>
      <c r="C239" s="446" t="str">
        <f>IF($B239="","",IFERROR(INDEX(Lançamentos!$J$3:$J$1001,MATCH($B239,Lançamentos!$B$3:$B$1001,0)),""))</f>
        <v/>
      </c>
      <c r="D239" s="447" t="str">
        <f>IF($B239="","",IFERROR(INDEX('E2 — Triagem'!$D$8:$D$507,MATCH($B239,'E2 — Triagem'!$B$8:$B$507,0)),""))</f>
        <v/>
      </c>
      <c r="E239" s="447"/>
      <c r="F239" s="447"/>
      <c r="G239" s="447"/>
      <c r="H239" s="447"/>
      <c r="I239" s="447"/>
      <c r="J239" s="447"/>
      <c r="K239" s="194" t="str">
        <f t="shared" si="4"/>
        <v/>
      </c>
      <c r="L239" s="448"/>
      <c r="M239" s="448"/>
      <c r="N239" s="449" t="str">
        <f>IF(B239="","",IF('E5 — Validação'!M239="✅ Aprovado sem Ajustes","Não",IF(OR('E5 — Validação'!M239="⚠️ Aprovado com Ajustes",'E5 — Validação'!M239="❌ Reprovado"),"Sim","")))</f>
        <v/>
      </c>
    </row>
    <row r="240" spans="2:14" x14ac:dyDescent="0.35">
      <c r="B240" s="445" t="str">
        <f>IF(Lançamentos!$B235="","",Lançamentos!$B235)</f>
        <v/>
      </c>
      <c r="C240" s="446" t="str">
        <f>IF($B240="","",IFERROR(INDEX(Lançamentos!$J$3:$J$1001,MATCH($B240,Lançamentos!$B$3:$B$1001,0)),""))</f>
        <v/>
      </c>
      <c r="D240" s="447" t="str">
        <f>IF($B240="","",IFERROR(INDEX('E2 — Triagem'!$D$8:$D$507,MATCH($B240,'E2 — Triagem'!$B$8:$B$507,0)),""))</f>
        <v/>
      </c>
      <c r="E240" s="447"/>
      <c r="F240" s="447"/>
      <c r="G240" s="447"/>
      <c r="H240" s="447"/>
      <c r="I240" s="447"/>
      <c r="J240" s="447"/>
      <c r="K240" s="194" t="str">
        <f t="shared" si="4"/>
        <v/>
      </c>
      <c r="L240" s="448"/>
      <c r="M240" s="448"/>
      <c r="N240" s="449" t="str">
        <f>IF(B240="","",IF('E5 — Validação'!M240="✅ Aprovado sem Ajustes","Não",IF(OR('E5 — Validação'!M240="⚠️ Aprovado com Ajustes",'E5 — Validação'!M240="❌ Reprovado"),"Sim","")))</f>
        <v/>
      </c>
    </row>
    <row r="241" spans="2:14" x14ac:dyDescent="0.35">
      <c r="B241" s="445" t="str">
        <f>IF(Lançamentos!$B236="","",Lançamentos!$B236)</f>
        <v/>
      </c>
      <c r="C241" s="446" t="str">
        <f>IF($B241="","",IFERROR(INDEX(Lançamentos!$J$3:$J$1001,MATCH($B241,Lançamentos!$B$3:$B$1001,0)),""))</f>
        <v/>
      </c>
      <c r="D241" s="447" t="str">
        <f>IF($B241="","",IFERROR(INDEX('E2 — Triagem'!$D$8:$D$507,MATCH($B241,'E2 — Triagem'!$B$8:$B$507,0)),""))</f>
        <v/>
      </c>
      <c r="E241" s="447"/>
      <c r="F241" s="447"/>
      <c r="G241" s="447"/>
      <c r="H241" s="447"/>
      <c r="I241" s="447"/>
      <c r="J241" s="447"/>
      <c r="K241" s="194" t="str">
        <f t="shared" si="4"/>
        <v/>
      </c>
      <c r="L241" s="448"/>
      <c r="M241" s="448"/>
      <c r="N241" s="449" t="str">
        <f>IF(B241="","",IF('E5 — Validação'!M241="✅ Aprovado sem Ajustes","Não",IF(OR('E5 — Validação'!M241="⚠️ Aprovado com Ajustes",'E5 — Validação'!M241="❌ Reprovado"),"Sim","")))</f>
        <v/>
      </c>
    </row>
    <row r="242" spans="2:14" x14ac:dyDescent="0.35">
      <c r="B242" s="445" t="str">
        <f>IF(Lançamentos!$B237="","",Lançamentos!$B237)</f>
        <v/>
      </c>
      <c r="C242" s="446" t="str">
        <f>IF($B242="","",IFERROR(INDEX(Lançamentos!$J$3:$J$1001,MATCH($B242,Lançamentos!$B$3:$B$1001,0)),""))</f>
        <v/>
      </c>
      <c r="D242" s="447" t="str">
        <f>IF($B242="","",IFERROR(INDEX('E2 — Triagem'!$D$8:$D$507,MATCH($B242,'E2 — Triagem'!$B$8:$B$507,0)),""))</f>
        <v/>
      </c>
      <c r="E242" s="447"/>
      <c r="F242" s="447"/>
      <c r="G242" s="447"/>
      <c r="H242" s="447"/>
      <c r="I242" s="447"/>
      <c r="J242" s="447"/>
      <c r="K242" s="194" t="str">
        <f t="shared" si="4"/>
        <v/>
      </c>
      <c r="L242" s="448"/>
      <c r="M242" s="448"/>
      <c r="N242" s="449" t="str">
        <f>IF(B242="","",IF('E5 — Validação'!M242="✅ Aprovado sem Ajustes","Não",IF(OR('E5 — Validação'!M242="⚠️ Aprovado com Ajustes",'E5 — Validação'!M242="❌ Reprovado"),"Sim","")))</f>
        <v/>
      </c>
    </row>
    <row r="243" spans="2:14" x14ac:dyDescent="0.35">
      <c r="B243" s="445" t="str">
        <f>IF(Lançamentos!$B238="","",Lançamentos!$B238)</f>
        <v/>
      </c>
      <c r="C243" s="446" t="str">
        <f>IF($B243="","",IFERROR(INDEX(Lançamentos!$J$3:$J$1001,MATCH($B243,Lançamentos!$B$3:$B$1001,0)),""))</f>
        <v/>
      </c>
      <c r="D243" s="447" t="str">
        <f>IF($B243="","",IFERROR(INDEX('E2 — Triagem'!$D$8:$D$507,MATCH($B243,'E2 — Triagem'!$B$8:$B$507,0)),""))</f>
        <v/>
      </c>
      <c r="E243" s="447"/>
      <c r="F243" s="447"/>
      <c r="G243" s="447"/>
      <c r="H243" s="447"/>
      <c r="I243" s="447"/>
      <c r="J243" s="447"/>
      <c r="K243" s="194" t="str">
        <f t="shared" si="4"/>
        <v/>
      </c>
      <c r="L243" s="448"/>
      <c r="M243" s="448"/>
      <c r="N243" s="449" t="str">
        <f>IF(B243="","",IF('E5 — Validação'!M243="✅ Aprovado sem Ajustes","Não",IF(OR('E5 — Validação'!M243="⚠️ Aprovado com Ajustes",'E5 — Validação'!M243="❌ Reprovado"),"Sim","")))</f>
        <v/>
      </c>
    </row>
    <row r="244" spans="2:14" x14ac:dyDescent="0.35">
      <c r="B244" s="445" t="str">
        <f>IF(Lançamentos!$B239="","",Lançamentos!$B239)</f>
        <v/>
      </c>
      <c r="C244" s="446" t="str">
        <f>IF($B244="","",IFERROR(INDEX(Lançamentos!$J$3:$J$1001,MATCH($B244,Lançamentos!$B$3:$B$1001,0)),""))</f>
        <v/>
      </c>
      <c r="D244" s="447" t="str">
        <f>IF($B244="","",IFERROR(INDEX('E2 — Triagem'!$D$8:$D$507,MATCH($B244,'E2 — Triagem'!$B$8:$B$507,0)),""))</f>
        <v/>
      </c>
      <c r="E244" s="447"/>
      <c r="F244" s="447"/>
      <c r="G244" s="447"/>
      <c r="H244" s="447"/>
      <c r="I244" s="447"/>
      <c r="J244" s="447"/>
      <c r="K244" s="194" t="str">
        <f t="shared" si="4"/>
        <v/>
      </c>
      <c r="L244" s="448"/>
      <c r="M244" s="448"/>
      <c r="N244" s="449" t="str">
        <f>IF(B244="","",IF('E5 — Validação'!M244="✅ Aprovado sem Ajustes","Não",IF(OR('E5 — Validação'!M244="⚠️ Aprovado com Ajustes",'E5 — Validação'!M244="❌ Reprovado"),"Sim","")))</f>
        <v/>
      </c>
    </row>
    <row r="245" spans="2:14" x14ac:dyDescent="0.35">
      <c r="B245" s="445" t="str">
        <f>IF(Lançamentos!$B240="","",Lançamentos!$B240)</f>
        <v/>
      </c>
      <c r="C245" s="446" t="str">
        <f>IF($B245="","",IFERROR(INDEX(Lançamentos!$J$3:$J$1001,MATCH($B245,Lançamentos!$B$3:$B$1001,0)),""))</f>
        <v/>
      </c>
      <c r="D245" s="447" t="str">
        <f>IF($B245="","",IFERROR(INDEX('E2 — Triagem'!$D$8:$D$507,MATCH($B245,'E2 — Triagem'!$B$8:$B$507,0)),""))</f>
        <v/>
      </c>
      <c r="E245" s="447"/>
      <c r="F245" s="447"/>
      <c r="G245" s="447"/>
      <c r="H245" s="447"/>
      <c r="I245" s="447"/>
      <c r="J245" s="447"/>
      <c r="K245" s="194" t="str">
        <f t="shared" si="4"/>
        <v/>
      </c>
      <c r="L245" s="448"/>
      <c r="M245" s="448"/>
      <c r="N245" s="449" t="str">
        <f>IF(B245="","",IF('E5 — Validação'!M245="✅ Aprovado sem Ajustes","Não",IF(OR('E5 — Validação'!M245="⚠️ Aprovado com Ajustes",'E5 — Validação'!M245="❌ Reprovado"),"Sim","")))</f>
        <v/>
      </c>
    </row>
    <row r="246" spans="2:14" x14ac:dyDescent="0.35">
      <c r="B246" s="445" t="str">
        <f>IF(Lançamentos!$B241="","",Lançamentos!$B241)</f>
        <v/>
      </c>
      <c r="C246" s="446" t="str">
        <f>IF($B246="","",IFERROR(INDEX(Lançamentos!$J$3:$J$1001,MATCH($B246,Lançamentos!$B$3:$B$1001,0)),""))</f>
        <v/>
      </c>
      <c r="D246" s="447" t="str">
        <f>IF($B246="","",IFERROR(INDEX('E2 — Triagem'!$D$8:$D$507,MATCH($B246,'E2 — Triagem'!$B$8:$B$507,0)),""))</f>
        <v/>
      </c>
      <c r="E246" s="447"/>
      <c r="F246" s="447"/>
      <c r="G246" s="447"/>
      <c r="H246" s="447"/>
      <c r="I246" s="447"/>
      <c r="J246" s="447"/>
      <c r="K246" s="194" t="str">
        <f t="shared" si="4"/>
        <v/>
      </c>
      <c r="L246" s="448"/>
      <c r="M246" s="448"/>
      <c r="N246" s="449" t="str">
        <f>IF(B246="","",IF('E5 — Validação'!M246="✅ Aprovado sem Ajustes","Não",IF(OR('E5 — Validação'!M246="⚠️ Aprovado com Ajustes",'E5 — Validação'!M246="❌ Reprovado"),"Sim","")))</f>
        <v/>
      </c>
    </row>
    <row r="247" spans="2:14" x14ac:dyDescent="0.35">
      <c r="B247" s="445" t="str">
        <f>IF(Lançamentos!$B242="","",Lançamentos!$B242)</f>
        <v/>
      </c>
      <c r="C247" s="446" t="str">
        <f>IF($B247="","",IFERROR(INDEX(Lançamentos!$J$3:$J$1001,MATCH($B247,Lançamentos!$B$3:$B$1001,0)),""))</f>
        <v/>
      </c>
      <c r="D247" s="447" t="str">
        <f>IF($B247="","",IFERROR(INDEX('E2 — Triagem'!$D$8:$D$507,MATCH($B247,'E2 — Triagem'!$B$8:$B$507,0)),""))</f>
        <v/>
      </c>
      <c r="E247" s="447"/>
      <c r="F247" s="447"/>
      <c r="G247" s="447"/>
      <c r="H247" s="447"/>
      <c r="I247" s="447"/>
      <c r="J247" s="447"/>
      <c r="K247" s="194" t="str">
        <f t="shared" si="4"/>
        <v/>
      </c>
      <c r="L247" s="448"/>
      <c r="M247" s="448"/>
      <c r="N247" s="449" t="str">
        <f>IF(B247="","",IF('E5 — Validação'!M247="✅ Aprovado sem Ajustes","Não",IF(OR('E5 — Validação'!M247="⚠️ Aprovado com Ajustes",'E5 — Validação'!M247="❌ Reprovado"),"Sim","")))</f>
        <v/>
      </c>
    </row>
    <row r="248" spans="2:14" x14ac:dyDescent="0.35">
      <c r="B248" s="445" t="str">
        <f>IF(Lançamentos!$B243="","",Lançamentos!$B243)</f>
        <v/>
      </c>
      <c r="C248" s="446" t="str">
        <f>IF($B248="","",IFERROR(INDEX(Lançamentos!$J$3:$J$1001,MATCH($B248,Lançamentos!$B$3:$B$1001,0)),""))</f>
        <v/>
      </c>
      <c r="D248" s="447" t="str">
        <f>IF($B248="","",IFERROR(INDEX('E2 — Triagem'!$D$8:$D$507,MATCH($B248,'E2 — Triagem'!$B$8:$B$507,0)),""))</f>
        <v/>
      </c>
      <c r="E248" s="447"/>
      <c r="F248" s="447"/>
      <c r="G248" s="447"/>
      <c r="H248" s="447"/>
      <c r="I248" s="447"/>
      <c r="J248" s="447"/>
      <c r="K248" s="194" t="str">
        <f t="shared" si="4"/>
        <v/>
      </c>
      <c r="L248" s="448"/>
      <c r="M248" s="448"/>
      <c r="N248" s="449" t="str">
        <f>IF(B248="","",IF('E5 — Validação'!M248="✅ Aprovado sem Ajustes","Não",IF(OR('E5 — Validação'!M248="⚠️ Aprovado com Ajustes",'E5 — Validação'!M248="❌ Reprovado"),"Sim","")))</f>
        <v/>
      </c>
    </row>
    <row r="249" spans="2:14" x14ac:dyDescent="0.35">
      <c r="B249" s="445" t="str">
        <f>IF(Lançamentos!$B244="","",Lançamentos!$B244)</f>
        <v/>
      </c>
      <c r="C249" s="446" t="str">
        <f>IF($B249="","",IFERROR(INDEX(Lançamentos!$J$3:$J$1001,MATCH($B249,Lançamentos!$B$3:$B$1001,0)),""))</f>
        <v/>
      </c>
      <c r="D249" s="447" t="str">
        <f>IF($B249="","",IFERROR(INDEX('E2 — Triagem'!$D$8:$D$507,MATCH($B249,'E2 — Triagem'!$B$8:$B$507,0)),""))</f>
        <v/>
      </c>
      <c r="E249" s="447"/>
      <c r="F249" s="447"/>
      <c r="G249" s="447"/>
      <c r="H249" s="447"/>
      <c r="I249" s="447"/>
      <c r="J249" s="447"/>
      <c r="K249" s="194" t="str">
        <f t="shared" si="4"/>
        <v/>
      </c>
      <c r="L249" s="448"/>
      <c r="M249" s="448"/>
      <c r="N249" s="449" t="str">
        <f>IF(B249="","",IF('E5 — Validação'!M249="✅ Aprovado sem Ajustes","Não",IF(OR('E5 — Validação'!M249="⚠️ Aprovado com Ajustes",'E5 — Validação'!M249="❌ Reprovado"),"Sim","")))</f>
        <v/>
      </c>
    </row>
    <row r="250" spans="2:14" x14ac:dyDescent="0.35">
      <c r="B250" s="445" t="str">
        <f>IF(Lançamentos!$B245="","",Lançamentos!$B245)</f>
        <v/>
      </c>
      <c r="C250" s="446" t="str">
        <f>IF($B250="","",IFERROR(INDEX(Lançamentos!$J$3:$J$1001,MATCH($B250,Lançamentos!$B$3:$B$1001,0)),""))</f>
        <v/>
      </c>
      <c r="D250" s="447" t="str">
        <f>IF($B250="","",IFERROR(INDEX('E2 — Triagem'!$D$8:$D$507,MATCH($B250,'E2 — Triagem'!$B$8:$B$507,0)),""))</f>
        <v/>
      </c>
      <c r="E250" s="447"/>
      <c r="F250" s="447"/>
      <c r="G250" s="447"/>
      <c r="H250" s="447"/>
      <c r="I250" s="447"/>
      <c r="J250" s="447"/>
      <c r="K250" s="194" t="str">
        <f t="shared" si="4"/>
        <v/>
      </c>
      <c r="L250" s="448"/>
      <c r="M250" s="448"/>
      <c r="N250" s="449" t="str">
        <f>IF(B250="","",IF('E5 — Validação'!M250="✅ Aprovado sem Ajustes","Não",IF(OR('E5 — Validação'!M250="⚠️ Aprovado com Ajustes",'E5 — Validação'!M250="❌ Reprovado"),"Sim","")))</f>
        <v/>
      </c>
    </row>
    <row r="251" spans="2:14" x14ac:dyDescent="0.35">
      <c r="B251" s="445" t="str">
        <f>IF(Lançamentos!$B246="","",Lançamentos!$B246)</f>
        <v/>
      </c>
      <c r="C251" s="446" t="str">
        <f>IF($B251="","",IFERROR(INDEX(Lançamentos!$J$3:$J$1001,MATCH($B251,Lançamentos!$B$3:$B$1001,0)),""))</f>
        <v/>
      </c>
      <c r="D251" s="447" t="str">
        <f>IF($B251="","",IFERROR(INDEX('E2 — Triagem'!$D$8:$D$507,MATCH($B251,'E2 — Triagem'!$B$8:$B$507,0)),""))</f>
        <v/>
      </c>
      <c r="E251" s="447"/>
      <c r="F251" s="447"/>
      <c r="G251" s="447"/>
      <c r="H251" s="447"/>
      <c r="I251" s="447"/>
      <c r="J251" s="447"/>
      <c r="K251" s="194" t="str">
        <f t="shared" si="4"/>
        <v/>
      </c>
      <c r="L251" s="448"/>
      <c r="M251" s="448"/>
      <c r="N251" s="449" t="str">
        <f>IF(B251="","",IF('E5 — Validação'!M251="✅ Aprovado sem Ajustes","Não",IF(OR('E5 — Validação'!M251="⚠️ Aprovado com Ajustes",'E5 — Validação'!M251="❌ Reprovado"),"Sim","")))</f>
        <v/>
      </c>
    </row>
    <row r="252" spans="2:14" x14ac:dyDescent="0.35">
      <c r="B252" s="445" t="str">
        <f>IF(Lançamentos!$B247="","",Lançamentos!$B247)</f>
        <v/>
      </c>
      <c r="C252" s="446" t="str">
        <f>IF($B252="","",IFERROR(INDEX(Lançamentos!$J$3:$J$1001,MATCH($B252,Lançamentos!$B$3:$B$1001,0)),""))</f>
        <v/>
      </c>
      <c r="D252" s="447" t="str">
        <f>IF($B252="","",IFERROR(INDEX('E2 — Triagem'!$D$8:$D$507,MATCH($B252,'E2 — Triagem'!$B$8:$B$507,0)),""))</f>
        <v/>
      </c>
      <c r="E252" s="447"/>
      <c r="F252" s="447"/>
      <c r="G252" s="447"/>
      <c r="H252" s="447"/>
      <c r="I252" s="447"/>
      <c r="J252" s="447"/>
      <c r="K252" s="194" t="str">
        <f t="shared" si="4"/>
        <v/>
      </c>
      <c r="L252" s="448"/>
      <c r="M252" s="448"/>
      <c r="N252" s="449" t="str">
        <f>IF(B252="","",IF('E5 — Validação'!M252="✅ Aprovado sem Ajustes","Não",IF(OR('E5 — Validação'!M252="⚠️ Aprovado com Ajustes",'E5 — Validação'!M252="❌ Reprovado"),"Sim","")))</f>
        <v/>
      </c>
    </row>
    <row r="253" spans="2:14" x14ac:dyDescent="0.35">
      <c r="B253" s="445" t="str">
        <f>IF(Lançamentos!$B248="","",Lançamentos!$B248)</f>
        <v/>
      </c>
      <c r="C253" s="446" t="str">
        <f>IF($B253="","",IFERROR(INDEX(Lançamentos!$J$3:$J$1001,MATCH($B253,Lançamentos!$B$3:$B$1001,0)),""))</f>
        <v/>
      </c>
      <c r="D253" s="447" t="str">
        <f>IF($B253="","",IFERROR(INDEX('E2 — Triagem'!$D$8:$D$507,MATCH($B253,'E2 — Triagem'!$B$8:$B$507,0)),""))</f>
        <v/>
      </c>
      <c r="E253" s="447"/>
      <c r="F253" s="447"/>
      <c r="G253" s="447"/>
      <c r="H253" s="447"/>
      <c r="I253" s="447"/>
      <c r="J253" s="447"/>
      <c r="K253" s="194" t="str">
        <f t="shared" si="4"/>
        <v/>
      </c>
      <c r="L253" s="448"/>
      <c r="M253" s="448"/>
      <c r="N253" s="449" t="str">
        <f>IF(B253="","",IF('E5 — Validação'!M253="✅ Aprovado sem Ajustes","Não",IF(OR('E5 — Validação'!M253="⚠️ Aprovado com Ajustes",'E5 — Validação'!M253="❌ Reprovado"),"Sim","")))</f>
        <v/>
      </c>
    </row>
    <row r="254" spans="2:14" x14ac:dyDescent="0.35">
      <c r="B254" s="445" t="str">
        <f>IF(Lançamentos!$B249="","",Lançamentos!$B249)</f>
        <v/>
      </c>
      <c r="C254" s="446" t="str">
        <f>IF($B254="","",IFERROR(INDEX(Lançamentos!$J$3:$J$1001,MATCH($B254,Lançamentos!$B$3:$B$1001,0)),""))</f>
        <v/>
      </c>
      <c r="D254" s="447" t="str">
        <f>IF($B254="","",IFERROR(INDEX('E2 — Triagem'!$D$8:$D$507,MATCH($B254,'E2 — Triagem'!$B$8:$B$507,0)),""))</f>
        <v/>
      </c>
      <c r="E254" s="447"/>
      <c r="F254" s="447"/>
      <c r="G254" s="447"/>
      <c r="H254" s="447"/>
      <c r="I254" s="447"/>
      <c r="J254" s="447"/>
      <c r="K254" s="194" t="str">
        <f t="shared" si="4"/>
        <v/>
      </c>
      <c r="L254" s="448"/>
      <c r="M254" s="448"/>
      <c r="N254" s="449" t="str">
        <f>IF(B254="","",IF('E5 — Validação'!M254="✅ Aprovado sem Ajustes","Não",IF(OR('E5 — Validação'!M254="⚠️ Aprovado com Ajustes",'E5 — Validação'!M254="❌ Reprovado"),"Sim","")))</f>
        <v/>
      </c>
    </row>
    <row r="255" spans="2:14" x14ac:dyDescent="0.35">
      <c r="B255" s="445" t="str">
        <f>IF(Lançamentos!$B250="","",Lançamentos!$B250)</f>
        <v/>
      </c>
      <c r="C255" s="446" t="str">
        <f>IF($B255="","",IFERROR(INDEX(Lançamentos!$J$3:$J$1001,MATCH($B255,Lançamentos!$B$3:$B$1001,0)),""))</f>
        <v/>
      </c>
      <c r="D255" s="447" t="str">
        <f>IF($B255="","",IFERROR(INDEX('E2 — Triagem'!$D$8:$D$507,MATCH($B255,'E2 — Triagem'!$B$8:$B$507,0)),""))</f>
        <v/>
      </c>
      <c r="E255" s="447"/>
      <c r="F255" s="447"/>
      <c r="G255" s="447"/>
      <c r="H255" s="447"/>
      <c r="I255" s="447"/>
      <c r="J255" s="447"/>
      <c r="K255" s="194" t="str">
        <f t="shared" si="4"/>
        <v/>
      </c>
      <c r="L255" s="448"/>
      <c r="M255" s="448"/>
      <c r="N255" s="449" t="str">
        <f>IF(B255="","",IF('E5 — Validação'!M255="✅ Aprovado sem Ajustes","Não",IF(OR('E5 — Validação'!M255="⚠️ Aprovado com Ajustes",'E5 — Validação'!M255="❌ Reprovado"),"Sim","")))</f>
        <v/>
      </c>
    </row>
    <row r="256" spans="2:14" x14ac:dyDescent="0.35">
      <c r="B256" s="445" t="str">
        <f>IF(Lançamentos!$B251="","",Lançamentos!$B251)</f>
        <v/>
      </c>
      <c r="C256" s="446" t="str">
        <f>IF($B256="","",IFERROR(INDEX(Lançamentos!$J$3:$J$1001,MATCH($B256,Lançamentos!$B$3:$B$1001,0)),""))</f>
        <v/>
      </c>
      <c r="D256" s="447" t="str">
        <f>IF($B256="","",IFERROR(INDEX('E2 — Triagem'!$D$8:$D$507,MATCH($B256,'E2 — Triagem'!$B$8:$B$507,0)),""))</f>
        <v/>
      </c>
      <c r="E256" s="447"/>
      <c r="F256" s="447"/>
      <c r="G256" s="447"/>
      <c r="H256" s="447"/>
      <c r="I256" s="447"/>
      <c r="J256" s="447"/>
      <c r="K256" s="194" t="str">
        <f t="shared" si="4"/>
        <v/>
      </c>
      <c r="L256" s="448"/>
      <c r="M256" s="448"/>
      <c r="N256" s="449" t="str">
        <f>IF(B256="","",IF('E5 — Validação'!M256="✅ Aprovado sem Ajustes","Não",IF(OR('E5 — Validação'!M256="⚠️ Aprovado com Ajustes",'E5 — Validação'!M256="❌ Reprovado"),"Sim","")))</f>
        <v/>
      </c>
    </row>
    <row r="257" spans="2:14" x14ac:dyDescent="0.35">
      <c r="B257" s="445" t="str">
        <f>IF(Lançamentos!$B252="","",Lançamentos!$B252)</f>
        <v/>
      </c>
      <c r="C257" s="446" t="str">
        <f>IF($B257="","",IFERROR(INDEX(Lançamentos!$J$3:$J$1001,MATCH($B257,Lançamentos!$B$3:$B$1001,0)),""))</f>
        <v/>
      </c>
      <c r="D257" s="447" t="str">
        <f>IF($B257="","",IFERROR(INDEX('E2 — Triagem'!$D$8:$D$507,MATCH($B257,'E2 — Triagem'!$B$8:$B$507,0)),""))</f>
        <v/>
      </c>
      <c r="E257" s="447"/>
      <c r="F257" s="447"/>
      <c r="G257" s="447"/>
      <c r="H257" s="447"/>
      <c r="I257" s="447"/>
      <c r="J257" s="447"/>
      <c r="K257" s="194" t="str">
        <f t="shared" si="4"/>
        <v/>
      </c>
      <c r="L257" s="448"/>
      <c r="M257" s="448"/>
      <c r="N257" s="449" t="str">
        <f>IF(B257="","",IF('E5 — Validação'!M257="✅ Aprovado sem Ajustes","Não",IF(OR('E5 — Validação'!M257="⚠️ Aprovado com Ajustes",'E5 — Validação'!M257="❌ Reprovado"),"Sim","")))</f>
        <v/>
      </c>
    </row>
    <row r="258" spans="2:14" x14ac:dyDescent="0.35">
      <c r="B258" s="445" t="str">
        <f>IF(Lançamentos!$B253="","",Lançamentos!$B253)</f>
        <v/>
      </c>
      <c r="C258" s="446" t="str">
        <f>IF($B258="","",IFERROR(INDEX(Lançamentos!$J$3:$J$1001,MATCH($B258,Lançamentos!$B$3:$B$1001,0)),""))</f>
        <v/>
      </c>
      <c r="D258" s="447" t="str">
        <f>IF($B258="","",IFERROR(INDEX('E2 — Triagem'!$D$8:$D$507,MATCH($B258,'E2 — Triagem'!$B$8:$B$507,0)),""))</f>
        <v/>
      </c>
      <c r="E258" s="447"/>
      <c r="F258" s="447"/>
      <c r="G258" s="447"/>
      <c r="H258" s="447"/>
      <c r="I258" s="447"/>
      <c r="J258" s="447"/>
      <c r="K258" s="194" t="str">
        <f t="shared" si="4"/>
        <v/>
      </c>
      <c r="L258" s="448"/>
      <c r="M258" s="448"/>
      <c r="N258" s="449" t="str">
        <f>IF(B258="","",IF('E5 — Validação'!M258="✅ Aprovado sem Ajustes","Não",IF(OR('E5 — Validação'!M258="⚠️ Aprovado com Ajustes",'E5 — Validação'!M258="❌ Reprovado"),"Sim","")))</f>
        <v/>
      </c>
    </row>
    <row r="259" spans="2:14" x14ac:dyDescent="0.35">
      <c r="B259" s="445" t="str">
        <f>IF(Lançamentos!$B254="","",Lançamentos!$B254)</f>
        <v/>
      </c>
      <c r="C259" s="446" t="str">
        <f>IF($B259="","",IFERROR(INDEX(Lançamentos!$J$3:$J$1001,MATCH($B259,Lançamentos!$B$3:$B$1001,0)),""))</f>
        <v/>
      </c>
      <c r="D259" s="447" t="str">
        <f>IF($B259="","",IFERROR(INDEX('E2 — Triagem'!$D$8:$D$507,MATCH($B259,'E2 — Triagem'!$B$8:$B$507,0)),""))</f>
        <v/>
      </c>
      <c r="E259" s="447"/>
      <c r="F259" s="447"/>
      <c r="G259" s="447"/>
      <c r="H259" s="447"/>
      <c r="I259" s="447"/>
      <c r="J259" s="447"/>
      <c r="K259" s="194" t="str">
        <f t="shared" si="4"/>
        <v/>
      </c>
      <c r="L259" s="448"/>
      <c r="M259" s="448"/>
      <c r="N259" s="449" t="str">
        <f>IF(B259="","",IF('E5 — Validação'!M259="✅ Aprovado sem Ajustes","Não",IF(OR('E5 — Validação'!M259="⚠️ Aprovado com Ajustes",'E5 — Validação'!M259="❌ Reprovado"),"Sim","")))</f>
        <v/>
      </c>
    </row>
    <row r="260" spans="2:14" x14ac:dyDescent="0.35">
      <c r="B260" s="445" t="str">
        <f>IF(Lançamentos!$B255="","",Lançamentos!$B255)</f>
        <v/>
      </c>
      <c r="C260" s="446" t="str">
        <f>IF($B260="","",IFERROR(INDEX(Lançamentos!$J$3:$J$1001,MATCH($B260,Lançamentos!$B$3:$B$1001,0)),""))</f>
        <v/>
      </c>
      <c r="D260" s="447" t="str">
        <f>IF($B260="","",IFERROR(INDEX('E2 — Triagem'!$D$8:$D$507,MATCH($B260,'E2 — Triagem'!$B$8:$B$507,0)),""))</f>
        <v/>
      </c>
      <c r="E260" s="447"/>
      <c r="F260" s="447"/>
      <c r="G260" s="447"/>
      <c r="H260" s="447"/>
      <c r="I260" s="447"/>
      <c r="J260" s="447"/>
      <c r="K260" s="194" t="str">
        <f t="shared" si="4"/>
        <v/>
      </c>
      <c r="L260" s="448"/>
      <c r="M260" s="448"/>
      <c r="N260" s="449" t="str">
        <f>IF(B260="","",IF('E5 — Validação'!M260="✅ Aprovado sem Ajustes","Não",IF(OR('E5 — Validação'!M260="⚠️ Aprovado com Ajustes",'E5 — Validação'!M260="❌ Reprovado"),"Sim","")))</f>
        <v/>
      </c>
    </row>
    <row r="261" spans="2:14" x14ac:dyDescent="0.35">
      <c r="B261" s="445" t="str">
        <f>IF(Lançamentos!$B256="","",Lançamentos!$B256)</f>
        <v/>
      </c>
      <c r="C261" s="446" t="str">
        <f>IF($B261="","",IFERROR(INDEX(Lançamentos!$J$3:$J$1001,MATCH($B261,Lançamentos!$B$3:$B$1001,0)),""))</f>
        <v/>
      </c>
      <c r="D261" s="447" t="str">
        <f>IF($B261="","",IFERROR(INDEX('E2 — Triagem'!$D$8:$D$507,MATCH($B261,'E2 — Triagem'!$B$8:$B$507,0)),""))</f>
        <v/>
      </c>
      <c r="E261" s="447"/>
      <c r="F261" s="447"/>
      <c r="G261" s="447"/>
      <c r="H261" s="447"/>
      <c r="I261" s="447"/>
      <c r="J261" s="447"/>
      <c r="K261" s="194" t="str">
        <f t="shared" si="4"/>
        <v/>
      </c>
      <c r="L261" s="448"/>
      <c r="M261" s="448"/>
      <c r="N261" s="449" t="str">
        <f>IF(B261="","",IF('E5 — Validação'!M261="✅ Aprovado sem Ajustes","Não",IF(OR('E5 — Validação'!M261="⚠️ Aprovado com Ajustes",'E5 — Validação'!M261="❌ Reprovado"),"Sim","")))</f>
        <v/>
      </c>
    </row>
    <row r="262" spans="2:14" x14ac:dyDescent="0.35">
      <c r="B262" s="445" t="str">
        <f>IF(Lançamentos!$B257="","",Lançamentos!$B257)</f>
        <v/>
      </c>
      <c r="C262" s="446" t="str">
        <f>IF($B262="","",IFERROR(INDEX(Lançamentos!$J$3:$J$1001,MATCH($B262,Lançamentos!$B$3:$B$1001,0)),""))</f>
        <v/>
      </c>
      <c r="D262" s="447" t="str">
        <f>IF($B262="","",IFERROR(INDEX('E2 — Triagem'!$D$8:$D$507,MATCH($B262,'E2 — Triagem'!$B$8:$B$507,0)),""))</f>
        <v/>
      </c>
      <c r="E262" s="447"/>
      <c r="F262" s="447"/>
      <c r="G262" s="447"/>
      <c r="H262" s="447"/>
      <c r="I262" s="447"/>
      <c r="J262" s="447"/>
      <c r="K262" s="194" t="str">
        <f t="shared" si="4"/>
        <v/>
      </c>
      <c r="L262" s="448"/>
      <c r="M262" s="448"/>
      <c r="N262" s="449" t="str">
        <f>IF(B262="","",IF('E5 — Validação'!M262="✅ Aprovado sem Ajustes","Não",IF(OR('E5 — Validação'!M262="⚠️ Aprovado com Ajustes",'E5 — Validação'!M262="❌ Reprovado"),"Sim","")))</f>
        <v/>
      </c>
    </row>
    <row r="263" spans="2:14" x14ac:dyDescent="0.35">
      <c r="B263" s="445" t="str">
        <f>IF(Lançamentos!$B258="","",Lançamentos!$B258)</f>
        <v/>
      </c>
      <c r="C263" s="446" t="str">
        <f>IF($B263="","",IFERROR(INDEX(Lançamentos!$J$3:$J$1001,MATCH($B263,Lançamentos!$B$3:$B$1001,0)),""))</f>
        <v/>
      </c>
      <c r="D263" s="447" t="str">
        <f>IF($B263="","",IFERROR(INDEX('E2 — Triagem'!$D$8:$D$507,MATCH($B263,'E2 — Triagem'!$B$8:$B$507,0)),""))</f>
        <v/>
      </c>
      <c r="E263" s="447"/>
      <c r="F263" s="447"/>
      <c r="G263" s="447"/>
      <c r="H263" s="447"/>
      <c r="I263" s="447"/>
      <c r="J263" s="447"/>
      <c r="K263" s="194" t="str">
        <f t="shared" si="4"/>
        <v/>
      </c>
      <c r="L263" s="448"/>
      <c r="M263" s="448"/>
      <c r="N263" s="449" t="str">
        <f>IF(B263="","",IF('E5 — Validação'!M263="✅ Aprovado sem Ajustes","Não",IF(OR('E5 — Validação'!M263="⚠️ Aprovado com Ajustes",'E5 — Validação'!M263="❌ Reprovado"),"Sim","")))</f>
        <v/>
      </c>
    </row>
    <row r="264" spans="2:14" x14ac:dyDescent="0.35">
      <c r="B264" s="445" t="str">
        <f>IF(Lançamentos!$B259="","",Lançamentos!$B259)</f>
        <v/>
      </c>
      <c r="C264" s="446" t="str">
        <f>IF($B264="","",IFERROR(INDEX(Lançamentos!$J$3:$J$1001,MATCH($B264,Lançamentos!$B$3:$B$1001,0)),""))</f>
        <v/>
      </c>
      <c r="D264" s="447" t="str">
        <f>IF($B264="","",IFERROR(INDEX('E2 — Triagem'!$D$8:$D$507,MATCH($B264,'E2 — Triagem'!$B$8:$B$507,0)),""))</f>
        <v/>
      </c>
      <c r="E264" s="447"/>
      <c r="F264" s="447"/>
      <c r="G264" s="447"/>
      <c r="H264" s="447"/>
      <c r="I264" s="447"/>
      <c r="J264" s="447"/>
      <c r="K264" s="194" t="str">
        <f t="shared" si="4"/>
        <v/>
      </c>
      <c r="L264" s="448"/>
      <c r="M264" s="448"/>
      <c r="N264" s="449" t="str">
        <f>IF(B264="","",IF('E5 — Validação'!M264="✅ Aprovado sem Ajustes","Não",IF(OR('E5 — Validação'!M264="⚠️ Aprovado com Ajustes",'E5 — Validação'!M264="❌ Reprovado"),"Sim","")))</f>
        <v/>
      </c>
    </row>
    <row r="265" spans="2:14" x14ac:dyDescent="0.35">
      <c r="B265" s="445" t="str">
        <f>IF(Lançamentos!$B260="","",Lançamentos!$B260)</f>
        <v/>
      </c>
      <c r="C265" s="446" t="str">
        <f>IF($B265="","",IFERROR(INDEX(Lançamentos!$J$3:$J$1001,MATCH($B265,Lançamentos!$B$3:$B$1001,0)),""))</f>
        <v/>
      </c>
      <c r="D265" s="447" t="str">
        <f>IF($B265="","",IFERROR(INDEX('E2 — Triagem'!$D$8:$D$507,MATCH($B265,'E2 — Triagem'!$B$8:$B$507,0)),""))</f>
        <v/>
      </c>
      <c r="E265" s="447"/>
      <c r="F265" s="447"/>
      <c r="G265" s="447"/>
      <c r="H265" s="447"/>
      <c r="I265" s="447"/>
      <c r="J265" s="447"/>
      <c r="K265" s="194" t="str">
        <f t="shared" si="4"/>
        <v/>
      </c>
      <c r="L265" s="448"/>
      <c r="M265" s="448"/>
      <c r="N265" s="449" t="str">
        <f>IF(B265="","",IF('E5 — Validação'!M265="✅ Aprovado sem Ajustes","Não",IF(OR('E5 — Validação'!M265="⚠️ Aprovado com Ajustes",'E5 — Validação'!M265="❌ Reprovado"),"Sim","")))</f>
        <v/>
      </c>
    </row>
    <row r="266" spans="2:14" x14ac:dyDescent="0.35">
      <c r="B266" s="445" t="str">
        <f>IF(Lançamentos!$B261="","",Lançamentos!$B261)</f>
        <v/>
      </c>
      <c r="C266" s="446" t="str">
        <f>IF($B266="","",IFERROR(INDEX(Lançamentos!$J$3:$J$1001,MATCH($B266,Lançamentos!$B$3:$B$1001,0)),""))</f>
        <v/>
      </c>
      <c r="D266" s="447" t="str">
        <f>IF($B266="","",IFERROR(INDEX('E2 — Triagem'!$D$8:$D$507,MATCH($B266,'E2 — Triagem'!$B$8:$B$507,0)),""))</f>
        <v/>
      </c>
      <c r="E266" s="447"/>
      <c r="F266" s="447"/>
      <c r="G266" s="447"/>
      <c r="H266" s="447"/>
      <c r="I266" s="447"/>
      <c r="J266" s="447"/>
      <c r="K266" s="194" t="str">
        <f t="shared" si="4"/>
        <v/>
      </c>
      <c r="L266" s="448"/>
      <c r="M266" s="448"/>
      <c r="N266" s="449" t="str">
        <f>IF(B266="","",IF('E5 — Validação'!M266="✅ Aprovado sem Ajustes","Não",IF(OR('E5 — Validação'!M266="⚠️ Aprovado com Ajustes",'E5 — Validação'!M266="❌ Reprovado"),"Sim","")))</f>
        <v/>
      </c>
    </row>
    <row r="267" spans="2:14" x14ac:dyDescent="0.35">
      <c r="B267" s="445" t="str">
        <f>IF(Lançamentos!$B262="","",Lançamentos!$B262)</f>
        <v/>
      </c>
      <c r="C267" s="446" t="str">
        <f>IF($B267="","",IFERROR(INDEX(Lançamentos!$J$3:$J$1001,MATCH($B267,Lançamentos!$B$3:$B$1001,0)),""))</f>
        <v/>
      </c>
      <c r="D267" s="447" t="str">
        <f>IF($B267="","",IFERROR(INDEX('E2 — Triagem'!$D$8:$D$507,MATCH($B267,'E2 — Triagem'!$B$8:$B$507,0)),""))</f>
        <v/>
      </c>
      <c r="E267" s="447"/>
      <c r="F267" s="447"/>
      <c r="G267" s="447"/>
      <c r="H267" s="447"/>
      <c r="I267" s="447"/>
      <c r="J267" s="447"/>
      <c r="K267" s="194" t="str">
        <f t="shared" si="4"/>
        <v/>
      </c>
      <c r="L267" s="448"/>
      <c r="M267" s="448"/>
      <c r="N267" s="449" t="str">
        <f>IF(B267="","",IF('E5 — Validação'!M267="✅ Aprovado sem Ajustes","Não",IF(OR('E5 — Validação'!M267="⚠️ Aprovado com Ajustes",'E5 — Validação'!M267="❌ Reprovado"),"Sim","")))</f>
        <v/>
      </c>
    </row>
    <row r="268" spans="2:14" x14ac:dyDescent="0.35">
      <c r="B268" s="445" t="str">
        <f>IF(Lançamentos!$B263="","",Lançamentos!$B263)</f>
        <v/>
      </c>
      <c r="C268" s="446" t="str">
        <f>IF($B268="","",IFERROR(INDEX(Lançamentos!$J$3:$J$1001,MATCH($B268,Lançamentos!$B$3:$B$1001,0)),""))</f>
        <v/>
      </c>
      <c r="D268" s="447" t="str">
        <f>IF($B268="","",IFERROR(INDEX('E2 — Triagem'!$D$8:$D$507,MATCH($B268,'E2 — Triagem'!$B$8:$B$507,0)),""))</f>
        <v/>
      </c>
      <c r="E268" s="447"/>
      <c r="F268" s="447"/>
      <c r="G268" s="447"/>
      <c r="H268" s="447"/>
      <c r="I268" s="447"/>
      <c r="J268" s="447"/>
      <c r="K268" s="194" t="str">
        <f t="shared" si="4"/>
        <v/>
      </c>
      <c r="L268" s="448"/>
      <c r="M268" s="448"/>
      <c r="N268" s="449" t="str">
        <f>IF(B268="","",IF('E5 — Validação'!M268="✅ Aprovado sem Ajustes","Não",IF(OR('E5 — Validação'!M268="⚠️ Aprovado com Ajustes",'E5 — Validação'!M268="❌ Reprovado"),"Sim","")))</f>
        <v/>
      </c>
    </row>
    <row r="269" spans="2:14" x14ac:dyDescent="0.35">
      <c r="B269" s="445" t="str">
        <f>IF(Lançamentos!$B264="","",Lançamentos!$B264)</f>
        <v/>
      </c>
      <c r="C269" s="446" t="str">
        <f>IF($B269="","",IFERROR(INDEX(Lançamentos!$J$3:$J$1001,MATCH($B269,Lançamentos!$B$3:$B$1001,0)),""))</f>
        <v/>
      </c>
      <c r="D269" s="447" t="str">
        <f>IF($B269="","",IFERROR(INDEX('E2 — Triagem'!$D$8:$D$507,MATCH($B269,'E2 — Triagem'!$B$8:$B$507,0)),""))</f>
        <v/>
      </c>
      <c r="E269" s="447"/>
      <c r="F269" s="447"/>
      <c r="G269" s="447"/>
      <c r="H269" s="447"/>
      <c r="I269" s="447"/>
      <c r="J269" s="447"/>
      <c r="K269" s="194" t="str">
        <f t="shared" si="4"/>
        <v/>
      </c>
      <c r="L269" s="448"/>
      <c r="M269" s="448"/>
      <c r="N269" s="449" t="str">
        <f>IF(B269="","",IF('E5 — Validação'!M269="✅ Aprovado sem Ajustes","Não",IF(OR('E5 — Validação'!M269="⚠️ Aprovado com Ajustes",'E5 — Validação'!M269="❌ Reprovado"),"Sim","")))</f>
        <v/>
      </c>
    </row>
    <row r="270" spans="2:14" x14ac:dyDescent="0.35">
      <c r="B270" s="445" t="str">
        <f>IF(Lançamentos!$B265="","",Lançamentos!$B265)</f>
        <v/>
      </c>
      <c r="C270" s="446" t="str">
        <f>IF($B270="","",IFERROR(INDEX(Lançamentos!$J$3:$J$1001,MATCH($B270,Lançamentos!$B$3:$B$1001,0)),""))</f>
        <v/>
      </c>
      <c r="D270" s="447" t="str">
        <f>IF($B270="","",IFERROR(INDEX('E2 — Triagem'!$D$8:$D$507,MATCH($B270,'E2 — Triagem'!$B$8:$B$507,0)),""))</f>
        <v/>
      </c>
      <c r="E270" s="447"/>
      <c r="F270" s="447"/>
      <c r="G270" s="447"/>
      <c r="H270" s="447"/>
      <c r="I270" s="447"/>
      <c r="J270" s="447"/>
      <c r="K270" s="194" t="str">
        <f t="shared" si="4"/>
        <v/>
      </c>
      <c r="L270" s="448"/>
      <c r="M270" s="448"/>
      <c r="N270" s="449" t="str">
        <f>IF(B270="","",IF('E5 — Validação'!M270="✅ Aprovado sem Ajustes","Não",IF(OR('E5 — Validação'!M270="⚠️ Aprovado com Ajustes",'E5 — Validação'!M270="❌ Reprovado"),"Sim","")))</f>
        <v/>
      </c>
    </row>
    <row r="271" spans="2:14" x14ac:dyDescent="0.35">
      <c r="B271" s="445" t="str">
        <f>IF(Lançamentos!$B266="","",Lançamentos!$B266)</f>
        <v/>
      </c>
      <c r="C271" s="446" t="str">
        <f>IF($B271="","",IFERROR(INDEX(Lançamentos!$J$3:$J$1001,MATCH($B271,Lançamentos!$B$3:$B$1001,0)),""))</f>
        <v/>
      </c>
      <c r="D271" s="447" t="str">
        <f>IF($B271="","",IFERROR(INDEX('E2 — Triagem'!$D$8:$D$507,MATCH($B271,'E2 — Triagem'!$B$8:$B$507,0)),""))</f>
        <v/>
      </c>
      <c r="E271" s="447"/>
      <c r="F271" s="447"/>
      <c r="G271" s="447"/>
      <c r="H271" s="447"/>
      <c r="I271" s="447"/>
      <c r="J271" s="447"/>
      <c r="K271" s="194" t="str">
        <f t="shared" si="4"/>
        <v/>
      </c>
      <c r="L271" s="448"/>
      <c r="M271" s="448"/>
      <c r="N271" s="449" t="str">
        <f>IF(B271="","",IF('E5 — Validação'!M271="✅ Aprovado sem Ajustes","Não",IF(OR('E5 — Validação'!M271="⚠️ Aprovado com Ajustes",'E5 — Validação'!M271="❌ Reprovado"),"Sim","")))</f>
        <v/>
      </c>
    </row>
    <row r="272" spans="2:14" x14ac:dyDescent="0.35">
      <c r="B272" s="445" t="str">
        <f>IF(Lançamentos!$B267="","",Lançamentos!$B267)</f>
        <v/>
      </c>
      <c r="C272" s="446" t="str">
        <f>IF($B272="","",IFERROR(INDEX(Lançamentos!$J$3:$J$1001,MATCH($B272,Lançamentos!$B$3:$B$1001,0)),""))</f>
        <v/>
      </c>
      <c r="D272" s="447" t="str">
        <f>IF($B272="","",IFERROR(INDEX('E2 — Triagem'!$D$8:$D$507,MATCH($B272,'E2 — Triagem'!$B$8:$B$507,0)),""))</f>
        <v/>
      </c>
      <c r="E272" s="447"/>
      <c r="F272" s="447"/>
      <c r="G272" s="447"/>
      <c r="H272" s="447"/>
      <c r="I272" s="447"/>
      <c r="J272" s="447"/>
      <c r="K272" s="194" t="str">
        <f t="shared" ref="K272:K335" si="5">IF(B272="","",IF(N272="Não",0,IF(COUNTIF(E272:J272,"N/A")=6,0,COUNTIF(E272:J272,"✔ Concluído")/(6-COUNTIF(E272:J272,"N/A")))))</f>
        <v/>
      </c>
      <c r="L272" s="448"/>
      <c r="M272" s="448"/>
      <c r="N272" s="449" t="str">
        <f>IF(B272="","",IF('E5 — Validação'!M272="✅ Aprovado sem Ajustes","Não",IF(OR('E5 — Validação'!M272="⚠️ Aprovado com Ajustes",'E5 — Validação'!M272="❌ Reprovado"),"Sim","")))</f>
        <v/>
      </c>
    </row>
    <row r="273" spans="2:14" x14ac:dyDescent="0.35">
      <c r="B273" s="445" t="str">
        <f>IF(Lançamentos!$B268="","",Lançamentos!$B268)</f>
        <v/>
      </c>
      <c r="C273" s="446" t="str">
        <f>IF($B273="","",IFERROR(INDEX(Lançamentos!$J$3:$J$1001,MATCH($B273,Lançamentos!$B$3:$B$1001,0)),""))</f>
        <v/>
      </c>
      <c r="D273" s="447" t="str">
        <f>IF($B273="","",IFERROR(INDEX('E2 — Triagem'!$D$8:$D$507,MATCH($B273,'E2 — Triagem'!$B$8:$B$507,0)),""))</f>
        <v/>
      </c>
      <c r="E273" s="447"/>
      <c r="F273" s="447"/>
      <c r="G273" s="447"/>
      <c r="H273" s="447"/>
      <c r="I273" s="447"/>
      <c r="J273" s="447"/>
      <c r="K273" s="194" t="str">
        <f t="shared" si="5"/>
        <v/>
      </c>
      <c r="L273" s="448"/>
      <c r="M273" s="448"/>
      <c r="N273" s="449" t="str">
        <f>IF(B273="","",IF('E5 — Validação'!M273="✅ Aprovado sem Ajustes","Não",IF(OR('E5 — Validação'!M273="⚠️ Aprovado com Ajustes",'E5 — Validação'!M273="❌ Reprovado"),"Sim","")))</f>
        <v/>
      </c>
    </row>
    <row r="274" spans="2:14" x14ac:dyDescent="0.35">
      <c r="B274" s="445" t="str">
        <f>IF(Lançamentos!$B269="","",Lançamentos!$B269)</f>
        <v/>
      </c>
      <c r="C274" s="446" t="str">
        <f>IF($B274="","",IFERROR(INDEX(Lançamentos!$J$3:$J$1001,MATCH($B274,Lançamentos!$B$3:$B$1001,0)),""))</f>
        <v/>
      </c>
      <c r="D274" s="447" t="str">
        <f>IF($B274="","",IFERROR(INDEX('E2 — Triagem'!$D$8:$D$507,MATCH($B274,'E2 — Triagem'!$B$8:$B$507,0)),""))</f>
        <v/>
      </c>
      <c r="E274" s="447"/>
      <c r="F274" s="447"/>
      <c r="G274" s="447"/>
      <c r="H274" s="447"/>
      <c r="I274" s="447"/>
      <c r="J274" s="447"/>
      <c r="K274" s="194" t="str">
        <f t="shared" si="5"/>
        <v/>
      </c>
      <c r="L274" s="448"/>
      <c r="M274" s="448"/>
      <c r="N274" s="449" t="str">
        <f>IF(B274="","",IF('E5 — Validação'!M274="✅ Aprovado sem Ajustes","Não",IF(OR('E5 — Validação'!M274="⚠️ Aprovado com Ajustes",'E5 — Validação'!M274="❌ Reprovado"),"Sim","")))</f>
        <v/>
      </c>
    </row>
    <row r="275" spans="2:14" x14ac:dyDescent="0.35">
      <c r="B275" s="445" t="str">
        <f>IF(Lançamentos!$B270="","",Lançamentos!$B270)</f>
        <v/>
      </c>
      <c r="C275" s="446" t="str">
        <f>IF($B275="","",IFERROR(INDEX(Lançamentos!$J$3:$J$1001,MATCH($B275,Lançamentos!$B$3:$B$1001,0)),""))</f>
        <v/>
      </c>
      <c r="D275" s="447" t="str">
        <f>IF($B275="","",IFERROR(INDEX('E2 — Triagem'!$D$8:$D$507,MATCH($B275,'E2 — Triagem'!$B$8:$B$507,0)),""))</f>
        <v/>
      </c>
      <c r="E275" s="447"/>
      <c r="F275" s="447"/>
      <c r="G275" s="447"/>
      <c r="H275" s="447"/>
      <c r="I275" s="447"/>
      <c r="J275" s="447"/>
      <c r="K275" s="194" t="str">
        <f t="shared" si="5"/>
        <v/>
      </c>
      <c r="L275" s="448"/>
      <c r="M275" s="448"/>
      <c r="N275" s="449" t="str">
        <f>IF(B275="","",IF('E5 — Validação'!M275="✅ Aprovado sem Ajustes","Não",IF(OR('E5 — Validação'!M275="⚠️ Aprovado com Ajustes",'E5 — Validação'!M275="❌ Reprovado"),"Sim","")))</f>
        <v/>
      </c>
    </row>
    <row r="276" spans="2:14" x14ac:dyDescent="0.35">
      <c r="B276" s="445" t="str">
        <f>IF(Lançamentos!$B271="","",Lançamentos!$B271)</f>
        <v/>
      </c>
      <c r="C276" s="446" t="str">
        <f>IF($B276="","",IFERROR(INDEX(Lançamentos!$J$3:$J$1001,MATCH($B276,Lançamentos!$B$3:$B$1001,0)),""))</f>
        <v/>
      </c>
      <c r="D276" s="447" t="str">
        <f>IF($B276="","",IFERROR(INDEX('E2 — Triagem'!$D$8:$D$507,MATCH($B276,'E2 — Triagem'!$B$8:$B$507,0)),""))</f>
        <v/>
      </c>
      <c r="E276" s="447"/>
      <c r="F276" s="447"/>
      <c r="G276" s="447"/>
      <c r="H276" s="447"/>
      <c r="I276" s="447"/>
      <c r="J276" s="447"/>
      <c r="K276" s="194" t="str">
        <f t="shared" si="5"/>
        <v/>
      </c>
      <c r="L276" s="448"/>
      <c r="M276" s="448"/>
      <c r="N276" s="449" t="str">
        <f>IF(B276="","",IF('E5 — Validação'!M276="✅ Aprovado sem Ajustes","Não",IF(OR('E5 — Validação'!M276="⚠️ Aprovado com Ajustes",'E5 — Validação'!M276="❌ Reprovado"),"Sim","")))</f>
        <v/>
      </c>
    </row>
    <row r="277" spans="2:14" x14ac:dyDescent="0.35">
      <c r="B277" s="445" t="str">
        <f>IF(Lançamentos!$B272="","",Lançamentos!$B272)</f>
        <v/>
      </c>
      <c r="C277" s="446" t="str">
        <f>IF($B277="","",IFERROR(INDEX(Lançamentos!$J$3:$J$1001,MATCH($B277,Lançamentos!$B$3:$B$1001,0)),""))</f>
        <v/>
      </c>
      <c r="D277" s="447" t="str">
        <f>IF($B277="","",IFERROR(INDEX('E2 — Triagem'!$D$8:$D$507,MATCH($B277,'E2 — Triagem'!$B$8:$B$507,0)),""))</f>
        <v/>
      </c>
      <c r="E277" s="447"/>
      <c r="F277" s="447"/>
      <c r="G277" s="447"/>
      <c r="H277" s="447"/>
      <c r="I277" s="447"/>
      <c r="J277" s="447"/>
      <c r="K277" s="194" t="str">
        <f t="shared" si="5"/>
        <v/>
      </c>
      <c r="L277" s="448"/>
      <c r="M277" s="448"/>
      <c r="N277" s="449" t="str">
        <f>IF(B277="","",IF('E5 — Validação'!M277="✅ Aprovado sem Ajustes","Não",IF(OR('E5 — Validação'!M277="⚠️ Aprovado com Ajustes",'E5 — Validação'!M277="❌ Reprovado"),"Sim","")))</f>
        <v/>
      </c>
    </row>
    <row r="278" spans="2:14" x14ac:dyDescent="0.35">
      <c r="B278" s="445" t="str">
        <f>IF(Lançamentos!$B273="","",Lançamentos!$B273)</f>
        <v/>
      </c>
      <c r="C278" s="446" t="str">
        <f>IF($B278="","",IFERROR(INDEX(Lançamentos!$J$3:$J$1001,MATCH($B278,Lançamentos!$B$3:$B$1001,0)),""))</f>
        <v/>
      </c>
      <c r="D278" s="447" t="str">
        <f>IF($B278="","",IFERROR(INDEX('E2 — Triagem'!$D$8:$D$507,MATCH($B278,'E2 — Triagem'!$B$8:$B$507,0)),""))</f>
        <v/>
      </c>
      <c r="E278" s="447"/>
      <c r="F278" s="447"/>
      <c r="G278" s="447"/>
      <c r="H278" s="447"/>
      <c r="I278" s="447"/>
      <c r="J278" s="447"/>
      <c r="K278" s="194" t="str">
        <f t="shared" si="5"/>
        <v/>
      </c>
      <c r="L278" s="448"/>
      <c r="M278" s="448"/>
      <c r="N278" s="449" t="str">
        <f>IF(B278="","",IF('E5 — Validação'!M278="✅ Aprovado sem Ajustes","Não",IF(OR('E5 — Validação'!M278="⚠️ Aprovado com Ajustes",'E5 — Validação'!M278="❌ Reprovado"),"Sim","")))</f>
        <v/>
      </c>
    </row>
    <row r="279" spans="2:14" x14ac:dyDescent="0.35">
      <c r="B279" s="445" t="str">
        <f>IF(Lançamentos!$B274="","",Lançamentos!$B274)</f>
        <v/>
      </c>
      <c r="C279" s="446" t="str">
        <f>IF($B279="","",IFERROR(INDEX(Lançamentos!$J$3:$J$1001,MATCH($B279,Lançamentos!$B$3:$B$1001,0)),""))</f>
        <v/>
      </c>
      <c r="D279" s="447" t="str">
        <f>IF($B279="","",IFERROR(INDEX('E2 — Triagem'!$D$8:$D$507,MATCH($B279,'E2 — Triagem'!$B$8:$B$507,0)),""))</f>
        <v/>
      </c>
      <c r="E279" s="447"/>
      <c r="F279" s="447"/>
      <c r="G279" s="447"/>
      <c r="H279" s="447"/>
      <c r="I279" s="447"/>
      <c r="J279" s="447"/>
      <c r="K279" s="194" t="str">
        <f t="shared" si="5"/>
        <v/>
      </c>
      <c r="L279" s="448"/>
      <c r="M279" s="448"/>
      <c r="N279" s="449" t="str">
        <f>IF(B279="","",IF('E5 — Validação'!M279="✅ Aprovado sem Ajustes","Não",IF(OR('E5 — Validação'!M279="⚠️ Aprovado com Ajustes",'E5 — Validação'!M279="❌ Reprovado"),"Sim","")))</f>
        <v/>
      </c>
    </row>
    <row r="280" spans="2:14" x14ac:dyDescent="0.35">
      <c r="B280" s="445" t="str">
        <f>IF(Lançamentos!$B275="","",Lançamentos!$B275)</f>
        <v/>
      </c>
      <c r="C280" s="446" t="str">
        <f>IF($B280="","",IFERROR(INDEX(Lançamentos!$J$3:$J$1001,MATCH($B280,Lançamentos!$B$3:$B$1001,0)),""))</f>
        <v/>
      </c>
      <c r="D280" s="447" t="str">
        <f>IF($B280="","",IFERROR(INDEX('E2 — Triagem'!$D$8:$D$507,MATCH($B280,'E2 — Triagem'!$B$8:$B$507,0)),""))</f>
        <v/>
      </c>
      <c r="E280" s="447"/>
      <c r="F280" s="447"/>
      <c r="G280" s="447"/>
      <c r="H280" s="447"/>
      <c r="I280" s="447"/>
      <c r="J280" s="447"/>
      <c r="K280" s="194" t="str">
        <f t="shared" si="5"/>
        <v/>
      </c>
      <c r="L280" s="448"/>
      <c r="M280" s="448"/>
      <c r="N280" s="449" t="str">
        <f>IF(B280="","",IF('E5 — Validação'!M280="✅ Aprovado sem Ajustes","Não",IF(OR('E5 — Validação'!M280="⚠️ Aprovado com Ajustes",'E5 — Validação'!M280="❌ Reprovado"),"Sim","")))</f>
        <v/>
      </c>
    </row>
    <row r="281" spans="2:14" x14ac:dyDescent="0.35">
      <c r="B281" s="445" t="str">
        <f>IF(Lançamentos!$B276="","",Lançamentos!$B276)</f>
        <v/>
      </c>
      <c r="C281" s="446" t="str">
        <f>IF($B281="","",IFERROR(INDEX(Lançamentos!$J$3:$J$1001,MATCH($B281,Lançamentos!$B$3:$B$1001,0)),""))</f>
        <v/>
      </c>
      <c r="D281" s="447" t="str">
        <f>IF($B281="","",IFERROR(INDEX('E2 — Triagem'!$D$8:$D$507,MATCH($B281,'E2 — Triagem'!$B$8:$B$507,0)),""))</f>
        <v/>
      </c>
      <c r="E281" s="447"/>
      <c r="F281" s="447"/>
      <c r="G281" s="447"/>
      <c r="H281" s="447"/>
      <c r="I281" s="447"/>
      <c r="J281" s="447"/>
      <c r="K281" s="194" t="str">
        <f t="shared" si="5"/>
        <v/>
      </c>
      <c r="L281" s="448"/>
      <c r="M281" s="448"/>
      <c r="N281" s="449" t="str">
        <f>IF(B281="","",IF('E5 — Validação'!M281="✅ Aprovado sem Ajustes","Não",IF(OR('E5 — Validação'!M281="⚠️ Aprovado com Ajustes",'E5 — Validação'!M281="❌ Reprovado"),"Sim","")))</f>
        <v/>
      </c>
    </row>
    <row r="282" spans="2:14" x14ac:dyDescent="0.35">
      <c r="B282" s="445" t="str">
        <f>IF(Lançamentos!$B277="","",Lançamentos!$B277)</f>
        <v/>
      </c>
      <c r="C282" s="446" t="str">
        <f>IF($B282="","",IFERROR(INDEX(Lançamentos!$J$3:$J$1001,MATCH($B282,Lançamentos!$B$3:$B$1001,0)),""))</f>
        <v/>
      </c>
      <c r="D282" s="447" t="str">
        <f>IF($B282="","",IFERROR(INDEX('E2 — Triagem'!$D$8:$D$507,MATCH($B282,'E2 — Triagem'!$B$8:$B$507,0)),""))</f>
        <v/>
      </c>
      <c r="E282" s="447"/>
      <c r="F282" s="447"/>
      <c r="G282" s="447"/>
      <c r="H282" s="447"/>
      <c r="I282" s="447"/>
      <c r="J282" s="447"/>
      <c r="K282" s="194" t="str">
        <f t="shared" si="5"/>
        <v/>
      </c>
      <c r="L282" s="448"/>
      <c r="M282" s="448"/>
      <c r="N282" s="449" t="str">
        <f>IF(B282="","",IF('E5 — Validação'!M282="✅ Aprovado sem Ajustes","Não",IF(OR('E5 — Validação'!M282="⚠️ Aprovado com Ajustes",'E5 — Validação'!M282="❌ Reprovado"),"Sim","")))</f>
        <v/>
      </c>
    </row>
    <row r="283" spans="2:14" x14ac:dyDescent="0.35">
      <c r="B283" s="445" t="str">
        <f>IF(Lançamentos!$B278="","",Lançamentos!$B278)</f>
        <v/>
      </c>
      <c r="C283" s="446" t="str">
        <f>IF($B283="","",IFERROR(INDEX(Lançamentos!$J$3:$J$1001,MATCH($B283,Lançamentos!$B$3:$B$1001,0)),""))</f>
        <v/>
      </c>
      <c r="D283" s="447" t="str">
        <f>IF($B283="","",IFERROR(INDEX('E2 — Triagem'!$D$8:$D$507,MATCH($B283,'E2 — Triagem'!$B$8:$B$507,0)),""))</f>
        <v/>
      </c>
      <c r="E283" s="447"/>
      <c r="F283" s="447"/>
      <c r="G283" s="447"/>
      <c r="H283" s="447"/>
      <c r="I283" s="447"/>
      <c r="J283" s="447"/>
      <c r="K283" s="194" t="str">
        <f t="shared" si="5"/>
        <v/>
      </c>
      <c r="L283" s="448"/>
      <c r="M283" s="448"/>
      <c r="N283" s="449" t="str">
        <f>IF(B283="","",IF('E5 — Validação'!M283="✅ Aprovado sem Ajustes","Não",IF(OR('E5 — Validação'!M283="⚠️ Aprovado com Ajustes",'E5 — Validação'!M283="❌ Reprovado"),"Sim","")))</f>
        <v/>
      </c>
    </row>
    <row r="284" spans="2:14" x14ac:dyDescent="0.35">
      <c r="B284" s="445" t="str">
        <f>IF(Lançamentos!$B279="","",Lançamentos!$B279)</f>
        <v/>
      </c>
      <c r="C284" s="446" t="str">
        <f>IF($B284="","",IFERROR(INDEX(Lançamentos!$J$3:$J$1001,MATCH($B284,Lançamentos!$B$3:$B$1001,0)),""))</f>
        <v/>
      </c>
      <c r="D284" s="447" t="str">
        <f>IF($B284="","",IFERROR(INDEX('E2 — Triagem'!$D$8:$D$507,MATCH($B284,'E2 — Triagem'!$B$8:$B$507,0)),""))</f>
        <v/>
      </c>
      <c r="E284" s="447"/>
      <c r="F284" s="447"/>
      <c r="G284" s="447"/>
      <c r="H284" s="447"/>
      <c r="I284" s="447"/>
      <c r="J284" s="447"/>
      <c r="K284" s="194" t="str">
        <f t="shared" si="5"/>
        <v/>
      </c>
      <c r="L284" s="448"/>
      <c r="M284" s="448"/>
      <c r="N284" s="449" t="str">
        <f>IF(B284="","",IF('E5 — Validação'!M284="✅ Aprovado sem Ajustes","Não",IF(OR('E5 — Validação'!M284="⚠️ Aprovado com Ajustes",'E5 — Validação'!M284="❌ Reprovado"),"Sim","")))</f>
        <v/>
      </c>
    </row>
    <row r="285" spans="2:14" x14ac:dyDescent="0.35">
      <c r="B285" s="445" t="str">
        <f>IF(Lançamentos!$B280="","",Lançamentos!$B280)</f>
        <v/>
      </c>
      <c r="C285" s="446" t="str">
        <f>IF($B285="","",IFERROR(INDEX(Lançamentos!$J$3:$J$1001,MATCH($B285,Lançamentos!$B$3:$B$1001,0)),""))</f>
        <v/>
      </c>
      <c r="D285" s="447" t="str">
        <f>IF($B285="","",IFERROR(INDEX('E2 — Triagem'!$D$8:$D$507,MATCH($B285,'E2 — Triagem'!$B$8:$B$507,0)),""))</f>
        <v/>
      </c>
      <c r="E285" s="447"/>
      <c r="F285" s="447"/>
      <c r="G285" s="447"/>
      <c r="H285" s="447"/>
      <c r="I285" s="447"/>
      <c r="J285" s="447"/>
      <c r="K285" s="194" t="str">
        <f t="shared" si="5"/>
        <v/>
      </c>
      <c r="L285" s="448"/>
      <c r="M285" s="448"/>
      <c r="N285" s="449" t="str">
        <f>IF(B285="","",IF('E5 — Validação'!M285="✅ Aprovado sem Ajustes","Não",IF(OR('E5 — Validação'!M285="⚠️ Aprovado com Ajustes",'E5 — Validação'!M285="❌ Reprovado"),"Sim","")))</f>
        <v/>
      </c>
    </row>
    <row r="286" spans="2:14" x14ac:dyDescent="0.35">
      <c r="B286" s="445" t="str">
        <f>IF(Lançamentos!$B281="","",Lançamentos!$B281)</f>
        <v/>
      </c>
      <c r="C286" s="446" t="str">
        <f>IF($B286="","",IFERROR(INDEX(Lançamentos!$J$3:$J$1001,MATCH($B286,Lançamentos!$B$3:$B$1001,0)),""))</f>
        <v/>
      </c>
      <c r="D286" s="447" t="str">
        <f>IF($B286="","",IFERROR(INDEX('E2 — Triagem'!$D$8:$D$507,MATCH($B286,'E2 — Triagem'!$B$8:$B$507,0)),""))</f>
        <v/>
      </c>
      <c r="E286" s="447"/>
      <c r="F286" s="447"/>
      <c r="G286" s="447"/>
      <c r="H286" s="447"/>
      <c r="I286" s="447"/>
      <c r="J286" s="447"/>
      <c r="K286" s="194" t="str">
        <f t="shared" si="5"/>
        <v/>
      </c>
      <c r="L286" s="448"/>
      <c r="M286" s="448"/>
      <c r="N286" s="449" t="str">
        <f>IF(B286="","",IF('E5 — Validação'!M286="✅ Aprovado sem Ajustes","Não",IF(OR('E5 — Validação'!M286="⚠️ Aprovado com Ajustes",'E5 — Validação'!M286="❌ Reprovado"),"Sim","")))</f>
        <v/>
      </c>
    </row>
    <row r="287" spans="2:14" x14ac:dyDescent="0.35">
      <c r="B287" s="445" t="str">
        <f>IF(Lançamentos!$B282="","",Lançamentos!$B282)</f>
        <v/>
      </c>
      <c r="C287" s="446" t="str">
        <f>IF($B287="","",IFERROR(INDEX(Lançamentos!$J$3:$J$1001,MATCH($B287,Lançamentos!$B$3:$B$1001,0)),""))</f>
        <v/>
      </c>
      <c r="D287" s="447" t="str">
        <f>IF($B287="","",IFERROR(INDEX('E2 — Triagem'!$D$8:$D$507,MATCH($B287,'E2 — Triagem'!$B$8:$B$507,0)),""))</f>
        <v/>
      </c>
      <c r="E287" s="447"/>
      <c r="F287" s="447"/>
      <c r="G287" s="447"/>
      <c r="H287" s="447"/>
      <c r="I287" s="447"/>
      <c r="J287" s="447"/>
      <c r="K287" s="194" t="str">
        <f t="shared" si="5"/>
        <v/>
      </c>
      <c r="L287" s="448"/>
      <c r="M287" s="448"/>
      <c r="N287" s="449" t="str">
        <f>IF(B287="","",IF('E5 — Validação'!M287="✅ Aprovado sem Ajustes","Não",IF(OR('E5 — Validação'!M287="⚠️ Aprovado com Ajustes",'E5 — Validação'!M287="❌ Reprovado"),"Sim","")))</f>
        <v/>
      </c>
    </row>
    <row r="288" spans="2:14" x14ac:dyDescent="0.35">
      <c r="B288" s="445" t="str">
        <f>IF(Lançamentos!$B283="","",Lançamentos!$B283)</f>
        <v/>
      </c>
      <c r="C288" s="446" t="str">
        <f>IF($B288="","",IFERROR(INDEX(Lançamentos!$J$3:$J$1001,MATCH($B288,Lançamentos!$B$3:$B$1001,0)),""))</f>
        <v/>
      </c>
      <c r="D288" s="447" t="str">
        <f>IF($B288="","",IFERROR(INDEX('E2 — Triagem'!$D$8:$D$507,MATCH($B288,'E2 — Triagem'!$B$8:$B$507,0)),""))</f>
        <v/>
      </c>
      <c r="E288" s="447"/>
      <c r="F288" s="447"/>
      <c r="G288" s="447"/>
      <c r="H288" s="447"/>
      <c r="I288" s="447"/>
      <c r="J288" s="447"/>
      <c r="K288" s="194" t="str">
        <f t="shared" si="5"/>
        <v/>
      </c>
      <c r="L288" s="448"/>
      <c r="M288" s="448"/>
      <c r="N288" s="449" t="str">
        <f>IF(B288="","",IF('E5 — Validação'!M288="✅ Aprovado sem Ajustes","Não",IF(OR('E5 — Validação'!M288="⚠️ Aprovado com Ajustes",'E5 — Validação'!M288="❌ Reprovado"),"Sim","")))</f>
        <v/>
      </c>
    </row>
    <row r="289" spans="2:14" x14ac:dyDescent="0.35">
      <c r="B289" s="445" t="str">
        <f>IF(Lançamentos!$B284="","",Lançamentos!$B284)</f>
        <v/>
      </c>
      <c r="C289" s="446" t="str">
        <f>IF($B289="","",IFERROR(INDEX(Lançamentos!$J$3:$J$1001,MATCH($B289,Lançamentos!$B$3:$B$1001,0)),""))</f>
        <v/>
      </c>
      <c r="D289" s="447" t="str">
        <f>IF($B289="","",IFERROR(INDEX('E2 — Triagem'!$D$8:$D$507,MATCH($B289,'E2 — Triagem'!$B$8:$B$507,0)),""))</f>
        <v/>
      </c>
      <c r="E289" s="447"/>
      <c r="F289" s="447"/>
      <c r="G289" s="447"/>
      <c r="H289" s="447"/>
      <c r="I289" s="447"/>
      <c r="J289" s="447"/>
      <c r="K289" s="194" t="str">
        <f t="shared" si="5"/>
        <v/>
      </c>
      <c r="L289" s="448"/>
      <c r="M289" s="448"/>
      <c r="N289" s="449" t="str">
        <f>IF(B289="","",IF('E5 — Validação'!M289="✅ Aprovado sem Ajustes","Não",IF(OR('E5 — Validação'!M289="⚠️ Aprovado com Ajustes",'E5 — Validação'!M289="❌ Reprovado"),"Sim","")))</f>
        <v/>
      </c>
    </row>
    <row r="290" spans="2:14" x14ac:dyDescent="0.35">
      <c r="B290" s="445" t="str">
        <f>IF(Lançamentos!$B285="","",Lançamentos!$B285)</f>
        <v/>
      </c>
      <c r="C290" s="446" t="str">
        <f>IF($B290="","",IFERROR(INDEX(Lançamentos!$J$3:$J$1001,MATCH($B290,Lançamentos!$B$3:$B$1001,0)),""))</f>
        <v/>
      </c>
      <c r="D290" s="447" t="str">
        <f>IF($B290="","",IFERROR(INDEX('E2 — Triagem'!$D$8:$D$507,MATCH($B290,'E2 — Triagem'!$B$8:$B$507,0)),""))</f>
        <v/>
      </c>
      <c r="E290" s="447"/>
      <c r="F290" s="447"/>
      <c r="G290" s="447"/>
      <c r="H290" s="447"/>
      <c r="I290" s="447"/>
      <c r="J290" s="447"/>
      <c r="K290" s="194" t="str">
        <f t="shared" si="5"/>
        <v/>
      </c>
      <c r="L290" s="448"/>
      <c r="M290" s="448"/>
      <c r="N290" s="449" t="str">
        <f>IF(B290="","",IF('E5 — Validação'!M290="✅ Aprovado sem Ajustes","Não",IF(OR('E5 — Validação'!M290="⚠️ Aprovado com Ajustes",'E5 — Validação'!M290="❌ Reprovado"),"Sim","")))</f>
        <v/>
      </c>
    </row>
    <row r="291" spans="2:14" x14ac:dyDescent="0.35">
      <c r="B291" s="445" t="str">
        <f>IF(Lançamentos!$B286="","",Lançamentos!$B286)</f>
        <v/>
      </c>
      <c r="C291" s="446" t="str">
        <f>IF($B291="","",IFERROR(INDEX(Lançamentos!$J$3:$J$1001,MATCH($B291,Lançamentos!$B$3:$B$1001,0)),""))</f>
        <v/>
      </c>
      <c r="D291" s="447" t="str">
        <f>IF($B291="","",IFERROR(INDEX('E2 — Triagem'!$D$8:$D$507,MATCH($B291,'E2 — Triagem'!$B$8:$B$507,0)),""))</f>
        <v/>
      </c>
      <c r="E291" s="447"/>
      <c r="F291" s="447"/>
      <c r="G291" s="447"/>
      <c r="H291" s="447"/>
      <c r="I291" s="447"/>
      <c r="J291" s="447"/>
      <c r="K291" s="194" t="str">
        <f t="shared" si="5"/>
        <v/>
      </c>
      <c r="L291" s="448"/>
      <c r="M291" s="448"/>
      <c r="N291" s="449" t="str">
        <f>IF(B291="","",IF('E5 — Validação'!M291="✅ Aprovado sem Ajustes","Não",IF(OR('E5 — Validação'!M291="⚠️ Aprovado com Ajustes",'E5 — Validação'!M291="❌ Reprovado"),"Sim","")))</f>
        <v/>
      </c>
    </row>
    <row r="292" spans="2:14" x14ac:dyDescent="0.35">
      <c r="B292" s="445" t="str">
        <f>IF(Lançamentos!$B287="","",Lançamentos!$B287)</f>
        <v/>
      </c>
      <c r="C292" s="446" t="str">
        <f>IF($B292="","",IFERROR(INDEX(Lançamentos!$J$3:$J$1001,MATCH($B292,Lançamentos!$B$3:$B$1001,0)),""))</f>
        <v/>
      </c>
      <c r="D292" s="447" t="str">
        <f>IF($B292="","",IFERROR(INDEX('E2 — Triagem'!$D$8:$D$507,MATCH($B292,'E2 — Triagem'!$B$8:$B$507,0)),""))</f>
        <v/>
      </c>
      <c r="E292" s="447"/>
      <c r="F292" s="447"/>
      <c r="G292" s="447"/>
      <c r="H292" s="447"/>
      <c r="I292" s="447"/>
      <c r="J292" s="447"/>
      <c r="K292" s="194" t="str">
        <f t="shared" si="5"/>
        <v/>
      </c>
      <c r="L292" s="448"/>
      <c r="M292" s="448"/>
      <c r="N292" s="449" t="str">
        <f>IF(B292="","",IF('E5 — Validação'!M292="✅ Aprovado sem Ajustes","Não",IF(OR('E5 — Validação'!M292="⚠️ Aprovado com Ajustes",'E5 — Validação'!M292="❌ Reprovado"),"Sim","")))</f>
        <v/>
      </c>
    </row>
    <row r="293" spans="2:14" x14ac:dyDescent="0.35">
      <c r="B293" s="445" t="str">
        <f>IF(Lançamentos!$B288="","",Lançamentos!$B288)</f>
        <v/>
      </c>
      <c r="C293" s="446" t="str">
        <f>IF($B293="","",IFERROR(INDEX(Lançamentos!$J$3:$J$1001,MATCH($B293,Lançamentos!$B$3:$B$1001,0)),""))</f>
        <v/>
      </c>
      <c r="D293" s="447" t="str">
        <f>IF($B293="","",IFERROR(INDEX('E2 — Triagem'!$D$8:$D$507,MATCH($B293,'E2 — Triagem'!$B$8:$B$507,0)),""))</f>
        <v/>
      </c>
      <c r="E293" s="447"/>
      <c r="F293" s="447"/>
      <c r="G293" s="447"/>
      <c r="H293" s="447"/>
      <c r="I293" s="447"/>
      <c r="J293" s="447"/>
      <c r="K293" s="194" t="str">
        <f t="shared" si="5"/>
        <v/>
      </c>
      <c r="L293" s="448"/>
      <c r="M293" s="448"/>
      <c r="N293" s="449" t="str">
        <f>IF(B293="","",IF('E5 — Validação'!M293="✅ Aprovado sem Ajustes","Não",IF(OR('E5 — Validação'!M293="⚠️ Aprovado com Ajustes",'E5 — Validação'!M293="❌ Reprovado"),"Sim","")))</f>
        <v/>
      </c>
    </row>
    <row r="294" spans="2:14" x14ac:dyDescent="0.35">
      <c r="B294" s="445" t="str">
        <f>IF(Lançamentos!$B289="","",Lançamentos!$B289)</f>
        <v/>
      </c>
      <c r="C294" s="446" t="str">
        <f>IF($B294="","",IFERROR(INDEX(Lançamentos!$J$3:$J$1001,MATCH($B294,Lançamentos!$B$3:$B$1001,0)),""))</f>
        <v/>
      </c>
      <c r="D294" s="447" t="str">
        <f>IF($B294="","",IFERROR(INDEX('E2 — Triagem'!$D$8:$D$507,MATCH($B294,'E2 — Triagem'!$B$8:$B$507,0)),""))</f>
        <v/>
      </c>
      <c r="E294" s="447"/>
      <c r="F294" s="447"/>
      <c r="G294" s="447"/>
      <c r="H294" s="447"/>
      <c r="I294" s="447"/>
      <c r="J294" s="447"/>
      <c r="K294" s="194" t="str">
        <f t="shared" si="5"/>
        <v/>
      </c>
      <c r="L294" s="448"/>
      <c r="M294" s="448"/>
      <c r="N294" s="449" t="str">
        <f>IF(B294="","",IF('E5 — Validação'!M294="✅ Aprovado sem Ajustes","Não",IF(OR('E5 — Validação'!M294="⚠️ Aprovado com Ajustes",'E5 — Validação'!M294="❌ Reprovado"),"Sim","")))</f>
        <v/>
      </c>
    </row>
    <row r="295" spans="2:14" x14ac:dyDescent="0.35">
      <c r="B295" s="445" t="str">
        <f>IF(Lançamentos!$B290="","",Lançamentos!$B290)</f>
        <v/>
      </c>
      <c r="C295" s="446" t="str">
        <f>IF($B295="","",IFERROR(INDEX(Lançamentos!$J$3:$J$1001,MATCH($B295,Lançamentos!$B$3:$B$1001,0)),""))</f>
        <v/>
      </c>
      <c r="D295" s="447" t="str">
        <f>IF($B295="","",IFERROR(INDEX('E2 — Triagem'!$D$8:$D$507,MATCH($B295,'E2 — Triagem'!$B$8:$B$507,0)),""))</f>
        <v/>
      </c>
      <c r="E295" s="447"/>
      <c r="F295" s="447"/>
      <c r="G295" s="447"/>
      <c r="H295" s="447"/>
      <c r="I295" s="447"/>
      <c r="J295" s="447"/>
      <c r="K295" s="194" t="str">
        <f t="shared" si="5"/>
        <v/>
      </c>
      <c r="L295" s="448"/>
      <c r="M295" s="448"/>
      <c r="N295" s="449" t="str">
        <f>IF(B295="","",IF('E5 — Validação'!M295="✅ Aprovado sem Ajustes","Não",IF(OR('E5 — Validação'!M295="⚠️ Aprovado com Ajustes",'E5 — Validação'!M295="❌ Reprovado"),"Sim","")))</f>
        <v/>
      </c>
    </row>
    <row r="296" spans="2:14" x14ac:dyDescent="0.35">
      <c r="B296" s="445" t="str">
        <f>IF(Lançamentos!$B291="","",Lançamentos!$B291)</f>
        <v/>
      </c>
      <c r="C296" s="446" t="str">
        <f>IF($B296="","",IFERROR(INDEX(Lançamentos!$J$3:$J$1001,MATCH($B296,Lançamentos!$B$3:$B$1001,0)),""))</f>
        <v/>
      </c>
      <c r="D296" s="447" t="str">
        <f>IF($B296="","",IFERROR(INDEX('E2 — Triagem'!$D$8:$D$507,MATCH($B296,'E2 — Triagem'!$B$8:$B$507,0)),""))</f>
        <v/>
      </c>
      <c r="E296" s="447"/>
      <c r="F296" s="447"/>
      <c r="G296" s="447"/>
      <c r="H296" s="447"/>
      <c r="I296" s="447"/>
      <c r="J296" s="447"/>
      <c r="K296" s="194" t="str">
        <f t="shared" si="5"/>
        <v/>
      </c>
      <c r="L296" s="448"/>
      <c r="M296" s="448"/>
      <c r="N296" s="449" t="str">
        <f>IF(B296="","",IF('E5 — Validação'!M296="✅ Aprovado sem Ajustes","Não",IF(OR('E5 — Validação'!M296="⚠️ Aprovado com Ajustes",'E5 — Validação'!M296="❌ Reprovado"),"Sim","")))</f>
        <v/>
      </c>
    </row>
    <row r="297" spans="2:14" x14ac:dyDescent="0.35">
      <c r="B297" s="445" t="str">
        <f>IF(Lançamentos!$B292="","",Lançamentos!$B292)</f>
        <v/>
      </c>
      <c r="C297" s="446" t="str">
        <f>IF($B297="","",IFERROR(INDEX(Lançamentos!$J$3:$J$1001,MATCH($B297,Lançamentos!$B$3:$B$1001,0)),""))</f>
        <v/>
      </c>
      <c r="D297" s="447" t="str">
        <f>IF($B297="","",IFERROR(INDEX('E2 — Triagem'!$D$8:$D$507,MATCH($B297,'E2 — Triagem'!$B$8:$B$507,0)),""))</f>
        <v/>
      </c>
      <c r="E297" s="447"/>
      <c r="F297" s="447"/>
      <c r="G297" s="447"/>
      <c r="H297" s="447"/>
      <c r="I297" s="447"/>
      <c r="J297" s="447"/>
      <c r="K297" s="194" t="str">
        <f t="shared" si="5"/>
        <v/>
      </c>
      <c r="L297" s="448"/>
      <c r="M297" s="448"/>
      <c r="N297" s="449" t="str">
        <f>IF(B297="","",IF('E5 — Validação'!M297="✅ Aprovado sem Ajustes","Não",IF(OR('E5 — Validação'!M297="⚠️ Aprovado com Ajustes",'E5 — Validação'!M297="❌ Reprovado"),"Sim","")))</f>
        <v/>
      </c>
    </row>
    <row r="298" spans="2:14" x14ac:dyDescent="0.35">
      <c r="B298" s="445" t="str">
        <f>IF(Lançamentos!$B293="","",Lançamentos!$B293)</f>
        <v/>
      </c>
      <c r="C298" s="446" t="str">
        <f>IF($B298="","",IFERROR(INDEX(Lançamentos!$J$3:$J$1001,MATCH($B298,Lançamentos!$B$3:$B$1001,0)),""))</f>
        <v/>
      </c>
      <c r="D298" s="447" t="str">
        <f>IF($B298="","",IFERROR(INDEX('E2 — Triagem'!$D$8:$D$507,MATCH($B298,'E2 — Triagem'!$B$8:$B$507,0)),""))</f>
        <v/>
      </c>
      <c r="E298" s="447"/>
      <c r="F298" s="447"/>
      <c r="G298" s="447"/>
      <c r="H298" s="447"/>
      <c r="I298" s="447"/>
      <c r="J298" s="447"/>
      <c r="K298" s="194" t="str">
        <f t="shared" si="5"/>
        <v/>
      </c>
      <c r="L298" s="448"/>
      <c r="M298" s="448"/>
      <c r="N298" s="449" t="str">
        <f>IF(B298="","",IF('E5 — Validação'!M298="✅ Aprovado sem Ajustes","Não",IF(OR('E5 — Validação'!M298="⚠️ Aprovado com Ajustes",'E5 — Validação'!M298="❌ Reprovado"),"Sim","")))</f>
        <v/>
      </c>
    </row>
    <row r="299" spans="2:14" x14ac:dyDescent="0.35">
      <c r="B299" s="445" t="str">
        <f>IF(Lançamentos!$B294="","",Lançamentos!$B294)</f>
        <v/>
      </c>
      <c r="C299" s="446" t="str">
        <f>IF($B299="","",IFERROR(INDEX(Lançamentos!$J$3:$J$1001,MATCH($B299,Lançamentos!$B$3:$B$1001,0)),""))</f>
        <v/>
      </c>
      <c r="D299" s="447" t="str">
        <f>IF($B299="","",IFERROR(INDEX('E2 — Triagem'!$D$8:$D$507,MATCH($B299,'E2 — Triagem'!$B$8:$B$507,0)),""))</f>
        <v/>
      </c>
      <c r="E299" s="447"/>
      <c r="F299" s="447"/>
      <c r="G299" s="447"/>
      <c r="H299" s="447"/>
      <c r="I299" s="447"/>
      <c r="J299" s="447"/>
      <c r="K299" s="194" t="str">
        <f t="shared" si="5"/>
        <v/>
      </c>
      <c r="L299" s="448"/>
      <c r="M299" s="448"/>
      <c r="N299" s="449" t="str">
        <f>IF(B299="","",IF('E5 — Validação'!M299="✅ Aprovado sem Ajustes","Não",IF(OR('E5 — Validação'!M299="⚠️ Aprovado com Ajustes",'E5 — Validação'!M299="❌ Reprovado"),"Sim","")))</f>
        <v/>
      </c>
    </row>
    <row r="300" spans="2:14" x14ac:dyDescent="0.35">
      <c r="B300" s="445" t="str">
        <f>IF(Lançamentos!$B295="","",Lançamentos!$B295)</f>
        <v/>
      </c>
      <c r="C300" s="446" t="str">
        <f>IF($B300="","",IFERROR(INDEX(Lançamentos!$J$3:$J$1001,MATCH($B300,Lançamentos!$B$3:$B$1001,0)),""))</f>
        <v/>
      </c>
      <c r="D300" s="447" t="str">
        <f>IF($B300="","",IFERROR(INDEX('E2 — Triagem'!$D$8:$D$507,MATCH($B300,'E2 — Triagem'!$B$8:$B$507,0)),""))</f>
        <v/>
      </c>
      <c r="E300" s="447"/>
      <c r="F300" s="447"/>
      <c r="G300" s="447"/>
      <c r="H300" s="447"/>
      <c r="I300" s="447"/>
      <c r="J300" s="447"/>
      <c r="K300" s="194" t="str">
        <f t="shared" si="5"/>
        <v/>
      </c>
      <c r="L300" s="448"/>
      <c r="M300" s="448"/>
      <c r="N300" s="449" t="str">
        <f>IF(B300="","",IF('E5 — Validação'!M300="✅ Aprovado sem Ajustes","Não",IF(OR('E5 — Validação'!M300="⚠️ Aprovado com Ajustes",'E5 — Validação'!M300="❌ Reprovado"),"Sim","")))</f>
        <v/>
      </c>
    </row>
    <row r="301" spans="2:14" x14ac:dyDescent="0.35">
      <c r="B301" s="445" t="str">
        <f>IF(Lançamentos!$B296="","",Lançamentos!$B296)</f>
        <v/>
      </c>
      <c r="C301" s="446" t="str">
        <f>IF($B301="","",IFERROR(INDEX(Lançamentos!$J$3:$J$1001,MATCH($B301,Lançamentos!$B$3:$B$1001,0)),""))</f>
        <v/>
      </c>
      <c r="D301" s="447" t="str">
        <f>IF($B301="","",IFERROR(INDEX('E2 — Triagem'!$D$8:$D$507,MATCH($B301,'E2 — Triagem'!$B$8:$B$507,0)),""))</f>
        <v/>
      </c>
      <c r="E301" s="447"/>
      <c r="F301" s="447"/>
      <c r="G301" s="447"/>
      <c r="H301" s="447"/>
      <c r="I301" s="447"/>
      <c r="J301" s="447"/>
      <c r="K301" s="194" t="str">
        <f t="shared" si="5"/>
        <v/>
      </c>
      <c r="L301" s="448"/>
      <c r="M301" s="448"/>
      <c r="N301" s="449" t="str">
        <f>IF(B301="","",IF('E5 — Validação'!M301="✅ Aprovado sem Ajustes","Não",IF(OR('E5 — Validação'!M301="⚠️ Aprovado com Ajustes",'E5 — Validação'!M301="❌ Reprovado"),"Sim","")))</f>
        <v/>
      </c>
    </row>
    <row r="302" spans="2:14" x14ac:dyDescent="0.35">
      <c r="B302" s="445" t="str">
        <f>IF(Lançamentos!$B297="","",Lançamentos!$B297)</f>
        <v/>
      </c>
      <c r="C302" s="446" t="str">
        <f>IF($B302="","",IFERROR(INDEX(Lançamentos!$J$3:$J$1001,MATCH($B302,Lançamentos!$B$3:$B$1001,0)),""))</f>
        <v/>
      </c>
      <c r="D302" s="447" t="str">
        <f>IF($B302="","",IFERROR(INDEX('E2 — Triagem'!$D$8:$D$507,MATCH($B302,'E2 — Triagem'!$B$8:$B$507,0)),""))</f>
        <v/>
      </c>
      <c r="E302" s="447"/>
      <c r="F302" s="447"/>
      <c r="G302" s="447"/>
      <c r="H302" s="447"/>
      <c r="I302" s="447"/>
      <c r="J302" s="447"/>
      <c r="K302" s="194" t="str">
        <f t="shared" si="5"/>
        <v/>
      </c>
      <c r="L302" s="448"/>
      <c r="M302" s="448"/>
      <c r="N302" s="449" t="str">
        <f>IF(B302="","",IF('E5 — Validação'!M302="✅ Aprovado sem Ajustes","Não",IF(OR('E5 — Validação'!M302="⚠️ Aprovado com Ajustes",'E5 — Validação'!M302="❌ Reprovado"),"Sim","")))</f>
        <v/>
      </c>
    </row>
    <row r="303" spans="2:14" x14ac:dyDescent="0.35">
      <c r="B303" s="445" t="str">
        <f>IF(Lançamentos!$B298="","",Lançamentos!$B298)</f>
        <v/>
      </c>
      <c r="C303" s="446" t="str">
        <f>IF($B303="","",IFERROR(INDEX(Lançamentos!$J$3:$J$1001,MATCH($B303,Lançamentos!$B$3:$B$1001,0)),""))</f>
        <v/>
      </c>
      <c r="D303" s="447" t="str">
        <f>IF($B303="","",IFERROR(INDEX('E2 — Triagem'!$D$8:$D$507,MATCH($B303,'E2 — Triagem'!$B$8:$B$507,0)),""))</f>
        <v/>
      </c>
      <c r="E303" s="447"/>
      <c r="F303" s="447"/>
      <c r="G303" s="447"/>
      <c r="H303" s="447"/>
      <c r="I303" s="447"/>
      <c r="J303" s="447"/>
      <c r="K303" s="194" t="str">
        <f t="shared" si="5"/>
        <v/>
      </c>
      <c r="L303" s="448"/>
      <c r="M303" s="448"/>
      <c r="N303" s="449" t="str">
        <f>IF(B303="","",IF('E5 — Validação'!M303="✅ Aprovado sem Ajustes","Não",IF(OR('E5 — Validação'!M303="⚠️ Aprovado com Ajustes",'E5 — Validação'!M303="❌ Reprovado"),"Sim","")))</f>
        <v/>
      </c>
    </row>
    <row r="304" spans="2:14" x14ac:dyDescent="0.35">
      <c r="B304" s="445" t="str">
        <f>IF(Lançamentos!$B299="","",Lançamentos!$B299)</f>
        <v/>
      </c>
      <c r="C304" s="446" t="str">
        <f>IF($B304="","",IFERROR(INDEX(Lançamentos!$J$3:$J$1001,MATCH($B304,Lançamentos!$B$3:$B$1001,0)),""))</f>
        <v/>
      </c>
      <c r="D304" s="447" t="str">
        <f>IF($B304="","",IFERROR(INDEX('E2 — Triagem'!$D$8:$D$507,MATCH($B304,'E2 — Triagem'!$B$8:$B$507,0)),""))</f>
        <v/>
      </c>
      <c r="E304" s="447"/>
      <c r="F304" s="447"/>
      <c r="G304" s="447"/>
      <c r="H304" s="447"/>
      <c r="I304" s="447"/>
      <c r="J304" s="447"/>
      <c r="K304" s="194" t="str">
        <f t="shared" si="5"/>
        <v/>
      </c>
      <c r="L304" s="448"/>
      <c r="M304" s="448"/>
      <c r="N304" s="449" t="str">
        <f>IF(B304="","",IF('E5 — Validação'!M304="✅ Aprovado sem Ajustes","Não",IF(OR('E5 — Validação'!M304="⚠️ Aprovado com Ajustes",'E5 — Validação'!M304="❌ Reprovado"),"Sim","")))</f>
        <v/>
      </c>
    </row>
    <row r="305" spans="2:14" x14ac:dyDescent="0.35">
      <c r="B305" s="445" t="str">
        <f>IF(Lançamentos!$B300="","",Lançamentos!$B300)</f>
        <v/>
      </c>
      <c r="C305" s="446" t="str">
        <f>IF($B305="","",IFERROR(INDEX(Lançamentos!$J$3:$J$1001,MATCH($B305,Lançamentos!$B$3:$B$1001,0)),""))</f>
        <v/>
      </c>
      <c r="D305" s="447" t="str">
        <f>IF($B305="","",IFERROR(INDEX('E2 — Triagem'!$D$8:$D$507,MATCH($B305,'E2 — Triagem'!$B$8:$B$507,0)),""))</f>
        <v/>
      </c>
      <c r="E305" s="447"/>
      <c r="F305" s="447"/>
      <c r="G305" s="447"/>
      <c r="H305" s="447"/>
      <c r="I305" s="447"/>
      <c r="J305" s="447"/>
      <c r="K305" s="194" t="str">
        <f t="shared" si="5"/>
        <v/>
      </c>
      <c r="L305" s="448"/>
      <c r="M305" s="448"/>
      <c r="N305" s="449" t="str">
        <f>IF(B305="","",IF('E5 — Validação'!M305="✅ Aprovado sem Ajustes","Não",IF(OR('E5 — Validação'!M305="⚠️ Aprovado com Ajustes",'E5 — Validação'!M305="❌ Reprovado"),"Sim","")))</f>
        <v/>
      </c>
    </row>
    <row r="306" spans="2:14" x14ac:dyDescent="0.35">
      <c r="B306" s="445" t="str">
        <f>IF(Lançamentos!$B301="","",Lançamentos!$B301)</f>
        <v/>
      </c>
      <c r="C306" s="446" t="str">
        <f>IF($B306="","",IFERROR(INDEX(Lançamentos!$J$3:$J$1001,MATCH($B306,Lançamentos!$B$3:$B$1001,0)),""))</f>
        <v/>
      </c>
      <c r="D306" s="447" t="str">
        <f>IF($B306="","",IFERROR(INDEX('E2 — Triagem'!$D$8:$D$507,MATCH($B306,'E2 — Triagem'!$B$8:$B$507,0)),""))</f>
        <v/>
      </c>
      <c r="E306" s="447"/>
      <c r="F306" s="447"/>
      <c r="G306" s="447"/>
      <c r="H306" s="447"/>
      <c r="I306" s="447"/>
      <c r="J306" s="447"/>
      <c r="K306" s="194" t="str">
        <f t="shared" si="5"/>
        <v/>
      </c>
      <c r="L306" s="448"/>
      <c r="M306" s="448"/>
      <c r="N306" s="449" t="str">
        <f>IF(B306="","",IF('E5 — Validação'!M306="✅ Aprovado sem Ajustes","Não",IF(OR('E5 — Validação'!M306="⚠️ Aprovado com Ajustes",'E5 — Validação'!M306="❌ Reprovado"),"Sim","")))</f>
        <v/>
      </c>
    </row>
    <row r="307" spans="2:14" x14ac:dyDescent="0.35">
      <c r="B307" s="445" t="str">
        <f>IF(Lançamentos!$B302="","",Lançamentos!$B302)</f>
        <v/>
      </c>
      <c r="C307" s="446" t="str">
        <f>IF($B307="","",IFERROR(INDEX(Lançamentos!$J$3:$J$1001,MATCH($B307,Lançamentos!$B$3:$B$1001,0)),""))</f>
        <v/>
      </c>
      <c r="D307" s="447" t="str">
        <f>IF($B307="","",IFERROR(INDEX('E2 — Triagem'!$D$8:$D$507,MATCH($B307,'E2 — Triagem'!$B$8:$B$507,0)),""))</f>
        <v/>
      </c>
      <c r="E307" s="447"/>
      <c r="F307" s="447"/>
      <c r="G307" s="447"/>
      <c r="H307" s="447"/>
      <c r="I307" s="447"/>
      <c r="J307" s="447"/>
      <c r="K307" s="194" t="str">
        <f t="shared" si="5"/>
        <v/>
      </c>
      <c r="L307" s="448"/>
      <c r="M307" s="448"/>
      <c r="N307" s="449" t="str">
        <f>IF(B307="","",IF('E5 — Validação'!M307="✅ Aprovado sem Ajustes","Não",IF(OR('E5 — Validação'!M307="⚠️ Aprovado com Ajustes",'E5 — Validação'!M307="❌ Reprovado"),"Sim","")))</f>
        <v/>
      </c>
    </row>
    <row r="308" spans="2:14" x14ac:dyDescent="0.35">
      <c r="B308" s="445" t="str">
        <f>IF(Lançamentos!$B303="","",Lançamentos!$B303)</f>
        <v/>
      </c>
      <c r="C308" s="446" t="str">
        <f>IF($B308="","",IFERROR(INDEX(Lançamentos!$J$3:$J$1001,MATCH($B308,Lançamentos!$B$3:$B$1001,0)),""))</f>
        <v/>
      </c>
      <c r="D308" s="447" t="str">
        <f>IF($B308="","",IFERROR(INDEX('E2 — Triagem'!$D$8:$D$507,MATCH($B308,'E2 — Triagem'!$B$8:$B$507,0)),""))</f>
        <v/>
      </c>
      <c r="E308" s="447"/>
      <c r="F308" s="447"/>
      <c r="G308" s="447"/>
      <c r="H308" s="447"/>
      <c r="I308" s="447"/>
      <c r="J308" s="447"/>
      <c r="K308" s="194" t="str">
        <f t="shared" si="5"/>
        <v/>
      </c>
      <c r="L308" s="448"/>
      <c r="M308" s="448"/>
      <c r="N308" s="449" t="str">
        <f>IF(B308="","",IF('E5 — Validação'!M308="✅ Aprovado sem Ajustes","Não",IF(OR('E5 — Validação'!M308="⚠️ Aprovado com Ajustes",'E5 — Validação'!M308="❌ Reprovado"),"Sim","")))</f>
        <v/>
      </c>
    </row>
    <row r="309" spans="2:14" x14ac:dyDescent="0.35">
      <c r="B309" s="445" t="str">
        <f>IF(Lançamentos!$B304="","",Lançamentos!$B304)</f>
        <v/>
      </c>
      <c r="C309" s="446" t="str">
        <f>IF($B309="","",IFERROR(INDEX(Lançamentos!$J$3:$J$1001,MATCH($B309,Lançamentos!$B$3:$B$1001,0)),""))</f>
        <v/>
      </c>
      <c r="D309" s="447" t="str">
        <f>IF($B309="","",IFERROR(INDEX('E2 — Triagem'!$D$8:$D$507,MATCH($B309,'E2 — Triagem'!$B$8:$B$507,0)),""))</f>
        <v/>
      </c>
      <c r="E309" s="447"/>
      <c r="F309" s="447"/>
      <c r="G309" s="447"/>
      <c r="H309" s="447"/>
      <c r="I309" s="447"/>
      <c r="J309" s="447"/>
      <c r="K309" s="194" t="str">
        <f t="shared" si="5"/>
        <v/>
      </c>
      <c r="L309" s="448"/>
      <c r="M309" s="448"/>
      <c r="N309" s="449" t="str">
        <f>IF(B309="","",IF('E5 — Validação'!M309="✅ Aprovado sem Ajustes","Não",IF(OR('E5 — Validação'!M309="⚠️ Aprovado com Ajustes",'E5 — Validação'!M309="❌ Reprovado"),"Sim","")))</f>
        <v/>
      </c>
    </row>
    <row r="310" spans="2:14" x14ac:dyDescent="0.35">
      <c r="B310" s="445" t="str">
        <f>IF(Lançamentos!$B305="","",Lançamentos!$B305)</f>
        <v/>
      </c>
      <c r="C310" s="446" t="str">
        <f>IF($B310="","",IFERROR(INDEX(Lançamentos!$J$3:$J$1001,MATCH($B310,Lançamentos!$B$3:$B$1001,0)),""))</f>
        <v/>
      </c>
      <c r="D310" s="447" t="str">
        <f>IF($B310="","",IFERROR(INDEX('E2 — Triagem'!$D$8:$D$507,MATCH($B310,'E2 — Triagem'!$B$8:$B$507,0)),""))</f>
        <v/>
      </c>
      <c r="E310" s="447"/>
      <c r="F310" s="447"/>
      <c r="G310" s="447"/>
      <c r="H310" s="447"/>
      <c r="I310" s="447"/>
      <c r="J310" s="447"/>
      <c r="K310" s="194" t="str">
        <f t="shared" si="5"/>
        <v/>
      </c>
      <c r="L310" s="448"/>
      <c r="M310" s="448"/>
      <c r="N310" s="449" t="str">
        <f>IF(B310="","",IF('E5 — Validação'!M310="✅ Aprovado sem Ajustes","Não",IF(OR('E5 — Validação'!M310="⚠️ Aprovado com Ajustes",'E5 — Validação'!M310="❌ Reprovado"),"Sim","")))</f>
        <v/>
      </c>
    </row>
    <row r="311" spans="2:14" x14ac:dyDescent="0.35">
      <c r="B311" s="445" t="str">
        <f>IF(Lançamentos!$B306="","",Lançamentos!$B306)</f>
        <v/>
      </c>
      <c r="C311" s="446" t="str">
        <f>IF($B311="","",IFERROR(INDEX(Lançamentos!$J$3:$J$1001,MATCH($B311,Lançamentos!$B$3:$B$1001,0)),""))</f>
        <v/>
      </c>
      <c r="D311" s="447" t="str">
        <f>IF($B311="","",IFERROR(INDEX('E2 — Triagem'!$D$8:$D$507,MATCH($B311,'E2 — Triagem'!$B$8:$B$507,0)),""))</f>
        <v/>
      </c>
      <c r="E311" s="447"/>
      <c r="F311" s="447"/>
      <c r="G311" s="447"/>
      <c r="H311" s="447"/>
      <c r="I311" s="447"/>
      <c r="J311" s="447"/>
      <c r="K311" s="194" t="str">
        <f t="shared" si="5"/>
        <v/>
      </c>
      <c r="L311" s="448"/>
      <c r="M311" s="448"/>
      <c r="N311" s="449" t="str">
        <f>IF(B311="","",IF('E5 — Validação'!M311="✅ Aprovado sem Ajustes","Não",IF(OR('E5 — Validação'!M311="⚠️ Aprovado com Ajustes",'E5 — Validação'!M311="❌ Reprovado"),"Sim","")))</f>
        <v/>
      </c>
    </row>
    <row r="312" spans="2:14" x14ac:dyDescent="0.35">
      <c r="B312" s="445" t="str">
        <f>IF(Lançamentos!$B307="","",Lançamentos!$B307)</f>
        <v/>
      </c>
      <c r="C312" s="446" t="str">
        <f>IF($B312="","",IFERROR(INDEX(Lançamentos!$J$3:$J$1001,MATCH($B312,Lançamentos!$B$3:$B$1001,0)),""))</f>
        <v/>
      </c>
      <c r="D312" s="447" t="str">
        <f>IF($B312="","",IFERROR(INDEX('E2 — Triagem'!$D$8:$D$507,MATCH($B312,'E2 — Triagem'!$B$8:$B$507,0)),""))</f>
        <v/>
      </c>
      <c r="E312" s="447"/>
      <c r="F312" s="447"/>
      <c r="G312" s="447"/>
      <c r="H312" s="447"/>
      <c r="I312" s="447"/>
      <c r="J312" s="447"/>
      <c r="K312" s="194" t="str">
        <f t="shared" si="5"/>
        <v/>
      </c>
      <c r="L312" s="448"/>
      <c r="M312" s="448"/>
      <c r="N312" s="449" t="str">
        <f>IF(B312="","",IF('E5 — Validação'!M312="✅ Aprovado sem Ajustes","Não",IF(OR('E5 — Validação'!M312="⚠️ Aprovado com Ajustes",'E5 — Validação'!M312="❌ Reprovado"),"Sim","")))</f>
        <v/>
      </c>
    </row>
    <row r="313" spans="2:14" x14ac:dyDescent="0.35">
      <c r="B313" s="445" t="str">
        <f>IF(Lançamentos!$B308="","",Lançamentos!$B308)</f>
        <v/>
      </c>
      <c r="C313" s="446" t="str">
        <f>IF($B313="","",IFERROR(INDEX(Lançamentos!$J$3:$J$1001,MATCH($B313,Lançamentos!$B$3:$B$1001,0)),""))</f>
        <v/>
      </c>
      <c r="D313" s="447" t="str">
        <f>IF($B313="","",IFERROR(INDEX('E2 — Triagem'!$D$8:$D$507,MATCH($B313,'E2 — Triagem'!$B$8:$B$507,0)),""))</f>
        <v/>
      </c>
      <c r="E313" s="447"/>
      <c r="F313" s="447"/>
      <c r="G313" s="447"/>
      <c r="H313" s="447"/>
      <c r="I313" s="447"/>
      <c r="J313" s="447"/>
      <c r="K313" s="194" t="str">
        <f t="shared" si="5"/>
        <v/>
      </c>
      <c r="L313" s="448"/>
      <c r="M313" s="448"/>
      <c r="N313" s="449" t="str">
        <f>IF(B313="","",IF('E5 — Validação'!M313="✅ Aprovado sem Ajustes","Não",IF(OR('E5 — Validação'!M313="⚠️ Aprovado com Ajustes",'E5 — Validação'!M313="❌ Reprovado"),"Sim","")))</f>
        <v/>
      </c>
    </row>
    <row r="314" spans="2:14" x14ac:dyDescent="0.35">
      <c r="B314" s="445" t="str">
        <f>IF(Lançamentos!$B309="","",Lançamentos!$B309)</f>
        <v/>
      </c>
      <c r="C314" s="446" t="str">
        <f>IF($B314="","",IFERROR(INDEX(Lançamentos!$J$3:$J$1001,MATCH($B314,Lançamentos!$B$3:$B$1001,0)),""))</f>
        <v/>
      </c>
      <c r="D314" s="447" t="str">
        <f>IF($B314="","",IFERROR(INDEX('E2 — Triagem'!$D$8:$D$507,MATCH($B314,'E2 — Triagem'!$B$8:$B$507,0)),""))</f>
        <v/>
      </c>
      <c r="E314" s="447"/>
      <c r="F314" s="447"/>
      <c r="G314" s="447"/>
      <c r="H314" s="447"/>
      <c r="I314" s="447"/>
      <c r="J314" s="447"/>
      <c r="K314" s="194" t="str">
        <f t="shared" si="5"/>
        <v/>
      </c>
      <c r="L314" s="448"/>
      <c r="M314" s="448"/>
      <c r="N314" s="449" t="str">
        <f>IF(B314="","",IF('E5 — Validação'!M314="✅ Aprovado sem Ajustes","Não",IF(OR('E5 — Validação'!M314="⚠️ Aprovado com Ajustes",'E5 — Validação'!M314="❌ Reprovado"),"Sim","")))</f>
        <v/>
      </c>
    </row>
    <row r="315" spans="2:14" x14ac:dyDescent="0.35">
      <c r="B315" s="445" t="str">
        <f>IF(Lançamentos!$B310="","",Lançamentos!$B310)</f>
        <v/>
      </c>
      <c r="C315" s="446" t="str">
        <f>IF($B315="","",IFERROR(INDEX(Lançamentos!$J$3:$J$1001,MATCH($B315,Lançamentos!$B$3:$B$1001,0)),""))</f>
        <v/>
      </c>
      <c r="D315" s="447" t="str">
        <f>IF($B315="","",IFERROR(INDEX('E2 — Triagem'!$D$8:$D$507,MATCH($B315,'E2 — Triagem'!$B$8:$B$507,0)),""))</f>
        <v/>
      </c>
      <c r="E315" s="447"/>
      <c r="F315" s="447"/>
      <c r="G315" s="447"/>
      <c r="H315" s="447"/>
      <c r="I315" s="447"/>
      <c r="J315" s="447"/>
      <c r="K315" s="194" t="str">
        <f t="shared" si="5"/>
        <v/>
      </c>
      <c r="L315" s="448"/>
      <c r="M315" s="448"/>
      <c r="N315" s="449" t="str">
        <f>IF(B315="","",IF('E5 — Validação'!M315="✅ Aprovado sem Ajustes","Não",IF(OR('E5 — Validação'!M315="⚠️ Aprovado com Ajustes",'E5 — Validação'!M315="❌ Reprovado"),"Sim","")))</f>
        <v/>
      </c>
    </row>
    <row r="316" spans="2:14" x14ac:dyDescent="0.35">
      <c r="B316" s="445" t="str">
        <f>IF(Lançamentos!$B311="","",Lançamentos!$B311)</f>
        <v/>
      </c>
      <c r="C316" s="446" t="str">
        <f>IF($B316="","",IFERROR(INDEX(Lançamentos!$J$3:$J$1001,MATCH($B316,Lançamentos!$B$3:$B$1001,0)),""))</f>
        <v/>
      </c>
      <c r="D316" s="447" t="str">
        <f>IF($B316="","",IFERROR(INDEX('E2 — Triagem'!$D$8:$D$507,MATCH($B316,'E2 — Triagem'!$B$8:$B$507,0)),""))</f>
        <v/>
      </c>
      <c r="E316" s="447"/>
      <c r="F316" s="447"/>
      <c r="G316" s="447"/>
      <c r="H316" s="447"/>
      <c r="I316" s="447"/>
      <c r="J316" s="447"/>
      <c r="K316" s="194" t="str">
        <f t="shared" si="5"/>
        <v/>
      </c>
      <c r="L316" s="448"/>
      <c r="M316" s="448"/>
      <c r="N316" s="449" t="str">
        <f>IF(B316="","",IF('E5 — Validação'!M316="✅ Aprovado sem Ajustes","Não",IF(OR('E5 — Validação'!M316="⚠️ Aprovado com Ajustes",'E5 — Validação'!M316="❌ Reprovado"),"Sim","")))</f>
        <v/>
      </c>
    </row>
    <row r="317" spans="2:14" x14ac:dyDescent="0.35">
      <c r="B317" s="445" t="str">
        <f>IF(Lançamentos!$B312="","",Lançamentos!$B312)</f>
        <v/>
      </c>
      <c r="C317" s="446" t="str">
        <f>IF($B317="","",IFERROR(INDEX(Lançamentos!$J$3:$J$1001,MATCH($B317,Lançamentos!$B$3:$B$1001,0)),""))</f>
        <v/>
      </c>
      <c r="D317" s="447" t="str">
        <f>IF($B317="","",IFERROR(INDEX('E2 — Triagem'!$D$8:$D$507,MATCH($B317,'E2 — Triagem'!$B$8:$B$507,0)),""))</f>
        <v/>
      </c>
      <c r="E317" s="447"/>
      <c r="F317" s="447"/>
      <c r="G317" s="447"/>
      <c r="H317" s="447"/>
      <c r="I317" s="447"/>
      <c r="J317" s="447"/>
      <c r="K317" s="194" t="str">
        <f t="shared" si="5"/>
        <v/>
      </c>
      <c r="L317" s="448"/>
      <c r="M317" s="448"/>
      <c r="N317" s="449" t="str">
        <f>IF(B317="","",IF('E5 — Validação'!M317="✅ Aprovado sem Ajustes","Não",IF(OR('E5 — Validação'!M317="⚠️ Aprovado com Ajustes",'E5 — Validação'!M317="❌ Reprovado"),"Sim","")))</f>
        <v/>
      </c>
    </row>
    <row r="318" spans="2:14" x14ac:dyDescent="0.35">
      <c r="B318" s="445" t="str">
        <f>IF(Lançamentos!$B313="","",Lançamentos!$B313)</f>
        <v/>
      </c>
      <c r="C318" s="446" t="str">
        <f>IF($B318="","",IFERROR(INDEX(Lançamentos!$J$3:$J$1001,MATCH($B318,Lançamentos!$B$3:$B$1001,0)),""))</f>
        <v/>
      </c>
      <c r="D318" s="447" t="str">
        <f>IF($B318="","",IFERROR(INDEX('E2 — Triagem'!$D$8:$D$507,MATCH($B318,'E2 — Triagem'!$B$8:$B$507,0)),""))</f>
        <v/>
      </c>
      <c r="E318" s="447"/>
      <c r="F318" s="447"/>
      <c r="G318" s="447"/>
      <c r="H318" s="447"/>
      <c r="I318" s="447"/>
      <c r="J318" s="447"/>
      <c r="K318" s="194" t="str">
        <f t="shared" si="5"/>
        <v/>
      </c>
      <c r="L318" s="448"/>
      <c r="M318" s="448"/>
      <c r="N318" s="449" t="str">
        <f>IF(B318="","",IF('E5 — Validação'!M318="✅ Aprovado sem Ajustes","Não",IF(OR('E5 — Validação'!M318="⚠️ Aprovado com Ajustes",'E5 — Validação'!M318="❌ Reprovado"),"Sim","")))</f>
        <v/>
      </c>
    </row>
    <row r="319" spans="2:14" x14ac:dyDescent="0.35">
      <c r="B319" s="445" t="str">
        <f>IF(Lançamentos!$B314="","",Lançamentos!$B314)</f>
        <v/>
      </c>
      <c r="C319" s="446" t="str">
        <f>IF($B319="","",IFERROR(INDEX(Lançamentos!$J$3:$J$1001,MATCH($B319,Lançamentos!$B$3:$B$1001,0)),""))</f>
        <v/>
      </c>
      <c r="D319" s="447" t="str">
        <f>IF($B319="","",IFERROR(INDEX('E2 — Triagem'!$D$8:$D$507,MATCH($B319,'E2 — Triagem'!$B$8:$B$507,0)),""))</f>
        <v/>
      </c>
      <c r="E319" s="447"/>
      <c r="F319" s="447"/>
      <c r="G319" s="447"/>
      <c r="H319" s="447"/>
      <c r="I319" s="447"/>
      <c r="J319" s="447"/>
      <c r="K319" s="194" t="str">
        <f t="shared" si="5"/>
        <v/>
      </c>
      <c r="L319" s="448"/>
      <c r="M319" s="448"/>
      <c r="N319" s="449" t="str">
        <f>IF(B319="","",IF('E5 — Validação'!M319="✅ Aprovado sem Ajustes","Não",IF(OR('E5 — Validação'!M319="⚠️ Aprovado com Ajustes",'E5 — Validação'!M319="❌ Reprovado"),"Sim","")))</f>
        <v/>
      </c>
    </row>
    <row r="320" spans="2:14" x14ac:dyDescent="0.35">
      <c r="B320" s="445" t="str">
        <f>IF(Lançamentos!$B315="","",Lançamentos!$B315)</f>
        <v/>
      </c>
      <c r="C320" s="446" t="str">
        <f>IF($B320="","",IFERROR(INDEX(Lançamentos!$J$3:$J$1001,MATCH($B320,Lançamentos!$B$3:$B$1001,0)),""))</f>
        <v/>
      </c>
      <c r="D320" s="447" t="str">
        <f>IF($B320="","",IFERROR(INDEX('E2 — Triagem'!$D$8:$D$507,MATCH($B320,'E2 — Triagem'!$B$8:$B$507,0)),""))</f>
        <v/>
      </c>
      <c r="E320" s="447"/>
      <c r="F320" s="447"/>
      <c r="G320" s="447"/>
      <c r="H320" s="447"/>
      <c r="I320" s="447"/>
      <c r="J320" s="447"/>
      <c r="K320" s="194" t="str">
        <f t="shared" si="5"/>
        <v/>
      </c>
      <c r="L320" s="448"/>
      <c r="M320" s="448"/>
      <c r="N320" s="449" t="str">
        <f>IF(B320="","",IF('E5 — Validação'!M320="✅ Aprovado sem Ajustes","Não",IF(OR('E5 — Validação'!M320="⚠️ Aprovado com Ajustes",'E5 — Validação'!M320="❌ Reprovado"),"Sim","")))</f>
        <v/>
      </c>
    </row>
    <row r="321" spans="2:14" x14ac:dyDescent="0.35">
      <c r="B321" s="445" t="str">
        <f>IF(Lançamentos!$B316="","",Lançamentos!$B316)</f>
        <v/>
      </c>
      <c r="C321" s="446" t="str">
        <f>IF($B321="","",IFERROR(INDEX(Lançamentos!$J$3:$J$1001,MATCH($B321,Lançamentos!$B$3:$B$1001,0)),""))</f>
        <v/>
      </c>
      <c r="D321" s="447" t="str">
        <f>IF($B321="","",IFERROR(INDEX('E2 — Triagem'!$D$8:$D$507,MATCH($B321,'E2 — Triagem'!$B$8:$B$507,0)),""))</f>
        <v/>
      </c>
      <c r="E321" s="447"/>
      <c r="F321" s="447"/>
      <c r="G321" s="447"/>
      <c r="H321" s="447"/>
      <c r="I321" s="447"/>
      <c r="J321" s="447"/>
      <c r="K321" s="194" t="str">
        <f t="shared" si="5"/>
        <v/>
      </c>
      <c r="L321" s="448"/>
      <c r="M321" s="448"/>
      <c r="N321" s="449" t="str">
        <f>IF(B321="","",IF('E5 — Validação'!M321="✅ Aprovado sem Ajustes","Não",IF(OR('E5 — Validação'!M321="⚠️ Aprovado com Ajustes",'E5 — Validação'!M321="❌ Reprovado"),"Sim","")))</f>
        <v/>
      </c>
    </row>
    <row r="322" spans="2:14" x14ac:dyDescent="0.35">
      <c r="B322" s="445" t="str">
        <f>IF(Lançamentos!$B317="","",Lançamentos!$B317)</f>
        <v/>
      </c>
      <c r="C322" s="446" t="str">
        <f>IF($B322="","",IFERROR(INDEX(Lançamentos!$J$3:$J$1001,MATCH($B322,Lançamentos!$B$3:$B$1001,0)),""))</f>
        <v/>
      </c>
      <c r="D322" s="447" t="str">
        <f>IF($B322="","",IFERROR(INDEX('E2 — Triagem'!$D$8:$D$507,MATCH($B322,'E2 — Triagem'!$B$8:$B$507,0)),""))</f>
        <v/>
      </c>
      <c r="E322" s="447"/>
      <c r="F322" s="447"/>
      <c r="G322" s="447"/>
      <c r="H322" s="447"/>
      <c r="I322" s="447"/>
      <c r="J322" s="447"/>
      <c r="K322" s="194" t="str">
        <f t="shared" si="5"/>
        <v/>
      </c>
      <c r="L322" s="448"/>
      <c r="M322" s="448"/>
      <c r="N322" s="449" t="str">
        <f>IF(B322="","",IF('E5 — Validação'!M322="✅ Aprovado sem Ajustes","Não",IF(OR('E5 — Validação'!M322="⚠️ Aprovado com Ajustes",'E5 — Validação'!M322="❌ Reprovado"),"Sim","")))</f>
        <v/>
      </c>
    </row>
    <row r="323" spans="2:14" x14ac:dyDescent="0.35">
      <c r="B323" s="445" t="str">
        <f>IF(Lançamentos!$B318="","",Lançamentos!$B318)</f>
        <v/>
      </c>
      <c r="C323" s="446" t="str">
        <f>IF($B323="","",IFERROR(INDEX(Lançamentos!$J$3:$J$1001,MATCH($B323,Lançamentos!$B$3:$B$1001,0)),""))</f>
        <v/>
      </c>
      <c r="D323" s="447" t="str">
        <f>IF($B323="","",IFERROR(INDEX('E2 — Triagem'!$D$8:$D$507,MATCH($B323,'E2 — Triagem'!$B$8:$B$507,0)),""))</f>
        <v/>
      </c>
      <c r="E323" s="447"/>
      <c r="F323" s="447"/>
      <c r="G323" s="447"/>
      <c r="H323" s="447"/>
      <c r="I323" s="447"/>
      <c r="J323" s="447"/>
      <c r="K323" s="194" t="str">
        <f t="shared" si="5"/>
        <v/>
      </c>
      <c r="L323" s="448"/>
      <c r="M323" s="448"/>
      <c r="N323" s="449" t="str">
        <f>IF(B323="","",IF('E5 — Validação'!M323="✅ Aprovado sem Ajustes","Não",IF(OR('E5 — Validação'!M323="⚠️ Aprovado com Ajustes",'E5 — Validação'!M323="❌ Reprovado"),"Sim","")))</f>
        <v/>
      </c>
    </row>
    <row r="324" spans="2:14" x14ac:dyDescent="0.35">
      <c r="B324" s="445" t="str">
        <f>IF(Lançamentos!$B319="","",Lançamentos!$B319)</f>
        <v/>
      </c>
      <c r="C324" s="446" t="str">
        <f>IF($B324="","",IFERROR(INDEX(Lançamentos!$J$3:$J$1001,MATCH($B324,Lançamentos!$B$3:$B$1001,0)),""))</f>
        <v/>
      </c>
      <c r="D324" s="447" t="str">
        <f>IF($B324="","",IFERROR(INDEX('E2 — Triagem'!$D$8:$D$507,MATCH($B324,'E2 — Triagem'!$B$8:$B$507,0)),""))</f>
        <v/>
      </c>
      <c r="E324" s="447"/>
      <c r="F324" s="447"/>
      <c r="G324" s="447"/>
      <c r="H324" s="447"/>
      <c r="I324" s="447"/>
      <c r="J324" s="447"/>
      <c r="K324" s="194" t="str">
        <f t="shared" si="5"/>
        <v/>
      </c>
      <c r="L324" s="448"/>
      <c r="M324" s="448"/>
      <c r="N324" s="449" t="str">
        <f>IF(B324="","",IF('E5 — Validação'!M324="✅ Aprovado sem Ajustes","Não",IF(OR('E5 — Validação'!M324="⚠️ Aprovado com Ajustes",'E5 — Validação'!M324="❌ Reprovado"),"Sim","")))</f>
        <v/>
      </c>
    </row>
    <row r="325" spans="2:14" x14ac:dyDescent="0.35">
      <c r="B325" s="445" t="str">
        <f>IF(Lançamentos!$B320="","",Lançamentos!$B320)</f>
        <v/>
      </c>
      <c r="C325" s="446" t="str">
        <f>IF($B325="","",IFERROR(INDEX(Lançamentos!$J$3:$J$1001,MATCH($B325,Lançamentos!$B$3:$B$1001,0)),""))</f>
        <v/>
      </c>
      <c r="D325" s="447" t="str">
        <f>IF($B325="","",IFERROR(INDEX('E2 — Triagem'!$D$8:$D$507,MATCH($B325,'E2 — Triagem'!$B$8:$B$507,0)),""))</f>
        <v/>
      </c>
      <c r="E325" s="447"/>
      <c r="F325" s="447"/>
      <c r="G325" s="447"/>
      <c r="H325" s="447"/>
      <c r="I325" s="447"/>
      <c r="J325" s="447"/>
      <c r="K325" s="194" t="str">
        <f t="shared" si="5"/>
        <v/>
      </c>
      <c r="L325" s="448"/>
      <c r="M325" s="448"/>
      <c r="N325" s="449" t="str">
        <f>IF(B325="","",IF('E5 — Validação'!M325="✅ Aprovado sem Ajustes","Não",IF(OR('E5 — Validação'!M325="⚠️ Aprovado com Ajustes",'E5 — Validação'!M325="❌ Reprovado"),"Sim","")))</f>
        <v/>
      </c>
    </row>
    <row r="326" spans="2:14" x14ac:dyDescent="0.35">
      <c r="B326" s="445" t="str">
        <f>IF(Lançamentos!$B321="","",Lançamentos!$B321)</f>
        <v/>
      </c>
      <c r="C326" s="446" t="str">
        <f>IF($B326="","",IFERROR(INDEX(Lançamentos!$J$3:$J$1001,MATCH($B326,Lançamentos!$B$3:$B$1001,0)),""))</f>
        <v/>
      </c>
      <c r="D326" s="447" t="str">
        <f>IF($B326="","",IFERROR(INDEX('E2 — Triagem'!$D$8:$D$507,MATCH($B326,'E2 — Triagem'!$B$8:$B$507,0)),""))</f>
        <v/>
      </c>
      <c r="E326" s="447"/>
      <c r="F326" s="447"/>
      <c r="G326" s="447"/>
      <c r="H326" s="447"/>
      <c r="I326" s="447"/>
      <c r="J326" s="447"/>
      <c r="K326" s="194" t="str">
        <f t="shared" si="5"/>
        <v/>
      </c>
      <c r="L326" s="448"/>
      <c r="M326" s="448"/>
      <c r="N326" s="449" t="str">
        <f>IF(B326="","",IF('E5 — Validação'!M326="✅ Aprovado sem Ajustes","Não",IF(OR('E5 — Validação'!M326="⚠️ Aprovado com Ajustes",'E5 — Validação'!M326="❌ Reprovado"),"Sim","")))</f>
        <v/>
      </c>
    </row>
    <row r="327" spans="2:14" x14ac:dyDescent="0.35">
      <c r="B327" s="445" t="str">
        <f>IF(Lançamentos!$B322="","",Lançamentos!$B322)</f>
        <v/>
      </c>
      <c r="C327" s="446" t="str">
        <f>IF($B327="","",IFERROR(INDEX(Lançamentos!$J$3:$J$1001,MATCH($B327,Lançamentos!$B$3:$B$1001,0)),""))</f>
        <v/>
      </c>
      <c r="D327" s="447" t="str">
        <f>IF($B327="","",IFERROR(INDEX('E2 — Triagem'!$D$8:$D$507,MATCH($B327,'E2 — Triagem'!$B$8:$B$507,0)),""))</f>
        <v/>
      </c>
      <c r="E327" s="447"/>
      <c r="F327" s="447"/>
      <c r="G327" s="447"/>
      <c r="H327" s="447"/>
      <c r="I327" s="447"/>
      <c r="J327" s="447"/>
      <c r="K327" s="194" t="str">
        <f t="shared" si="5"/>
        <v/>
      </c>
      <c r="L327" s="448"/>
      <c r="M327" s="448"/>
      <c r="N327" s="449" t="str">
        <f>IF(B327="","",IF('E5 — Validação'!M327="✅ Aprovado sem Ajustes","Não",IF(OR('E5 — Validação'!M327="⚠️ Aprovado com Ajustes",'E5 — Validação'!M327="❌ Reprovado"),"Sim","")))</f>
        <v/>
      </c>
    </row>
    <row r="328" spans="2:14" x14ac:dyDescent="0.35">
      <c r="B328" s="445" t="str">
        <f>IF(Lançamentos!$B323="","",Lançamentos!$B323)</f>
        <v/>
      </c>
      <c r="C328" s="446" t="str">
        <f>IF($B328="","",IFERROR(INDEX(Lançamentos!$J$3:$J$1001,MATCH($B328,Lançamentos!$B$3:$B$1001,0)),""))</f>
        <v/>
      </c>
      <c r="D328" s="447" t="str">
        <f>IF($B328="","",IFERROR(INDEX('E2 — Triagem'!$D$8:$D$507,MATCH($B328,'E2 — Triagem'!$B$8:$B$507,0)),""))</f>
        <v/>
      </c>
      <c r="E328" s="447"/>
      <c r="F328" s="447"/>
      <c r="G328" s="447"/>
      <c r="H328" s="447"/>
      <c r="I328" s="447"/>
      <c r="J328" s="447"/>
      <c r="K328" s="194" t="str">
        <f t="shared" si="5"/>
        <v/>
      </c>
      <c r="L328" s="448"/>
      <c r="M328" s="448"/>
      <c r="N328" s="449" t="str">
        <f>IF(B328="","",IF('E5 — Validação'!M328="✅ Aprovado sem Ajustes","Não",IF(OR('E5 — Validação'!M328="⚠️ Aprovado com Ajustes",'E5 — Validação'!M328="❌ Reprovado"),"Sim","")))</f>
        <v/>
      </c>
    </row>
    <row r="329" spans="2:14" x14ac:dyDescent="0.35">
      <c r="B329" s="445" t="str">
        <f>IF(Lançamentos!$B324="","",Lançamentos!$B324)</f>
        <v/>
      </c>
      <c r="C329" s="446" t="str">
        <f>IF($B329="","",IFERROR(INDEX(Lançamentos!$J$3:$J$1001,MATCH($B329,Lançamentos!$B$3:$B$1001,0)),""))</f>
        <v/>
      </c>
      <c r="D329" s="447" t="str">
        <f>IF($B329="","",IFERROR(INDEX('E2 — Triagem'!$D$8:$D$507,MATCH($B329,'E2 — Triagem'!$B$8:$B$507,0)),""))</f>
        <v/>
      </c>
      <c r="E329" s="447"/>
      <c r="F329" s="447"/>
      <c r="G329" s="447"/>
      <c r="H329" s="447"/>
      <c r="I329" s="447"/>
      <c r="J329" s="447"/>
      <c r="K329" s="194" t="str">
        <f t="shared" si="5"/>
        <v/>
      </c>
      <c r="L329" s="448"/>
      <c r="M329" s="448"/>
      <c r="N329" s="449" t="str">
        <f>IF(B329="","",IF('E5 — Validação'!M329="✅ Aprovado sem Ajustes","Não",IF(OR('E5 — Validação'!M329="⚠️ Aprovado com Ajustes",'E5 — Validação'!M329="❌ Reprovado"),"Sim","")))</f>
        <v/>
      </c>
    </row>
    <row r="330" spans="2:14" x14ac:dyDescent="0.35">
      <c r="B330" s="445" t="str">
        <f>IF(Lançamentos!$B325="","",Lançamentos!$B325)</f>
        <v/>
      </c>
      <c r="C330" s="446" t="str">
        <f>IF($B330="","",IFERROR(INDEX(Lançamentos!$J$3:$J$1001,MATCH($B330,Lançamentos!$B$3:$B$1001,0)),""))</f>
        <v/>
      </c>
      <c r="D330" s="447" t="str">
        <f>IF($B330="","",IFERROR(INDEX('E2 — Triagem'!$D$8:$D$507,MATCH($B330,'E2 — Triagem'!$B$8:$B$507,0)),""))</f>
        <v/>
      </c>
      <c r="E330" s="447"/>
      <c r="F330" s="447"/>
      <c r="G330" s="447"/>
      <c r="H330" s="447"/>
      <c r="I330" s="447"/>
      <c r="J330" s="447"/>
      <c r="K330" s="194" t="str">
        <f t="shared" si="5"/>
        <v/>
      </c>
      <c r="L330" s="448"/>
      <c r="M330" s="448"/>
      <c r="N330" s="449" t="str">
        <f>IF(B330="","",IF('E5 — Validação'!M330="✅ Aprovado sem Ajustes","Não",IF(OR('E5 — Validação'!M330="⚠️ Aprovado com Ajustes",'E5 — Validação'!M330="❌ Reprovado"),"Sim","")))</f>
        <v/>
      </c>
    </row>
    <row r="331" spans="2:14" x14ac:dyDescent="0.35">
      <c r="B331" s="445" t="str">
        <f>IF(Lançamentos!$B326="","",Lançamentos!$B326)</f>
        <v/>
      </c>
      <c r="C331" s="446" t="str">
        <f>IF($B331="","",IFERROR(INDEX(Lançamentos!$J$3:$J$1001,MATCH($B331,Lançamentos!$B$3:$B$1001,0)),""))</f>
        <v/>
      </c>
      <c r="D331" s="447" t="str">
        <f>IF($B331="","",IFERROR(INDEX('E2 — Triagem'!$D$8:$D$507,MATCH($B331,'E2 — Triagem'!$B$8:$B$507,0)),""))</f>
        <v/>
      </c>
      <c r="E331" s="447"/>
      <c r="F331" s="447"/>
      <c r="G331" s="447"/>
      <c r="H331" s="447"/>
      <c r="I331" s="447"/>
      <c r="J331" s="447"/>
      <c r="K331" s="194" t="str">
        <f t="shared" si="5"/>
        <v/>
      </c>
      <c r="L331" s="448"/>
      <c r="M331" s="448"/>
      <c r="N331" s="449" t="str">
        <f>IF(B331="","",IF('E5 — Validação'!M331="✅ Aprovado sem Ajustes","Não",IF(OR('E5 — Validação'!M331="⚠️ Aprovado com Ajustes",'E5 — Validação'!M331="❌ Reprovado"),"Sim","")))</f>
        <v/>
      </c>
    </row>
    <row r="332" spans="2:14" x14ac:dyDescent="0.35">
      <c r="B332" s="445" t="str">
        <f>IF(Lançamentos!$B327="","",Lançamentos!$B327)</f>
        <v/>
      </c>
      <c r="C332" s="446" t="str">
        <f>IF($B332="","",IFERROR(INDEX(Lançamentos!$J$3:$J$1001,MATCH($B332,Lançamentos!$B$3:$B$1001,0)),""))</f>
        <v/>
      </c>
      <c r="D332" s="447" t="str">
        <f>IF($B332="","",IFERROR(INDEX('E2 — Triagem'!$D$8:$D$507,MATCH($B332,'E2 — Triagem'!$B$8:$B$507,0)),""))</f>
        <v/>
      </c>
      <c r="E332" s="447"/>
      <c r="F332" s="447"/>
      <c r="G332" s="447"/>
      <c r="H332" s="447"/>
      <c r="I332" s="447"/>
      <c r="J332" s="447"/>
      <c r="K332" s="194" t="str">
        <f t="shared" si="5"/>
        <v/>
      </c>
      <c r="L332" s="448"/>
      <c r="M332" s="448"/>
      <c r="N332" s="449" t="str">
        <f>IF(B332="","",IF('E5 — Validação'!M332="✅ Aprovado sem Ajustes","Não",IF(OR('E5 — Validação'!M332="⚠️ Aprovado com Ajustes",'E5 — Validação'!M332="❌ Reprovado"),"Sim","")))</f>
        <v/>
      </c>
    </row>
    <row r="333" spans="2:14" x14ac:dyDescent="0.35">
      <c r="B333" s="445" t="str">
        <f>IF(Lançamentos!$B328="","",Lançamentos!$B328)</f>
        <v/>
      </c>
      <c r="C333" s="446" t="str">
        <f>IF($B333="","",IFERROR(INDEX(Lançamentos!$J$3:$J$1001,MATCH($B333,Lançamentos!$B$3:$B$1001,0)),""))</f>
        <v/>
      </c>
      <c r="D333" s="447" t="str">
        <f>IF($B333="","",IFERROR(INDEX('E2 — Triagem'!$D$8:$D$507,MATCH($B333,'E2 — Triagem'!$B$8:$B$507,0)),""))</f>
        <v/>
      </c>
      <c r="E333" s="447"/>
      <c r="F333" s="447"/>
      <c r="G333" s="447"/>
      <c r="H333" s="447"/>
      <c r="I333" s="447"/>
      <c r="J333" s="447"/>
      <c r="K333" s="194" t="str">
        <f t="shared" si="5"/>
        <v/>
      </c>
      <c r="L333" s="448"/>
      <c r="M333" s="448"/>
      <c r="N333" s="449" t="str">
        <f>IF(B333="","",IF('E5 — Validação'!M333="✅ Aprovado sem Ajustes","Não",IF(OR('E5 — Validação'!M333="⚠️ Aprovado com Ajustes",'E5 — Validação'!M333="❌ Reprovado"),"Sim","")))</f>
        <v/>
      </c>
    </row>
    <row r="334" spans="2:14" x14ac:dyDescent="0.35">
      <c r="B334" s="445" t="str">
        <f>IF(Lançamentos!$B329="","",Lançamentos!$B329)</f>
        <v/>
      </c>
      <c r="C334" s="446" t="str">
        <f>IF($B334="","",IFERROR(INDEX(Lançamentos!$J$3:$J$1001,MATCH($B334,Lançamentos!$B$3:$B$1001,0)),""))</f>
        <v/>
      </c>
      <c r="D334" s="447" t="str">
        <f>IF($B334="","",IFERROR(INDEX('E2 — Triagem'!$D$8:$D$507,MATCH($B334,'E2 — Triagem'!$B$8:$B$507,0)),""))</f>
        <v/>
      </c>
      <c r="E334" s="447"/>
      <c r="F334" s="447"/>
      <c r="G334" s="447"/>
      <c r="H334" s="447"/>
      <c r="I334" s="447"/>
      <c r="J334" s="447"/>
      <c r="K334" s="194" t="str">
        <f t="shared" si="5"/>
        <v/>
      </c>
      <c r="L334" s="448"/>
      <c r="M334" s="448"/>
      <c r="N334" s="449" t="str">
        <f>IF(B334="","",IF('E5 — Validação'!M334="✅ Aprovado sem Ajustes","Não",IF(OR('E5 — Validação'!M334="⚠️ Aprovado com Ajustes",'E5 — Validação'!M334="❌ Reprovado"),"Sim","")))</f>
        <v/>
      </c>
    </row>
    <row r="335" spans="2:14" x14ac:dyDescent="0.35">
      <c r="B335" s="445" t="str">
        <f>IF(Lançamentos!$B330="","",Lançamentos!$B330)</f>
        <v/>
      </c>
      <c r="C335" s="446" t="str">
        <f>IF($B335="","",IFERROR(INDEX(Lançamentos!$J$3:$J$1001,MATCH($B335,Lançamentos!$B$3:$B$1001,0)),""))</f>
        <v/>
      </c>
      <c r="D335" s="447" t="str">
        <f>IF($B335="","",IFERROR(INDEX('E2 — Triagem'!$D$8:$D$507,MATCH($B335,'E2 — Triagem'!$B$8:$B$507,0)),""))</f>
        <v/>
      </c>
      <c r="E335" s="447"/>
      <c r="F335" s="447"/>
      <c r="G335" s="447"/>
      <c r="H335" s="447"/>
      <c r="I335" s="447"/>
      <c r="J335" s="447"/>
      <c r="K335" s="194" t="str">
        <f t="shared" si="5"/>
        <v/>
      </c>
      <c r="L335" s="448"/>
      <c r="M335" s="448"/>
      <c r="N335" s="449" t="str">
        <f>IF(B335="","",IF('E5 — Validação'!M335="✅ Aprovado sem Ajustes","Não",IF(OR('E5 — Validação'!M335="⚠️ Aprovado com Ajustes",'E5 — Validação'!M335="❌ Reprovado"),"Sim","")))</f>
        <v/>
      </c>
    </row>
    <row r="336" spans="2:14" x14ac:dyDescent="0.35">
      <c r="B336" s="445" t="str">
        <f>IF(Lançamentos!$B331="","",Lançamentos!$B331)</f>
        <v/>
      </c>
      <c r="C336" s="446" t="str">
        <f>IF($B336="","",IFERROR(INDEX(Lançamentos!$J$3:$J$1001,MATCH($B336,Lançamentos!$B$3:$B$1001,0)),""))</f>
        <v/>
      </c>
      <c r="D336" s="447" t="str">
        <f>IF($B336="","",IFERROR(INDEX('E2 — Triagem'!$D$8:$D$507,MATCH($B336,'E2 — Triagem'!$B$8:$B$507,0)),""))</f>
        <v/>
      </c>
      <c r="E336" s="447"/>
      <c r="F336" s="447"/>
      <c r="G336" s="447"/>
      <c r="H336" s="447"/>
      <c r="I336" s="447"/>
      <c r="J336" s="447"/>
      <c r="K336" s="194" t="str">
        <f t="shared" ref="K336:K399" si="6">IF(B336="","",IF(N336="Não",0,IF(COUNTIF(E336:J336,"N/A")=6,0,COUNTIF(E336:J336,"✔ Concluído")/(6-COUNTIF(E336:J336,"N/A")))))</f>
        <v/>
      </c>
      <c r="L336" s="448"/>
      <c r="M336" s="448"/>
      <c r="N336" s="449" t="str">
        <f>IF(B336="","",IF('E5 — Validação'!M336="✅ Aprovado sem Ajustes","Não",IF(OR('E5 — Validação'!M336="⚠️ Aprovado com Ajustes",'E5 — Validação'!M336="❌ Reprovado"),"Sim","")))</f>
        <v/>
      </c>
    </row>
    <row r="337" spans="2:14" x14ac:dyDescent="0.35">
      <c r="B337" s="445" t="str">
        <f>IF(Lançamentos!$B332="","",Lançamentos!$B332)</f>
        <v/>
      </c>
      <c r="C337" s="446" t="str">
        <f>IF($B337="","",IFERROR(INDEX(Lançamentos!$J$3:$J$1001,MATCH($B337,Lançamentos!$B$3:$B$1001,0)),""))</f>
        <v/>
      </c>
      <c r="D337" s="447" t="str">
        <f>IF($B337="","",IFERROR(INDEX('E2 — Triagem'!$D$8:$D$507,MATCH($B337,'E2 — Triagem'!$B$8:$B$507,0)),""))</f>
        <v/>
      </c>
      <c r="E337" s="447"/>
      <c r="F337" s="447"/>
      <c r="G337" s="447"/>
      <c r="H337" s="447"/>
      <c r="I337" s="447"/>
      <c r="J337" s="447"/>
      <c r="K337" s="194" t="str">
        <f t="shared" si="6"/>
        <v/>
      </c>
      <c r="L337" s="448"/>
      <c r="M337" s="448"/>
      <c r="N337" s="449" t="str">
        <f>IF(B337="","",IF('E5 — Validação'!M337="✅ Aprovado sem Ajustes","Não",IF(OR('E5 — Validação'!M337="⚠️ Aprovado com Ajustes",'E5 — Validação'!M337="❌ Reprovado"),"Sim","")))</f>
        <v/>
      </c>
    </row>
    <row r="338" spans="2:14" x14ac:dyDescent="0.35">
      <c r="B338" s="445" t="str">
        <f>IF(Lançamentos!$B333="","",Lançamentos!$B333)</f>
        <v/>
      </c>
      <c r="C338" s="446" t="str">
        <f>IF($B338="","",IFERROR(INDEX(Lançamentos!$J$3:$J$1001,MATCH($B338,Lançamentos!$B$3:$B$1001,0)),""))</f>
        <v/>
      </c>
      <c r="D338" s="447" t="str">
        <f>IF($B338="","",IFERROR(INDEX('E2 — Triagem'!$D$8:$D$507,MATCH($B338,'E2 — Triagem'!$B$8:$B$507,0)),""))</f>
        <v/>
      </c>
      <c r="E338" s="447"/>
      <c r="F338" s="447"/>
      <c r="G338" s="447"/>
      <c r="H338" s="447"/>
      <c r="I338" s="447"/>
      <c r="J338" s="447"/>
      <c r="K338" s="194" t="str">
        <f t="shared" si="6"/>
        <v/>
      </c>
      <c r="L338" s="448"/>
      <c r="M338" s="448"/>
      <c r="N338" s="449" t="str">
        <f>IF(B338="","",IF('E5 — Validação'!M338="✅ Aprovado sem Ajustes","Não",IF(OR('E5 — Validação'!M338="⚠️ Aprovado com Ajustes",'E5 — Validação'!M338="❌ Reprovado"),"Sim","")))</f>
        <v/>
      </c>
    </row>
    <row r="339" spans="2:14" x14ac:dyDescent="0.35">
      <c r="B339" s="445" t="str">
        <f>IF(Lançamentos!$B334="","",Lançamentos!$B334)</f>
        <v/>
      </c>
      <c r="C339" s="446" t="str">
        <f>IF($B339="","",IFERROR(INDEX(Lançamentos!$J$3:$J$1001,MATCH($B339,Lançamentos!$B$3:$B$1001,0)),""))</f>
        <v/>
      </c>
      <c r="D339" s="447" t="str">
        <f>IF($B339="","",IFERROR(INDEX('E2 — Triagem'!$D$8:$D$507,MATCH($B339,'E2 — Triagem'!$B$8:$B$507,0)),""))</f>
        <v/>
      </c>
      <c r="E339" s="447"/>
      <c r="F339" s="447"/>
      <c r="G339" s="447"/>
      <c r="H339" s="447"/>
      <c r="I339" s="447"/>
      <c r="J339" s="447"/>
      <c r="K339" s="194" t="str">
        <f t="shared" si="6"/>
        <v/>
      </c>
      <c r="L339" s="448"/>
      <c r="M339" s="448"/>
      <c r="N339" s="449" t="str">
        <f>IF(B339="","",IF('E5 — Validação'!M339="✅ Aprovado sem Ajustes","Não",IF(OR('E5 — Validação'!M339="⚠️ Aprovado com Ajustes",'E5 — Validação'!M339="❌ Reprovado"),"Sim","")))</f>
        <v/>
      </c>
    </row>
    <row r="340" spans="2:14" x14ac:dyDescent="0.35">
      <c r="B340" s="445" t="str">
        <f>IF(Lançamentos!$B335="","",Lançamentos!$B335)</f>
        <v/>
      </c>
      <c r="C340" s="446" t="str">
        <f>IF($B340="","",IFERROR(INDEX(Lançamentos!$J$3:$J$1001,MATCH($B340,Lançamentos!$B$3:$B$1001,0)),""))</f>
        <v/>
      </c>
      <c r="D340" s="447" t="str">
        <f>IF($B340="","",IFERROR(INDEX('E2 — Triagem'!$D$8:$D$507,MATCH($B340,'E2 — Triagem'!$B$8:$B$507,0)),""))</f>
        <v/>
      </c>
      <c r="E340" s="447"/>
      <c r="F340" s="447"/>
      <c r="G340" s="447"/>
      <c r="H340" s="447"/>
      <c r="I340" s="447"/>
      <c r="J340" s="447"/>
      <c r="K340" s="194" t="str">
        <f t="shared" si="6"/>
        <v/>
      </c>
      <c r="L340" s="448"/>
      <c r="M340" s="448"/>
      <c r="N340" s="449" t="str">
        <f>IF(B340="","",IF('E5 — Validação'!M340="✅ Aprovado sem Ajustes","Não",IF(OR('E5 — Validação'!M340="⚠️ Aprovado com Ajustes",'E5 — Validação'!M340="❌ Reprovado"),"Sim","")))</f>
        <v/>
      </c>
    </row>
    <row r="341" spans="2:14" x14ac:dyDescent="0.35">
      <c r="B341" s="445" t="str">
        <f>IF(Lançamentos!$B336="","",Lançamentos!$B336)</f>
        <v/>
      </c>
      <c r="C341" s="446" t="str">
        <f>IF($B341="","",IFERROR(INDEX(Lançamentos!$J$3:$J$1001,MATCH($B341,Lançamentos!$B$3:$B$1001,0)),""))</f>
        <v/>
      </c>
      <c r="D341" s="447" t="str">
        <f>IF($B341="","",IFERROR(INDEX('E2 — Triagem'!$D$8:$D$507,MATCH($B341,'E2 — Triagem'!$B$8:$B$507,0)),""))</f>
        <v/>
      </c>
      <c r="E341" s="447"/>
      <c r="F341" s="447"/>
      <c r="G341" s="447"/>
      <c r="H341" s="447"/>
      <c r="I341" s="447"/>
      <c r="J341" s="447"/>
      <c r="K341" s="194" t="str">
        <f t="shared" si="6"/>
        <v/>
      </c>
      <c r="L341" s="448"/>
      <c r="M341" s="448"/>
      <c r="N341" s="449" t="str">
        <f>IF(B341="","",IF('E5 — Validação'!M341="✅ Aprovado sem Ajustes","Não",IF(OR('E5 — Validação'!M341="⚠️ Aprovado com Ajustes",'E5 — Validação'!M341="❌ Reprovado"),"Sim","")))</f>
        <v/>
      </c>
    </row>
    <row r="342" spans="2:14" x14ac:dyDescent="0.35">
      <c r="B342" s="445" t="str">
        <f>IF(Lançamentos!$B337="","",Lançamentos!$B337)</f>
        <v/>
      </c>
      <c r="C342" s="446" t="str">
        <f>IF($B342="","",IFERROR(INDEX(Lançamentos!$J$3:$J$1001,MATCH($B342,Lançamentos!$B$3:$B$1001,0)),""))</f>
        <v/>
      </c>
      <c r="D342" s="447" t="str">
        <f>IF($B342="","",IFERROR(INDEX('E2 — Triagem'!$D$8:$D$507,MATCH($B342,'E2 — Triagem'!$B$8:$B$507,0)),""))</f>
        <v/>
      </c>
      <c r="E342" s="447"/>
      <c r="F342" s="447"/>
      <c r="G342" s="447"/>
      <c r="H342" s="447"/>
      <c r="I342" s="447"/>
      <c r="J342" s="447"/>
      <c r="K342" s="194" t="str">
        <f t="shared" si="6"/>
        <v/>
      </c>
      <c r="L342" s="448"/>
      <c r="M342" s="448"/>
      <c r="N342" s="449" t="str">
        <f>IF(B342="","",IF('E5 — Validação'!M342="✅ Aprovado sem Ajustes","Não",IF(OR('E5 — Validação'!M342="⚠️ Aprovado com Ajustes",'E5 — Validação'!M342="❌ Reprovado"),"Sim","")))</f>
        <v/>
      </c>
    </row>
    <row r="343" spans="2:14" x14ac:dyDescent="0.35">
      <c r="B343" s="445" t="str">
        <f>IF(Lançamentos!$B338="","",Lançamentos!$B338)</f>
        <v/>
      </c>
      <c r="C343" s="446" t="str">
        <f>IF($B343="","",IFERROR(INDEX(Lançamentos!$J$3:$J$1001,MATCH($B343,Lançamentos!$B$3:$B$1001,0)),""))</f>
        <v/>
      </c>
      <c r="D343" s="447" t="str">
        <f>IF($B343="","",IFERROR(INDEX('E2 — Triagem'!$D$8:$D$507,MATCH($B343,'E2 — Triagem'!$B$8:$B$507,0)),""))</f>
        <v/>
      </c>
      <c r="E343" s="447"/>
      <c r="F343" s="447"/>
      <c r="G343" s="447"/>
      <c r="H343" s="447"/>
      <c r="I343" s="447"/>
      <c r="J343" s="447"/>
      <c r="K343" s="194" t="str">
        <f t="shared" si="6"/>
        <v/>
      </c>
      <c r="L343" s="448"/>
      <c r="M343" s="448"/>
      <c r="N343" s="449" t="str">
        <f>IF(B343="","",IF('E5 — Validação'!M343="✅ Aprovado sem Ajustes","Não",IF(OR('E5 — Validação'!M343="⚠️ Aprovado com Ajustes",'E5 — Validação'!M343="❌ Reprovado"),"Sim","")))</f>
        <v/>
      </c>
    </row>
    <row r="344" spans="2:14" x14ac:dyDescent="0.35">
      <c r="B344" s="445" t="str">
        <f>IF(Lançamentos!$B339="","",Lançamentos!$B339)</f>
        <v/>
      </c>
      <c r="C344" s="446" t="str">
        <f>IF($B344="","",IFERROR(INDEX(Lançamentos!$J$3:$J$1001,MATCH($B344,Lançamentos!$B$3:$B$1001,0)),""))</f>
        <v/>
      </c>
      <c r="D344" s="447" t="str">
        <f>IF($B344="","",IFERROR(INDEX('E2 — Triagem'!$D$8:$D$507,MATCH($B344,'E2 — Triagem'!$B$8:$B$507,0)),""))</f>
        <v/>
      </c>
      <c r="E344" s="447"/>
      <c r="F344" s="447"/>
      <c r="G344" s="447"/>
      <c r="H344" s="447"/>
      <c r="I344" s="447"/>
      <c r="J344" s="447"/>
      <c r="K344" s="194" t="str">
        <f t="shared" si="6"/>
        <v/>
      </c>
      <c r="L344" s="448"/>
      <c r="M344" s="448"/>
      <c r="N344" s="449" t="str">
        <f>IF(B344="","",IF('E5 — Validação'!M344="✅ Aprovado sem Ajustes","Não",IF(OR('E5 — Validação'!M344="⚠️ Aprovado com Ajustes",'E5 — Validação'!M344="❌ Reprovado"),"Sim","")))</f>
        <v/>
      </c>
    </row>
    <row r="345" spans="2:14" x14ac:dyDescent="0.35">
      <c r="B345" s="445" t="str">
        <f>IF(Lançamentos!$B340="","",Lançamentos!$B340)</f>
        <v/>
      </c>
      <c r="C345" s="446" t="str">
        <f>IF($B345="","",IFERROR(INDEX(Lançamentos!$J$3:$J$1001,MATCH($B345,Lançamentos!$B$3:$B$1001,0)),""))</f>
        <v/>
      </c>
      <c r="D345" s="447" t="str">
        <f>IF($B345="","",IFERROR(INDEX('E2 — Triagem'!$D$8:$D$507,MATCH($B345,'E2 — Triagem'!$B$8:$B$507,0)),""))</f>
        <v/>
      </c>
      <c r="E345" s="447"/>
      <c r="F345" s="447"/>
      <c r="G345" s="447"/>
      <c r="H345" s="447"/>
      <c r="I345" s="447"/>
      <c r="J345" s="447"/>
      <c r="K345" s="194" t="str">
        <f t="shared" si="6"/>
        <v/>
      </c>
      <c r="L345" s="448"/>
      <c r="M345" s="448"/>
      <c r="N345" s="449" t="str">
        <f>IF(B345="","",IF('E5 — Validação'!M345="✅ Aprovado sem Ajustes","Não",IF(OR('E5 — Validação'!M345="⚠️ Aprovado com Ajustes",'E5 — Validação'!M345="❌ Reprovado"),"Sim","")))</f>
        <v/>
      </c>
    </row>
    <row r="346" spans="2:14" x14ac:dyDescent="0.35">
      <c r="B346" s="445" t="str">
        <f>IF(Lançamentos!$B341="","",Lançamentos!$B341)</f>
        <v/>
      </c>
      <c r="C346" s="446" t="str">
        <f>IF($B346="","",IFERROR(INDEX(Lançamentos!$J$3:$J$1001,MATCH($B346,Lançamentos!$B$3:$B$1001,0)),""))</f>
        <v/>
      </c>
      <c r="D346" s="447" t="str">
        <f>IF($B346="","",IFERROR(INDEX('E2 — Triagem'!$D$8:$D$507,MATCH($B346,'E2 — Triagem'!$B$8:$B$507,0)),""))</f>
        <v/>
      </c>
      <c r="E346" s="447"/>
      <c r="F346" s="447"/>
      <c r="G346" s="447"/>
      <c r="H346" s="447"/>
      <c r="I346" s="447"/>
      <c r="J346" s="447"/>
      <c r="K346" s="194" t="str">
        <f t="shared" si="6"/>
        <v/>
      </c>
      <c r="L346" s="448"/>
      <c r="M346" s="448"/>
      <c r="N346" s="449" t="str">
        <f>IF(B346="","",IF('E5 — Validação'!M346="✅ Aprovado sem Ajustes","Não",IF(OR('E5 — Validação'!M346="⚠️ Aprovado com Ajustes",'E5 — Validação'!M346="❌ Reprovado"),"Sim","")))</f>
        <v/>
      </c>
    </row>
    <row r="347" spans="2:14" x14ac:dyDescent="0.35">
      <c r="B347" s="445" t="str">
        <f>IF(Lançamentos!$B342="","",Lançamentos!$B342)</f>
        <v/>
      </c>
      <c r="C347" s="446" t="str">
        <f>IF($B347="","",IFERROR(INDEX(Lançamentos!$J$3:$J$1001,MATCH($B347,Lançamentos!$B$3:$B$1001,0)),""))</f>
        <v/>
      </c>
      <c r="D347" s="447" t="str">
        <f>IF($B347="","",IFERROR(INDEX('E2 — Triagem'!$D$8:$D$507,MATCH($B347,'E2 — Triagem'!$B$8:$B$507,0)),""))</f>
        <v/>
      </c>
      <c r="E347" s="447"/>
      <c r="F347" s="447"/>
      <c r="G347" s="447"/>
      <c r="H347" s="447"/>
      <c r="I347" s="447"/>
      <c r="J347" s="447"/>
      <c r="K347" s="194" t="str">
        <f t="shared" si="6"/>
        <v/>
      </c>
      <c r="L347" s="448"/>
      <c r="M347" s="448"/>
      <c r="N347" s="449" t="str">
        <f>IF(B347="","",IF('E5 — Validação'!M347="✅ Aprovado sem Ajustes","Não",IF(OR('E5 — Validação'!M347="⚠️ Aprovado com Ajustes",'E5 — Validação'!M347="❌ Reprovado"),"Sim","")))</f>
        <v/>
      </c>
    </row>
    <row r="348" spans="2:14" x14ac:dyDescent="0.35">
      <c r="B348" s="445" t="str">
        <f>IF(Lançamentos!$B343="","",Lançamentos!$B343)</f>
        <v/>
      </c>
      <c r="C348" s="446" t="str">
        <f>IF($B348="","",IFERROR(INDEX(Lançamentos!$J$3:$J$1001,MATCH($B348,Lançamentos!$B$3:$B$1001,0)),""))</f>
        <v/>
      </c>
      <c r="D348" s="447" t="str">
        <f>IF($B348="","",IFERROR(INDEX('E2 — Triagem'!$D$8:$D$507,MATCH($B348,'E2 — Triagem'!$B$8:$B$507,0)),""))</f>
        <v/>
      </c>
      <c r="E348" s="447"/>
      <c r="F348" s="447"/>
      <c r="G348" s="447"/>
      <c r="H348" s="447"/>
      <c r="I348" s="447"/>
      <c r="J348" s="447"/>
      <c r="K348" s="194" t="str">
        <f t="shared" si="6"/>
        <v/>
      </c>
      <c r="L348" s="448"/>
      <c r="M348" s="448"/>
      <c r="N348" s="449" t="str">
        <f>IF(B348="","",IF('E5 — Validação'!M348="✅ Aprovado sem Ajustes","Não",IF(OR('E5 — Validação'!M348="⚠️ Aprovado com Ajustes",'E5 — Validação'!M348="❌ Reprovado"),"Sim","")))</f>
        <v/>
      </c>
    </row>
    <row r="349" spans="2:14" x14ac:dyDescent="0.35">
      <c r="B349" s="445" t="str">
        <f>IF(Lançamentos!$B344="","",Lançamentos!$B344)</f>
        <v/>
      </c>
      <c r="C349" s="446" t="str">
        <f>IF($B349="","",IFERROR(INDEX(Lançamentos!$J$3:$J$1001,MATCH($B349,Lançamentos!$B$3:$B$1001,0)),""))</f>
        <v/>
      </c>
      <c r="D349" s="447" t="str">
        <f>IF($B349="","",IFERROR(INDEX('E2 — Triagem'!$D$8:$D$507,MATCH($B349,'E2 — Triagem'!$B$8:$B$507,0)),""))</f>
        <v/>
      </c>
      <c r="E349" s="447"/>
      <c r="F349" s="447"/>
      <c r="G349" s="447"/>
      <c r="H349" s="447"/>
      <c r="I349" s="447"/>
      <c r="J349" s="447"/>
      <c r="K349" s="194" t="str">
        <f t="shared" si="6"/>
        <v/>
      </c>
      <c r="L349" s="448"/>
      <c r="M349" s="448"/>
      <c r="N349" s="449" t="str">
        <f>IF(B349="","",IF('E5 — Validação'!M349="✅ Aprovado sem Ajustes","Não",IF(OR('E5 — Validação'!M349="⚠️ Aprovado com Ajustes",'E5 — Validação'!M349="❌ Reprovado"),"Sim","")))</f>
        <v/>
      </c>
    </row>
    <row r="350" spans="2:14" x14ac:dyDescent="0.35">
      <c r="B350" s="445" t="str">
        <f>IF(Lançamentos!$B345="","",Lançamentos!$B345)</f>
        <v/>
      </c>
      <c r="C350" s="446" t="str">
        <f>IF($B350="","",IFERROR(INDEX(Lançamentos!$J$3:$J$1001,MATCH($B350,Lançamentos!$B$3:$B$1001,0)),""))</f>
        <v/>
      </c>
      <c r="D350" s="447" t="str">
        <f>IF($B350="","",IFERROR(INDEX('E2 — Triagem'!$D$8:$D$507,MATCH($B350,'E2 — Triagem'!$B$8:$B$507,0)),""))</f>
        <v/>
      </c>
      <c r="E350" s="447"/>
      <c r="F350" s="447"/>
      <c r="G350" s="447"/>
      <c r="H350" s="447"/>
      <c r="I350" s="447"/>
      <c r="J350" s="447"/>
      <c r="K350" s="194" t="str">
        <f t="shared" si="6"/>
        <v/>
      </c>
      <c r="L350" s="448"/>
      <c r="M350" s="448"/>
      <c r="N350" s="449" t="str">
        <f>IF(B350="","",IF('E5 — Validação'!M350="✅ Aprovado sem Ajustes","Não",IF(OR('E5 — Validação'!M350="⚠️ Aprovado com Ajustes",'E5 — Validação'!M350="❌ Reprovado"),"Sim","")))</f>
        <v/>
      </c>
    </row>
    <row r="351" spans="2:14" x14ac:dyDescent="0.35">
      <c r="B351" s="445" t="str">
        <f>IF(Lançamentos!$B346="","",Lançamentos!$B346)</f>
        <v/>
      </c>
      <c r="C351" s="446" t="str">
        <f>IF($B351="","",IFERROR(INDEX(Lançamentos!$J$3:$J$1001,MATCH($B351,Lançamentos!$B$3:$B$1001,0)),""))</f>
        <v/>
      </c>
      <c r="D351" s="447" t="str">
        <f>IF($B351="","",IFERROR(INDEX('E2 — Triagem'!$D$8:$D$507,MATCH($B351,'E2 — Triagem'!$B$8:$B$507,0)),""))</f>
        <v/>
      </c>
      <c r="E351" s="447"/>
      <c r="F351" s="447"/>
      <c r="G351" s="447"/>
      <c r="H351" s="447"/>
      <c r="I351" s="447"/>
      <c r="J351" s="447"/>
      <c r="K351" s="194" t="str">
        <f t="shared" si="6"/>
        <v/>
      </c>
      <c r="L351" s="448"/>
      <c r="M351" s="448"/>
      <c r="N351" s="449" t="str">
        <f>IF(B351="","",IF('E5 — Validação'!M351="✅ Aprovado sem Ajustes","Não",IF(OR('E5 — Validação'!M351="⚠️ Aprovado com Ajustes",'E5 — Validação'!M351="❌ Reprovado"),"Sim","")))</f>
        <v/>
      </c>
    </row>
    <row r="352" spans="2:14" x14ac:dyDescent="0.35">
      <c r="B352" s="445" t="str">
        <f>IF(Lançamentos!$B347="","",Lançamentos!$B347)</f>
        <v/>
      </c>
      <c r="C352" s="446" t="str">
        <f>IF($B352="","",IFERROR(INDEX(Lançamentos!$J$3:$J$1001,MATCH($B352,Lançamentos!$B$3:$B$1001,0)),""))</f>
        <v/>
      </c>
      <c r="D352" s="447" t="str">
        <f>IF($B352="","",IFERROR(INDEX('E2 — Triagem'!$D$8:$D$507,MATCH($B352,'E2 — Triagem'!$B$8:$B$507,0)),""))</f>
        <v/>
      </c>
      <c r="E352" s="447"/>
      <c r="F352" s="447"/>
      <c r="G352" s="447"/>
      <c r="H352" s="447"/>
      <c r="I352" s="447"/>
      <c r="J352" s="447"/>
      <c r="K352" s="194" t="str">
        <f t="shared" si="6"/>
        <v/>
      </c>
      <c r="L352" s="448"/>
      <c r="M352" s="448"/>
      <c r="N352" s="449" t="str">
        <f>IF(B352="","",IF('E5 — Validação'!M352="✅ Aprovado sem Ajustes","Não",IF(OR('E5 — Validação'!M352="⚠️ Aprovado com Ajustes",'E5 — Validação'!M352="❌ Reprovado"),"Sim","")))</f>
        <v/>
      </c>
    </row>
    <row r="353" spans="2:14" x14ac:dyDescent="0.35">
      <c r="B353" s="445" t="str">
        <f>IF(Lançamentos!$B348="","",Lançamentos!$B348)</f>
        <v/>
      </c>
      <c r="C353" s="446" t="str">
        <f>IF($B353="","",IFERROR(INDEX(Lançamentos!$J$3:$J$1001,MATCH($B353,Lançamentos!$B$3:$B$1001,0)),""))</f>
        <v/>
      </c>
      <c r="D353" s="447" t="str">
        <f>IF($B353="","",IFERROR(INDEX('E2 — Triagem'!$D$8:$D$507,MATCH($B353,'E2 — Triagem'!$B$8:$B$507,0)),""))</f>
        <v/>
      </c>
      <c r="E353" s="447"/>
      <c r="F353" s="447"/>
      <c r="G353" s="447"/>
      <c r="H353" s="447"/>
      <c r="I353" s="447"/>
      <c r="J353" s="447"/>
      <c r="K353" s="194" t="str">
        <f t="shared" si="6"/>
        <v/>
      </c>
      <c r="L353" s="448"/>
      <c r="M353" s="448"/>
      <c r="N353" s="449" t="str">
        <f>IF(B353="","",IF('E5 — Validação'!M353="✅ Aprovado sem Ajustes","Não",IF(OR('E5 — Validação'!M353="⚠️ Aprovado com Ajustes",'E5 — Validação'!M353="❌ Reprovado"),"Sim","")))</f>
        <v/>
      </c>
    </row>
    <row r="354" spans="2:14" x14ac:dyDescent="0.35">
      <c r="B354" s="445" t="str">
        <f>IF(Lançamentos!$B349="","",Lançamentos!$B349)</f>
        <v/>
      </c>
      <c r="C354" s="446" t="str">
        <f>IF($B354="","",IFERROR(INDEX(Lançamentos!$J$3:$J$1001,MATCH($B354,Lançamentos!$B$3:$B$1001,0)),""))</f>
        <v/>
      </c>
      <c r="D354" s="447" t="str">
        <f>IF($B354="","",IFERROR(INDEX('E2 — Triagem'!$D$8:$D$507,MATCH($B354,'E2 — Triagem'!$B$8:$B$507,0)),""))</f>
        <v/>
      </c>
      <c r="E354" s="447"/>
      <c r="F354" s="447"/>
      <c r="G354" s="447"/>
      <c r="H354" s="447"/>
      <c r="I354" s="447"/>
      <c r="J354" s="447"/>
      <c r="K354" s="194" t="str">
        <f t="shared" si="6"/>
        <v/>
      </c>
      <c r="L354" s="448"/>
      <c r="M354" s="448"/>
      <c r="N354" s="449" t="str">
        <f>IF(B354="","",IF('E5 — Validação'!M354="✅ Aprovado sem Ajustes","Não",IF(OR('E5 — Validação'!M354="⚠️ Aprovado com Ajustes",'E5 — Validação'!M354="❌ Reprovado"),"Sim","")))</f>
        <v/>
      </c>
    </row>
    <row r="355" spans="2:14" x14ac:dyDescent="0.35">
      <c r="B355" s="445" t="str">
        <f>IF(Lançamentos!$B350="","",Lançamentos!$B350)</f>
        <v/>
      </c>
      <c r="C355" s="446" t="str">
        <f>IF($B355="","",IFERROR(INDEX(Lançamentos!$J$3:$J$1001,MATCH($B355,Lançamentos!$B$3:$B$1001,0)),""))</f>
        <v/>
      </c>
      <c r="D355" s="447" t="str">
        <f>IF($B355="","",IFERROR(INDEX('E2 — Triagem'!$D$8:$D$507,MATCH($B355,'E2 — Triagem'!$B$8:$B$507,0)),""))</f>
        <v/>
      </c>
      <c r="E355" s="447"/>
      <c r="F355" s="447"/>
      <c r="G355" s="447"/>
      <c r="H355" s="447"/>
      <c r="I355" s="447"/>
      <c r="J355" s="447"/>
      <c r="K355" s="194" t="str">
        <f t="shared" si="6"/>
        <v/>
      </c>
      <c r="L355" s="448"/>
      <c r="M355" s="448"/>
      <c r="N355" s="449" t="str">
        <f>IF(B355="","",IF('E5 — Validação'!M355="✅ Aprovado sem Ajustes","Não",IF(OR('E5 — Validação'!M355="⚠️ Aprovado com Ajustes",'E5 — Validação'!M355="❌ Reprovado"),"Sim","")))</f>
        <v/>
      </c>
    </row>
    <row r="356" spans="2:14" x14ac:dyDescent="0.35">
      <c r="B356" s="445" t="str">
        <f>IF(Lançamentos!$B351="","",Lançamentos!$B351)</f>
        <v/>
      </c>
      <c r="C356" s="446" t="str">
        <f>IF($B356="","",IFERROR(INDEX(Lançamentos!$J$3:$J$1001,MATCH($B356,Lançamentos!$B$3:$B$1001,0)),""))</f>
        <v/>
      </c>
      <c r="D356" s="447" t="str">
        <f>IF($B356="","",IFERROR(INDEX('E2 — Triagem'!$D$8:$D$507,MATCH($B356,'E2 — Triagem'!$B$8:$B$507,0)),""))</f>
        <v/>
      </c>
      <c r="E356" s="447"/>
      <c r="F356" s="447"/>
      <c r="G356" s="447"/>
      <c r="H356" s="447"/>
      <c r="I356" s="447"/>
      <c r="J356" s="447"/>
      <c r="K356" s="194" t="str">
        <f t="shared" si="6"/>
        <v/>
      </c>
      <c r="L356" s="448"/>
      <c r="M356" s="448"/>
      <c r="N356" s="449" t="str">
        <f>IF(B356="","",IF('E5 — Validação'!M356="✅ Aprovado sem Ajustes","Não",IF(OR('E5 — Validação'!M356="⚠️ Aprovado com Ajustes",'E5 — Validação'!M356="❌ Reprovado"),"Sim","")))</f>
        <v/>
      </c>
    </row>
    <row r="357" spans="2:14" x14ac:dyDescent="0.35">
      <c r="B357" s="445" t="str">
        <f>IF(Lançamentos!$B352="","",Lançamentos!$B352)</f>
        <v/>
      </c>
      <c r="C357" s="446" t="str">
        <f>IF($B357="","",IFERROR(INDEX(Lançamentos!$J$3:$J$1001,MATCH($B357,Lançamentos!$B$3:$B$1001,0)),""))</f>
        <v/>
      </c>
      <c r="D357" s="447" t="str">
        <f>IF($B357="","",IFERROR(INDEX('E2 — Triagem'!$D$8:$D$507,MATCH($B357,'E2 — Triagem'!$B$8:$B$507,0)),""))</f>
        <v/>
      </c>
      <c r="E357" s="447"/>
      <c r="F357" s="447"/>
      <c r="G357" s="447"/>
      <c r="H357" s="447"/>
      <c r="I357" s="447"/>
      <c r="J357" s="447"/>
      <c r="K357" s="194" t="str">
        <f t="shared" si="6"/>
        <v/>
      </c>
      <c r="L357" s="448"/>
      <c r="M357" s="448"/>
      <c r="N357" s="449" t="str">
        <f>IF(B357="","",IF('E5 — Validação'!M357="✅ Aprovado sem Ajustes","Não",IF(OR('E5 — Validação'!M357="⚠️ Aprovado com Ajustes",'E5 — Validação'!M357="❌ Reprovado"),"Sim","")))</f>
        <v/>
      </c>
    </row>
    <row r="358" spans="2:14" x14ac:dyDescent="0.35">
      <c r="B358" s="445" t="str">
        <f>IF(Lançamentos!$B353="","",Lançamentos!$B353)</f>
        <v/>
      </c>
      <c r="C358" s="446" t="str">
        <f>IF($B358="","",IFERROR(INDEX(Lançamentos!$J$3:$J$1001,MATCH($B358,Lançamentos!$B$3:$B$1001,0)),""))</f>
        <v/>
      </c>
      <c r="D358" s="447" t="str">
        <f>IF($B358="","",IFERROR(INDEX('E2 — Triagem'!$D$8:$D$507,MATCH($B358,'E2 — Triagem'!$B$8:$B$507,0)),""))</f>
        <v/>
      </c>
      <c r="E358" s="447"/>
      <c r="F358" s="447"/>
      <c r="G358" s="447"/>
      <c r="H358" s="447"/>
      <c r="I358" s="447"/>
      <c r="J358" s="447"/>
      <c r="K358" s="194" t="str">
        <f t="shared" si="6"/>
        <v/>
      </c>
      <c r="L358" s="448"/>
      <c r="M358" s="448"/>
      <c r="N358" s="449" t="str">
        <f>IF(B358="","",IF('E5 — Validação'!M358="✅ Aprovado sem Ajustes","Não",IF(OR('E5 — Validação'!M358="⚠️ Aprovado com Ajustes",'E5 — Validação'!M358="❌ Reprovado"),"Sim","")))</f>
        <v/>
      </c>
    </row>
    <row r="359" spans="2:14" x14ac:dyDescent="0.35">
      <c r="B359" s="445" t="str">
        <f>IF(Lançamentos!$B354="","",Lançamentos!$B354)</f>
        <v/>
      </c>
      <c r="C359" s="446" t="str">
        <f>IF($B359="","",IFERROR(INDEX(Lançamentos!$J$3:$J$1001,MATCH($B359,Lançamentos!$B$3:$B$1001,0)),""))</f>
        <v/>
      </c>
      <c r="D359" s="447" t="str">
        <f>IF($B359="","",IFERROR(INDEX('E2 — Triagem'!$D$8:$D$507,MATCH($B359,'E2 — Triagem'!$B$8:$B$507,0)),""))</f>
        <v/>
      </c>
      <c r="E359" s="447"/>
      <c r="F359" s="447"/>
      <c r="G359" s="447"/>
      <c r="H359" s="447"/>
      <c r="I359" s="447"/>
      <c r="J359" s="447"/>
      <c r="K359" s="194" t="str">
        <f t="shared" si="6"/>
        <v/>
      </c>
      <c r="L359" s="448"/>
      <c r="M359" s="448"/>
      <c r="N359" s="449" t="str">
        <f>IF(B359="","",IF('E5 — Validação'!M359="✅ Aprovado sem Ajustes","Não",IF(OR('E5 — Validação'!M359="⚠️ Aprovado com Ajustes",'E5 — Validação'!M359="❌ Reprovado"),"Sim","")))</f>
        <v/>
      </c>
    </row>
    <row r="360" spans="2:14" x14ac:dyDescent="0.35">
      <c r="B360" s="445" t="str">
        <f>IF(Lançamentos!$B355="","",Lançamentos!$B355)</f>
        <v/>
      </c>
      <c r="C360" s="446" t="str">
        <f>IF($B360="","",IFERROR(INDEX(Lançamentos!$J$3:$J$1001,MATCH($B360,Lançamentos!$B$3:$B$1001,0)),""))</f>
        <v/>
      </c>
      <c r="D360" s="447" t="str">
        <f>IF($B360="","",IFERROR(INDEX('E2 — Triagem'!$D$8:$D$507,MATCH($B360,'E2 — Triagem'!$B$8:$B$507,0)),""))</f>
        <v/>
      </c>
      <c r="E360" s="447"/>
      <c r="F360" s="447"/>
      <c r="G360" s="447"/>
      <c r="H360" s="447"/>
      <c r="I360" s="447"/>
      <c r="J360" s="447"/>
      <c r="K360" s="194" t="str">
        <f t="shared" si="6"/>
        <v/>
      </c>
      <c r="L360" s="448"/>
      <c r="M360" s="448"/>
      <c r="N360" s="449" t="str">
        <f>IF(B360="","",IF('E5 — Validação'!M360="✅ Aprovado sem Ajustes","Não",IF(OR('E5 — Validação'!M360="⚠️ Aprovado com Ajustes",'E5 — Validação'!M360="❌ Reprovado"),"Sim","")))</f>
        <v/>
      </c>
    </row>
    <row r="361" spans="2:14" x14ac:dyDescent="0.35">
      <c r="B361" s="445" t="str">
        <f>IF(Lançamentos!$B356="","",Lançamentos!$B356)</f>
        <v/>
      </c>
      <c r="C361" s="446" t="str">
        <f>IF($B361="","",IFERROR(INDEX(Lançamentos!$J$3:$J$1001,MATCH($B361,Lançamentos!$B$3:$B$1001,0)),""))</f>
        <v/>
      </c>
      <c r="D361" s="447" t="str">
        <f>IF($B361="","",IFERROR(INDEX('E2 — Triagem'!$D$8:$D$507,MATCH($B361,'E2 — Triagem'!$B$8:$B$507,0)),""))</f>
        <v/>
      </c>
      <c r="E361" s="447"/>
      <c r="F361" s="447"/>
      <c r="G361" s="447"/>
      <c r="H361" s="447"/>
      <c r="I361" s="447"/>
      <c r="J361" s="447"/>
      <c r="K361" s="194" t="str">
        <f t="shared" si="6"/>
        <v/>
      </c>
      <c r="L361" s="448"/>
      <c r="M361" s="448"/>
      <c r="N361" s="449" t="str">
        <f>IF(B361="","",IF('E5 — Validação'!M361="✅ Aprovado sem Ajustes","Não",IF(OR('E5 — Validação'!M361="⚠️ Aprovado com Ajustes",'E5 — Validação'!M361="❌ Reprovado"),"Sim","")))</f>
        <v/>
      </c>
    </row>
    <row r="362" spans="2:14" x14ac:dyDescent="0.35">
      <c r="B362" s="445" t="str">
        <f>IF(Lançamentos!$B357="","",Lançamentos!$B357)</f>
        <v/>
      </c>
      <c r="C362" s="446" t="str">
        <f>IF($B362="","",IFERROR(INDEX(Lançamentos!$J$3:$J$1001,MATCH($B362,Lançamentos!$B$3:$B$1001,0)),""))</f>
        <v/>
      </c>
      <c r="D362" s="447" t="str">
        <f>IF($B362="","",IFERROR(INDEX('E2 — Triagem'!$D$8:$D$507,MATCH($B362,'E2 — Triagem'!$B$8:$B$507,0)),""))</f>
        <v/>
      </c>
      <c r="E362" s="447"/>
      <c r="F362" s="447"/>
      <c r="G362" s="447"/>
      <c r="H362" s="447"/>
      <c r="I362" s="447"/>
      <c r="J362" s="447"/>
      <c r="K362" s="194" t="str">
        <f t="shared" si="6"/>
        <v/>
      </c>
      <c r="L362" s="448"/>
      <c r="M362" s="448"/>
      <c r="N362" s="449" t="str">
        <f>IF(B362="","",IF('E5 — Validação'!M362="✅ Aprovado sem Ajustes","Não",IF(OR('E5 — Validação'!M362="⚠️ Aprovado com Ajustes",'E5 — Validação'!M362="❌ Reprovado"),"Sim","")))</f>
        <v/>
      </c>
    </row>
    <row r="363" spans="2:14" x14ac:dyDescent="0.35">
      <c r="B363" s="445" t="str">
        <f>IF(Lançamentos!$B358="","",Lançamentos!$B358)</f>
        <v/>
      </c>
      <c r="C363" s="446" t="str">
        <f>IF($B363="","",IFERROR(INDEX(Lançamentos!$J$3:$J$1001,MATCH($B363,Lançamentos!$B$3:$B$1001,0)),""))</f>
        <v/>
      </c>
      <c r="D363" s="447" t="str">
        <f>IF($B363="","",IFERROR(INDEX('E2 — Triagem'!$D$8:$D$507,MATCH($B363,'E2 — Triagem'!$B$8:$B$507,0)),""))</f>
        <v/>
      </c>
      <c r="E363" s="447"/>
      <c r="F363" s="447"/>
      <c r="G363" s="447"/>
      <c r="H363" s="447"/>
      <c r="I363" s="447"/>
      <c r="J363" s="447"/>
      <c r="K363" s="194" t="str">
        <f t="shared" si="6"/>
        <v/>
      </c>
      <c r="L363" s="448"/>
      <c r="M363" s="448"/>
      <c r="N363" s="449" t="str">
        <f>IF(B363="","",IF('E5 — Validação'!M363="✅ Aprovado sem Ajustes","Não",IF(OR('E5 — Validação'!M363="⚠️ Aprovado com Ajustes",'E5 — Validação'!M363="❌ Reprovado"),"Sim","")))</f>
        <v/>
      </c>
    </row>
    <row r="364" spans="2:14" x14ac:dyDescent="0.35">
      <c r="B364" s="445" t="str">
        <f>IF(Lançamentos!$B359="","",Lançamentos!$B359)</f>
        <v/>
      </c>
      <c r="C364" s="446" t="str">
        <f>IF($B364="","",IFERROR(INDEX(Lançamentos!$J$3:$J$1001,MATCH($B364,Lançamentos!$B$3:$B$1001,0)),""))</f>
        <v/>
      </c>
      <c r="D364" s="447" t="str">
        <f>IF($B364="","",IFERROR(INDEX('E2 — Triagem'!$D$8:$D$507,MATCH($B364,'E2 — Triagem'!$B$8:$B$507,0)),""))</f>
        <v/>
      </c>
      <c r="E364" s="447"/>
      <c r="F364" s="447"/>
      <c r="G364" s="447"/>
      <c r="H364" s="447"/>
      <c r="I364" s="447"/>
      <c r="J364" s="447"/>
      <c r="K364" s="194" t="str">
        <f t="shared" si="6"/>
        <v/>
      </c>
      <c r="L364" s="448"/>
      <c r="M364" s="448"/>
      <c r="N364" s="449" t="str">
        <f>IF(B364="","",IF('E5 — Validação'!M364="✅ Aprovado sem Ajustes","Não",IF(OR('E5 — Validação'!M364="⚠️ Aprovado com Ajustes",'E5 — Validação'!M364="❌ Reprovado"),"Sim","")))</f>
        <v/>
      </c>
    </row>
    <row r="365" spans="2:14" x14ac:dyDescent="0.35">
      <c r="B365" s="445" t="str">
        <f>IF(Lançamentos!$B360="","",Lançamentos!$B360)</f>
        <v/>
      </c>
      <c r="C365" s="446" t="str">
        <f>IF($B365="","",IFERROR(INDEX(Lançamentos!$J$3:$J$1001,MATCH($B365,Lançamentos!$B$3:$B$1001,0)),""))</f>
        <v/>
      </c>
      <c r="D365" s="447" t="str">
        <f>IF($B365="","",IFERROR(INDEX('E2 — Triagem'!$D$8:$D$507,MATCH($B365,'E2 — Triagem'!$B$8:$B$507,0)),""))</f>
        <v/>
      </c>
      <c r="E365" s="447"/>
      <c r="F365" s="447"/>
      <c r="G365" s="447"/>
      <c r="H365" s="447"/>
      <c r="I365" s="447"/>
      <c r="J365" s="447"/>
      <c r="K365" s="194" t="str">
        <f t="shared" si="6"/>
        <v/>
      </c>
      <c r="L365" s="448"/>
      <c r="M365" s="448"/>
      <c r="N365" s="449" t="str">
        <f>IF(B365="","",IF('E5 — Validação'!M365="✅ Aprovado sem Ajustes","Não",IF(OR('E5 — Validação'!M365="⚠️ Aprovado com Ajustes",'E5 — Validação'!M365="❌ Reprovado"),"Sim","")))</f>
        <v/>
      </c>
    </row>
    <row r="366" spans="2:14" x14ac:dyDescent="0.35">
      <c r="B366" s="445" t="str">
        <f>IF(Lançamentos!$B361="","",Lançamentos!$B361)</f>
        <v/>
      </c>
      <c r="C366" s="446" t="str">
        <f>IF($B366="","",IFERROR(INDEX(Lançamentos!$J$3:$J$1001,MATCH($B366,Lançamentos!$B$3:$B$1001,0)),""))</f>
        <v/>
      </c>
      <c r="D366" s="447" t="str">
        <f>IF($B366="","",IFERROR(INDEX('E2 — Triagem'!$D$8:$D$507,MATCH($B366,'E2 — Triagem'!$B$8:$B$507,0)),""))</f>
        <v/>
      </c>
      <c r="E366" s="447"/>
      <c r="F366" s="447"/>
      <c r="G366" s="447"/>
      <c r="H366" s="447"/>
      <c r="I366" s="447"/>
      <c r="J366" s="447"/>
      <c r="K366" s="194" t="str">
        <f t="shared" si="6"/>
        <v/>
      </c>
      <c r="L366" s="448"/>
      <c r="M366" s="448"/>
      <c r="N366" s="449" t="str">
        <f>IF(B366="","",IF('E5 — Validação'!M366="✅ Aprovado sem Ajustes","Não",IF(OR('E5 — Validação'!M366="⚠️ Aprovado com Ajustes",'E5 — Validação'!M366="❌ Reprovado"),"Sim","")))</f>
        <v/>
      </c>
    </row>
    <row r="367" spans="2:14" x14ac:dyDescent="0.35">
      <c r="B367" s="445" t="str">
        <f>IF(Lançamentos!$B362="","",Lançamentos!$B362)</f>
        <v/>
      </c>
      <c r="C367" s="446" t="str">
        <f>IF($B367="","",IFERROR(INDEX(Lançamentos!$J$3:$J$1001,MATCH($B367,Lançamentos!$B$3:$B$1001,0)),""))</f>
        <v/>
      </c>
      <c r="D367" s="447" t="str">
        <f>IF($B367="","",IFERROR(INDEX('E2 — Triagem'!$D$8:$D$507,MATCH($B367,'E2 — Triagem'!$B$8:$B$507,0)),""))</f>
        <v/>
      </c>
      <c r="E367" s="447"/>
      <c r="F367" s="447"/>
      <c r="G367" s="447"/>
      <c r="H367" s="447"/>
      <c r="I367" s="447"/>
      <c r="J367" s="447"/>
      <c r="K367" s="194" t="str">
        <f t="shared" si="6"/>
        <v/>
      </c>
      <c r="L367" s="448"/>
      <c r="M367" s="448"/>
      <c r="N367" s="449" t="str">
        <f>IF(B367="","",IF('E5 — Validação'!M367="✅ Aprovado sem Ajustes","Não",IF(OR('E5 — Validação'!M367="⚠️ Aprovado com Ajustes",'E5 — Validação'!M367="❌ Reprovado"),"Sim","")))</f>
        <v/>
      </c>
    </row>
    <row r="368" spans="2:14" x14ac:dyDescent="0.35">
      <c r="B368" s="445" t="str">
        <f>IF(Lançamentos!$B363="","",Lançamentos!$B363)</f>
        <v/>
      </c>
      <c r="C368" s="446" t="str">
        <f>IF($B368="","",IFERROR(INDEX(Lançamentos!$J$3:$J$1001,MATCH($B368,Lançamentos!$B$3:$B$1001,0)),""))</f>
        <v/>
      </c>
      <c r="D368" s="447" t="str">
        <f>IF($B368="","",IFERROR(INDEX('E2 — Triagem'!$D$8:$D$507,MATCH($B368,'E2 — Triagem'!$B$8:$B$507,0)),""))</f>
        <v/>
      </c>
      <c r="E368" s="447"/>
      <c r="F368" s="447"/>
      <c r="G368" s="447"/>
      <c r="H368" s="447"/>
      <c r="I368" s="447"/>
      <c r="J368" s="447"/>
      <c r="K368" s="194" t="str">
        <f t="shared" si="6"/>
        <v/>
      </c>
      <c r="L368" s="448"/>
      <c r="M368" s="448"/>
      <c r="N368" s="449" t="str">
        <f>IF(B368="","",IF('E5 — Validação'!M368="✅ Aprovado sem Ajustes","Não",IF(OR('E5 — Validação'!M368="⚠️ Aprovado com Ajustes",'E5 — Validação'!M368="❌ Reprovado"),"Sim","")))</f>
        <v/>
      </c>
    </row>
    <row r="369" spans="2:14" x14ac:dyDescent="0.35">
      <c r="B369" s="445" t="str">
        <f>IF(Lançamentos!$B364="","",Lançamentos!$B364)</f>
        <v/>
      </c>
      <c r="C369" s="446" t="str">
        <f>IF($B369="","",IFERROR(INDEX(Lançamentos!$J$3:$J$1001,MATCH($B369,Lançamentos!$B$3:$B$1001,0)),""))</f>
        <v/>
      </c>
      <c r="D369" s="447" t="str">
        <f>IF($B369="","",IFERROR(INDEX('E2 — Triagem'!$D$8:$D$507,MATCH($B369,'E2 — Triagem'!$B$8:$B$507,0)),""))</f>
        <v/>
      </c>
      <c r="E369" s="447"/>
      <c r="F369" s="447"/>
      <c r="G369" s="447"/>
      <c r="H369" s="447"/>
      <c r="I369" s="447"/>
      <c r="J369" s="447"/>
      <c r="K369" s="194" t="str">
        <f t="shared" si="6"/>
        <v/>
      </c>
      <c r="L369" s="448"/>
      <c r="M369" s="448"/>
      <c r="N369" s="449" t="str">
        <f>IF(B369="","",IF('E5 — Validação'!M369="✅ Aprovado sem Ajustes","Não",IF(OR('E5 — Validação'!M369="⚠️ Aprovado com Ajustes",'E5 — Validação'!M369="❌ Reprovado"),"Sim","")))</f>
        <v/>
      </c>
    </row>
    <row r="370" spans="2:14" x14ac:dyDescent="0.35">
      <c r="B370" s="445" t="str">
        <f>IF(Lançamentos!$B365="","",Lançamentos!$B365)</f>
        <v/>
      </c>
      <c r="C370" s="446" t="str">
        <f>IF($B370="","",IFERROR(INDEX(Lançamentos!$J$3:$J$1001,MATCH($B370,Lançamentos!$B$3:$B$1001,0)),""))</f>
        <v/>
      </c>
      <c r="D370" s="447" t="str">
        <f>IF($B370="","",IFERROR(INDEX('E2 — Triagem'!$D$8:$D$507,MATCH($B370,'E2 — Triagem'!$B$8:$B$507,0)),""))</f>
        <v/>
      </c>
      <c r="E370" s="447"/>
      <c r="F370" s="447"/>
      <c r="G370" s="447"/>
      <c r="H370" s="447"/>
      <c r="I370" s="447"/>
      <c r="J370" s="447"/>
      <c r="K370" s="194" t="str">
        <f t="shared" si="6"/>
        <v/>
      </c>
      <c r="L370" s="448"/>
      <c r="M370" s="448"/>
      <c r="N370" s="449" t="str">
        <f>IF(B370="","",IF('E5 — Validação'!M370="✅ Aprovado sem Ajustes","Não",IF(OR('E5 — Validação'!M370="⚠️ Aprovado com Ajustes",'E5 — Validação'!M370="❌ Reprovado"),"Sim","")))</f>
        <v/>
      </c>
    </row>
    <row r="371" spans="2:14" x14ac:dyDescent="0.35">
      <c r="B371" s="445" t="str">
        <f>IF(Lançamentos!$B366="","",Lançamentos!$B366)</f>
        <v/>
      </c>
      <c r="C371" s="446" t="str">
        <f>IF($B371="","",IFERROR(INDEX(Lançamentos!$J$3:$J$1001,MATCH($B371,Lançamentos!$B$3:$B$1001,0)),""))</f>
        <v/>
      </c>
      <c r="D371" s="447" t="str">
        <f>IF($B371="","",IFERROR(INDEX('E2 — Triagem'!$D$8:$D$507,MATCH($B371,'E2 — Triagem'!$B$8:$B$507,0)),""))</f>
        <v/>
      </c>
      <c r="E371" s="447"/>
      <c r="F371" s="447"/>
      <c r="G371" s="447"/>
      <c r="H371" s="447"/>
      <c r="I371" s="447"/>
      <c r="J371" s="447"/>
      <c r="K371" s="194" t="str">
        <f t="shared" si="6"/>
        <v/>
      </c>
      <c r="L371" s="448"/>
      <c r="M371" s="448"/>
      <c r="N371" s="449" t="str">
        <f>IF(B371="","",IF('E5 — Validação'!M371="✅ Aprovado sem Ajustes","Não",IF(OR('E5 — Validação'!M371="⚠️ Aprovado com Ajustes",'E5 — Validação'!M371="❌ Reprovado"),"Sim","")))</f>
        <v/>
      </c>
    </row>
    <row r="372" spans="2:14" x14ac:dyDescent="0.35">
      <c r="B372" s="445" t="str">
        <f>IF(Lançamentos!$B367="","",Lançamentos!$B367)</f>
        <v/>
      </c>
      <c r="C372" s="446" t="str">
        <f>IF($B372="","",IFERROR(INDEX(Lançamentos!$J$3:$J$1001,MATCH($B372,Lançamentos!$B$3:$B$1001,0)),""))</f>
        <v/>
      </c>
      <c r="D372" s="447" t="str">
        <f>IF($B372="","",IFERROR(INDEX('E2 — Triagem'!$D$8:$D$507,MATCH($B372,'E2 — Triagem'!$B$8:$B$507,0)),""))</f>
        <v/>
      </c>
      <c r="E372" s="447"/>
      <c r="F372" s="447"/>
      <c r="G372" s="447"/>
      <c r="H372" s="447"/>
      <c r="I372" s="447"/>
      <c r="J372" s="447"/>
      <c r="K372" s="194" t="str">
        <f t="shared" si="6"/>
        <v/>
      </c>
      <c r="L372" s="448"/>
      <c r="M372" s="448"/>
      <c r="N372" s="449" t="str">
        <f>IF(B372="","",IF('E5 — Validação'!M372="✅ Aprovado sem Ajustes","Não",IF(OR('E5 — Validação'!M372="⚠️ Aprovado com Ajustes",'E5 — Validação'!M372="❌ Reprovado"),"Sim","")))</f>
        <v/>
      </c>
    </row>
    <row r="373" spans="2:14" x14ac:dyDescent="0.35">
      <c r="B373" s="445" t="str">
        <f>IF(Lançamentos!$B368="","",Lançamentos!$B368)</f>
        <v/>
      </c>
      <c r="C373" s="446" t="str">
        <f>IF($B373="","",IFERROR(INDEX(Lançamentos!$J$3:$J$1001,MATCH($B373,Lançamentos!$B$3:$B$1001,0)),""))</f>
        <v/>
      </c>
      <c r="D373" s="447" t="str">
        <f>IF($B373="","",IFERROR(INDEX('E2 — Triagem'!$D$8:$D$507,MATCH($B373,'E2 — Triagem'!$B$8:$B$507,0)),""))</f>
        <v/>
      </c>
      <c r="E373" s="447"/>
      <c r="F373" s="447"/>
      <c r="G373" s="447"/>
      <c r="H373" s="447"/>
      <c r="I373" s="447"/>
      <c r="J373" s="447"/>
      <c r="K373" s="194" t="str">
        <f t="shared" si="6"/>
        <v/>
      </c>
      <c r="L373" s="448"/>
      <c r="M373" s="448"/>
      <c r="N373" s="449" t="str">
        <f>IF(B373="","",IF('E5 — Validação'!M373="✅ Aprovado sem Ajustes","Não",IF(OR('E5 — Validação'!M373="⚠️ Aprovado com Ajustes",'E5 — Validação'!M373="❌ Reprovado"),"Sim","")))</f>
        <v/>
      </c>
    </row>
    <row r="374" spans="2:14" x14ac:dyDescent="0.35">
      <c r="B374" s="445" t="str">
        <f>IF(Lançamentos!$B369="","",Lançamentos!$B369)</f>
        <v/>
      </c>
      <c r="C374" s="446" t="str">
        <f>IF($B374="","",IFERROR(INDEX(Lançamentos!$J$3:$J$1001,MATCH($B374,Lançamentos!$B$3:$B$1001,0)),""))</f>
        <v/>
      </c>
      <c r="D374" s="447" t="str">
        <f>IF($B374="","",IFERROR(INDEX('E2 — Triagem'!$D$8:$D$507,MATCH($B374,'E2 — Triagem'!$B$8:$B$507,0)),""))</f>
        <v/>
      </c>
      <c r="E374" s="447"/>
      <c r="F374" s="447"/>
      <c r="G374" s="447"/>
      <c r="H374" s="447"/>
      <c r="I374" s="447"/>
      <c r="J374" s="447"/>
      <c r="K374" s="194" t="str">
        <f t="shared" si="6"/>
        <v/>
      </c>
      <c r="L374" s="448"/>
      <c r="M374" s="448"/>
      <c r="N374" s="449" t="str">
        <f>IF(B374="","",IF('E5 — Validação'!M374="✅ Aprovado sem Ajustes","Não",IF(OR('E5 — Validação'!M374="⚠️ Aprovado com Ajustes",'E5 — Validação'!M374="❌ Reprovado"),"Sim","")))</f>
        <v/>
      </c>
    </row>
    <row r="375" spans="2:14" x14ac:dyDescent="0.35">
      <c r="B375" s="445" t="str">
        <f>IF(Lançamentos!$B370="","",Lançamentos!$B370)</f>
        <v/>
      </c>
      <c r="C375" s="446" t="str">
        <f>IF($B375="","",IFERROR(INDEX(Lançamentos!$J$3:$J$1001,MATCH($B375,Lançamentos!$B$3:$B$1001,0)),""))</f>
        <v/>
      </c>
      <c r="D375" s="447" t="str">
        <f>IF($B375="","",IFERROR(INDEX('E2 — Triagem'!$D$8:$D$507,MATCH($B375,'E2 — Triagem'!$B$8:$B$507,0)),""))</f>
        <v/>
      </c>
      <c r="E375" s="447"/>
      <c r="F375" s="447"/>
      <c r="G375" s="447"/>
      <c r="H375" s="447"/>
      <c r="I375" s="447"/>
      <c r="J375" s="447"/>
      <c r="K375" s="194" t="str">
        <f t="shared" si="6"/>
        <v/>
      </c>
      <c r="L375" s="448"/>
      <c r="M375" s="448"/>
      <c r="N375" s="449" t="str">
        <f>IF(B375="","",IF('E5 — Validação'!M375="✅ Aprovado sem Ajustes","Não",IF(OR('E5 — Validação'!M375="⚠️ Aprovado com Ajustes",'E5 — Validação'!M375="❌ Reprovado"),"Sim","")))</f>
        <v/>
      </c>
    </row>
    <row r="376" spans="2:14" x14ac:dyDescent="0.35">
      <c r="B376" s="445" t="str">
        <f>IF(Lançamentos!$B371="","",Lançamentos!$B371)</f>
        <v/>
      </c>
      <c r="C376" s="446" t="str">
        <f>IF($B376="","",IFERROR(INDEX(Lançamentos!$J$3:$J$1001,MATCH($B376,Lançamentos!$B$3:$B$1001,0)),""))</f>
        <v/>
      </c>
      <c r="D376" s="447" t="str">
        <f>IF($B376="","",IFERROR(INDEX('E2 — Triagem'!$D$8:$D$507,MATCH($B376,'E2 — Triagem'!$B$8:$B$507,0)),""))</f>
        <v/>
      </c>
      <c r="E376" s="447"/>
      <c r="F376" s="447"/>
      <c r="G376" s="447"/>
      <c r="H376" s="447"/>
      <c r="I376" s="447"/>
      <c r="J376" s="447"/>
      <c r="K376" s="194" t="str">
        <f t="shared" si="6"/>
        <v/>
      </c>
      <c r="L376" s="448"/>
      <c r="M376" s="448"/>
      <c r="N376" s="449" t="str">
        <f>IF(B376="","",IF('E5 — Validação'!M376="✅ Aprovado sem Ajustes","Não",IF(OR('E5 — Validação'!M376="⚠️ Aprovado com Ajustes",'E5 — Validação'!M376="❌ Reprovado"),"Sim","")))</f>
        <v/>
      </c>
    </row>
    <row r="377" spans="2:14" x14ac:dyDescent="0.35">
      <c r="B377" s="445" t="str">
        <f>IF(Lançamentos!$B372="","",Lançamentos!$B372)</f>
        <v/>
      </c>
      <c r="C377" s="446" t="str">
        <f>IF($B377="","",IFERROR(INDEX(Lançamentos!$J$3:$J$1001,MATCH($B377,Lançamentos!$B$3:$B$1001,0)),""))</f>
        <v/>
      </c>
      <c r="D377" s="447" t="str">
        <f>IF($B377="","",IFERROR(INDEX('E2 — Triagem'!$D$8:$D$507,MATCH($B377,'E2 — Triagem'!$B$8:$B$507,0)),""))</f>
        <v/>
      </c>
      <c r="E377" s="447"/>
      <c r="F377" s="447"/>
      <c r="G377" s="447"/>
      <c r="H377" s="447"/>
      <c r="I377" s="447"/>
      <c r="J377" s="447"/>
      <c r="K377" s="194" t="str">
        <f t="shared" si="6"/>
        <v/>
      </c>
      <c r="L377" s="448"/>
      <c r="M377" s="448"/>
      <c r="N377" s="449" t="str">
        <f>IF(B377="","",IF('E5 — Validação'!M377="✅ Aprovado sem Ajustes","Não",IF(OR('E5 — Validação'!M377="⚠️ Aprovado com Ajustes",'E5 — Validação'!M377="❌ Reprovado"),"Sim","")))</f>
        <v/>
      </c>
    </row>
    <row r="378" spans="2:14" x14ac:dyDescent="0.35">
      <c r="B378" s="445" t="str">
        <f>IF(Lançamentos!$B373="","",Lançamentos!$B373)</f>
        <v/>
      </c>
      <c r="C378" s="446" t="str">
        <f>IF($B378="","",IFERROR(INDEX(Lançamentos!$J$3:$J$1001,MATCH($B378,Lançamentos!$B$3:$B$1001,0)),""))</f>
        <v/>
      </c>
      <c r="D378" s="447" t="str">
        <f>IF($B378="","",IFERROR(INDEX('E2 — Triagem'!$D$8:$D$507,MATCH($B378,'E2 — Triagem'!$B$8:$B$507,0)),""))</f>
        <v/>
      </c>
      <c r="E378" s="447"/>
      <c r="F378" s="447"/>
      <c r="G378" s="447"/>
      <c r="H378" s="447"/>
      <c r="I378" s="447"/>
      <c r="J378" s="447"/>
      <c r="K378" s="194" t="str">
        <f t="shared" si="6"/>
        <v/>
      </c>
      <c r="L378" s="448"/>
      <c r="M378" s="448"/>
      <c r="N378" s="449" t="str">
        <f>IF(B378="","",IF('E5 — Validação'!M378="✅ Aprovado sem Ajustes","Não",IF(OR('E5 — Validação'!M378="⚠️ Aprovado com Ajustes",'E5 — Validação'!M378="❌ Reprovado"),"Sim","")))</f>
        <v/>
      </c>
    </row>
    <row r="379" spans="2:14" x14ac:dyDescent="0.35">
      <c r="B379" s="445" t="str">
        <f>IF(Lançamentos!$B374="","",Lançamentos!$B374)</f>
        <v/>
      </c>
      <c r="C379" s="446" t="str">
        <f>IF($B379="","",IFERROR(INDEX(Lançamentos!$J$3:$J$1001,MATCH($B379,Lançamentos!$B$3:$B$1001,0)),""))</f>
        <v/>
      </c>
      <c r="D379" s="447" t="str">
        <f>IF($B379="","",IFERROR(INDEX('E2 — Triagem'!$D$8:$D$507,MATCH($B379,'E2 — Triagem'!$B$8:$B$507,0)),""))</f>
        <v/>
      </c>
      <c r="E379" s="447"/>
      <c r="F379" s="447"/>
      <c r="G379" s="447"/>
      <c r="H379" s="447"/>
      <c r="I379" s="447"/>
      <c r="J379" s="447"/>
      <c r="K379" s="194" t="str">
        <f t="shared" si="6"/>
        <v/>
      </c>
      <c r="L379" s="448"/>
      <c r="M379" s="448"/>
      <c r="N379" s="449" t="str">
        <f>IF(B379="","",IF('E5 — Validação'!M379="✅ Aprovado sem Ajustes","Não",IF(OR('E5 — Validação'!M379="⚠️ Aprovado com Ajustes",'E5 — Validação'!M379="❌ Reprovado"),"Sim","")))</f>
        <v/>
      </c>
    </row>
    <row r="380" spans="2:14" x14ac:dyDescent="0.35">
      <c r="B380" s="445" t="str">
        <f>IF(Lançamentos!$B375="","",Lançamentos!$B375)</f>
        <v/>
      </c>
      <c r="C380" s="446" t="str">
        <f>IF($B380="","",IFERROR(INDEX(Lançamentos!$J$3:$J$1001,MATCH($B380,Lançamentos!$B$3:$B$1001,0)),""))</f>
        <v/>
      </c>
      <c r="D380" s="447" t="str">
        <f>IF($B380="","",IFERROR(INDEX('E2 — Triagem'!$D$8:$D$507,MATCH($B380,'E2 — Triagem'!$B$8:$B$507,0)),""))</f>
        <v/>
      </c>
      <c r="E380" s="447"/>
      <c r="F380" s="447"/>
      <c r="G380" s="447"/>
      <c r="H380" s="447"/>
      <c r="I380" s="447"/>
      <c r="J380" s="447"/>
      <c r="K380" s="194" t="str">
        <f t="shared" si="6"/>
        <v/>
      </c>
      <c r="L380" s="448"/>
      <c r="M380" s="448"/>
      <c r="N380" s="449" t="str">
        <f>IF(B380="","",IF('E5 — Validação'!M380="✅ Aprovado sem Ajustes","Não",IF(OR('E5 — Validação'!M380="⚠️ Aprovado com Ajustes",'E5 — Validação'!M380="❌ Reprovado"),"Sim","")))</f>
        <v/>
      </c>
    </row>
    <row r="381" spans="2:14" x14ac:dyDescent="0.35">
      <c r="B381" s="445" t="str">
        <f>IF(Lançamentos!$B376="","",Lançamentos!$B376)</f>
        <v/>
      </c>
      <c r="C381" s="446" t="str">
        <f>IF($B381="","",IFERROR(INDEX(Lançamentos!$J$3:$J$1001,MATCH($B381,Lançamentos!$B$3:$B$1001,0)),""))</f>
        <v/>
      </c>
      <c r="D381" s="447" t="str">
        <f>IF($B381="","",IFERROR(INDEX('E2 — Triagem'!$D$8:$D$507,MATCH($B381,'E2 — Triagem'!$B$8:$B$507,0)),""))</f>
        <v/>
      </c>
      <c r="E381" s="447"/>
      <c r="F381" s="447"/>
      <c r="G381" s="447"/>
      <c r="H381" s="447"/>
      <c r="I381" s="447"/>
      <c r="J381" s="447"/>
      <c r="K381" s="194" t="str">
        <f t="shared" si="6"/>
        <v/>
      </c>
      <c r="L381" s="448"/>
      <c r="M381" s="448"/>
      <c r="N381" s="449" t="str">
        <f>IF(B381="","",IF('E5 — Validação'!M381="✅ Aprovado sem Ajustes","Não",IF(OR('E5 — Validação'!M381="⚠️ Aprovado com Ajustes",'E5 — Validação'!M381="❌ Reprovado"),"Sim","")))</f>
        <v/>
      </c>
    </row>
    <row r="382" spans="2:14" x14ac:dyDescent="0.35">
      <c r="B382" s="445" t="str">
        <f>IF(Lançamentos!$B377="","",Lançamentos!$B377)</f>
        <v/>
      </c>
      <c r="C382" s="446" t="str">
        <f>IF($B382="","",IFERROR(INDEX(Lançamentos!$J$3:$J$1001,MATCH($B382,Lançamentos!$B$3:$B$1001,0)),""))</f>
        <v/>
      </c>
      <c r="D382" s="447" t="str">
        <f>IF($B382="","",IFERROR(INDEX('E2 — Triagem'!$D$8:$D$507,MATCH($B382,'E2 — Triagem'!$B$8:$B$507,0)),""))</f>
        <v/>
      </c>
      <c r="E382" s="447"/>
      <c r="F382" s="447"/>
      <c r="G382" s="447"/>
      <c r="H382" s="447"/>
      <c r="I382" s="447"/>
      <c r="J382" s="447"/>
      <c r="K382" s="194" t="str">
        <f t="shared" si="6"/>
        <v/>
      </c>
      <c r="L382" s="448"/>
      <c r="M382" s="448"/>
      <c r="N382" s="449" t="str">
        <f>IF(B382="","",IF('E5 — Validação'!M382="✅ Aprovado sem Ajustes","Não",IF(OR('E5 — Validação'!M382="⚠️ Aprovado com Ajustes",'E5 — Validação'!M382="❌ Reprovado"),"Sim","")))</f>
        <v/>
      </c>
    </row>
    <row r="383" spans="2:14" x14ac:dyDescent="0.35">
      <c r="B383" s="445" t="str">
        <f>IF(Lançamentos!$B378="","",Lançamentos!$B378)</f>
        <v/>
      </c>
      <c r="C383" s="446" t="str">
        <f>IF($B383="","",IFERROR(INDEX(Lançamentos!$J$3:$J$1001,MATCH($B383,Lançamentos!$B$3:$B$1001,0)),""))</f>
        <v/>
      </c>
      <c r="D383" s="447" t="str">
        <f>IF($B383="","",IFERROR(INDEX('E2 — Triagem'!$D$8:$D$507,MATCH($B383,'E2 — Triagem'!$B$8:$B$507,0)),""))</f>
        <v/>
      </c>
      <c r="E383" s="447"/>
      <c r="F383" s="447"/>
      <c r="G383" s="447"/>
      <c r="H383" s="447"/>
      <c r="I383" s="447"/>
      <c r="J383" s="447"/>
      <c r="K383" s="194" t="str">
        <f t="shared" si="6"/>
        <v/>
      </c>
      <c r="L383" s="448"/>
      <c r="M383" s="448"/>
      <c r="N383" s="449" t="str">
        <f>IF(B383="","",IF('E5 — Validação'!M383="✅ Aprovado sem Ajustes","Não",IF(OR('E5 — Validação'!M383="⚠️ Aprovado com Ajustes",'E5 — Validação'!M383="❌ Reprovado"),"Sim","")))</f>
        <v/>
      </c>
    </row>
    <row r="384" spans="2:14" x14ac:dyDescent="0.35">
      <c r="B384" s="445" t="str">
        <f>IF(Lançamentos!$B379="","",Lançamentos!$B379)</f>
        <v/>
      </c>
      <c r="C384" s="446" t="str">
        <f>IF($B384="","",IFERROR(INDEX(Lançamentos!$J$3:$J$1001,MATCH($B384,Lançamentos!$B$3:$B$1001,0)),""))</f>
        <v/>
      </c>
      <c r="D384" s="447" t="str">
        <f>IF($B384="","",IFERROR(INDEX('E2 — Triagem'!$D$8:$D$507,MATCH($B384,'E2 — Triagem'!$B$8:$B$507,0)),""))</f>
        <v/>
      </c>
      <c r="E384" s="447"/>
      <c r="F384" s="447"/>
      <c r="G384" s="447"/>
      <c r="H384" s="447"/>
      <c r="I384" s="447"/>
      <c r="J384" s="447"/>
      <c r="K384" s="194" t="str">
        <f t="shared" si="6"/>
        <v/>
      </c>
      <c r="L384" s="448"/>
      <c r="M384" s="448"/>
      <c r="N384" s="449" t="str">
        <f>IF(B384="","",IF('E5 — Validação'!M384="✅ Aprovado sem Ajustes","Não",IF(OR('E5 — Validação'!M384="⚠️ Aprovado com Ajustes",'E5 — Validação'!M384="❌ Reprovado"),"Sim","")))</f>
        <v/>
      </c>
    </row>
    <row r="385" spans="2:14" x14ac:dyDescent="0.35">
      <c r="B385" s="445" t="str">
        <f>IF(Lançamentos!$B380="","",Lançamentos!$B380)</f>
        <v/>
      </c>
      <c r="C385" s="446" t="str">
        <f>IF($B385="","",IFERROR(INDEX(Lançamentos!$J$3:$J$1001,MATCH($B385,Lançamentos!$B$3:$B$1001,0)),""))</f>
        <v/>
      </c>
      <c r="D385" s="447" t="str">
        <f>IF($B385="","",IFERROR(INDEX('E2 — Triagem'!$D$8:$D$507,MATCH($B385,'E2 — Triagem'!$B$8:$B$507,0)),""))</f>
        <v/>
      </c>
      <c r="E385" s="447"/>
      <c r="F385" s="447"/>
      <c r="G385" s="447"/>
      <c r="H385" s="447"/>
      <c r="I385" s="447"/>
      <c r="J385" s="447"/>
      <c r="K385" s="194" t="str">
        <f t="shared" si="6"/>
        <v/>
      </c>
      <c r="L385" s="448"/>
      <c r="M385" s="448"/>
      <c r="N385" s="449" t="str">
        <f>IF(B385="","",IF('E5 — Validação'!M385="✅ Aprovado sem Ajustes","Não",IF(OR('E5 — Validação'!M385="⚠️ Aprovado com Ajustes",'E5 — Validação'!M385="❌ Reprovado"),"Sim","")))</f>
        <v/>
      </c>
    </row>
    <row r="386" spans="2:14" x14ac:dyDescent="0.35">
      <c r="B386" s="445" t="str">
        <f>IF(Lançamentos!$B381="","",Lançamentos!$B381)</f>
        <v/>
      </c>
      <c r="C386" s="446" t="str">
        <f>IF($B386="","",IFERROR(INDEX(Lançamentos!$J$3:$J$1001,MATCH($B386,Lançamentos!$B$3:$B$1001,0)),""))</f>
        <v/>
      </c>
      <c r="D386" s="447" t="str">
        <f>IF($B386="","",IFERROR(INDEX('E2 — Triagem'!$D$8:$D$507,MATCH($B386,'E2 — Triagem'!$B$8:$B$507,0)),""))</f>
        <v/>
      </c>
      <c r="E386" s="447"/>
      <c r="F386" s="447"/>
      <c r="G386" s="447"/>
      <c r="H386" s="447"/>
      <c r="I386" s="447"/>
      <c r="J386" s="447"/>
      <c r="K386" s="194" t="str">
        <f t="shared" si="6"/>
        <v/>
      </c>
      <c r="L386" s="448"/>
      <c r="M386" s="448"/>
      <c r="N386" s="449" t="str">
        <f>IF(B386="","",IF('E5 — Validação'!M386="✅ Aprovado sem Ajustes","Não",IF(OR('E5 — Validação'!M386="⚠️ Aprovado com Ajustes",'E5 — Validação'!M386="❌ Reprovado"),"Sim","")))</f>
        <v/>
      </c>
    </row>
    <row r="387" spans="2:14" x14ac:dyDescent="0.35">
      <c r="B387" s="445" t="str">
        <f>IF(Lançamentos!$B382="","",Lançamentos!$B382)</f>
        <v/>
      </c>
      <c r="C387" s="446" t="str">
        <f>IF($B387="","",IFERROR(INDEX(Lançamentos!$J$3:$J$1001,MATCH($B387,Lançamentos!$B$3:$B$1001,0)),""))</f>
        <v/>
      </c>
      <c r="D387" s="447" t="str">
        <f>IF($B387="","",IFERROR(INDEX('E2 — Triagem'!$D$8:$D$507,MATCH($B387,'E2 — Triagem'!$B$8:$B$507,0)),""))</f>
        <v/>
      </c>
      <c r="E387" s="447"/>
      <c r="F387" s="447"/>
      <c r="G387" s="447"/>
      <c r="H387" s="447"/>
      <c r="I387" s="447"/>
      <c r="J387" s="447"/>
      <c r="K387" s="194" t="str">
        <f t="shared" si="6"/>
        <v/>
      </c>
      <c r="L387" s="448"/>
      <c r="M387" s="448"/>
      <c r="N387" s="449" t="str">
        <f>IF(B387="","",IF('E5 — Validação'!M387="✅ Aprovado sem Ajustes","Não",IF(OR('E5 — Validação'!M387="⚠️ Aprovado com Ajustes",'E5 — Validação'!M387="❌ Reprovado"),"Sim","")))</f>
        <v/>
      </c>
    </row>
    <row r="388" spans="2:14" x14ac:dyDescent="0.35">
      <c r="B388" s="445" t="str">
        <f>IF(Lançamentos!$B383="","",Lançamentos!$B383)</f>
        <v/>
      </c>
      <c r="C388" s="446" t="str">
        <f>IF($B388="","",IFERROR(INDEX(Lançamentos!$J$3:$J$1001,MATCH($B388,Lançamentos!$B$3:$B$1001,0)),""))</f>
        <v/>
      </c>
      <c r="D388" s="447" t="str">
        <f>IF($B388="","",IFERROR(INDEX('E2 — Triagem'!$D$8:$D$507,MATCH($B388,'E2 — Triagem'!$B$8:$B$507,0)),""))</f>
        <v/>
      </c>
      <c r="E388" s="447"/>
      <c r="F388" s="447"/>
      <c r="G388" s="447"/>
      <c r="H388" s="447"/>
      <c r="I388" s="447"/>
      <c r="J388" s="447"/>
      <c r="K388" s="194" t="str">
        <f t="shared" si="6"/>
        <v/>
      </c>
      <c r="L388" s="448"/>
      <c r="M388" s="448"/>
      <c r="N388" s="449" t="str">
        <f>IF(B388="","",IF('E5 — Validação'!M388="✅ Aprovado sem Ajustes","Não",IF(OR('E5 — Validação'!M388="⚠️ Aprovado com Ajustes",'E5 — Validação'!M388="❌ Reprovado"),"Sim","")))</f>
        <v/>
      </c>
    </row>
    <row r="389" spans="2:14" x14ac:dyDescent="0.35">
      <c r="B389" s="445" t="str">
        <f>IF(Lançamentos!$B384="","",Lançamentos!$B384)</f>
        <v/>
      </c>
      <c r="C389" s="446" t="str">
        <f>IF($B389="","",IFERROR(INDEX(Lançamentos!$J$3:$J$1001,MATCH($B389,Lançamentos!$B$3:$B$1001,0)),""))</f>
        <v/>
      </c>
      <c r="D389" s="447" t="str">
        <f>IF($B389="","",IFERROR(INDEX('E2 — Triagem'!$D$8:$D$507,MATCH($B389,'E2 — Triagem'!$B$8:$B$507,0)),""))</f>
        <v/>
      </c>
      <c r="E389" s="447"/>
      <c r="F389" s="447"/>
      <c r="G389" s="447"/>
      <c r="H389" s="447"/>
      <c r="I389" s="447"/>
      <c r="J389" s="447"/>
      <c r="K389" s="194" t="str">
        <f t="shared" si="6"/>
        <v/>
      </c>
      <c r="L389" s="448"/>
      <c r="M389" s="448"/>
      <c r="N389" s="449" t="str">
        <f>IF(B389="","",IF('E5 — Validação'!M389="✅ Aprovado sem Ajustes","Não",IF(OR('E5 — Validação'!M389="⚠️ Aprovado com Ajustes",'E5 — Validação'!M389="❌ Reprovado"),"Sim","")))</f>
        <v/>
      </c>
    </row>
    <row r="390" spans="2:14" x14ac:dyDescent="0.35">
      <c r="B390" s="445" t="str">
        <f>IF(Lançamentos!$B385="","",Lançamentos!$B385)</f>
        <v/>
      </c>
      <c r="C390" s="446" t="str">
        <f>IF($B390="","",IFERROR(INDEX(Lançamentos!$J$3:$J$1001,MATCH($B390,Lançamentos!$B$3:$B$1001,0)),""))</f>
        <v/>
      </c>
      <c r="D390" s="447" t="str">
        <f>IF($B390="","",IFERROR(INDEX('E2 — Triagem'!$D$8:$D$507,MATCH($B390,'E2 — Triagem'!$B$8:$B$507,0)),""))</f>
        <v/>
      </c>
      <c r="E390" s="447"/>
      <c r="F390" s="447"/>
      <c r="G390" s="447"/>
      <c r="H390" s="447"/>
      <c r="I390" s="447"/>
      <c r="J390" s="447"/>
      <c r="K390" s="194" t="str">
        <f t="shared" si="6"/>
        <v/>
      </c>
      <c r="L390" s="448"/>
      <c r="M390" s="448"/>
      <c r="N390" s="449" t="str">
        <f>IF(B390="","",IF('E5 — Validação'!M390="✅ Aprovado sem Ajustes","Não",IF(OR('E5 — Validação'!M390="⚠️ Aprovado com Ajustes",'E5 — Validação'!M390="❌ Reprovado"),"Sim","")))</f>
        <v/>
      </c>
    </row>
    <row r="391" spans="2:14" x14ac:dyDescent="0.35">
      <c r="B391" s="445" t="str">
        <f>IF(Lançamentos!$B386="","",Lançamentos!$B386)</f>
        <v/>
      </c>
      <c r="C391" s="446" t="str">
        <f>IF($B391="","",IFERROR(INDEX(Lançamentos!$J$3:$J$1001,MATCH($B391,Lançamentos!$B$3:$B$1001,0)),""))</f>
        <v/>
      </c>
      <c r="D391" s="447" t="str">
        <f>IF($B391="","",IFERROR(INDEX('E2 — Triagem'!$D$8:$D$507,MATCH($B391,'E2 — Triagem'!$B$8:$B$507,0)),""))</f>
        <v/>
      </c>
      <c r="E391" s="447"/>
      <c r="F391" s="447"/>
      <c r="G391" s="447"/>
      <c r="H391" s="447"/>
      <c r="I391" s="447"/>
      <c r="J391" s="447"/>
      <c r="K391" s="194" t="str">
        <f t="shared" si="6"/>
        <v/>
      </c>
      <c r="L391" s="448"/>
      <c r="M391" s="448"/>
      <c r="N391" s="449" t="str">
        <f>IF(B391="","",IF('E5 — Validação'!M391="✅ Aprovado sem Ajustes","Não",IF(OR('E5 — Validação'!M391="⚠️ Aprovado com Ajustes",'E5 — Validação'!M391="❌ Reprovado"),"Sim","")))</f>
        <v/>
      </c>
    </row>
    <row r="392" spans="2:14" x14ac:dyDescent="0.35">
      <c r="B392" s="445" t="str">
        <f>IF(Lançamentos!$B387="","",Lançamentos!$B387)</f>
        <v/>
      </c>
      <c r="C392" s="446" t="str">
        <f>IF($B392="","",IFERROR(INDEX(Lançamentos!$J$3:$J$1001,MATCH($B392,Lançamentos!$B$3:$B$1001,0)),""))</f>
        <v/>
      </c>
      <c r="D392" s="447" t="str">
        <f>IF($B392="","",IFERROR(INDEX('E2 — Triagem'!$D$8:$D$507,MATCH($B392,'E2 — Triagem'!$B$8:$B$507,0)),""))</f>
        <v/>
      </c>
      <c r="E392" s="447"/>
      <c r="F392" s="447"/>
      <c r="G392" s="447"/>
      <c r="H392" s="447"/>
      <c r="I392" s="447"/>
      <c r="J392" s="447"/>
      <c r="K392" s="194" t="str">
        <f t="shared" si="6"/>
        <v/>
      </c>
      <c r="L392" s="448"/>
      <c r="M392" s="448"/>
      <c r="N392" s="449" t="str">
        <f>IF(B392="","",IF('E5 — Validação'!M392="✅ Aprovado sem Ajustes","Não",IF(OR('E5 — Validação'!M392="⚠️ Aprovado com Ajustes",'E5 — Validação'!M392="❌ Reprovado"),"Sim","")))</f>
        <v/>
      </c>
    </row>
    <row r="393" spans="2:14" x14ac:dyDescent="0.35">
      <c r="B393" s="445" t="str">
        <f>IF(Lançamentos!$B388="","",Lançamentos!$B388)</f>
        <v/>
      </c>
      <c r="C393" s="446" t="str">
        <f>IF($B393="","",IFERROR(INDEX(Lançamentos!$J$3:$J$1001,MATCH($B393,Lançamentos!$B$3:$B$1001,0)),""))</f>
        <v/>
      </c>
      <c r="D393" s="447" t="str">
        <f>IF($B393="","",IFERROR(INDEX('E2 — Triagem'!$D$8:$D$507,MATCH($B393,'E2 — Triagem'!$B$8:$B$507,0)),""))</f>
        <v/>
      </c>
      <c r="E393" s="447"/>
      <c r="F393" s="447"/>
      <c r="G393" s="447"/>
      <c r="H393" s="447"/>
      <c r="I393" s="447"/>
      <c r="J393" s="447"/>
      <c r="K393" s="194" t="str">
        <f t="shared" si="6"/>
        <v/>
      </c>
      <c r="L393" s="448"/>
      <c r="M393" s="448"/>
      <c r="N393" s="449" t="str">
        <f>IF(B393="","",IF('E5 — Validação'!M393="✅ Aprovado sem Ajustes","Não",IF(OR('E5 — Validação'!M393="⚠️ Aprovado com Ajustes",'E5 — Validação'!M393="❌ Reprovado"),"Sim","")))</f>
        <v/>
      </c>
    </row>
    <row r="394" spans="2:14" x14ac:dyDescent="0.35">
      <c r="B394" s="445" t="str">
        <f>IF(Lançamentos!$B389="","",Lançamentos!$B389)</f>
        <v/>
      </c>
      <c r="C394" s="446" t="str">
        <f>IF($B394="","",IFERROR(INDEX(Lançamentos!$J$3:$J$1001,MATCH($B394,Lançamentos!$B$3:$B$1001,0)),""))</f>
        <v/>
      </c>
      <c r="D394" s="447" t="str">
        <f>IF($B394="","",IFERROR(INDEX('E2 — Triagem'!$D$8:$D$507,MATCH($B394,'E2 — Triagem'!$B$8:$B$507,0)),""))</f>
        <v/>
      </c>
      <c r="E394" s="447"/>
      <c r="F394" s="447"/>
      <c r="G394" s="447"/>
      <c r="H394" s="447"/>
      <c r="I394" s="447"/>
      <c r="J394" s="447"/>
      <c r="K394" s="194" t="str">
        <f t="shared" si="6"/>
        <v/>
      </c>
      <c r="L394" s="448"/>
      <c r="M394" s="448"/>
      <c r="N394" s="449" t="str">
        <f>IF(B394="","",IF('E5 — Validação'!M394="✅ Aprovado sem Ajustes","Não",IF(OR('E5 — Validação'!M394="⚠️ Aprovado com Ajustes",'E5 — Validação'!M394="❌ Reprovado"),"Sim","")))</f>
        <v/>
      </c>
    </row>
    <row r="395" spans="2:14" x14ac:dyDescent="0.35">
      <c r="B395" s="445" t="str">
        <f>IF(Lançamentos!$B390="","",Lançamentos!$B390)</f>
        <v/>
      </c>
      <c r="C395" s="446" t="str">
        <f>IF($B395="","",IFERROR(INDEX(Lançamentos!$J$3:$J$1001,MATCH($B395,Lançamentos!$B$3:$B$1001,0)),""))</f>
        <v/>
      </c>
      <c r="D395" s="447" t="str">
        <f>IF($B395="","",IFERROR(INDEX('E2 — Triagem'!$D$8:$D$507,MATCH($B395,'E2 — Triagem'!$B$8:$B$507,0)),""))</f>
        <v/>
      </c>
      <c r="E395" s="447"/>
      <c r="F395" s="447"/>
      <c r="G395" s="447"/>
      <c r="H395" s="447"/>
      <c r="I395" s="447"/>
      <c r="J395" s="447"/>
      <c r="K395" s="194" t="str">
        <f t="shared" si="6"/>
        <v/>
      </c>
      <c r="L395" s="448"/>
      <c r="M395" s="448"/>
      <c r="N395" s="449" t="str">
        <f>IF(B395="","",IF('E5 — Validação'!M395="✅ Aprovado sem Ajustes","Não",IF(OR('E5 — Validação'!M395="⚠️ Aprovado com Ajustes",'E5 — Validação'!M395="❌ Reprovado"),"Sim","")))</f>
        <v/>
      </c>
    </row>
    <row r="396" spans="2:14" x14ac:dyDescent="0.35">
      <c r="B396" s="445" t="str">
        <f>IF(Lançamentos!$B391="","",Lançamentos!$B391)</f>
        <v/>
      </c>
      <c r="C396" s="446" t="str">
        <f>IF($B396="","",IFERROR(INDEX(Lançamentos!$J$3:$J$1001,MATCH($B396,Lançamentos!$B$3:$B$1001,0)),""))</f>
        <v/>
      </c>
      <c r="D396" s="447" t="str">
        <f>IF($B396="","",IFERROR(INDEX('E2 — Triagem'!$D$8:$D$507,MATCH($B396,'E2 — Triagem'!$B$8:$B$507,0)),""))</f>
        <v/>
      </c>
      <c r="E396" s="447"/>
      <c r="F396" s="447"/>
      <c r="G396" s="447"/>
      <c r="H396" s="447"/>
      <c r="I396" s="447"/>
      <c r="J396" s="447"/>
      <c r="K396" s="194" t="str">
        <f t="shared" si="6"/>
        <v/>
      </c>
      <c r="L396" s="448"/>
      <c r="M396" s="448"/>
      <c r="N396" s="449" t="str">
        <f>IF(B396="","",IF('E5 — Validação'!M396="✅ Aprovado sem Ajustes","Não",IF(OR('E5 — Validação'!M396="⚠️ Aprovado com Ajustes",'E5 — Validação'!M396="❌ Reprovado"),"Sim","")))</f>
        <v/>
      </c>
    </row>
    <row r="397" spans="2:14" x14ac:dyDescent="0.35">
      <c r="B397" s="445" t="str">
        <f>IF(Lançamentos!$B392="","",Lançamentos!$B392)</f>
        <v/>
      </c>
      <c r="C397" s="446" t="str">
        <f>IF($B397="","",IFERROR(INDEX(Lançamentos!$J$3:$J$1001,MATCH($B397,Lançamentos!$B$3:$B$1001,0)),""))</f>
        <v/>
      </c>
      <c r="D397" s="447" t="str">
        <f>IF($B397="","",IFERROR(INDEX('E2 — Triagem'!$D$8:$D$507,MATCH($B397,'E2 — Triagem'!$B$8:$B$507,0)),""))</f>
        <v/>
      </c>
      <c r="E397" s="447"/>
      <c r="F397" s="447"/>
      <c r="G397" s="447"/>
      <c r="H397" s="447"/>
      <c r="I397" s="447"/>
      <c r="J397" s="447"/>
      <c r="K397" s="194" t="str">
        <f t="shared" si="6"/>
        <v/>
      </c>
      <c r="L397" s="448"/>
      <c r="M397" s="448"/>
      <c r="N397" s="449" t="str">
        <f>IF(B397="","",IF('E5 — Validação'!M397="✅ Aprovado sem Ajustes","Não",IF(OR('E5 — Validação'!M397="⚠️ Aprovado com Ajustes",'E5 — Validação'!M397="❌ Reprovado"),"Sim","")))</f>
        <v/>
      </c>
    </row>
    <row r="398" spans="2:14" x14ac:dyDescent="0.35">
      <c r="B398" s="445" t="str">
        <f>IF(Lançamentos!$B393="","",Lançamentos!$B393)</f>
        <v/>
      </c>
      <c r="C398" s="446" t="str">
        <f>IF($B398="","",IFERROR(INDEX(Lançamentos!$J$3:$J$1001,MATCH($B398,Lançamentos!$B$3:$B$1001,0)),""))</f>
        <v/>
      </c>
      <c r="D398" s="447" t="str">
        <f>IF($B398="","",IFERROR(INDEX('E2 — Triagem'!$D$8:$D$507,MATCH($B398,'E2 — Triagem'!$B$8:$B$507,0)),""))</f>
        <v/>
      </c>
      <c r="E398" s="447"/>
      <c r="F398" s="447"/>
      <c r="G398" s="447"/>
      <c r="H398" s="447"/>
      <c r="I398" s="447"/>
      <c r="J398" s="447"/>
      <c r="K398" s="194" t="str">
        <f t="shared" si="6"/>
        <v/>
      </c>
      <c r="L398" s="448"/>
      <c r="M398" s="448"/>
      <c r="N398" s="449" t="str">
        <f>IF(B398="","",IF('E5 — Validação'!M398="✅ Aprovado sem Ajustes","Não",IF(OR('E5 — Validação'!M398="⚠️ Aprovado com Ajustes",'E5 — Validação'!M398="❌ Reprovado"),"Sim","")))</f>
        <v/>
      </c>
    </row>
    <row r="399" spans="2:14" x14ac:dyDescent="0.35">
      <c r="B399" s="445" t="str">
        <f>IF(Lançamentos!$B394="","",Lançamentos!$B394)</f>
        <v/>
      </c>
      <c r="C399" s="446" t="str">
        <f>IF($B399="","",IFERROR(INDEX(Lançamentos!$J$3:$J$1001,MATCH($B399,Lançamentos!$B$3:$B$1001,0)),""))</f>
        <v/>
      </c>
      <c r="D399" s="447" t="str">
        <f>IF($B399="","",IFERROR(INDEX('E2 — Triagem'!$D$8:$D$507,MATCH($B399,'E2 — Triagem'!$B$8:$B$507,0)),""))</f>
        <v/>
      </c>
      <c r="E399" s="447"/>
      <c r="F399" s="447"/>
      <c r="G399" s="447"/>
      <c r="H399" s="447"/>
      <c r="I399" s="447"/>
      <c r="J399" s="447"/>
      <c r="K399" s="194" t="str">
        <f t="shared" si="6"/>
        <v/>
      </c>
      <c r="L399" s="448"/>
      <c r="M399" s="448"/>
      <c r="N399" s="449" t="str">
        <f>IF(B399="","",IF('E5 — Validação'!M399="✅ Aprovado sem Ajustes","Não",IF(OR('E5 — Validação'!M399="⚠️ Aprovado com Ajustes",'E5 — Validação'!M399="❌ Reprovado"),"Sim","")))</f>
        <v/>
      </c>
    </row>
    <row r="400" spans="2:14" x14ac:dyDescent="0.35">
      <c r="B400" s="445" t="str">
        <f>IF(Lançamentos!$B395="","",Lançamentos!$B395)</f>
        <v/>
      </c>
      <c r="C400" s="446" t="str">
        <f>IF($B400="","",IFERROR(INDEX(Lançamentos!$J$3:$J$1001,MATCH($B400,Lançamentos!$B$3:$B$1001,0)),""))</f>
        <v/>
      </c>
      <c r="D400" s="447" t="str">
        <f>IF($B400="","",IFERROR(INDEX('E2 — Triagem'!$D$8:$D$507,MATCH($B400,'E2 — Triagem'!$B$8:$B$507,0)),""))</f>
        <v/>
      </c>
      <c r="E400" s="447"/>
      <c r="F400" s="447"/>
      <c r="G400" s="447"/>
      <c r="H400" s="447"/>
      <c r="I400" s="447"/>
      <c r="J400" s="447"/>
      <c r="K400" s="194" t="str">
        <f t="shared" ref="K400:K463" si="7">IF(B400="","",IF(N400="Não",0,IF(COUNTIF(E400:J400,"N/A")=6,0,COUNTIF(E400:J400,"✔ Concluído")/(6-COUNTIF(E400:J400,"N/A")))))</f>
        <v/>
      </c>
      <c r="L400" s="448"/>
      <c r="M400" s="448"/>
      <c r="N400" s="449" t="str">
        <f>IF(B400="","",IF('E5 — Validação'!M400="✅ Aprovado sem Ajustes","Não",IF(OR('E5 — Validação'!M400="⚠️ Aprovado com Ajustes",'E5 — Validação'!M400="❌ Reprovado"),"Sim","")))</f>
        <v/>
      </c>
    </row>
    <row r="401" spans="2:14" x14ac:dyDescent="0.35">
      <c r="B401" s="445" t="str">
        <f>IF(Lançamentos!$B396="","",Lançamentos!$B396)</f>
        <v/>
      </c>
      <c r="C401" s="446" t="str">
        <f>IF($B401="","",IFERROR(INDEX(Lançamentos!$J$3:$J$1001,MATCH($B401,Lançamentos!$B$3:$B$1001,0)),""))</f>
        <v/>
      </c>
      <c r="D401" s="447" t="str">
        <f>IF($B401="","",IFERROR(INDEX('E2 — Triagem'!$D$8:$D$507,MATCH($B401,'E2 — Triagem'!$B$8:$B$507,0)),""))</f>
        <v/>
      </c>
      <c r="E401" s="447"/>
      <c r="F401" s="447"/>
      <c r="G401" s="447"/>
      <c r="H401" s="447"/>
      <c r="I401" s="447"/>
      <c r="J401" s="447"/>
      <c r="K401" s="194" t="str">
        <f t="shared" si="7"/>
        <v/>
      </c>
      <c r="L401" s="448"/>
      <c r="M401" s="448"/>
      <c r="N401" s="449" t="str">
        <f>IF(B401="","",IF('E5 — Validação'!M401="✅ Aprovado sem Ajustes","Não",IF(OR('E5 — Validação'!M401="⚠️ Aprovado com Ajustes",'E5 — Validação'!M401="❌ Reprovado"),"Sim","")))</f>
        <v/>
      </c>
    </row>
    <row r="402" spans="2:14" x14ac:dyDescent="0.35">
      <c r="B402" s="445" t="str">
        <f>IF(Lançamentos!$B397="","",Lançamentos!$B397)</f>
        <v/>
      </c>
      <c r="C402" s="446" t="str">
        <f>IF($B402="","",IFERROR(INDEX(Lançamentos!$J$3:$J$1001,MATCH($B402,Lançamentos!$B$3:$B$1001,0)),""))</f>
        <v/>
      </c>
      <c r="D402" s="447" t="str">
        <f>IF($B402="","",IFERROR(INDEX('E2 — Triagem'!$D$8:$D$507,MATCH($B402,'E2 — Triagem'!$B$8:$B$507,0)),""))</f>
        <v/>
      </c>
      <c r="E402" s="447"/>
      <c r="F402" s="447"/>
      <c r="G402" s="447"/>
      <c r="H402" s="447"/>
      <c r="I402" s="447"/>
      <c r="J402" s="447"/>
      <c r="K402" s="194" t="str">
        <f t="shared" si="7"/>
        <v/>
      </c>
      <c r="L402" s="448"/>
      <c r="M402" s="448"/>
      <c r="N402" s="449" t="str">
        <f>IF(B402="","",IF('E5 — Validação'!M402="✅ Aprovado sem Ajustes","Não",IF(OR('E5 — Validação'!M402="⚠️ Aprovado com Ajustes",'E5 — Validação'!M402="❌ Reprovado"),"Sim","")))</f>
        <v/>
      </c>
    </row>
    <row r="403" spans="2:14" x14ac:dyDescent="0.35">
      <c r="B403" s="445" t="str">
        <f>IF(Lançamentos!$B398="","",Lançamentos!$B398)</f>
        <v/>
      </c>
      <c r="C403" s="446" t="str">
        <f>IF($B403="","",IFERROR(INDEX(Lançamentos!$J$3:$J$1001,MATCH($B403,Lançamentos!$B$3:$B$1001,0)),""))</f>
        <v/>
      </c>
      <c r="D403" s="447" t="str">
        <f>IF($B403="","",IFERROR(INDEX('E2 — Triagem'!$D$8:$D$507,MATCH($B403,'E2 — Triagem'!$B$8:$B$507,0)),""))</f>
        <v/>
      </c>
      <c r="E403" s="447"/>
      <c r="F403" s="447"/>
      <c r="G403" s="447"/>
      <c r="H403" s="447"/>
      <c r="I403" s="447"/>
      <c r="J403" s="447"/>
      <c r="K403" s="194" t="str">
        <f t="shared" si="7"/>
        <v/>
      </c>
      <c r="L403" s="448"/>
      <c r="M403" s="448"/>
      <c r="N403" s="449" t="str">
        <f>IF(B403="","",IF('E5 — Validação'!M403="✅ Aprovado sem Ajustes","Não",IF(OR('E5 — Validação'!M403="⚠️ Aprovado com Ajustes",'E5 — Validação'!M403="❌ Reprovado"),"Sim","")))</f>
        <v/>
      </c>
    </row>
    <row r="404" spans="2:14" x14ac:dyDescent="0.35">
      <c r="B404" s="445" t="str">
        <f>IF(Lançamentos!$B399="","",Lançamentos!$B399)</f>
        <v/>
      </c>
      <c r="C404" s="446" t="str">
        <f>IF($B404="","",IFERROR(INDEX(Lançamentos!$J$3:$J$1001,MATCH($B404,Lançamentos!$B$3:$B$1001,0)),""))</f>
        <v/>
      </c>
      <c r="D404" s="447" t="str">
        <f>IF($B404="","",IFERROR(INDEX('E2 — Triagem'!$D$8:$D$507,MATCH($B404,'E2 — Triagem'!$B$8:$B$507,0)),""))</f>
        <v/>
      </c>
      <c r="E404" s="447"/>
      <c r="F404" s="447"/>
      <c r="G404" s="447"/>
      <c r="H404" s="447"/>
      <c r="I404" s="447"/>
      <c r="J404" s="447"/>
      <c r="K404" s="194" t="str">
        <f t="shared" si="7"/>
        <v/>
      </c>
      <c r="L404" s="448"/>
      <c r="M404" s="448"/>
      <c r="N404" s="449" t="str">
        <f>IF(B404="","",IF('E5 — Validação'!M404="✅ Aprovado sem Ajustes","Não",IF(OR('E5 — Validação'!M404="⚠️ Aprovado com Ajustes",'E5 — Validação'!M404="❌ Reprovado"),"Sim","")))</f>
        <v/>
      </c>
    </row>
    <row r="405" spans="2:14" x14ac:dyDescent="0.35">
      <c r="B405" s="445" t="str">
        <f>IF(Lançamentos!$B400="","",Lançamentos!$B400)</f>
        <v/>
      </c>
      <c r="C405" s="446" t="str">
        <f>IF($B405="","",IFERROR(INDEX(Lançamentos!$J$3:$J$1001,MATCH($B405,Lançamentos!$B$3:$B$1001,0)),""))</f>
        <v/>
      </c>
      <c r="D405" s="447" t="str">
        <f>IF($B405="","",IFERROR(INDEX('E2 — Triagem'!$D$8:$D$507,MATCH($B405,'E2 — Triagem'!$B$8:$B$507,0)),""))</f>
        <v/>
      </c>
      <c r="E405" s="447"/>
      <c r="F405" s="447"/>
      <c r="G405" s="447"/>
      <c r="H405" s="447"/>
      <c r="I405" s="447"/>
      <c r="J405" s="447"/>
      <c r="K405" s="194" t="str">
        <f t="shared" si="7"/>
        <v/>
      </c>
      <c r="L405" s="448"/>
      <c r="M405" s="448"/>
      <c r="N405" s="449" t="str">
        <f>IF(B405="","",IF('E5 — Validação'!M405="✅ Aprovado sem Ajustes","Não",IF(OR('E5 — Validação'!M405="⚠️ Aprovado com Ajustes",'E5 — Validação'!M405="❌ Reprovado"),"Sim","")))</f>
        <v/>
      </c>
    </row>
    <row r="406" spans="2:14" x14ac:dyDescent="0.35">
      <c r="B406" s="445" t="str">
        <f>IF(Lançamentos!$B401="","",Lançamentos!$B401)</f>
        <v/>
      </c>
      <c r="C406" s="446" t="str">
        <f>IF($B406="","",IFERROR(INDEX(Lançamentos!$J$3:$J$1001,MATCH($B406,Lançamentos!$B$3:$B$1001,0)),""))</f>
        <v/>
      </c>
      <c r="D406" s="447" t="str">
        <f>IF($B406="","",IFERROR(INDEX('E2 — Triagem'!$D$8:$D$507,MATCH($B406,'E2 — Triagem'!$B$8:$B$507,0)),""))</f>
        <v/>
      </c>
      <c r="E406" s="447"/>
      <c r="F406" s="447"/>
      <c r="G406" s="447"/>
      <c r="H406" s="447"/>
      <c r="I406" s="447"/>
      <c r="J406" s="447"/>
      <c r="K406" s="194" t="str">
        <f t="shared" si="7"/>
        <v/>
      </c>
      <c r="L406" s="448"/>
      <c r="M406" s="448"/>
      <c r="N406" s="449" t="str">
        <f>IF(B406="","",IF('E5 — Validação'!M406="✅ Aprovado sem Ajustes","Não",IF(OR('E5 — Validação'!M406="⚠️ Aprovado com Ajustes",'E5 — Validação'!M406="❌ Reprovado"),"Sim","")))</f>
        <v/>
      </c>
    </row>
    <row r="407" spans="2:14" x14ac:dyDescent="0.35">
      <c r="B407" s="445" t="str">
        <f>IF(Lançamentos!$B402="","",Lançamentos!$B402)</f>
        <v/>
      </c>
      <c r="C407" s="446" t="str">
        <f>IF($B407="","",IFERROR(INDEX(Lançamentos!$J$3:$J$1001,MATCH($B407,Lançamentos!$B$3:$B$1001,0)),""))</f>
        <v/>
      </c>
      <c r="D407" s="447" t="str">
        <f>IF($B407="","",IFERROR(INDEX('E2 — Triagem'!$D$8:$D$507,MATCH($B407,'E2 — Triagem'!$B$8:$B$507,0)),""))</f>
        <v/>
      </c>
      <c r="E407" s="447"/>
      <c r="F407" s="447"/>
      <c r="G407" s="447"/>
      <c r="H407" s="447"/>
      <c r="I407" s="447"/>
      <c r="J407" s="447"/>
      <c r="K407" s="194" t="str">
        <f t="shared" si="7"/>
        <v/>
      </c>
      <c r="L407" s="448"/>
      <c r="M407" s="448"/>
      <c r="N407" s="449" t="str">
        <f>IF(B407="","",IF('E5 — Validação'!M407="✅ Aprovado sem Ajustes","Não",IF(OR('E5 — Validação'!M407="⚠️ Aprovado com Ajustes",'E5 — Validação'!M407="❌ Reprovado"),"Sim","")))</f>
        <v/>
      </c>
    </row>
    <row r="408" spans="2:14" x14ac:dyDescent="0.35">
      <c r="B408" s="445" t="str">
        <f>IF(Lançamentos!$B403="","",Lançamentos!$B403)</f>
        <v/>
      </c>
      <c r="C408" s="446" t="str">
        <f>IF($B408="","",IFERROR(INDEX(Lançamentos!$J$3:$J$1001,MATCH($B408,Lançamentos!$B$3:$B$1001,0)),""))</f>
        <v/>
      </c>
      <c r="D408" s="447" t="str">
        <f>IF($B408="","",IFERROR(INDEX('E2 — Triagem'!$D$8:$D$507,MATCH($B408,'E2 — Triagem'!$B$8:$B$507,0)),""))</f>
        <v/>
      </c>
      <c r="E408" s="447"/>
      <c r="F408" s="447"/>
      <c r="G408" s="447"/>
      <c r="H408" s="447"/>
      <c r="I408" s="447"/>
      <c r="J408" s="447"/>
      <c r="K408" s="194" t="str">
        <f t="shared" si="7"/>
        <v/>
      </c>
      <c r="L408" s="448"/>
      <c r="M408" s="448"/>
      <c r="N408" s="449" t="str">
        <f>IF(B408="","",IF('E5 — Validação'!M408="✅ Aprovado sem Ajustes","Não",IF(OR('E5 — Validação'!M408="⚠️ Aprovado com Ajustes",'E5 — Validação'!M408="❌ Reprovado"),"Sim","")))</f>
        <v/>
      </c>
    </row>
    <row r="409" spans="2:14" x14ac:dyDescent="0.35">
      <c r="B409" s="445" t="str">
        <f>IF(Lançamentos!$B404="","",Lançamentos!$B404)</f>
        <v/>
      </c>
      <c r="C409" s="446" t="str">
        <f>IF($B409="","",IFERROR(INDEX(Lançamentos!$J$3:$J$1001,MATCH($B409,Lançamentos!$B$3:$B$1001,0)),""))</f>
        <v/>
      </c>
      <c r="D409" s="447" t="str">
        <f>IF($B409="","",IFERROR(INDEX('E2 — Triagem'!$D$8:$D$507,MATCH($B409,'E2 — Triagem'!$B$8:$B$507,0)),""))</f>
        <v/>
      </c>
      <c r="E409" s="447"/>
      <c r="F409" s="447"/>
      <c r="G409" s="447"/>
      <c r="H409" s="447"/>
      <c r="I409" s="447"/>
      <c r="J409" s="447"/>
      <c r="K409" s="194" t="str">
        <f t="shared" si="7"/>
        <v/>
      </c>
      <c r="L409" s="448"/>
      <c r="M409" s="448"/>
      <c r="N409" s="449" t="str">
        <f>IF(B409="","",IF('E5 — Validação'!M409="✅ Aprovado sem Ajustes","Não",IF(OR('E5 — Validação'!M409="⚠️ Aprovado com Ajustes",'E5 — Validação'!M409="❌ Reprovado"),"Sim","")))</f>
        <v/>
      </c>
    </row>
    <row r="410" spans="2:14" x14ac:dyDescent="0.35">
      <c r="B410" s="445" t="str">
        <f>IF(Lançamentos!$B405="","",Lançamentos!$B405)</f>
        <v/>
      </c>
      <c r="C410" s="446" t="str">
        <f>IF($B410="","",IFERROR(INDEX(Lançamentos!$J$3:$J$1001,MATCH($B410,Lançamentos!$B$3:$B$1001,0)),""))</f>
        <v/>
      </c>
      <c r="D410" s="447" t="str">
        <f>IF($B410="","",IFERROR(INDEX('E2 — Triagem'!$D$8:$D$507,MATCH($B410,'E2 — Triagem'!$B$8:$B$507,0)),""))</f>
        <v/>
      </c>
      <c r="E410" s="447"/>
      <c r="F410" s="447"/>
      <c r="G410" s="447"/>
      <c r="H410" s="447"/>
      <c r="I410" s="447"/>
      <c r="J410" s="447"/>
      <c r="K410" s="194" t="str">
        <f t="shared" si="7"/>
        <v/>
      </c>
      <c r="L410" s="448"/>
      <c r="M410" s="448"/>
      <c r="N410" s="449" t="str">
        <f>IF(B410="","",IF('E5 — Validação'!M410="✅ Aprovado sem Ajustes","Não",IF(OR('E5 — Validação'!M410="⚠️ Aprovado com Ajustes",'E5 — Validação'!M410="❌ Reprovado"),"Sim","")))</f>
        <v/>
      </c>
    </row>
    <row r="411" spans="2:14" x14ac:dyDescent="0.35">
      <c r="B411" s="445" t="str">
        <f>IF(Lançamentos!$B406="","",Lançamentos!$B406)</f>
        <v/>
      </c>
      <c r="C411" s="446" t="str">
        <f>IF($B411="","",IFERROR(INDEX(Lançamentos!$J$3:$J$1001,MATCH($B411,Lançamentos!$B$3:$B$1001,0)),""))</f>
        <v/>
      </c>
      <c r="D411" s="447" t="str">
        <f>IF($B411="","",IFERROR(INDEX('E2 — Triagem'!$D$8:$D$507,MATCH($B411,'E2 — Triagem'!$B$8:$B$507,0)),""))</f>
        <v/>
      </c>
      <c r="E411" s="447"/>
      <c r="F411" s="447"/>
      <c r="G411" s="447"/>
      <c r="H411" s="447"/>
      <c r="I411" s="447"/>
      <c r="J411" s="447"/>
      <c r="K411" s="194" t="str">
        <f t="shared" si="7"/>
        <v/>
      </c>
      <c r="L411" s="448"/>
      <c r="M411" s="448"/>
      <c r="N411" s="449" t="str">
        <f>IF(B411="","",IF('E5 — Validação'!M411="✅ Aprovado sem Ajustes","Não",IF(OR('E5 — Validação'!M411="⚠️ Aprovado com Ajustes",'E5 — Validação'!M411="❌ Reprovado"),"Sim","")))</f>
        <v/>
      </c>
    </row>
    <row r="412" spans="2:14" x14ac:dyDescent="0.35">
      <c r="B412" s="445" t="str">
        <f>IF(Lançamentos!$B407="","",Lançamentos!$B407)</f>
        <v/>
      </c>
      <c r="C412" s="446" t="str">
        <f>IF($B412="","",IFERROR(INDEX(Lançamentos!$J$3:$J$1001,MATCH($B412,Lançamentos!$B$3:$B$1001,0)),""))</f>
        <v/>
      </c>
      <c r="D412" s="447" t="str">
        <f>IF($B412="","",IFERROR(INDEX('E2 — Triagem'!$D$8:$D$507,MATCH($B412,'E2 — Triagem'!$B$8:$B$507,0)),""))</f>
        <v/>
      </c>
      <c r="E412" s="447"/>
      <c r="F412" s="447"/>
      <c r="G412" s="447"/>
      <c r="H412" s="447"/>
      <c r="I412" s="447"/>
      <c r="J412" s="447"/>
      <c r="K412" s="194" t="str">
        <f t="shared" si="7"/>
        <v/>
      </c>
      <c r="L412" s="448"/>
      <c r="M412" s="448"/>
      <c r="N412" s="449" t="str">
        <f>IF(B412="","",IF('E5 — Validação'!M412="✅ Aprovado sem Ajustes","Não",IF(OR('E5 — Validação'!M412="⚠️ Aprovado com Ajustes",'E5 — Validação'!M412="❌ Reprovado"),"Sim","")))</f>
        <v/>
      </c>
    </row>
    <row r="413" spans="2:14" x14ac:dyDescent="0.35">
      <c r="B413" s="445" t="str">
        <f>IF(Lançamentos!$B408="","",Lançamentos!$B408)</f>
        <v/>
      </c>
      <c r="C413" s="446" t="str">
        <f>IF($B413="","",IFERROR(INDEX(Lançamentos!$J$3:$J$1001,MATCH($B413,Lançamentos!$B$3:$B$1001,0)),""))</f>
        <v/>
      </c>
      <c r="D413" s="447" t="str">
        <f>IF($B413="","",IFERROR(INDEX('E2 — Triagem'!$D$8:$D$507,MATCH($B413,'E2 — Triagem'!$B$8:$B$507,0)),""))</f>
        <v/>
      </c>
      <c r="E413" s="447"/>
      <c r="F413" s="447"/>
      <c r="G413" s="447"/>
      <c r="H413" s="447"/>
      <c r="I413" s="447"/>
      <c r="J413" s="447"/>
      <c r="K413" s="194" t="str">
        <f t="shared" si="7"/>
        <v/>
      </c>
      <c r="L413" s="448"/>
      <c r="M413" s="448"/>
      <c r="N413" s="449" t="str">
        <f>IF(B413="","",IF('E5 — Validação'!M413="✅ Aprovado sem Ajustes","Não",IF(OR('E5 — Validação'!M413="⚠️ Aprovado com Ajustes",'E5 — Validação'!M413="❌ Reprovado"),"Sim","")))</f>
        <v/>
      </c>
    </row>
    <row r="414" spans="2:14" x14ac:dyDescent="0.35">
      <c r="B414" s="445" t="str">
        <f>IF(Lançamentos!$B409="","",Lançamentos!$B409)</f>
        <v/>
      </c>
      <c r="C414" s="446" t="str">
        <f>IF($B414="","",IFERROR(INDEX(Lançamentos!$J$3:$J$1001,MATCH($B414,Lançamentos!$B$3:$B$1001,0)),""))</f>
        <v/>
      </c>
      <c r="D414" s="447" t="str">
        <f>IF($B414="","",IFERROR(INDEX('E2 — Triagem'!$D$8:$D$507,MATCH($B414,'E2 — Triagem'!$B$8:$B$507,0)),""))</f>
        <v/>
      </c>
      <c r="E414" s="447"/>
      <c r="F414" s="447"/>
      <c r="G414" s="447"/>
      <c r="H414" s="447"/>
      <c r="I414" s="447"/>
      <c r="J414" s="447"/>
      <c r="K414" s="194" t="str">
        <f t="shared" si="7"/>
        <v/>
      </c>
      <c r="L414" s="448"/>
      <c r="M414" s="448"/>
      <c r="N414" s="449" t="str">
        <f>IF(B414="","",IF('E5 — Validação'!M414="✅ Aprovado sem Ajustes","Não",IF(OR('E5 — Validação'!M414="⚠️ Aprovado com Ajustes",'E5 — Validação'!M414="❌ Reprovado"),"Sim","")))</f>
        <v/>
      </c>
    </row>
    <row r="415" spans="2:14" x14ac:dyDescent="0.35">
      <c r="B415" s="445" t="str">
        <f>IF(Lançamentos!$B410="","",Lançamentos!$B410)</f>
        <v/>
      </c>
      <c r="C415" s="446" t="str">
        <f>IF($B415="","",IFERROR(INDEX(Lançamentos!$J$3:$J$1001,MATCH($B415,Lançamentos!$B$3:$B$1001,0)),""))</f>
        <v/>
      </c>
      <c r="D415" s="447" t="str">
        <f>IF($B415="","",IFERROR(INDEX('E2 — Triagem'!$D$8:$D$507,MATCH($B415,'E2 — Triagem'!$B$8:$B$507,0)),""))</f>
        <v/>
      </c>
      <c r="E415" s="447"/>
      <c r="F415" s="447"/>
      <c r="G415" s="447"/>
      <c r="H415" s="447"/>
      <c r="I415" s="447"/>
      <c r="J415" s="447"/>
      <c r="K415" s="194" t="str">
        <f t="shared" si="7"/>
        <v/>
      </c>
      <c r="L415" s="448"/>
      <c r="M415" s="448"/>
      <c r="N415" s="449" t="str">
        <f>IF(B415="","",IF('E5 — Validação'!M415="✅ Aprovado sem Ajustes","Não",IF(OR('E5 — Validação'!M415="⚠️ Aprovado com Ajustes",'E5 — Validação'!M415="❌ Reprovado"),"Sim","")))</f>
        <v/>
      </c>
    </row>
    <row r="416" spans="2:14" x14ac:dyDescent="0.35">
      <c r="B416" s="445" t="str">
        <f>IF(Lançamentos!$B411="","",Lançamentos!$B411)</f>
        <v/>
      </c>
      <c r="C416" s="446" t="str">
        <f>IF($B416="","",IFERROR(INDEX(Lançamentos!$J$3:$J$1001,MATCH($B416,Lançamentos!$B$3:$B$1001,0)),""))</f>
        <v/>
      </c>
      <c r="D416" s="447" t="str">
        <f>IF($B416="","",IFERROR(INDEX('E2 — Triagem'!$D$8:$D$507,MATCH($B416,'E2 — Triagem'!$B$8:$B$507,0)),""))</f>
        <v/>
      </c>
      <c r="E416" s="447"/>
      <c r="F416" s="447"/>
      <c r="G416" s="447"/>
      <c r="H416" s="447"/>
      <c r="I416" s="447"/>
      <c r="J416" s="447"/>
      <c r="K416" s="194" t="str">
        <f t="shared" si="7"/>
        <v/>
      </c>
      <c r="L416" s="448"/>
      <c r="M416" s="448"/>
      <c r="N416" s="449" t="str">
        <f>IF(B416="","",IF('E5 — Validação'!M416="✅ Aprovado sem Ajustes","Não",IF(OR('E5 — Validação'!M416="⚠️ Aprovado com Ajustes",'E5 — Validação'!M416="❌ Reprovado"),"Sim","")))</f>
        <v/>
      </c>
    </row>
    <row r="417" spans="2:14" x14ac:dyDescent="0.35">
      <c r="B417" s="445" t="str">
        <f>IF(Lançamentos!$B412="","",Lançamentos!$B412)</f>
        <v/>
      </c>
      <c r="C417" s="446" t="str">
        <f>IF($B417="","",IFERROR(INDEX(Lançamentos!$J$3:$J$1001,MATCH($B417,Lançamentos!$B$3:$B$1001,0)),""))</f>
        <v/>
      </c>
      <c r="D417" s="447" t="str">
        <f>IF($B417="","",IFERROR(INDEX('E2 — Triagem'!$D$8:$D$507,MATCH($B417,'E2 — Triagem'!$B$8:$B$507,0)),""))</f>
        <v/>
      </c>
      <c r="E417" s="447"/>
      <c r="F417" s="447"/>
      <c r="G417" s="447"/>
      <c r="H417" s="447"/>
      <c r="I417" s="447"/>
      <c r="J417" s="447"/>
      <c r="K417" s="194" t="str">
        <f t="shared" si="7"/>
        <v/>
      </c>
      <c r="L417" s="448"/>
      <c r="M417" s="448"/>
      <c r="N417" s="449" t="str">
        <f>IF(B417="","",IF('E5 — Validação'!M417="✅ Aprovado sem Ajustes","Não",IF(OR('E5 — Validação'!M417="⚠️ Aprovado com Ajustes",'E5 — Validação'!M417="❌ Reprovado"),"Sim","")))</f>
        <v/>
      </c>
    </row>
    <row r="418" spans="2:14" x14ac:dyDescent="0.35">
      <c r="B418" s="445" t="str">
        <f>IF(Lançamentos!$B413="","",Lançamentos!$B413)</f>
        <v/>
      </c>
      <c r="C418" s="446" t="str">
        <f>IF($B418="","",IFERROR(INDEX(Lançamentos!$J$3:$J$1001,MATCH($B418,Lançamentos!$B$3:$B$1001,0)),""))</f>
        <v/>
      </c>
      <c r="D418" s="447" t="str">
        <f>IF($B418="","",IFERROR(INDEX('E2 — Triagem'!$D$8:$D$507,MATCH($B418,'E2 — Triagem'!$B$8:$B$507,0)),""))</f>
        <v/>
      </c>
      <c r="E418" s="447"/>
      <c r="F418" s="447"/>
      <c r="G418" s="447"/>
      <c r="H418" s="447"/>
      <c r="I418" s="447"/>
      <c r="J418" s="447"/>
      <c r="K418" s="194" t="str">
        <f t="shared" si="7"/>
        <v/>
      </c>
      <c r="L418" s="448"/>
      <c r="M418" s="448"/>
      <c r="N418" s="449" t="str">
        <f>IF(B418="","",IF('E5 — Validação'!M418="✅ Aprovado sem Ajustes","Não",IF(OR('E5 — Validação'!M418="⚠️ Aprovado com Ajustes",'E5 — Validação'!M418="❌ Reprovado"),"Sim","")))</f>
        <v/>
      </c>
    </row>
    <row r="419" spans="2:14" x14ac:dyDescent="0.35">
      <c r="B419" s="445" t="str">
        <f>IF(Lançamentos!$B414="","",Lançamentos!$B414)</f>
        <v/>
      </c>
      <c r="C419" s="446" t="str">
        <f>IF($B419="","",IFERROR(INDEX(Lançamentos!$J$3:$J$1001,MATCH($B419,Lançamentos!$B$3:$B$1001,0)),""))</f>
        <v/>
      </c>
      <c r="D419" s="447" t="str">
        <f>IF($B419="","",IFERROR(INDEX('E2 — Triagem'!$D$8:$D$507,MATCH($B419,'E2 — Triagem'!$B$8:$B$507,0)),""))</f>
        <v/>
      </c>
      <c r="E419" s="447"/>
      <c r="F419" s="447"/>
      <c r="G419" s="447"/>
      <c r="H419" s="447"/>
      <c r="I419" s="447"/>
      <c r="J419" s="447"/>
      <c r="K419" s="194" t="str">
        <f t="shared" si="7"/>
        <v/>
      </c>
      <c r="L419" s="448"/>
      <c r="M419" s="448"/>
      <c r="N419" s="449" t="str">
        <f>IF(B419="","",IF('E5 — Validação'!M419="✅ Aprovado sem Ajustes","Não",IF(OR('E5 — Validação'!M419="⚠️ Aprovado com Ajustes",'E5 — Validação'!M419="❌ Reprovado"),"Sim","")))</f>
        <v/>
      </c>
    </row>
    <row r="420" spans="2:14" x14ac:dyDescent="0.35">
      <c r="B420" s="445" t="str">
        <f>IF(Lançamentos!$B415="","",Lançamentos!$B415)</f>
        <v/>
      </c>
      <c r="C420" s="446" t="str">
        <f>IF($B420="","",IFERROR(INDEX(Lançamentos!$J$3:$J$1001,MATCH($B420,Lançamentos!$B$3:$B$1001,0)),""))</f>
        <v/>
      </c>
      <c r="D420" s="447" t="str">
        <f>IF($B420="","",IFERROR(INDEX('E2 — Triagem'!$D$8:$D$507,MATCH($B420,'E2 — Triagem'!$B$8:$B$507,0)),""))</f>
        <v/>
      </c>
      <c r="E420" s="447"/>
      <c r="F420" s="447"/>
      <c r="G420" s="447"/>
      <c r="H420" s="447"/>
      <c r="I420" s="447"/>
      <c r="J420" s="447"/>
      <c r="K420" s="194" t="str">
        <f t="shared" si="7"/>
        <v/>
      </c>
      <c r="L420" s="448"/>
      <c r="M420" s="448"/>
      <c r="N420" s="449" t="str">
        <f>IF(B420="","",IF('E5 — Validação'!M420="✅ Aprovado sem Ajustes","Não",IF(OR('E5 — Validação'!M420="⚠️ Aprovado com Ajustes",'E5 — Validação'!M420="❌ Reprovado"),"Sim","")))</f>
        <v/>
      </c>
    </row>
    <row r="421" spans="2:14" x14ac:dyDescent="0.35">
      <c r="B421" s="445" t="str">
        <f>IF(Lançamentos!$B416="","",Lançamentos!$B416)</f>
        <v/>
      </c>
      <c r="C421" s="446" t="str">
        <f>IF($B421="","",IFERROR(INDEX(Lançamentos!$J$3:$J$1001,MATCH($B421,Lançamentos!$B$3:$B$1001,0)),""))</f>
        <v/>
      </c>
      <c r="D421" s="447" t="str">
        <f>IF($B421="","",IFERROR(INDEX('E2 — Triagem'!$D$8:$D$507,MATCH($B421,'E2 — Triagem'!$B$8:$B$507,0)),""))</f>
        <v/>
      </c>
      <c r="E421" s="447"/>
      <c r="F421" s="447"/>
      <c r="G421" s="447"/>
      <c r="H421" s="447"/>
      <c r="I421" s="447"/>
      <c r="J421" s="447"/>
      <c r="K421" s="194" t="str">
        <f t="shared" si="7"/>
        <v/>
      </c>
      <c r="L421" s="448"/>
      <c r="M421" s="448"/>
      <c r="N421" s="449" t="str">
        <f>IF(B421="","",IF('E5 — Validação'!M421="✅ Aprovado sem Ajustes","Não",IF(OR('E5 — Validação'!M421="⚠️ Aprovado com Ajustes",'E5 — Validação'!M421="❌ Reprovado"),"Sim","")))</f>
        <v/>
      </c>
    </row>
    <row r="422" spans="2:14" x14ac:dyDescent="0.35">
      <c r="B422" s="445" t="str">
        <f>IF(Lançamentos!$B417="","",Lançamentos!$B417)</f>
        <v/>
      </c>
      <c r="C422" s="446" t="str">
        <f>IF($B422="","",IFERROR(INDEX(Lançamentos!$J$3:$J$1001,MATCH($B422,Lançamentos!$B$3:$B$1001,0)),""))</f>
        <v/>
      </c>
      <c r="D422" s="447" t="str">
        <f>IF($B422="","",IFERROR(INDEX('E2 — Triagem'!$D$8:$D$507,MATCH($B422,'E2 — Triagem'!$B$8:$B$507,0)),""))</f>
        <v/>
      </c>
      <c r="E422" s="447"/>
      <c r="F422" s="447"/>
      <c r="G422" s="447"/>
      <c r="H422" s="447"/>
      <c r="I422" s="447"/>
      <c r="J422" s="447"/>
      <c r="K422" s="194" t="str">
        <f t="shared" si="7"/>
        <v/>
      </c>
      <c r="L422" s="448"/>
      <c r="M422" s="448"/>
      <c r="N422" s="449" t="str">
        <f>IF(B422="","",IF('E5 — Validação'!M422="✅ Aprovado sem Ajustes","Não",IF(OR('E5 — Validação'!M422="⚠️ Aprovado com Ajustes",'E5 — Validação'!M422="❌ Reprovado"),"Sim","")))</f>
        <v/>
      </c>
    </row>
    <row r="423" spans="2:14" x14ac:dyDescent="0.35">
      <c r="B423" s="445" t="str">
        <f>IF(Lançamentos!$B418="","",Lançamentos!$B418)</f>
        <v/>
      </c>
      <c r="C423" s="446" t="str">
        <f>IF($B423="","",IFERROR(INDEX(Lançamentos!$J$3:$J$1001,MATCH($B423,Lançamentos!$B$3:$B$1001,0)),""))</f>
        <v/>
      </c>
      <c r="D423" s="447" t="str">
        <f>IF($B423="","",IFERROR(INDEX('E2 — Triagem'!$D$8:$D$507,MATCH($B423,'E2 — Triagem'!$B$8:$B$507,0)),""))</f>
        <v/>
      </c>
      <c r="E423" s="447"/>
      <c r="F423" s="447"/>
      <c r="G423" s="447"/>
      <c r="H423" s="447"/>
      <c r="I423" s="447"/>
      <c r="J423" s="447"/>
      <c r="K423" s="194" t="str">
        <f t="shared" si="7"/>
        <v/>
      </c>
      <c r="L423" s="448"/>
      <c r="M423" s="448"/>
      <c r="N423" s="449" t="str">
        <f>IF(B423="","",IF('E5 — Validação'!M423="✅ Aprovado sem Ajustes","Não",IF(OR('E5 — Validação'!M423="⚠️ Aprovado com Ajustes",'E5 — Validação'!M423="❌ Reprovado"),"Sim","")))</f>
        <v/>
      </c>
    </row>
    <row r="424" spans="2:14" x14ac:dyDescent="0.35">
      <c r="B424" s="445" t="str">
        <f>IF(Lançamentos!$B419="","",Lançamentos!$B419)</f>
        <v/>
      </c>
      <c r="C424" s="446" t="str">
        <f>IF($B424="","",IFERROR(INDEX(Lançamentos!$J$3:$J$1001,MATCH($B424,Lançamentos!$B$3:$B$1001,0)),""))</f>
        <v/>
      </c>
      <c r="D424" s="447" t="str">
        <f>IF($B424="","",IFERROR(INDEX('E2 — Triagem'!$D$8:$D$507,MATCH($B424,'E2 — Triagem'!$B$8:$B$507,0)),""))</f>
        <v/>
      </c>
      <c r="E424" s="447"/>
      <c r="F424" s="447"/>
      <c r="G424" s="447"/>
      <c r="H424" s="447"/>
      <c r="I424" s="447"/>
      <c r="J424" s="447"/>
      <c r="K424" s="194" t="str">
        <f t="shared" si="7"/>
        <v/>
      </c>
      <c r="L424" s="448"/>
      <c r="M424" s="448"/>
      <c r="N424" s="449" t="str">
        <f>IF(B424="","",IF('E5 — Validação'!M424="✅ Aprovado sem Ajustes","Não",IF(OR('E5 — Validação'!M424="⚠️ Aprovado com Ajustes",'E5 — Validação'!M424="❌ Reprovado"),"Sim","")))</f>
        <v/>
      </c>
    </row>
    <row r="425" spans="2:14" x14ac:dyDescent="0.35">
      <c r="B425" s="445" t="str">
        <f>IF(Lançamentos!$B420="","",Lançamentos!$B420)</f>
        <v/>
      </c>
      <c r="C425" s="446" t="str">
        <f>IF($B425="","",IFERROR(INDEX(Lançamentos!$J$3:$J$1001,MATCH($B425,Lançamentos!$B$3:$B$1001,0)),""))</f>
        <v/>
      </c>
      <c r="D425" s="447" t="str">
        <f>IF($B425="","",IFERROR(INDEX('E2 — Triagem'!$D$8:$D$507,MATCH($B425,'E2 — Triagem'!$B$8:$B$507,0)),""))</f>
        <v/>
      </c>
      <c r="E425" s="447"/>
      <c r="F425" s="447"/>
      <c r="G425" s="447"/>
      <c r="H425" s="447"/>
      <c r="I425" s="447"/>
      <c r="J425" s="447"/>
      <c r="K425" s="194" t="str">
        <f t="shared" si="7"/>
        <v/>
      </c>
      <c r="L425" s="448"/>
      <c r="M425" s="448"/>
      <c r="N425" s="449" t="str">
        <f>IF(B425="","",IF('E5 — Validação'!M425="✅ Aprovado sem Ajustes","Não",IF(OR('E5 — Validação'!M425="⚠️ Aprovado com Ajustes",'E5 — Validação'!M425="❌ Reprovado"),"Sim","")))</f>
        <v/>
      </c>
    </row>
    <row r="426" spans="2:14" x14ac:dyDescent="0.35">
      <c r="B426" s="445" t="str">
        <f>IF(Lançamentos!$B421="","",Lançamentos!$B421)</f>
        <v/>
      </c>
      <c r="C426" s="446" t="str">
        <f>IF($B426="","",IFERROR(INDEX(Lançamentos!$J$3:$J$1001,MATCH($B426,Lançamentos!$B$3:$B$1001,0)),""))</f>
        <v/>
      </c>
      <c r="D426" s="447" t="str">
        <f>IF($B426="","",IFERROR(INDEX('E2 — Triagem'!$D$8:$D$507,MATCH($B426,'E2 — Triagem'!$B$8:$B$507,0)),""))</f>
        <v/>
      </c>
      <c r="E426" s="447"/>
      <c r="F426" s="447"/>
      <c r="G426" s="447"/>
      <c r="H426" s="447"/>
      <c r="I426" s="447"/>
      <c r="J426" s="447"/>
      <c r="K426" s="194" t="str">
        <f t="shared" si="7"/>
        <v/>
      </c>
      <c r="L426" s="448"/>
      <c r="M426" s="448"/>
      <c r="N426" s="449" t="str">
        <f>IF(B426="","",IF('E5 — Validação'!M426="✅ Aprovado sem Ajustes","Não",IF(OR('E5 — Validação'!M426="⚠️ Aprovado com Ajustes",'E5 — Validação'!M426="❌ Reprovado"),"Sim","")))</f>
        <v/>
      </c>
    </row>
    <row r="427" spans="2:14" x14ac:dyDescent="0.35">
      <c r="B427" s="445" t="str">
        <f>IF(Lançamentos!$B422="","",Lançamentos!$B422)</f>
        <v/>
      </c>
      <c r="C427" s="446" t="str">
        <f>IF($B427="","",IFERROR(INDEX(Lançamentos!$J$3:$J$1001,MATCH($B427,Lançamentos!$B$3:$B$1001,0)),""))</f>
        <v/>
      </c>
      <c r="D427" s="447" t="str">
        <f>IF($B427="","",IFERROR(INDEX('E2 — Triagem'!$D$8:$D$507,MATCH($B427,'E2 — Triagem'!$B$8:$B$507,0)),""))</f>
        <v/>
      </c>
      <c r="E427" s="447"/>
      <c r="F427" s="447"/>
      <c r="G427" s="447"/>
      <c r="H427" s="447"/>
      <c r="I427" s="447"/>
      <c r="J427" s="447"/>
      <c r="K427" s="194" t="str">
        <f t="shared" si="7"/>
        <v/>
      </c>
      <c r="L427" s="448"/>
      <c r="M427" s="448"/>
      <c r="N427" s="449" t="str">
        <f>IF(B427="","",IF('E5 — Validação'!M427="✅ Aprovado sem Ajustes","Não",IF(OR('E5 — Validação'!M427="⚠️ Aprovado com Ajustes",'E5 — Validação'!M427="❌ Reprovado"),"Sim","")))</f>
        <v/>
      </c>
    </row>
    <row r="428" spans="2:14" x14ac:dyDescent="0.35">
      <c r="B428" s="445" t="str">
        <f>IF(Lançamentos!$B423="","",Lançamentos!$B423)</f>
        <v/>
      </c>
      <c r="C428" s="446" t="str">
        <f>IF($B428="","",IFERROR(INDEX(Lançamentos!$J$3:$J$1001,MATCH($B428,Lançamentos!$B$3:$B$1001,0)),""))</f>
        <v/>
      </c>
      <c r="D428" s="447" t="str">
        <f>IF($B428="","",IFERROR(INDEX('E2 — Triagem'!$D$8:$D$507,MATCH($B428,'E2 — Triagem'!$B$8:$B$507,0)),""))</f>
        <v/>
      </c>
      <c r="E428" s="447"/>
      <c r="F428" s="447"/>
      <c r="G428" s="447"/>
      <c r="H428" s="447"/>
      <c r="I428" s="447"/>
      <c r="J428" s="447"/>
      <c r="K428" s="194" t="str">
        <f t="shared" si="7"/>
        <v/>
      </c>
      <c r="L428" s="448"/>
      <c r="M428" s="448"/>
      <c r="N428" s="449" t="str">
        <f>IF(B428="","",IF('E5 — Validação'!M428="✅ Aprovado sem Ajustes","Não",IF(OR('E5 — Validação'!M428="⚠️ Aprovado com Ajustes",'E5 — Validação'!M428="❌ Reprovado"),"Sim","")))</f>
        <v/>
      </c>
    </row>
    <row r="429" spans="2:14" x14ac:dyDescent="0.35">
      <c r="B429" s="445" t="str">
        <f>IF(Lançamentos!$B424="","",Lançamentos!$B424)</f>
        <v/>
      </c>
      <c r="C429" s="446" t="str">
        <f>IF($B429="","",IFERROR(INDEX(Lançamentos!$J$3:$J$1001,MATCH($B429,Lançamentos!$B$3:$B$1001,0)),""))</f>
        <v/>
      </c>
      <c r="D429" s="447" t="str">
        <f>IF($B429="","",IFERROR(INDEX('E2 — Triagem'!$D$8:$D$507,MATCH($B429,'E2 — Triagem'!$B$8:$B$507,0)),""))</f>
        <v/>
      </c>
      <c r="E429" s="447"/>
      <c r="F429" s="447"/>
      <c r="G429" s="447"/>
      <c r="H429" s="447"/>
      <c r="I429" s="447"/>
      <c r="J429" s="447"/>
      <c r="K429" s="194" t="str">
        <f t="shared" si="7"/>
        <v/>
      </c>
      <c r="L429" s="448"/>
      <c r="M429" s="448"/>
      <c r="N429" s="449" t="str">
        <f>IF(B429="","",IF('E5 — Validação'!M429="✅ Aprovado sem Ajustes","Não",IF(OR('E5 — Validação'!M429="⚠️ Aprovado com Ajustes",'E5 — Validação'!M429="❌ Reprovado"),"Sim","")))</f>
        <v/>
      </c>
    </row>
    <row r="430" spans="2:14" x14ac:dyDescent="0.35">
      <c r="B430" s="445" t="str">
        <f>IF(Lançamentos!$B425="","",Lançamentos!$B425)</f>
        <v/>
      </c>
      <c r="C430" s="446" t="str">
        <f>IF($B430="","",IFERROR(INDEX(Lançamentos!$J$3:$J$1001,MATCH($B430,Lançamentos!$B$3:$B$1001,0)),""))</f>
        <v/>
      </c>
      <c r="D430" s="447" t="str">
        <f>IF($B430="","",IFERROR(INDEX('E2 — Triagem'!$D$8:$D$507,MATCH($B430,'E2 — Triagem'!$B$8:$B$507,0)),""))</f>
        <v/>
      </c>
      <c r="E430" s="447"/>
      <c r="F430" s="447"/>
      <c r="G430" s="447"/>
      <c r="H430" s="447"/>
      <c r="I430" s="447"/>
      <c r="J430" s="447"/>
      <c r="K430" s="194" t="str">
        <f t="shared" si="7"/>
        <v/>
      </c>
      <c r="L430" s="448"/>
      <c r="M430" s="448"/>
      <c r="N430" s="449" t="str">
        <f>IF(B430="","",IF('E5 — Validação'!M430="✅ Aprovado sem Ajustes","Não",IF(OR('E5 — Validação'!M430="⚠️ Aprovado com Ajustes",'E5 — Validação'!M430="❌ Reprovado"),"Sim","")))</f>
        <v/>
      </c>
    </row>
    <row r="431" spans="2:14" x14ac:dyDescent="0.35">
      <c r="B431" s="445" t="str">
        <f>IF(Lançamentos!$B426="","",Lançamentos!$B426)</f>
        <v/>
      </c>
      <c r="C431" s="446" t="str">
        <f>IF($B431="","",IFERROR(INDEX(Lançamentos!$J$3:$J$1001,MATCH($B431,Lançamentos!$B$3:$B$1001,0)),""))</f>
        <v/>
      </c>
      <c r="D431" s="447" t="str">
        <f>IF($B431="","",IFERROR(INDEX('E2 — Triagem'!$D$8:$D$507,MATCH($B431,'E2 — Triagem'!$B$8:$B$507,0)),""))</f>
        <v/>
      </c>
      <c r="E431" s="447"/>
      <c r="F431" s="447"/>
      <c r="G431" s="447"/>
      <c r="H431" s="447"/>
      <c r="I431" s="447"/>
      <c r="J431" s="447"/>
      <c r="K431" s="194" t="str">
        <f t="shared" si="7"/>
        <v/>
      </c>
      <c r="L431" s="448"/>
      <c r="M431" s="448"/>
      <c r="N431" s="449" t="str">
        <f>IF(B431="","",IF('E5 — Validação'!M431="✅ Aprovado sem Ajustes","Não",IF(OR('E5 — Validação'!M431="⚠️ Aprovado com Ajustes",'E5 — Validação'!M431="❌ Reprovado"),"Sim","")))</f>
        <v/>
      </c>
    </row>
    <row r="432" spans="2:14" x14ac:dyDescent="0.35">
      <c r="B432" s="445" t="str">
        <f>IF(Lançamentos!$B427="","",Lançamentos!$B427)</f>
        <v/>
      </c>
      <c r="C432" s="446" t="str">
        <f>IF($B432="","",IFERROR(INDEX(Lançamentos!$J$3:$J$1001,MATCH($B432,Lançamentos!$B$3:$B$1001,0)),""))</f>
        <v/>
      </c>
      <c r="D432" s="447" t="str">
        <f>IF($B432="","",IFERROR(INDEX('E2 — Triagem'!$D$8:$D$507,MATCH($B432,'E2 — Triagem'!$B$8:$B$507,0)),""))</f>
        <v/>
      </c>
      <c r="E432" s="447"/>
      <c r="F432" s="447"/>
      <c r="G432" s="447"/>
      <c r="H432" s="447"/>
      <c r="I432" s="447"/>
      <c r="J432" s="447"/>
      <c r="K432" s="194" t="str">
        <f t="shared" si="7"/>
        <v/>
      </c>
      <c r="L432" s="448"/>
      <c r="M432" s="448"/>
      <c r="N432" s="449" t="str">
        <f>IF(B432="","",IF('E5 — Validação'!M432="✅ Aprovado sem Ajustes","Não",IF(OR('E5 — Validação'!M432="⚠️ Aprovado com Ajustes",'E5 — Validação'!M432="❌ Reprovado"),"Sim","")))</f>
        <v/>
      </c>
    </row>
    <row r="433" spans="2:14" x14ac:dyDescent="0.35">
      <c r="B433" s="445" t="str">
        <f>IF(Lançamentos!$B428="","",Lançamentos!$B428)</f>
        <v/>
      </c>
      <c r="C433" s="446" t="str">
        <f>IF($B433="","",IFERROR(INDEX(Lançamentos!$J$3:$J$1001,MATCH($B433,Lançamentos!$B$3:$B$1001,0)),""))</f>
        <v/>
      </c>
      <c r="D433" s="447" t="str">
        <f>IF($B433="","",IFERROR(INDEX('E2 — Triagem'!$D$8:$D$507,MATCH($B433,'E2 — Triagem'!$B$8:$B$507,0)),""))</f>
        <v/>
      </c>
      <c r="E433" s="447"/>
      <c r="F433" s="447"/>
      <c r="G433" s="447"/>
      <c r="H433" s="447"/>
      <c r="I433" s="447"/>
      <c r="J433" s="447"/>
      <c r="K433" s="194" t="str">
        <f t="shared" si="7"/>
        <v/>
      </c>
      <c r="L433" s="448"/>
      <c r="M433" s="448"/>
      <c r="N433" s="449" t="str">
        <f>IF(B433="","",IF('E5 — Validação'!M433="✅ Aprovado sem Ajustes","Não",IF(OR('E5 — Validação'!M433="⚠️ Aprovado com Ajustes",'E5 — Validação'!M433="❌ Reprovado"),"Sim","")))</f>
        <v/>
      </c>
    </row>
    <row r="434" spans="2:14" x14ac:dyDescent="0.35">
      <c r="B434" s="445" t="str">
        <f>IF(Lançamentos!$B429="","",Lançamentos!$B429)</f>
        <v/>
      </c>
      <c r="C434" s="446" t="str">
        <f>IF($B434="","",IFERROR(INDEX(Lançamentos!$J$3:$J$1001,MATCH($B434,Lançamentos!$B$3:$B$1001,0)),""))</f>
        <v/>
      </c>
      <c r="D434" s="447" t="str">
        <f>IF($B434="","",IFERROR(INDEX('E2 — Triagem'!$D$8:$D$507,MATCH($B434,'E2 — Triagem'!$B$8:$B$507,0)),""))</f>
        <v/>
      </c>
      <c r="E434" s="447"/>
      <c r="F434" s="447"/>
      <c r="G434" s="447"/>
      <c r="H434" s="447"/>
      <c r="I434" s="447"/>
      <c r="J434" s="447"/>
      <c r="K434" s="194" t="str">
        <f t="shared" si="7"/>
        <v/>
      </c>
      <c r="L434" s="448"/>
      <c r="M434" s="448"/>
      <c r="N434" s="449" t="str">
        <f>IF(B434="","",IF('E5 — Validação'!M434="✅ Aprovado sem Ajustes","Não",IF(OR('E5 — Validação'!M434="⚠️ Aprovado com Ajustes",'E5 — Validação'!M434="❌ Reprovado"),"Sim","")))</f>
        <v/>
      </c>
    </row>
    <row r="435" spans="2:14" x14ac:dyDescent="0.35">
      <c r="B435" s="445" t="str">
        <f>IF(Lançamentos!$B430="","",Lançamentos!$B430)</f>
        <v/>
      </c>
      <c r="C435" s="446" t="str">
        <f>IF($B435="","",IFERROR(INDEX(Lançamentos!$J$3:$J$1001,MATCH($B435,Lançamentos!$B$3:$B$1001,0)),""))</f>
        <v/>
      </c>
      <c r="D435" s="447" t="str">
        <f>IF($B435="","",IFERROR(INDEX('E2 — Triagem'!$D$8:$D$507,MATCH($B435,'E2 — Triagem'!$B$8:$B$507,0)),""))</f>
        <v/>
      </c>
      <c r="E435" s="447"/>
      <c r="F435" s="447"/>
      <c r="G435" s="447"/>
      <c r="H435" s="447"/>
      <c r="I435" s="447"/>
      <c r="J435" s="447"/>
      <c r="K435" s="194" t="str">
        <f t="shared" si="7"/>
        <v/>
      </c>
      <c r="L435" s="448"/>
      <c r="M435" s="448"/>
      <c r="N435" s="449" t="str">
        <f>IF(B435="","",IF('E5 — Validação'!M435="✅ Aprovado sem Ajustes","Não",IF(OR('E5 — Validação'!M435="⚠️ Aprovado com Ajustes",'E5 — Validação'!M435="❌ Reprovado"),"Sim","")))</f>
        <v/>
      </c>
    </row>
    <row r="436" spans="2:14" x14ac:dyDescent="0.35">
      <c r="B436" s="445" t="str">
        <f>IF(Lançamentos!$B431="","",Lançamentos!$B431)</f>
        <v/>
      </c>
      <c r="C436" s="446" t="str">
        <f>IF($B436="","",IFERROR(INDEX(Lançamentos!$J$3:$J$1001,MATCH($B436,Lançamentos!$B$3:$B$1001,0)),""))</f>
        <v/>
      </c>
      <c r="D436" s="447" t="str">
        <f>IF($B436="","",IFERROR(INDEX('E2 — Triagem'!$D$8:$D$507,MATCH($B436,'E2 — Triagem'!$B$8:$B$507,0)),""))</f>
        <v/>
      </c>
      <c r="E436" s="447"/>
      <c r="F436" s="447"/>
      <c r="G436" s="447"/>
      <c r="H436" s="447"/>
      <c r="I436" s="447"/>
      <c r="J436" s="447"/>
      <c r="K436" s="194" t="str">
        <f t="shared" si="7"/>
        <v/>
      </c>
      <c r="L436" s="448"/>
      <c r="M436" s="448"/>
      <c r="N436" s="449" t="str">
        <f>IF(B436="","",IF('E5 — Validação'!M436="✅ Aprovado sem Ajustes","Não",IF(OR('E5 — Validação'!M436="⚠️ Aprovado com Ajustes",'E5 — Validação'!M436="❌ Reprovado"),"Sim","")))</f>
        <v/>
      </c>
    </row>
    <row r="437" spans="2:14" x14ac:dyDescent="0.35">
      <c r="B437" s="445" t="str">
        <f>IF(Lançamentos!$B432="","",Lançamentos!$B432)</f>
        <v/>
      </c>
      <c r="C437" s="446" t="str">
        <f>IF($B437="","",IFERROR(INDEX(Lançamentos!$J$3:$J$1001,MATCH($B437,Lançamentos!$B$3:$B$1001,0)),""))</f>
        <v/>
      </c>
      <c r="D437" s="447" t="str">
        <f>IF($B437="","",IFERROR(INDEX('E2 — Triagem'!$D$8:$D$507,MATCH($B437,'E2 — Triagem'!$B$8:$B$507,0)),""))</f>
        <v/>
      </c>
      <c r="E437" s="447"/>
      <c r="F437" s="447"/>
      <c r="G437" s="447"/>
      <c r="H437" s="447"/>
      <c r="I437" s="447"/>
      <c r="J437" s="447"/>
      <c r="K437" s="194" t="str">
        <f t="shared" si="7"/>
        <v/>
      </c>
      <c r="L437" s="448"/>
      <c r="M437" s="448"/>
      <c r="N437" s="449" t="str">
        <f>IF(B437="","",IF('E5 — Validação'!M437="✅ Aprovado sem Ajustes","Não",IF(OR('E5 — Validação'!M437="⚠️ Aprovado com Ajustes",'E5 — Validação'!M437="❌ Reprovado"),"Sim","")))</f>
        <v/>
      </c>
    </row>
    <row r="438" spans="2:14" x14ac:dyDescent="0.35">
      <c r="B438" s="445" t="str">
        <f>IF(Lançamentos!$B433="","",Lançamentos!$B433)</f>
        <v/>
      </c>
      <c r="C438" s="446" t="str">
        <f>IF($B438="","",IFERROR(INDEX(Lançamentos!$J$3:$J$1001,MATCH($B438,Lançamentos!$B$3:$B$1001,0)),""))</f>
        <v/>
      </c>
      <c r="D438" s="447" t="str">
        <f>IF($B438="","",IFERROR(INDEX('E2 — Triagem'!$D$8:$D$507,MATCH($B438,'E2 — Triagem'!$B$8:$B$507,0)),""))</f>
        <v/>
      </c>
      <c r="E438" s="447"/>
      <c r="F438" s="447"/>
      <c r="G438" s="447"/>
      <c r="H438" s="447"/>
      <c r="I438" s="447"/>
      <c r="J438" s="447"/>
      <c r="K438" s="194" t="str">
        <f t="shared" si="7"/>
        <v/>
      </c>
      <c r="L438" s="448"/>
      <c r="M438" s="448"/>
      <c r="N438" s="449" t="str">
        <f>IF(B438="","",IF('E5 — Validação'!M438="✅ Aprovado sem Ajustes","Não",IF(OR('E5 — Validação'!M438="⚠️ Aprovado com Ajustes",'E5 — Validação'!M438="❌ Reprovado"),"Sim","")))</f>
        <v/>
      </c>
    </row>
    <row r="439" spans="2:14" x14ac:dyDescent="0.35">
      <c r="B439" s="445" t="str">
        <f>IF(Lançamentos!$B434="","",Lançamentos!$B434)</f>
        <v/>
      </c>
      <c r="C439" s="446" t="str">
        <f>IF($B439="","",IFERROR(INDEX(Lançamentos!$J$3:$J$1001,MATCH($B439,Lançamentos!$B$3:$B$1001,0)),""))</f>
        <v/>
      </c>
      <c r="D439" s="447" t="str">
        <f>IF($B439="","",IFERROR(INDEX('E2 — Triagem'!$D$8:$D$507,MATCH($B439,'E2 — Triagem'!$B$8:$B$507,0)),""))</f>
        <v/>
      </c>
      <c r="E439" s="447"/>
      <c r="F439" s="447"/>
      <c r="G439" s="447"/>
      <c r="H439" s="447"/>
      <c r="I439" s="447"/>
      <c r="J439" s="447"/>
      <c r="K439" s="194" t="str">
        <f t="shared" si="7"/>
        <v/>
      </c>
      <c r="L439" s="448"/>
      <c r="M439" s="448"/>
      <c r="N439" s="449" t="str">
        <f>IF(B439="","",IF('E5 — Validação'!M439="✅ Aprovado sem Ajustes","Não",IF(OR('E5 — Validação'!M439="⚠️ Aprovado com Ajustes",'E5 — Validação'!M439="❌ Reprovado"),"Sim","")))</f>
        <v/>
      </c>
    </row>
    <row r="440" spans="2:14" x14ac:dyDescent="0.35">
      <c r="B440" s="445" t="str">
        <f>IF(Lançamentos!$B435="","",Lançamentos!$B435)</f>
        <v/>
      </c>
      <c r="C440" s="446" t="str">
        <f>IF($B440="","",IFERROR(INDEX(Lançamentos!$J$3:$J$1001,MATCH($B440,Lançamentos!$B$3:$B$1001,0)),""))</f>
        <v/>
      </c>
      <c r="D440" s="447" t="str">
        <f>IF($B440="","",IFERROR(INDEX('E2 — Triagem'!$D$8:$D$507,MATCH($B440,'E2 — Triagem'!$B$8:$B$507,0)),""))</f>
        <v/>
      </c>
      <c r="E440" s="447"/>
      <c r="F440" s="447"/>
      <c r="G440" s="447"/>
      <c r="H440" s="447"/>
      <c r="I440" s="447"/>
      <c r="J440" s="447"/>
      <c r="K440" s="194" t="str">
        <f t="shared" si="7"/>
        <v/>
      </c>
      <c r="L440" s="448"/>
      <c r="M440" s="448"/>
      <c r="N440" s="449" t="str">
        <f>IF(B440="","",IF('E5 — Validação'!M440="✅ Aprovado sem Ajustes","Não",IF(OR('E5 — Validação'!M440="⚠️ Aprovado com Ajustes",'E5 — Validação'!M440="❌ Reprovado"),"Sim","")))</f>
        <v/>
      </c>
    </row>
    <row r="441" spans="2:14" x14ac:dyDescent="0.35">
      <c r="B441" s="445" t="str">
        <f>IF(Lançamentos!$B436="","",Lançamentos!$B436)</f>
        <v/>
      </c>
      <c r="C441" s="446" t="str">
        <f>IF($B441="","",IFERROR(INDEX(Lançamentos!$J$3:$J$1001,MATCH($B441,Lançamentos!$B$3:$B$1001,0)),""))</f>
        <v/>
      </c>
      <c r="D441" s="447" t="str">
        <f>IF($B441="","",IFERROR(INDEX('E2 — Triagem'!$D$8:$D$507,MATCH($B441,'E2 — Triagem'!$B$8:$B$507,0)),""))</f>
        <v/>
      </c>
      <c r="E441" s="447"/>
      <c r="F441" s="447"/>
      <c r="G441" s="447"/>
      <c r="H441" s="447"/>
      <c r="I441" s="447"/>
      <c r="J441" s="447"/>
      <c r="K441" s="194" t="str">
        <f t="shared" si="7"/>
        <v/>
      </c>
      <c r="L441" s="448"/>
      <c r="M441" s="448"/>
      <c r="N441" s="449" t="str">
        <f>IF(B441="","",IF('E5 — Validação'!M441="✅ Aprovado sem Ajustes","Não",IF(OR('E5 — Validação'!M441="⚠️ Aprovado com Ajustes",'E5 — Validação'!M441="❌ Reprovado"),"Sim","")))</f>
        <v/>
      </c>
    </row>
    <row r="442" spans="2:14" x14ac:dyDescent="0.35">
      <c r="B442" s="445" t="str">
        <f>IF(Lançamentos!$B437="","",Lançamentos!$B437)</f>
        <v/>
      </c>
      <c r="C442" s="446" t="str">
        <f>IF($B442="","",IFERROR(INDEX(Lançamentos!$J$3:$J$1001,MATCH($B442,Lançamentos!$B$3:$B$1001,0)),""))</f>
        <v/>
      </c>
      <c r="D442" s="447" t="str">
        <f>IF($B442="","",IFERROR(INDEX('E2 — Triagem'!$D$8:$D$507,MATCH($B442,'E2 — Triagem'!$B$8:$B$507,0)),""))</f>
        <v/>
      </c>
      <c r="E442" s="447"/>
      <c r="F442" s="447"/>
      <c r="G442" s="447"/>
      <c r="H442" s="447"/>
      <c r="I442" s="447"/>
      <c r="J442" s="447"/>
      <c r="K442" s="194" t="str">
        <f t="shared" si="7"/>
        <v/>
      </c>
      <c r="L442" s="448"/>
      <c r="M442" s="448"/>
      <c r="N442" s="449" t="str">
        <f>IF(B442="","",IF('E5 — Validação'!M442="✅ Aprovado sem Ajustes","Não",IF(OR('E5 — Validação'!M442="⚠️ Aprovado com Ajustes",'E5 — Validação'!M442="❌ Reprovado"),"Sim","")))</f>
        <v/>
      </c>
    </row>
    <row r="443" spans="2:14" x14ac:dyDescent="0.35">
      <c r="B443" s="445" t="str">
        <f>IF(Lançamentos!$B438="","",Lançamentos!$B438)</f>
        <v/>
      </c>
      <c r="C443" s="446" t="str">
        <f>IF($B443="","",IFERROR(INDEX(Lançamentos!$J$3:$J$1001,MATCH($B443,Lançamentos!$B$3:$B$1001,0)),""))</f>
        <v/>
      </c>
      <c r="D443" s="447" t="str">
        <f>IF($B443="","",IFERROR(INDEX('E2 — Triagem'!$D$8:$D$507,MATCH($B443,'E2 — Triagem'!$B$8:$B$507,0)),""))</f>
        <v/>
      </c>
      <c r="E443" s="447"/>
      <c r="F443" s="447"/>
      <c r="G443" s="447"/>
      <c r="H443" s="447"/>
      <c r="I443" s="447"/>
      <c r="J443" s="447"/>
      <c r="K443" s="194" t="str">
        <f t="shared" si="7"/>
        <v/>
      </c>
      <c r="L443" s="448"/>
      <c r="M443" s="448"/>
      <c r="N443" s="449" t="str">
        <f>IF(B443="","",IF('E5 — Validação'!M443="✅ Aprovado sem Ajustes","Não",IF(OR('E5 — Validação'!M443="⚠️ Aprovado com Ajustes",'E5 — Validação'!M443="❌ Reprovado"),"Sim","")))</f>
        <v/>
      </c>
    </row>
    <row r="444" spans="2:14" x14ac:dyDescent="0.35">
      <c r="B444" s="445" t="str">
        <f>IF(Lançamentos!$B439="","",Lançamentos!$B439)</f>
        <v/>
      </c>
      <c r="C444" s="446" t="str">
        <f>IF($B444="","",IFERROR(INDEX(Lançamentos!$J$3:$J$1001,MATCH($B444,Lançamentos!$B$3:$B$1001,0)),""))</f>
        <v/>
      </c>
      <c r="D444" s="447" t="str">
        <f>IF($B444="","",IFERROR(INDEX('E2 — Triagem'!$D$8:$D$507,MATCH($B444,'E2 — Triagem'!$B$8:$B$507,0)),""))</f>
        <v/>
      </c>
      <c r="E444" s="447"/>
      <c r="F444" s="447"/>
      <c r="G444" s="447"/>
      <c r="H444" s="447"/>
      <c r="I444" s="447"/>
      <c r="J444" s="447"/>
      <c r="K444" s="194" t="str">
        <f t="shared" si="7"/>
        <v/>
      </c>
      <c r="L444" s="448"/>
      <c r="M444" s="448"/>
      <c r="N444" s="449" t="str">
        <f>IF(B444="","",IF('E5 — Validação'!M444="✅ Aprovado sem Ajustes","Não",IF(OR('E5 — Validação'!M444="⚠️ Aprovado com Ajustes",'E5 — Validação'!M444="❌ Reprovado"),"Sim","")))</f>
        <v/>
      </c>
    </row>
    <row r="445" spans="2:14" x14ac:dyDescent="0.35">
      <c r="B445" s="445" t="str">
        <f>IF(Lançamentos!$B440="","",Lançamentos!$B440)</f>
        <v/>
      </c>
      <c r="C445" s="446" t="str">
        <f>IF($B445="","",IFERROR(INDEX(Lançamentos!$J$3:$J$1001,MATCH($B445,Lançamentos!$B$3:$B$1001,0)),""))</f>
        <v/>
      </c>
      <c r="D445" s="447" t="str">
        <f>IF($B445="","",IFERROR(INDEX('E2 — Triagem'!$D$8:$D$507,MATCH($B445,'E2 — Triagem'!$B$8:$B$507,0)),""))</f>
        <v/>
      </c>
      <c r="E445" s="447"/>
      <c r="F445" s="447"/>
      <c r="G445" s="447"/>
      <c r="H445" s="447"/>
      <c r="I445" s="447"/>
      <c r="J445" s="447"/>
      <c r="K445" s="194" t="str">
        <f t="shared" si="7"/>
        <v/>
      </c>
      <c r="L445" s="448"/>
      <c r="M445" s="448"/>
      <c r="N445" s="449" t="str">
        <f>IF(B445="","",IF('E5 — Validação'!M445="✅ Aprovado sem Ajustes","Não",IF(OR('E5 — Validação'!M445="⚠️ Aprovado com Ajustes",'E5 — Validação'!M445="❌ Reprovado"),"Sim","")))</f>
        <v/>
      </c>
    </row>
    <row r="446" spans="2:14" x14ac:dyDescent="0.35">
      <c r="B446" s="445" t="str">
        <f>IF(Lançamentos!$B441="","",Lançamentos!$B441)</f>
        <v/>
      </c>
      <c r="C446" s="446" t="str">
        <f>IF($B446="","",IFERROR(INDEX(Lançamentos!$J$3:$J$1001,MATCH($B446,Lançamentos!$B$3:$B$1001,0)),""))</f>
        <v/>
      </c>
      <c r="D446" s="447" t="str">
        <f>IF($B446="","",IFERROR(INDEX('E2 — Triagem'!$D$8:$D$507,MATCH($B446,'E2 — Triagem'!$B$8:$B$507,0)),""))</f>
        <v/>
      </c>
      <c r="E446" s="447"/>
      <c r="F446" s="447"/>
      <c r="G446" s="447"/>
      <c r="H446" s="447"/>
      <c r="I446" s="447"/>
      <c r="J446" s="447"/>
      <c r="K446" s="194" t="str">
        <f t="shared" si="7"/>
        <v/>
      </c>
      <c r="L446" s="448"/>
      <c r="M446" s="448"/>
      <c r="N446" s="449" t="str">
        <f>IF(B446="","",IF('E5 — Validação'!M446="✅ Aprovado sem Ajustes","Não",IF(OR('E5 — Validação'!M446="⚠️ Aprovado com Ajustes",'E5 — Validação'!M446="❌ Reprovado"),"Sim","")))</f>
        <v/>
      </c>
    </row>
    <row r="447" spans="2:14" x14ac:dyDescent="0.35">
      <c r="B447" s="445" t="str">
        <f>IF(Lançamentos!$B442="","",Lançamentos!$B442)</f>
        <v/>
      </c>
      <c r="C447" s="446" t="str">
        <f>IF($B447="","",IFERROR(INDEX(Lançamentos!$J$3:$J$1001,MATCH($B447,Lançamentos!$B$3:$B$1001,0)),""))</f>
        <v/>
      </c>
      <c r="D447" s="447" t="str">
        <f>IF($B447="","",IFERROR(INDEX('E2 — Triagem'!$D$8:$D$507,MATCH($B447,'E2 — Triagem'!$B$8:$B$507,0)),""))</f>
        <v/>
      </c>
      <c r="E447" s="447"/>
      <c r="F447" s="447"/>
      <c r="G447" s="447"/>
      <c r="H447" s="447"/>
      <c r="I447" s="447"/>
      <c r="J447" s="447"/>
      <c r="K447" s="194" t="str">
        <f t="shared" si="7"/>
        <v/>
      </c>
      <c r="L447" s="448"/>
      <c r="M447" s="448"/>
      <c r="N447" s="449" t="str">
        <f>IF(B447="","",IF('E5 — Validação'!M447="✅ Aprovado sem Ajustes","Não",IF(OR('E5 — Validação'!M447="⚠️ Aprovado com Ajustes",'E5 — Validação'!M447="❌ Reprovado"),"Sim","")))</f>
        <v/>
      </c>
    </row>
    <row r="448" spans="2:14" x14ac:dyDescent="0.35">
      <c r="B448" s="445" t="str">
        <f>IF(Lançamentos!$B443="","",Lançamentos!$B443)</f>
        <v/>
      </c>
      <c r="C448" s="446" t="str">
        <f>IF($B448="","",IFERROR(INDEX(Lançamentos!$J$3:$J$1001,MATCH($B448,Lançamentos!$B$3:$B$1001,0)),""))</f>
        <v/>
      </c>
      <c r="D448" s="447" t="str">
        <f>IF($B448="","",IFERROR(INDEX('E2 — Triagem'!$D$8:$D$507,MATCH($B448,'E2 — Triagem'!$B$8:$B$507,0)),""))</f>
        <v/>
      </c>
      <c r="E448" s="447"/>
      <c r="F448" s="447"/>
      <c r="G448" s="447"/>
      <c r="H448" s="447"/>
      <c r="I448" s="447"/>
      <c r="J448" s="447"/>
      <c r="K448" s="194" t="str">
        <f t="shared" si="7"/>
        <v/>
      </c>
      <c r="L448" s="448"/>
      <c r="M448" s="448"/>
      <c r="N448" s="449" t="str">
        <f>IF(B448="","",IF('E5 — Validação'!M448="✅ Aprovado sem Ajustes","Não",IF(OR('E5 — Validação'!M448="⚠️ Aprovado com Ajustes",'E5 — Validação'!M448="❌ Reprovado"),"Sim","")))</f>
        <v/>
      </c>
    </row>
    <row r="449" spans="2:14" x14ac:dyDescent="0.35">
      <c r="B449" s="445" t="str">
        <f>IF(Lançamentos!$B444="","",Lançamentos!$B444)</f>
        <v/>
      </c>
      <c r="C449" s="446" t="str">
        <f>IF($B449="","",IFERROR(INDEX(Lançamentos!$J$3:$J$1001,MATCH($B449,Lançamentos!$B$3:$B$1001,0)),""))</f>
        <v/>
      </c>
      <c r="D449" s="447" t="str">
        <f>IF($B449="","",IFERROR(INDEX('E2 — Triagem'!$D$8:$D$507,MATCH($B449,'E2 — Triagem'!$B$8:$B$507,0)),""))</f>
        <v/>
      </c>
      <c r="E449" s="447"/>
      <c r="F449" s="447"/>
      <c r="G449" s="447"/>
      <c r="H449" s="447"/>
      <c r="I449" s="447"/>
      <c r="J449" s="447"/>
      <c r="K449" s="194" t="str">
        <f t="shared" si="7"/>
        <v/>
      </c>
      <c r="L449" s="448"/>
      <c r="M449" s="448"/>
      <c r="N449" s="449" t="str">
        <f>IF(B449="","",IF('E5 — Validação'!M449="✅ Aprovado sem Ajustes","Não",IF(OR('E5 — Validação'!M449="⚠️ Aprovado com Ajustes",'E5 — Validação'!M449="❌ Reprovado"),"Sim","")))</f>
        <v/>
      </c>
    </row>
    <row r="450" spans="2:14" x14ac:dyDescent="0.35">
      <c r="B450" s="445" t="str">
        <f>IF(Lançamentos!$B445="","",Lançamentos!$B445)</f>
        <v/>
      </c>
      <c r="C450" s="446" t="str">
        <f>IF($B450="","",IFERROR(INDEX(Lançamentos!$J$3:$J$1001,MATCH($B450,Lançamentos!$B$3:$B$1001,0)),""))</f>
        <v/>
      </c>
      <c r="D450" s="447" t="str">
        <f>IF($B450="","",IFERROR(INDEX('E2 — Triagem'!$D$8:$D$507,MATCH($B450,'E2 — Triagem'!$B$8:$B$507,0)),""))</f>
        <v/>
      </c>
      <c r="E450" s="447"/>
      <c r="F450" s="447"/>
      <c r="G450" s="447"/>
      <c r="H450" s="447"/>
      <c r="I450" s="447"/>
      <c r="J450" s="447"/>
      <c r="K450" s="194" t="str">
        <f t="shared" si="7"/>
        <v/>
      </c>
      <c r="L450" s="448"/>
      <c r="M450" s="448"/>
      <c r="N450" s="449" t="str">
        <f>IF(B450="","",IF('E5 — Validação'!M450="✅ Aprovado sem Ajustes","Não",IF(OR('E5 — Validação'!M450="⚠️ Aprovado com Ajustes",'E5 — Validação'!M450="❌ Reprovado"),"Sim","")))</f>
        <v/>
      </c>
    </row>
    <row r="451" spans="2:14" x14ac:dyDescent="0.35">
      <c r="B451" s="445" t="str">
        <f>IF(Lançamentos!$B446="","",Lançamentos!$B446)</f>
        <v/>
      </c>
      <c r="C451" s="446" t="str">
        <f>IF($B451="","",IFERROR(INDEX(Lançamentos!$J$3:$J$1001,MATCH($B451,Lançamentos!$B$3:$B$1001,0)),""))</f>
        <v/>
      </c>
      <c r="D451" s="447" t="str">
        <f>IF($B451="","",IFERROR(INDEX('E2 — Triagem'!$D$8:$D$507,MATCH($B451,'E2 — Triagem'!$B$8:$B$507,0)),""))</f>
        <v/>
      </c>
      <c r="E451" s="447"/>
      <c r="F451" s="447"/>
      <c r="G451" s="447"/>
      <c r="H451" s="447"/>
      <c r="I451" s="447"/>
      <c r="J451" s="447"/>
      <c r="K451" s="194" t="str">
        <f t="shared" si="7"/>
        <v/>
      </c>
      <c r="L451" s="448"/>
      <c r="M451" s="448"/>
      <c r="N451" s="449" t="str">
        <f>IF(B451="","",IF('E5 — Validação'!M451="✅ Aprovado sem Ajustes","Não",IF(OR('E5 — Validação'!M451="⚠️ Aprovado com Ajustes",'E5 — Validação'!M451="❌ Reprovado"),"Sim","")))</f>
        <v/>
      </c>
    </row>
    <row r="452" spans="2:14" x14ac:dyDescent="0.35">
      <c r="B452" s="445" t="str">
        <f>IF(Lançamentos!$B447="","",Lançamentos!$B447)</f>
        <v/>
      </c>
      <c r="C452" s="446" t="str">
        <f>IF($B452="","",IFERROR(INDEX(Lançamentos!$J$3:$J$1001,MATCH($B452,Lançamentos!$B$3:$B$1001,0)),""))</f>
        <v/>
      </c>
      <c r="D452" s="447" t="str">
        <f>IF($B452="","",IFERROR(INDEX('E2 — Triagem'!$D$8:$D$507,MATCH($B452,'E2 — Triagem'!$B$8:$B$507,0)),""))</f>
        <v/>
      </c>
      <c r="E452" s="447"/>
      <c r="F452" s="447"/>
      <c r="G452" s="447"/>
      <c r="H452" s="447"/>
      <c r="I452" s="447"/>
      <c r="J452" s="447"/>
      <c r="K452" s="194" t="str">
        <f t="shared" si="7"/>
        <v/>
      </c>
      <c r="L452" s="448"/>
      <c r="M452" s="448"/>
      <c r="N452" s="449" t="str">
        <f>IF(B452="","",IF('E5 — Validação'!M452="✅ Aprovado sem Ajustes","Não",IF(OR('E5 — Validação'!M452="⚠️ Aprovado com Ajustes",'E5 — Validação'!M452="❌ Reprovado"),"Sim","")))</f>
        <v/>
      </c>
    </row>
    <row r="453" spans="2:14" x14ac:dyDescent="0.35">
      <c r="B453" s="445" t="str">
        <f>IF(Lançamentos!$B448="","",Lançamentos!$B448)</f>
        <v/>
      </c>
      <c r="C453" s="446" t="str">
        <f>IF($B453="","",IFERROR(INDEX(Lançamentos!$J$3:$J$1001,MATCH($B453,Lançamentos!$B$3:$B$1001,0)),""))</f>
        <v/>
      </c>
      <c r="D453" s="447" t="str">
        <f>IF($B453="","",IFERROR(INDEX('E2 — Triagem'!$D$8:$D$507,MATCH($B453,'E2 — Triagem'!$B$8:$B$507,0)),""))</f>
        <v/>
      </c>
      <c r="E453" s="447"/>
      <c r="F453" s="447"/>
      <c r="G453" s="447"/>
      <c r="H453" s="447"/>
      <c r="I453" s="447"/>
      <c r="J453" s="447"/>
      <c r="K453" s="194" t="str">
        <f t="shared" si="7"/>
        <v/>
      </c>
      <c r="L453" s="448"/>
      <c r="M453" s="448"/>
      <c r="N453" s="449" t="str">
        <f>IF(B453="","",IF('E5 — Validação'!M453="✅ Aprovado sem Ajustes","Não",IF(OR('E5 — Validação'!M453="⚠️ Aprovado com Ajustes",'E5 — Validação'!M453="❌ Reprovado"),"Sim","")))</f>
        <v/>
      </c>
    </row>
    <row r="454" spans="2:14" x14ac:dyDescent="0.35">
      <c r="B454" s="445" t="str">
        <f>IF(Lançamentos!$B449="","",Lançamentos!$B449)</f>
        <v/>
      </c>
      <c r="C454" s="446" t="str">
        <f>IF($B454="","",IFERROR(INDEX(Lançamentos!$J$3:$J$1001,MATCH($B454,Lançamentos!$B$3:$B$1001,0)),""))</f>
        <v/>
      </c>
      <c r="D454" s="447" t="str">
        <f>IF($B454="","",IFERROR(INDEX('E2 — Triagem'!$D$8:$D$507,MATCH($B454,'E2 — Triagem'!$B$8:$B$507,0)),""))</f>
        <v/>
      </c>
      <c r="E454" s="447"/>
      <c r="F454" s="447"/>
      <c r="G454" s="447"/>
      <c r="H454" s="447"/>
      <c r="I454" s="447"/>
      <c r="J454" s="447"/>
      <c r="K454" s="194" t="str">
        <f t="shared" si="7"/>
        <v/>
      </c>
      <c r="L454" s="448"/>
      <c r="M454" s="448"/>
      <c r="N454" s="449" t="str">
        <f>IF(B454="","",IF('E5 — Validação'!M454="✅ Aprovado sem Ajustes","Não",IF(OR('E5 — Validação'!M454="⚠️ Aprovado com Ajustes",'E5 — Validação'!M454="❌ Reprovado"),"Sim","")))</f>
        <v/>
      </c>
    </row>
    <row r="455" spans="2:14" x14ac:dyDescent="0.35">
      <c r="B455" s="445" t="str">
        <f>IF(Lançamentos!$B450="","",Lançamentos!$B450)</f>
        <v/>
      </c>
      <c r="C455" s="446" t="str">
        <f>IF($B455="","",IFERROR(INDEX(Lançamentos!$J$3:$J$1001,MATCH($B455,Lançamentos!$B$3:$B$1001,0)),""))</f>
        <v/>
      </c>
      <c r="D455" s="447" t="str">
        <f>IF($B455="","",IFERROR(INDEX('E2 — Triagem'!$D$8:$D$507,MATCH($B455,'E2 — Triagem'!$B$8:$B$507,0)),""))</f>
        <v/>
      </c>
      <c r="E455" s="447"/>
      <c r="F455" s="447"/>
      <c r="G455" s="447"/>
      <c r="H455" s="447"/>
      <c r="I455" s="447"/>
      <c r="J455" s="447"/>
      <c r="K455" s="194" t="str">
        <f t="shared" si="7"/>
        <v/>
      </c>
      <c r="L455" s="448"/>
      <c r="M455" s="448"/>
      <c r="N455" s="449" t="str">
        <f>IF(B455="","",IF('E5 — Validação'!M455="✅ Aprovado sem Ajustes","Não",IF(OR('E5 — Validação'!M455="⚠️ Aprovado com Ajustes",'E5 — Validação'!M455="❌ Reprovado"),"Sim","")))</f>
        <v/>
      </c>
    </row>
    <row r="456" spans="2:14" x14ac:dyDescent="0.35">
      <c r="B456" s="445" t="str">
        <f>IF(Lançamentos!$B451="","",Lançamentos!$B451)</f>
        <v/>
      </c>
      <c r="C456" s="446" t="str">
        <f>IF($B456="","",IFERROR(INDEX(Lançamentos!$J$3:$J$1001,MATCH($B456,Lançamentos!$B$3:$B$1001,0)),""))</f>
        <v/>
      </c>
      <c r="D456" s="447" t="str">
        <f>IF($B456="","",IFERROR(INDEX('E2 — Triagem'!$D$8:$D$507,MATCH($B456,'E2 — Triagem'!$B$8:$B$507,0)),""))</f>
        <v/>
      </c>
      <c r="E456" s="447"/>
      <c r="F456" s="447"/>
      <c r="G456" s="447"/>
      <c r="H456" s="447"/>
      <c r="I456" s="447"/>
      <c r="J456" s="447"/>
      <c r="K456" s="194" t="str">
        <f t="shared" si="7"/>
        <v/>
      </c>
      <c r="L456" s="448"/>
      <c r="M456" s="448"/>
      <c r="N456" s="449" t="str">
        <f>IF(B456="","",IF('E5 — Validação'!M456="✅ Aprovado sem Ajustes","Não",IF(OR('E5 — Validação'!M456="⚠️ Aprovado com Ajustes",'E5 — Validação'!M456="❌ Reprovado"),"Sim","")))</f>
        <v/>
      </c>
    </row>
    <row r="457" spans="2:14" x14ac:dyDescent="0.35">
      <c r="B457" s="445" t="str">
        <f>IF(Lançamentos!$B452="","",Lançamentos!$B452)</f>
        <v/>
      </c>
      <c r="C457" s="446" t="str">
        <f>IF($B457="","",IFERROR(INDEX(Lançamentos!$J$3:$J$1001,MATCH($B457,Lançamentos!$B$3:$B$1001,0)),""))</f>
        <v/>
      </c>
      <c r="D457" s="447" t="str">
        <f>IF($B457="","",IFERROR(INDEX('E2 — Triagem'!$D$8:$D$507,MATCH($B457,'E2 — Triagem'!$B$8:$B$507,0)),""))</f>
        <v/>
      </c>
      <c r="E457" s="447"/>
      <c r="F457" s="447"/>
      <c r="G457" s="447"/>
      <c r="H457" s="447"/>
      <c r="I457" s="447"/>
      <c r="J457" s="447"/>
      <c r="K457" s="194" t="str">
        <f t="shared" si="7"/>
        <v/>
      </c>
      <c r="L457" s="448"/>
      <c r="M457" s="448"/>
      <c r="N457" s="449" t="str">
        <f>IF(B457="","",IF('E5 — Validação'!M457="✅ Aprovado sem Ajustes","Não",IF(OR('E5 — Validação'!M457="⚠️ Aprovado com Ajustes",'E5 — Validação'!M457="❌ Reprovado"),"Sim","")))</f>
        <v/>
      </c>
    </row>
    <row r="458" spans="2:14" x14ac:dyDescent="0.35">
      <c r="B458" s="445" t="str">
        <f>IF(Lançamentos!$B453="","",Lançamentos!$B453)</f>
        <v/>
      </c>
      <c r="C458" s="446" t="str">
        <f>IF($B458="","",IFERROR(INDEX(Lançamentos!$J$3:$J$1001,MATCH($B458,Lançamentos!$B$3:$B$1001,0)),""))</f>
        <v/>
      </c>
      <c r="D458" s="447" t="str">
        <f>IF($B458="","",IFERROR(INDEX('E2 — Triagem'!$D$8:$D$507,MATCH($B458,'E2 — Triagem'!$B$8:$B$507,0)),""))</f>
        <v/>
      </c>
      <c r="E458" s="447"/>
      <c r="F458" s="447"/>
      <c r="G458" s="447"/>
      <c r="H458" s="447"/>
      <c r="I458" s="447"/>
      <c r="J458" s="447"/>
      <c r="K458" s="194" t="str">
        <f t="shared" si="7"/>
        <v/>
      </c>
      <c r="L458" s="448"/>
      <c r="M458" s="448"/>
      <c r="N458" s="449" t="str">
        <f>IF(B458="","",IF('E5 — Validação'!M458="✅ Aprovado sem Ajustes","Não",IF(OR('E5 — Validação'!M458="⚠️ Aprovado com Ajustes",'E5 — Validação'!M458="❌ Reprovado"),"Sim","")))</f>
        <v/>
      </c>
    </row>
    <row r="459" spans="2:14" x14ac:dyDescent="0.35">
      <c r="B459" s="445" t="str">
        <f>IF(Lançamentos!$B454="","",Lançamentos!$B454)</f>
        <v/>
      </c>
      <c r="C459" s="446" t="str">
        <f>IF($B459="","",IFERROR(INDEX(Lançamentos!$J$3:$J$1001,MATCH($B459,Lançamentos!$B$3:$B$1001,0)),""))</f>
        <v/>
      </c>
      <c r="D459" s="447" t="str">
        <f>IF($B459="","",IFERROR(INDEX('E2 — Triagem'!$D$8:$D$507,MATCH($B459,'E2 — Triagem'!$B$8:$B$507,0)),""))</f>
        <v/>
      </c>
      <c r="E459" s="447"/>
      <c r="F459" s="447"/>
      <c r="G459" s="447"/>
      <c r="H459" s="447"/>
      <c r="I459" s="447"/>
      <c r="J459" s="447"/>
      <c r="K459" s="194" t="str">
        <f t="shared" si="7"/>
        <v/>
      </c>
      <c r="L459" s="448"/>
      <c r="M459" s="448"/>
      <c r="N459" s="449" t="str">
        <f>IF(B459="","",IF('E5 — Validação'!M459="✅ Aprovado sem Ajustes","Não",IF(OR('E5 — Validação'!M459="⚠️ Aprovado com Ajustes",'E5 — Validação'!M459="❌ Reprovado"),"Sim","")))</f>
        <v/>
      </c>
    </row>
    <row r="460" spans="2:14" x14ac:dyDescent="0.35">
      <c r="B460" s="445" t="str">
        <f>IF(Lançamentos!$B455="","",Lançamentos!$B455)</f>
        <v/>
      </c>
      <c r="C460" s="446" t="str">
        <f>IF($B460="","",IFERROR(INDEX(Lançamentos!$J$3:$J$1001,MATCH($B460,Lançamentos!$B$3:$B$1001,0)),""))</f>
        <v/>
      </c>
      <c r="D460" s="447" t="str">
        <f>IF($B460="","",IFERROR(INDEX('E2 — Triagem'!$D$8:$D$507,MATCH($B460,'E2 — Triagem'!$B$8:$B$507,0)),""))</f>
        <v/>
      </c>
      <c r="E460" s="447"/>
      <c r="F460" s="447"/>
      <c r="G460" s="447"/>
      <c r="H460" s="447"/>
      <c r="I460" s="447"/>
      <c r="J460" s="447"/>
      <c r="K460" s="194" t="str">
        <f t="shared" si="7"/>
        <v/>
      </c>
      <c r="L460" s="448"/>
      <c r="M460" s="448"/>
      <c r="N460" s="449" t="str">
        <f>IF(B460="","",IF('E5 — Validação'!M460="✅ Aprovado sem Ajustes","Não",IF(OR('E5 — Validação'!M460="⚠️ Aprovado com Ajustes",'E5 — Validação'!M460="❌ Reprovado"),"Sim","")))</f>
        <v/>
      </c>
    </row>
    <row r="461" spans="2:14" x14ac:dyDescent="0.35">
      <c r="B461" s="445" t="str">
        <f>IF(Lançamentos!$B456="","",Lançamentos!$B456)</f>
        <v/>
      </c>
      <c r="C461" s="446" t="str">
        <f>IF($B461="","",IFERROR(INDEX(Lançamentos!$J$3:$J$1001,MATCH($B461,Lançamentos!$B$3:$B$1001,0)),""))</f>
        <v/>
      </c>
      <c r="D461" s="447" t="str">
        <f>IF($B461="","",IFERROR(INDEX('E2 — Triagem'!$D$8:$D$507,MATCH($B461,'E2 — Triagem'!$B$8:$B$507,0)),""))</f>
        <v/>
      </c>
      <c r="E461" s="447"/>
      <c r="F461" s="447"/>
      <c r="G461" s="447"/>
      <c r="H461" s="447"/>
      <c r="I461" s="447"/>
      <c r="J461" s="447"/>
      <c r="K461" s="194" t="str">
        <f t="shared" si="7"/>
        <v/>
      </c>
      <c r="L461" s="448"/>
      <c r="M461" s="448"/>
      <c r="N461" s="449" t="str">
        <f>IF(B461="","",IF('E5 — Validação'!M461="✅ Aprovado sem Ajustes","Não",IF(OR('E5 — Validação'!M461="⚠️ Aprovado com Ajustes",'E5 — Validação'!M461="❌ Reprovado"),"Sim","")))</f>
        <v/>
      </c>
    </row>
    <row r="462" spans="2:14" x14ac:dyDescent="0.35">
      <c r="B462" s="445" t="str">
        <f>IF(Lançamentos!$B457="","",Lançamentos!$B457)</f>
        <v/>
      </c>
      <c r="C462" s="446" t="str">
        <f>IF($B462="","",IFERROR(INDEX(Lançamentos!$J$3:$J$1001,MATCH($B462,Lançamentos!$B$3:$B$1001,0)),""))</f>
        <v/>
      </c>
      <c r="D462" s="447" t="str">
        <f>IF($B462="","",IFERROR(INDEX('E2 — Triagem'!$D$8:$D$507,MATCH($B462,'E2 — Triagem'!$B$8:$B$507,0)),""))</f>
        <v/>
      </c>
      <c r="E462" s="447"/>
      <c r="F462" s="447"/>
      <c r="G462" s="447"/>
      <c r="H462" s="447"/>
      <c r="I462" s="447"/>
      <c r="J462" s="447"/>
      <c r="K462" s="194" t="str">
        <f t="shared" si="7"/>
        <v/>
      </c>
      <c r="L462" s="448"/>
      <c r="M462" s="448"/>
      <c r="N462" s="449" t="str">
        <f>IF(B462="","",IF('E5 — Validação'!M462="✅ Aprovado sem Ajustes","Não",IF(OR('E5 — Validação'!M462="⚠️ Aprovado com Ajustes",'E5 — Validação'!M462="❌ Reprovado"),"Sim","")))</f>
        <v/>
      </c>
    </row>
    <row r="463" spans="2:14" x14ac:dyDescent="0.35">
      <c r="B463" s="445" t="str">
        <f>IF(Lançamentos!$B458="","",Lançamentos!$B458)</f>
        <v/>
      </c>
      <c r="C463" s="446" t="str">
        <f>IF($B463="","",IFERROR(INDEX(Lançamentos!$J$3:$J$1001,MATCH($B463,Lançamentos!$B$3:$B$1001,0)),""))</f>
        <v/>
      </c>
      <c r="D463" s="447" t="str">
        <f>IF($B463="","",IFERROR(INDEX('E2 — Triagem'!$D$8:$D$507,MATCH($B463,'E2 — Triagem'!$B$8:$B$507,0)),""))</f>
        <v/>
      </c>
      <c r="E463" s="447"/>
      <c r="F463" s="447"/>
      <c r="G463" s="447"/>
      <c r="H463" s="447"/>
      <c r="I463" s="447"/>
      <c r="J463" s="447"/>
      <c r="K463" s="194" t="str">
        <f t="shared" si="7"/>
        <v/>
      </c>
      <c r="L463" s="448"/>
      <c r="M463" s="448"/>
      <c r="N463" s="449" t="str">
        <f>IF(B463="","",IF('E5 — Validação'!M463="✅ Aprovado sem Ajustes","Não",IF(OR('E5 — Validação'!M463="⚠️ Aprovado com Ajustes",'E5 — Validação'!M463="❌ Reprovado"),"Sim","")))</f>
        <v/>
      </c>
    </row>
    <row r="464" spans="2:14" x14ac:dyDescent="0.35">
      <c r="B464" s="445" t="str">
        <f>IF(Lançamentos!$B459="","",Lançamentos!$B459)</f>
        <v/>
      </c>
      <c r="C464" s="446" t="str">
        <f>IF($B464="","",IFERROR(INDEX(Lançamentos!$J$3:$J$1001,MATCH($B464,Lançamentos!$B$3:$B$1001,0)),""))</f>
        <v/>
      </c>
      <c r="D464" s="447" t="str">
        <f>IF($B464="","",IFERROR(INDEX('E2 — Triagem'!$D$8:$D$507,MATCH($B464,'E2 — Triagem'!$B$8:$B$507,0)),""))</f>
        <v/>
      </c>
      <c r="E464" s="447"/>
      <c r="F464" s="447"/>
      <c r="G464" s="447"/>
      <c r="H464" s="447"/>
      <c r="I464" s="447"/>
      <c r="J464" s="447"/>
      <c r="K464" s="194" t="str">
        <f t="shared" ref="K464:K507" si="8">IF(B464="","",IF(N464="Não",0,IF(COUNTIF(E464:J464,"N/A")=6,0,COUNTIF(E464:J464,"✔ Concluído")/(6-COUNTIF(E464:J464,"N/A")))))</f>
        <v/>
      </c>
      <c r="L464" s="448"/>
      <c r="M464" s="448"/>
      <c r="N464" s="449" t="str">
        <f>IF(B464="","",IF('E5 — Validação'!M464="✅ Aprovado sem Ajustes","Não",IF(OR('E5 — Validação'!M464="⚠️ Aprovado com Ajustes",'E5 — Validação'!M464="❌ Reprovado"),"Sim","")))</f>
        <v/>
      </c>
    </row>
    <row r="465" spans="2:14" x14ac:dyDescent="0.35">
      <c r="B465" s="445" t="str">
        <f>IF(Lançamentos!$B460="","",Lançamentos!$B460)</f>
        <v/>
      </c>
      <c r="C465" s="446" t="str">
        <f>IF($B465="","",IFERROR(INDEX(Lançamentos!$J$3:$J$1001,MATCH($B465,Lançamentos!$B$3:$B$1001,0)),""))</f>
        <v/>
      </c>
      <c r="D465" s="447" t="str">
        <f>IF($B465="","",IFERROR(INDEX('E2 — Triagem'!$D$8:$D$507,MATCH($B465,'E2 — Triagem'!$B$8:$B$507,0)),""))</f>
        <v/>
      </c>
      <c r="E465" s="447"/>
      <c r="F465" s="447"/>
      <c r="G465" s="447"/>
      <c r="H465" s="447"/>
      <c r="I465" s="447"/>
      <c r="J465" s="447"/>
      <c r="K465" s="194" t="str">
        <f t="shared" si="8"/>
        <v/>
      </c>
      <c r="L465" s="448"/>
      <c r="M465" s="448"/>
      <c r="N465" s="449" t="str">
        <f>IF(B465="","",IF('E5 — Validação'!M465="✅ Aprovado sem Ajustes","Não",IF(OR('E5 — Validação'!M465="⚠️ Aprovado com Ajustes",'E5 — Validação'!M465="❌ Reprovado"),"Sim","")))</f>
        <v/>
      </c>
    </row>
    <row r="466" spans="2:14" x14ac:dyDescent="0.35">
      <c r="B466" s="445" t="str">
        <f>IF(Lançamentos!$B461="","",Lançamentos!$B461)</f>
        <v/>
      </c>
      <c r="C466" s="446" t="str">
        <f>IF($B466="","",IFERROR(INDEX(Lançamentos!$J$3:$J$1001,MATCH($B466,Lançamentos!$B$3:$B$1001,0)),""))</f>
        <v/>
      </c>
      <c r="D466" s="447" t="str">
        <f>IF($B466="","",IFERROR(INDEX('E2 — Triagem'!$D$8:$D$507,MATCH($B466,'E2 — Triagem'!$B$8:$B$507,0)),""))</f>
        <v/>
      </c>
      <c r="E466" s="447"/>
      <c r="F466" s="447"/>
      <c r="G466" s="447"/>
      <c r="H466" s="447"/>
      <c r="I466" s="447"/>
      <c r="J466" s="447"/>
      <c r="K466" s="194" t="str">
        <f t="shared" si="8"/>
        <v/>
      </c>
      <c r="L466" s="448"/>
      <c r="M466" s="448"/>
      <c r="N466" s="449" t="str">
        <f>IF(B466="","",IF('E5 — Validação'!M466="✅ Aprovado sem Ajustes","Não",IF(OR('E5 — Validação'!M466="⚠️ Aprovado com Ajustes",'E5 — Validação'!M466="❌ Reprovado"),"Sim","")))</f>
        <v/>
      </c>
    </row>
    <row r="467" spans="2:14" x14ac:dyDescent="0.35">
      <c r="B467" s="445" t="str">
        <f>IF(Lançamentos!$B462="","",Lançamentos!$B462)</f>
        <v/>
      </c>
      <c r="C467" s="446" t="str">
        <f>IF($B467="","",IFERROR(INDEX(Lançamentos!$J$3:$J$1001,MATCH($B467,Lançamentos!$B$3:$B$1001,0)),""))</f>
        <v/>
      </c>
      <c r="D467" s="447" t="str">
        <f>IF($B467="","",IFERROR(INDEX('E2 — Triagem'!$D$8:$D$507,MATCH($B467,'E2 — Triagem'!$B$8:$B$507,0)),""))</f>
        <v/>
      </c>
      <c r="E467" s="447"/>
      <c r="F467" s="447"/>
      <c r="G467" s="447"/>
      <c r="H467" s="447"/>
      <c r="I467" s="447"/>
      <c r="J467" s="447"/>
      <c r="K467" s="194" t="str">
        <f t="shared" si="8"/>
        <v/>
      </c>
      <c r="L467" s="448"/>
      <c r="M467" s="448"/>
      <c r="N467" s="449" t="str">
        <f>IF(B467="","",IF('E5 — Validação'!M467="✅ Aprovado sem Ajustes","Não",IF(OR('E5 — Validação'!M467="⚠️ Aprovado com Ajustes",'E5 — Validação'!M467="❌ Reprovado"),"Sim","")))</f>
        <v/>
      </c>
    </row>
    <row r="468" spans="2:14" x14ac:dyDescent="0.35">
      <c r="B468" s="445" t="str">
        <f>IF(Lançamentos!$B463="","",Lançamentos!$B463)</f>
        <v/>
      </c>
      <c r="C468" s="446" t="str">
        <f>IF($B468="","",IFERROR(INDEX(Lançamentos!$J$3:$J$1001,MATCH($B468,Lançamentos!$B$3:$B$1001,0)),""))</f>
        <v/>
      </c>
      <c r="D468" s="447" t="str">
        <f>IF($B468="","",IFERROR(INDEX('E2 — Triagem'!$D$8:$D$507,MATCH($B468,'E2 — Triagem'!$B$8:$B$507,0)),""))</f>
        <v/>
      </c>
      <c r="E468" s="447"/>
      <c r="F468" s="447"/>
      <c r="G468" s="447"/>
      <c r="H468" s="447"/>
      <c r="I468" s="447"/>
      <c r="J468" s="447"/>
      <c r="K468" s="194" t="str">
        <f t="shared" si="8"/>
        <v/>
      </c>
      <c r="L468" s="448"/>
      <c r="M468" s="448"/>
      <c r="N468" s="449" t="str">
        <f>IF(B468="","",IF('E5 — Validação'!M468="✅ Aprovado sem Ajustes","Não",IF(OR('E5 — Validação'!M468="⚠️ Aprovado com Ajustes",'E5 — Validação'!M468="❌ Reprovado"),"Sim","")))</f>
        <v/>
      </c>
    </row>
    <row r="469" spans="2:14" x14ac:dyDescent="0.35">
      <c r="B469" s="445" t="str">
        <f>IF(Lançamentos!$B464="","",Lançamentos!$B464)</f>
        <v/>
      </c>
      <c r="C469" s="446" t="str">
        <f>IF($B469="","",IFERROR(INDEX(Lançamentos!$J$3:$J$1001,MATCH($B469,Lançamentos!$B$3:$B$1001,0)),""))</f>
        <v/>
      </c>
      <c r="D469" s="447" t="str">
        <f>IF($B469="","",IFERROR(INDEX('E2 — Triagem'!$D$8:$D$507,MATCH($B469,'E2 — Triagem'!$B$8:$B$507,0)),""))</f>
        <v/>
      </c>
      <c r="E469" s="447"/>
      <c r="F469" s="447"/>
      <c r="G469" s="447"/>
      <c r="H469" s="447"/>
      <c r="I469" s="447"/>
      <c r="J469" s="447"/>
      <c r="K469" s="194" t="str">
        <f t="shared" si="8"/>
        <v/>
      </c>
      <c r="L469" s="448"/>
      <c r="M469" s="448"/>
      <c r="N469" s="449" t="str">
        <f>IF(B469="","",IF('E5 — Validação'!M469="✅ Aprovado sem Ajustes","Não",IF(OR('E5 — Validação'!M469="⚠️ Aprovado com Ajustes",'E5 — Validação'!M469="❌ Reprovado"),"Sim","")))</f>
        <v/>
      </c>
    </row>
    <row r="470" spans="2:14" x14ac:dyDescent="0.35">
      <c r="B470" s="445" t="str">
        <f>IF(Lançamentos!$B465="","",Lançamentos!$B465)</f>
        <v/>
      </c>
      <c r="C470" s="446" t="str">
        <f>IF($B470="","",IFERROR(INDEX(Lançamentos!$J$3:$J$1001,MATCH($B470,Lançamentos!$B$3:$B$1001,0)),""))</f>
        <v/>
      </c>
      <c r="D470" s="447" t="str">
        <f>IF($B470="","",IFERROR(INDEX('E2 — Triagem'!$D$8:$D$507,MATCH($B470,'E2 — Triagem'!$B$8:$B$507,0)),""))</f>
        <v/>
      </c>
      <c r="E470" s="447"/>
      <c r="F470" s="447"/>
      <c r="G470" s="447"/>
      <c r="H470" s="447"/>
      <c r="I470" s="447"/>
      <c r="J470" s="447"/>
      <c r="K470" s="194" t="str">
        <f t="shared" si="8"/>
        <v/>
      </c>
      <c r="L470" s="448"/>
      <c r="M470" s="448"/>
      <c r="N470" s="449" t="str">
        <f>IF(B470="","",IF('E5 — Validação'!M470="✅ Aprovado sem Ajustes","Não",IF(OR('E5 — Validação'!M470="⚠️ Aprovado com Ajustes",'E5 — Validação'!M470="❌ Reprovado"),"Sim","")))</f>
        <v/>
      </c>
    </row>
    <row r="471" spans="2:14" x14ac:dyDescent="0.35">
      <c r="B471" s="445" t="str">
        <f>IF(Lançamentos!$B466="","",Lançamentos!$B466)</f>
        <v/>
      </c>
      <c r="C471" s="446" t="str">
        <f>IF($B471="","",IFERROR(INDEX(Lançamentos!$J$3:$J$1001,MATCH($B471,Lançamentos!$B$3:$B$1001,0)),""))</f>
        <v/>
      </c>
      <c r="D471" s="447" t="str">
        <f>IF($B471="","",IFERROR(INDEX('E2 — Triagem'!$D$8:$D$507,MATCH($B471,'E2 — Triagem'!$B$8:$B$507,0)),""))</f>
        <v/>
      </c>
      <c r="E471" s="447"/>
      <c r="F471" s="447"/>
      <c r="G471" s="447"/>
      <c r="H471" s="447"/>
      <c r="I471" s="447"/>
      <c r="J471" s="447"/>
      <c r="K471" s="194" t="str">
        <f t="shared" si="8"/>
        <v/>
      </c>
      <c r="L471" s="448"/>
      <c r="M471" s="448"/>
      <c r="N471" s="449" t="str">
        <f>IF(B471="","",IF('E5 — Validação'!M471="✅ Aprovado sem Ajustes","Não",IF(OR('E5 — Validação'!M471="⚠️ Aprovado com Ajustes",'E5 — Validação'!M471="❌ Reprovado"),"Sim","")))</f>
        <v/>
      </c>
    </row>
    <row r="472" spans="2:14" x14ac:dyDescent="0.35">
      <c r="B472" s="445" t="str">
        <f>IF(Lançamentos!$B467="","",Lançamentos!$B467)</f>
        <v/>
      </c>
      <c r="C472" s="446" t="str">
        <f>IF($B472="","",IFERROR(INDEX(Lançamentos!$J$3:$J$1001,MATCH($B472,Lançamentos!$B$3:$B$1001,0)),""))</f>
        <v/>
      </c>
      <c r="D472" s="447" t="str">
        <f>IF($B472="","",IFERROR(INDEX('E2 — Triagem'!$D$8:$D$507,MATCH($B472,'E2 — Triagem'!$B$8:$B$507,0)),""))</f>
        <v/>
      </c>
      <c r="E472" s="447"/>
      <c r="F472" s="447"/>
      <c r="G472" s="447"/>
      <c r="H472" s="447"/>
      <c r="I472" s="447"/>
      <c r="J472" s="447"/>
      <c r="K472" s="194" t="str">
        <f t="shared" si="8"/>
        <v/>
      </c>
      <c r="L472" s="448"/>
      <c r="M472" s="448"/>
      <c r="N472" s="449" t="str">
        <f>IF(B472="","",IF('E5 — Validação'!M472="✅ Aprovado sem Ajustes","Não",IF(OR('E5 — Validação'!M472="⚠️ Aprovado com Ajustes",'E5 — Validação'!M472="❌ Reprovado"),"Sim","")))</f>
        <v/>
      </c>
    </row>
    <row r="473" spans="2:14" x14ac:dyDescent="0.35">
      <c r="B473" s="445" t="str">
        <f>IF(Lançamentos!$B468="","",Lançamentos!$B468)</f>
        <v/>
      </c>
      <c r="C473" s="446" t="str">
        <f>IF($B473="","",IFERROR(INDEX(Lançamentos!$J$3:$J$1001,MATCH($B473,Lançamentos!$B$3:$B$1001,0)),""))</f>
        <v/>
      </c>
      <c r="D473" s="447" t="str">
        <f>IF($B473="","",IFERROR(INDEX('E2 — Triagem'!$D$8:$D$507,MATCH($B473,'E2 — Triagem'!$B$8:$B$507,0)),""))</f>
        <v/>
      </c>
      <c r="E473" s="447"/>
      <c r="F473" s="447"/>
      <c r="G473" s="447"/>
      <c r="H473" s="447"/>
      <c r="I473" s="447"/>
      <c r="J473" s="447"/>
      <c r="K473" s="194" t="str">
        <f t="shared" si="8"/>
        <v/>
      </c>
      <c r="L473" s="448"/>
      <c r="M473" s="448"/>
      <c r="N473" s="449" t="str">
        <f>IF(B473="","",IF('E5 — Validação'!M473="✅ Aprovado sem Ajustes","Não",IF(OR('E5 — Validação'!M473="⚠️ Aprovado com Ajustes",'E5 — Validação'!M473="❌ Reprovado"),"Sim","")))</f>
        <v/>
      </c>
    </row>
    <row r="474" spans="2:14" x14ac:dyDescent="0.35">
      <c r="B474" s="445" t="str">
        <f>IF(Lançamentos!$B469="","",Lançamentos!$B469)</f>
        <v/>
      </c>
      <c r="C474" s="446" t="str">
        <f>IF($B474="","",IFERROR(INDEX(Lançamentos!$J$3:$J$1001,MATCH($B474,Lançamentos!$B$3:$B$1001,0)),""))</f>
        <v/>
      </c>
      <c r="D474" s="447" t="str">
        <f>IF($B474="","",IFERROR(INDEX('E2 — Triagem'!$D$8:$D$507,MATCH($B474,'E2 — Triagem'!$B$8:$B$507,0)),""))</f>
        <v/>
      </c>
      <c r="E474" s="447"/>
      <c r="F474" s="447"/>
      <c r="G474" s="447"/>
      <c r="H474" s="447"/>
      <c r="I474" s="447"/>
      <c r="J474" s="447"/>
      <c r="K474" s="194" t="str">
        <f t="shared" si="8"/>
        <v/>
      </c>
      <c r="L474" s="448"/>
      <c r="M474" s="448"/>
      <c r="N474" s="449" t="str">
        <f>IF(B474="","",IF('E5 — Validação'!M474="✅ Aprovado sem Ajustes","Não",IF(OR('E5 — Validação'!M474="⚠️ Aprovado com Ajustes",'E5 — Validação'!M474="❌ Reprovado"),"Sim","")))</f>
        <v/>
      </c>
    </row>
    <row r="475" spans="2:14" x14ac:dyDescent="0.35">
      <c r="B475" s="445" t="str">
        <f>IF(Lançamentos!$B470="","",Lançamentos!$B470)</f>
        <v/>
      </c>
      <c r="C475" s="446" t="str">
        <f>IF($B475="","",IFERROR(INDEX(Lançamentos!$J$3:$J$1001,MATCH($B475,Lançamentos!$B$3:$B$1001,0)),""))</f>
        <v/>
      </c>
      <c r="D475" s="447" t="str">
        <f>IF($B475="","",IFERROR(INDEX('E2 — Triagem'!$D$8:$D$507,MATCH($B475,'E2 — Triagem'!$B$8:$B$507,0)),""))</f>
        <v/>
      </c>
      <c r="E475" s="447"/>
      <c r="F475" s="447"/>
      <c r="G475" s="447"/>
      <c r="H475" s="447"/>
      <c r="I475" s="447"/>
      <c r="J475" s="447"/>
      <c r="K475" s="194" t="str">
        <f t="shared" si="8"/>
        <v/>
      </c>
      <c r="L475" s="448"/>
      <c r="M475" s="448"/>
      <c r="N475" s="449" t="str">
        <f>IF(B475="","",IF('E5 — Validação'!M475="✅ Aprovado sem Ajustes","Não",IF(OR('E5 — Validação'!M475="⚠️ Aprovado com Ajustes",'E5 — Validação'!M475="❌ Reprovado"),"Sim","")))</f>
        <v/>
      </c>
    </row>
    <row r="476" spans="2:14" x14ac:dyDescent="0.35">
      <c r="B476" s="445" t="str">
        <f>IF(Lançamentos!$B471="","",Lançamentos!$B471)</f>
        <v/>
      </c>
      <c r="C476" s="446" t="str">
        <f>IF($B476="","",IFERROR(INDEX(Lançamentos!$J$3:$J$1001,MATCH($B476,Lançamentos!$B$3:$B$1001,0)),""))</f>
        <v/>
      </c>
      <c r="D476" s="447" t="str">
        <f>IF($B476="","",IFERROR(INDEX('E2 — Triagem'!$D$8:$D$507,MATCH($B476,'E2 — Triagem'!$B$8:$B$507,0)),""))</f>
        <v/>
      </c>
      <c r="E476" s="447"/>
      <c r="F476" s="447"/>
      <c r="G476" s="447"/>
      <c r="H476" s="447"/>
      <c r="I476" s="447"/>
      <c r="J476" s="447"/>
      <c r="K476" s="194" t="str">
        <f t="shared" si="8"/>
        <v/>
      </c>
      <c r="L476" s="448"/>
      <c r="M476" s="448"/>
      <c r="N476" s="449" t="str">
        <f>IF(B476="","",IF('E5 — Validação'!M476="✅ Aprovado sem Ajustes","Não",IF(OR('E5 — Validação'!M476="⚠️ Aprovado com Ajustes",'E5 — Validação'!M476="❌ Reprovado"),"Sim","")))</f>
        <v/>
      </c>
    </row>
    <row r="477" spans="2:14" x14ac:dyDescent="0.35">
      <c r="B477" s="445" t="str">
        <f>IF(Lançamentos!$B472="","",Lançamentos!$B472)</f>
        <v/>
      </c>
      <c r="C477" s="446" t="str">
        <f>IF($B477="","",IFERROR(INDEX(Lançamentos!$J$3:$J$1001,MATCH($B477,Lançamentos!$B$3:$B$1001,0)),""))</f>
        <v/>
      </c>
      <c r="D477" s="447" t="str">
        <f>IF($B477="","",IFERROR(INDEX('E2 — Triagem'!$D$8:$D$507,MATCH($B477,'E2 — Triagem'!$B$8:$B$507,0)),""))</f>
        <v/>
      </c>
      <c r="E477" s="447"/>
      <c r="F477" s="447"/>
      <c r="G477" s="447"/>
      <c r="H477" s="447"/>
      <c r="I477" s="447"/>
      <c r="J477" s="447"/>
      <c r="K477" s="194" t="str">
        <f t="shared" si="8"/>
        <v/>
      </c>
      <c r="L477" s="448"/>
      <c r="M477" s="448"/>
      <c r="N477" s="449" t="str">
        <f>IF(B477="","",IF('E5 — Validação'!M477="✅ Aprovado sem Ajustes","Não",IF(OR('E5 — Validação'!M477="⚠️ Aprovado com Ajustes",'E5 — Validação'!M477="❌ Reprovado"),"Sim","")))</f>
        <v/>
      </c>
    </row>
    <row r="478" spans="2:14" x14ac:dyDescent="0.35">
      <c r="B478" s="445" t="str">
        <f>IF(Lançamentos!$B473="","",Lançamentos!$B473)</f>
        <v/>
      </c>
      <c r="C478" s="446" t="str">
        <f>IF($B478="","",IFERROR(INDEX(Lançamentos!$J$3:$J$1001,MATCH($B478,Lançamentos!$B$3:$B$1001,0)),""))</f>
        <v/>
      </c>
      <c r="D478" s="447" t="str">
        <f>IF($B478="","",IFERROR(INDEX('E2 — Triagem'!$D$8:$D$507,MATCH($B478,'E2 — Triagem'!$B$8:$B$507,0)),""))</f>
        <v/>
      </c>
      <c r="E478" s="447"/>
      <c r="F478" s="447"/>
      <c r="G478" s="447"/>
      <c r="H478" s="447"/>
      <c r="I478" s="447"/>
      <c r="J478" s="447"/>
      <c r="K478" s="194" t="str">
        <f t="shared" si="8"/>
        <v/>
      </c>
      <c r="L478" s="448"/>
      <c r="M478" s="448"/>
      <c r="N478" s="449" t="str">
        <f>IF(B478="","",IF('E5 — Validação'!M478="✅ Aprovado sem Ajustes","Não",IF(OR('E5 — Validação'!M478="⚠️ Aprovado com Ajustes",'E5 — Validação'!M478="❌ Reprovado"),"Sim","")))</f>
        <v/>
      </c>
    </row>
    <row r="479" spans="2:14" x14ac:dyDescent="0.35">
      <c r="B479" s="445" t="str">
        <f>IF(Lançamentos!$B474="","",Lançamentos!$B474)</f>
        <v/>
      </c>
      <c r="C479" s="446" t="str">
        <f>IF($B479="","",IFERROR(INDEX(Lançamentos!$J$3:$J$1001,MATCH($B479,Lançamentos!$B$3:$B$1001,0)),""))</f>
        <v/>
      </c>
      <c r="D479" s="447" t="str">
        <f>IF($B479="","",IFERROR(INDEX('E2 — Triagem'!$D$8:$D$507,MATCH($B479,'E2 — Triagem'!$B$8:$B$507,0)),""))</f>
        <v/>
      </c>
      <c r="E479" s="447"/>
      <c r="F479" s="447"/>
      <c r="G479" s="447"/>
      <c r="H479" s="447"/>
      <c r="I479" s="447"/>
      <c r="J479" s="447"/>
      <c r="K479" s="194" t="str">
        <f t="shared" si="8"/>
        <v/>
      </c>
      <c r="L479" s="448"/>
      <c r="M479" s="448"/>
      <c r="N479" s="449" t="str">
        <f>IF(B479="","",IF('E5 — Validação'!M479="✅ Aprovado sem Ajustes","Não",IF(OR('E5 — Validação'!M479="⚠️ Aprovado com Ajustes",'E5 — Validação'!M479="❌ Reprovado"),"Sim","")))</f>
        <v/>
      </c>
    </row>
    <row r="480" spans="2:14" x14ac:dyDescent="0.35">
      <c r="B480" s="445" t="str">
        <f>IF(Lançamentos!$B475="","",Lançamentos!$B475)</f>
        <v/>
      </c>
      <c r="C480" s="446" t="str">
        <f>IF($B480="","",IFERROR(INDEX(Lançamentos!$J$3:$J$1001,MATCH($B480,Lançamentos!$B$3:$B$1001,0)),""))</f>
        <v/>
      </c>
      <c r="D480" s="447" t="str">
        <f>IF($B480="","",IFERROR(INDEX('E2 — Triagem'!$D$8:$D$507,MATCH($B480,'E2 — Triagem'!$B$8:$B$507,0)),""))</f>
        <v/>
      </c>
      <c r="E480" s="447"/>
      <c r="F480" s="447"/>
      <c r="G480" s="447"/>
      <c r="H480" s="447"/>
      <c r="I480" s="447"/>
      <c r="J480" s="447"/>
      <c r="K480" s="194" t="str">
        <f t="shared" si="8"/>
        <v/>
      </c>
      <c r="L480" s="448"/>
      <c r="M480" s="448"/>
      <c r="N480" s="449" t="str">
        <f>IF(B480="","",IF('E5 — Validação'!M480="✅ Aprovado sem Ajustes","Não",IF(OR('E5 — Validação'!M480="⚠️ Aprovado com Ajustes",'E5 — Validação'!M480="❌ Reprovado"),"Sim","")))</f>
        <v/>
      </c>
    </row>
    <row r="481" spans="2:14" x14ac:dyDescent="0.35">
      <c r="B481" s="445" t="str">
        <f>IF(Lançamentos!$B476="","",Lançamentos!$B476)</f>
        <v/>
      </c>
      <c r="C481" s="446" t="str">
        <f>IF($B481="","",IFERROR(INDEX(Lançamentos!$J$3:$J$1001,MATCH($B481,Lançamentos!$B$3:$B$1001,0)),""))</f>
        <v/>
      </c>
      <c r="D481" s="447" t="str">
        <f>IF($B481="","",IFERROR(INDEX('E2 — Triagem'!$D$8:$D$507,MATCH($B481,'E2 — Triagem'!$B$8:$B$507,0)),""))</f>
        <v/>
      </c>
      <c r="E481" s="447"/>
      <c r="F481" s="447"/>
      <c r="G481" s="447"/>
      <c r="H481" s="447"/>
      <c r="I481" s="447"/>
      <c r="J481" s="447"/>
      <c r="K481" s="194" t="str">
        <f t="shared" si="8"/>
        <v/>
      </c>
      <c r="L481" s="448"/>
      <c r="M481" s="448"/>
      <c r="N481" s="449" t="str">
        <f>IF(B481="","",IF('E5 — Validação'!M481="✅ Aprovado sem Ajustes","Não",IF(OR('E5 — Validação'!M481="⚠️ Aprovado com Ajustes",'E5 — Validação'!M481="❌ Reprovado"),"Sim","")))</f>
        <v/>
      </c>
    </row>
    <row r="482" spans="2:14" x14ac:dyDescent="0.35">
      <c r="B482" s="445" t="str">
        <f>IF(Lançamentos!$B477="","",Lançamentos!$B477)</f>
        <v/>
      </c>
      <c r="C482" s="446" t="str">
        <f>IF($B482="","",IFERROR(INDEX(Lançamentos!$J$3:$J$1001,MATCH($B482,Lançamentos!$B$3:$B$1001,0)),""))</f>
        <v/>
      </c>
      <c r="D482" s="447" t="str">
        <f>IF($B482="","",IFERROR(INDEX('E2 — Triagem'!$D$8:$D$507,MATCH($B482,'E2 — Triagem'!$B$8:$B$507,0)),""))</f>
        <v/>
      </c>
      <c r="E482" s="447"/>
      <c r="F482" s="447"/>
      <c r="G482" s="447"/>
      <c r="H482" s="447"/>
      <c r="I482" s="447"/>
      <c r="J482" s="447"/>
      <c r="K482" s="194" t="str">
        <f t="shared" si="8"/>
        <v/>
      </c>
      <c r="L482" s="448"/>
      <c r="M482" s="448"/>
      <c r="N482" s="449" t="str">
        <f>IF(B482="","",IF('E5 — Validação'!M482="✅ Aprovado sem Ajustes","Não",IF(OR('E5 — Validação'!M482="⚠️ Aprovado com Ajustes",'E5 — Validação'!M482="❌ Reprovado"),"Sim","")))</f>
        <v/>
      </c>
    </row>
    <row r="483" spans="2:14" x14ac:dyDescent="0.35">
      <c r="B483" s="445" t="str">
        <f>IF(Lançamentos!$B478="","",Lançamentos!$B478)</f>
        <v/>
      </c>
      <c r="C483" s="446" t="str">
        <f>IF($B483="","",IFERROR(INDEX(Lançamentos!$J$3:$J$1001,MATCH($B483,Lançamentos!$B$3:$B$1001,0)),""))</f>
        <v/>
      </c>
      <c r="D483" s="447" t="str">
        <f>IF($B483="","",IFERROR(INDEX('E2 — Triagem'!$D$8:$D$507,MATCH($B483,'E2 — Triagem'!$B$8:$B$507,0)),""))</f>
        <v/>
      </c>
      <c r="E483" s="447"/>
      <c r="F483" s="447"/>
      <c r="G483" s="447"/>
      <c r="H483" s="447"/>
      <c r="I483" s="447"/>
      <c r="J483" s="447"/>
      <c r="K483" s="194" t="str">
        <f t="shared" si="8"/>
        <v/>
      </c>
      <c r="L483" s="448"/>
      <c r="M483" s="448"/>
      <c r="N483" s="449" t="str">
        <f>IF(B483="","",IF('E5 — Validação'!M483="✅ Aprovado sem Ajustes","Não",IF(OR('E5 — Validação'!M483="⚠️ Aprovado com Ajustes",'E5 — Validação'!M483="❌ Reprovado"),"Sim","")))</f>
        <v/>
      </c>
    </row>
    <row r="484" spans="2:14" x14ac:dyDescent="0.35">
      <c r="B484" s="445" t="str">
        <f>IF(Lançamentos!$B479="","",Lançamentos!$B479)</f>
        <v/>
      </c>
      <c r="C484" s="446" t="str">
        <f>IF($B484="","",IFERROR(INDEX(Lançamentos!$J$3:$J$1001,MATCH($B484,Lançamentos!$B$3:$B$1001,0)),""))</f>
        <v/>
      </c>
      <c r="D484" s="447" t="str">
        <f>IF($B484="","",IFERROR(INDEX('E2 — Triagem'!$D$8:$D$507,MATCH($B484,'E2 — Triagem'!$B$8:$B$507,0)),""))</f>
        <v/>
      </c>
      <c r="E484" s="447"/>
      <c r="F484" s="447"/>
      <c r="G484" s="447"/>
      <c r="H484" s="447"/>
      <c r="I484" s="447"/>
      <c r="J484" s="447"/>
      <c r="K484" s="194" t="str">
        <f t="shared" si="8"/>
        <v/>
      </c>
      <c r="L484" s="448"/>
      <c r="M484" s="448"/>
      <c r="N484" s="449" t="str">
        <f>IF(B484="","",IF('E5 — Validação'!M484="✅ Aprovado sem Ajustes","Não",IF(OR('E5 — Validação'!M484="⚠️ Aprovado com Ajustes",'E5 — Validação'!M484="❌ Reprovado"),"Sim","")))</f>
        <v/>
      </c>
    </row>
    <row r="485" spans="2:14" x14ac:dyDescent="0.35">
      <c r="B485" s="445" t="str">
        <f>IF(Lançamentos!$B480="","",Lançamentos!$B480)</f>
        <v/>
      </c>
      <c r="C485" s="446" t="str">
        <f>IF($B485="","",IFERROR(INDEX(Lançamentos!$J$3:$J$1001,MATCH($B485,Lançamentos!$B$3:$B$1001,0)),""))</f>
        <v/>
      </c>
      <c r="D485" s="447" t="str">
        <f>IF($B485="","",IFERROR(INDEX('E2 — Triagem'!$D$8:$D$507,MATCH($B485,'E2 — Triagem'!$B$8:$B$507,0)),""))</f>
        <v/>
      </c>
      <c r="E485" s="447"/>
      <c r="F485" s="447"/>
      <c r="G485" s="447"/>
      <c r="H485" s="447"/>
      <c r="I485" s="447"/>
      <c r="J485" s="447"/>
      <c r="K485" s="194" t="str">
        <f t="shared" si="8"/>
        <v/>
      </c>
      <c r="L485" s="448"/>
      <c r="M485" s="448"/>
      <c r="N485" s="449" t="str">
        <f>IF(B485="","",IF('E5 — Validação'!M485="✅ Aprovado sem Ajustes","Não",IF(OR('E5 — Validação'!M485="⚠️ Aprovado com Ajustes",'E5 — Validação'!M485="❌ Reprovado"),"Sim","")))</f>
        <v/>
      </c>
    </row>
    <row r="486" spans="2:14" x14ac:dyDescent="0.35">
      <c r="B486" s="445" t="str">
        <f>IF(Lançamentos!$B481="","",Lançamentos!$B481)</f>
        <v/>
      </c>
      <c r="C486" s="446" t="str">
        <f>IF($B486="","",IFERROR(INDEX(Lançamentos!$J$3:$J$1001,MATCH($B486,Lançamentos!$B$3:$B$1001,0)),""))</f>
        <v/>
      </c>
      <c r="D486" s="447" t="str">
        <f>IF($B486="","",IFERROR(INDEX('E2 — Triagem'!$D$8:$D$507,MATCH($B486,'E2 — Triagem'!$B$8:$B$507,0)),""))</f>
        <v/>
      </c>
      <c r="E486" s="447"/>
      <c r="F486" s="447"/>
      <c r="G486" s="447"/>
      <c r="H486" s="447"/>
      <c r="I486" s="447"/>
      <c r="J486" s="447"/>
      <c r="K486" s="194" t="str">
        <f t="shared" si="8"/>
        <v/>
      </c>
      <c r="L486" s="448"/>
      <c r="M486" s="448"/>
      <c r="N486" s="449" t="str">
        <f>IF(B486="","",IF('E5 — Validação'!M486="✅ Aprovado sem Ajustes","Não",IF(OR('E5 — Validação'!M486="⚠️ Aprovado com Ajustes",'E5 — Validação'!M486="❌ Reprovado"),"Sim","")))</f>
        <v/>
      </c>
    </row>
    <row r="487" spans="2:14" x14ac:dyDescent="0.35">
      <c r="B487" s="445" t="str">
        <f>IF(Lançamentos!$B482="","",Lançamentos!$B482)</f>
        <v/>
      </c>
      <c r="C487" s="446" t="str">
        <f>IF($B487="","",IFERROR(INDEX(Lançamentos!$J$3:$J$1001,MATCH($B487,Lançamentos!$B$3:$B$1001,0)),""))</f>
        <v/>
      </c>
      <c r="D487" s="447" t="str">
        <f>IF($B487="","",IFERROR(INDEX('E2 — Triagem'!$D$8:$D$507,MATCH($B487,'E2 — Triagem'!$B$8:$B$507,0)),""))</f>
        <v/>
      </c>
      <c r="E487" s="447"/>
      <c r="F487" s="447"/>
      <c r="G487" s="447"/>
      <c r="H487" s="447"/>
      <c r="I487" s="447"/>
      <c r="J487" s="447"/>
      <c r="K487" s="194" t="str">
        <f t="shared" si="8"/>
        <v/>
      </c>
      <c r="L487" s="448"/>
      <c r="M487" s="448"/>
      <c r="N487" s="449" t="str">
        <f>IF(B487="","",IF('E5 — Validação'!M487="✅ Aprovado sem Ajustes","Não",IF(OR('E5 — Validação'!M487="⚠️ Aprovado com Ajustes",'E5 — Validação'!M487="❌ Reprovado"),"Sim","")))</f>
        <v/>
      </c>
    </row>
    <row r="488" spans="2:14" x14ac:dyDescent="0.35">
      <c r="B488" s="445" t="str">
        <f>IF(Lançamentos!$B483="","",Lançamentos!$B483)</f>
        <v/>
      </c>
      <c r="C488" s="446" t="str">
        <f>IF($B488="","",IFERROR(INDEX(Lançamentos!$J$3:$J$1001,MATCH($B488,Lançamentos!$B$3:$B$1001,0)),""))</f>
        <v/>
      </c>
      <c r="D488" s="447" t="str">
        <f>IF($B488="","",IFERROR(INDEX('E2 — Triagem'!$D$8:$D$507,MATCH($B488,'E2 — Triagem'!$B$8:$B$507,0)),""))</f>
        <v/>
      </c>
      <c r="E488" s="447"/>
      <c r="F488" s="447"/>
      <c r="G488" s="447"/>
      <c r="H488" s="447"/>
      <c r="I488" s="447"/>
      <c r="J488" s="447"/>
      <c r="K488" s="194" t="str">
        <f t="shared" si="8"/>
        <v/>
      </c>
      <c r="L488" s="448"/>
      <c r="M488" s="448"/>
      <c r="N488" s="449" t="str">
        <f>IF(B488="","",IF('E5 — Validação'!M488="✅ Aprovado sem Ajustes","Não",IF(OR('E5 — Validação'!M488="⚠️ Aprovado com Ajustes",'E5 — Validação'!M488="❌ Reprovado"),"Sim","")))</f>
        <v/>
      </c>
    </row>
    <row r="489" spans="2:14" x14ac:dyDescent="0.35">
      <c r="B489" s="445" t="str">
        <f>IF(Lançamentos!$B484="","",Lançamentos!$B484)</f>
        <v/>
      </c>
      <c r="C489" s="446" t="str">
        <f>IF($B489="","",IFERROR(INDEX(Lançamentos!$J$3:$J$1001,MATCH($B489,Lançamentos!$B$3:$B$1001,0)),""))</f>
        <v/>
      </c>
      <c r="D489" s="447" t="str">
        <f>IF($B489="","",IFERROR(INDEX('E2 — Triagem'!$D$8:$D$507,MATCH($B489,'E2 — Triagem'!$B$8:$B$507,0)),""))</f>
        <v/>
      </c>
      <c r="E489" s="447"/>
      <c r="F489" s="447"/>
      <c r="G489" s="447"/>
      <c r="H489" s="447"/>
      <c r="I489" s="447"/>
      <c r="J489" s="447"/>
      <c r="K489" s="194" t="str">
        <f t="shared" si="8"/>
        <v/>
      </c>
      <c r="L489" s="448"/>
      <c r="M489" s="448"/>
      <c r="N489" s="449" t="str">
        <f>IF(B489="","",IF('E5 — Validação'!M489="✅ Aprovado sem Ajustes","Não",IF(OR('E5 — Validação'!M489="⚠️ Aprovado com Ajustes",'E5 — Validação'!M489="❌ Reprovado"),"Sim","")))</f>
        <v/>
      </c>
    </row>
    <row r="490" spans="2:14" x14ac:dyDescent="0.35">
      <c r="B490" s="445" t="str">
        <f>IF(Lançamentos!$B485="","",Lançamentos!$B485)</f>
        <v/>
      </c>
      <c r="C490" s="446" t="str">
        <f>IF($B490="","",IFERROR(INDEX(Lançamentos!$J$3:$J$1001,MATCH($B490,Lançamentos!$B$3:$B$1001,0)),""))</f>
        <v/>
      </c>
      <c r="D490" s="447" t="str">
        <f>IF($B490="","",IFERROR(INDEX('E2 — Triagem'!$D$8:$D$507,MATCH($B490,'E2 — Triagem'!$B$8:$B$507,0)),""))</f>
        <v/>
      </c>
      <c r="E490" s="447"/>
      <c r="F490" s="447"/>
      <c r="G490" s="447"/>
      <c r="H490" s="447"/>
      <c r="I490" s="447"/>
      <c r="J490" s="447"/>
      <c r="K490" s="194" t="str">
        <f t="shared" si="8"/>
        <v/>
      </c>
      <c r="L490" s="448"/>
      <c r="M490" s="448"/>
      <c r="N490" s="449" t="str">
        <f>IF(B490="","",IF('E5 — Validação'!M490="✅ Aprovado sem Ajustes","Não",IF(OR('E5 — Validação'!M490="⚠️ Aprovado com Ajustes",'E5 — Validação'!M490="❌ Reprovado"),"Sim","")))</f>
        <v/>
      </c>
    </row>
    <row r="491" spans="2:14" x14ac:dyDescent="0.35">
      <c r="B491" s="445" t="str">
        <f>IF(Lançamentos!$B486="","",Lançamentos!$B486)</f>
        <v/>
      </c>
      <c r="C491" s="446" t="str">
        <f>IF($B491="","",IFERROR(INDEX(Lançamentos!$J$3:$J$1001,MATCH($B491,Lançamentos!$B$3:$B$1001,0)),""))</f>
        <v/>
      </c>
      <c r="D491" s="447" t="str">
        <f>IF($B491="","",IFERROR(INDEX('E2 — Triagem'!$D$8:$D$507,MATCH($B491,'E2 — Triagem'!$B$8:$B$507,0)),""))</f>
        <v/>
      </c>
      <c r="E491" s="447"/>
      <c r="F491" s="447"/>
      <c r="G491" s="447"/>
      <c r="H491" s="447"/>
      <c r="I491" s="447"/>
      <c r="J491" s="447"/>
      <c r="K491" s="194" t="str">
        <f t="shared" si="8"/>
        <v/>
      </c>
      <c r="L491" s="448"/>
      <c r="M491" s="448"/>
      <c r="N491" s="449" t="str">
        <f>IF(B491="","",IF('E5 — Validação'!M491="✅ Aprovado sem Ajustes","Não",IF(OR('E5 — Validação'!M491="⚠️ Aprovado com Ajustes",'E5 — Validação'!M491="❌ Reprovado"),"Sim","")))</f>
        <v/>
      </c>
    </row>
    <row r="492" spans="2:14" x14ac:dyDescent="0.35">
      <c r="B492" s="445" t="str">
        <f>IF(Lançamentos!$B487="","",Lançamentos!$B487)</f>
        <v/>
      </c>
      <c r="C492" s="446" t="str">
        <f>IF($B492="","",IFERROR(INDEX(Lançamentos!$J$3:$J$1001,MATCH($B492,Lançamentos!$B$3:$B$1001,0)),""))</f>
        <v/>
      </c>
      <c r="D492" s="447" t="str">
        <f>IF($B492="","",IFERROR(INDEX('E2 — Triagem'!$D$8:$D$507,MATCH($B492,'E2 — Triagem'!$B$8:$B$507,0)),""))</f>
        <v/>
      </c>
      <c r="E492" s="447"/>
      <c r="F492" s="447"/>
      <c r="G492" s="447"/>
      <c r="H492" s="447"/>
      <c r="I492" s="447"/>
      <c r="J492" s="447"/>
      <c r="K492" s="194" t="str">
        <f t="shared" si="8"/>
        <v/>
      </c>
      <c r="L492" s="448"/>
      <c r="M492" s="448"/>
      <c r="N492" s="449" t="str">
        <f>IF(B492="","",IF('E5 — Validação'!M492="✅ Aprovado sem Ajustes","Não",IF(OR('E5 — Validação'!M492="⚠️ Aprovado com Ajustes",'E5 — Validação'!M492="❌ Reprovado"),"Sim","")))</f>
        <v/>
      </c>
    </row>
    <row r="493" spans="2:14" x14ac:dyDescent="0.35">
      <c r="B493" s="445" t="str">
        <f>IF(Lançamentos!$B488="","",Lançamentos!$B488)</f>
        <v/>
      </c>
      <c r="C493" s="446" t="str">
        <f>IF($B493="","",IFERROR(INDEX(Lançamentos!$J$3:$J$1001,MATCH($B493,Lançamentos!$B$3:$B$1001,0)),""))</f>
        <v/>
      </c>
      <c r="D493" s="447" t="str">
        <f>IF($B493="","",IFERROR(INDEX('E2 — Triagem'!$D$8:$D$507,MATCH($B493,'E2 — Triagem'!$B$8:$B$507,0)),""))</f>
        <v/>
      </c>
      <c r="E493" s="447"/>
      <c r="F493" s="447"/>
      <c r="G493" s="447"/>
      <c r="H493" s="447"/>
      <c r="I493" s="447"/>
      <c r="J493" s="447"/>
      <c r="K493" s="194" t="str">
        <f t="shared" si="8"/>
        <v/>
      </c>
      <c r="L493" s="448"/>
      <c r="M493" s="448"/>
      <c r="N493" s="449" t="str">
        <f>IF(B493="","",IF('E5 — Validação'!M493="✅ Aprovado sem Ajustes","Não",IF(OR('E5 — Validação'!M493="⚠️ Aprovado com Ajustes",'E5 — Validação'!M493="❌ Reprovado"),"Sim","")))</f>
        <v/>
      </c>
    </row>
    <row r="494" spans="2:14" x14ac:dyDescent="0.35">
      <c r="B494" s="445" t="str">
        <f>IF(Lançamentos!$B489="","",Lançamentos!$B489)</f>
        <v/>
      </c>
      <c r="C494" s="446" t="str">
        <f>IF($B494="","",IFERROR(INDEX(Lançamentos!$J$3:$J$1001,MATCH($B494,Lançamentos!$B$3:$B$1001,0)),""))</f>
        <v/>
      </c>
      <c r="D494" s="447" t="str">
        <f>IF($B494="","",IFERROR(INDEX('E2 — Triagem'!$D$8:$D$507,MATCH($B494,'E2 — Triagem'!$B$8:$B$507,0)),""))</f>
        <v/>
      </c>
      <c r="E494" s="447"/>
      <c r="F494" s="447"/>
      <c r="G494" s="447"/>
      <c r="H494" s="447"/>
      <c r="I494" s="447"/>
      <c r="J494" s="447"/>
      <c r="K494" s="194" t="str">
        <f t="shared" si="8"/>
        <v/>
      </c>
      <c r="L494" s="448"/>
      <c r="M494" s="448"/>
      <c r="N494" s="449" t="str">
        <f>IF(B494="","",IF('E5 — Validação'!M494="✅ Aprovado sem Ajustes","Não",IF(OR('E5 — Validação'!M494="⚠️ Aprovado com Ajustes",'E5 — Validação'!M494="❌ Reprovado"),"Sim","")))</f>
        <v/>
      </c>
    </row>
    <row r="495" spans="2:14" x14ac:dyDescent="0.35">
      <c r="B495" s="445" t="str">
        <f>IF(Lançamentos!$B490="","",Lançamentos!$B490)</f>
        <v/>
      </c>
      <c r="C495" s="446" t="str">
        <f>IF($B495="","",IFERROR(INDEX(Lançamentos!$J$3:$J$1001,MATCH($B495,Lançamentos!$B$3:$B$1001,0)),""))</f>
        <v/>
      </c>
      <c r="D495" s="447" t="str">
        <f>IF($B495="","",IFERROR(INDEX('E2 — Triagem'!$D$8:$D$507,MATCH($B495,'E2 — Triagem'!$B$8:$B$507,0)),""))</f>
        <v/>
      </c>
      <c r="E495" s="447"/>
      <c r="F495" s="447"/>
      <c r="G495" s="447"/>
      <c r="H495" s="447"/>
      <c r="I495" s="447"/>
      <c r="J495" s="447"/>
      <c r="K495" s="194" t="str">
        <f t="shared" si="8"/>
        <v/>
      </c>
      <c r="L495" s="448"/>
      <c r="M495" s="448"/>
      <c r="N495" s="449" t="str">
        <f>IF(B495="","",IF('E5 — Validação'!M495="✅ Aprovado sem Ajustes","Não",IF(OR('E5 — Validação'!M495="⚠️ Aprovado com Ajustes",'E5 — Validação'!M495="❌ Reprovado"),"Sim","")))</f>
        <v/>
      </c>
    </row>
    <row r="496" spans="2:14" x14ac:dyDescent="0.35">
      <c r="B496" s="445" t="str">
        <f>IF(Lançamentos!$B491="","",Lançamentos!$B491)</f>
        <v/>
      </c>
      <c r="C496" s="446" t="str">
        <f>IF($B496="","",IFERROR(INDEX(Lançamentos!$J$3:$J$1001,MATCH($B496,Lançamentos!$B$3:$B$1001,0)),""))</f>
        <v/>
      </c>
      <c r="D496" s="447" t="str">
        <f>IF($B496="","",IFERROR(INDEX('E2 — Triagem'!$D$8:$D$507,MATCH($B496,'E2 — Triagem'!$B$8:$B$507,0)),""))</f>
        <v/>
      </c>
      <c r="E496" s="447"/>
      <c r="F496" s="447"/>
      <c r="G496" s="447"/>
      <c r="H496" s="447"/>
      <c r="I496" s="447"/>
      <c r="J496" s="447"/>
      <c r="K496" s="194" t="str">
        <f t="shared" si="8"/>
        <v/>
      </c>
      <c r="L496" s="448"/>
      <c r="M496" s="448"/>
      <c r="N496" s="449" t="str">
        <f>IF(B496="","",IF('E5 — Validação'!M496="✅ Aprovado sem Ajustes","Não",IF(OR('E5 — Validação'!M496="⚠️ Aprovado com Ajustes",'E5 — Validação'!M496="❌ Reprovado"),"Sim","")))</f>
        <v/>
      </c>
    </row>
    <row r="497" spans="2:14" x14ac:dyDescent="0.35">
      <c r="B497" s="445" t="str">
        <f>IF(Lançamentos!$B492="","",Lançamentos!$B492)</f>
        <v/>
      </c>
      <c r="C497" s="446" t="str">
        <f>IF($B497="","",IFERROR(INDEX(Lançamentos!$J$3:$J$1001,MATCH($B497,Lançamentos!$B$3:$B$1001,0)),""))</f>
        <v/>
      </c>
      <c r="D497" s="447" t="str">
        <f>IF($B497="","",IFERROR(INDEX('E2 — Triagem'!$D$8:$D$507,MATCH($B497,'E2 — Triagem'!$B$8:$B$507,0)),""))</f>
        <v/>
      </c>
      <c r="E497" s="447"/>
      <c r="F497" s="447"/>
      <c r="G497" s="447"/>
      <c r="H497" s="447"/>
      <c r="I497" s="447"/>
      <c r="J497" s="447"/>
      <c r="K497" s="194" t="str">
        <f t="shared" si="8"/>
        <v/>
      </c>
      <c r="L497" s="448"/>
      <c r="M497" s="448"/>
      <c r="N497" s="449" t="str">
        <f>IF(B497="","",IF('E5 — Validação'!M497="✅ Aprovado sem Ajustes","Não",IF(OR('E5 — Validação'!M497="⚠️ Aprovado com Ajustes",'E5 — Validação'!M497="❌ Reprovado"),"Sim","")))</f>
        <v/>
      </c>
    </row>
    <row r="498" spans="2:14" x14ac:dyDescent="0.35">
      <c r="B498" s="445" t="str">
        <f>IF(Lançamentos!$B493="","",Lançamentos!$B493)</f>
        <v/>
      </c>
      <c r="C498" s="446" t="str">
        <f>IF($B498="","",IFERROR(INDEX(Lançamentos!$J$3:$J$1001,MATCH($B498,Lançamentos!$B$3:$B$1001,0)),""))</f>
        <v/>
      </c>
      <c r="D498" s="447" t="str">
        <f>IF($B498="","",IFERROR(INDEX('E2 — Triagem'!$D$8:$D$507,MATCH($B498,'E2 — Triagem'!$B$8:$B$507,0)),""))</f>
        <v/>
      </c>
      <c r="E498" s="447"/>
      <c r="F498" s="447"/>
      <c r="G498" s="447"/>
      <c r="H498" s="447"/>
      <c r="I498" s="447"/>
      <c r="J498" s="447"/>
      <c r="K498" s="194" t="str">
        <f t="shared" si="8"/>
        <v/>
      </c>
      <c r="L498" s="448"/>
      <c r="M498" s="448"/>
      <c r="N498" s="449" t="str">
        <f>IF(B498="","",IF('E5 — Validação'!M498="✅ Aprovado sem Ajustes","Não",IF(OR('E5 — Validação'!M498="⚠️ Aprovado com Ajustes",'E5 — Validação'!M498="❌ Reprovado"),"Sim","")))</f>
        <v/>
      </c>
    </row>
    <row r="499" spans="2:14" x14ac:dyDescent="0.35">
      <c r="B499" s="445" t="str">
        <f>IF(Lançamentos!$B494="","",Lançamentos!$B494)</f>
        <v/>
      </c>
      <c r="C499" s="446" t="str">
        <f>IF($B499="","",IFERROR(INDEX(Lançamentos!$J$3:$J$1001,MATCH($B499,Lançamentos!$B$3:$B$1001,0)),""))</f>
        <v/>
      </c>
      <c r="D499" s="447" t="str">
        <f>IF($B499="","",IFERROR(INDEX('E2 — Triagem'!$D$8:$D$507,MATCH($B499,'E2 — Triagem'!$B$8:$B$507,0)),""))</f>
        <v/>
      </c>
      <c r="E499" s="447"/>
      <c r="F499" s="447"/>
      <c r="G499" s="447"/>
      <c r="H499" s="447"/>
      <c r="I499" s="447"/>
      <c r="J499" s="447"/>
      <c r="K499" s="194" t="str">
        <f t="shared" si="8"/>
        <v/>
      </c>
      <c r="L499" s="448"/>
      <c r="M499" s="448"/>
      <c r="N499" s="449" t="str">
        <f>IF(B499="","",IF('E5 — Validação'!M499="✅ Aprovado sem Ajustes","Não",IF(OR('E5 — Validação'!M499="⚠️ Aprovado com Ajustes",'E5 — Validação'!M499="❌ Reprovado"),"Sim","")))</f>
        <v/>
      </c>
    </row>
    <row r="500" spans="2:14" x14ac:dyDescent="0.35">
      <c r="B500" s="445" t="str">
        <f>IF(Lançamentos!$B495="","",Lançamentos!$B495)</f>
        <v/>
      </c>
      <c r="C500" s="446" t="str">
        <f>IF($B500="","",IFERROR(INDEX(Lançamentos!$J$3:$J$1001,MATCH($B500,Lançamentos!$B$3:$B$1001,0)),""))</f>
        <v/>
      </c>
      <c r="D500" s="447" t="str">
        <f>IF($B500="","",IFERROR(INDEX('E2 — Triagem'!$D$8:$D$507,MATCH($B500,'E2 — Triagem'!$B$8:$B$507,0)),""))</f>
        <v/>
      </c>
      <c r="E500" s="447"/>
      <c r="F500" s="447"/>
      <c r="G500" s="447"/>
      <c r="H500" s="447"/>
      <c r="I500" s="447"/>
      <c r="J500" s="447"/>
      <c r="K500" s="194" t="str">
        <f t="shared" si="8"/>
        <v/>
      </c>
      <c r="L500" s="448"/>
      <c r="M500" s="448"/>
      <c r="N500" s="449" t="str">
        <f>IF(B500="","",IF('E5 — Validação'!M500="✅ Aprovado sem Ajustes","Não",IF(OR('E5 — Validação'!M500="⚠️ Aprovado com Ajustes",'E5 — Validação'!M500="❌ Reprovado"),"Sim","")))</f>
        <v/>
      </c>
    </row>
    <row r="501" spans="2:14" x14ac:dyDescent="0.35">
      <c r="B501" s="445" t="str">
        <f>IF(Lançamentos!$B496="","",Lançamentos!$B496)</f>
        <v/>
      </c>
      <c r="C501" s="446" t="str">
        <f>IF($B501="","",IFERROR(INDEX(Lançamentos!$J$3:$J$1001,MATCH($B501,Lançamentos!$B$3:$B$1001,0)),""))</f>
        <v/>
      </c>
      <c r="D501" s="447" t="str">
        <f>IF($B501="","",IFERROR(INDEX('E2 — Triagem'!$D$8:$D$507,MATCH($B501,'E2 — Triagem'!$B$8:$B$507,0)),""))</f>
        <v/>
      </c>
      <c r="E501" s="447"/>
      <c r="F501" s="447"/>
      <c r="G501" s="447"/>
      <c r="H501" s="447"/>
      <c r="I501" s="447"/>
      <c r="J501" s="447"/>
      <c r="K501" s="194" t="str">
        <f t="shared" si="8"/>
        <v/>
      </c>
      <c r="L501" s="448"/>
      <c r="M501" s="448"/>
      <c r="N501" s="449" t="str">
        <f>IF(B501="","",IF('E5 — Validação'!M501="✅ Aprovado sem Ajustes","Não",IF(OR('E5 — Validação'!M501="⚠️ Aprovado com Ajustes",'E5 — Validação'!M501="❌ Reprovado"),"Sim","")))</f>
        <v/>
      </c>
    </row>
    <row r="502" spans="2:14" x14ac:dyDescent="0.35">
      <c r="B502" s="445" t="str">
        <f>IF(Lançamentos!$B497="","",Lançamentos!$B497)</f>
        <v/>
      </c>
      <c r="C502" s="446" t="str">
        <f>IF($B502="","",IFERROR(INDEX(Lançamentos!$J$3:$J$1001,MATCH($B502,Lançamentos!$B$3:$B$1001,0)),""))</f>
        <v/>
      </c>
      <c r="D502" s="447" t="str">
        <f>IF($B502="","",IFERROR(INDEX('E2 — Triagem'!$D$8:$D$507,MATCH($B502,'E2 — Triagem'!$B$8:$B$507,0)),""))</f>
        <v/>
      </c>
      <c r="E502" s="447"/>
      <c r="F502" s="447"/>
      <c r="G502" s="447"/>
      <c r="H502" s="447"/>
      <c r="I502" s="447"/>
      <c r="J502" s="447"/>
      <c r="K502" s="194" t="str">
        <f t="shared" si="8"/>
        <v/>
      </c>
      <c r="L502" s="448"/>
      <c r="M502" s="448"/>
      <c r="N502" s="449" t="str">
        <f>IF(B502="","",IF('E5 — Validação'!M502="✅ Aprovado sem Ajustes","Não",IF(OR('E5 — Validação'!M502="⚠️ Aprovado com Ajustes",'E5 — Validação'!M502="❌ Reprovado"),"Sim","")))</f>
        <v/>
      </c>
    </row>
    <row r="503" spans="2:14" x14ac:dyDescent="0.35">
      <c r="B503" s="445" t="str">
        <f>IF(Lançamentos!$B498="","",Lançamentos!$B498)</f>
        <v/>
      </c>
      <c r="C503" s="446" t="str">
        <f>IF($B503="","",IFERROR(INDEX(Lançamentos!$J$3:$J$1001,MATCH($B503,Lançamentos!$B$3:$B$1001,0)),""))</f>
        <v/>
      </c>
      <c r="D503" s="447" t="str">
        <f>IF($B503="","",IFERROR(INDEX('E2 — Triagem'!$D$8:$D$507,MATCH($B503,'E2 — Triagem'!$B$8:$B$507,0)),""))</f>
        <v/>
      </c>
      <c r="E503" s="447"/>
      <c r="F503" s="447"/>
      <c r="G503" s="447"/>
      <c r="H503" s="447"/>
      <c r="I503" s="447"/>
      <c r="J503" s="447"/>
      <c r="K503" s="194" t="str">
        <f t="shared" si="8"/>
        <v/>
      </c>
      <c r="L503" s="448"/>
      <c r="M503" s="448"/>
      <c r="N503" s="449" t="str">
        <f>IF(B503="","",IF('E5 — Validação'!M503="✅ Aprovado sem Ajustes","Não",IF(OR('E5 — Validação'!M503="⚠️ Aprovado com Ajustes",'E5 — Validação'!M503="❌ Reprovado"),"Sim","")))</f>
        <v/>
      </c>
    </row>
    <row r="504" spans="2:14" x14ac:dyDescent="0.35">
      <c r="B504" s="445" t="str">
        <f>IF(Lançamentos!$B499="","",Lançamentos!$B499)</f>
        <v/>
      </c>
      <c r="C504" s="446" t="str">
        <f>IF($B504="","",IFERROR(INDEX(Lançamentos!$J$3:$J$1001,MATCH($B504,Lançamentos!$B$3:$B$1001,0)),""))</f>
        <v/>
      </c>
      <c r="D504" s="447" t="str">
        <f>IF($B504="","",IFERROR(INDEX('E2 — Triagem'!$D$8:$D$507,MATCH($B504,'E2 — Triagem'!$B$8:$B$507,0)),""))</f>
        <v/>
      </c>
      <c r="E504" s="447"/>
      <c r="F504" s="447"/>
      <c r="G504" s="447"/>
      <c r="H504" s="447"/>
      <c r="I504" s="447"/>
      <c r="J504" s="447"/>
      <c r="K504" s="194" t="str">
        <f t="shared" si="8"/>
        <v/>
      </c>
      <c r="L504" s="448"/>
      <c r="M504" s="448"/>
      <c r="N504" s="449" t="str">
        <f>IF(B504="","",IF('E5 — Validação'!M504="✅ Aprovado sem Ajustes","Não",IF(OR('E5 — Validação'!M504="⚠️ Aprovado com Ajustes",'E5 — Validação'!M504="❌ Reprovado"),"Sim","")))</f>
        <v/>
      </c>
    </row>
    <row r="505" spans="2:14" x14ac:dyDescent="0.35">
      <c r="B505" s="445" t="str">
        <f>IF(Lançamentos!$B500="","",Lançamentos!$B500)</f>
        <v/>
      </c>
      <c r="C505" s="446" t="str">
        <f>IF($B505="","",IFERROR(INDEX(Lançamentos!$J$3:$J$1001,MATCH($B505,Lançamentos!$B$3:$B$1001,0)),""))</f>
        <v/>
      </c>
      <c r="D505" s="447" t="str">
        <f>IF($B505="","",IFERROR(INDEX('E2 — Triagem'!$D$8:$D$507,MATCH($B505,'E2 — Triagem'!$B$8:$B$507,0)),""))</f>
        <v/>
      </c>
      <c r="E505" s="447"/>
      <c r="F505" s="447"/>
      <c r="G505" s="447"/>
      <c r="H505" s="447"/>
      <c r="I505" s="447"/>
      <c r="J505" s="447"/>
      <c r="K505" s="194" t="str">
        <f t="shared" si="8"/>
        <v/>
      </c>
      <c r="L505" s="448"/>
      <c r="M505" s="448"/>
      <c r="N505" s="449" t="str">
        <f>IF(B505="","",IF('E5 — Validação'!M505="✅ Aprovado sem Ajustes","Não",IF(OR('E5 — Validação'!M505="⚠️ Aprovado com Ajustes",'E5 — Validação'!M505="❌ Reprovado"),"Sim","")))</f>
        <v/>
      </c>
    </row>
    <row r="506" spans="2:14" x14ac:dyDescent="0.35">
      <c r="B506" s="445" t="str">
        <f>IF(Lançamentos!$B501="","",Lançamentos!$B501)</f>
        <v/>
      </c>
      <c r="C506" s="446" t="str">
        <f>IF($B506="","",IFERROR(INDEX(Lançamentos!$J$3:$J$1001,MATCH($B506,Lançamentos!$B$3:$B$1001,0)),""))</f>
        <v/>
      </c>
      <c r="D506" s="447" t="str">
        <f>IF($B506="","",IFERROR(INDEX('E2 — Triagem'!$D$8:$D$507,MATCH($B506,'E2 — Triagem'!$B$8:$B$507,0)),""))</f>
        <v/>
      </c>
      <c r="E506" s="447"/>
      <c r="F506" s="447"/>
      <c r="G506" s="447"/>
      <c r="H506" s="447"/>
      <c r="I506" s="447"/>
      <c r="J506" s="447"/>
      <c r="K506" s="194" t="str">
        <f t="shared" si="8"/>
        <v/>
      </c>
      <c r="L506" s="448"/>
      <c r="M506" s="448"/>
      <c r="N506" s="449" t="str">
        <f>IF(B506="","",IF('E5 — Validação'!M506="✅ Aprovado sem Ajustes","Não",IF(OR('E5 — Validação'!M506="⚠️ Aprovado com Ajustes",'E5 — Validação'!M506="❌ Reprovado"),"Sim","")))</f>
        <v/>
      </c>
    </row>
    <row r="507" spans="2:14" x14ac:dyDescent="0.35">
      <c r="B507" s="450" t="str">
        <f>IF(Lançamentos!$B502="","",Lançamentos!$B502)</f>
        <v/>
      </c>
      <c r="C507" s="451" t="str">
        <f>IF($B507="","",IFERROR(INDEX(Lançamentos!$J$3:$J$1001,MATCH($B507,Lançamentos!$B$3:$B$1001,0)),""))</f>
        <v/>
      </c>
      <c r="D507" s="452" t="str">
        <f>IF($B507="","",IFERROR(INDEX('E2 — Triagem'!$D$8:$D$507,MATCH($B507,'E2 — Triagem'!$B$8:$B$507,0)),""))</f>
        <v/>
      </c>
      <c r="E507" s="452"/>
      <c r="F507" s="452"/>
      <c r="G507" s="452"/>
      <c r="H507" s="452"/>
      <c r="I507" s="452"/>
      <c r="J507" s="452"/>
      <c r="K507" s="199" t="str">
        <f t="shared" si="8"/>
        <v/>
      </c>
      <c r="L507" s="453"/>
      <c r="M507" s="453"/>
      <c r="N507" s="454" t="str">
        <f>IF(B507="","",IF('E5 — Validação'!M507="✅ Aprovado sem Ajustes","Não",IF(OR('E5 — Validação'!M507="⚠️ Aprovado com Ajustes",'E5 — Validação'!M507="❌ Reprovado"),"Sim","")))</f>
        <v/>
      </c>
    </row>
  </sheetData>
  <conditionalFormatting sqref="B8:N507">
    <cfRule type="expression" dxfId="110" priority="12">
      <formula>AND($B8&lt;&gt;"",$N8&lt;&gt;"Não",$K8=1,COUNTIF($E8:$J8,"⛔ Bloqueado")=0)</formula>
    </cfRule>
    <cfRule type="expression" dxfId="109" priority="13">
      <formula>AND($B8&lt;&gt;"",$N8&lt;&gt;"Não",COUNTIF($E8:$J8,"⛔ Bloqueado")&gt;0)</formula>
    </cfRule>
    <cfRule type="expression" dxfId="108" priority="14">
      <formula>AND($B8&lt;&gt;"",$N8&lt;&gt;"Não",COUNTIF($E8:$J8,"🔄 Em andamento")&gt;0,COUNTIF($E8:$J8,"⛔ Bloqueado")=0)</formula>
    </cfRule>
    <cfRule type="expression" dxfId="107" priority="15">
      <formula>AND($B8&lt;&gt;"",$N8&lt;&gt;"Não",COUNTIF($E8:$J8,"⏳ Pendente")&gt;0,COUNTIF($E8:$J8,"🔄 Em andamento")=0,COUNTIF($E8:$J8,"⛔ Bloqueado")=0)</formula>
    </cfRule>
    <cfRule type="expression" dxfId="106" priority="16">
      <formula>AND($B8&lt;&gt;"",$N8="Não")</formula>
    </cfRule>
    <cfRule type="expression" dxfId="105" priority="17">
      <formula>E8="⛔ Bloqueado"</formula>
    </cfRule>
    <cfRule type="expression" dxfId="104" priority="18">
      <formula>E8="✔ Concluído"</formula>
    </cfRule>
    <cfRule type="expression" dxfId="103" priority="19">
      <formula>E8="⏳ Pendente"</formula>
    </cfRule>
    <cfRule type="expression" dxfId="102" priority="20">
      <formula>E8="🔄 Em andamento"</formula>
    </cfRule>
    <cfRule type="expression" dxfId="101" priority="21">
      <formula>E8="N/A"</formula>
    </cfRule>
    <cfRule type="expression" dxfId="100" priority="22">
      <formula>AND(E8="N/A",$L8="",$M8="")</formula>
    </cfRule>
  </conditionalFormatting>
  <conditionalFormatting sqref="B208:N507">
    <cfRule type="expression" dxfId="99" priority="1">
      <formula>AND($B208&lt;&gt;"",$N208&lt;&gt;"Não",$K208=1,COUNTIF($E208:$J208,"⛔ Bloqueado")=0)</formula>
    </cfRule>
    <cfRule type="expression" dxfId="98" priority="2">
      <formula>AND($B208&lt;&gt;"",$N208&lt;&gt;"Não",COUNTIF($E208:$J208,"⛔ Bloqueado")&gt;0)</formula>
    </cfRule>
    <cfRule type="expression" dxfId="97" priority="3">
      <formula>AND($B208&lt;&gt;"",$N208&lt;&gt;"Não",COUNTIF($E208:$J208,"🔄 Em andamento")&gt;0,COUNTIF($E208:$J208,"⛔ Bloqueado")=0)</formula>
    </cfRule>
    <cfRule type="expression" dxfId="96" priority="4">
      <formula>AND($B208&lt;&gt;"",$N208&lt;&gt;"Não",COUNTIF($E208:$J208,"⏳ Pendente")&gt;0,COUNTIF($E208:$J208,"🔄 Em andamento")=0,COUNTIF($E208:$J208,"⛔ Bloqueado")=0)</formula>
    </cfRule>
    <cfRule type="expression" dxfId="95" priority="5">
      <formula>AND($B208&lt;&gt;"",$N208="Não")</formula>
    </cfRule>
    <cfRule type="expression" dxfId="94" priority="6">
      <formula>E208="⛔ Bloqueado"</formula>
    </cfRule>
    <cfRule type="expression" dxfId="93" priority="7">
      <formula>E208="✔ Concluído"</formula>
    </cfRule>
    <cfRule type="expression" dxfId="92" priority="8">
      <formula>E208="⏳ Pendente"</formula>
    </cfRule>
    <cfRule type="expression" dxfId="91" priority="9">
      <formula>E208="🔄 Em andamento"</formula>
    </cfRule>
    <cfRule type="expression" dxfId="90" priority="10">
      <formula>E208="N/A"</formula>
    </cfRule>
    <cfRule type="expression" dxfId="89" priority="11">
      <formula>AND(E208="N/A",$L208="",$M208="")</formula>
    </cfRule>
  </conditionalFormatting>
  <dataValidations count="3">
    <dataValidation type="list" allowBlank="1" showErrorMessage="1" errorTitle="Status inválido" error="Este critério não aceita N/A quando a E06 é aplicável." sqref="E8:H16 E18:H507 E17:J17" xr:uid="{9F725064-3BBB-4DE1-BF5B-39C7FC7101F5}">
      <formula1>"⏳ Pendente,🔄 Em andamento,✔ Concluído,⛔ Bloqueado"</formula1>
    </dataValidation>
    <dataValidation type="list" allowBlank="1" showErrorMessage="1" errorTitle="Status inválido" error="Use N/A somente com justificativa registrada." sqref="I8:I16 I18:I507" xr:uid="{06BA3B80-9368-47CD-9B92-C43872D17154}">
      <formula1>"⏳ Pendente,🔄 Em andamento,✔ Concluído,⛔ Bloqueado,N/A"</formula1>
    </dataValidation>
    <dataValidation type="list" allowBlank="1" showErrorMessage="1" errorTitle="Aceite obrigatório" error="Ajustes Aprovados não aceita N/A." sqref="J8:J16 J18:J507" xr:uid="{7D098F76-95AC-44D7-8052-E60D5881D8AF}">
      <formula1>"⏳ Pendente,🔄 Em andamento,✔ Concluído,⛔ Bloqueado"</formula1>
    </dataValidation>
  </dataValidations>
  <pageMargins left="0.75" right="0.75" top="1" bottom="1" header="0.511811023622047" footer="0.511811023622047"/>
  <pageSetup paperSize="9" orientation="portrait" horizontalDpi="300" verticalDpi="300"/>
  <legacyDrawing r:id="rId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N507"/>
  <sheetViews>
    <sheetView showGridLines="0" topLeftCell="B1" zoomScale="80" zoomScaleNormal="80" workbookViewId="0">
      <pane ySplit="7" topLeftCell="A8" activePane="bottomLeft" state="frozen"/>
      <selection sqref="A1:XFD1048576"/>
      <selection pane="bottomLeft" activeCell="B11" sqref="B11"/>
    </sheetView>
  </sheetViews>
  <sheetFormatPr defaultColWidth="0" defaultRowHeight="14.5" x14ac:dyDescent="0.35"/>
  <cols>
    <col min="1" max="1" width="1.54296875" bestFit="1" customWidth="1"/>
    <col min="2" max="2" width="15.453125" customWidth="1"/>
    <col min="3" max="3" width="41.81640625" customWidth="1"/>
    <col min="4" max="4" width="27.26953125" customWidth="1"/>
    <col min="5" max="5" width="32.7265625" customWidth="1"/>
    <col min="6" max="6" width="30.81640625" customWidth="1"/>
    <col min="7" max="7" width="35.453125" customWidth="1"/>
    <col min="8" max="8" width="31.81640625" customWidth="1"/>
    <col min="9" max="9" width="14.54296875" customWidth="1"/>
    <col min="10" max="10" width="36.453125" customWidth="1"/>
    <col min="11" max="11" width="41.81640625" customWidth="1"/>
    <col min="12" max="12" width="1.54296875" bestFit="1" customWidth="1"/>
    <col min="13" max="16384" width="8.54296875" hidden="1"/>
  </cols>
  <sheetData>
    <row r="2" spans="2:14" s="49" customFormat="1" ht="19" customHeight="1" x14ac:dyDescent="0.5">
      <c r="B2" s="311" t="s">
        <v>532</v>
      </c>
      <c r="C2" s="126"/>
      <c r="D2" s="126"/>
      <c r="E2" s="126"/>
      <c r="F2" s="126"/>
      <c r="G2" s="126"/>
      <c r="H2" s="126"/>
      <c r="I2" s="126"/>
      <c r="J2" s="126"/>
      <c r="K2" s="126"/>
    </row>
    <row r="3" spans="2:14" ht="22" customHeight="1" x14ac:dyDescent="0.35">
      <c r="B3" s="130" t="s">
        <v>533</v>
      </c>
      <c r="C3" s="130"/>
      <c r="D3" s="130"/>
      <c r="E3" s="130"/>
      <c r="F3" s="130"/>
      <c r="G3" s="130"/>
      <c r="H3" s="130"/>
      <c r="I3" s="130"/>
      <c r="J3" s="130"/>
      <c r="K3" s="130"/>
      <c r="L3" s="50"/>
      <c r="M3" s="50"/>
      <c r="N3" s="50"/>
    </row>
    <row r="4" spans="2:14" ht="29.15" customHeight="1" x14ac:dyDescent="0.35">
      <c r="B4" s="10" t="s">
        <v>556</v>
      </c>
      <c r="C4" s="10"/>
      <c r="D4" s="10"/>
      <c r="E4" s="10"/>
      <c r="F4" s="10"/>
      <c r="G4" s="10"/>
      <c r="H4" s="10"/>
      <c r="I4" s="10"/>
      <c r="J4" s="10"/>
      <c r="K4" s="10"/>
    </row>
    <row r="5" spans="2:14" ht="29.15" customHeight="1" x14ac:dyDescent="0.35">
      <c r="B5" s="12" t="s">
        <v>534</v>
      </c>
      <c r="C5" s="12"/>
      <c r="D5" s="12"/>
      <c r="E5" s="12"/>
      <c r="F5" s="12"/>
      <c r="G5" s="12"/>
      <c r="H5" s="12"/>
      <c r="I5" s="12"/>
      <c r="J5" s="12"/>
      <c r="K5" s="12"/>
    </row>
    <row r="6" spans="2:14" ht="14.5" customHeight="1" x14ac:dyDescent="0.35">
      <c r="B6" s="14"/>
      <c r="C6" s="14"/>
      <c r="D6" s="14"/>
      <c r="E6" s="14"/>
      <c r="F6" s="14"/>
      <c r="G6" s="14"/>
      <c r="H6" s="14"/>
      <c r="I6" s="14"/>
      <c r="J6" s="14"/>
      <c r="K6" s="14"/>
    </row>
    <row r="7" spans="2:14" ht="37" customHeight="1" x14ac:dyDescent="0.35">
      <c r="B7" s="301" t="s">
        <v>8</v>
      </c>
      <c r="C7" s="302" t="s">
        <v>127</v>
      </c>
      <c r="D7" s="302" t="s">
        <v>14</v>
      </c>
      <c r="E7" s="302" t="s">
        <v>535</v>
      </c>
      <c r="F7" s="302" t="s">
        <v>536</v>
      </c>
      <c r="G7" s="302" t="s">
        <v>537</v>
      </c>
      <c r="H7" s="302" t="s">
        <v>538</v>
      </c>
      <c r="I7" s="302" t="s">
        <v>479</v>
      </c>
      <c r="J7" s="302" t="s">
        <v>109</v>
      </c>
      <c r="K7" s="303" t="s">
        <v>33</v>
      </c>
    </row>
    <row r="8" spans="2:14" ht="14.5" customHeight="1" x14ac:dyDescent="0.35">
      <c r="B8" s="191" t="str">
        <f>IF(Lançamentos!$B3="","",Lançamentos!$B3)</f>
        <v/>
      </c>
      <c r="C8" s="192" t="str">
        <f>IF($B8="","",IFERROR(INDEX(Lançamentos!$J$3:$J$1001,MATCH($B8,Lançamentos!$B$3:$B$1001,0)),""))</f>
        <v/>
      </c>
      <c r="D8" s="413" t="str">
        <f>IF($B8="","",IFERROR(INDEX('E2 — Triagem'!$D$8:$D$507,MATCH($B8,'E2 — Triagem'!$B$8:$B$507,0)),""))</f>
        <v/>
      </c>
      <c r="E8" s="193"/>
      <c r="F8" s="193"/>
      <c r="G8" s="193"/>
      <c r="H8" s="193"/>
      <c r="I8" s="194" t="str">
        <f>IF(B8="","",IF(COUNTIF(E8:H8,"N/A")=4,0,COUNTIF(E8:H8,"✔ Concluído")/(4-COUNTIF(E8:H8,"N/A"))))</f>
        <v/>
      </c>
      <c r="J8" s="181"/>
      <c r="K8" s="202"/>
    </row>
    <row r="9" spans="2:14" ht="14.5" customHeight="1" x14ac:dyDescent="0.35">
      <c r="B9" s="191" t="str">
        <f>IF(Lançamentos!$B4="","",Lançamentos!$B4)</f>
        <v/>
      </c>
      <c r="C9" s="192" t="str">
        <f>IF($B9="","",IFERROR(INDEX(Lançamentos!$J$3:$J$1001,MATCH($B9,Lançamentos!$B$3:$B$1001,0)),""))</f>
        <v/>
      </c>
      <c r="D9" s="413" t="str">
        <f>IF($B9="","",IFERROR(INDEX('E2 — Triagem'!$D$8:$D$507,MATCH($B9,'E2 — Triagem'!$B$8:$B$507,0)),""))</f>
        <v/>
      </c>
      <c r="E9" s="193"/>
      <c r="F9" s="193"/>
      <c r="G9" s="193"/>
      <c r="H9" s="193"/>
      <c r="I9" s="194" t="str">
        <f t="shared" ref="I9:I72" si="0">IF(B9="","",IF(COUNTIF(E9:H9,"N/A")=4,0,COUNTIF(E9:H9,"✔ Concluído")/(4-COUNTIF(E9:H9,"N/A"))))</f>
        <v/>
      </c>
      <c r="J9" s="181"/>
      <c r="K9" s="202"/>
    </row>
    <row r="10" spans="2:14" ht="14.5" customHeight="1" x14ac:dyDescent="0.35">
      <c r="B10" s="191" t="str">
        <f>IF(Lançamentos!$B5="","",Lançamentos!$B5)</f>
        <v/>
      </c>
      <c r="C10" s="192" t="str">
        <f>IF($B10="","",IFERROR(INDEX(Lançamentos!$J$3:$J$1001,MATCH($B10,Lançamentos!$B$3:$B$1001,0)),""))</f>
        <v/>
      </c>
      <c r="D10" s="413" t="str">
        <f>IF($B10="","",IFERROR(INDEX('E2 — Triagem'!$D$8:$D$507,MATCH($B10,'E2 — Triagem'!$B$8:$B$507,0)),""))</f>
        <v/>
      </c>
      <c r="E10" s="193"/>
      <c r="F10" s="193"/>
      <c r="G10" s="193"/>
      <c r="H10" s="193"/>
      <c r="I10" s="194" t="str">
        <f t="shared" si="0"/>
        <v/>
      </c>
      <c r="J10" s="181"/>
      <c r="K10" s="202"/>
    </row>
    <row r="11" spans="2:14" ht="14.5" customHeight="1" x14ac:dyDescent="0.35">
      <c r="B11" s="191" t="str">
        <f>IF(Lançamentos!$B6="","",Lançamentos!$B6)</f>
        <v/>
      </c>
      <c r="C11" s="192" t="str">
        <f>IF($B11="","",IFERROR(INDEX(Lançamentos!$J$3:$J$1001,MATCH($B11,Lançamentos!$B$3:$B$1001,0)),""))</f>
        <v/>
      </c>
      <c r="D11" s="413" t="str">
        <f>IF($B11="","",IFERROR(INDEX('E2 — Triagem'!$D$8:$D$507,MATCH($B11,'E2 — Triagem'!$B$8:$B$507,0)),""))</f>
        <v/>
      </c>
      <c r="E11" s="193"/>
      <c r="F11" s="193"/>
      <c r="G11" s="193"/>
      <c r="H11" s="193"/>
      <c r="I11" s="194" t="str">
        <f t="shared" si="0"/>
        <v/>
      </c>
      <c r="J11" s="181"/>
      <c r="K11" s="202"/>
    </row>
    <row r="12" spans="2:14" ht="14.5" customHeight="1" x14ac:dyDescent="0.35">
      <c r="B12" s="191" t="str">
        <f>IF(Lançamentos!$B7="","",Lançamentos!$B7)</f>
        <v/>
      </c>
      <c r="C12" s="192" t="str">
        <f>IF($B12="","",IFERROR(INDEX(Lançamentos!$J$3:$J$1001,MATCH($B12,Lançamentos!$B$3:$B$1001,0)),""))</f>
        <v/>
      </c>
      <c r="D12" s="413" t="str">
        <f>IF($B12="","",IFERROR(INDEX('E2 — Triagem'!$D$8:$D$507,MATCH($B12,'E2 — Triagem'!$B$8:$B$507,0)),""))</f>
        <v/>
      </c>
      <c r="E12" s="193"/>
      <c r="F12" s="193"/>
      <c r="G12" s="193"/>
      <c r="H12" s="193"/>
      <c r="I12" s="194" t="str">
        <f t="shared" si="0"/>
        <v/>
      </c>
      <c r="J12" s="181"/>
      <c r="K12" s="202"/>
    </row>
    <row r="13" spans="2:14" ht="14.5" customHeight="1" x14ac:dyDescent="0.35">
      <c r="B13" s="191" t="str">
        <f>IF(Lançamentos!$B8="","",Lançamentos!$B8)</f>
        <v/>
      </c>
      <c r="C13" s="192" t="str">
        <f>IF($B13="","",IFERROR(INDEX(Lançamentos!$J$3:$J$1001,MATCH($B13,Lançamentos!$B$3:$B$1001,0)),""))</f>
        <v/>
      </c>
      <c r="D13" s="413" t="str">
        <f>IF($B13="","",IFERROR(INDEX('E2 — Triagem'!$D$8:$D$507,MATCH($B13,'E2 — Triagem'!$B$8:$B$507,0)),""))</f>
        <v/>
      </c>
      <c r="E13" s="193"/>
      <c r="F13" s="193"/>
      <c r="G13" s="193"/>
      <c r="H13" s="193"/>
      <c r="I13" s="194" t="str">
        <f t="shared" si="0"/>
        <v/>
      </c>
      <c r="J13" s="181"/>
      <c r="K13" s="202"/>
    </row>
    <row r="14" spans="2:14" ht="14.5" customHeight="1" x14ac:dyDescent="0.35">
      <c r="B14" s="191" t="str">
        <f>IF(Lançamentos!$B9="","",Lançamentos!$B9)</f>
        <v/>
      </c>
      <c r="C14" s="192" t="str">
        <f>IF($B14="","",IFERROR(INDEX(Lançamentos!$J$3:$J$1001,MATCH($B14,Lançamentos!$B$3:$B$1001,0)),""))</f>
        <v/>
      </c>
      <c r="D14" s="413" t="str">
        <f>IF($B14="","",IFERROR(INDEX('E2 — Triagem'!$D$8:$D$507,MATCH($B14,'E2 — Triagem'!$B$8:$B$507,0)),""))</f>
        <v/>
      </c>
      <c r="E14" s="193"/>
      <c r="F14" s="193"/>
      <c r="G14" s="193"/>
      <c r="H14" s="193"/>
      <c r="I14" s="194" t="str">
        <f t="shared" si="0"/>
        <v/>
      </c>
      <c r="J14" s="181"/>
      <c r="K14" s="202"/>
    </row>
    <row r="15" spans="2:14" ht="14.5" customHeight="1" x14ac:dyDescent="0.35">
      <c r="B15" s="191" t="str">
        <f>IF(Lançamentos!$B10="","",Lançamentos!$B10)</f>
        <v/>
      </c>
      <c r="C15" s="192" t="str">
        <f>IF($B15="","",IFERROR(INDEX(Lançamentos!$J$3:$J$1001,MATCH($B15,Lançamentos!$B$3:$B$1001,0)),""))</f>
        <v/>
      </c>
      <c r="D15" s="413" t="str">
        <f>IF($B15="","",IFERROR(INDEX('E2 — Triagem'!$D$8:$D$507,MATCH($B15,'E2 — Triagem'!$B$8:$B$507,0)),""))</f>
        <v/>
      </c>
      <c r="E15" s="193"/>
      <c r="F15" s="193"/>
      <c r="G15" s="193"/>
      <c r="H15" s="193"/>
      <c r="I15" s="194" t="str">
        <f t="shared" si="0"/>
        <v/>
      </c>
      <c r="J15" s="181"/>
      <c r="K15" s="202"/>
    </row>
    <row r="16" spans="2:14" ht="14.5" customHeight="1" x14ac:dyDescent="0.35">
      <c r="B16" s="191" t="str">
        <f>IF(Lançamentos!$B11="","",Lançamentos!$B11)</f>
        <v/>
      </c>
      <c r="C16" s="192" t="str">
        <f>IF($B16="","",IFERROR(INDEX(Lançamentos!$J$3:$J$1001,MATCH($B16,Lançamentos!$B$3:$B$1001,0)),""))</f>
        <v/>
      </c>
      <c r="D16" s="413" t="str">
        <f>IF($B16="","",IFERROR(INDEX('E2 — Triagem'!$D$8:$D$507,MATCH($B16,'E2 — Triagem'!$B$8:$B$507,0)),""))</f>
        <v/>
      </c>
      <c r="E16" s="193"/>
      <c r="F16" s="193"/>
      <c r="G16" s="193"/>
      <c r="H16" s="193"/>
      <c r="I16" s="194" t="str">
        <f t="shared" si="0"/>
        <v/>
      </c>
      <c r="J16" s="181"/>
      <c r="K16" s="202"/>
    </row>
    <row r="17" spans="2:11" ht="14.5" customHeight="1" x14ac:dyDescent="0.35">
      <c r="B17" s="191" t="str">
        <f>IF(Lançamentos!$B12="","",Lançamentos!$B12)</f>
        <v/>
      </c>
      <c r="C17" s="192" t="str">
        <f>IF($B17="","",IFERROR(INDEX(Lançamentos!$J$3:$J$1001,MATCH($B17,Lançamentos!$B$3:$B$1001,0)),""))</f>
        <v/>
      </c>
      <c r="D17" s="413" t="str">
        <f>IF($B17="","",IFERROR(INDEX('E2 — Triagem'!$D$8:$D$507,MATCH($B17,'E2 — Triagem'!$B$8:$B$507,0)),""))</f>
        <v/>
      </c>
      <c r="E17" s="193"/>
      <c r="F17" s="193"/>
      <c r="G17" s="193"/>
      <c r="H17" s="193"/>
      <c r="I17" s="194" t="str">
        <f t="shared" si="0"/>
        <v/>
      </c>
      <c r="J17" s="181"/>
      <c r="K17" s="202"/>
    </row>
    <row r="18" spans="2:11" ht="14.5" customHeight="1" x14ac:dyDescent="0.35">
      <c r="B18" s="191" t="str">
        <f>IF(Lançamentos!$B13="","",Lançamentos!$B13)</f>
        <v/>
      </c>
      <c r="C18" s="192" t="str">
        <f>IF($B18="","",IFERROR(INDEX(Lançamentos!$J$3:$J$1001,MATCH($B18,Lançamentos!$B$3:$B$1001,0)),""))</f>
        <v/>
      </c>
      <c r="D18" s="413" t="str">
        <f>IF($B18="","",IFERROR(INDEX('E2 — Triagem'!$D$8:$D$507,MATCH($B18,'E2 — Triagem'!$B$8:$B$507,0)),""))</f>
        <v/>
      </c>
      <c r="E18" s="193"/>
      <c r="F18" s="193"/>
      <c r="G18" s="193"/>
      <c r="H18" s="193"/>
      <c r="I18" s="194" t="str">
        <f t="shared" si="0"/>
        <v/>
      </c>
      <c r="J18" s="181"/>
      <c r="K18" s="202"/>
    </row>
    <row r="19" spans="2:11" ht="14.5" customHeight="1" x14ac:dyDescent="0.35">
      <c r="B19" s="191" t="str">
        <f>IF(Lançamentos!$B14="","",Lançamentos!$B14)</f>
        <v/>
      </c>
      <c r="C19" s="192" t="str">
        <f>IF($B19="","",IFERROR(INDEX(Lançamentos!$J$3:$J$1001,MATCH($B19,Lançamentos!$B$3:$B$1001,0)),""))</f>
        <v/>
      </c>
      <c r="D19" s="413" t="str">
        <f>IF($B19="","",IFERROR(INDEX('E2 — Triagem'!$D$8:$D$507,MATCH($B19,'E2 — Triagem'!$B$8:$B$507,0)),""))</f>
        <v/>
      </c>
      <c r="E19" s="193"/>
      <c r="F19" s="193"/>
      <c r="G19" s="193"/>
      <c r="H19" s="193"/>
      <c r="I19" s="194" t="str">
        <f t="shared" si="0"/>
        <v/>
      </c>
      <c r="J19" s="181"/>
      <c r="K19" s="202"/>
    </row>
    <row r="20" spans="2:11" ht="14.5" customHeight="1" x14ac:dyDescent="0.35">
      <c r="B20" s="191" t="str">
        <f>IF(Lançamentos!$B15="","",Lançamentos!$B15)</f>
        <v/>
      </c>
      <c r="C20" s="192" t="str">
        <f>IF($B20="","",IFERROR(INDEX(Lançamentos!$J$3:$J$1001,MATCH($B20,Lançamentos!$B$3:$B$1001,0)),""))</f>
        <v/>
      </c>
      <c r="D20" s="413" t="str">
        <f>IF($B20="","",IFERROR(INDEX('E2 — Triagem'!$D$8:$D$507,MATCH($B20,'E2 — Triagem'!$B$8:$B$507,0)),""))</f>
        <v/>
      </c>
      <c r="E20" s="193"/>
      <c r="F20" s="193"/>
      <c r="G20" s="193"/>
      <c r="H20" s="193"/>
      <c r="I20" s="194" t="str">
        <f t="shared" si="0"/>
        <v/>
      </c>
      <c r="J20" s="181"/>
      <c r="K20" s="202"/>
    </row>
    <row r="21" spans="2:11" ht="14.5" customHeight="1" x14ac:dyDescent="0.35">
      <c r="B21" s="191" t="str">
        <f>IF(Lançamentos!$B16="","",Lançamentos!$B16)</f>
        <v/>
      </c>
      <c r="C21" s="192" t="str">
        <f>IF($B21="","",IFERROR(INDEX(Lançamentos!$J$3:$J$1001,MATCH($B21,Lançamentos!$B$3:$B$1001,0)),""))</f>
        <v/>
      </c>
      <c r="D21" s="413" t="str">
        <f>IF($B21="","",IFERROR(INDEX('E2 — Triagem'!$D$8:$D$507,MATCH($B21,'E2 — Triagem'!$B$8:$B$507,0)),""))</f>
        <v/>
      </c>
      <c r="E21" s="193"/>
      <c r="F21" s="193"/>
      <c r="G21" s="193"/>
      <c r="H21" s="193"/>
      <c r="I21" s="194" t="str">
        <f t="shared" si="0"/>
        <v/>
      </c>
      <c r="J21" s="181"/>
      <c r="K21" s="202"/>
    </row>
    <row r="22" spans="2:11" ht="14.5" customHeight="1" x14ac:dyDescent="0.35">
      <c r="B22" s="191" t="str">
        <f>IF(Lançamentos!$B17="","",Lançamentos!$B17)</f>
        <v/>
      </c>
      <c r="C22" s="192" t="str">
        <f>IF($B22="","",IFERROR(INDEX(Lançamentos!$J$3:$J$1001,MATCH($B22,Lançamentos!$B$3:$B$1001,0)),""))</f>
        <v/>
      </c>
      <c r="D22" s="413" t="str">
        <f>IF($B22="","",IFERROR(INDEX('E2 — Triagem'!$D$8:$D$507,MATCH($B22,'E2 — Triagem'!$B$8:$B$507,0)),""))</f>
        <v/>
      </c>
      <c r="E22" s="193"/>
      <c r="F22" s="193"/>
      <c r="G22" s="193"/>
      <c r="H22" s="193"/>
      <c r="I22" s="194" t="str">
        <f t="shared" si="0"/>
        <v/>
      </c>
      <c r="J22" s="181"/>
      <c r="K22" s="202"/>
    </row>
    <row r="23" spans="2:11" ht="14.5" customHeight="1" x14ac:dyDescent="0.35">
      <c r="B23" s="191" t="str">
        <f>IF(Lançamentos!$B18="","",Lançamentos!$B18)</f>
        <v/>
      </c>
      <c r="C23" s="192" t="str">
        <f>IF($B23="","",IFERROR(INDEX(Lançamentos!$J$3:$J$1001,MATCH($B23,Lançamentos!$B$3:$B$1001,0)),""))</f>
        <v/>
      </c>
      <c r="D23" s="413" t="str">
        <f>IF($B23="","",IFERROR(INDEX('E2 — Triagem'!$D$8:$D$507,MATCH($B23,'E2 — Triagem'!$B$8:$B$507,0)),""))</f>
        <v/>
      </c>
      <c r="E23" s="193"/>
      <c r="F23" s="193"/>
      <c r="G23" s="193"/>
      <c r="H23" s="193"/>
      <c r="I23" s="194" t="str">
        <f t="shared" si="0"/>
        <v/>
      </c>
      <c r="J23" s="181"/>
      <c r="K23" s="202"/>
    </row>
    <row r="24" spans="2:11" ht="14.5" customHeight="1" x14ac:dyDescent="0.35">
      <c r="B24" s="191" t="str">
        <f>IF(Lançamentos!$B19="","",Lançamentos!$B19)</f>
        <v/>
      </c>
      <c r="C24" s="192" t="str">
        <f>IF($B24="","",IFERROR(INDEX(Lançamentos!$J$3:$J$1001,MATCH($B24,Lançamentos!$B$3:$B$1001,0)),""))</f>
        <v/>
      </c>
      <c r="D24" s="413" t="str">
        <f>IF($B24="","",IFERROR(INDEX('E2 — Triagem'!$D$8:$D$507,MATCH($B24,'E2 — Triagem'!$B$8:$B$507,0)),""))</f>
        <v/>
      </c>
      <c r="E24" s="193"/>
      <c r="F24" s="193"/>
      <c r="G24" s="193"/>
      <c r="H24" s="193"/>
      <c r="I24" s="194" t="str">
        <f t="shared" si="0"/>
        <v/>
      </c>
      <c r="J24" s="181"/>
      <c r="K24" s="202"/>
    </row>
    <row r="25" spans="2:11" ht="14.5" customHeight="1" x14ac:dyDescent="0.35">
      <c r="B25" s="191" t="str">
        <f>IF(Lançamentos!$B20="","",Lançamentos!$B20)</f>
        <v/>
      </c>
      <c r="C25" s="192" t="str">
        <f>IF($B25="","",IFERROR(INDEX(Lançamentos!$J$3:$J$1001,MATCH($B25,Lançamentos!$B$3:$B$1001,0)),""))</f>
        <v/>
      </c>
      <c r="D25" s="413" t="str">
        <f>IF($B25="","",IFERROR(INDEX('E2 — Triagem'!$D$8:$D$507,MATCH($B25,'E2 — Triagem'!$B$8:$B$507,0)),""))</f>
        <v/>
      </c>
      <c r="E25" s="193"/>
      <c r="F25" s="193"/>
      <c r="G25" s="193"/>
      <c r="H25" s="193"/>
      <c r="I25" s="194" t="str">
        <f t="shared" si="0"/>
        <v/>
      </c>
      <c r="J25" s="181"/>
      <c r="K25" s="202"/>
    </row>
    <row r="26" spans="2:11" ht="14.5" customHeight="1" x14ac:dyDescent="0.35">
      <c r="B26" s="191" t="str">
        <f>IF(Lançamentos!$B21="","",Lançamentos!$B21)</f>
        <v/>
      </c>
      <c r="C26" s="192" t="str">
        <f>IF($B26="","",IFERROR(INDEX(Lançamentos!$J$3:$J$1001,MATCH($B26,Lançamentos!$B$3:$B$1001,0)),""))</f>
        <v/>
      </c>
      <c r="D26" s="413" t="str">
        <f>IF($B26="","",IFERROR(INDEX('E2 — Triagem'!$D$8:$D$507,MATCH($B26,'E2 — Triagem'!$B$8:$B$507,0)),""))</f>
        <v/>
      </c>
      <c r="E26" s="193"/>
      <c r="F26" s="193"/>
      <c r="G26" s="193"/>
      <c r="H26" s="193"/>
      <c r="I26" s="194" t="str">
        <f t="shared" si="0"/>
        <v/>
      </c>
      <c r="J26" s="181"/>
      <c r="K26" s="202"/>
    </row>
    <row r="27" spans="2:11" ht="14.5" customHeight="1" x14ac:dyDescent="0.35">
      <c r="B27" s="191" t="str">
        <f>IF(Lançamentos!$B22="","",Lançamentos!$B22)</f>
        <v/>
      </c>
      <c r="C27" s="192" t="str">
        <f>IF($B27="","",IFERROR(INDEX(Lançamentos!$J$3:$J$1001,MATCH($B27,Lançamentos!$B$3:$B$1001,0)),""))</f>
        <v/>
      </c>
      <c r="D27" s="413" t="str">
        <f>IF($B27="","",IFERROR(INDEX('E2 — Triagem'!$D$8:$D$507,MATCH($B27,'E2 — Triagem'!$B$8:$B$507,0)),""))</f>
        <v/>
      </c>
      <c r="E27" s="193"/>
      <c r="F27" s="193"/>
      <c r="G27" s="193"/>
      <c r="H27" s="193"/>
      <c r="I27" s="194" t="str">
        <f t="shared" si="0"/>
        <v/>
      </c>
      <c r="J27" s="181"/>
      <c r="K27" s="202"/>
    </row>
    <row r="28" spans="2:11" ht="14.5" customHeight="1" x14ac:dyDescent="0.35">
      <c r="B28" s="191" t="str">
        <f>IF(Lançamentos!$B23="","",Lançamentos!$B23)</f>
        <v/>
      </c>
      <c r="C28" s="192" t="str">
        <f>IF($B28="","",IFERROR(INDEX(Lançamentos!$J$3:$J$1001,MATCH($B28,Lançamentos!$B$3:$B$1001,0)),""))</f>
        <v/>
      </c>
      <c r="D28" s="413" t="str">
        <f>IF($B28="","",IFERROR(INDEX('E2 — Triagem'!$D$8:$D$507,MATCH($B28,'E2 — Triagem'!$B$8:$B$507,0)),""))</f>
        <v/>
      </c>
      <c r="E28" s="193"/>
      <c r="F28" s="193"/>
      <c r="G28" s="193"/>
      <c r="H28" s="193"/>
      <c r="I28" s="194" t="str">
        <f t="shared" si="0"/>
        <v/>
      </c>
      <c r="J28" s="181"/>
      <c r="K28" s="202"/>
    </row>
    <row r="29" spans="2:11" ht="14.5" customHeight="1" x14ac:dyDescent="0.35">
      <c r="B29" s="191" t="str">
        <f>IF(Lançamentos!$B24="","",Lançamentos!$B24)</f>
        <v/>
      </c>
      <c r="C29" s="192" t="str">
        <f>IF($B29="","",IFERROR(INDEX(Lançamentos!$J$3:$J$1001,MATCH($B29,Lançamentos!$B$3:$B$1001,0)),""))</f>
        <v/>
      </c>
      <c r="D29" s="413" t="str">
        <f>IF($B29="","",IFERROR(INDEX('E2 — Triagem'!$D$8:$D$507,MATCH($B29,'E2 — Triagem'!$B$8:$B$507,0)),""))</f>
        <v/>
      </c>
      <c r="E29" s="193"/>
      <c r="F29" s="193"/>
      <c r="G29" s="193"/>
      <c r="H29" s="193"/>
      <c r="I29" s="194" t="str">
        <f t="shared" si="0"/>
        <v/>
      </c>
      <c r="J29" s="181"/>
      <c r="K29" s="202"/>
    </row>
    <row r="30" spans="2:11" ht="14.5" customHeight="1" x14ac:dyDescent="0.35">
      <c r="B30" s="191" t="str">
        <f>IF(Lançamentos!$B25="","",Lançamentos!$B25)</f>
        <v/>
      </c>
      <c r="C30" s="192" t="str">
        <f>IF($B30="","",IFERROR(INDEX(Lançamentos!$J$3:$J$1001,MATCH($B30,Lançamentos!$B$3:$B$1001,0)),""))</f>
        <v/>
      </c>
      <c r="D30" s="413" t="str">
        <f>IF($B30="","",IFERROR(INDEX('E2 — Triagem'!$D$8:$D$507,MATCH($B30,'E2 — Triagem'!$B$8:$B$507,0)),""))</f>
        <v/>
      </c>
      <c r="E30" s="193"/>
      <c r="F30" s="193"/>
      <c r="G30" s="193"/>
      <c r="H30" s="193"/>
      <c r="I30" s="194" t="str">
        <f t="shared" si="0"/>
        <v/>
      </c>
      <c r="J30" s="181"/>
      <c r="K30" s="202"/>
    </row>
    <row r="31" spans="2:11" ht="14.5" customHeight="1" x14ac:dyDescent="0.35">
      <c r="B31" s="191" t="str">
        <f>IF(Lançamentos!$B26="","",Lançamentos!$B26)</f>
        <v/>
      </c>
      <c r="C31" s="192" t="str">
        <f>IF($B31="","",IFERROR(INDEX(Lançamentos!$J$3:$J$1001,MATCH($B31,Lançamentos!$B$3:$B$1001,0)),""))</f>
        <v/>
      </c>
      <c r="D31" s="413" t="str">
        <f>IF($B31="","",IFERROR(INDEX('E2 — Triagem'!$D$8:$D$507,MATCH($B31,'E2 — Triagem'!$B$8:$B$507,0)),""))</f>
        <v/>
      </c>
      <c r="E31" s="193"/>
      <c r="F31" s="193"/>
      <c r="G31" s="193"/>
      <c r="H31" s="193"/>
      <c r="I31" s="194" t="str">
        <f t="shared" si="0"/>
        <v/>
      </c>
      <c r="J31" s="181"/>
      <c r="K31" s="202"/>
    </row>
    <row r="32" spans="2:11" ht="14.5" customHeight="1" x14ac:dyDescent="0.35">
      <c r="B32" s="191" t="str">
        <f>IF(Lançamentos!$B27="","",Lançamentos!$B27)</f>
        <v/>
      </c>
      <c r="C32" s="192" t="str">
        <f>IF($B32="","",IFERROR(INDEX(Lançamentos!$J$3:$J$1001,MATCH($B32,Lançamentos!$B$3:$B$1001,0)),""))</f>
        <v/>
      </c>
      <c r="D32" s="413" t="str">
        <f>IF($B32="","",IFERROR(INDEX('E2 — Triagem'!$D$8:$D$507,MATCH($B32,'E2 — Triagem'!$B$8:$B$507,0)),""))</f>
        <v/>
      </c>
      <c r="E32" s="193"/>
      <c r="F32" s="193"/>
      <c r="G32" s="193"/>
      <c r="H32" s="193"/>
      <c r="I32" s="194" t="str">
        <f t="shared" si="0"/>
        <v/>
      </c>
      <c r="J32" s="181"/>
      <c r="K32" s="202"/>
    </row>
    <row r="33" spans="2:11" ht="14.5" customHeight="1" x14ac:dyDescent="0.35">
      <c r="B33" s="191" t="str">
        <f>IF(Lançamentos!$B28="","",Lançamentos!$B28)</f>
        <v/>
      </c>
      <c r="C33" s="192" t="str">
        <f>IF($B33="","",IFERROR(INDEX(Lançamentos!$J$3:$J$1001,MATCH($B33,Lançamentos!$B$3:$B$1001,0)),""))</f>
        <v/>
      </c>
      <c r="D33" s="413" t="str">
        <f>IF($B33="","",IFERROR(INDEX('E2 — Triagem'!$D$8:$D$507,MATCH($B33,'E2 — Triagem'!$B$8:$B$507,0)),""))</f>
        <v/>
      </c>
      <c r="E33" s="193"/>
      <c r="F33" s="193"/>
      <c r="G33" s="193"/>
      <c r="H33" s="193"/>
      <c r="I33" s="194" t="str">
        <f t="shared" si="0"/>
        <v/>
      </c>
      <c r="J33" s="181"/>
      <c r="K33" s="202"/>
    </row>
    <row r="34" spans="2:11" ht="14.5" customHeight="1" x14ac:dyDescent="0.35">
      <c r="B34" s="191" t="str">
        <f>IF(Lançamentos!$B29="","",Lançamentos!$B29)</f>
        <v/>
      </c>
      <c r="C34" s="192" t="str">
        <f>IF($B34="","",IFERROR(INDEX(Lançamentos!$J$3:$J$1001,MATCH($B34,Lançamentos!$B$3:$B$1001,0)),""))</f>
        <v/>
      </c>
      <c r="D34" s="413" t="str">
        <f>IF($B34="","",IFERROR(INDEX('E2 — Triagem'!$D$8:$D$507,MATCH($B34,'E2 — Triagem'!$B$8:$B$507,0)),""))</f>
        <v/>
      </c>
      <c r="E34" s="193"/>
      <c r="F34" s="193"/>
      <c r="G34" s="193"/>
      <c r="H34" s="193"/>
      <c r="I34" s="194" t="str">
        <f t="shared" si="0"/>
        <v/>
      </c>
      <c r="J34" s="181"/>
      <c r="K34" s="202"/>
    </row>
    <row r="35" spans="2:11" ht="14.5" customHeight="1" x14ac:dyDescent="0.35">
      <c r="B35" s="191" t="str">
        <f>IF(Lançamentos!$B30="","",Lançamentos!$B30)</f>
        <v/>
      </c>
      <c r="C35" s="192" t="str">
        <f>IF($B35="","",IFERROR(INDEX(Lançamentos!$J$3:$J$1001,MATCH($B35,Lançamentos!$B$3:$B$1001,0)),""))</f>
        <v/>
      </c>
      <c r="D35" s="413" t="str">
        <f>IF($B35="","",IFERROR(INDEX('E2 — Triagem'!$D$8:$D$507,MATCH($B35,'E2 — Triagem'!$B$8:$B$507,0)),""))</f>
        <v/>
      </c>
      <c r="E35" s="193"/>
      <c r="F35" s="193"/>
      <c r="G35" s="193"/>
      <c r="H35" s="193"/>
      <c r="I35" s="194" t="str">
        <f t="shared" si="0"/>
        <v/>
      </c>
      <c r="J35" s="181"/>
      <c r="K35" s="202"/>
    </row>
    <row r="36" spans="2:11" ht="14.5" customHeight="1" x14ac:dyDescent="0.35">
      <c r="B36" s="191" t="str">
        <f>IF(Lançamentos!$B31="","",Lançamentos!$B31)</f>
        <v/>
      </c>
      <c r="C36" s="192" t="str">
        <f>IF($B36="","",IFERROR(INDEX(Lançamentos!$J$3:$J$1001,MATCH($B36,Lançamentos!$B$3:$B$1001,0)),""))</f>
        <v/>
      </c>
      <c r="D36" s="413" t="str">
        <f>IF($B36="","",IFERROR(INDEX('E2 — Triagem'!$D$8:$D$507,MATCH($B36,'E2 — Triagem'!$B$8:$B$507,0)),""))</f>
        <v/>
      </c>
      <c r="E36" s="193"/>
      <c r="F36" s="193"/>
      <c r="G36" s="193"/>
      <c r="H36" s="193"/>
      <c r="I36" s="194" t="str">
        <f t="shared" si="0"/>
        <v/>
      </c>
      <c r="J36" s="181"/>
      <c r="K36" s="202"/>
    </row>
    <row r="37" spans="2:11" ht="14.5" customHeight="1" x14ac:dyDescent="0.35">
      <c r="B37" s="191" t="str">
        <f>IF(Lançamentos!$B32="","",Lançamentos!$B32)</f>
        <v/>
      </c>
      <c r="C37" s="192" t="str">
        <f>IF($B37="","",IFERROR(INDEX(Lançamentos!$J$3:$J$1001,MATCH($B37,Lançamentos!$B$3:$B$1001,0)),""))</f>
        <v/>
      </c>
      <c r="D37" s="413" t="str">
        <f>IF($B37="","",IFERROR(INDEX('E2 — Triagem'!$D$8:$D$507,MATCH($B37,'E2 — Triagem'!$B$8:$B$507,0)),""))</f>
        <v/>
      </c>
      <c r="E37" s="193"/>
      <c r="F37" s="193"/>
      <c r="G37" s="193"/>
      <c r="H37" s="193"/>
      <c r="I37" s="194" t="str">
        <f t="shared" si="0"/>
        <v/>
      </c>
      <c r="J37" s="181"/>
      <c r="K37" s="202"/>
    </row>
    <row r="38" spans="2:11" ht="14.5" customHeight="1" x14ac:dyDescent="0.35">
      <c r="B38" s="191" t="str">
        <f>IF(Lançamentos!$B33="","",Lançamentos!$B33)</f>
        <v/>
      </c>
      <c r="C38" s="192" t="str">
        <f>IF($B38="","",IFERROR(INDEX(Lançamentos!$J$3:$J$1001,MATCH($B38,Lançamentos!$B$3:$B$1001,0)),""))</f>
        <v/>
      </c>
      <c r="D38" s="413" t="str">
        <f>IF($B38="","",IFERROR(INDEX('E2 — Triagem'!$D$8:$D$507,MATCH($B38,'E2 — Triagem'!$B$8:$B$507,0)),""))</f>
        <v/>
      </c>
      <c r="E38" s="193"/>
      <c r="F38" s="193"/>
      <c r="G38" s="193"/>
      <c r="H38" s="193"/>
      <c r="I38" s="194" t="str">
        <f t="shared" si="0"/>
        <v/>
      </c>
      <c r="J38" s="181"/>
      <c r="K38" s="202"/>
    </row>
    <row r="39" spans="2:11" ht="14.5" customHeight="1" x14ac:dyDescent="0.35">
      <c r="B39" s="191" t="str">
        <f>IF(Lançamentos!$B34="","",Lançamentos!$B34)</f>
        <v/>
      </c>
      <c r="C39" s="192" t="str">
        <f>IF($B39="","",IFERROR(INDEX(Lançamentos!$J$3:$J$1001,MATCH($B39,Lançamentos!$B$3:$B$1001,0)),""))</f>
        <v/>
      </c>
      <c r="D39" s="413" t="str">
        <f>IF($B39="","",IFERROR(INDEX('E2 — Triagem'!$D$8:$D$507,MATCH($B39,'E2 — Triagem'!$B$8:$B$507,0)),""))</f>
        <v/>
      </c>
      <c r="E39" s="193"/>
      <c r="F39" s="193"/>
      <c r="G39" s="193"/>
      <c r="H39" s="193"/>
      <c r="I39" s="194" t="str">
        <f t="shared" si="0"/>
        <v/>
      </c>
      <c r="J39" s="181"/>
      <c r="K39" s="202"/>
    </row>
    <row r="40" spans="2:11" ht="14.5" customHeight="1" x14ac:dyDescent="0.35">
      <c r="B40" s="191" t="str">
        <f>IF(Lançamentos!$B35="","",Lançamentos!$B35)</f>
        <v/>
      </c>
      <c r="C40" s="192" t="str">
        <f>IF($B40="","",IFERROR(INDEX(Lançamentos!$J$3:$J$1001,MATCH($B40,Lançamentos!$B$3:$B$1001,0)),""))</f>
        <v/>
      </c>
      <c r="D40" s="413" t="str">
        <f>IF($B40="","",IFERROR(INDEX('E2 — Triagem'!$D$8:$D$507,MATCH($B40,'E2 — Triagem'!$B$8:$B$507,0)),""))</f>
        <v/>
      </c>
      <c r="E40" s="193"/>
      <c r="F40" s="193"/>
      <c r="G40" s="193"/>
      <c r="H40" s="193"/>
      <c r="I40" s="194" t="str">
        <f t="shared" si="0"/>
        <v/>
      </c>
      <c r="J40" s="181"/>
      <c r="K40" s="202"/>
    </row>
    <row r="41" spans="2:11" ht="14.5" customHeight="1" x14ac:dyDescent="0.35">
      <c r="B41" s="191" t="str">
        <f>IF(Lançamentos!$B36="","",Lançamentos!$B36)</f>
        <v/>
      </c>
      <c r="C41" s="192" t="str">
        <f>IF($B41="","",IFERROR(INDEX(Lançamentos!$J$3:$J$1001,MATCH($B41,Lançamentos!$B$3:$B$1001,0)),""))</f>
        <v/>
      </c>
      <c r="D41" s="413" t="str">
        <f>IF($B41="","",IFERROR(INDEX('E2 — Triagem'!$D$8:$D$507,MATCH($B41,'E2 — Triagem'!$B$8:$B$507,0)),""))</f>
        <v/>
      </c>
      <c r="E41" s="193"/>
      <c r="F41" s="193"/>
      <c r="G41" s="193"/>
      <c r="H41" s="193"/>
      <c r="I41" s="194" t="str">
        <f t="shared" si="0"/>
        <v/>
      </c>
      <c r="J41" s="181"/>
      <c r="K41" s="202"/>
    </row>
    <row r="42" spans="2:11" ht="14.5" customHeight="1" x14ac:dyDescent="0.35">
      <c r="B42" s="191" t="str">
        <f>IF(Lançamentos!$B37="","",Lançamentos!$B37)</f>
        <v/>
      </c>
      <c r="C42" s="192" t="str">
        <f>IF($B42="","",IFERROR(INDEX(Lançamentos!$J$3:$J$1001,MATCH($B42,Lançamentos!$B$3:$B$1001,0)),""))</f>
        <v/>
      </c>
      <c r="D42" s="413" t="str">
        <f>IF($B42="","",IFERROR(INDEX('E2 — Triagem'!$D$8:$D$507,MATCH($B42,'E2 — Triagem'!$B$8:$B$507,0)),""))</f>
        <v/>
      </c>
      <c r="E42" s="193"/>
      <c r="F42" s="193"/>
      <c r="G42" s="193"/>
      <c r="H42" s="193"/>
      <c r="I42" s="194" t="str">
        <f t="shared" si="0"/>
        <v/>
      </c>
      <c r="J42" s="181"/>
      <c r="K42" s="202"/>
    </row>
    <row r="43" spans="2:11" ht="14.5" customHeight="1" x14ac:dyDescent="0.35">
      <c r="B43" s="191" t="str">
        <f>IF(Lançamentos!$B38="","",Lançamentos!$B38)</f>
        <v/>
      </c>
      <c r="C43" s="192" t="str">
        <f>IF($B43="","",IFERROR(INDEX(Lançamentos!$J$3:$J$1001,MATCH($B43,Lançamentos!$B$3:$B$1001,0)),""))</f>
        <v/>
      </c>
      <c r="D43" s="413" t="str">
        <f>IF($B43="","",IFERROR(INDEX('E2 — Triagem'!$D$8:$D$507,MATCH($B43,'E2 — Triagem'!$B$8:$B$507,0)),""))</f>
        <v/>
      </c>
      <c r="E43" s="193"/>
      <c r="F43" s="193"/>
      <c r="G43" s="193"/>
      <c r="H43" s="193"/>
      <c r="I43" s="194" t="str">
        <f t="shared" si="0"/>
        <v/>
      </c>
      <c r="J43" s="181"/>
      <c r="K43" s="202"/>
    </row>
    <row r="44" spans="2:11" ht="14.5" customHeight="1" x14ac:dyDescent="0.35">
      <c r="B44" s="191" t="str">
        <f>IF(Lançamentos!$B39="","",Lançamentos!$B39)</f>
        <v/>
      </c>
      <c r="C44" s="192" t="str">
        <f>IF($B44="","",IFERROR(INDEX(Lançamentos!$J$3:$J$1001,MATCH($B44,Lançamentos!$B$3:$B$1001,0)),""))</f>
        <v/>
      </c>
      <c r="D44" s="413" t="str">
        <f>IF($B44="","",IFERROR(INDEX('E2 — Triagem'!$D$8:$D$507,MATCH($B44,'E2 — Triagem'!$B$8:$B$507,0)),""))</f>
        <v/>
      </c>
      <c r="E44" s="193"/>
      <c r="F44" s="193"/>
      <c r="G44" s="193"/>
      <c r="H44" s="193"/>
      <c r="I44" s="194" t="str">
        <f t="shared" si="0"/>
        <v/>
      </c>
      <c r="J44" s="181"/>
      <c r="K44" s="202"/>
    </row>
    <row r="45" spans="2:11" ht="14.5" customHeight="1" x14ac:dyDescent="0.35">
      <c r="B45" s="191" t="str">
        <f>IF(Lançamentos!$B40="","",Lançamentos!$B40)</f>
        <v/>
      </c>
      <c r="C45" s="192" t="str">
        <f>IF($B45="","",IFERROR(INDEX(Lançamentos!$J$3:$J$1001,MATCH($B45,Lançamentos!$B$3:$B$1001,0)),""))</f>
        <v/>
      </c>
      <c r="D45" s="413" t="str">
        <f>IF($B45="","",IFERROR(INDEX('E2 — Triagem'!$D$8:$D$507,MATCH($B45,'E2 — Triagem'!$B$8:$B$507,0)),""))</f>
        <v/>
      </c>
      <c r="E45" s="193"/>
      <c r="F45" s="193"/>
      <c r="G45" s="193"/>
      <c r="H45" s="193"/>
      <c r="I45" s="194" t="str">
        <f t="shared" si="0"/>
        <v/>
      </c>
      <c r="J45" s="181"/>
      <c r="K45" s="202"/>
    </row>
    <row r="46" spans="2:11" ht="14.5" customHeight="1" x14ac:dyDescent="0.35">
      <c r="B46" s="191" t="str">
        <f>IF(Lançamentos!$B41="","",Lançamentos!$B41)</f>
        <v/>
      </c>
      <c r="C46" s="192" t="str">
        <f>IF($B46="","",IFERROR(INDEX(Lançamentos!$J$3:$J$1001,MATCH($B46,Lançamentos!$B$3:$B$1001,0)),""))</f>
        <v/>
      </c>
      <c r="D46" s="413" t="str">
        <f>IF($B46="","",IFERROR(INDEX('E2 — Triagem'!$D$8:$D$507,MATCH($B46,'E2 — Triagem'!$B$8:$B$507,0)),""))</f>
        <v/>
      </c>
      <c r="E46" s="193"/>
      <c r="F46" s="193"/>
      <c r="G46" s="193"/>
      <c r="H46" s="193"/>
      <c r="I46" s="194" t="str">
        <f t="shared" si="0"/>
        <v/>
      </c>
      <c r="J46" s="181"/>
      <c r="K46" s="202"/>
    </row>
    <row r="47" spans="2:11" ht="14.5" customHeight="1" x14ac:dyDescent="0.35">
      <c r="B47" s="191" t="str">
        <f>IF(Lançamentos!$B42="","",Lançamentos!$B42)</f>
        <v/>
      </c>
      <c r="C47" s="192" t="str">
        <f>IF($B47="","",IFERROR(INDEX(Lançamentos!$J$3:$J$1001,MATCH($B47,Lançamentos!$B$3:$B$1001,0)),""))</f>
        <v/>
      </c>
      <c r="D47" s="413" t="str">
        <f>IF($B47="","",IFERROR(INDEX('E2 — Triagem'!$D$8:$D$507,MATCH($B47,'E2 — Triagem'!$B$8:$B$507,0)),""))</f>
        <v/>
      </c>
      <c r="E47" s="193"/>
      <c r="F47" s="193"/>
      <c r="G47" s="193"/>
      <c r="H47" s="193"/>
      <c r="I47" s="194" t="str">
        <f t="shared" si="0"/>
        <v/>
      </c>
      <c r="J47" s="181"/>
      <c r="K47" s="202"/>
    </row>
    <row r="48" spans="2:11" ht="14.5" customHeight="1" x14ac:dyDescent="0.35">
      <c r="B48" s="191" t="str">
        <f>IF(Lançamentos!$B43="","",Lançamentos!$B43)</f>
        <v/>
      </c>
      <c r="C48" s="192" t="str">
        <f>IF($B48="","",IFERROR(INDEX(Lançamentos!$J$3:$J$1001,MATCH($B48,Lançamentos!$B$3:$B$1001,0)),""))</f>
        <v/>
      </c>
      <c r="D48" s="413" t="str">
        <f>IF($B48="","",IFERROR(INDEX('E2 — Triagem'!$D$8:$D$507,MATCH($B48,'E2 — Triagem'!$B$8:$B$507,0)),""))</f>
        <v/>
      </c>
      <c r="E48" s="193"/>
      <c r="F48" s="193"/>
      <c r="G48" s="193"/>
      <c r="H48" s="193"/>
      <c r="I48" s="194" t="str">
        <f t="shared" si="0"/>
        <v/>
      </c>
      <c r="J48" s="181"/>
      <c r="K48" s="202"/>
    </row>
    <row r="49" spans="2:11" ht="14.5" customHeight="1" x14ac:dyDescent="0.35">
      <c r="B49" s="191" t="str">
        <f>IF(Lançamentos!$B44="","",Lançamentos!$B44)</f>
        <v/>
      </c>
      <c r="C49" s="192" t="str">
        <f>IF($B49="","",IFERROR(INDEX(Lançamentos!$J$3:$J$1001,MATCH($B49,Lançamentos!$B$3:$B$1001,0)),""))</f>
        <v/>
      </c>
      <c r="D49" s="413" t="str">
        <f>IF($B49="","",IFERROR(INDEX('E2 — Triagem'!$D$8:$D$507,MATCH($B49,'E2 — Triagem'!$B$8:$B$507,0)),""))</f>
        <v/>
      </c>
      <c r="E49" s="193"/>
      <c r="F49" s="193"/>
      <c r="G49" s="193"/>
      <c r="H49" s="193"/>
      <c r="I49" s="194" t="str">
        <f t="shared" si="0"/>
        <v/>
      </c>
      <c r="J49" s="181"/>
      <c r="K49" s="202"/>
    </row>
    <row r="50" spans="2:11" ht="14.5" customHeight="1" x14ac:dyDescent="0.35">
      <c r="B50" s="191" t="str">
        <f>IF(Lançamentos!$B45="","",Lançamentos!$B45)</f>
        <v/>
      </c>
      <c r="C50" s="192" t="str">
        <f>IF($B50="","",IFERROR(INDEX(Lançamentos!$J$3:$J$1001,MATCH($B50,Lançamentos!$B$3:$B$1001,0)),""))</f>
        <v/>
      </c>
      <c r="D50" s="413" t="str">
        <f>IF($B50="","",IFERROR(INDEX('E2 — Triagem'!$D$8:$D$507,MATCH($B50,'E2 — Triagem'!$B$8:$B$507,0)),""))</f>
        <v/>
      </c>
      <c r="E50" s="193"/>
      <c r="F50" s="193"/>
      <c r="G50" s="193"/>
      <c r="H50" s="193"/>
      <c r="I50" s="194" t="str">
        <f t="shared" si="0"/>
        <v/>
      </c>
      <c r="J50" s="181"/>
      <c r="K50" s="202"/>
    </row>
    <row r="51" spans="2:11" ht="14.5" customHeight="1" x14ac:dyDescent="0.35">
      <c r="B51" s="191" t="str">
        <f>IF(Lançamentos!$B46="","",Lançamentos!$B46)</f>
        <v/>
      </c>
      <c r="C51" s="192" t="str">
        <f>IF($B51="","",IFERROR(INDEX(Lançamentos!$J$3:$J$1001,MATCH($B51,Lançamentos!$B$3:$B$1001,0)),""))</f>
        <v/>
      </c>
      <c r="D51" s="413" t="str">
        <f>IF($B51="","",IFERROR(INDEX('E2 — Triagem'!$D$8:$D$507,MATCH($B51,'E2 — Triagem'!$B$8:$B$507,0)),""))</f>
        <v/>
      </c>
      <c r="E51" s="193"/>
      <c r="F51" s="193"/>
      <c r="G51" s="193"/>
      <c r="H51" s="193"/>
      <c r="I51" s="194" t="str">
        <f t="shared" si="0"/>
        <v/>
      </c>
      <c r="J51" s="181"/>
      <c r="K51" s="202"/>
    </row>
    <row r="52" spans="2:11" ht="14.5" customHeight="1" x14ac:dyDescent="0.35">
      <c r="B52" s="191" t="str">
        <f>IF(Lançamentos!$B47="","",Lançamentos!$B47)</f>
        <v/>
      </c>
      <c r="C52" s="192" t="str">
        <f>IF($B52="","",IFERROR(INDEX(Lançamentos!$J$3:$J$1001,MATCH($B52,Lançamentos!$B$3:$B$1001,0)),""))</f>
        <v/>
      </c>
      <c r="D52" s="413" t="str">
        <f>IF($B52="","",IFERROR(INDEX('E2 — Triagem'!$D$8:$D$507,MATCH($B52,'E2 — Triagem'!$B$8:$B$507,0)),""))</f>
        <v/>
      </c>
      <c r="E52" s="193"/>
      <c r="F52" s="193"/>
      <c r="G52" s="193"/>
      <c r="H52" s="193"/>
      <c r="I52" s="194" t="str">
        <f t="shared" si="0"/>
        <v/>
      </c>
      <c r="J52" s="181"/>
      <c r="K52" s="202"/>
    </row>
    <row r="53" spans="2:11" ht="14.5" customHeight="1" x14ac:dyDescent="0.35">
      <c r="B53" s="191" t="str">
        <f>IF(Lançamentos!$B48="","",Lançamentos!$B48)</f>
        <v/>
      </c>
      <c r="C53" s="192" t="str">
        <f>IF($B53="","",IFERROR(INDEX(Lançamentos!$J$3:$J$1001,MATCH($B53,Lançamentos!$B$3:$B$1001,0)),""))</f>
        <v/>
      </c>
      <c r="D53" s="413" t="str">
        <f>IF($B53="","",IFERROR(INDEX('E2 — Triagem'!$D$8:$D$507,MATCH($B53,'E2 — Triagem'!$B$8:$B$507,0)),""))</f>
        <v/>
      </c>
      <c r="E53" s="193"/>
      <c r="F53" s="193"/>
      <c r="G53" s="193"/>
      <c r="H53" s="193"/>
      <c r="I53" s="194" t="str">
        <f t="shared" si="0"/>
        <v/>
      </c>
      <c r="J53" s="181"/>
      <c r="K53" s="202"/>
    </row>
    <row r="54" spans="2:11" ht="14.5" customHeight="1" x14ac:dyDescent="0.35">
      <c r="B54" s="191" t="str">
        <f>IF(Lançamentos!$B49="","",Lançamentos!$B49)</f>
        <v/>
      </c>
      <c r="C54" s="192" t="str">
        <f>IF($B54="","",IFERROR(INDEX(Lançamentos!$J$3:$J$1001,MATCH($B54,Lançamentos!$B$3:$B$1001,0)),""))</f>
        <v/>
      </c>
      <c r="D54" s="413" t="str">
        <f>IF($B54="","",IFERROR(INDEX('E2 — Triagem'!$D$8:$D$507,MATCH($B54,'E2 — Triagem'!$B$8:$B$507,0)),""))</f>
        <v/>
      </c>
      <c r="E54" s="193"/>
      <c r="F54" s="193"/>
      <c r="G54" s="193"/>
      <c r="H54" s="193"/>
      <c r="I54" s="194" t="str">
        <f t="shared" si="0"/>
        <v/>
      </c>
      <c r="J54" s="181"/>
      <c r="K54" s="202"/>
    </row>
    <row r="55" spans="2:11" ht="14.5" customHeight="1" x14ac:dyDescent="0.35">
      <c r="B55" s="191" t="str">
        <f>IF(Lançamentos!$B50="","",Lançamentos!$B50)</f>
        <v/>
      </c>
      <c r="C55" s="192" t="str">
        <f>IF($B55="","",IFERROR(INDEX(Lançamentos!$J$3:$J$1001,MATCH($B55,Lançamentos!$B$3:$B$1001,0)),""))</f>
        <v/>
      </c>
      <c r="D55" s="413" t="str">
        <f>IF($B55="","",IFERROR(INDEX('E2 — Triagem'!$D$8:$D$507,MATCH($B55,'E2 — Triagem'!$B$8:$B$507,0)),""))</f>
        <v/>
      </c>
      <c r="E55" s="193"/>
      <c r="F55" s="193"/>
      <c r="G55" s="193"/>
      <c r="H55" s="193"/>
      <c r="I55" s="194" t="str">
        <f t="shared" si="0"/>
        <v/>
      </c>
      <c r="J55" s="181"/>
      <c r="K55" s="202"/>
    </row>
    <row r="56" spans="2:11" ht="14.5" customHeight="1" x14ac:dyDescent="0.35">
      <c r="B56" s="191" t="str">
        <f>IF(Lançamentos!$B51="","",Lançamentos!$B51)</f>
        <v/>
      </c>
      <c r="C56" s="192" t="str">
        <f>IF($B56="","",IFERROR(INDEX(Lançamentos!$J$3:$J$1001,MATCH($B56,Lançamentos!$B$3:$B$1001,0)),""))</f>
        <v/>
      </c>
      <c r="D56" s="413" t="str">
        <f>IF($B56="","",IFERROR(INDEX('E2 — Triagem'!$D$8:$D$507,MATCH($B56,'E2 — Triagem'!$B$8:$B$507,0)),""))</f>
        <v/>
      </c>
      <c r="E56" s="193"/>
      <c r="F56" s="193"/>
      <c r="G56" s="193"/>
      <c r="H56" s="193"/>
      <c r="I56" s="194" t="str">
        <f t="shared" si="0"/>
        <v/>
      </c>
      <c r="J56" s="181"/>
      <c r="K56" s="202"/>
    </row>
    <row r="57" spans="2:11" ht="14.5" customHeight="1" x14ac:dyDescent="0.35">
      <c r="B57" s="191" t="str">
        <f>IF(Lançamentos!$B52="","",Lançamentos!$B52)</f>
        <v/>
      </c>
      <c r="C57" s="192" t="str">
        <f>IF($B57="","",IFERROR(INDEX(Lançamentos!$J$3:$J$1001,MATCH($B57,Lançamentos!$B$3:$B$1001,0)),""))</f>
        <v/>
      </c>
      <c r="D57" s="413" t="str">
        <f>IF($B57="","",IFERROR(INDEX('E2 — Triagem'!$D$8:$D$507,MATCH($B57,'E2 — Triagem'!$B$8:$B$507,0)),""))</f>
        <v/>
      </c>
      <c r="E57" s="193"/>
      <c r="F57" s="193"/>
      <c r="G57" s="193"/>
      <c r="H57" s="193"/>
      <c r="I57" s="194" t="str">
        <f t="shared" si="0"/>
        <v/>
      </c>
      <c r="J57" s="181"/>
      <c r="K57" s="202"/>
    </row>
    <row r="58" spans="2:11" ht="14.5" customHeight="1" x14ac:dyDescent="0.35">
      <c r="B58" s="191" t="str">
        <f>IF(Lançamentos!$B53="","",Lançamentos!$B53)</f>
        <v/>
      </c>
      <c r="C58" s="192" t="str">
        <f>IF($B58="","",IFERROR(INDEX(Lançamentos!$J$3:$J$1001,MATCH($B58,Lançamentos!$B$3:$B$1001,0)),""))</f>
        <v/>
      </c>
      <c r="D58" s="413" t="str">
        <f>IF($B58="","",IFERROR(INDEX('E2 — Triagem'!$D$8:$D$507,MATCH($B58,'E2 — Triagem'!$B$8:$B$507,0)),""))</f>
        <v/>
      </c>
      <c r="E58" s="193"/>
      <c r="F58" s="193"/>
      <c r="G58" s="193"/>
      <c r="H58" s="193"/>
      <c r="I58" s="194" t="str">
        <f t="shared" si="0"/>
        <v/>
      </c>
      <c r="J58" s="181"/>
      <c r="K58" s="202"/>
    </row>
    <row r="59" spans="2:11" ht="14.5" customHeight="1" x14ac:dyDescent="0.35">
      <c r="B59" s="191" t="str">
        <f>IF(Lançamentos!$B54="","",Lançamentos!$B54)</f>
        <v/>
      </c>
      <c r="C59" s="192" t="str">
        <f>IF($B59="","",IFERROR(INDEX(Lançamentos!$J$3:$J$1001,MATCH($B59,Lançamentos!$B$3:$B$1001,0)),""))</f>
        <v/>
      </c>
      <c r="D59" s="413" t="str">
        <f>IF($B59="","",IFERROR(INDEX('E2 — Triagem'!$D$8:$D$507,MATCH($B59,'E2 — Triagem'!$B$8:$B$507,0)),""))</f>
        <v/>
      </c>
      <c r="E59" s="193"/>
      <c r="F59" s="193"/>
      <c r="G59" s="193"/>
      <c r="H59" s="193"/>
      <c r="I59" s="194" t="str">
        <f t="shared" si="0"/>
        <v/>
      </c>
      <c r="J59" s="181"/>
      <c r="K59" s="202"/>
    </row>
    <row r="60" spans="2:11" ht="14.5" customHeight="1" x14ac:dyDescent="0.35">
      <c r="B60" s="191" t="str">
        <f>IF(Lançamentos!$B55="","",Lançamentos!$B55)</f>
        <v/>
      </c>
      <c r="C60" s="192" t="str">
        <f>IF($B60="","",IFERROR(INDEX(Lançamentos!$J$3:$J$1001,MATCH($B60,Lançamentos!$B$3:$B$1001,0)),""))</f>
        <v/>
      </c>
      <c r="D60" s="413" t="str">
        <f>IF($B60="","",IFERROR(INDEX('E2 — Triagem'!$D$8:$D$507,MATCH($B60,'E2 — Triagem'!$B$8:$B$507,0)),""))</f>
        <v/>
      </c>
      <c r="E60" s="193"/>
      <c r="F60" s="193"/>
      <c r="G60" s="193"/>
      <c r="H60" s="193"/>
      <c r="I60" s="194" t="str">
        <f t="shared" si="0"/>
        <v/>
      </c>
      <c r="J60" s="181"/>
      <c r="K60" s="202"/>
    </row>
    <row r="61" spans="2:11" ht="14.5" customHeight="1" x14ac:dyDescent="0.35">
      <c r="B61" s="191" t="str">
        <f>IF(Lançamentos!$B56="","",Lançamentos!$B56)</f>
        <v/>
      </c>
      <c r="C61" s="192" t="str">
        <f>IF($B61="","",IFERROR(INDEX(Lançamentos!$J$3:$J$1001,MATCH($B61,Lançamentos!$B$3:$B$1001,0)),""))</f>
        <v/>
      </c>
      <c r="D61" s="413" t="str">
        <f>IF($B61="","",IFERROR(INDEX('E2 — Triagem'!$D$8:$D$507,MATCH($B61,'E2 — Triagem'!$B$8:$B$507,0)),""))</f>
        <v/>
      </c>
      <c r="E61" s="193"/>
      <c r="F61" s="193"/>
      <c r="G61" s="193"/>
      <c r="H61" s="193"/>
      <c r="I61" s="194" t="str">
        <f t="shared" si="0"/>
        <v/>
      </c>
      <c r="J61" s="181"/>
      <c r="K61" s="202"/>
    </row>
    <row r="62" spans="2:11" ht="14.5" customHeight="1" x14ac:dyDescent="0.35">
      <c r="B62" s="191" t="str">
        <f>IF(Lançamentos!$B57="","",Lançamentos!$B57)</f>
        <v/>
      </c>
      <c r="C62" s="192" t="str">
        <f>IF($B62="","",IFERROR(INDEX(Lançamentos!$J$3:$J$1001,MATCH($B62,Lançamentos!$B$3:$B$1001,0)),""))</f>
        <v/>
      </c>
      <c r="D62" s="413" t="str">
        <f>IF($B62="","",IFERROR(INDEX('E2 — Triagem'!$D$8:$D$507,MATCH($B62,'E2 — Triagem'!$B$8:$B$507,0)),""))</f>
        <v/>
      </c>
      <c r="E62" s="193"/>
      <c r="F62" s="193"/>
      <c r="G62" s="193"/>
      <c r="H62" s="193"/>
      <c r="I62" s="194" t="str">
        <f t="shared" si="0"/>
        <v/>
      </c>
      <c r="J62" s="181"/>
      <c r="K62" s="202"/>
    </row>
    <row r="63" spans="2:11" ht="14.5" customHeight="1" x14ac:dyDescent="0.35">
      <c r="B63" s="191" t="str">
        <f>IF(Lançamentos!$B58="","",Lançamentos!$B58)</f>
        <v/>
      </c>
      <c r="C63" s="192" t="str">
        <f>IF($B63="","",IFERROR(INDEX(Lançamentos!$J$3:$J$1001,MATCH($B63,Lançamentos!$B$3:$B$1001,0)),""))</f>
        <v/>
      </c>
      <c r="D63" s="413" t="str">
        <f>IF($B63="","",IFERROR(INDEX('E2 — Triagem'!$D$8:$D$507,MATCH($B63,'E2 — Triagem'!$B$8:$B$507,0)),""))</f>
        <v/>
      </c>
      <c r="E63" s="193"/>
      <c r="F63" s="193"/>
      <c r="G63" s="193"/>
      <c r="H63" s="193"/>
      <c r="I63" s="194" t="str">
        <f t="shared" si="0"/>
        <v/>
      </c>
      <c r="J63" s="181"/>
      <c r="K63" s="202"/>
    </row>
    <row r="64" spans="2:11" ht="14.5" customHeight="1" x14ac:dyDescent="0.35">
      <c r="B64" s="191" t="str">
        <f>IF(Lançamentos!$B59="","",Lançamentos!$B59)</f>
        <v/>
      </c>
      <c r="C64" s="192" t="str">
        <f>IF($B64="","",IFERROR(INDEX(Lançamentos!$J$3:$J$1001,MATCH($B64,Lançamentos!$B$3:$B$1001,0)),""))</f>
        <v/>
      </c>
      <c r="D64" s="413" t="str">
        <f>IF($B64="","",IFERROR(INDEX('E2 — Triagem'!$D$8:$D$507,MATCH($B64,'E2 — Triagem'!$B$8:$B$507,0)),""))</f>
        <v/>
      </c>
      <c r="E64" s="193"/>
      <c r="F64" s="193"/>
      <c r="G64" s="193"/>
      <c r="H64" s="193"/>
      <c r="I64" s="194" t="str">
        <f t="shared" si="0"/>
        <v/>
      </c>
      <c r="J64" s="181"/>
      <c r="K64" s="202"/>
    </row>
    <row r="65" spans="2:11" ht="14.5" customHeight="1" x14ac:dyDescent="0.35">
      <c r="B65" s="191" t="str">
        <f>IF(Lançamentos!$B60="","",Lançamentos!$B60)</f>
        <v/>
      </c>
      <c r="C65" s="192" t="str">
        <f>IF($B65="","",IFERROR(INDEX(Lançamentos!$J$3:$J$1001,MATCH($B65,Lançamentos!$B$3:$B$1001,0)),""))</f>
        <v/>
      </c>
      <c r="D65" s="413" t="str">
        <f>IF($B65="","",IFERROR(INDEX('E2 — Triagem'!$D$8:$D$507,MATCH($B65,'E2 — Triagem'!$B$8:$B$507,0)),""))</f>
        <v/>
      </c>
      <c r="E65" s="193"/>
      <c r="F65" s="193"/>
      <c r="G65" s="193"/>
      <c r="H65" s="193"/>
      <c r="I65" s="194" t="str">
        <f t="shared" si="0"/>
        <v/>
      </c>
      <c r="J65" s="181"/>
      <c r="K65" s="202"/>
    </row>
    <row r="66" spans="2:11" ht="14.5" customHeight="1" x14ac:dyDescent="0.35">
      <c r="B66" s="191" t="str">
        <f>IF(Lançamentos!$B61="","",Lançamentos!$B61)</f>
        <v/>
      </c>
      <c r="C66" s="192" t="str">
        <f>IF($B66="","",IFERROR(INDEX(Lançamentos!$J$3:$J$1001,MATCH($B66,Lançamentos!$B$3:$B$1001,0)),""))</f>
        <v/>
      </c>
      <c r="D66" s="413" t="str">
        <f>IF($B66="","",IFERROR(INDEX('E2 — Triagem'!$D$8:$D$507,MATCH($B66,'E2 — Triagem'!$B$8:$B$507,0)),""))</f>
        <v/>
      </c>
      <c r="E66" s="193"/>
      <c r="F66" s="193"/>
      <c r="G66" s="193"/>
      <c r="H66" s="193"/>
      <c r="I66" s="194" t="str">
        <f t="shared" si="0"/>
        <v/>
      </c>
      <c r="J66" s="181"/>
      <c r="K66" s="202"/>
    </row>
    <row r="67" spans="2:11" ht="14.5" customHeight="1" x14ac:dyDescent="0.35">
      <c r="B67" s="191" t="str">
        <f>IF(Lançamentos!$B62="","",Lançamentos!$B62)</f>
        <v/>
      </c>
      <c r="C67" s="192" t="str">
        <f>IF($B67="","",IFERROR(INDEX(Lançamentos!$J$3:$J$1001,MATCH($B67,Lançamentos!$B$3:$B$1001,0)),""))</f>
        <v/>
      </c>
      <c r="D67" s="413" t="str">
        <f>IF($B67="","",IFERROR(INDEX('E2 — Triagem'!$D$8:$D$507,MATCH($B67,'E2 — Triagem'!$B$8:$B$507,0)),""))</f>
        <v/>
      </c>
      <c r="E67" s="193"/>
      <c r="F67" s="193"/>
      <c r="G67" s="193"/>
      <c r="H67" s="193"/>
      <c r="I67" s="194" t="str">
        <f t="shared" si="0"/>
        <v/>
      </c>
      <c r="J67" s="181"/>
      <c r="K67" s="202"/>
    </row>
    <row r="68" spans="2:11" ht="14.5" customHeight="1" x14ac:dyDescent="0.35">
      <c r="B68" s="191" t="str">
        <f>IF(Lançamentos!$B63="","",Lançamentos!$B63)</f>
        <v/>
      </c>
      <c r="C68" s="192" t="str">
        <f>IF($B68="","",IFERROR(INDEX(Lançamentos!$J$3:$J$1001,MATCH($B68,Lançamentos!$B$3:$B$1001,0)),""))</f>
        <v/>
      </c>
      <c r="D68" s="413" t="str">
        <f>IF($B68="","",IFERROR(INDEX('E2 — Triagem'!$D$8:$D$507,MATCH($B68,'E2 — Triagem'!$B$8:$B$507,0)),""))</f>
        <v/>
      </c>
      <c r="E68" s="193"/>
      <c r="F68" s="193"/>
      <c r="G68" s="193"/>
      <c r="H68" s="193"/>
      <c r="I68" s="194" t="str">
        <f t="shared" si="0"/>
        <v/>
      </c>
      <c r="J68" s="181"/>
      <c r="K68" s="202"/>
    </row>
    <row r="69" spans="2:11" ht="14.5" customHeight="1" x14ac:dyDescent="0.35">
      <c r="B69" s="191" t="str">
        <f>IF(Lançamentos!$B64="","",Lançamentos!$B64)</f>
        <v/>
      </c>
      <c r="C69" s="192" t="str">
        <f>IF($B69="","",IFERROR(INDEX(Lançamentos!$J$3:$J$1001,MATCH($B69,Lançamentos!$B$3:$B$1001,0)),""))</f>
        <v/>
      </c>
      <c r="D69" s="413" t="str">
        <f>IF($B69="","",IFERROR(INDEX('E2 — Triagem'!$D$8:$D$507,MATCH($B69,'E2 — Triagem'!$B$8:$B$507,0)),""))</f>
        <v/>
      </c>
      <c r="E69" s="193"/>
      <c r="F69" s="193"/>
      <c r="G69" s="193"/>
      <c r="H69" s="193"/>
      <c r="I69" s="194" t="str">
        <f t="shared" si="0"/>
        <v/>
      </c>
      <c r="J69" s="181"/>
      <c r="K69" s="202"/>
    </row>
    <row r="70" spans="2:11" ht="14.5" customHeight="1" x14ac:dyDescent="0.35">
      <c r="B70" s="191" t="str">
        <f>IF(Lançamentos!$B65="","",Lançamentos!$B65)</f>
        <v/>
      </c>
      <c r="C70" s="192" t="str">
        <f>IF($B70="","",IFERROR(INDEX(Lançamentos!$J$3:$J$1001,MATCH($B70,Lançamentos!$B$3:$B$1001,0)),""))</f>
        <v/>
      </c>
      <c r="D70" s="413" t="str">
        <f>IF($B70="","",IFERROR(INDEX('E2 — Triagem'!$D$8:$D$507,MATCH($B70,'E2 — Triagem'!$B$8:$B$507,0)),""))</f>
        <v/>
      </c>
      <c r="E70" s="193"/>
      <c r="F70" s="193"/>
      <c r="G70" s="193"/>
      <c r="H70" s="193"/>
      <c r="I70" s="194" t="str">
        <f t="shared" si="0"/>
        <v/>
      </c>
      <c r="J70" s="181"/>
      <c r="K70" s="202"/>
    </row>
    <row r="71" spans="2:11" ht="14.5" customHeight="1" x14ac:dyDescent="0.35">
      <c r="B71" s="191" t="str">
        <f>IF(Lançamentos!$B66="","",Lançamentos!$B66)</f>
        <v/>
      </c>
      <c r="C71" s="192" t="str">
        <f>IF($B71="","",IFERROR(INDEX(Lançamentos!$J$3:$J$1001,MATCH($B71,Lançamentos!$B$3:$B$1001,0)),""))</f>
        <v/>
      </c>
      <c r="D71" s="413" t="str">
        <f>IF($B71="","",IFERROR(INDEX('E2 — Triagem'!$D$8:$D$507,MATCH($B71,'E2 — Triagem'!$B$8:$B$507,0)),""))</f>
        <v/>
      </c>
      <c r="E71" s="193"/>
      <c r="F71" s="193"/>
      <c r="G71" s="193"/>
      <c r="H71" s="193"/>
      <c r="I71" s="194" t="str">
        <f t="shared" si="0"/>
        <v/>
      </c>
      <c r="J71" s="181"/>
      <c r="K71" s="202"/>
    </row>
    <row r="72" spans="2:11" ht="14.5" customHeight="1" x14ac:dyDescent="0.35">
      <c r="B72" s="191" t="str">
        <f>IF(Lançamentos!$B67="","",Lançamentos!$B67)</f>
        <v/>
      </c>
      <c r="C72" s="192" t="str">
        <f>IF($B72="","",IFERROR(INDEX(Lançamentos!$J$3:$J$1001,MATCH($B72,Lançamentos!$B$3:$B$1001,0)),""))</f>
        <v/>
      </c>
      <c r="D72" s="413" t="str">
        <f>IF($B72="","",IFERROR(INDEX('E2 — Triagem'!$D$8:$D$507,MATCH($B72,'E2 — Triagem'!$B$8:$B$507,0)),""))</f>
        <v/>
      </c>
      <c r="E72" s="193"/>
      <c r="F72" s="193"/>
      <c r="G72" s="193"/>
      <c r="H72" s="193"/>
      <c r="I72" s="194" t="str">
        <f t="shared" si="0"/>
        <v/>
      </c>
      <c r="J72" s="181"/>
      <c r="K72" s="202"/>
    </row>
    <row r="73" spans="2:11" ht="14.5" customHeight="1" x14ac:dyDescent="0.35">
      <c r="B73" s="191" t="str">
        <f>IF(Lançamentos!$B68="","",Lançamentos!$B68)</f>
        <v/>
      </c>
      <c r="C73" s="192" t="str">
        <f>IF($B73="","",IFERROR(INDEX(Lançamentos!$J$3:$J$1001,MATCH($B73,Lançamentos!$B$3:$B$1001,0)),""))</f>
        <v/>
      </c>
      <c r="D73" s="413" t="str">
        <f>IF($B73="","",IFERROR(INDEX('E2 — Triagem'!$D$8:$D$507,MATCH($B73,'E2 — Triagem'!$B$8:$B$507,0)),""))</f>
        <v/>
      </c>
      <c r="E73" s="193"/>
      <c r="F73" s="193"/>
      <c r="G73" s="193"/>
      <c r="H73" s="193"/>
      <c r="I73" s="194" t="str">
        <f t="shared" ref="I73:I136" si="1">IF(B73="","",IF(COUNTIF(E73:H73,"N/A")=4,0,COUNTIF(E73:H73,"✔ Concluído")/(4-COUNTIF(E73:H73,"N/A"))))</f>
        <v/>
      </c>
      <c r="J73" s="181"/>
      <c r="K73" s="202"/>
    </row>
    <row r="74" spans="2:11" ht="14.5" customHeight="1" x14ac:dyDescent="0.35">
      <c r="B74" s="191" t="str">
        <f>IF(Lançamentos!$B69="","",Lançamentos!$B69)</f>
        <v/>
      </c>
      <c r="C74" s="192" t="str">
        <f>IF($B74="","",IFERROR(INDEX(Lançamentos!$J$3:$J$1001,MATCH($B74,Lançamentos!$B$3:$B$1001,0)),""))</f>
        <v/>
      </c>
      <c r="D74" s="413" t="str">
        <f>IF($B74="","",IFERROR(INDEX('E2 — Triagem'!$D$8:$D$507,MATCH($B74,'E2 — Triagem'!$B$8:$B$507,0)),""))</f>
        <v/>
      </c>
      <c r="E74" s="193"/>
      <c r="F74" s="193"/>
      <c r="G74" s="193"/>
      <c r="H74" s="193"/>
      <c r="I74" s="194" t="str">
        <f t="shared" si="1"/>
        <v/>
      </c>
      <c r="J74" s="181"/>
      <c r="K74" s="202"/>
    </row>
    <row r="75" spans="2:11" ht="14.5" customHeight="1" x14ac:dyDescent="0.35">
      <c r="B75" s="191" t="str">
        <f>IF(Lançamentos!$B70="","",Lançamentos!$B70)</f>
        <v/>
      </c>
      <c r="C75" s="192" t="str">
        <f>IF($B75="","",IFERROR(INDEX(Lançamentos!$J$3:$J$1001,MATCH($B75,Lançamentos!$B$3:$B$1001,0)),""))</f>
        <v/>
      </c>
      <c r="D75" s="413" t="str">
        <f>IF($B75="","",IFERROR(INDEX('E2 — Triagem'!$D$8:$D$507,MATCH($B75,'E2 — Triagem'!$B$8:$B$507,0)),""))</f>
        <v/>
      </c>
      <c r="E75" s="193"/>
      <c r="F75" s="193"/>
      <c r="G75" s="193"/>
      <c r="H75" s="193"/>
      <c r="I75" s="194" t="str">
        <f t="shared" si="1"/>
        <v/>
      </c>
      <c r="J75" s="181"/>
      <c r="K75" s="202"/>
    </row>
    <row r="76" spans="2:11" ht="14.5" customHeight="1" x14ac:dyDescent="0.35">
      <c r="B76" s="191" t="str">
        <f>IF(Lançamentos!$B71="","",Lançamentos!$B71)</f>
        <v/>
      </c>
      <c r="C76" s="192" t="str">
        <f>IF($B76="","",IFERROR(INDEX(Lançamentos!$J$3:$J$1001,MATCH($B76,Lançamentos!$B$3:$B$1001,0)),""))</f>
        <v/>
      </c>
      <c r="D76" s="413" t="str">
        <f>IF($B76="","",IFERROR(INDEX('E2 — Triagem'!$D$8:$D$507,MATCH($B76,'E2 — Triagem'!$B$8:$B$507,0)),""))</f>
        <v/>
      </c>
      <c r="E76" s="193"/>
      <c r="F76" s="193"/>
      <c r="G76" s="193"/>
      <c r="H76" s="193"/>
      <c r="I76" s="194" t="str">
        <f t="shared" si="1"/>
        <v/>
      </c>
      <c r="J76" s="181"/>
      <c r="K76" s="202"/>
    </row>
    <row r="77" spans="2:11" ht="14.5" customHeight="1" x14ac:dyDescent="0.35">
      <c r="B77" s="191" t="str">
        <f>IF(Lançamentos!$B72="","",Lançamentos!$B72)</f>
        <v/>
      </c>
      <c r="C77" s="192" t="str">
        <f>IF($B77="","",IFERROR(INDEX(Lançamentos!$J$3:$J$1001,MATCH($B77,Lançamentos!$B$3:$B$1001,0)),""))</f>
        <v/>
      </c>
      <c r="D77" s="413" t="str">
        <f>IF($B77="","",IFERROR(INDEX('E2 — Triagem'!$D$8:$D$507,MATCH($B77,'E2 — Triagem'!$B$8:$B$507,0)),""))</f>
        <v/>
      </c>
      <c r="E77" s="193"/>
      <c r="F77" s="193"/>
      <c r="G77" s="193"/>
      <c r="H77" s="193"/>
      <c r="I77" s="194" t="str">
        <f t="shared" si="1"/>
        <v/>
      </c>
      <c r="J77" s="181"/>
      <c r="K77" s="202"/>
    </row>
    <row r="78" spans="2:11" ht="14.5" customHeight="1" x14ac:dyDescent="0.35">
      <c r="B78" s="191" t="str">
        <f>IF(Lançamentos!$B73="","",Lançamentos!$B73)</f>
        <v/>
      </c>
      <c r="C78" s="192" t="str">
        <f>IF($B78="","",IFERROR(INDEX(Lançamentos!$J$3:$J$1001,MATCH($B78,Lançamentos!$B$3:$B$1001,0)),""))</f>
        <v/>
      </c>
      <c r="D78" s="413" t="str">
        <f>IF($B78="","",IFERROR(INDEX('E2 — Triagem'!$D$8:$D$507,MATCH($B78,'E2 — Triagem'!$B$8:$B$507,0)),""))</f>
        <v/>
      </c>
      <c r="E78" s="193"/>
      <c r="F78" s="193"/>
      <c r="G78" s="193"/>
      <c r="H78" s="193"/>
      <c r="I78" s="194" t="str">
        <f t="shared" si="1"/>
        <v/>
      </c>
      <c r="J78" s="181"/>
      <c r="K78" s="202"/>
    </row>
    <row r="79" spans="2:11" ht="14.5" customHeight="1" x14ac:dyDescent="0.35">
      <c r="B79" s="191" t="str">
        <f>IF(Lançamentos!$B74="","",Lançamentos!$B74)</f>
        <v/>
      </c>
      <c r="C79" s="192" t="str">
        <f>IF($B79="","",IFERROR(INDEX(Lançamentos!$J$3:$J$1001,MATCH($B79,Lançamentos!$B$3:$B$1001,0)),""))</f>
        <v/>
      </c>
      <c r="D79" s="413" t="str">
        <f>IF($B79="","",IFERROR(INDEX('E2 — Triagem'!$D$8:$D$507,MATCH($B79,'E2 — Triagem'!$B$8:$B$507,0)),""))</f>
        <v/>
      </c>
      <c r="E79" s="193"/>
      <c r="F79" s="193"/>
      <c r="G79" s="193"/>
      <c r="H79" s="193"/>
      <c r="I79" s="194" t="str">
        <f t="shared" si="1"/>
        <v/>
      </c>
      <c r="J79" s="181"/>
      <c r="K79" s="202"/>
    </row>
    <row r="80" spans="2:11" ht="14.5" customHeight="1" x14ac:dyDescent="0.35">
      <c r="B80" s="191" t="str">
        <f>IF(Lançamentos!$B75="","",Lançamentos!$B75)</f>
        <v/>
      </c>
      <c r="C80" s="192" t="str">
        <f>IF($B80="","",IFERROR(INDEX(Lançamentos!$J$3:$J$1001,MATCH($B80,Lançamentos!$B$3:$B$1001,0)),""))</f>
        <v/>
      </c>
      <c r="D80" s="413" t="str">
        <f>IF($B80="","",IFERROR(INDEX('E2 — Triagem'!$D$8:$D$507,MATCH($B80,'E2 — Triagem'!$B$8:$B$507,0)),""))</f>
        <v/>
      </c>
      <c r="E80" s="193"/>
      <c r="F80" s="193"/>
      <c r="G80" s="193"/>
      <c r="H80" s="193"/>
      <c r="I80" s="194" t="str">
        <f t="shared" si="1"/>
        <v/>
      </c>
      <c r="J80" s="181"/>
      <c r="K80" s="202"/>
    </row>
    <row r="81" spans="2:11" ht="14.5" customHeight="1" x14ac:dyDescent="0.35">
      <c r="B81" s="191" t="str">
        <f>IF(Lançamentos!$B76="","",Lançamentos!$B76)</f>
        <v/>
      </c>
      <c r="C81" s="192" t="str">
        <f>IF($B81="","",IFERROR(INDEX(Lançamentos!$J$3:$J$1001,MATCH($B81,Lançamentos!$B$3:$B$1001,0)),""))</f>
        <v/>
      </c>
      <c r="D81" s="413" t="str">
        <f>IF($B81="","",IFERROR(INDEX('E2 — Triagem'!$D$8:$D$507,MATCH($B81,'E2 — Triagem'!$B$8:$B$507,0)),""))</f>
        <v/>
      </c>
      <c r="E81" s="193"/>
      <c r="F81" s="193"/>
      <c r="G81" s="193"/>
      <c r="H81" s="193"/>
      <c r="I81" s="194" t="str">
        <f t="shared" si="1"/>
        <v/>
      </c>
      <c r="J81" s="181"/>
      <c r="K81" s="202"/>
    </row>
    <row r="82" spans="2:11" ht="14.5" customHeight="1" x14ac:dyDescent="0.35">
      <c r="B82" s="191" t="str">
        <f>IF(Lançamentos!$B77="","",Lançamentos!$B77)</f>
        <v/>
      </c>
      <c r="C82" s="192" t="str">
        <f>IF($B82="","",IFERROR(INDEX(Lançamentos!$J$3:$J$1001,MATCH($B82,Lançamentos!$B$3:$B$1001,0)),""))</f>
        <v/>
      </c>
      <c r="D82" s="413" t="str">
        <f>IF($B82="","",IFERROR(INDEX('E2 — Triagem'!$D$8:$D$507,MATCH($B82,'E2 — Triagem'!$B$8:$B$507,0)),""))</f>
        <v/>
      </c>
      <c r="E82" s="193"/>
      <c r="F82" s="193"/>
      <c r="G82" s="193"/>
      <c r="H82" s="193"/>
      <c r="I82" s="194" t="str">
        <f t="shared" si="1"/>
        <v/>
      </c>
      <c r="J82" s="181"/>
      <c r="K82" s="202"/>
    </row>
    <row r="83" spans="2:11" ht="14.5" customHeight="1" x14ac:dyDescent="0.35">
      <c r="B83" s="191" t="str">
        <f>IF(Lançamentos!$B78="","",Lançamentos!$B78)</f>
        <v/>
      </c>
      <c r="C83" s="192" t="str">
        <f>IF($B83="","",IFERROR(INDEX(Lançamentos!$J$3:$J$1001,MATCH($B83,Lançamentos!$B$3:$B$1001,0)),""))</f>
        <v/>
      </c>
      <c r="D83" s="413" t="str">
        <f>IF($B83="","",IFERROR(INDEX('E2 — Triagem'!$D$8:$D$507,MATCH($B83,'E2 — Triagem'!$B$8:$B$507,0)),""))</f>
        <v/>
      </c>
      <c r="E83" s="193"/>
      <c r="F83" s="193"/>
      <c r="G83" s="193"/>
      <c r="H83" s="193"/>
      <c r="I83" s="194" t="str">
        <f t="shared" si="1"/>
        <v/>
      </c>
      <c r="J83" s="181"/>
      <c r="K83" s="202"/>
    </row>
    <row r="84" spans="2:11" ht="14.5" customHeight="1" x14ac:dyDescent="0.35">
      <c r="B84" s="191" t="str">
        <f>IF(Lançamentos!$B79="","",Lançamentos!$B79)</f>
        <v/>
      </c>
      <c r="C84" s="192" t="str">
        <f>IF($B84="","",IFERROR(INDEX(Lançamentos!$J$3:$J$1001,MATCH($B84,Lançamentos!$B$3:$B$1001,0)),""))</f>
        <v/>
      </c>
      <c r="D84" s="413" t="str">
        <f>IF($B84="","",IFERROR(INDEX('E2 — Triagem'!$D$8:$D$507,MATCH($B84,'E2 — Triagem'!$B$8:$B$507,0)),""))</f>
        <v/>
      </c>
      <c r="E84" s="193"/>
      <c r="F84" s="193"/>
      <c r="G84" s="193"/>
      <c r="H84" s="193"/>
      <c r="I84" s="194" t="str">
        <f t="shared" si="1"/>
        <v/>
      </c>
      <c r="J84" s="181"/>
      <c r="K84" s="202"/>
    </row>
    <row r="85" spans="2:11" ht="14.5" customHeight="1" x14ac:dyDescent="0.35">
      <c r="B85" s="191" t="str">
        <f>IF(Lançamentos!$B80="","",Lançamentos!$B80)</f>
        <v/>
      </c>
      <c r="C85" s="192" t="str">
        <f>IF($B85="","",IFERROR(INDEX(Lançamentos!$J$3:$J$1001,MATCH($B85,Lançamentos!$B$3:$B$1001,0)),""))</f>
        <v/>
      </c>
      <c r="D85" s="413" t="str">
        <f>IF($B85="","",IFERROR(INDEX('E2 — Triagem'!$D$8:$D$507,MATCH($B85,'E2 — Triagem'!$B$8:$B$507,0)),""))</f>
        <v/>
      </c>
      <c r="E85" s="193"/>
      <c r="F85" s="193"/>
      <c r="G85" s="193"/>
      <c r="H85" s="193"/>
      <c r="I85" s="194" t="str">
        <f t="shared" si="1"/>
        <v/>
      </c>
      <c r="J85" s="181"/>
      <c r="K85" s="202"/>
    </row>
    <row r="86" spans="2:11" ht="14.5" customHeight="1" x14ac:dyDescent="0.35">
      <c r="B86" s="191" t="str">
        <f>IF(Lançamentos!$B81="","",Lançamentos!$B81)</f>
        <v/>
      </c>
      <c r="C86" s="192" t="str">
        <f>IF($B86="","",IFERROR(INDEX(Lançamentos!$J$3:$J$1001,MATCH($B86,Lançamentos!$B$3:$B$1001,0)),""))</f>
        <v/>
      </c>
      <c r="D86" s="413" t="str">
        <f>IF($B86="","",IFERROR(INDEX('E2 — Triagem'!$D$8:$D$507,MATCH($B86,'E2 — Triagem'!$B$8:$B$507,0)),""))</f>
        <v/>
      </c>
      <c r="E86" s="193"/>
      <c r="F86" s="193"/>
      <c r="G86" s="193"/>
      <c r="H86" s="193"/>
      <c r="I86" s="194" t="str">
        <f t="shared" si="1"/>
        <v/>
      </c>
      <c r="J86" s="181"/>
      <c r="K86" s="202"/>
    </row>
    <row r="87" spans="2:11" ht="14.5" customHeight="1" x14ac:dyDescent="0.35">
      <c r="B87" s="191" t="str">
        <f>IF(Lançamentos!$B82="","",Lançamentos!$B82)</f>
        <v/>
      </c>
      <c r="C87" s="192" t="str">
        <f>IF($B87="","",IFERROR(INDEX(Lançamentos!$J$3:$J$1001,MATCH($B87,Lançamentos!$B$3:$B$1001,0)),""))</f>
        <v/>
      </c>
      <c r="D87" s="413" t="str">
        <f>IF($B87="","",IFERROR(INDEX('E2 — Triagem'!$D$8:$D$507,MATCH($B87,'E2 — Triagem'!$B$8:$B$507,0)),""))</f>
        <v/>
      </c>
      <c r="E87" s="193"/>
      <c r="F87" s="193"/>
      <c r="G87" s="193"/>
      <c r="H87" s="193"/>
      <c r="I87" s="194" t="str">
        <f t="shared" si="1"/>
        <v/>
      </c>
      <c r="J87" s="181"/>
      <c r="K87" s="202"/>
    </row>
    <row r="88" spans="2:11" ht="14.5" customHeight="1" x14ac:dyDescent="0.35">
      <c r="B88" s="191" t="str">
        <f>IF(Lançamentos!$B83="","",Lançamentos!$B83)</f>
        <v/>
      </c>
      <c r="C88" s="192" t="str">
        <f>IF($B88="","",IFERROR(INDEX(Lançamentos!$J$3:$J$1001,MATCH($B88,Lançamentos!$B$3:$B$1001,0)),""))</f>
        <v/>
      </c>
      <c r="D88" s="413" t="str">
        <f>IF($B88="","",IFERROR(INDEX('E2 — Triagem'!$D$8:$D$507,MATCH($B88,'E2 — Triagem'!$B$8:$B$507,0)),""))</f>
        <v/>
      </c>
      <c r="E88" s="193"/>
      <c r="F88" s="193"/>
      <c r="G88" s="193"/>
      <c r="H88" s="193"/>
      <c r="I88" s="194" t="str">
        <f t="shared" si="1"/>
        <v/>
      </c>
      <c r="J88" s="181"/>
      <c r="K88" s="202"/>
    </row>
    <row r="89" spans="2:11" ht="14.5" customHeight="1" x14ac:dyDescent="0.35">
      <c r="B89" s="191" t="str">
        <f>IF(Lançamentos!$B84="","",Lançamentos!$B84)</f>
        <v/>
      </c>
      <c r="C89" s="192" t="str">
        <f>IF($B89="","",IFERROR(INDEX(Lançamentos!$J$3:$J$1001,MATCH($B89,Lançamentos!$B$3:$B$1001,0)),""))</f>
        <v/>
      </c>
      <c r="D89" s="413" t="str">
        <f>IF($B89="","",IFERROR(INDEX('E2 — Triagem'!$D$8:$D$507,MATCH($B89,'E2 — Triagem'!$B$8:$B$507,0)),""))</f>
        <v/>
      </c>
      <c r="E89" s="193"/>
      <c r="F89" s="193"/>
      <c r="G89" s="193"/>
      <c r="H89" s="193"/>
      <c r="I89" s="194" t="str">
        <f t="shared" si="1"/>
        <v/>
      </c>
      <c r="J89" s="181"/>
      <c r="K89" s="202"/>
    </row>
    <row r="90" spans="2:11" ht="14.5" customHeight="1" x14ac:dyDescent="0.35">
      <c r="B90" s="191" t="str">
        <f>IF(Lançamentos!$B85="","",Lançamentos!$B85)</f>
        <v/>
      </c>
      <c r="C90" s="192" t="str">
        <f>IF($B90="","",IFERROR(INDEX(Lançamentos!$J$3:$J$1001,MATCH($B90,Lançamentos!$B$3:$B$1001,0)),""))</f>
        <v/>
      </c>
      <c r="D90" s="413" t="str">
        <f>IF($B90="","",IFERROR(INDEX('E2 — Triagem'!$D$8:$D$507,MATCH($B90,'E2 — Triagem'!$B$8:$B$507,0)),""))</f>
        <v/>
      </c>
      <c r="E90" s="193"/>
      <c r="F90" s="193"/>
      <c r="G90" s="193"/>
      <c r="H90" s="193"/>
      <c r="I90" s="194" t="str">
        <f t="shared" si="1"/>
        <v/>
      </c>
      <c r="J90" s="181"/>
      <c r="K90" s="202"/>
    </row>
    <row r="91" spans="2:11" ht="14.5" customHeight="1" x14ac:dyDescent="0.35">
      <c r="B91" s="191" t="str">
        <f>IF(Lançamentos!$B86="","",Lançamentos!$B86)</f>
        <v/>
      </c>
      <c r="C91" s="192" t="str">
        <f>IF($B91="","",IFERROR(INDEX(Lançamentos!$J$3:$J$1001,MATCH($B91,Lançamentos!$B$3:$B$1001,0)),""))</f>
        <v/>
      </c>
      <c r="D91" s="413" t="str">
        <f>IF($B91="","",IFERROR(INDEX('E2 — Triagem'!$D$8:$D$507,MATCH($B91,'E2 — Triagem'!$B$8:$B$507,0)),""))</f>
        <v/>
      </c>
      <c r="E91" s="193"/>
      <c r="F91" s="193"/>
      <c r="G91" s="193"/>
      <c r="H91" s="193"/>
      <c r="I91" s="194" t="str">
        <f t="shared" si="1"/>
        <v/>
      </c>
      <c r="J91" s="181"/>
      <c r="K91" s="202"/>
    </row>
    <row r="92" spans="2:11" ht="14.5" customHeight="1" x14ac:dyDescent="0.35">
      <c r="B92" s="191" t="str">
        <f>IF(Lançamentos!$B87="","",Lançamentos!$B87)</f>
        <v/>
      </c>
      <c r="C92" s="192" t="str">
        <f>IF($B92="","",IFERROR(INDEX(Lançamentos!$J$3:$J$1001,MATCH($B92,Lançamentos!$B$3:$B$1001,0)),""))</f>
        <v/>
      </c>
      <c r="D92" s="413" t="str">
        <f>IF($B92="","",IFERROR(INDEX('E2 — Triagem'!$D$8:$D$507,MATCH($B92,'E2 — Triagem'!$B$8:$B$507,0)),""))</f>
        <v/>
      </c>
      <c r="E92" s="193"/>
      <c r="F92" s="193"/>
      <c r="G92" s="193"/>
      <c r="H92" s="193"/>
      <c r="I92" s="194" t="str">
        <f t="shared" si="1"/>
        <v/>
      </c>
      <c r="J92" s="181"/>
      <c r="K92" s="202"/>
    </row>
    <row r="93" spans="2:11" ht="14.5" customHeight="1" x14ac:dyDescent="0.35">
      <c r="B93" s="191" t="str">
        <f>IF(Lançamentos!$B88="","",Lançamentos!$B88)</f>
        <v/>
      </c>
      <c r="C93" s="192" t="str">
        <f>IF($B93="","",IFERROR(INDEX(Lançamentos!$J$3:$J$1001,MATCH($B93,Lançamentos!$B$3:$B$1001,0)),""))</f>
        <v/>
      </c>
      <c r="D93" s="413" t="str">
        <f>IF($B93="","",IFERROR(INDEX('E2 — Triagem'!$D$8:$D$507,MATCH($B93,'E2 — Triagem'!$B$8:$B$507,0)),""))</f>
        <v/>
      </c>
      <c r="E93" s="193"/>
      <c r="F93" s="193"/>
      <c r="G93" s="193"/>
      <c r="H93" s="193"/>
      <c r="I93" s="194" t="str">
        <f t="shared" si="1"/>
        <v/>
      </c>
      <c r="J93" s="181"/>
      <c r="K93" s="202"/>
    </row>
    <row r="94" spans="2:11" ht="14.5" customHeight="1" x14ac:dyDescent="0.35">
      <c r="B94" s="191" t="str">
        <f>IF(Lançamentos!$B89="","",Lançamentos!$B89)</f>
        <v/>
      </c>
      <c r="C94" s="192" t="str">
        <f>IF($B94="","",IFERROR(INDEX(Lançamentos!$J$3:$J$1001,MATCH($B94,Lançamentos!$B$3:$B$1001,0)),""))</f>
        <v/>
      </c>
      <c r="D94" s="413" t="str">
        <f>IF($B94="","",IFERROR(INDEX('E2 — Triagem'!$D$8:$D$507,MATCH($B94,'E2 — Triagem'!$B$8:$B$507,0)),""))</f>
        <v/>
      </c>
      <c r="E94" s="193"/>
      <c r="F94" s="193"/>
      <c r="G94" s="193"/>
      <c r="H94" s="193"/>
      <c r="I94" s="194" t="str">
        <f t="shared" si="1"/>
        <v/>
      </c>
      <c r="J94" s="181"/>
      <c r="K94" s="202"/>
    </row>
    <row r="95" spans="2:11" ht="14.5" customHeight="1" x14ac:dyDescent="0.35">
      <c r="B95" s="191" t="str">
        <f>IF(Lançamentos!$B90="","",Lançamentos!$B90)</f>
        <v/>
      </c>
      <c r="C95" s="192" t="str">
        <f>IF($B95="","",IFERROR(INDEX(Lançamentos!$J$3:$J$1001,MATCH($B95,Lançamentos!$B$3:$B$1001,0)),""))</f>
        <v/>
      </c>
      <c r="D95" s="413" t="str">
        <f>IF($B95="","",IFERROR(INDEX('E2 — Triagem'!$D$8:$D$507,MATCH($B95,'E2 — Triagem'!$B$8:$B$507,0)),""))</f>
        <v/>
      </c>
      <c r="E95" s="193"/>
      <c r="F95" s="193"/>
      <c r="G95" s="193"/>
      <c r="H95" s="193"/>
      <c r="I95" s="194" t="str">
        <f t="shared" si="1"/>
        <v/>
      </c>
      <c r="J95" s="181"/>
      <c r="K95" s="202"/>
    </row>
    <row r="96" spans="2:11" ht="14.5" customHeight="1" x14ac:dyDescent="0.35">
      <c r="B96" s="191" t="str">
        <f>IF(Lançamentos!$B91="","",Lançamentos!$B91)</f>
        <v/>
      </c>
      <c r="C96" s="192" t="str">
        <f>IF($B96="","",IFERROR(INDEX(Lançamentos!$J$3:$J$1001,MATCH($B96,Lançamentos!$B$3:$B$1001,0)),""))</f>
        <v/>
      </c>
      <c r="D96" s="413" t="str">
        <f>IF($B96="","",IFERROR(INDEX('E2 — Triagem'!$D$8:$D$507,MATCH($B96,'E2 — Triagem'!$B$8:$B$507,0)),""))</f>
        <v/>
      </c>
      <c r="E96" s="193"/>
      <c r="F96" s="193"/>
      <c r="G96" s="193"/>
      <c r="H96" s="193"/>
      <c r="I96" s="194" t="str">
        <f t="shared" si="1"/>
        <v/>
      </c>
      <c r="J96" s="181"/>
      <c r="K96" s="202"/>
    </row>
    <row r="97" spans="2:11" ht="14.5" customHeight="1" x14ac:dyDescent="0.35">
      <c r="B97" s="191" t="str">
        <f>IF(Lançamentos!$B92="","",Lançamentos!$B92)</f>
        <v/>
      </c>
      <c r="C97" s="192" t="str">
        <f>IF($B97="","",IFERROR(INDEX(Lançamentos!$J$3:$J$1001,MATCH($B97,Lançamentos!$B$3:$B$1001,0)),""))</f>
        <v/>
      </c>
      <c r="D97" s="413" t="str">
        <f>IF($B97="","",IFERROR(INDEX('E2 — Triagem'!$D$8:$D$507,MATCH($B97,'E2 — Triagem'!$B$8:$B$507,0)),""))</f>
        <v/>
      </c>
      <c r="E97" s="193"/>
      <c r="F97" s="193"/>
      <c r="G97" s="193"/>
      <c r="H97" s="193"/>
      <c r="I97" s="194" t="str">
        <f t="shared" si="1"/>
        <v/>
      </c>
      <c r="J97" s="181"/>
      <c r="K97" s="202"/>
    </row>
    <row r="98" spans="2:11" ht="14.5" customHeight="1" x14ac:dyDescent="0.35">
      <c r="B98" s="191" t="str">
        <f>IF(Lançamentos!$B93="","",Lançamentos!$B93)</f>
        <v/>
      </c>
      <c r="C98" s="192" t="str">
        <f>IF($B98="","",IFERROR(INDEX(Lançamentos!$J$3:$J$1001,MATCH($B98,Lançamentos!$B$3:$B$1001,0)),""))</f>
        <v/>
      </c>
      <c r="D98" s="413" t="str">
        <f>IF($B98="","",IFERROR(INDEX('E2 — Triagem'!$D$8:$D$507,MATCH($B98,'E2 — Triagem'!$B$8:$B$507,0)),""))</f>
        <v/>
      </c>
      <c r="E98" s="193"/>
      <c r="F98" s="193"/>
      <c r="G98" s="193"/>
      <c r="H98" s="193"/>
      <c r="I98" s="194" t="str">
        <f t="shared" si="1"/>
        <v/>
      </c>
      <c r="J98" s="181"/>
      <c r="K98" s="202"/>
    </row>
    <row r="99" spans="2:11" ht="14.5" customHeight="1" x14ac:dyDescent="0.35">
      <c r="B99" s="191" t="str">
        <f>IF(Lançamentos!$B94="","",Lançamentos!$B94)</f>
        <v/>
      </c>
      <c r="C99" s="192" t="str">
        <f>IF($B99="","",IFERROR(INDEX(Lançamentos!$J$3:$J$1001,MATCH($B99,Lançamentos!$B$3:$B$1001,0)),""))</f>
        <v/>
      </c>
      <c r="D99" s="413" t="str">
        <f>IF($B99="","",IFERROR(INDEX('E2 — Triagem'!$D$8:$D$507,MATCH($B99,'E2 — Triagem'!$B$8:$B$507,0)),""))</f>
        <v/>
      </c>
      <c r="E99" s="193"/>
      <c r="F99" s="193"/>
      <c r="G99" s="193"/>
      <c r="H99" s="193"/>
      <c r="I99" s="194" t="str">
        <f t="shared" si="1"/>
        <v/>
      </c>
      <c r="J99" s="181"/>
      <c r="K99" s="202"/>
    </row>
    <row r="100" spans="2:11" ht="14.5" customHeight="1" x14ac:dyDescent="0.35">
      <c r="B100" s="191" t="str">
        <f>IF(Lançamentos!$B95="","",Lançamentos!$B95)</f>
        <v/>
      </c>
      <c r="C100" s="192" t="str">
        <f>IF($B100="","",IFERROR(INDEX(Lançamentos!$J$3:$J$1001,MATCH($B100,Lançamentos!$B$3:$B$1001,0)),""))</f>
        <v/>
      </c>
      <c r="D100" s="413" t="str">
        <f>IF($B100="","",IFERROR(INDEX('E2 — Triagem'!$D$8:$D$507,MATCH($B100,'E2 — Triagem'!$B$8:$B$507,0)),""))</f>
        <v/>
      </c>
      <c r="E100" s="193"/>
      <c r="F100" s="193"/>
      <c r="G100" s="193"/>
      <c r="H100" s="193"/>
      <c r="I100" s="194" t="str">
        <f t="shared" si="1"/>
        <v/>
      </c>
      <c r="J100" s="181"/>
      <c r="K100" s="202"/>
    </row>
    <row r="101" spans="2:11" ht="14.5" customHeight="1" x14ac:dyDescent="0.35">
      <c r="B101" s="191" t="str">
        <f>IF(Lançamentos!$B96="","",Lançamentos!$B96)</f>
        <v/>
      </c>
      <c r="C101" s="192" t="str">
        <f>IF($B101="","",IFERROR(INDEX(Lançamentos!$J$3:$J$1001,MATCH($B101,Lançamentos!$B$3:$B$1001,0)),""))</f>
        <v/>
      </c>
      <c r="D101" s="413" t="str">
        <f>IF($B101="","",IFERROR(INDEX('E2 — Triagem'!$D$8:$D$507,MATCH($B101,'E2 — Triagem'!$B$8:$B$507,0)),""))</f>
        <v/>
      </c>
      <c r="E101" s="193"/>
      <c r="F101" s="193"/>
      <c r="G101" s="193"/>
      <c r="H101" s="193"/>
      <c r="I101" s="194" t="str">
        <f t="shared" si="1"/>
        <v/>
      </c>
      <c r="J101" s="181"/>
      <c r="K101" s="202"/>
    </row>
    <row r="102" spans="2:11" ht="14.5" customHeight="1" x14ac:dyDescent="0.35">
      <c r="B102" s="191" t="str">
        <f>IF(Lançamentos!$B97="","",Lançamentos!$B97)</f>
        <v/>
      </c>
      <c r="C102" s="192" t="str">
        <f>IF($B102="","",IFERROR(INDEX(Lançamentos!$J$3:$J$1001,MATCH($B102,Lançamentos!$B$3:$B$1001,0)),""))</f>
        <v/>
      </c>
      <c r="D102" s="413" t="str">
        <f>IF($B102="","",IFERROR(INDEX('E2 — Triagem'!$D$8:$D$507,MATCH($B102,'E2 — Triagem'!$B$8:$B$507,0)),""))</f>
        <v/>
      </c>
      <c r="E102" s="193"/>
      <c r="F102" s="193"/>
      <c r="G102" s="193"/>
      <c r="H102" s="193"/>
      <c r="I102" s="194" t="str">
        <f t="shared" si="1"/>
        <v/>
      </c>
      <c r="J102" s="181"/>
      <c r="K102" s="202"/>
    </row>
    <row r="103" spans="2:11" ht="14.5" customHeight="1" x14ac:dyDescent="0.35">
      <c r="B103" s="191" t="str">
        <f>IF(Lançamentos!$B98="","",Lançamentos!$B98)</f>
        <v/>
      </c>
      <c r="C103" s="192" t="str">
        <f>IF($B103="","",IFERROR(INDEX(Lançamentos!$J$3:$J$1001,MATCH($B103,Lançamentos!$B$3:$B$1001,0)),""))</f>
        <v/>
      </c>
      <c r="D103" s="413" t="str">
        <f>IF($B103="","",IFERROR(INDEX('E2 — Triagem'!$D$8:$D$507,MATCH($B103,'E2 — Triagem'!$B$8:$B$507,0)),""))</f>
        <v/>
      </c>
      <c r="E103" s="193"/>
      <c r="F103" s="193"/>
      <c r="G103" s="193"/>
      <c r="H103" s="193"/>
      <c r="I103" s="194" t="str">
        <f t="shared" si="1"/>
        <v/>
      </c>
      <c r="J103" s="181"/>
      <c r="K103" s="202"/>
    </row>
    <row r="104" spans="2:11" ht="14.5" customHeight="1" x14ac:dyDescent="0.35">
      <c r="B104" s="191" t="str">
        <f>IF(Lançamentos!$B99="","",Lançamentos!$B99)</f>
        <v/>
      </c>
      <c r="C104" s="192" t="str">
        <f>IF($B104="","",IFERROR(INDEX(Lançamentos!$J$3:$J$1001,MATCH($B104,Lançamentos!$B$3:$B$1001,0)),""))</f>
        <v/>
      </c>
      <c r="D104" s="413" t="str">
        <f>IF($B104="","",IFERROR(INDEX('E2 — Triagem'!$D$8:$D$507,MATCH($B104,'E2 — Triagem'!$B$8:$B$507,0)),""))</f>
        <v/>
      </c>
      <c r="E104" s="193"/>
      <c r="F104" s="193"/>
      <c r="G104" s="193"/>
      <c r="H104" s="193"/>
      <c r="I104" s="194" t="str">
        <f t="shared" si="1"/>
        <v/>
      </c>
      <c r="J104" s="181"/>
      <c r="K104" s="202"/>
    </row>
    <row r="105" spans="2:11" ht="14.5" customHeight="1" x14ac:dyDescent="0.35">
      <c r="B105" s="191" t="str">
        <f>IF(Lançamentos!$B100="","",Lançamentos!$B100)</f>
        <v/>
      </c>
      <c r="C105" s="192" t="str">
        <f>IF($B105="","",IFERROR(INDEX(Lançamentos!$J$3:$J$1001,MATCH($B105,Lançamentos!$B$3:$B$1001,0)),""))</f>
        <v/>
      </c>
      <c r="D105" s="413" t="str">
        <f>IF($B105="","",IFERROR(INDEX('E2 — Triagem'!$D$8:$D$507,MATCH($B105,'E2 — Triagem'!$B$8:$B$507,0)),""))</f>
        <v/>
      </c>
      <c r="E105" s="193"/>
      <c r="F105" s="193"/>
      <c r="G105" s="193"/>
      <c r="H105" s="193"/>
      <c r="I105" s="194" t="str">
        <f t="shared" si="1"/>
        <v/>
      </c>
      <c r="J105" s="181"/>
      <c r="K105" s="202"/>
    </row>
    <row r="106" spans="2:11" ht="14.5" customHeight="1" x14ac:dyDescent="0.35">
      <c r="B106" s="191" t="str">
        <f>IF(Lançamentos!$B101="","",Lançamentos!$B101)</f>
        <v/>
      </c>
      <c r="C106" s="192" t="str">
        <f>IF($B106="","",IFERROR(INDEX(Lançamentos!$J$3:$J$1001,MATCH($B106,Lançamentos!$B$3:$B$1001,0)),""))</f>
        <v/>
      </c>
      <c r="D106" s="413" t="str">
        <f>IF($B106="","",IFERROR(INDEX('E2 — Triagem'!$D$8:$D$507,MATCH($B106,'E2 — Triagem'!$B$8:$B$507,0)),""))</f>
        <v/>
      </c>
      <c r="E106" s="193"/>
      <c r="F106" s="193"/>
      <c r="G106" s="193"/>
      <c r="H106" s="193"/>
      <c r="I106" s="194" t="str">
        <f t="shared" si="1"/>
        <v/>
      </c>
      <c r="J106" s="181"/>
      <c r="K106" s="202"/>
    </row>
    <row r="107" spans="2:11" ht="14.5" customHeight="1" x14ac:dyDescent="0.35">
      <c r="B107" s="191" t="str">
        <f>IF(Lançamentos!$B102="","",Lançamentos!$B102)</f>
        <v/>
      </c>
      <c r="C107" s="192" t="str">
        <f>IF($B107="","",IFERROR(INDEX(Lançamentos!$J$3:$J$1001,MATCH($B107,Lançamentos!$B$3:$B$1001,0)),""))</f>
        <v/>
      </c>
      <c r="D107" s="413" t="str">
        <f>IF($B107="","",IFERROR(INDEX('E2 — Triagem'!$D$8:$D$507,MATCH($B107,'E2 — Triagem'!$B$8:$B$507,0)),""))</f>
        <v/>
      </c>
      <c r="E107" s="193"/>
      <c r="F107" s="193"/>
      <c r="G107" s="193"/>
      <c r="H107" s="193"/>
      <c r="I107" s="194" t="str">
        <f t="shared" si="1"/>
        <v/>
      </c>
      <c r="J107" s="181"/>
      <c r="K107" s="202"/>
    </row>
    <row r="108" spans="2:11" ht="14.5" customHeight="1" x14ac:dyDescent="0.35">
      <c r="B108" s="191" t="str">
        <f>IF(Lançamentos!$B103="","",Lançamentos!$B103)</f>
        <v/>
      </c>
      <c r="C108" s="192" t="str">
        <f>IF($B108="","",IFERROR(INDEX(Lançamentos!$J$3:$J$1001,MATCH($B108,Lançamentos!$B$3:$B$1001,0)),""))</f>
        <v/>
      </c>
      <c r="D108" s="413" t="str">
        <f>IF($B108="","",IFERROR(INDEX('E2 — Triagem'!$D$8:$D$507,MATCH($B108,'E2 — Triagem'!$B$8:$B$507,0)),""))</f>
        <v/>
      </c>
      <c r="E108" s="193"/>
      <c r="F108" s="193"/>
      <c r="G108" s="193"/>
      <c r="H108" s="193"/>
      <c r="I108" s="194" t="str">
        <f t="shared" si="1"/>
        <v/>
      </c>
      <c r="J108" s="181"/>
      <c r="K108" s="202"/>
    </row>
    <row r="109" spans="2:11" ht="14.5" customHeight="1" x14ac:dyDescent="0.35">
      <c r="B109" s="191" t="str">
        <f>IF(Lançamentos!$B104="","",Lançamentos!$B104)</f>
        <v/>
      </c>
      <c r="C109" s="192" t="str">
        <f>IF($B109="","",IFERROR(INDEX(Lançamentos!$J$3:$J$1001,MATCH($B109,Lançamentos!$B$3:$B$1001,0)),""))</f>
        <v/>
      </c>
      <c r="D109" s="413" t="str">
        <f>IF($B109="","",IFERROR(INDEX('E2 — Triagem'!$D$8:$D$507,MATCH($B109,'E2 — Triagem'!$B$8:$B$507,0)),""))</f>
        <v/>
      </c>
      <c r="E109" s="193"/>
      <c r="F109" s="193"/>
      <c r="G109" s="193"/>
      <c r="H109" s="193"/>
      <c r="I109" s="194" t="str">
        <f t="shared" si="1"/>
        <v/>
      </c>
      <c r="J109" s="181"/>
      <c r="K109" s="202"/>
    </row>
    <row r="110" spans="2:11" ht="14.5" customHeight="1" x14ac:dyDescent="0.35">
      <c r="B110" s="191" t="str">
        <f>IF(Lançamentos!$B105="","",Lançamentos!$B105)</f>
        <v/>
      </c>
      <c r="C110" s="192" t="str">
        <f>IF($B110="","",IFERROR(INDEX(Lançamentos!$J$3:$J$1001,MATCH($B110,Lançamentos!$B$3:$B$1001,0)),""))</f>
        <v/>
      </c>
      <c r="D110" s="413" t="str">
        <f>IF($B110="","",IFERROR(INDEX('E2 — Triagem'!$D$8:$D$507,MATCH($B110,'E2 — Triagem'!$B$8:$B$507,0)),""))</f>
        <v/>
      </c>
      <c r="E110" s="193"/>
      <c r="F110" s="193"/>
      <c r="G110" s="193"/>
      <c r="H110" s="193"/>
      <c r="I110" s="194" t="str">
        <f t="shared" si="1"/>
        <v/>
      </c>
      <c r="J110" s="181"/>
      <c r="K110" s="202"/>
    </row>
    <row r="111" spans="2:11" ht="14.5" customHeight="1" x14ac:dyDescent="0.35">
      <c r="B111" s="191" t="str">
        <f>IF(Lançamentos!$B106="","",Lançamentos!$B106)</f>
        <v/>
      </c>
      <c r="C111" s="192" t="str">
        <f>IF($B111="","",IFERROR(INDEX(Lançamentos!$J$3:$J$1001,MATCH($B111,Lançamentos!$B$3:$B$1001,0)),""))</f>
        <v/>
      </c>
      <c r="D111" s="413" t="str">
        <f>IF($B111="","",IFERROR(INDEX('E2 — Triagem'!$D$8:$D$507,MATCH($B111,'E2 — Triagem'!$B$8:$B$507,0)),""))</f>
        <v/>
      </c>
      <c r="E111" s="193"/>
      <c r="F111" s="193"/>
      <c r="G111" s="193"/>
      <c r="H111" s="193"/>
      <c r="I111" s="194" t="str">
        <f t="shared" si="1"/>
        <v/>
      </c>
      <c r="J111" s="181"/>
      <c r="K111" s="202"/>
    </row>
    <row r="112" spans="2:11" ht="14.5" customHeight="1" x14ac:dyDescent="0.35">
      <c r="B112" s="191" t="str">
        <f>IF(Lançamentos!$B107="","",Lançamentos!$B107)</f>
        <v/>
      </c>
      <c r="C112" s="192" t="str">
        <f>IF($B112="","",IFERROR(INDEX(Lançamentos!$J$3:$J$1001,MATCH($B112,Lançamentos!$B$3:$B$1001,0)),""))</f>
        <v/>
      </c>
      <c r="D112" s="413" t="str">
        <f>IF($B112="","",IFERROR(INDEX('E2 — Triagem'!$D$8:$D$507,MATCH($B112,'E2 — Triagem'!$B$8:$B$507,0)),""))</f>
        <v/>
      </c>
      <c r="E112" s="193"/>
      <c r="F112" s="193"/>
      <c r="G112" s="193"/>
      <c r="H112" s="193"/>
      <c r="I112" s="194" t="str">
        <f t="shared" si="1"/>
        <v/>
      </c>
      <c r="J112" s="181"/>
      <c r="K112" s="202"/>
    </row>
    <row r="113" spans="2:11" ht="14.5" customHeight="1" x14ac:dyDescent="0.35">
      <c r="B113" s="191" t="str">
        <f>IF(Lançamentos!$B108="","",Lançamentos!$B108)</f>
        <v/>
      </c>
      <c r="C113" s="192" t="str">
        <f>IF($B113="","",IFERROR(INDEX(Lançamentos!$J$3:$J$1001,MATCH($B113,Lançamentos!$B$3:$B$1001,0)),""))</f>
        <v/>
      </c>
      <c r="D113" s="413" t="str">
        <f>IF($B113="","",IFERROR(INDEX('E2 — Triagem'!$D$8:$D$507,MATCH($B113,'E2 — Triagem'!$B$8:$B$507,0)),""))</f>
        <v/>
      </c>
      <c r="E113" s="193"/>
      <c r="F113" s="193"/>
      <c r="G113" s="193"/>
      <c r="H113" s="193"/>
      <c r="I113" s="194" t="str">
        <f t="shared" si="1"/>
        <v/>
      </c>
      <c r="J113" s="181"/>
      <c r="K113" s="202"/>
    </row>
    <row r="114" spans="2:11" ht="14.5" customHeight="1" x14ac:dyDescent="0.35">
      <c r="B114" s="191" t="str">
        <f>IF(Lançamentos!$B109="","",Lançamentos!$B109)</f>
        <v/>
      </c>
      <c r="C114" s="192" t="str">
        <f>IF($B114="","",IFERROR(INDEX(Lançamentos!$J$3:$J$1001,MATCH($B114,Lançamentos!$B$3:$B$1001,0)),""))</f>
        <v/>
      </c>
      <c r="D114" s="413" t="str">
        <f>IF($B114="","",IFERROR(INDEX('E2 — Triagem'!$D$8:$D$507,MATCH($B114,'E2 — Triagem'!$B$8:$B$507,0)),""))</f>
        <v/>
      </c>
      <c r="E114" s="193"/>
      <c r="F114" s="193"/>
      <c r="G114" s="193"/>
      <c r="H114" s="193"/>
      <c r="I114" s="194" t="str">
        <f t="shared" si="1"/>
        <v/>
      </c>
      <c r="J114" s="181"/>
      <c r="K114" s="202"/>
    </row>
    <row r="115" spans="2:11" ht="14.5" customHeight="1" x14ac:dyDescent="0.35">
      <c r="B115" s="191" t="str">
        <f>IF(Lançamentos!$B110="","",Lançamentos!$B110)</f>
        <v/>
      </c>
      <c r="C115" s="192" t="str">
        <f>IF($B115="","",IFERROR(INDEX(Lançamentos!$J$3:$J$1001,MATCH($B115,Lançamentos!$B$3:$B$1001,0)),""))</f>
        <v/>
      </c>
      <c r="D115" s="413" t="str">
        <f>IF($B115="","",IFERROR(INDEX('E2 — Triagem'!$D$8:$D$507,MATCH($B115,'E2 — Triagem'!$B$8:$B$507,0)),""))</f>
        <v/>
      </c>
      <c r="E115" s="193"/>
      <c r="F115" s="193"/>
      <c r="G115" s="193"/>
      <c r="H115" s="193"/>
      <c r="I115" s="194" t="str">
        <f t="shared" si="1"/>
        <v/>
      </c>
      <c r="J115" s="181"/>
      <c r="K115" s="202"/>
    </row>
    <row r="116" spans="2:11" ht="14.5" customHeight="1" x14ac:dyDescent="0.35">
      <c r="B116" s="191" t="str">
        <f>IF(Lançamentos!$B111="","",Lançamentos!$B111)</f>
        <v/>
      </c>
      <c r="C116" s="192" t="str">
        <f>IF($B116="","",IFERROR(INDEX(Lançamentos!$J$3:$J$1001,MATCH($B116,Lançamentos!$B$3:$B$1001,0)),""))</f>
        <v/>
      </c>
      <c r="D116" s="413" t="str">
        <f>IF($B116="","",IFERROR(INDEX('E2 — Triagem'!$D$8:$D$507,MATCH($B116,'E2 — Triagem'!$B$8:$B$507,0)),""))</f>
        <v/>
      </c>
      <c r="E116" s="193"/>
      <c r="F116" s="193"/>
      <c r="G116" s="193"/>
      <c r="H116" s="193"/>
      <c r="I116" s="194" t="str">
        <f t="shared" si="1"/>
        <v/>
      </c>
      <c r="J116" s="181"/>
      <c r="K116" s="202"/>
    </row>
    <row r="117" spans="2:11" ht="14.5" customHeight="1" x14ac:dyDescent="0.35">
      <c r="B117" s="191" t="str">
        <f>IF(Lançamentos!$B112="","",Lançamentos!$B112)</f>
        <v/>
      </c>
      <c r="C117" s="192" t="str">
        <f>IF($B117="","",IFERROR(INDEX(Lançamentos!$J$3:$J$1001,MATCH($B117,Lançamentos!$B$3:$B$1001,0)),""))</f>
        <v/>
      </c>
      <c r="D117" s="413" t="str">
        <f>IF($B117="","",IFERROR(INDEX('E2 — Triagem'!$D$8:$D$507,MATCH($B117,'E2 — Triagem'!$B$8:$B$507,0)),""))</f>
        <v/>
      </c>
      <c r="E117" s="193"/>
      <c r="F117" s="193"/>
      <c r="G117" s="193"/>
      <c r="H117" s="193"/>
      <c r="I117" s="194" t="str">
        <f t="shared" si="1"/>
        <v/>
      </c>
      <c r="J117" s="181"/>
      <c r="K117" s="202"/>
    </row>
    <row r="118" spans="2:11" ht="14.5" customHeight="1" x14ac:dyDescent="0.35">
      <c r="B118" s="191" t="str">
        <f>IF(Lançamentos!$B113="","",Lançamentos!$B113)</f>
        <v/>
      </c>
      <c r="C118" s="192" t="str">
        <f>IF($B118="","",IFERROR(INDEX(Lançamentos!$J$3:$J$1001,MATCH($B118,Lançamentos!$B$3:$B$1001,0)),""))</f>
        <v/>
      </c>
      <c r="D118" s="413" t="str">
        <f>IF($B118="","",IFERROR(INDEX('E2 — Triagem'!$D$8:$D$507,MATCH($B118,'E2 — Triagem'!$B$8:$B$507,0)),""))</f>
        <v/>
      </c>
      <c r="E118" s="193"/>
      <c r="F118" s="193"/>
      <c r="G118" s="193"/>
      <c r="H118" s="193"/>
      <c r="I118" s="194" t="str">
        <f t="shared" si="1"/>
        <v/>
      </c>
      <c r="J118" s="181"/>
      <c r="K118" s="202"/>
    </row>
    <row r="119" spans="2:11" ht="14.5" customHeight="1" x14ac:dyDescent="0.35">
      <c r="B119" s="191" t="str">
        <f>IF(Lançamentos!$B114="","",Lançamentos!$B114)</f>
        <v/>
      </c>
      <c r="C119" s="192" t="str">
        <f>IF($B119="","",IFERROR(INDEX(Lançamentos!$J$3:$J$1001,MATCH($B119,Lançamentos!$B$3:$B$1001,0)),""))</f>
        <v/>
      </c>
      <c r="D119" s="413" t="str">
        <f>IF($B119="","",IFERROR(INDEX('E2 — Triagem'!$D$8:$D$507,MATCH($B119,'E2 — Triagem'!$B$8:$B$507,0)),""))</f>
        <v/>
      </c>
      <c r="E119" s="193"/>
      <c r="F119" s="193"/>
      <c r="G119" s="193"/>
      <c r="H119" s="193"/>
      <c r="I119" s="194" t="str">
        <f t="shared" si="1"/>
        <v/>
      </c>
      <c r="J119" s="181"/>
      <c r="K119" s="202"/>
    </row>
    <row r="120" spans="2:11" ht="14.5" customHeight="1" x14ac:dyDescent="0.35">
      <c r="B120" s="191" t="str">
        <f>IF(Lançamentos!$B115="","",Lançamentos!$B115)</f>
        <v/>
      </c>
      <c r="C120" s="192" t="str">
        <f>IF($B120="","",IFERROR(INDEX(Lançamentos!$J$3:$J$1001,MATCH($B120,Lançamentos!$B$3:$B$1001,0)),""))</f>
        <v/>
      </c>
      <c r="D120" s="413" t="str">
        <f>IF($B120="","",IFERROR(INDEX('E2 — Triagem'!$D$8:$D$507,MATCH($B120,'E2 — Triagem'!$B$8:$B$507,0)),""))</f>
        <v/>
      </c>
      <c r="E120" s="193"/>
      <c r="F120" s="193"/>
      <c r="G120" s="193"/>
      <c r="H120" s="193"/>
      <c r="I120" s="194" t="str">
        <f t="shared" si="1"/>
        <v/>
      </c>
      <c r="J120" s="181"/>
      <c r="K120" s="202"/>
    </row>
    <row r="121" spans="2:11" ht="14.5" customHeight="1" x14ac:dyDescent="0.35">
      <c r="B121" s="191" t="str">
        <f>IF(Lançamentos!$B116="","",Lançamentos!$B116)</f>
        <v/>
      </c>
      <c r="C121" s="192" t="str">
        <f>IF($B121="","",IFERROR(INDEX(Lançamentos!$J$3:$J$1001,MATCH($B121,Lançamentos!$B$3:$B$1001,0)),""))</f>
        <v/>
      </c>
      <c r="D121" s="413" t="str">
        <f>IF($B121="","",IFERROR(INDEX('E2 — Triagem'!$D$8:$D$507,MATCH($B121,'E2 — Triagem'!$B$8:$B$507,0)),""))</f>
        <v/>
      </c>
      <c r="E121" s="193"/>
      <c r="F121" s="193"/>
      <c r="G121" s="193"/>
      <c r="H121" s="193"/>
      <c r="I121" s="194" t="str">
        <f t="shared" si="1"/>
        <v/>
      </c>
      <c r="J121" s="181"/>
      <c r="K121" s="202"/>
    </row>
    <row r="122" spans="2:11" ht="14.5" customHeight="1" x14ac:dyDescent="0.35">
      <c r="B122" s="191" t="str">
        <f>IF(Lançamentos!$B117="","",Lançamentos!$B117)</f>
        <v/>
      </c>
      <c r="C122" s="192" t="str">
        <f>IF($B122="","",IFERROR(INDEX(Lançamentos!$J$3:$J$1001,MATCH($B122,Lançamentos!$B$3:$B$1001,0)),""))</f>
        <v/>
      </c>
      <c r="D122" s="413" t="str">
        <f>IF($B122="","",IFERROR(INDEX('E2 — Triagem'!$D$8:$D$507,MATCH($B122,'E2 — Triagem'!$B$8:$B$507,0)),""))</f>
        <v/>
      </c>
      <c r="E122" s="193"/>
      <c r="F122" s="193"/>
      <c r="G122" s="193"/>
      <c r="H122" s="193"/>
      <c r="I122" s="194" t="str">
        <f t="shared" si="1"/>
        <v/>
      </c>
      <c r="J122" s="181"/>
      <c r="K122" s="202"/>
    </row>
    <row r="123" spans="2:11" ht="14.5" customHeight="1" x14ac:dyDescent="0.35">
      <c r="B123" s="191" t="str">
        <f>IF(Lançamentos!$B118="","",Lançamentos!$B118)</f>
        <v/>
      </c>
      <c r="C123" s="192" t="str">
        <f>IF($B123="","",IFERROR(INDEX(Lançamentos!$J$3:$J$1001,MATCH($B123,Lançamentos!$B$3:$B$1001,0)),""))</f>
        <v/>
      </c>
      <c r="D123" s="413" t="str">
        <f>IF($B123="","",IFERROR(INDEX('E2 — Triagem'!$D$8:$D$507,MATCH($B123,'E2 — Triagem'!$B$8:$B$507,0)),""))</f>
        <v/>
      </c>
      <c r="E123" s="193"/>
      <c r="F123" s="193"/>
      <c r="G123" s="193"/>
      <c r="H123" s="193"/>
      <c r="I123" s="194" t="str">
        <f t="shared" si="1"/>
        <v/>
      </c>
      <c r="J123" s="181"/>
      <c r="K123" s="202"/>
    </row>
    <row r="124" spans="2:11" ht="14.5" customHeight="1" x14ac:dyDescent="0.35">
      <c r="B124" s="191" t="str">
        <f>IF(Lançamentos!$B119="","",Lançamentos!$B119)</f>
        <v/>
      </c>
      <c r="C124" s="192" t="str">
        <f>IF($B124="","",IFERROR(INDEX(Lançamentos!$J$3:$J$1001,MATCH($B124,Lançamentos!$B$3:$B$1001,0)),""))</f>
        <v/>
      </c>
      <c r="D124" s="413" t="str">
        <f>IF($B124="","",IFERROR(INDEX('E2 — Triagem'!$D$8:$D$507,MATCH($B124,'E2 — Triagem'!$B$8:$B$507,0)),""))</f>
        <v/>
      </c>
      <c r="E124" s="193"/>
      <c r="F124" s="193"/>
      <c r="G124" s="193"/>
      <c r="H124" s="193"/>
      <c r="I124" s="194" t="str">
        <f t="shared" si="1"/>
        <v/>
      </c>
      <c r="J124" s="181"/>
      <c r="K124" s="202"/>
    </row>
    <row r="125" spans="2:11" ht="14.5" customHeight="1" x14ac:dyDescent="0.35">
      <c r="B125" s="191" t="str">
        <f>IF(Lançamentos!$B120="","",Lançamentos!$B120)</f>
        <v/>
      </c>
      <c r="C125" s="192" t="str">
        <f>IF($B125="","",IFERROR(INDEX(Lançamentos!$J$3:$J$1001,MATCH($B125,Lançamentos!$B$3:$B$1001,0)),""))</f>
        <v/>
      </c>
      <c r="D125" s="413" t="str">
        <f>IF($B125="","",IFERROR(INDEX('E2 — Triagem'!$D$8:$D$507,MATCH($B125,'E2 — Triagem'!$B$8:$B$507,0)),""))</f>
        <v/>
      </c>
      <c r="E125" s="193"/>
      <c r="F125" s="193"/>
      <c r="G125" s="193"/>
      <c r="H125" s="193"/>
      <c r="I125" s="194" t="str">
        <f t="shared" si="1"/>
        <v/>
      </c>
      <c r="J125" s="181"/>
      <c r="K125" s="202"/>
    </row>
    <row r="126" spans="2:11" ht="14.5" customHeight="1" x14ac:dyDescent="0.35">
      <c r="B126" s="191" t="str">
        <f>IF(Lançamentos!$B121="","",Lançamentos!$B121)</f>
        <v/>
      </c>
      <c r="C126" s="192" t="str">
        <f>IF($B126="","",IFERROR(INDEX(Lançamentos!$J$3:$J$1001,MATCH($B126,Lançamentos!$B$3:$B$1001,0)),""))</f>
        <v/>
      </c>
      <c r="D126" s="413" t="str">
        <f>IF($B126="","",IFERROR(INDEX('E2 — Triagem'!$D$8:$D$507,MATCH($B126,'E2 — Triagem'!$B$8:$B$507,0)),""))</f>
        <v/>
      </c>
      <c r="E126" s="193"/>
      <c r="F126" s="193"/>
      <c r="G126" s="193"/>
      <c r="H126" s="193"/>
      <c r="I126" s="194" t="str">
        <f t="shared" si="1"/>
        <v/>
      </c>
      <c r="J126" s="181"/>
      <c r="K126" s="202"/>
    </row>
    <row r="127" spans="2:11" ht="14.5" customHeight="1" x14ac:dyDescent="0.35">
      <c r="B127" s="191" t="str">
        <f>IF(Lançamentos!$B122="","",Lançamentos!$B122)</f>
        <v/>
      </c>
      <c r="C127" s="192" t="str">
        <f>IF($B127="","",IFERROR(INDEX(Lançamentos!$J$3:$J$1001,MATCH($B127,Lançamentos!$B$3:$B$1001,0)),""))</f>
        <v/>
      </c>
      <c r="D127" s="413" t="str">
        <f>IF($B127="","",IFERROR(INDEX('E2 — Triagem'!$D$8:$D$507,MATCH($B127,'E2 — Triagem'!$B$8:$B$507,0)),""))</f>
        <v/>
      </c>
      <c r="E127" s="193"/>
      <c r="F127" s="193"/>
      <c r="G127" s="193"/>
      <c r="H127" s="193"/>
      <c r="I127" s="194" t="str">
        <f t="shared" si="1"/>
        <v/>
      </c>
      <c r="J127" s="181"/>
      <c r="K127" s="202"/>
    </row>
    <row r="128" spans="2:11" ht="14.5" customHeight="1" x14ac:dyDescent="0.35">
      <c r="B128" s="191" t="str">
        <f>IF(Lançamentos!$B123="","",Lançamentos!$B123)</f>
        <v/>
      </c>
      <c r="C128" s="192" t="str">
        <f>IF($B128="","",IFERROR(INDEX(Lançamentos!$J$3:$J$1001,MATCH($B128,Lançamentos!$B$3:$B$1001,0)),""))</f>
        <v/>
      </c>
      <c r="D128" s="413" t="str">
        <f>IF($B128="","",IFERROR(INDEX('E2 — Triagem'!$D$8:$D$507,MATCH($B128,'E2 — Triagem'!$B$8:$B$507,0)),""))</f>
        <v/>
      </c>
      <c r="E128" s="193"/>
      <c r="F128" s="193"/>
      <c r="G128" s="193"/>
      <c r="H128" s="193"/>
      <c r="I128" s="194" t="str">
        <f t="shared" si="1"/>
        <v/>
      </c>
      <c r="J128" s="181"/>
      <c r="K128" s="202"/>
    </row>
    <row r="129" spans="2:11" ht="14.5" customHeight="1" x14ac:dyDescent="0.35">
      <c r="B129" s="191" t="str">
        <f>IF(Lançamentos!$B124="","",Lançamentos!$B124)</f>
        <v/>
      </c>
      <c r="C129" s="192" t="str">
        <f>IF($B129="","",IFERROR(INDEX(Lançamentos!$J$3:$J$1001,MATCH($B129,Lançamentos!$B$3:$B$1001,0)),""))</f>
        <v/>
      </c>
      <c r="D129" s="413" t="str">
        <f>IF($B129="","",IFERROR(INDEX('E2 — Triagem'!$D$8:$D$507,MATCH($B129,'E2 — Triagem'!$B$8:$B$507,0)),""))</f>
        <v/>
      </c>
      <c r="E129" s="193"/>
      <c r="F129" s="193"/>
      <c r="G129" s="193"/>
      <c r="H129" s="193"/>
      <c r="I129" s="194" t="str">
        <f t="shared" si="1"/>
        <v/>
      </c>
      <c r="J129" s="181"/>
      <c r="K129" s="202"/>
    </row>
    <row r="130" spans="2:11" ht="14.5" customHeight="1" x14ac:dyDescent="0.35">
      <c r="B130" s="191" t="str">
        <f>IF(Lançamentos!$B125="","",Lançamentos!$B125)</f>
        <v/>
      </c>
      <c r="C130" s="192" t="str">
        <f>IF($B130="","",IFERROR(INDEX(Lançamentos!$J$3:$J$1001,MATCH($B130,Lançamentos!$B$3:$B$1001,0)),""))</f>
        <v/>
      </c>
      <c r="D130" s="413" t="str">
        <f>IF($B130="","",IFERROR(INDEX('E2 — Triagem'!$D$8:$D$507,MATCH($B130,'E2 — Triagem'!$B$8:$B$507,0)),""))</f>
        <v/>
      </c>
      <c r="E130" s="193"/>
      <c r="F130" s="193"/>
      <c r="G130" s="193"/>
      <c r="H130" s="193"/>
      <c r="I130" s="194" t="str">
        <f t="shared" si="1"/>
        <v/>
      </c>
      <c r="J130" s="181"/>
      <c r="K130" s="202"/>
    </row>
    <row r="131" spans="2:11" ht="14.5" customHeight="1" x14ac:dyDescent="0.35">
      <c r="B131" s="191" t="str">
        <f>IF(Lançamentos!$B126="","",Lançamentos!$B126)</f>
        <v/>
      </c>
      <c r="C131" s="192" t="str">
        <f>IF($B131="","",IFERROR(INDEX(Lançamentos!$J$3:$J$1001,MATCH($B131,Lançamentos!$B$3:$B$1001,0)),""))</f>
        <v/>
      </c>
      <c r="D131" s="413" t="str">
        <f>IF($B131="","",IFERROR(INDEX('E2 — Triagem'!$D$8:$D$507,MATCH($B131,'E2 — Triagem'!$B$8:$B$507,0)),""))</f>
        <v/>
      </c>
      <c r="E131" s="193"/>
      <c r="F131" s="193"/>
      <c r="G131" s="193"/>
      <c r="H131" s="193"/>
      <c r="I131" s="194" t="str">
        <f t="shared" si="1"/>
        <v/>
      </c>
      <c r="J131" s="181"/>
      <c r="K131" s="202"/>
    </row>
    <row r="132" spans="2:11" ht="14.5" customHeight="1" x14ac:dyDescent="0.35">
      <c r="B132" s="191" t="str">
        <f>IF(Lançamentos!$B127="","",Lançamentos!$B127)</f>
        <v/>
      </c>
      <c r="C132" s="192" t="str">
        <f>IF($B132="","",IFERROR(INDEX(Lançamentos!$J$3:$J$1001,MATCH($B132,Lançamentos!$B$3:$B$1001,0)),""))</f>
        <v/>
      </c>
      <c r="D132" s="413" t="str">
        <f>IF($B132="","",IFERROR(INDEX('E2 — Triagem'!$D$8:$D$507,MATCH($B132,'E2 — Triagem'!$B$8:$B$507,0)),""))</f>
        <v/>
      </c>
      <c r="E132" s="193"/>
      <c r="F132" s="193"/>
      <c r="G132" s="193"/>
      <c r="H132" s="193"/>
      <c r="I132" s="194" t="str">
        <f t="shared" si="1"/>
        <v/>
      </c>
      <c r="J132" s="181"/>
      <c r="K132" s="202"/>
    </row>
    <row r="133" spans="2:11" ht="14.5" customHeight="1" x14ac:dyDescent="0.35">
      <c r="B133" s="191" t="str">
        <f>IF(Lançamentos!$B128="","",Lançamentos!$B128)</f>
        <v/>
      </c>
      <c r="C133" s="192" t="str">
        <f>IF($B133="","",IFERROR(INDEX(Lançamentos!$J$3:$J$1001,MATCH($B133,Lançamentos!$B$3:$B$1001,0)),""))</f>
        <v/>
      </c>
      <c r="D133" s="413" t="str">
        <f>IF($B133="","",IFERROR(INDEX('E2 — Triagem'!$D$8:$D$507,MATCH($B133,'E2 — Triagem'!$B$8:$B$507,0)),""))</f>
        <v/>
      </c>
      <c r="E133" s="193"/>
      <c r="F133" s="193"/>
      <c r="G133" s="193"/>
      <c r="H133" s="193"/>
      <c r="I133" s="194" t="str">
        <f t="shared" si="1"/>
        <v/>
      </c>
      <c r="J133" s="181"/>
      <c r="K133" s="202"/>
    </row>
    <row r="134" spans="2:11" ht="14.5" customHeight="1" x14ac:dyDescent="0.35">
      <c r="B134" s="191" t="str">
        <f>IF(Lançamentos!$B129="","",Lançamentos!$B129)</f>
        <v/>
      </c>
      <c r="C134" s="192" t="str">
        <f>IF($B134="","",IFERROR(INDEX(Lançamentos!$J$3:$J$1001,MATCH($B134,Lançamentos!$B$3:$B$1001,0)),""))</f>
        <v/>
      </c>
      <c r="D134" s="413" t="str">
        <f>IF($B134="","",IFERROR(INDEX('E2 — Triagem'!$D$8:$D$507,MATCH($B134,'E2 — Triagem'!$B$8:$B$507,0)),""))</f>
        <v/>
      </c>
      <c r="E134" s="193"/>
      <c r="F134" s="193"/>
      <c r="G134" s="193"/>
      <c r="H134" s="193"/>
      <c r="I134" s="194" t="str">
        <f t="shared" si="1"/>
        <v/>
      </c>
      <c r="J134" s="181"/>
      <c r="K134" s="202"/>
    </row>
    <row r="135" spans="2:11" ht="14.5" customHeight="1" x14ac:dyDescent="0.35">
      <c r="B135" s="191" t="str">
        <f>IF(Lançamentos!$B130="","",Lançamentos!$B130)</f>
        <v/>
      </c>
      <c r="C135" s="192" t="str">
        <f>IF($B135="","",IFERROR(INDEX(Lançamentos!$J$3:$J$1001,MATCH($B135,Lançamentos!$B$3:$B$1001,0)),""))</f>
        <v/>
      </c>
      <c r="D135" s="413" t="str">
        <f>IF($B135="","",IFERROR(INDEX('E2 — Triagem'!$D$8:$D$507,MATCH($B135,'E2 — Triagem'!$B$8:$B$507,0)),""))</f>
        <v/>
      </c>
      <c r="E135" s="193"/>
      <c r="F135" s="193"/>
      <c r="G135" s="193"/>
      <c r="H135" s="193"/>
      <c r="I135" s="194" t="str">
        <f t="shared" si="1"/>
        <v/>
      </c>
      <c r="J135" s="181"/>
      <c r="K135" s="202"/>
    </row>
    <row r="136" spans="2:11" ht="14.5" customHeight="1" x14ac:dyDescent="0.35">
      <c r="B136" s="191" t="str">
        <f>IF(Lançamentos!$B131="","",Lançamentos!$B131)</f>
        <v/>
      </c>
      <c r="C136" s="192" t="str">
        <f>IF($B136="","",IFERROR(INDEX(Lançamentos!$J$3:$J$1001,MATCH($B136,Lançamentos!$B$3:$B$1001,0)),""))</f>
        <v/>
      </c>
      <c r="D136" s="413" t="str">
        <f>IF($B136="","",IFERROR(INDEX('E2 — Triagem'!$D$8:$D$507,MATCH($B136,'E2 — Triagem'!$B$8:$B$507,0)),""))</f>
        <v/>
      </c>
      <c r="E136" s="193"/>
      <c r="F136" s="193"/>
      <c r="G136" s="193"/>
      <c r="H136" s="193"/>
      <c r="I136" s="194" t="str">
        <f t="shared" si="1"/>
        <v/>
      </c>
      <c r="J136" s="181"/>
      <c r="K136" s="202"/>
    </row>
    <row r="137" spans="2:11" ht="14.5" customHeight="1" x14ac:dyDescent="0.35">
      <c r="B137" s="191" t="str">
        <f>IF(Lançamentos!$B132="","",Lançamentos!$B132)</f>
        <v/>
      </c>
      <c r="C137" s="192" t="str">
        <f>IF($B137="","",IFERROR(INDEX(Lançamentos!$J$3:$J$1001,MATCH($B137,Lançamentos!$B$3:$B$1001,0)),""))</f>
        <v/>
      </c>
      <c r="D137" s="413" t="str">
        <f>IF($B137="","",IFERROR(INDEX('E2 — Triagem'!$D$8:$D$507,MATCH($B137,'E2 — Triagem'!$B$8:$B$507,0)),""))</f>
        <v/>
      </c>
      <c r="E137" s="193"/>
      <c r="F137" s="193"/>
      <c r="G137" s="193"/>
      <c r="H137" s="193"/>
      <c r="I137" s="194" t="str">
        <f t="shared" ref="I137:I200" si="2">IF(B137="","",IF(COUNTIF(E137:H137,"N/A")=4,0,COUNTIF(E137:H137,"✔ Concluído")/(4-COUNTIF(E137:H137,"N/A"))))</f>
        <v/>
      </c>
      <c r="J137" s="181"/>
      <c r="K137" s="202"/>
    </row>
    <row r="138" spans="2:11" ht="14.5" customHeight="1" x14ac:dyDescent="0.35">
      <c r="B138" s="191" t="str">
        <f>IF(Lançamentos!$B133="","",Lançamentos!$B133)</f>
        <v/>
      </c>
      <c r="C138" s="192" t="str">
        <f>IF($B138="","",IFERROR(INDEX(Lançamentos!$J$3:$J$1001,MATCH($B138,Lançamentos!$B$3:$B$1001,0)),""))</f>
        <v/>
      </c>
      <c r="D138" s="413" t="str">
        <f>IF($B138="","",IFERROR(INDEX('E2 — Triagem'!$D$8:$D$507,MATCH($B138,'E2 — Triagem'!$B$8:$B$507,0)),""))</f>
        <v/>
      </c>
      <c r="E138" s="193"/>
      <c r="F138" s="193"/>
      <c r="G138" s="193"/>
      <c r="H138" s="193"/>
      <c r="I138" s="194" t="str">
        <f t="shared" si="2"/>
        <v/>
      </c>
      <c r="J138" s="181"/>
      <c r="K138" s="202"/>
    </row>
    <row r="139" spans="2:11" ht="14.5" customHeight="1" x14ac:dyDescent="0.35">
      <c r="B139" s="191" t="str">
        <f>IF(Lançamentos!$B134="","",Lançamentos!$B134)</f>
        <v/>
      </c>
      <c r="C139" s="192" t="str">
        <f>IF($B139="","",IFERROR(INDEX(Lançamentos!$J$3:$J$1001,MATCH($B139,Lançamentos!$B$3:$B$1001,0)),""))</f>
        <v/>
      </c>
      <c r="D139" s="413" t="str">
        <f>IF($B139="","",IFERROR(INDEX('E2 — Triagem'!$D$8:$D$507,MATCH($B139,'E2 — Triagem'!$B$8:$B$507,0)),""))</f>
        <v/>
      </c>
      <c r="E139" s="193"/>
      <c r="F139" s="193"/>
      <c r="G139" s="193"/>
      <c r="H139" s="193"/>
      <c r="I139" s="194" t="str">
        <f t="shared" si="2"/>
        <v/>
      </c>
      <c r="J139" s="181"/>
      <c r="K139" s="202"/>
    </row>
    <row r="140" spans="2:11" ht="14.5" customHeight="1" x14ac:dyDescent="0.35">
      <c r="B140" s="191" t="str">
        <f>IF(Lançamentos!$B135="","",Lançamentos!$B135)</f>
        <v/>
      </c>
      <c r="C140" s="192" t="str">
        <f>IF($B140="","",IFERROR(INDEX(Lançamentos!$J$3:$J$1001,MATCH($B140,Lançamentos!$B$3:$B$1001,0)),""))</f>
        <v/>
      </c>
      <c r="D140" s="413" t="str">
        <f>IF($B140="","",IFERROR(INDEX('E2 — Triagem'!$D$8:$D$507,MATCH($B140,'E2 — Triagem'!$B$8:$B$507,0)),""))</f>
        <v/>
      </c>
      <c r="E140" s="193"/>
      <c r="F140" s="193"/>
      <c r="G140" s="193"/>
      <c r="H140" s="193"/>
      <c r="I140" s="194" t="str">
        <f t="shared" si="2"/>
        <v/>
      </c>
      <c r="J140" s="181"/>
      <c r="K140" s="202"/>
    </row>
    <row r="141" spans="2:11" ht="14.5" customHeight="1" x14ac:dyDescent="0.35">
      <c r="B141" s="191" t="str">
        <f>IF(Lançamentos!$B136="","",Lançamentos!$B136)</f>
        <v/>
      </c>
      <c r="C141" s="192" t="str">
        <f>IF($B141="","",IFERROR(INDEX(Lançamentos!$J$3:$J$1001,MATCH($B141,Lançamentos!$B$3:$B$1001,0)),""))</f>
        <v/>
      </c>
      <c r="D141" s="413" t="str">
        <f>IF($B141="","",IFERROR(INDEX('E2 — Triagem'!$D$8:$D$507,MATCH($B141,'E2 — Triagem'!$B$8:$B$507,0)),""))</f>
        <v/>
      </c>
      <c r="E141" s="193"/>
      <c r="F141" s="193"/>
      <c r="G141" s="193"/>
      <c r="H141" s="193"/>
      <c r="I141" s="194" t="str">
        <f t="shared" si="2"/>
        <v/>
      </c>
      <c r="J141" s="181"/>
      <c r="K141" s="202"/>
    </row>
    <row r="142" spans="2:11" ht="14.5" customHeight="1" x14ac:dyDescent="0.35">
      <c r="B142" s="191" t="str">
        <f>IF(Lançamentos!$B137="","",Lançamentos!$B137)</f>
        <v/>
      </c>
      <c r="C142" s="192" t="str">
        <f>IF($B142="","",IFERROR(INDEX(Lançamentos!$J$3:$J$1001,MATCH($B142,Lançamentos!$B$3:$B$1001,0)),""))</f>
        <v/>
      </c>
      <c r="D142" s="413" t="str">
        <f>IF($B142="","",IFERROR(INDEX('E2 — Triagem'!$D$8:$D$507,MATCH($B142,'E2 — Triagem'!$B$8:$B$507,0)),""))</f>
        <v/>
      </c>
      <c r="E142" s="193"/>
      <c r="F142" s="193"/>
      <c r="G142" s="193"/>
      <c r="H142" s="193"/>
      <c r="I142" s="194" t="str">
        <f t="shared" si="2"/>
        <v/>
      </c>
      <c r="J142" s="181"/>
      <c r="K142" s="202"/>
    </row>
    <row r="143" spans="2:11" ht="14.5" customHeight="1" x14ac:dyDescent="0.35">
      <c r="B143" s="191" t="str">
        <f>IF(Lançamentos!$B138="","",Lançamentos!$B138)</f>
        <v/>
      </c>
      <c r="C143" s="192" t="str">
        <f>IF($B143="","",IFERROR(INDEX(Lançamentos!$J$3:$J$1001,MATCH($B143,Lançamentos!$B$3:$B$1001,0)),""))</f>
        <v/>
      </c>
      <c r="D143" s="413" t="str">
        <f>IF($B143="","",IFERROR(INDEX('E2 — Triagem'!$D$8:$D$507,MATCH($B143,'E2 — Triagem'!$B$8:$B$507,0)),""))</f>
        <v/>
      </c>
      <c r="E143" s="193"/>
      <c r="F143" s="193"/>
      <c r="G143" s="193"/>
      <c r="H143" s="193"/>
      <c r="I143" s="194" t="str">
        <f t="shared" si="2"/>
        <v/>
      </c>
      <c r="J143" s="181"/>
      <c r="K143" s="202"/>
    </row>
    <row r="144" spans="2:11" ht="14.5" customHeight="1" x14ac:dyDescent="0.35">
      <c r="B144" s="191" t="str">
        <f>IF(Lançamentos!$B139="","",Lançamentos!$B139)</f>
        <v/>
      </c>
      <c r="C144" s="192" t="str">
        <f>IF($B144="","",IFERROR(INDEX(Lançamentos!$J$3:$J$1001,MATCH($B144,Lançamentos!$B$3:$B$1001,0)),""))</f>
        <v/>
      </c>
      <c r="D144" s="413" t="str">
        <f>IF($B144="","",IFERROR(INDEX('E2 — Triagem'!$D$8:$D$507,MATCH($B144,'E2 — Triagem'!$B$8:$B$507,0)),""))</f>
        <v/>
      </c>
      <c r="E144" s="193"/>
      <c r="F144" s="193"/>
      <c r="G144" s="193"/>
      <c r="H144" s="193"/>
      <c r="I144" s="194" t="str">
        <f t="shared" si="2"/>
        <v/>
      </c>
      <c r="J144" s="181"/>
      <c r="K144" s="202"/>
    </row>
    <row r="145" spans="2:11" ht="14.5" customHeight="1" x14ac:dyDescent="0.35">
      <c r="B145" s="191" t="str">
        <f>IF(Lançamentos!$B140="","",Lançamentos!$B140)</f>
        <v/>
      </c>
      <c r="C145" s="192" t="str">
        <f>IF($B145="","",IFERROR(INDEX(Lançamentos!$J$3:$J$1001,MATCH($B145,Lançamentos!$B$3:$B$1001,0)),""))</f>
        <v/>
      </c>
      <c r="D145" s="413" t="str">
        <f>IF($B145="","",IFERROR(INDEX('E2 — Triagem'!$D$8:$D$507,MATCH($B145,'E2 — Triagem'!$B$8:$B$507,0)),""))</f>
        <v/>
      </c>
      <c r="E145" s="193"/>
      <c r="F145" s="193"/>
      <c r="G145" s="193"/>
      <c r="H145" s="193"/>
      <c r="I145" s="194" t="str">
        <f t="shared" si="2"/>
        <v/>
      </c>
      <c r="J145" s="181"/>
      <c r="K145" s="202"/>
    </row>
    <row r="146" spans="2:11" ht="14.5" customHeight="1" x14ac:dyDescent="0.35">
      <c r="B146" s="191" t="str">
        <f>IF(Lançamentos!$B141="","",Lançamentos!$B141)</f>
        <v/>
      </c>
      <c r="C146" s="192" t="str">
        <f>IF($B146="","",IFERROR(INDEX(Lançamentos!$J$3:$J$1001,MATCH($B146,Lançamentos!$B$3:$B$1001,0)),""))</f>
        <v/>
      </c>
      <c r="D146" s="413" t="str">
        <f>IF($B146="","",IFERROR(INDEX('E2 — Triagem'!$D$8:$D$507,MATCH($B146,'E2 — Triagem'!$B$8:$B$507,0)),""))</f>
        <v/>
      </c>
      <c r="E146" s="193"/>
      <c r="F146" s="193"/>
      <c r="G146" s="193"/>
      <c r="H146" s="193"/>
      <c r="I146" s="194" t="str">
        <f t="shared" si="2"/>
        <v/>
      </c>
      <c r="J146" s="181"/>
      <c r="K146" s="202"/>
    </row>
    <row r="147" spans="2:11" ht="14.5" customHeight="1" x14ac:dyDescent="0.35">
      <c r="B147" s="191" t="str">
        <f>IF(Lançamentos!$B142="","",Lançamentos!$B142)</f>
        <v/>
      </c>
      <c r="C147" s="192" t="str">
        <f>IF($B147="","",IFERROR(INDEX(Lançamentos!$J$3:$J$1001,MATCH($B147,Lançamentos!$B$3:$B$1001,0)),""))</f>
        <v/>
      </c>
      <c r="D147" s="413" t="str">
        <f>IF($B147="","",IFERROR(INDEX('E2 — Triagem'!$D$8:$D$507,MATCH($B147,'E2 — Triagem'!$B$8:$B$507,0)),""))</f>
        <v/>
      </c>
      <c r="E147" s="193"/>
      <c r="F147" s="193"/>
      <c r="G147" s="193"/>
      <c r="H147" s="193"/>
      <c r="I147" s="194" t="str">
        <f t="shared" si="2"/>
        <v/>
      </c>
      <c r="J147" s="181"/>
      <c r="K147" s="202"/>
    </row>
    <row r="148" spans="2:11" ht="14.5" customHeight="1" x14ac:dyDescent="0.35">
      <c r="B148" s="191" t="str">
        <f>IF(Lançamentos!$B143="","",Lançamentos!$B143)</f>
        <v/>
      </c>
      <c r="C148" s="192" t="str">
        <f>IF($B148="","",IFERROR(INDEX(Lançamentos!$J$3:$J$1001,MATCH($B148,Lançamentos!$B$3:$B$1001,0)),""))</f>
        <v/>
      </c>
      <c r="D148" s="413" t="str">
        <f>IF($B148="","",IFERROR(INDEX('E2 — Triagem'!$D$8:$D$507,MATCH($B148,'E2 — Triagem'!$B$8:$B$507,0)),""))</f>
        <v/>
      </c>
      <c r="E148" s="193"/>
      <c r="F148" s="193"/>
      <c r="G148" s="193"/>
      <c r="H148" s="193"/>
      <c r="I148" s="194" t="str">
        <f t="shared" si="2"/>
        <v/>
      </c>
      <c r="J148" s="181"/>
      <c r="K148" s="202"/>
    </row>
    <row r="149" spans="2:11" ht="14.5" customHeight="1" x14ac:dyDescent="0.35">
      <c r="B149" s="191" t="str">
        <f>IF(Lançamentos!$B144="","",Lançamentos!$B144)</f>
        <v/>
      </c>
      <c r="C149" s="192" t="str">
        <f>IF($B149="","",IFERROR(INDEX(Lançamentos!$J$3:$J$1001,MATCH($B149,Lançamentos!$B$3:$B$1001,0)),""))</f>
        <v/>
      </c>
      <c r="D149" s="413" t="str">
        <f>IF($B149="","",IFERROR(INDEX('E2 — Triagem'!$D$8:$D$507,MATCH($B149,'E2 — Triagem'!$B$8:$B$507,0)),""))</f>
        <v/>
      </c>
      <c r="E149" s="193"/>
      <c r="F149" s="193"/>
      <c r="G149" s="193"/>
      <c r="H149" s="193"/>
      <c r="I149" s="194" t="str">
        <f t="shared" si="2"/>
        <v/>
      </c>
      <c r="J149" s="181"/>
      <c r="K149" s="202"/>
    </row>
    <row r="150" spans="2:11" ht="14.5" customHeight="1" x14ac:dyDescent="0.35">
      <c r="B150" s="191" t="str">
        <f>IF(Lançamentos!$B145="","",Lançamentos!$B145)</f>
        <v/>
      </c>
      <c r="C150" s="192" t="str">
        <f>IF($B150="","",IFERROR(INDEX(Lançamentos!$J$3:$J$1001,MATCH($B150,Lançamentos!$B$3:$B$1001,0)),""))</f>
        <v/>
      </c>
      <c r="D150" s="413" t="str">
        <f>IF($B150="","",IFERROR(INDEX('E2 — Triagem'!$D$8:$D$507,MATCH($B150,'E2 — Triagem'!$B$8:$B$507,0)),""))</f>
        <v/>
      </c>
      <c r="E150" s="193"/>
      <c r="F150" s="193"/>
      <c r="G150" s="193"/>
      <c r="H150" s="193"/>
      <c r="I150" s="194" t="str">
        <f t="shared" si="2"/>
        <v/>
      </c>
      <c r="J150" s="181"/>
      <c r="K150" s="202"/>
    </row>
    <row r="151" spans="2:11" ht="14.5" customHeight="1" x14ac:dyDescent="0.35">
      <c r="B151" s="191" t="str">
        <f>IF(Lançamentos!$B146="","",Lançamentos!$B146)</f>
        <v/>
      </c>
      <c r="C151" s="192" t="str">
        <f>IF($B151="","",IFERROR(INDEX(Lançamentos!$J$3:$J$1001,MATCH($B151,Lançamentos!$B$3:$B$1001,0)),""))</f>
        <v/>
      </c>
      <c r="D151" s="413" t="str">
        <f>IF($B151="","",IFERROR(INDEX('E2 — Triagem'!$D$8:$D$507,MATCH($B151,'E2 — Triagem'!$B$8:$B$507,0)),""))</f>
        <v/>
      </c>
      <c r="E151" s="193"/>
      <c r="F151" s="193"/>
      <c r="G151" s="193"/>
      <c r="H151" s="193"/>
      <c r="I151" s="194" t="str">
        <f t="shared" si="2"/>
        <v/>
      </c>
      <c r="J151" s="181"/>
      <c r="K151" s="202"/>
    </row>
    <row r="152" spans="2:11" ht="14.5" customHeight="1" x14ac:dyDescent="0.35">
      <c r="B152" s="191" t="str">
        <f>IF(Lançamentos!$B147="","",Lançamentos!$B147)</f>
        <v/>
      </c>
      <c r="C152" s="192" t="str">
        <f>IF($B152="","",IFERROR(INDEX(Lançamentos!$J$3:$J$1001,MATCH($B152,Lançamentos!$B$3:$B$1001,0)),""))</f>
        <v/>
      </c>
      <c r="D152" s="413" t="str">
        <f>IF($B152="","",IFERROR(INDEX('E2 — Triagem'!$D$8:$D$507,MATCH($B152,'E2 — Triagem'!$B$8:$B$507,0)),""))</f>
        <v/>
      </c>
      <c r="E152" s="193"/>
      <c r="F152" s="193"/>
      <c r="G152" s="193"/>
      <c r="H152" s="193"/>
      <c r="I152" s="194" t="str">
        <f t="shared" si="2"/>
        <v/>
      </c>
      <c r="J152" s="181"/>
      <c r="K152" s="202"/>
    </row>
    <row r="153" spans="2:11" ht="14.5" customHeight="1" x14ac:dyDescent="0.35">
      <c r="B153" s="191" t="str">
        <f>IF(Lançamentos!$B148="","",Lançamentos!$B148)</f>
        <v/>
      </c>
      <c r="C153" s="192" t="str">
        <f>IF($B153="","",IFERROR(INDEX(Lançamentos!$J$3:$J$1001,MATCH($B153,Lançamentos!$B$3:$B$1001,0)),""))</f>
        <v/>
      </c>
      <c r="D153" s="413" t="str">
        <f>IF($B153="","",IFERROR(INDEX('E2 — Triagem'!$D$8:$D$507,MATCH($B153,'E2 — Triagem'!$B$8:$B$507,0)),""))</f>
        <v/>
      </c>
      <c r="E153" s="193"/>
      <c r="F153" s="193"/>
      <c r="G153" s="193"/>
      <c r="H153" s="193"/>
      <c r="I153" s="194" t="str">
        <f t="shared" si="2"/>
        <v/>
      </c>
      <c r="J153" s="181"/>
      <c r="K153" s="202"/>
    </row>
    <row r="154" spans="2:11" ht="14.5" customHeight="1" x14ac:dyDescent="0.35">
      <c r="B154" s="191" t="str">
        <f>IF(Lançamentos!$B149="","",Lançamentos!$B149)</f>
        <v/>
      </c>
      <c r="C154" s="192" t="str">
        <f>IF($B154="","",IFERROR(INDEX(Lançamentos!$J$3:$J$1001,MATCH($B154,Lançamentos!$B$3:$B$1001,0)),""))</f>
        <v/>
      </c>
      <c r="D154" s="413" t="str">
        <f>IF($B154="","",IFERROR(INDEX('E2 — Triagem'!$D$8:$D$507,MATCH($B154,'E2 — Triagem'!$B$8:$B$507,0)),""))</f>
        <v/>
      </c>
      <c r="E154" s="193"/>
      <c r="F154" s="193"/>
      <c r="G154" s="193"/>
      <c r="H154" s="193"/>
      <c r="I154" s="194" t="str">
        <f t="shared" si="2"/>
        <v/>
      </c>
      <c r="J154" s="181"/>
      <c r="K154" s="202"/>
    </row>
    <row r="155" spans="2:11" ht="14.5" customHeight="1" x14ac:dyDescent="0.35">
      <c r="B155" s="191" t="str">
        <f>IF(Lançamentos!$B150="","",Lançamentos!$B150)</f>
        <v/>
      </c>
      <c r="C155" s="192" t="str">
        <f>IF($B155="","",IFERROR(INDEX(Lançamentos!$J$3:$J$1001,MATCH($B155,Lançamentos!$B$3:$B$1001,0)),""))</f>
        <v/>
      </c>
      <c r="D155" s="413" t="str">
        <f>IF($B155="","",IFERROR(INDEX('E2 — Triagem'!$D$8:$D$507,MATCH($B155,'E2 — Triagem'!$B$8:$B$507,0)),""))</f>
        <v/>
      </c>
      <c r="E155" s="193"/>
      <c r="F155" s="193"/>
      <c r="G155" s="193"/>
      <c r="H155" s="193"/>
      <c r="I155" s="194" t="str">
        <f t="shared" si="2"/>
        <v/>
      </c>
      <c r="J155" s="181"/>
      <c r="K155" s="202"/>
    </row>
    <row r="156" spans="2:11" ht="14.5" customHeight="1" x14ac:dyDescent="0.35">
      <c r="B156" s="191" t="str">
        <f>IF(Lançamentos!$B151="","",Lançamentos!$B151)</f>
        <v/>
      </c>
      <c r="C156" s="192" t="str">
        <f>IF($B156="","",IFERROR(INDEX(Lançamentos!$J$3:$J$1001,MATCH($B156,Lançamentos!$B$3:$B$1001,0)),""))</f>
        <v/>
      </c>
      <c r="D156" s="413" t="str">
        <f>IF($B156="","",IFERROR(INDEX('E2 — Triagem'!$D$8:$D$507,MATCH($B156,'E2 — Triagem'!$B$8:$B$507,0)),""))</f>
        <v/>
      </c>
      <c r="E156" s="193"/>
      <c r="F156" s="193"/>
      <c r="G156" s="193"/>
      <c r="H156" s="193"/>
      <c r="I156" s="194" t="str">
        <f t="shared" si="2"/>
        <v/>
      </c>
      <c r="J156" s="181"/>
      <c r="K156" s="202"/>
    </row>
    <row r="157" spans="2:11" ht="14.5" customHeight="1" x14ac:dyDescent="0.35">
      <c r="B157" s="191" t="str">
        <f>IF(Lançamentos!$B152="","",Lançamentos!$B152)</f>
        <v/>
      </c>
      <c r="C157" s="192" t="str">
        <f>IF($B157="","",IFERROR(INDEX(Lançamentos!$J$3:$J$1001,MATCH($B157,Lançamentos!$B$3:$B$1001,0)),""))</f>
        <v/>
      </c>
      <c r="D157" s="413" t="str">
        <f>IF($B157="","",IFERROR(INDEX('E2 — Triagem'!$D$8:$D$507,MATCH($B157,'E2 — Triagem'!$B$8:$B$507,0)),""))</f>
        <v/>
      </c>
      <c r="E157" s="193"/>
      <c r="F157" s="193"/>
      <c r="G157" s="193"/>
      <c r="H157" s="193"/>
      <c r="I157" s="194" t="str">
        <f t="shared" si="2"/>
        <v/>
      </c>
      <c r="J157" s="181"/>
      <c r="K157" s="202"/>
    </row>
    <row r="158" spans="2:11" ht="14.5" customHeight="1" x14ac:dyDescent="0.35">
      <c r="B158" s="191" t="str">
        <f>IF(Lançamentos!$B153="","",Lançamentos!$B153)</f>
        <v/>
      </c>
      <c r="C158" s="192" t="str">
        <f>IF($B158="","",IFERROR(INDEX(Lançamentos!$J$3:$J$1001,MATCH($B158,Lançamentos!$B$3:$B$1001,0)),""))</f>
        <v/>
      </c>
      <c r="D158" s="413" t="str">
        <f>IF($B158="","",IFERROR(INDEX('E2 — Triagem'!$D$8:$D$507,MATCH($B158,'E2 — Triagem'!$B$8:$B$507,0)),""))</f>
        <v/>
      </c>
      <c r="E158" s="193"/>
      <c r="F158" s="193"/>
      <c r="G158" s="193"/>
      <c r="H158" s="193"/>
      <c r="I158" s="194" t="str">
        <f t="shared" si="2"/>
        <v/>
      </c>
      <c r="J158" s="181"/>
      <c r="K158" s="202"/>
    </row>
    <row r="159" spans="2:11" ht="14.5" customHeight="1" x14ac:dyDescent="0.35">
      <c r="B159" s="191" t="str">
        <f>IF(Lançamentos!$B154="","",Lançamentos!$B154)</f>
        <v/>
      </c>
      <c r="C159" s="192" t="str">
        <f>IF($B159="","",IFERROR(INDEX(Lançamentos!$J$3:$J$1001,MATCH($B159,Lançamentos!$B$3:$B$1001,0)),""))</f>
        <v/>
      </c>
      <c r="D159" s="413" t="str">
        <f>IF($B159="","",IFERROR(INDEX('E2 — Triagem'!$D$8:$D$507,MATCH($B159,'E2 — Triagem'!$B$8:$B$507,0)),""))</f>
        <v/>
      </c>
      <c r="E159" s="193"/>
      <c r="F159" s="193"/>
      <c r="G159" s="193"/>
      <c r="H159" s="193"/>
      <c r="I159" s="194" t="str">
        <f t="shared" si="2"/>
        <v/>
      </c>
      <c r="J159" s="181"/>
      <c r="K159" s="202"/>
    </row>
    <row r="160" spans="2:11" ht="14.5" customHeight="1" x14ac:dyDescent="0.35">
      <c r="B160" s="191" t="str">
        <f>IF(Lançamentos!$B155="","",Lançamentos!$B155)</f>
        <v/>
      </c>
      <c r="C160" s="192" t="str">
        <f>IF($B160="","",IFERROR(INDEX(Lançamentos!$J$3:$J$1001,MATCH($B160,Lançamentos!$B$3:$B$1001,0)),""))</f>
        <v/>
      </c>
      <c r="D160" s="413" t="str">
        <f>IF($B160="","",IFERROR(INDEX('E2 — Triagem'!$D$8:$D$507,MATCH($B160,'E2 — Triagem'!$B$8:$B$507,0)),""))</f>
        <v/>
      </c>
      <c r="E160" s="193"/>
      <c r="F160" s="193"/>
      <c r="G160" s="193"/>
      <c r="H160" s="193"/>
      <c r="I160" s="194" t="str">
        <f t="shared" si="2"/>
        <v/>
      </c>
      <c r="J160" s="181"/>
      <c r="K160" s="202"/>
    </row>
    <row r="161" spans="2:11" ht="14.5" customHeight="1" x14ac:dyDescent="0.35">
      <c r="B161" s="191" t="str">
        <f>IF(Lançamentos!$B156="","",Lançamentos!$B156)</f>
        <v/>
      </c>
      <c r="C161" s="192" t="str">
        <f>IF($B161="","",IFERROR(INDEX(Lançamentos!$J$3:$J$1001,MATCH($B161,Lançamentos!$B$3:$B$1001,0)),""))</f>
        <v/>
      </c>
      <c r="D161" s="413" t="str">
        <f>IF($B161="","",IFERROR(INDEX('E2 — Triagem'!$D$8:$D$507,MATCH($B161,'E2 — Triagem'!$B$8:$B$507,0)),""))</f>
        <v/>
      </c>
      <c r="E161" s="193"/>
      <c r="F161" s="193"/>
      <c r="G161" s="193"/>
      <c r="H161" s="193"/>
      <c r="I161" s="194" t="str">
        <f t="shared" si="2"/>
        <v/>
      </c>
      <c r="J161" s="181"/>
      <c r="K161" s="202"/>
    </row>
    <row r="162" spans="2:11" ht="14.5" customHeight="1" x14ac:dyDescent="0.35">
      <c r="B162" s="191" t="str">
        <f>IF(Lançamentos!$B157="","",Lançamentos!$B157)</f>
        <v/>
      </c>
      <c r="C162" s="192" t="str">
        <f>IF($B162="","",IFERROR(INDEX(Lançamentos!$J$3:$J$1001,MATCH($B162,Lançamentos!$B$3:$B$1001,0)),""))</f>
        <v/>
      </c>
      <c r="D162" s="413" t="str">
        <f>IF($B162="","",IFERROR(INDEX('E2 — Triagem'!$D$8:$D$507,MATCH($B162,'E2 — Triagem'!$B$8:$B$507,0)),""))</f>
        <v/>
      </c>
      <c r="E162" s="193"/>
      <c r="F162" s="193"/>
      <c r="G162" s="193"/>
      <c r="H162" s="193"/>
      <c r="I162" s="194" t="str">
        <f t="shared" si="2"/>
        <v/>
      </c>
      <c r="J162" s="181"/>
      <c r="K162" s="202"/>
    </row>
    <row r="163" spans="2:11" ht="14.5" customHeight="1" x14ac:dyDescent="0.35">
      <c r="B163" s="191" t="str">
        <f>IF(Lançamentos!$B158="","",Lançamentos!$B158)</f>
        <v/>
      </c>
      <c r="C163" s="192" t="str">
        <f>IF($B163="","",IFERROR(INDEX(Lançamentos!$J$3:$J$1001,MATCH($B163,Lançamentos!$B$3:$B$1001,0)),""))</f>
        <v/>
      </c>
      <c r="D163" s="413" t="str">
        <f>IF($B163="","",IFERROR(INDEX('E2 — Triagem'!$D$8:$D$507,MATCH($B163,'E2 — Triagem'!$B$8:$B$507,0)),""))</f>
        <v/>
      </c>
      <c r="E163" s="193"/>
      <c r="F163" s="193"/>
      <c r="G163" s="193"/>
      <c r="H163" s="193"/>
      <c r="I163" s="194" t="str">
        <f t="shared" si="2"/>
        <v/>
      </c>
      <c r="J163" s="181"/>
      <c r="K163" s="202"/>
    </row>
    <row r="164" spans="2:11" ht="14.5" customHeight="1" x14ac:dyDescent="0.35">
      <c r="B164" s="191" t="str">
        <f>IF(Lançamentos!$B159="","",Lançamentos!$B159)</f>
        <v/>
      </c>
      <c r="C164" s="192" t="str">
        <f>IF($B164="","",IFERROR(INDEX(Lançamentos!$J$3:$J$1001,MATCH($B164,Lançamentos!$B$3:$B$1001,0)),""))</f>
        <v/>
      </c>
      <c r="D164" s="413" t="str">
        <f>IF($B164="","",IFERROR(INDEX('E2 — Triagem'!$D$8:$D$507,MATCH($B164,'E2 — Triagem'!$B$8:$B$507,0)),""))</f>
        <v/>
      </c>
      <c r="E164" s="193"/>
      <c r="F164" s="193"/>
      <c r="G164" s="193"/>
      <c r="H164" s="193"/>
      <c r="I164" s="194" t="str">
        <f t="shared" si="2"/>
        <v/>
      </c>
      <c r="J164" s="181"/>
      <c r="K164" s="202"/>
    </row>
    <row r="165" spans="2:11" ht="14.5" customHeight="1" x14ac:dyDescent="0.35">
      <c r="B165" s="191" t="str">
        <f>IF(Lançamentos!$B160="","",Lançamentos!$B160)</f>
        <v/>
      </c>
      <c r="C165" s="192" t="str">
        <f>IF($B165="","",IFERROR(INDEX(Lançamentos!$J$3:$J$1001,MATCH($B165,Lançamentos!$B$3:$B$1001,0)),""))</f>
        <v/>
      </c>
      <c r="D165" s="413" t="str">
        <f>IF($B165="","",IFERROR(INDEX('E2 — Triagem'!$D$8:$D$507,MATCH($B165,'E2 — Triagem'!$B$8:$B$507,0)),""))</f>
        <v/>
      </c>
      <c r="E165" s="193"/>
      <c r="F165" s="193"/>
      <c r="G165" s="193"/>
      <c r="H165" s="193"/>
      <c r="I165" s="194" t="str">
        <f t="shared" si="2"/>
        <v/>
      </c>
      <c r="J165" s="181"/>
      <c r="K165" s="202"/>
    </row>
    <row r="166" spans="2:11" ht="14.5" customHeight="1" x14ac:dyDescent="0.35">
      <c r="B166" s="191" t="str">
        <f>IF(Lançamentos!$B161="","",Lançamentos!$B161)</f>
        <v/>
      </c>
      <c r="C166" s="192" t="str">
        <f>IF($B166="","",IFERROR(INDEX(Lançamentos!$J$3:$J$1001,MATCH($B166,Lançamentos!$B$3:$B$1001,0)),""))</f>
        <v/>
      </c>
      <c r="D166" s="413" t="str">
        <f>IF($B166="","",IFERROR(INDEX('E2 — Triagem'!$D$8:$D$507,MATCH($B166,'E2 — Triagem'!$B$8:$B$507,0)),""))</f>
        <v/>
      </c>
      <c r="E166" s="193"/>
      <c r="F166" s="193"/>
      <c r="G166" s="193"/>
      <c r="H166" s="193"/>
      <c r="I166" s="194" t="str">
        <f t="shared" si="2"/>
        <v/>
      </c>
      <c r="J166" s="181"/>
      <c r="K166" s="202"/>
    </row>
    <row r="167" spans="2:11" ht="14.5" customHeight="1" x14ac:dyDescent="0.35">
      <c r="B167" s="191" t="str">
        <f>IF(Lançamentos!$B162="","",Lançamentos!$B162)</f>
        <v/>
      </c>
      <c r="C167" s="192" t="str">
        <f>IF($B167="","",IFERROR(INDEX(Lançamentos!$J$3:$J$1001,MATCH($B167,Lançamentos!$B$3:$B$1001,0)),""))</f>
        <v/>
      </c>
      <c r="D167" s="413" t="str">
        <f>IF($B167="","",IFERROR(INDEX('E2 — Triagem'!$D$8:$D$507,MATCH($B167,'E2 — Triagem'!$B$8:$B$507,0)),""))</f>
        <v/>
      </c>
      <c r="E167" s="193"/>
      <c r="F167" s="193"/>
      <c r="G167" s="193"/>
      <c r="H167" s="193"/>
      <c r="I167" s="194" t="str">
        <f t="shared" si="2"/>
        <v/>
      </c>
      <c r="J167" s="181"/>
      <c r="K167" s="202"/>
    </row>
    <row r="168" spans="2:11" ht="14.5" customHeight="1" x14ac:dyDescent="0.35">
      <c r="B168" s="191" t="str">
        <f>IF(Lançamentos!$B163="","",Lançamentos!$B163)</f>
        <v/>
      </c>
      <c r="C168" s="192" t="str">
        <f>IF($B168="","",IFERROR(INDEX(Lançamentos!$J$3:$J$1001,MATCH($B168,Lançamentos!$B$3:$B$1001,0)),""))</f>
        <v/>
      </c>
      <c r="D168" s="413" t="str">
        <f>IF($B168="","",IFERROR(INDEX('E2 — Triagem'!$D$8:$D$507,MATCH($B168,'E2 — Triagem'!$B$8:$B$507,0)),""))</f>
        <v/>
      </c>
      <c r="E168" s="193"/>
      <c r="F168" s="193"/>
      <c r="G168" s="193"/>
      <c r="H168" s="193"/>
      <c r="I168" s="194" t="str">
        <f t="shared" si="2"/>
        <v/>
      </c>
      <c r="J168" s="181"/>
      <c r="K168" s="202"/>
    </row>
    <row r="169" spans="2:11" ht="14.5" customHeight="1" x14ac:dyDescent="0.35">
      <c r="B169" s="191" t="str">
        <f>IF(Lançamentos!$B164="","",Lançamentos!$B164)</f>
        <v/>
      </c>
      <c r="C169" s="192" t="str">
        <f>IF($B169="","",IFERROR(INDEX(Lançamentos!$J$3:$J$1001,MATCH($B169,Lançamentos!$B$3:$B$1001,0)),""))</f>
        <v/>
      </c>
      <c r="D169" s="413" t="str">
        <f>IF($B169="","",IFERROR(INDEX('E2 — Triagem'!$D$8:$D$507,MATCH($B169,'E2 — Triagem'!$B$8:$B$507,0)),""))</f>
        <v/>
      </c>
      <c r="E169" s="193"/>
      <c r="F169" s="193"/>
      <c r="G169" s="193"/>
      <c r="H169" s="193"/>
      <c r="I169" s="194" t="str">
        <f t="shared" si="2"/>
        <v/>
      </c>
      <c r="J169" s="181"/>
      <c r="K169" s="202"/>
    </row>
    <row r="170" spans="2:11" ht="14.5" customHeight="1" x14ac:dyDescent="0.35">
      <c r="B170" s="191" t="str">
        <f>IF(Lançamentos!$B165="","",Lançamentos!$B165)</f>
        <v/>
      </c>
      <c r="C170" s="192" t="str">
        <f>IF($B170="","",IFERROR(INDEX(Lançamentos!$J$3:$J$1001,MATCH($B170,Lançamentos!$B$3:$B$1001,0)),""))</f>
        <v/>
      </c>
      <c r="D170" s="413" t="str">
        <f>IF($B170="","",IFERROR(INDEX('E2 — Triagem'!$D$8:$D$507,MATCH($B170,'E2 — Triagem'!$B$8:$B$507,0)),""))</f>
        <v/>
      </c>
      <c r="E170" s="193"/>
      <c r="F170" s="193"/>
      <c r="G170" s="193"/>
      <c r="H170" s="193"/>
      <c r="I170" s="194" t="str">
        <f t="shared" si="2"/>
        <v/>
      </c>
      <c r="J170" s="181"/>
      <c r="K170" s="202"/>
    </row>
    <row r="171" spans="2:11" ht="14.5" customHeight="1" x14ac:dyDescent="0.35">
      <c r="B171" s="191" t="str">
        <f>IF(Lançamentos!$B166="","",Lançamentos!$B166)</f>
        <v/>
      </c>
      <c r="C171" s="192" t="str">
        <f>IF($B171="","",IFERROR(INDEX(Lançamentos!$J$3:$J$1001,MATCH($B171,Lançamentos!$B$3:$B$1001,0)),""))</f>
        <v/>
      </c>
      <c r="D171" s="413" t="str">
        <f>IF($B171="","",IFERROR(INDEX('E2 — Triagem'!$D$8:$D$507,MATCH($B171,'E2 — Triagem'!$B$8:$B$507,0)),""))</f>
        <v/>
      </c>
      <c r="E171" s="193"/>
      <c r="F171" s="193"/>
      <c r="G171" s="193"/>
      <c r="H171" s="193"/>
      <c r="I171" s="194" t="str">
        <f t="shared" si="2"/>
        <v/>
      </c>
      <c r="J171" s="181"/>
      <c r="K171" s="202"/>
    </row>
    <row r="172" spans="2:11" ht="14.5" customHeight="1" x14ac:dyDescent="0.35">
      <c r="B172" s="191" t="str">
        <f>IF(Lançamentos!$B167="","",Lançamentos!$B167)</f>
        <v/>
      </c>
      <c r="C172" s="192" t="str">
        <f>IF($B172="","",IFERROR(INDEX(Lançamentos!$J$3:$J$1001,MATCH($B172,Lançamentos!$B$3:$B$1001,0)),""))</f>
        <v/>
      </c>
      <c r="D172" s="413" t="str">
        <f>IF($B172="","",IFERROR(INDEX('E2 — Triagem'!$D$8:$D$507,MATCH($B172,'E2 — Triagem'!$B$8:$B$507,0)),""))</f>
        <v/>
      </c>
      <c r="E172" s="193"/>
      <c r="F172" s="193"/>
      <c r="G172" s="193"/>
      <c r="H172" s="193"/>
      <c r="I172" s="194" t="str">
        <f t="shared" si="2"/>
        <v/>
      </c>
      <c r="J172" s="181"/>
      <c r="K172" s="202"/>
    </row>
    <row r="173" spans="2:11" ht="14.5" customHeight="1" x14ac:dyDescent="0.35">
      <c r="B173" s="191" t="str">
        <f>IF(Lançamentos!$B168="","",Lançamentos!$B168)</f>
        <v/>
      </c>
      <c r="C173" s="192" t="str">
        <f>IF($B173="","",IFERROR(INDEX(Lançamentos!$J$3:$J$1001,MATCH($B173,Lançamentos!$B$3:$B$1001,0)),""))</f>
        <v/>
      </c>
      <c r="D173" s="413" t="str">
        <f>IF($B173="","",IFERROR(INDEX('E2 — Triagem'!$D$8:$D$507,MATCH($B173,'E2 — Triagem'!$B$8:$B$507,0)),""))</f>
        <v/>
      </c>
      <c r="E173" s="193"/>
      <c r="F173" s="193"/>
      <c r="G173" s="193"/>
      <c r="H173" s="193"/>
      <c r="I173" s="194" t="str">
        <f t="shared" si="2"/>
        <v/>
      </c>
      <c r="J173" s="181"/>
      <c r="K173" s="202"/>
    </row>
    <row r="174" spans="2:11" ht="14.5" customHeight="1" x14ac:dyDescent="0.35">
      <c r="B174" s="191" t="str">
        <f>IF(Lançamentos!$B169="","",Lançamentos!$B169)</f>
        <v/>
      </c>
      <c r="C174" s="192" t="str">
        <f>IF($B174="","",IFERROR(INDEX(Lançamentos!$J$3:$J$1001,MATCH($B174,Lançamentos!$B$3:$B$1001,0)),""))</f>
        <v/>
      </c>
      <c r="D174" s="413" t="str">
        <f>IF($B174="","",IFERROR(INDEX('E2 — Triagem'!$D$8:$D$507,MATCH($B174,'E2 — Triagem'!$B$8:$B$507,0)),""))</f>
        <v/>
      </c>
      <c r="E174" s="193"/>
      <c r="F174" s="193"/>
      <c r="G174" s="193"/>
      <c r="H174" s="193"/>
      <c r="I174" s="194" t="str">
        <f t="shared" si="2"/>
        <v/>
      </c>
      <c r="J174" s="181"/>
      <c r="K174" s="202"/>
    </row>
    <row r="175" spans="2:11" ht="14.5" customHeight="1" x14ac:dyDescent="0.35">
      <c r="B175" s="191" t="str">
        <f>IF(Lançamentos!$B170="","",Lançamentos!$B170)</f>
        <v/>
      </c>
      <c r="C175" s="192" t="str">
        <f>IF($B175="","",IFERROR(INDEX(Lançamentos!$J$3:$J$1001,MATCH($B175,Lançamentos!$B$3:$B$1001,0)),""))</f>
        <v/>
      </c>
      <c r="D175" s="413" t="str">
        <f>IF($B175="","",IFERROR(INDEX('E2 — Triagem'!$D$8:$D$507,MATCH($B175,'E2 — Triagem'!$B$8:$B$507,0)),""))</f>
        <v/>
      </c>
      <c r="E175" s="193"/>
      <c r="F175" s="193"/>
      <c r="G175" s="193"/>
      <c r="H175" s="193"/>
      <c r="I175" s="194" t="str">
        <f t="shared" si="2"/>
        <v/>
      </c>
      <c r="J175" s="181"/>
      <c r="K175" s="202"/>
    </row>
    <row r="176" spans="2:11" ht="14.5" customHeight="1" x14ac:dyDescent="0.35">
      <c r="B176" s="191" t="str">
        <f>IF(Lançamentos!$B171="","",Lançamentos!$B171)</f>
        <v/>
      </c>
      <c r="C176" s="192" t="str">
        <f>IF($B176="","",IFERROR(INDEX(Lançamentos!$J$3:$J$1001,MATCH($B176,Lançamentos!$B$3:$B$1001,0)),""))</f>
        <v/>
      </c>
      <c r="D176" s="413" t="str">
        <f>IF($B176="","",IFERROR(INDEX('E2 — Triagem'!$D$8:$D$507,MATCH($B176,'E2 — Triagem'!$B$8:$B$507,0)),""))</f>
        <v/>
      </c>
      <c r="E176" s="193"/>
      <c r="F176" s="193"/>
      <c r="G176" s="193"/>
      <c r="H176" s="193"/>
      <c r="I176" s="194" t="str">
        <f t="shared" si="2"/>
        <v/>
      </c>
      <c r="J176" s="181"/>
      <c r="K176" s="202"/>
    </row>
    <row r="177" spans="2:11" ht="14.5" customHeight="1" x14ac:dyDescent="0.35">
      <c r="B177" s="191" t="str">
        <f>IF(Lançamentos!$B172="","",Lançamentos!$B172)</f>
        <v/>
      </c>
      <c r="C177" s="192" t="str">
        <f>IF($B177="","",IFERROR(INDEX(Lançamentos!$J$3:$J$1001,MATCH($B177,Lançamentos!$B$3:$B$1001,0)),""))</f>
        <v/>
      </c>
      <c r="D177" s="413" t="str">
        <f>IF($B177="","",IFERROR(INDEX('E2 — Triagem'!$D$8:$D$507,MATCH($B177,'E2 — Triagem'!$B$8:$B$507,0)),""))</f>
        <v/>
      </c>
      <c r="E177" s="193"/>
      <c r="F177" s="193"/>
      <c r="G177" s="193"/>
      <c r="H177" s="193"/>
      <c r="I177" s="194" t="str">
        <f t="shared" si="2"/>
        <v/>
      </c>
      <c r="J177" s="181"/>
      <c r="K177" s="202"/>
    </row>
    <row r="178" spans="2:11" ht="14.5" customHeight="1" x14ac:dyDescent="0.35">
      <c r="B178" s="191" t="str">
        <f>IF(Lançamentos!$B173="","",Lançamentos!$B173)</f>
        <v/>
      </c>
      <c r="C178" s="192" t="str">
        <f>IF($B178="","",IFERROR(INDEX(Lançamentos!$J$3:$J$1001,MATCH($B178,Lançamentos!$B$3:$B$1001,0)),""))</f>
        <v/>
      </c>
      <c r="D178" s="413" t="str">
        <f>IF($B178="","",IFERROR(INDEX('E2 — Triagem'!$D$8:$D$507,MATCH($B178,'E2 — Triagem'!$B$8:$B$507,0)),""))</f>
        <v/>
      </c>
      <c r="E178" s="193"/>
      <c r="F178" s="193"/>
      <c r="G178" s="193"/>
      <c r="H178" s="193"/>
      <c r="I178" s="194" t="str">
        <f t="shared" si="2"/>
        <v/>
      </c>
      <c r="J178" s="181"/>
      <c r="K178" s="202"/>
    </row>
    <row r="179" spans="2:11" ht="14.5" customHeight="1" x14ac:dyDescent="0.35">
      <c r="B179" s="191" t="str">
        <f>IF(Lançamentos!$B174="","",Lançamentos!$B174)</f>
        <v/>
      </c>
      <c r="C179" s="192" t="str">
        <f>IF($B179="","",IFERROR(INDEX(Lançamentos!$J$3:$J$1001,MATCH($B179,Lançamentos!$B$3:$B$1001,0)),""))</f>
        <v/>
      </c>
      <c r="D179" s="413" t="str">
        <f>IF($B179="","",IFERROR(INDEX('E2 — Triagem'!$D$8:$D$507,MATCH($B179,'E2 — Triagem'!$B$8:$B$507,0)),""))</f>
        <v/>
      </c>
      <c r="E179" s="193"/>
      <c r="F179" s="193"/>
      <c r="G179" s="193"/>
      <c r="H179" s="193"/>
      <c r="I179" s="194" t="str">
        <f t="shared" si="2"/>
        <v/>
      </c>
      <c r="J179" s="181"/>
      <c r="K179" s="202"/>
    </row>
    <row r="180" spans="2:11" ht="14.5" customHeight="1" x14ac:dyDescent="0.35">
      <c r="B180" s="191" t="str">
        <f>IF(Lançamentos!$B175="","",Lançamentos!$B175)</f>
        <v/>
      </c>
      <c r="C180" s="192" t="str">
        <f>IF($B180="","",IFERROR(INDEX(Lançamentos!$J$3:$J$1001,MATCH($B180,Lançamentos!$B$3:$B$1001,0)),""))</f>
        <v/>
      </c>
      <c r="D180" s="413" t="str">
        <f>IF($B180="","",IFERROR(INDEX('E2 — Triagem'!$D$8:$D$507,MATCH($B180,'E2 — Triagem'!$B$8:$B$507,0)),""))</f>
        <v/>
      </c>
      <c r="E180" s="193"/>
      <c r="F180" s="193"/>
      <c r="G180" s="193"/>
      <c r="H180" s="193"/>
      <c r="I180" s="194" t="str">
        <f t="shared" si="2"/>
        <v/>
      </c>
      <c r="J180" s="181"/>
      <c r="K180" s="202"/>
    </row>
    <row r="181" spans="2:11" ht="14.5" customHeight="1" x14ac:dyDescent="0.35">
      <c r="B181" s="191" t="str">
        <f>IF(Lançamentos!$B176="","",Lançamentos!$B176)</f>
        <v/>
      </c>
      <c r="C181" s="192" t="str">
        <f>IF($B181="","",IFERROR(INDEX(Lançamentos!$J$3:$J$1001,MATCH($B181,Lançamentos!$B$3:$B$1001,0)),""))</f>
        <v/>
      </c>
      <c r="D181" s="413" t="str">
        <f>IF($B181="","",IFERROR(INDEX('E2 — Triagem'!$D$8:$D$507,MATCH($B181,'E2 — Triagem'!$B$8:$B$507,0)),""))</f>
        <v/>
      </c>
      <c r="E181" s="193"/>
      <c r="F181" s="193"/>
      <c r="G181" s="193"/>
      <c r="H181" s="193"/>
      <c r="I181" s="194" t="str">
        <f t="shared" si="2"/>
        <v/>
      </c>
      <c r="J181" s="181"/>
      <c r="K181" s="202"/>
    </row>
    <row r="182" spans="2:11" ht="14.5" customHeight="1" x14ac:dyDescent="0.35">
      <c r="B182" s="191" t="str">
        <f>IF(Lançamentos!$B177="","",Lançamentos!$B177)</f>
        <v/>
      </c>
      <c r="C182" s="192" t="str">
        <f>IF($B182="","",IFERROR(INDEX(Lançamentos!$J$3:$J$1001,MATCH($B182,Lançamentos!$B$3:$B$1001,0)),""))</f>
        <v/>
      </c>
      <c r="D182" s="413" t="str">
        <f>IF($B182="","",IFERROR(INDEX('E2 — Triagem'!$D$8:$D$507,MATCH($B182,'E2 — Triagem'!$B$8:$B$507,0)),""))</f>
        <v/>
      </c>
      <c r="E182" s="193"/>
      <c r="F182" s="193"/>
      <c r="G182" s="193"/>
      <c r="H182" s="193"/>
      <c r="I182" s="194" t="str">
        <f t="shared" si="2"/>
        <v/>
      </c>
      <c r="J182" s="181"/>
      <c r="K182" s="202"/>
    </row>
    <row r="183" spans="2:11" ht="14.5" customHeight="1" x14ac:dyDescent="0.35">
      <c r="B183" s="191" t="str">
        <f>IF(Lançamentos!$B178="","",Lançamentos!$B178)</f>
        <v/>
      </c>
      <c r="C183" s="192" t="str">
        <f>IF($B183="","",IFERROR(INDEX(Lançamentos!$J$3:$J$1001,MATCH($B183,Lançamentos!$B$3:$B$1001,0)),""))</f>
        <v/>
      </c>
      <c r="D183" s="413" t="str">
        <f>IF($B183="","",IFERROR(INDEX('E2 — Triagem'!$D$8:$D$507,MATCH($B183,'E2 — Triagem'!$B$8:$B$507,0)),""))</f>
        <v/>
      </c>
      <c r="E183" s="193"/>
      <c r="F183" s="193"/>
      <c r="G183" s="193"/>
      <c r="H183" s="193"/>
      <c r="I183" s="194" t="str">
        <f t="shared" si="2"/>
        <v/>
      </c>
      <c r="J183" s="181"/>
      <c r="K183" s="202"/>
    </row>
    <row r="184" spans="2:11" ht="14.5" customHeight="1" x14ac:dyDescent="0.35">
      <c r="B184" s="191" t="str">
        <f>IF(Lançamentos!$B179="","",Lançamentos!$B179)</f>
        <v/>
      </c>
      <c r="C184" s="192" t="str">
        <f>IF($B184="","",IFERROR(INDEX(Lançamentos!$J$3:$J$1001,MATCH($B184,Lançamentos!$B$3:$B$1001,0)),""))</f>
        <v/>
      </c>
      <c r="D184" s="413" t="str">
        <f>IF($B184="","",IFERROR(INDEX('E2 — Triagem'!$D$8:$D$507,MATCH($B184,'E2 — Triagem'!$B$8:$B$507,0)),""))</f>
        <v/>
      </c>
      <c r="E184" s="193"/>
      <c r="F184" s="193"/>
      <c r="G184" s="193"/>
      <c r="H184" s="193"/>
      <c r="I184" s="194" t="str">
        <f t="shared" si="2"/>
        <v/>
      </c>
      <c r="J184" s="181"/>
      <c r="K184" s="202"/>
    </row>
    <row r="185" spans="2:11" ht="14.5" customHeight="1" x14ac:dyDescent="0.35">
      <c r="B185" s="191" t="str">
        <f>IF(Lançamentos!$B180="","",Lançamentos!$B180)</f>
        <v/>
      </c>
      <c r="C185" s="192" t="str">
        <f>IF($B185="","",IFERROR(INDEX(Lançamentos!$J$3:$J$1001,MATCH($B185,Lançamentos!$B$3:$B$1001,0)),""))</f>
        <v/>
      </c>
      <c r="D185" s="413" t="str">
        <f>IF($B185="","",IFERROR(INDEX('E2 — Triagem'!$D$8:$D$507,MATCH($B185,'E2 — Triagem'!$B$8:$B$507,0)),""))</f>
        <v/>
      </c>
      <c r="E185" s="193"/>
      <c r="F185" s="193"/>
      <c r="G185" s="193"/>
      <c r="H185" s="193"/>
      <c r="I185" s="194" t="str">
        <f t="shared" si="2"/>
        <v/>
      </c>
      <c r="J185" s="181"/>
      <c r="K185" s="202"/>
    </row>
    <row r="186" spans="2:11" ht="14.5" customHeight="1" x14ac:dyDescent="0.35">
      <c r="B186" s="191" t="str">
        <f>IF(Lançamentos!$B181="","",Lançamentos!$B181)</f>
        <v/>
      </c>
      <c r="C186" s="192" t="str">
        <f>IF($B186="","",IFERROR(INDEX(Lançamentos!$J$3:$J$1001,MATCH($B186,Lançamentos!$B$3:$B$1001,0)),""))</f>
        <v/>
      </c>
      <c r="D186" s="413" t="str">
        <f>IF($B186="","",IFERROR(INDEX('E2 — Triagem'!$D$8:$D$507,MATCH($B186,'E2 — Triagem'!$B$8:$B$507,0)),""))</f>
        <v/>
      </c>
      <c r="E186" s="193"/>
      <c r="F186" s="193"/>
      <c r="G186" s="193"/>
      <c r="H186" s="193"/>
      <c r="I186" s="194" t="str">
        <f t="shared" si="2"/>
        <v/>
      </c>
      <c r="J186" s="181"/>
      <c r="K186" s="202"/>
    </row>
    <row r="187" spans="2:11" ht="14.5" customHeight="1" x14ac:dyDescent="0.35">
      <c r="B187" s="191" t="str">
        <f>IF(Lançamentos!$B182="","",Lançamentos!$B182)</f>
        <v/>
      </c>
      <c r="C187" s="192" t="str">
        <f>IF($B187="","",IFERROR(INDEX(Lançamentos!$J$3:$J$1001,MATCH($B187,Lançamentos!$B$3:$B$1001,0)),""))</f>
        <v/>
      </c>
      <c r="D187" s="413" t="str">
        <f>IF($B187="","",IFERROR(INDEX('E2 — Triagem'!$D$8:$D$507,MATCH($B187,'E2 — Triagem'!$B$8:$B$507,0)),""))</f>
        <v/>
      </c>
      <c r="E187" s="193"/>
      <c r="F187" s="193"/>
      <c r="G187" s="193"/>
      <c r="H187" s="193"/>
      <c r="I187" s="194" t="str">
        <f t="shared" si="2"/>
        <v/>
      </c>
      <c r="J187" s="181"/>
      <c r="K187" s="202"/>
    </row>
    <row r="188" spans="2:11" ht="14.5" customHeight="1" x14ac:dyDescent="0.35">
      <c r="B188" s="191" t="str">
        <f>IF(Lançamentos!$B183="","",Lançamentos!$B183)</f>
        <v/>
      </c>
      <c r="C188" s="192" t="str">
        <f>IF($B188="","",IFERROR(INDEX(Lançamentos!$J$3:$J$1001,MATCH($B188,Lançamentos!$B$3:$B$1001,0)),""))</f>
        <v/>
      </c>
      <c r="D188" s="413" t="str">
        <f>IF($B188="","",IFERROR(INDEX('E2 — Triagem'!$D$8:$D$507,MATCH($B188,'E2 — Triagem'!$B$8:$B$507,0)),""))</f>
        <v/>
      </c>
      <c r="E188" s="193"/>
      <c r="F188" s="193"/>
      <c r="G188" s="193"/>
      <c r="H188" s="193"/>
      <c r="I188" s="194" t="str">
        <f t="shared" si="2"/>
        <v/>
      </c>
      <c r="J188" s="181"/>
      <c r="K188" s="202"/>
    </row>
    <row r="189" spans="2:11" ht="14.5" customHeight="1" x14ac:dyDescent="0.35">
      <c r="B189" s="191" t="str">
        <f>IF(Lançamentos!$B184="","",Lançamentos!$B184)</f>
        <v/>
      </c>
      <c r="C189" s="192" t="str">
        <f>IF($B189="","",IFERROR(INDEX(Lançamentos!$J$3:$J$1001,MATCH($B189,Lançamentos!$B$3:$B$1001,0)),""))</f>
        <v/>
      </c>
      <c r="D189" s="413" t="str">
        <f>IF($B189="","",IFERROR(INDEX('E2 — Triagem'!$D$8:$D$507,MATCH($B189,'E2 — Triagem'!$B$8:$B$507,0)),""))</f>
        <v/>
      </c>
      <c r="E189" s="193"/>
      <c r="F189" s="193"/>
      <c r="G189" s="193"/>
      <c r="H189" s="193"/>
      <c r="I189" s="194" t="str">
        <f t="shared" si="2"/>
        <v/>
      </c>
      <c r="J189" s="181"/>
      <c r="K189" s="202"/>
    </row>
    <row r="190" spans="2:11" ht="14.5" customHeight="1" x14ac:dyDescent="0.35">
      <c r="B190" s="191" t="str">
        <f>IF(Lançamentos!$B185="","",Lançamentos!$B185)</f>
        <v/>
      </c>
      <c r="C190" s="192" t="str">
        <f>IF($B190="","",IFERROR(INDEX(Lançamentos!$J$3:$J$1001,MATCH($B190,Lançamentos!$B$3:$B$1001,0)),""))</f>
        <v/>
      </c>
      <c r="D190" s="413" t="str">
        <f>IF($B190="","",IFERROR(INDEX('E2 — Triagem'!$D$8:$D$507,MATCH($B190,'E2 — Triagem'!$B$8:$B$507,0)),""))</f>
        <v/>
      </c>
      <c r="E190" s="193"/>
      <c r="F190" s="193"/>
      <c r="G190" s="193"/>
      <c r="H190" s="193"/>
      <c r="I190" s="194" t="str">
        <f t="shared" si="2"/>
        <v/>
      </c>
      <c r="J190" s="181"/>
      <c r="K190" s="202"/>
    </row>
    <row r="191" spans="2:11" ht="14.5" customHeight="1" x14ac:dyDescent="0.35">
      <c r="B191" s="191" t="str">
        <f>IF(Lançamentos!$B186="","",Lançamentos!$B186)</f>
        <v/>
      </c>
      <c r="C191" s="192" t="str">
        <f>IF($B191="","",IFERROR(INDEX(Lançamentos!$J$3:$J$1001,MATCH($B191,Lançamentos!$B$3:$B$1001,0)),""))</f>
        <v/>
      </c>
      <c r="D191" s="413" t="str">
        <f>IF($B191="","",IFERROR(INDEX('E2 — Triagem'!$D$8:$D$507,MATCH($B191,'E2 — Triagem'!$B$8:$B$507,0)),""))</f>
        <v/>
      </c>
      <c r="E191" s="193"/>
      <c r="F191" s="193"/>
      <c r="G191" s="193"/>
      <c r="H191" s="193"/>
      <c r="I191" s="194" t="str">
        <f t="shared" si="2"/>
        <v/>
      </c>
      <c r="J191" s="181"/>
      <c r="K191" s="202"/>
    </row>
    <row r="192" spans="2:11" ht="14.5" customHeight="1" x14ac:dyDescent="0.35">
      <c r="B192" s="191" t="str">
        <f>IF(Lançamentos!$B187="","",Lançamentos!$B187)</f>
        <v/>
      </c>
      <c r="C192" s="192" t="str">
        <f>IF($B192="","",IFERROR(INDEX(Lançamentos!$J$3:$J$1001,MATCH($B192,Lançamentos!$B$3:$B$1001,0)),""))</f>
        <v/>
      </c>
      <c r="D192" s="413" t="str">
        <f>IF($B192="","",IFERROR(INDEX('E2 — Triagem'!$D$8:$D$507,MATCH($B192,'E2 — Triagem'!$B$8:$B$507,0)),""))</f>
        <v/>
      </c>
      <c r="E192" s="193"/>
      <c r="F192" s="193"/>
      <c r="G192" s="193"/>
      <c r="H192" s="193"/>
      <c r="I192" s="194" t="str">
        <f t="shared" si="2"/>
        <v/>
      </c>
      <c r="J192" s="181"/>
      <c r="K192" s="202"/>
    </row>
    <row r="193" spans="2:11" ht="14.5" customHeight="1" x14ac:dyDescent="0.35">
      <c r="B193" s="191" t="str">
        <f>IF(Lançamentos!$B188="","",Lançamentos!$B188)</f>
        <v/>
      </c>
      <c r="C193" s="192" t="str">
        <f>IF($B193="","",IFERROR(INDEX(Lançamentos!$J$3:$J$1001,MATCH($B193,Lançamentos!$B$3:$B$1001,0)),""))</f>
        <v/>
      </c>
      <c r="D193" s="413" t="str">
        <f>IF($B193="","",IFERROR(INDEX('E2 — Triagem'!$D$8:$D$507,MATCH($B193,'E2 — Triagem'!$B$8:$B$507,0)),""))</f>
        <v/>
      </c>
      <c r="E193" s="193"/>
      <c r="F193" s="193"/>
      <c r="G193" s="193"/>
      <c r="H193" s="193"/>
      <c r="I193" s="194" t="str">
        <f t="shared" si="2"/>
        <v/>
      </c>
      <c r="J193" s="181"/>
      <c r="K193" s="202"/>
    </row>
    <row r="194" spans="2:11" ht="14.5" customHeight="1" x14ac:dyDescent="0.35">
      <c r="B194" s="191" t="str">
        <f>IF(Lançamentos!$B189="","",Lançamentos!$B189)</f>
        <v/>
      </c>
      <c r="C194" s="192" t="str">
        <f>IF($B194="","",IFERROR(INDEX(Lançamentos!$J$3:$J$1001,MATCH($B194,Lançamentos!$B$3:$B$1001,0)),""))</f>
        <v/>
      </c>
      <c r="D194" s="413" t="str">
        <f>IF($B194="","",IFERROR(INDEX('E2 — Triagem'!$D$8:$D$507,MATCH($B194,'E2 — Triagem'!$B$8:$B$507,0)),""))</f>
        <v/>
      </c>
      <c r="E194" s="193"/>
      <c r="F194" s="193"/>
      <c r="G194" s="193"/>
      <c r="H194" s="193"/>
      <c r="I194" s="194" t="str">
        <f t="shared" si="2"/>
        <v/>
      </c>
      <c r="J194" s="181"/>
      <c r="K194" s="202"/>
    </row>
    <row r="195" spans="2:11" ht="14.5" customHeight="1" x14ac:dyDescent="0.35">
      <c r="B195" s="191" t="str">
        <f>IF(Lançamentos!$B190="","",Lançamentos!$B190)</f>
        <v/>
      </c>
      <c r="C195" s="192" t="str">
        <f>IF($B195="","",IFERROR(INDEX(Lançamentos!$J$3:$J$1001,MATCH($B195,Lançamentos!$B$3:$B$1001,0)),""))</f>
        <v/>
      </c>
      <c r="D195" s="413" t="str">
        <f>IF($B195="","",IFERROR(INDEX('E2 — Triagem'!$D$8:$D$507,MATCH($B195,'E2 — Triagem'!$B$8:$B$507,0)),""))</f>
        <v/>
      </c>
      <c r="E195" s="193"/>
      <c r="F195" s="193"/>
      <c r="G195" s="193"/>
      <c r="H195" s="193"/>
      <c r="I195" s="194" t="str">
        <f t="shared" si="2"/>
        <v/>
      </c>
      <c r="J195" s="181"/>
      <c r="K195" s="202"/>
    </row>
    <row r="196" spans="2:11" ht="14.5" customHeight="1" x14ac:dyDescent="0.35">
      <c r="B196" s="191" t="str">
        <f>IF(Lançamentos!$B191="","",Lançamentos!$B191)</f>
        <v/>
      </c>
      <c r="C196" s="192" t="str">
        <f>IF($B196="","",IFERROR(INDEX(Lançamentos!$J$3:$J$1001,MATCH($B196,Lançamentos!$B$3:$B$1001,0)),""))</f>
        <v/>
      </c>
      <c r="D196" s="413" t="str">
        <f>IF($B196="","",IFERROR(INDEX('E2 — Triagem'!$D$8:$D$507,MATCH($B196,'E2 — Triagem'!$B$8:$B$507,0)),""))</f>
        <v/>
      </c>
      <c r="E196" s="193"/>
      <c r="F196" s="193"/>
      <c r="G196" s="193"/>
      <c r="H196" s="193"/>
      <c r="I196" s="194" t="str">
        <f t="shared" si="2"/>
        <v/>
      </c>
      <c r="J196" s="181"/>
      <c r="K196" s="202"/>
    </row>
    <row r="197" spans="2:11" ht="14.5" customHeight="1" x14ac:dyDescent="0.35">
      <c r="B197" s="191" t="str">
        <f>IF(Lançamentos!$B192="","",Lançamentos!$B192)</f>
        <v/>
      </c>
      <c r="C197" s="192" t="str">
        <f>IF($B197="","",IFERROR(INDEX(Lançamentos!$J$3:$J$1001,MATCH($B197,Lançamentos!$B$3:$B$1001,0)),""))</f>
        <v/>
      </c>
      <c r="D197" s="413" t="str">
        <f>IF($B197="","",IFERROR(INDEX('E2 — Triagem'!$D$8:$D$507,MATCH($B197,'E2 — Triagem'!$B$8:$B$507,0)),""))</f>
        <v/>
      </c>
      <c r="E197" s="193"/>
      <c r="F197" s="193"/>
      <c r="G197" s="193"/>
      <c r="H197" s="193"/>
      <c r="I197" s="194" t="str">
        <f t="shared" si="2"/>
        <v/>
      </c>
      <c r="J197" s="181"/>
      <c r="K197" s="202"/>
    </row>
    <row r="198" spans="2:11" ht="14.5" customHeight="1" x14ac:dyDescent="0.35">
      <c r="B198" s="191" t="str">
        <f>IF(Lançamentos!$B193="","",Lançamentos!$B193)</f>
        <v/>
      </c>
      <c r="C198" s="192" t="str">
        <f>IF($B198="","",IFERROR(INDEX(Lançamentos!$J$3:$J$1001,MATCH($B198,Lançamentos!$B$3:$B$1001,0)),""))</f>
        <v/>
      </c>
      <c r="D198" s="413" t="str">
        <f>IF($B198="","",IFERROR(INDEX('E2 — Triagem'!$D$8:$D$507,MATCH($B198,'E2 — Triagem'!$B$8:$B$507,0)),""))</f>
        <v/>
      </c>
      <c r="E198" s="193"/>
      <c r="F198" s="193"/>
      <c r="G198" s="193"/>
      <c r="H198" s="193"/>
      <c r="I198" s="194" t="str">
        <f t="shared" si="2"/>
        <v/>
      </c>
      <c r="J198" s="181"/>
      <c r="K198" s="202"/>
    </row>
    <row r="199" spans="2:11" ht="14.5" customHeight="1" x14ac:dyDescent="0.35">
      <c r="B199" s="191" t="str">
        <f>IF(Lançamentos!$B194="","",Lançamentos!$B194)</f>
        <v/>
      </c>
      <c r="C199" s="192" t="str">
        <f>IF($B199="","",IFERROR(INDEX(Lançamentos!$J$3:$J$1001,MATCH($B199,Lançamentos!$B$3:$B$1001,0)),""))</f>
        <v/>
      </c>
      <c r="D199" s="413" t="str">
        <f>IF($B199="","",IFERROR(INDEX('E2 — Triagem'!$D$8:$D$507,MATCH($B199,'E2 — Triagem'!$B$8:$B$507,0)),""))</f>
        <v/>
      </c>
      <c r="E199" s="193"/>
      <c r="F199" s="193"/>
      <c r="G199" s="193"/>
      <c r="H199" s="193"/>
      <c r="I199" s="194" t="str">
        <f t="shared" si="2"/>
        <v/>
      </c>
      <c r="J199" s="181"/>
      <c r="K199" s="202"/>
    </row>
    <row r="200" spans="2:11" ht="14.5" customHeight="1" x14ac:dyDescent="0.35">
      <c r="B200" s="191" t="str">
        <f>IF(Lançamentos!$B195="","",Lançamentos!$B195)</f>
        <v/>
      </c>
      <c r="C200" s="192" t="str">
        <f>IF($B200="","",IFERROR(INDEX(Lançamentos!$J$3:$J$1001,MATCH($B200,Lançamentos!$B$3:$B$1001,0)),""))</f>
        <v/>
      </c>
      <c r="D200" s="413" t="str">
        <f>IF($B200="","",IFERROR(INDEX('E2 — Triagem'!$D$8:$D$507,MATCH($B200,'E2 — Triagem'!$B$8:$B$507,0)),""))</f>
        <v/>
      </c>
      <c r="E200" s="193"/>
      <c r="F200" s="193"/>
      <c r="G200" s="193"/>
      <c r="H200" s="193"/>
      <c r="I200" s="194" t="str">
        <f t="shared" si="2"/>
        <v/>
      </c>
      <c r="J200" s="181"/>
      <c r="K200" s="202"/>
    </row>
    <row r="201" spans="2:11" ht="14.5" customHeight="1" x14ac:dyDescent="0.35">
      <c r="B201" s="191" t="str">
        <f>IF(Lançamentos!$B196="","",Lançamentos!$B196)</f>
        <v/>
      </c>
      <c r="C201" s="192" t="str">
        <f>IF($B201="","",IFERROR(INDEX(Lançamentos!$J$3:$J$1001,MATCH($B201,Lançamentos!$B$3:$B$1001,0)),""))</f>
        <v/>
      </c>
      <c r="D201" s="413" t="str">
        <f>IF($B201="","",IFERROR(INDEX('E2 — Triagem'!$D$8:$D$507,MATCH($B201,'E2 — Triagem'!$B$8:$B$507,0)),""))</f>
        <v/>
      </c>
      <c r="E201" s="193"/>
      <c r="F201" s="193"/>
      <c r="G201" s="193"/>
      <c r="H201" s="193"/>
      <c r="I201" s="194" t="str">
        <f t="shared" ref="I201:I207" si="3">IF(B201="","",IF(COUNTIF(E201:H201,"N/A")=4,0,COUNTIF(E201:H201,"✔ Concluído")/(4-COUNTIF(E201:H201,"N/A"))))</f>
        <v/>
      </c>
      <c r="J201" s="181"/>
      <c r="K201" s="202"/>
    </row>
    <row r="202" spans="2:11" ht="14.5" customHeight="1" x14ac:dyDescent="0.35">
      <c r="B202" s="191" t="str">
        <f>IF(Lançamentos!$B197="","",Lançamentos!$B197)</f>
        <v/>
      </c>
      <c r="C202" s="192" t="str">
        <f>IF($B202="","",IFERROR(INDEX(Lançamentos!$J$3:$J$1001,MATCH($B202,Lançamentos!$B$3:$B$1001,0)),""))</f>
        <v/>
      </c>
      <c r="D202" s="413" t="str">
        <f>IF($B202="","",IFERROR(INDEX('E2 — Triagem'!$D$8:$D$507,MATCH($B202,'E2 — Triagem'!$B$8:$B$507,0)),""))</f>
        <v/>
      </c>
      <c r="E202" s="193"/>
      <c r="F202" s="193"/>
      <c r="G202" s="193"/>
      <c r="H202" s="193"/>
      <c r="I202" s="194" t="str">
        <f t="shared" si="3"/>
        <v/>
      </c>
      <c r="J202" s="181"/>
      <c r="K202" s="202"/>
    </row>
    <row r="203" spans="2:11" ht="14.5" customHeight="1" x14ac:dyDescent="0.35">
      <c r="B203" s="191" t="str">
        <f>IF(Lançamentos!$B198="","",Lançamentos!$B198)</f>
        <v/>
      </c>
      <c r="C203" s="192" t="str">
        <f>IF($B203="","",IFERROR(INDEX(Lançamentos!$J$3:$J$1001,MATCH($B203,Lançamentos!$B$3:$B$1001,0)),""))</f>
        <v/>
      </c>
      <c r="D203" s="413" t="str">
        <f>IF($B203="","",IFERROR(INDEX('E2 — Triagem'!$D$8:$D$507,MATCH($B203,'E2 — Triagem'!$B$8:$B$507,0)),""))</f>
        <v/>
      </c>
      <c r="E203" s="193"/>
      <c r="F203" s="193"/>
      <c r="G203" s="193"/>
      <c r="H203" s="193"/>
      <c r="I203" s="194" t="str">
        <f t="shared" si="3"/>
        <v/>
      </c>
      <c r="J203" s="181"/>
      <c r="K203" s="202"/>
    </row>
    <row r="204" spans="2:11" ht="14.5" customHeight="1" x14ac:dyDescent="0.35">
      <c r="B204" s="191" t="str">
        <f>IF(Lançamentos!$B199="","",Lançamentos!$B199)</f>
        <v/>
      </c>
      <c r="C204" s="192" t="str">
        <f>IF($B204="","",IFERROR(INDEX(Lançamentos!$J$3:$J$1001,MATCH($B204,Lançamentos!$B$3:$B$1001,0)),""))</f>
        <v/>
      </c>
      <c r="D204" s="413" t="str">
        <f>IF($B204="","",IFERROR(INDEX('E2 — Triagem'!$D$8:$D$507,MATCH($B204,'E2 — Triagem'!$B$8:$B$507,0)),""))</f>
        <v/>
      </c>
      <c r="E204" s="193"/>
      <c r="F204" s="193"/>
      <c r="G204" s="193"/>
      <c r="H204" s="193"/>
      <c r="I204" s="194" t="str">
        <f t="shared" si="3"/>
        <v/>
      </c>
      <c r="J204" s="181"/>
      <c r="K204" s="202"/>
    </row>
    <row r="205" spans="2:11" ht="14.5" customHeight="1" x14ac:dyDescent="0.35">
      <c r="B205" s="191" t="str">
        <f>IF(Lançamentos!$B200="","",Lançamentos!$B200)</f>
        <v/>
      </c>
      <c r="C205" s="192" t="str">
        <f>IF($B205="","",IFERROR(INDEX(Lançamentos!$J$3:$J$1001,MATCH($B205,Lançamentos!$B$3:$B$1001,0)),""))</f>
        <v/>
      </c>
      <c r="D205" s="413" t="str">
        <f>IF($B205="","",IFERROR(INDEX('E2 — Triagem'!$D$8:$D$507,MATCH($B205,'E2 — Triagem'!$B$8:$B$507,0)),""))</f>
        <v/>
      </c>
      <c r="E205" s="193"/>
      <c r="F205" s="193"/>
      <c r="G205" s="193"/>
      <c r="H205" s="193"/>
      <c r="I205" s="194" t="str">
        <f t="shared" si="3"/>
        <v/>
      </c>
      <c r="J205" s="181"/>
      <c r="K205" s="202"/>
    </row>
    <row r="206" spans="2:11" ht="14.5" customHeight="1" x14ac:dyDescent="0.35">
      <c r="B206" s="191" t="str">
        <f>IF(Lançamentos!$B201="","",Lançamentos!$B201)</f>
        <v/>
      </c>
      <c r="C206" s="192" t="str">
        <f>IF($B206="","",IFERROR(INDEX(Lançamentos!$J$3:$J$1001,MATCH($B206,Lançamentos!$B$3:$B$1001,0)),""))</f>
        <v/>
      </c>
      <c r="D206" s="413" t="str">
        <f>IF($B206="","",IFERROR(INDEX('E2 — Triagem'!$D$8:$D$507,MATCH($B206,'E2 — Triagem'!$B$8:$B$507,0)),""))</f>
        <v/>
      </c>
      <c r="E206" s="193"/>
      <c r="F206" s="193"/>
      <c r="G206" s="193"/>
      <c r="H206" s="193"/>
      <c r="I206" s="194" t="str">
        <f t="shared" si="3"/>
        <v/>
      </c>
      <c r="J206" s="181"/>
      <c r="K206" s="202"/>
    </row>
    <row r="207" spans="2:11" ht="14.5" customHeight="1" x14ac:dyDescent="0.35">
      <c r="B207" s="196" t="str">
        <f>IF(Lançamentos!$B202="","",Lançamentos!$B202)</f>
        <v/>
      </c>
      <c r="C207" s="197" t="str">
        <f>IF($B207="","",IFERROR(INDEX(Lançamentos!$J$3:$J$1001,MATCH($B207,Lançamentos!$B$3:$B$1001,0)),""))</f>
        <v/>
      </c>
      <c r="D207" s="414" t="str">
        <f>IF($B207="","",IFERROR(INDEX('E2 — Triagem'!$D$8:$D$507,MATCH($B207,'E2 — Triagem'!$B$8:$B$507,0)),""))</f>
        <v/>
      </c>
      <c r="E207" s="198"/>
      <c r="F207" s="198"/>
      <c r="G207" s="198"/>
      <c r="H207" s="198"/>
      <c r="I207" s="199" t="str">
        <f t="shared" si="3"/>
        <v/>
      </c>
      <c r="J207" s="200"/>
      <c r="K207" s="203"/>
    </row>
    <row r="208" spans="2:11" x14ac:dyDescent="0.35">
      <c r="B208" s="445" t="str">
        <f>IF(Lançamentos!$B203="","",Lançamentos!$B203)</f>
        <v/>
      </c>
      <c r="C208" s="446" t="str">
        <f>IF($B208="","",IFERROR(INDEX(Lançamentos!$J$3:$J$1001,MATCH($B208,Lançamentos!$B$3:$B$1001,0)),""))</f>
        <v/>
      </c>
      <c r="D208" s="447" t="str">
        <f>IF($B208="","",IFERROR(INDEX('E2 — Triagem'!$D$8:$D$507,MATCH($B208,'E2 — Triagem'!$B$8:$B$507,0)),""))</f>
        <v/>
      </c>
      <c r="E208" s="447"/>
      <c r="F208" s="447"/>
      <c r="G208" s="447"/>
      <c r="H208" s="447"/>
      <c r="I208" s="455" t="str">
        <f t="shared" ref="I208:I271" si="4">IF(B208="","",IF(COUNTIF(E208:H208,"N/A")=4,0,COUNTIF(E208:H208,"✔ Concluído")/(4-COUNTIF(E208:H208,"N/A"))))</f>
        <v/>
      </c>
      <c r="J208" s="448"/>
      <c r="K208" s="456"/>
    </row>
    <row r="209" spans="2:11" x14ac:dyDescent="0.35">
      <c r="B209" s="445" t="str">
        <f>IF(Lançamentos!$B204="","",Lançamentos!$B204)</f>
        <v/>
      </c>
      <c r="C209" s="446" t="str">
        <f>IF($B209="","",IFERROR(INDEX(Lançamentos!$J$3:$J$1001,MATCH($B209,Lançamentos!$B$3:$B$1001,0)),""))</f>
        <v/>
      </c>
      <c r="D209" s="447" t="str">
        <f>IF($B209="","",IFERROR(INDEX('E2 — Triagem'!$D$8:$D$507,MATCH($B209,'E2 — Triagem'!$B$8:$B$507,0)),""))</f>
        <v/>
      </c>
      <c r="E209" s="447"/>
      <c r="F209" s="447"/>
      <c r="G209" s="447"/>
      <c r="H209" s="447"/>
      <c r="I209" s="455" t="str">
        <f t="shared" si="4"/>
        <v/>
      </c>
      <c r="J209" s="448"/>
      <c r="K209" s="456"/>
    </row>
    <row r="210" spans="2:11" x14ac:dyDescent="0.35">
      <c r="B210" s="445" t="str">
        <f>IF(Lançamentos!$B205="","",Lançamentos!$B205)</f>
        <v/>
      </c>
      <c r="C210" s="446" t="str">
        <f>IF($B210="","",IFERROR(INDEX(Lançamentos!$J$3:$J$1001,MATCH($B210,Lançamentos!$B$3:$B$1001,0)),""))</f>
        <v/>
      </c>
      <c r="D210" s="447" t="str">
        <f>IF($B210="","",IFERROR(INDEX('E2 — Triagem'!$D$8:$D$507,MATCH($B210,'E2 — Triagem'!$B$8:$B$507,0)),""))</f>
        <v/>
      </c>
      <c r="E210" s="447"/>
      <c r="F210" s="447"/>
      <c r="G210" s="447"/>
      <c r="H210" s="447"/>
      <c r="I210" s="455" t="str">
        <f t="shared" si="4"/>
        <v/>
      </c>
      <c r="J210" s="448"/>
      <c r="K210" s="456"/>
    </row>
    <row r="211" spans="2:11" x14ac:dyDescent="0.35">
      <c r="B211" s="445" t="str">
        <f>IF(Lançamentos!$B206="","",Lançamentos!$B206)</f>
        <v/>
      </c>
      <c r="C211" s="446" t="str">
        <f>IF($B211="","",IFERROR(INDEX(Lançamentos!$J$3:$J$1001,MATCH($B211,Lançamentos!$B$3:$B$1001,0)),""))</f>
        <v/>
      </c>
      <c r="D211" s="447" t="str">
        <f>IF($B211="","",IFERROR(INDEX('E2 — Triagem'!$D$8:$D$507,MATCH($B211,'E2 — Triagem'!$B$8:$B$507,0)),""))</f>
        <v/>
      </c>
      <c r="E211" s="447"/>
      <c r="F211" s="447"/>
      <c r="G211" s="447"/>
      <c r="H211" s="447"/>
      <c r="I211" s="455" t="str">
        <f t="shared" si="4"/>
        <v/>
      </c>
      <c r="J211" s="448"/>
      <c r="K211" s="456"/>
    </row>
    <row r="212" spans="2:11" x14ac:dyDescent="0.35">
      <c r="B212" s="445" t="str">
        <f>IF(Lançamentos!$B207="","",Lançamentos!$B207)</f>
        <v/>
      </c>
      <c r="C212" s="446" t="str">
        <f>IF($B212="","",IFERROR(INDEX(Lançamentos!$J$3:$J$1001,MATCH($B212,Lançamentos!$B$3:$B$1001,0)),""))</f>
        <v/>
      </c>
      <c r="D212" s="447" t="str">
        <f>IF($B212="","",IFERROR(INDEX('E2 — Triagem'!$D$8:$D$507,MATCH($B212,'E2 — Triagem'!$B$8:$B$507,0)),""))</f>
        <v/>
      </c>
      <c r="E212" s="447"/>
      <c r="F212" s="447"/>
      <c r="G212" s="447"/>
      <c r="H212" s="447"/>
      <c r="I212" s="455" t="str">
        <f t="shared" si="4"/>
        <v/>
      </c>
      <c r="J212" s="448"/>
      <c r="K212" s="456"/>
    </row>
    <row r="213" spans="2:11" x14ac:dyDescent="0.35">
      <c r="B213" s="445" t="str">
        <f>IF(Lançamentos!$B208="","",Lançamentos!$B208)</f>
        <v/>
      </c>
      <c r="C213" s="446" t="str">
        <f>IF($B213="","",IFERROR(INDEX(Lançamentos!$J$3:$J$1001,MATCH($B213,Lançamentos!$B$3:$B$1001,0)),""))</f>
        <v/>
      </c>
      <c r="D213" s="447" t="str">
        <f>IF($B213="","",IFERROR(INDEX('E2 — Triagem'!$D$8:$D$507,MATCH($B213,'E2 — Triagem'!$B$8:$B$507,0)),""))</f>
        <v/>
      </c>
      <c r="E213" s="447"/>
      <c r="F213" s="447"/>
      <c r="G213" s="447"/>
      <c r="H213" s="447"/>
      <c r="I213" s="455" t="str">
        <f t="shared" si="4"/>
        <v/>
      </c>
      <c r="J213" s="448"/>
      <c r="K213" s="456"/>
    </row>
    <row r="214" spans="2:11" x14ac:dyDescent="0.35">
      <c r="B214" s="445" t="str">
        <f>IF(Lançamentos!$B209="","",Lançamentos!$B209)</f>
        <v/>
      </c>
      <c r="C214" s="446" t="str">
        <f>IF($B214="","",IFERROR(INDEX(Lançamentos!$J$3:$J$1001,MATCH($B214,Lançamentos!$B$3:$B$1001,0)),""))</f>
        <v/>
      </c>
      <c r="D214" s="447" t="str">
        <f>IF($B214="","",IFERROR(INDEX('E2 — Triagem'!$D$8:$D$507,MATCH($B214,'E2 — Triagem'!$B$8:$B$507,0)),""))</f>
        <v/>
      </c>
      <c r="E214" s="447"/>
      <c r="F214" s="447"/>
      <c r="G214" s="447"/>
      <c r="H214" s="447"/>
      <c r="I214" s="455" t="str">
        <f t="shared" si="4"/>
        <v/>
      </c>
      <c r="J214" s="448"/>
      <c r="K214" s="456"/>
    </row>
    <row r="215" spans="2:11" x14ac:dyDescent="0.35">
      <c r="B215" s="445" t="str">
        <f>IF(Lançamentos!$B210="","",Lançamentos!$B210)</f>
        <v/>
      </c>
      <c r="C215" s="446" t="str">
        <f>IF($B215="","",IFERROR(INDEX(Lançamentos!$J$3:$J$1001,MATCH($B215,Lançamentos!$B$3:$B$1001,0)),""))</f>
        <v/>
      </c>
      <c r="D215" s="447" t="str">
        <f>IF($B215="","",IFERROR(INDEX('E2 — Triagem'!$D$8:$D$507,MATCH($B215,'E2 — Triagem'!$B$8:$B$507,0)),""))</f>
        <v/>
      </c>
      <c r="E215" s="447"/>
      <c r="F215" s="447"/>
      <c r="G215" s="447"/>
      <c r="H215" s="447"/>
      <c r="I215" s="455" t="str">
        <f t="shared" si="4"/>
        <v/>
      </c>
      <c r="J215" s="448"/>
      <c r="K215" s="456"/>
    </row>
    <row r="216" spans="2:11" x14ac:dyDescent="0.35">
      <c r="B216" s="445" t="str">
        <f>IF(Lançamentos!$B211="","",Lançamentos!$B211)</f>
        <v/>
      </c>
      <c r="C216" s="446" t="str">
        <f>IF($B216="","",IFERROR(INDEX(Lançamentos!$J$3:$J$1001,MATCH($B216,Lançamentos!$B$3:$B$1001,0)),""))</f>
        <v/>
      </c>
      <c r="D216" s="447" t="str">
        <f>IF($B216="","",IFERROR(INDEX('E2 — Triagem'!$D$8:$D$507,MATCH($B216,'E2 — Triagem'!$B$8:$B$507,0)),""))</f>
        <v/>
      </c>
      <c r="E216" s="447"/>
      <c r="F216" s="447"/>
      <c r="G216" s="447"/>
      <c r="H216" s="447"/>
      <c r="I216" s="455" t="str">
        <f t="shared" si="4"/>
        <v/>
      </c>
      <c r="J216" s="448"/>
      <c r="K216" s="456"/>
    </row>
    <row r="217" spans="2:11" x14ac:dyDescent="0.35">
      <c r="B217" s="445" t="str">
        <f>IF(Lançamentos!$B212="","",Lançamentos!$B212)</f>
        <v/>
      </c>
      <c r="C217" s="446" t="str">
        <f>IF($B217="","",IFERROR(INDEX(Lançamentos!$J$3:$J$1001,MATCH($B217,Lançamentos!$B$3:$B$1001,0)),""))</f>
        <v/>
      </c>
      <c r="D217" s="447" t="str">
        <f>IF($B217="","",IFERROR(INDEX('E2 — Triagem'!$D$8:$D$507,MATCH($B217,'E2 — Triagem'!$B$8:$B$507,0)),""))</f>
        <v/>
      </c>
      <c r="E217" s="447"/>
      <c r="F217" s="447"/>
      <c r="G217" s="447"/>
      <c r="H217" s="447"/>
      <c r="I217" s="455" t="str">
        <f t="shared" si="4"/>
        <v/>
      </c>
      <c r="J217" s="448"/>
      <c r="K217" s="456"/>
    </row>
    <row r="218" spans="2:11" x14ac:dyDescent="0.35">
      <c r="B218" s="445" t="str">
        <f>IF(Lançamentos!$B213="","",Lançamentos!$B213)</f>
        <v/>
      </c>
      <c r="C218" s="446" t="str">
        <f>IF($B218="","",IFERROR(INDEX(Lançamentos!$J$3:$J$1001,MATCH($B218,Lançamentos!$B$3:$B$1001,0)),""))</f>
        <v/>
      </c>
      <c r="D218" s="447" t="str">
        <f>IF($B218="","",IFERROR(INDEX('E2 — Triagem'!$D$8:$D$507,MATCH($B218,'E2 — Triagem'!$B$8:$B$507,0)),""))</f>
        <v/>
      </c>
      <c r="E218" s="447"/>
      <c r="F218" s="447"/>
      <c r="G218" s="447"/>
      <c r="H218" s="447"/>
      <c r="I218" s="455" t="str">
        <f t="shared" si="4"/>
        <v/>
      </c>
      <c r="J218" s="448"/>
      <c r="K218" s="456"/>
    </row>
    <row r="219" spans="2:11" x14ac:dyDescent="0.35">
      <c r="B219" s="445" t="str">
        <f>IF(Lançamentos!$B214="","",Lançamentos!$B214)</f>
        <v/>
      </c>
      <c r="C219" s="446" t="str">
        <f>IF($B219="","",IFERROR(INDEX(Lançamentos!$J$3:$J$1001,MATCH($B219,Lançamentos!$B$3:$B$1001,0)),""))</f>
        <v/>
      </c>
      <c r="D219" s="447" t="str">
        <f>IF($B219="","",IFERROR(INDEX('E2 — Triagem'!$D$8:$D$507,MATCH($B219,'E2 — Triagem'!$B$8:$B$507,0)),""))</f>
        <v/>
      </c>
      <c r="E219" s="447"/>
      <c r="F219" s="447"/>
      <c r="G219" s="447"/>
      <c r="H219" s="447"/>
      <c r="I219" s="455" t="str">
        <f t="shared" si="4"/>
        <v/>
      </c>
      <c r="J219" s="448"/>
      <c r="K219" s="456"/>
    </row>
    <row r="220" spans="2:11" x14ac:dyDescent="0.35">
      <c r="B220" s="445" t="str">
        <f>IF(Lançamentos!$B215="","",Lançamentos!$B215)</f>
        <v/>
      </c>
      <c r="C220" s="446" t="str">
        <f>IF($B220="","",IFERROR(INDEX(Lançamentos!$J$3:$J$1001,MATCH($B220,Lançamentos!$B$3:$B$1001,0)),""))</f>
        <v/>
      </c>
      <c r="D220" s="447" t="str">
        <f>IF($B220="","",IFERROR(INDEX('E2 — Triagem'!$D$8:$D$507,MATCH($B220,'E2 — Triagem'!$B$8:$B$507,0)),""))</f>
        <v/>
      </c>
      <c r="E220" s="447"/>
      <c r="F220" s="447"/>
      <c r="G220" s="447"/>
      <c r="H220" s="447"/>
      <c r="I220" s="455" t="str">
        <f t="shared" si="4"/>
        <v/>
      </c>
      <c r="J220" s="448"/>
      <c r="K220" s="456"/>
    </row>
    <row r="221" spans="2:11" x14ac:dyDescent="0.35">
      <c r="B221" s="445" t="str">
        <f>IF(Lançamentos!$B216="","",Lançamentos!$B216)</f>
        <v/>
      </c>
      <c r="C221" s="446" t="str">
        <f>IF($B221="","",IFERROR(INDEX(Lançamentos!$J$3:$J$1001,MATCH($B221,Lançamentos!$B$3:$B$1001,0)),""))</f>
        <v/>
      </c>
      <c r="D221" s="447" t="str">
        <f>IF($B221="","",IFERROR(INDEX('E2 — Triagem'!$D$8:$D$507,MATCH($B221,'E2 — Triagem'!$B$8:$B$507,0)),""))</f>
        <v/>
      </c>
      <c r="E221" s="447"/>
      <c r="F221" s="447"/>
      <c r="G221" s="447"/>
      <c r="H221" s="447"/>
      <c r="I221" s="455" t="str">
        <f t="shared" si="4"/>
        <v/>
      </c>
      <c r="J221" s="448"/>
      <c r="K221" s="456"/>
    </row>
    <row r="222" spans="2:11" x14ac:dyDescent="0.35">
      <c r="B222" s="445" t="str">
        <f>IF(Lançamentos!$B217="","",Lançamentos!$B217)</f>
        <v/>
      </c>
      <c r="C222" s="446" t="str">
        <f>IF($B222="","",IFERROR(INDEX(Lançamentos!$J$3:$J$1001,MATCH($B222,Lançamentos!$B$3:$B$1001,0)),""))</f>
        <v/>
      </c>
      <c r="D222" s="447" t="str">
        <f>IF($B222="","",IFERROR(INDEX('E2 — Triagem'!$D$8:$D$507,MATCH($B222,'E2 — Triagem'!$B$8:$B$507,0)),""))</f>
        <v/>
      </c>
      <c r="E222" s="447"/>
      <c r="F222" s="447"/>
      <c r="G222" s="447"/>
      <c r="H222" s="447"/>
      <c r="I222" s="455" t="str">
        <f t="shared" si="4"/>
        <v/>
      </c>
      <c r="J222" s="448"/>
      <c r="K222" s="456"/>
    </row>
    <row r="223" spans="2:11" x14ac:dyDescent="0.35">
      <c r="B223" s="445" t="str">
        <f>IF(Lançamentos!$B218="","",Lançamentos!$B218)</f>
        <v/>
      </c>
      <c r="C223" s="446" t="str">
        <f>IF($B223="","",IFERROR(INDEX(Lançamentos!$J$3:$J$1001,MATCH($B223,Lançamentos!$B$3:$B$1001,0)),""))</f>
        <v/>
      </c>
      <c r="D223" s="447" t="str">
        <f>IF($B223="","",IFERROR(INDEX('E2 — Triagem'!$D$8:$D$507,MATCH($B223,'E2 — Triagem'!$B$8:$B$507,0)),""))</f>
        <v/>
      </c>
      <c r="E223" s="447"/>
      <c r="F223" s="447"/>
      <c r="G223" s="447"/>
      <c r="H223" s="447"/>
      <c r="I223" s="455" t="str">
        <f t="shared" si="4"/>
        <v/>
      </c>
      <c r="J223" s="448"/>
      <c r="K223" s="456"/>
    </row>
    <row r="224" spans="2:11" x14ac:dyDescent="0.35">
      <c r="B224" s="445" t="str">
        <f>IF(Lançamentos!$B219="","",Lançamentos!$B219)</f>
        <v/>
      </c>
      <c r="C224" s="446" t="str">
        <f>IF($B224="","",IFERROR(INDEX(Lançamentos!$J$3:$J$1001,MATCH($B224,Lançamentos!$B$3:$B$1001,0)),""))</f>
        <v/>
      </c>
      <c r="D224" s="447" t="str">
        <f>IF($B224="","",IFERROR(INDEX('E2 — Triagem'!$D$8:$D$507,MATCH($B224,'E2 — Triagem'!$B$8:$B$507,0)),""))</f>
        <v/>
      </c>
      <c r="E224" s="447"/>
      <c r="F224" s="447"/>
      <c r="G224" s="447"/>
      <c r="H224" s="447"/>
      <c r="I224" s="455" t="str">
        <f t="shared" si="4"/>
        <v/>
      </c>
      <c r="J224" s="448"/>
      <c r="K224" s="456"/>
    </row>
    <row r="225" spans="2:11" x14ac:dyDescent="0.35">
      <c r="B225" s="445" t="str">
        <f>IF(Lançamentos!$B220="","",Lançamentos!$B220)</f>
        <v/>
      </c>
      <c r="C225" s="446" t="str">
        <f>IF($B225="","",IFERROR(INDEX(Lançamentos!$J$3:$J$1001,MATCH($B225,Lançamentos!$B$3:$B$1001,0)),""))</f>
        <v/>
      </c>
      <c r="D225" s="447" t="str">
        <f>IF($B225="","",IFERROR(INDEX('E2 — Triagem'!$D$8:$D$507,MATCH($B225,'E2 — Triagem'!$B$8:$B$507,0)),""))</f>
        <v/>
      </c>
      <c r="E225" s="447"/>
      <c r="F225" s="447"/>
      <c r="G225" s="447"/>
      <c r="H225" s="447"/>
      <c r="I225" s="455" t="str">
        <f t="shared" si="4"/>
        <v/>
      </c>
      <c r="J225" s="448"/>
      <c r="K225" s="456"/>
    </row>
    <row r="226" spans="2:11" x14ac:dyDescent="0.35">
      <c r="B226" s="445" t="str">
        <f>IF(Lançamentos!$B221="","",Lançamentos!$B221)</f>
        <v/>
      </c>
      <c r="C226" s="446" t="str">
        <f>IF($B226="","",IFERROR(INDEX(Lançamentos!$J$3:$J$1001,MATCH($B226,Lançamentos!$B$3:$B$1001,0)),""))</f>
        <v/>
      </c>
      <c r="D226" s="447" t="str">
        <f>IF($B226="","",IFERROR(INDEX('E2 — Triagem'!$D$8:$D$507,MATCH($B226,'E2 — Triagem'!$B$8:$B$507,0)),""))</f>
        <v/>
      </c>
      <c r="E226" s="447"/>
      <c r="F226" s="447"/>
      <c r="G226" s="447"/>
      <c r="H226" s="447"/>
      <c r="I226" s="455" t="str">
        <f t="shared" si="4"/>
        <v/>
      </c>
      <c r="J226" s="448"/>
      <c r="K226" s="456"/>
    </row>
    <row r="227" spans="2:11" x14ac:dyDescent="0.35">
      <c r="B227" s="445" t="str">
        <f>IF(Lançamentos!$B222="","",Lançamentos!$B222)</f>
        <v/>
      </c>
      <c r="C227" s="446" t="str">
        <f>IF($B227="","",IFERROR(INDEX(Lançamentos!$J$3:$J$1001,MATCH($B227,Lançamentos!$B$3:$B$1001,0)),""))</f>
        <v/>
      </c>
      <c r="D227" s="447" t="str">
        <f>IF($B227="","",IFERROR(INDEX('E2 — Triagem'!$D$8:$D$507,MATCH($B227,'E2 — Triagem'!$B$8:$B$507,0)),""))</f>
        <v/>
      </c>
      <c r="E227" s="447"/>
      <c r="F227" s="447"/>
      <c r="G227" s="447"/>
      <c r="H227" s="447"/>
      <c r="I227" s="455" t="str">
        <f t="shared" si="4"/>
        <v/>
      </c>
      <c r="J227" s="448"/>
      <c r="K227" s="456"/>
    </row>
    <row r="228" spans="2:11" x14ac:dyDescent="0.35">
      <c r="B228" s="445" t="str">
        <f>IF(Lançamentos!$B223="","",Lançamentos!$B223)</f>
        <v/>
      </c>
      <c r="C228" s="446" t="str">
        <f>IF($B228="","",IFERROR(INDEX(Lançamentos!$J$3:$J$1001,MATCH($B228,Lançamentos!$B$3:$B$1001,0)),""))</f>
        <v/>
      </c>
      <c r="D228" s="447" t="str">
        <f>IF($B228="","",IFERROR(INDEX('E2 — Triagem'!$D$8:$D$507,MATCH($B228,'E2 — Triagem'!$B$8:$B$507,0)),""))</f>
        <v/>
      </c>
      <c r="E228" s="447"/>
      <c r="F228" s="447"/>
      <c r="G228" s="447"/>
      <c r="H228" s="447"/>
      <c r="I228" s="455" t="str">
        <f t="shared" si="4"/>
        <v/>
      </c>
      <c r="J228" s="448"/>
      <c r="K228" s="456"/>
    </row>
    <row r="229" spans="2:11" x14ac:dyDescent="0.35">
      <c r="B229" s="445" t="str">
        <f>IF(Lançamentos!$B224="","",Lançamentos!$B224)</f>
        <v/>
      </c>
      <c r="C229" s="446" t="str">
        <f>IF($B229="","",IFERROR(INDEX(Lançamentos!$J$3:$J$1001,MATCH($B229,Lançamentos!$B$3:$B$1001,0)),""))</f>
        <v/>
      </c>
      <c r="D229" s="447" t="str">
        <f>IF($B229="","",IFERROR(INDEX('E2 — Triagem'!$D$8:$D$507,MATCH($B229,'E2 — Triagem'!$B$8:$B$507,0)),""))</f>
        <v/>
      </c>
      <c r="E229" s="447"/>
      <c r="F229" s="447"/>
      <c r="G229" s="447"/>
      <c r="H229" s="447"/>
      <c r="I229" s="455" t="str">
        <f t="shared" si="4"/>
        <v/>
      </c>
      <c r="J229" s="448"/>
      <c r="K229" s="456"/>
    </row>
    <row r="230" spans="2:11" x14ac:dyDescent="0.35">
      <c r="B230" s="445" t="str">
        <f>IF(Lançamentos!$B225="","",Lançamentos!$B225)</f>
        <v/>
      </c>
      <c r="C230" s="446" t="str">
        <f>IF($B230="","",IFERROR(INDEX(Lançamentos!$J$3:$J$1001,MATCH($B230,Lançamentos!$B$3:$B$1001,0)),""))</f>
        <v/>
      </c>
      <c r="D230" s="447" t="str">
        <f>IF($B230="","",IFERROR(INDEX('E2 — Triagem'!$D$8:$D$507,MATCH($B230,'E2 — Triagem'!$B$8:$B$507,0)),""))</f>
        <v/>
      </c>
      <c r="E230" s="447"/>
      <c r="F230" s="447"/>
      <c r="G230" s="447"/>
      <c r="H230" s="447"/>
      <c r="I230" s="455" t="str">
        <f t="shared" si="4"/>
        <v/>
      </c>
      <c r="J230" s="448"/>
      <c r="K230" s="456"/>
    </row>
    <row r="231" spans="2:11" x14ac:dyDescent="0.35">
      <c r="B231" s="445" t="str">
        <f>IF(Lançamentos!$B226="","",Lançamentos!$B226)</f>
        <v/>
      </c>
      <c r="C231" s="446" t="str">
        <f>IF($B231="","",IFERROR(INDEX(Lançamentos!$J$3:$J$1001,MATCH($B231,Lançamentos!$B$3:$B$1001,0)),""))</f>
        <v/>
      </c>
      <c r="D231" s="447" t="str">
        <f>IF($B231="","",IFERROR(INDEX('E2 — Triagem'!$D$8:$D$507,MATCH($B231,'E2 — Triagem'!$B$8:$B$507,0)),""))</f>
        <v/>
      </c>
      <c r="E231" s="447"/>
      <c r="F231" s="447"/>
      <c r="G231" s="447"/>
      <c r="H231" s="447"/>
      <c r="I231" s="455" t="str">
        <f t="shared" si="4"/>
        <v/>
      </c>
      <c r="J231" s="448"/>
      <c r="K231" s="456"/>
    </row>
    <row r="232" spans="2:11" x14ac:dyDescent="0.35">
      <c r="B232" s="445" t="str">
        <f>IF(Lançamentos!$B227="","",Lançamentos!$B227)</f>
        <v/>
      </c>
      <c r="C232" s="446" t="str">
        <f>IF($B232="","",IFERROR(INDEX(Lançamentos!$J$3:$J$1001,MATCH($B232,Lançamentos!$B$3:$B$1001,0)),""))</f>
        <v/>
      </c>
      <c r="D232" s="447" t="str">
        <f>IF($B232="","",IFERROR(INDEX('E2 — Triagem'!$D$8:$D$507,MATCH($B232,'E2 — Triagem'!$B$8:$B$507,0)),""))</f>
        <v/>
      </c>
      <c r="E232" s="447"/>
      <c r="F232" s="447"/>
      <c r="G232" s="447"/>
      <c r="H232" s="447"/>
      <c r="I232" s="455" t="str">
        <f t="shared" si="4"/>
        <v/>
      </c>
      <c r="J232" s="448"/>
      <c r="K232" s="456"/>
    </row>
    <row r="233" spans="2:11" x14ac:dyDescent="0.35">
      <c r="B233" s="445" t="str">
        <f>IF(Lançamentos!$B228="","",Lançamentos!$B228)</f>
        <v/>
      </c>
      <c r="C233" s="446" t="str">
        <f>IF($B233="","",IFERROR(INDEX(Lançamentos!$J$3:$J$1001,MATCH($B233,Lançamentos!$B$3:$B$1001,0)),""))</f>
        <v/>
      </c>
      <c r="D233" s="447" t="str">
        <f>IF($B233="","",IFERROR(INDEX('E2 — Triagem'!$D$8:$D$507,MATCH($B233,'E2 — Triagem'!$B$8:$B$507,0)),""))</f>
        <v/>
      </c>
      <c r="E233" s="447"/>
      <c r="F233" s="447"/>
      <c r="G233" s="447"/>
      <c r="H233" s="447"/>
      <c r="I233" s="455" t="str">
        <f t="shared" si="4"/>
        <v/>
      </c>
      <c r="J233" s="448"/>
      <c r="K233" s="456"/>
    </row>
    <row r="234" spans="2:11" x14ac:dyDescent="0.35">
      <c r="B234" s="445" t="str">
        <f>IF(Lançamentos!$B229="","",Lançamentos!$B229)</f>
        <v/>
      </c>
      <c r="C234" s="446" t="str">
        <f>IF($B234="","",IFERROR(INDEX(Lançamentos!$J$3:$J$1001,MATCH($B234,Lançamentos!$B$3:$B$1001,0)),""))</f>
        <v/>
      </c>
      <c r="D234" s="447" t="str">
        <f>IF($B234="","",IFERROR(INDEX('E2 — Triagem'!$D$8:$D$507,MATCH($B234,'E2 — Triagem'!$B$8:$B$507,0)),""))</f>
        <v/>
      </c>
      <c r="E234" s="447"/>
      <c r="F234" s="447"/>
      <c r="G234" s="447"/>
      <c r="H234" s="447"/>
      <c r="I234" s="455" t="str">
        <f t="shared" si="4"/>
        <v/>
      </c>
      <c r="J234" s="448"/>
      <c r="K234" s="456"/>
    </row>
    <row r="235" spans="2:11" x14ac:dyDescent="0.35">
      <c r="B235" s="445" t="str">
        <f>IF(Lançamentos!$B230="","",Lançamentos!$B230)</f>
        <v/>
      </c>
      <c r="C235" s="446" t="str">
        <f>IF($B235="","",IFERROR(INDEX(Lançamentos!$J$3:$J$1001,MATCH($B235,Lançamentos!$B$3:$B$1001,0)),""))</f>
        <v/>
      </c>
      <c r="D235" s="447" t="str">
        <f>IF($B235="","",IFERROR(INDEX('E2 — Triagem'!$D$8:$D$507,MATCH($B235,'E2 — Triagem'!$B$8:$B$507,0)),""))</f>
        <v/>
      </c>
      <c r="E235" s="447"/>
      <c r="F235" s="447"/>
      <c r="G235" s="447"/>
      <c r="H235" s="447"/>
      <c r="I235" s="455" t="str">
        <f t="shared" si="4"/>
        <v/>
      </c>
      <c r="J235" s="448"/>
      <c r="K235" s="456"/>
    </row>
    <row r="236" spans="2:11" x14ac:dyDescent="0.35">
      <c r="B236" s="445" t="str">
        <f>IF(Lançamentos!$B231="","",Lançamentos!$B231)</f>
        <v/>
      </c>
      <c r="C236" s="446" t="str">
        <f>IF($B236="","",IFERROR(INDEX(Lançamentos!$J$3:$J$1001,MATCH($B236,Lançamentos!$B$3:$B$1001,0)),""))</f>
        <v/>
      </c>
      <c r="D236" s="447" t="str">
        <f>IF($B236="","",IFERROR(INDEX('E2 — Triagem'!$D$8:$D$507,MATCH($B236,'E2 — Triagem'!$B$8:$B$507,0)),""))</f>
        <v/>
      </c>
      <c r="E236" s="447"/>
      <c r="F236" s="447"/>
      <c r="G236" s="447"/>
      <c r="H236" s="447"/>
      <c r="I236" s="455" t="str">
        <f t="shared" si="4"/>
        <v/>
      </c>
      <c r="J236" s="448"/>
      <c r="K236" s="456"/>
    </row>
    <row r="237" spans="2:11" x14ac:dyDescent="0.35">
      <c r="B237" s="445" t="str">
        <f>IF(Lançamentos!$B232="","",Lançamentos!$B232)</f>
        <v/>
      </c>
      <c r="C237" s="446" t="str">
        <f>IF($B237="","",IFERROR(INDEX(Lançamentos!$J$3:$J$1001,MATCH($B237,Lançamentos!$B$3:$B$1001,0)),""))</f>
        <v/>
      </c>
      <c r="D237" s="447" t="str">
        <f>IF($B237="","",IFERROR(INDEX('E2 — Triagem'!$D$8:$D$507,MATCH($B237,'E2 — Triagem'!$B$8:$B$507,0)),""))</f>
        <v/>
      </c>
      <c r="E237" s="447"/>
      <c r="F237" s="447"/>
      <c r="G237" s="447"/>
      <c r="H237" s="447"/>
      <c r="I237" s="455" t="str">
        <f t="shared" si="4"/>
        <v/>
      </c>
      <c r="J237" s="448"/>
      <c r="K237" s="456"/>
    </row>
    <row r="238" spans="2:11" x14ac:dyDescent="0.35">
      <c r="B238" s="445" t="str">
        <f>IF(Lançamentos!$B233="","",Lançamentos!$B233)</f>
        <v/>
      </c>
      <c r="C238" s="446" t="str">
        <f>IF($B238="","",IFERROR(INDEX(Lançamentos!$J$3:$J$1001,MATCH($B238,Lançamentos!$B$3:$B$1001,0)),""))</f>
        <v/>
      </c>
      <c r="D238" s="447" t="str">
        <f>IF($B238="","",IFERROR(INDEX('E2 — Triagem'!$D$8:$D$507,MATCH($B238,'E2 — Triagem'!$B$8:$B$507,0)),""))</f>
        <v/>
      </c>
      <c r="E238" s="447"/>
      <c r="F238" s="447"/>
      <c r="G238" s="447"/>
      <c r="H238" s="447"/>
      <c r="I238" s="455" t="str">
        <f t="shared" si="4"/>
        <v/>
      </c>
      <c r="J238" s="448"/>
      <c r="K238" s="456"/>
    </row>
    <row r="239" spans="2:11" x14ac:dyDescent="0.35">
      <c r="B239" s="445" t="str">
        <f>IF(Lançamentos!$B234="","",Lançamentos!$B234)</f>
        <v/>
      </c>
      <c r="C239" s="446" t="str">
        <f>IF($B239="","",IFERROR(INDEX(Lançamentos!$J$3:$J$1001,MATCH($B239,Lançamentos!$B$3:$B$1001,0)),""))</f>
        <v/>
      </c>
      <c r="D239" s="447" t="str">
        <f>IF($B239="","",IFERROR(INDEX('E2 — Triagem'!$D$8:$D$507,MATCH($B239,'E2 — Triagem'!$B$8:$B$507,0)),""))</f>
        <v/>
      </c>
      <c r="E239" s="447"/>
      <c r="F239" s="447"/>
      <c r="G239" s="447"/>
      <c r="H239" s="447"/>
      <c r="I239" s="455" t="str">
        <f t="shared" si="4"/>
        <v/>
      </c>
      <c r="J239" s="448"/>
      <c r="K239" s="456"/>
    </row>
    <row r="240" spans="2:11" x14ac:dyDescent="0.35">
      <c r="B240" s="445" t="str">
        <f>IF(Lançamentos!$B235="","",Lançamentos!$B235)</f>
        <v/>
      </c>
      <c r="C240" s="446" t="str">
        <f>IF($B240="","",IFERROR(INDEX(Lançamentos!$J$3:$J$1001,MATCH($B240,Lançamentos!$B$3:$B$1001,0)),""))</f>
        <v/>
      </c>
      <c r="D240" s="447" t="str">
        <f>IF($B240="","",IFERROR(INDEX('E2 — Triagem'!$D$8:$D$507,MATCH($B240,'E2 — Triagem'!$B$8:$B$507,0)),""))</f>
        <v/>
      </c>
      <c r="E240" s="447"/>
      <c r="F240" s="447"/>
      <c r="G240" s="447"/>
      <c r="H240" s="447"/>
      <c r="I240" s="455" t="str">
        <f t="shared" si="4"/>
        <v/>
      </c>
      <c r="J240" s="448"/>
      <c r="K240" s="456"/>
    </row>
    <row r="241" spans="2:11" x14ac:dyDescent="0.35">
      <c r="B241" s="445" t="str">
        <f>IF(Lançamentos!$B236="","",Lançamentos!$B236)</f>
        <v/>
      </c>
      <c r="C241" s="446" t="str">
        <f>IF($B241="","",IFERROR(INDEX(Lançamentos!$J$3:$J$1001,MATCH($B241,Lançamentos!$B$3:$B$1001,0)),""))</f>
        <v/>
      </c>
      <c r="D241" s="447" t="str">
        <f>IF($B241="","",IFERROR(INDEX('E2 — Triagem'!$D$8:$D$507,MATCH($B241,'E2 — Triagem'!$B$8:$B$507,0)),""))</f>
        <v/>
      </c>
      <c r="E241" s="447"/>
      <c r="F241" s="447"/>
      <c r="G241" s="447"/>
      <c r="H241" s="447"/>
      <c r="I241" s="455" t="str">
        <f t="shared" si="4"/>
        <v/>
      </c>
      <c r="J241" s="448"/>
      <c r="K241" s="456"/>
    </row>
    <row r="242" spans="2:11" x14ac:dyDescent="0.35">
      <c r="B242" s="445" t="str">
        <f>IF(Lançamentos!$B237="","",Lançamentos!$B237)</f>
        <v/>
      </c>
      <c r="C242" s="446" t="str">
        <f>IF($B242="","",IFERROR(INDEX(Lançamentos!$J$3:$J$1001,MATCH($B242,Lançamentos!$B$3:$B$1001,0)),""))</f>
        <v/>
      </c>
      <c r="D242" s="447" t="str">
        <f>IF($B242="","",IFERROR(INDEX('E2 — Triagem'!$D$8:$D$507,MATCH($B242,'E2 — Triagem'!$B$8:$B$507,0)),""))</f>
        <v/>
      </c>
      <c r="E242" s="447"/>
      <c r="F242" s="447"/>
      <c r="G242" s="447"/>
      <c r="H242" s="447"/>
      <c r="I242" s="455" t="str">
        <f t="shared" si="4"/>
        <v/>
      </c>
      <c r="J242" s="448"/>
      <c r="K242" s="456"/>
    </row>
    <row r="243" spans="2:11" x14ac:dyDescent="0.35">
      <c r="B243" s="445" t="str">
        <f>IF(Lançamentos!$B238="","",Lançamentos!$B238)</f>
        <v/>
      </c>
      <c r="C243" s="446" t="str">
        <f>IF($B243="","",IFERROR(INDEX(Lançamentos!$J$3:$J$1001,MATCH($B243,Lançamentos!$B$3:$B$1001,0)),""))</f>
        <v/>
      </c>
      <c r="D243" s="447" t="str">
        <f>IF($B243="","",IFERROR(INDEX('E2 — Triagem'!$D$8:$D$507,MATCH($B243,'E2 — Triagem'!$B$8:$B$507,0)),""))</f>
        <v/>
      </c>
      <c r="E243" s="447"/>
      <c r="F243" s="447"/>
      <c r="G243" s="447"/>
      <c r="H243" s="447"/>
      <c r="I243" s="455" t="str">
        <f t="shared" si="4"/>
        <v/>
      </c>
      <c r="J243" s="448"/>
      <c r="K243" s="456"/>
    </row>
    <row r="244" spans="2:11" x14ac:dyDescent="0.35">
      <c r="B244" s="445" t="str">
        <f>IF(Lançamentos!$B239="","",Lançamentos!$B239)</f>
        <v/>
      </c>
      <c r="C244" s="446" t="str">
        <f>IF($B244="","",IFERROR(INDEX(Lançamentos!$J$3:$J$1001,MATCH($B244,Lançamentos!$B$3:$B$1001,0)),""))</f>
        <v/>
      </c>
      <c r="D244" s="447" t="str">
        <f>IF($B244="","",IFERROR(INDEX('E2 — Triagem'!$D$8:$D$507,MATCH($B244,'E2 — Triagem'!$B$8:$B$507,0)),""))</f>
        <v/>
      </c>
      <c r="E244" s="447"/>
      <c r="F244" s="447"/>
      <c r="G244" s="447"/>
      <c r="H244" s="447"/>
      <c r="I244" s="455" t="str">
        <f t="shared" si="4"/>
        <v/>
      </c>
      <c r="J244" s="448"/>
      <c r="K244" s="456"/>
    </row>
    <row r="245" spans="2:11" x14ac:dyDescent="0.35">
      <c r="B245" s="445" t="str">
        <f>IF(Lançamentos!$B240="","",Lançamentos!$B240)</f>
        <v/>
      </c>
      <c r="C245" s="446" t="str">
        <f>IF($B245="","",IFERROR(INDEX(Lançamentos!$J$3:$J$1001,MATCH($B245,Lançamentos!$B$3:$B$1001,0)),""))</f>
        <v/>
      </c>
      <c r="D245" s="447" t="str">
        <f>IF($B245="","",IFERROR(INDEX('E2 — Triagem'!$D$8:$D$507,MATCH($B245,'E2 — Triagem'!$B$8:$B$507,0)),""))</f>
        <v/>
      </c>
      <c r="E245" s="447"/>
      <c r="F245" s="447"/>
      <c r="G245" s="447"/>
      <c r="H245" s="447"/>
      <c r="I245" s="455" t="str">
        <f t="shared" si="4"/>
        <v/>
      </c>
      <c r="J245" s="448"/>
      <c r="K245" s="456"/>
    </row>
    <row r="246" spans="2:11" x14ac:dyDescent="0.35">
      <c r="B246" s="445" t="str">
        <f>IF(Lançamentos!$B241="","",Lançamentos!$B241)</f>
        <v/>
      </c>
      <c r="C246" s="446" t="str">
        <f>IF($B246="","",IFERROR(INDEX(Lançamentos!$J$3:$J$1001,MATCH($B246,Lançamentos!$B$3:$B$1001,0)),""))</f>
        <v/>
      </c>
      <c r="D246" s="447" t="str">
        <f>IF($B246="","",IFERROR(INDEX('E2 — Triagem'!$D$8:$D$507,MATCH($B246,'E2 — Triagem'!$B$8:$B$507,0)),""))</f>
        <v/>
      </c>
      <c r="E246" s="447"/>
      <c r="F246" s="447"/>
      <c r="G246" s="447"/>
      <c r="H246" s="447"/>
      <c r="I246" s="455" t="str">
        <f t="shared" si="4"/>
        <v/>
      </c>
      <c r="J246" s="448"/>
      <c r="K246" s="456"/>
    </row>
    <row r="247" spans="2:11" x14ac:dyDescent="0.35">
      <c r="B247" s="445" t="str">
        <f>IF(Lançamentos!$B242="","",Lançamentos!$B242)</f>
        <v/>
      </c>
      <c r="C247" s="446" t="str">
        <f>IF($B247="","",IFERROR(INDEX(Lançamentos!$J$3:$J$1001,MATCH($B247,Lançamentos!$B$3:$B$1001,0)),""))</f>
        <v/>
      </c>
      <c r="D247" s="447" t="str">
        <f>IF($B247="","",IFERROR(INDEX('E2 — Triagem'!$D$8:$D$507,MATCH($B247,'E2 — Triagem'!$B$8:$B$507,0)),""))</f>
        <v/>
      </c>
      <c r="E247" s="447"/>
      <c r="F247" s="447"/>
      <c r="G247" s="447"/>
      <c r="H247" s="447"/>
      <c r="I247" s="455" t="str">
        <f t="shared" si="4"/>
        <v/>
      </c>
      <c r="J247" s="448"/>
      <c r="K247" s="456"/>
    </row>
    <row r="248" spans="2:11" x14ac:dyDescent="0.35">
      <c r="B248" s="445" t="str">
        <f>IF(Lançamentos!$B243="","",Lançamentos!$B243)</f>
        <v/>
      </c>
      <c r="C248" s="446" t="str">
        <f>IF($B248="","",IFERROR(INDEX(Lançamentos!$J$3:$J$1001,MATCH($B248,Lançamentos!$B$3:$B$1001,0)),""))</f>
        <v/>
      </c>
      <c r="D248" s="447" t="str">
        <f>IF($B248="","",IFERROR(INDEX('E2 — Triagem'!$D$8:$D$507,MATCH($B248,'E2 — Triagem'!$B$8:$B$507,0)),""))</f>
        <v/>
      </c>
      <c r="E248" s="447"/>
      <c r="F248" s="447"/>
      <c r="G248" s="447"/>
      <c r="H248" s="447"/>
      <c r="I248" s="455" t="str">
        <f t="shared" si="4"/>
        <v/>
      </c>
      <c r="J248" s="448"/>
      <c r="K248" s="456"/>
    </row>
    <row r="249" spans="2:11" x14ac:dyDescent="0.35">
      <c r="B249" s="445" t="str">
        <f>IF(Lançamentos!$B244="","",Lançamentos!$B244)</f>
        <v/>
      </c>
      <c r="C249" s="446" t="str">
        <f>IF($B249="","",IFERROR(INDEX(Lançamentos!$J$3:$J$1001,MATCH($B249,Lançamentos!$B$3:$B$1001,0)),""))</f>
        <v/>
      </c>
      <c r="D249" s="447" t="str">
        <f>IF($B249="","",IFERROR(INDEX('E2 — Triagem'!$D$8:$D$507,MATCH($B249,'E2 — Triagem'!$B$8:$B$507,0)),""))</f>
        <v/>
      </c>
      <c r="E249" s="447"/>
      <c r="F249" s="447"/>
      <c r="G249" s="447"/>
      <c r="H249" s="447"/>
      <c r="I249" s="455" t="str">
        <f t="shared" si="4"/>
        <v/>
      </c>
      <c r="J249" s="448"/>
      <c r="K249" s="456"/>
    </row>
    <row r="250" spans="2:11" x14ac:dyDescent="0.35">
      <c r="B250" s="445" t="str">
        <f>IF(Lançamentos!$B245="","",Lançamentos!$B245)</f>
        <v/>
      </c>
      <c r="C250" s="446" t="str">
        <f>IF($B250="","",IFERROR(INDEX(Lançamentos!$J$3:$J$1001,MATCH($B250,Lançamentos!$B$3:$B$1001,0)),""))</f>
        <v/>
      </c>
      <c r="D250" s="447" t="str">
        <f>IF($B250="","",IFERROR(INDEX('E2 — Triagem'!$D$8:$D$507,MATCH($B250,'E2 — Triagem'!$B$8:$B$507,0)),""))</f>
        <v/>
      </c>
      <c r="E250" s="447"/>
      <c r="F250" s="447"/>
      <c r="G250" s="447"/>
      <c r="H250" s="447"/>
      <c r="I250" s="455" t="str">
        <f t="shared" si="4"/>
        <v/>
      </c>
      <c r="J250" s="448"/>
      <c r="K250" s="456"/>
    </row>
    <row r="251" spans="2:11" x14ac:dyDescent="0.35">
      <c r="B251" s="445" t="str">
        <f>IF(Lançamentos!$B246="","",Lançamentos!$B246)</f>
        <v/>
      </c>
      <c r="C251" s="446" t="str">
        <f>IF($B251="","",IFERROR(INDEX(Lançamentos!$J$3:$J$1001,MATCH($B251,Lançamentos!$B$3:$B$1001,0)),""))</f>
        <v/>
      </c>
      <c r="D251" s="447" t="str">
        <f>IF($B251="","",IFERROR(INDEX('E2 — Triagem'!$D$8:$D$507,MATCH($B251,'E2 — Triagem'!$B$8:$B$507,0)),""))</f>
        <v/>
      </c>
      <c r="E251" s="447"/>
      <c r="F251" s="447"/>
      <c r="G251" s="447"/>
      <c r="H251" s="447"/>
      <c r="I251" s="455" t="str">
        <f t="shared" si="4"/>
        <v/>
      </c>
      <c r="J251" s="448"/>
      <c r="K251" s="456"/>
    </row>
    <row r="252" spans="2:11" x14ac:dyDescent="0.35">
      <c r="B252" s="445" t="str">
        <f>IF(Lançamentos!$B247="","",Lançamentos!$B247)</f>
        <v/>
      </c>
      <c r="C252" s="446" t="str">
        <f>IF($B252="","",IFERROR(INDEX(Lançamentos!$J$3:$J$1001,MATCH($B252,Lançamentos!$B$3:$B$1001,0)),""))</f>
        <v/>
      </c>
      <c r="D252" s="447" t="str">
        <f>IF($B252="","",IFERROR(INDEX('E2 — Triagem'!$D$8:$D$507,MATCH($B252,'E2 — Triagem'!$B$8:$B$507,0)),""))</f>
        <v/>
      </c>
      <c r="E252" s="447"/>
      <c r="F252" s="447"/>
      <c r="G252" s="447"/>
      <c r="H252" s="447"/>
      <c r="I252" s="455" t="str">
        <f t="shared" si="4"/>
        <v/>
      </c>
      <c r="J252" s="448"/>
      <c r="K252" s="456"/>
    </row>
    <row r="253" spans="2:11" x14ac:dyDescent="0.35">
      <c r="B253" s="445" t="str">
        <f>IF(Lançamentos!$B248="","",Lançamentos!$B248)</f>
        <v/>
      </c>
      <c r="C253" s="446" t="str">
        <f>IF($B253="","",IFERROR(INDEX(Lançamentos!$J$3:$J$1001,MATCH($B253,Lançamentos!$B$3:$B$1001,0)),""))</f>
        <v/>
      </c>
      <c r="D253" s="447" t="str">
        <f>IF($B253="","",IFERROR(INDEX('E2 — Triagem'!$D$8:$D$507,MATCH($B253,'E2 — Triagem'!$B$8:$B$507,0)),""))</f>
        <v/>
      </c>
      <c r="E253" s="447"/>
      <c r="F253" s="447"/>
      <c r="G253" s="447"/>
      <c r="H253" s="447"/>
      <c r="I253" s="455" t="str">
        <f t="shared" si="4"/>
        <v/>
      </c>
      <c r="J253" s="448"/>
      <c r="K253" s="456"/>
    </row>
    <row r="254" spans="2:11" x14ac:dyDescent="0.35">
      <c r="B254" s="445" t="str">
        <f>IF(Lançamentos!$B249="","",Lançamentos!$B249)</f>
        <v/>
      </c>
      <c r="C254" s="446" t="str">
        <f>IF($B254="","",IFERROR(INDEX(Lançamentos!$J$3:$J$1001,MATCH($B254,Lançamentos!$B$3:$B$1001,0)),""))</f>
        <v/>
      </c>
      <c r="D254" s="447" t="str">
        <f>IF($B254="","",IFERROR(INDEX('E2 — Triagem'!$D$8:$D$507,MATCH($B254,'E2 — Triagem'!$B$8:$B$507,0)),""))</f>
        <v/>
      </c>
      <c r="E254" s="447"/>
      <c r="F254" s="447"/>
      <c r="G254" s="447"/>
      <c r="H254" s="447"/>
      <c r="I254" s="455" t="str">
        <f t="shared" si="4"/>
        <v/>
      </c>
      <c r="J254" s="448"/>
      <c r="K254" s="456"/>
    </row>
    <row r="255" spans="2:11" x14ac:dyDescent="0.35">
      <c r="B255" s="445" t="str">
        <f>IF(Lançamentos!$B250="","",Lançamentos!$B250)</f>
        <v/>
      </c>
      <c r="C255" s="446" t="str">
        <f>IF($B255="","",IFERROR(INDEX(Lançamentos!$J$3:$J$1001,MATCH($B255,Lançamentos!$B$3:$B$1001,0)),""))</f>
        <v/>
      </c>
      <c r="D255" s="447" t="str">
        <f>IF($B255="","",IFERROR(INDEX('E2 — Triagem'!$D$8:$D$507,MATCH($B255,'E2 — Triagem'!$B$8:$B$507,0)),""))</f>
        <v/>
      </c>
      <c r="E255" s="447"/>
      <c r="F255" s="447"/>
      <c r="G255" s="447"/>
      <c r="H255" s="447"/>
      <c r="I255" s="455" t="str">
        <f t="shared" si="4"/>
        <v/>
      </c>
      <c r="J255" s="448"/>
      <c r="K255" s="456"/>
    </row>
    <row r="256" spans="2:11" x14ac:dyDescent="0.35">
      <c r="B256" s="445" t="str">
        <f>IF(Lançamentos!$B251="","",Lançamentos!$B251)</f>
        <v/>
      </c>
      <c r="C256" s="446" t="str">
        <f>IF($B256="","",IFERROR(INDEX(Lançamentos!$J$3:$J$1001,MATCH($B256,Lançamentos!$B$3:$B$1001,0)),""))</f>
        <v/>
      </c>
      <c r="D256" s="447" t="str">
        <f>IF($B256="","",IFERROR(INDEX('E2 — Triagem'!$D$8:$D$507,MATCH($B256,'E2 — Triagem'!$B$8:$B$507,0)),""))</f>
        <v/>
      </c>
      <c r="E256" s="447"/>
      <c r="F256" s="447"/>
      <c r="G256" s="447"/>
      <c r="H256" s="447"/>
      <c r="I256" s="455" t="str">
        <f t="shared" si="4"/>
        <v/>
      </c>
      <c r="J256" s="448"/>
      <c r="K256" s="456"/>
    </row>
    <row r="257" spans="2:11" x14ac:dyDescent="0.35">
      <c r="B257" s="445" t="str">
        <f>IF(Lançamentos!$B252="","",Lançamentos!$B252)</f>
        <v/>
      </c>
      <c r="C257" s="446" t="str">
        <f>IF($B257="","",IFERROR(INDEX(Lançamentos!$J$3:$J$1001,MATCH($B257,Lançamentos!$B$3:$B$1001,0)),""))</f>
        <v/>
      </c>
      <c r="D257" s="447" t="str">
        <f>IF($B257="","",IFERROR(INDEX('E2 — Triagem'!$D$8:$D$507,MATCH($B257,'E2 — Triagem'!$B$8:$B$507,0)),""))</f>
        <v/>
      </c>
      <c r="E257" s="447"/>
      <c r="F257" s="447"/>
      <c r="G257" s="447"/>
      <c r="H257" s="447"/>
      <c r="I257" s="455" t="str">
        <f t="shared" si="4"/>
        <v/>
      </c>
      <c r="J257" s="448"/>
      <c r="K257" s="456"/>
    </row>
    <row r="258" spans="2:11" x14ac:dyDescent="0.35">
      <c r="B258" s="445" t="str">
        <f>IF(Lançamentos!$B253="","",Lançamentos!$B253)</f>
        <v/>
      </c>
      <c r="C258" s="446" t="str">
        <f>IF($B258="","",IFERROR(INDEX(Lançamentos!$J$3:$J$1001,MATCH($B258,Lançamentos!$B$3:$B$1001,0)),""))</f>
        <v/>
      </c>
      <c r="D258" s="447" t="str">
        <f>IF($B258="","",IFERROR(INDEX('E2 — Triagem'!$D$8:$D$507,MATCH($B258,'E2 — Triagem'!$B$8:$B$507,0)),""))</f>
        <v/>
      </c>
      <c r="E258" s="447"/>
      <c r="F258" s="447"/>
      <c r="G258" s="447"/>
      <c r="H258" s="447"/>
      <c r="I258" s="455" t="str">
        <f t="shared" si="4"/>
        <v/>
      </c>
      <c r="J258" s="448"/>
      <c r="K258" s="456"/>
    </row>
    <row r="259" spans="2:11" x14ac:dyDescent="0.35">
      <c r="B259" s="445" t="str">
        <f>IF(Lançamentos!$B254="","",Lançamentos!$B254)</f>
        <v/>
      </c>
      <c r="C259" s="446" t="str">
        <f>IF($B259="","",IFERROR(INDEX(Lançamentos!$J$3:$J$1001,MATCH($B259,Lançamentos!$B$3:$B$1001,0)),""))</f>
        <v/>
      </c>
      <c r="D259" s="447" t="str">
        <f>IF($B259="","",IFERROR(INDEX('E2 — Triagem'!$D$8:$D$507,MATCH($B259,'E2 — Triagem'!$B$8:$B$507,0)),""))</f>
        <v/>
      </c>
      <c r="E259" s="447"/>
      <c r="F259" s="447"/>
      <c r="G259" s="447"/>
      <c r="H259" s="447"/>
      <c r="I259" s="455" t="str">
        <f t="shared" si="4"/>
        <v/>
      </c>
      <c r="J259" s="448"/>
      <c r="K259" s="456"/>
    </row>
    <row r="260" spans="2:11" x14ac:dyDescent="0.35">
      <c r="B260" s="445" t="str">
        <f>IF(Lançamentos!$B255="","",Lançamentos!$B255)</f>
        <v/>
      </c>
      <c r="C260" s="446" t="str">
        <f>IF($B260="","",IFERROR(INDEX(Lançamentos!$J$3:$J$1001,MATCH($B260,Lançamentos!$B$3:$B$1001,0)),""))</f>
        <v/>
      </c>
      <c r="D260" s="447" t="str">
        <f>IF($B260="","",IFERROR(INDEX('E2 — Triagem'!$D$8:$D$507,MATCH($B260,'E2 — Triagem'!$B$8:$B$507,0)),""))</f>
        <v/>
      </c>
      <c r="E260" s="447"/>
      <c r="F260" s="447"/>
      <c r="G260" s="447"/>
      <c r="H260" s="447"/>
      <c r="I260" s="455" t="str">
        <f t="shared" si="4"/>
        <v/>
      </c>
      <c r="J260" s="448"/>
      <c r="K260" s="456"/>
    </row>
    <row r="261" spans="2:11" x14ac:dyDescent="0.35">
      <c r="B261" s="445" t="str">
        <f>IF(Lançamentos!$B256="","",Lançamentos!$B256)</f>
        <v/>
      </c>
      <c r="C261" s="446" t="str">
        <f>IF($B261="","",IFERROR(INDEX(Lançamentos!$J$3:$J$1001,MATCH($B261,Lançamentos!$B$3:$B$1001,0)),""))</f>
        <v/>
      </c>
      <c r="D261" s="447" t="str">
        <f>IF($B261="","",IFERROR(INDEX('E2 — Triagem'!$D$8:$D$507,MATCH($B261,'E2 — Triagem'!$B$8:$B$507,0)),""))</f>
        <v/>
      </c>
      <c r="E261" s="447"/>
      <c r="F261" s="447"/>
      <c r="G261" s="447"/>
      <c r="H261" s="447"/>
      <c r="I261" s="455" t="str">
        <f t="shared" si="4"/>
        <v/>
      </c>
      <c r="J261" s="448"/>
      <c r="K261" s="456"/>
    </row>
    <row r="262" spans="2:11" x14ac:dyDescent="0.35">
      <c r="B262" s="445" t="str">
        <f>IF(Lançamentos!$B257="","",Lançamentos!$B257)</f>
        <v/>
      </c>
      <c r="C262" s="446" t="str">
        <f>IF($B262="","",IFERROR(INDEX(Lançamentos!$J$3:$J$1001,MATCH($B262,Lançamentos!$B$3:$B$1001,0)),""))</f>
        <v/>
      </c>
      <c r="D262" s="447" t="str">
        <f>IF($B262="","",IFERROR(INDEX('E2 — Triagem'!$D$8:$D$507,MATCH($B262,'E2 — Triagem'!$B$8:$B$507,0)),""))</f>
        <v/>
      </c>
      <c r="E262" s="447"/>
      <c r="F262" s="447"/>
      <c r="G262" s="447"/>
      <c r="H262" s="447"/>
      <c r="I262" s="455" t="str">
        <f t="shared" si="4"/>
        <v/>
      </c>
      <c r="J262" s="448"/>
      <c r="K262" s="456"/>
    </row>
    <row r="263" spans="2:11" x14ac:dyDescent="0.35">
      <c r="B263" s="445" t="str">
        <f>IF(Lançamentos!$B258="","",Lançamentos!$B258)</f>
        <v/>
      </c>
      <c r="C263" s="446" t="str">
        <f>IF($B263="","",IFERROR(INDEX(Lançamentos!$J$3:$J$1001,MATCH($B263,Lançamentos!$B$3:$B$1001,0)),""))</f>
        <v/>
      </c>
      <c r="D263" s="447" t="str">
        <f>IF($B263="","",IFERROR(INDEX('E2 — Triagem'!$D$8:$D$507,MATCH($B263,'E2 — Triagem'!$B$8:$B$507,0)),""))</f>
        <v/>
      </c>
      <c r="E263" s="447"/>
      <c r="F263" s="447"/>
      <c r="G263" s="447"/>
      <c r="H263" s="447"/>
      <c r="I263" s="455" t="str">
        <f t="shared" si="4"/>
        <v/>
      </c>
      <c r="J263" s="448"/>
      <c r="K263" s="456"/>
    </row>
    <row r="264" spans="2:11" x14ac:dyDescent="0.35">
      <c r="B264" s="445" t="str">
        <f>IF(Lançamentos!$B259="","",Lançamentos!$B259)</f>
        <v/>
      </c>
      <c r="C264" s="446" t="str">
        <f>IF($B264="","",IFERROR(INDEX(Lançamentos!$J$3:$J$1001,MATCH($B264,Lançamentos!$B$3:$B$1001,0)),""))</f>
        <v/>
      </c>
      <c r="D264" s="447" t="str">
        <f>IF($B264="","",IFERROR(INDEX('E2 — Triagem'!$D$8:$D$507,MATCH($B264,'E2 — Triagem'!$B$8:$B$507,0)),""))</f>
        <v/>
      </c>
      <c r="E264" s="447"/>
      <c r="F264" s="447"/>
      <c r="G264" s="447"/>
      <c r="H264" s="447"/>
      <c r="I264" s="455" t="str">
        <f t="shared" si="4"/>
        <v/>
      </c>
      <c r="J264" s="448"/>
      <c r="K264" s="456"/>
    </row>
    <row r="265" spans="2:11" x14ac:dyDescent="0.35">
      <c r="B265" s="445" t="str">
        <f>IF(Lançamentos!$B260="","",Lançamentos!$B260)</f>
        <v/>
      </c>
      <c r="C265" s="446" t="str">
        <f>IF($B265="","",IFERROR(INDEX(Lançamentos!$J$3:$J$1001,MATCH($B265,Lançamentos!$B$3:$B$1001,0)),""))</f>
        <v/>
      </c>
      <c r="D265" s="447" t="str">
        <f>IF($B265="","",IFERROR(INDEX('E2 — Triagem'!$D$8:$D$507,MATCH($B265,'E2 — Triagem'!$B$8:$B$507,0)),""))</f>
        <v/>
      </c>
      <c r="E265" s="447"/>
      <c r="F265" s="447"/>
      <c r="G265" s="447"/>
      <c r="H265" s="447"/>
      <c r="I265" s="455" t="str">
        <f t="shared" si="4"/>
        <v/>
      </c>
      <c r="J265" s="448"/>
      <c r="K265" s="456"/>
    </row>
    <row r="266" spans="2:11" x14ac:dyDescent="0.35">
      <c r="B266" s="445" t="str">
        <f>IF(Lançamentos!$B261="","",Lançamentos!$B261)</f>
        <v/>
      </c>
      <c r="C266" s="446" t="str">
        <f>IF($B266="","",IFERROR(INDEX(Lançamentos!$J$3:$J$1001,MATCH($B266,Lançamentos!$B$3:$B$1001,0)),""))</f>
        <v/>
      </c>
      <c r="D266" s="447" t="str">
        <f>IF($B266="","",IFERROR(INDEX('E2 — Triagem'!$D$8:$D$507,MATCH($B266,'E2 — Triagem'!$B$8:$B$507,0)),""))</f>
        <v/>
      </c>
      <c r="E266" s="447"/>
      <c r="F266" s="447"/>
      <c r="G266" s="447"/>
      <c r="H266" s="447"/>
      <c r="I266" s="455" t="str">
        <f t="shared" si="4"/>
        <v/>
      </c>
      <c r="J266" s="448"/>
      <c r="K266" s="456"/>
    </row>
    <row r="267" spans="2:11" x14ac:dyDescent="0.35">
      <c r="B267" s="445" t="str">
        <f>IF(Lançamentos!$B262="","",Lançamentos!$B262)</f>
        <v/>
      </c>
      <c r="C267" s="446" t="str">
        <f>IF($B267="","",IFERROR(INDEX(Lançamentos!$J$3:$J$1001,MATCH($B267,Lançamentos!$B$3:$B$1001,0)),""))</f>
        <v/>
      </c>
      <c r="D267" s="447" t="str">
        <f>IF($B267="","",IFERROR(INDEX('E2 — Triagem'!$D$8:$D$507,MATCH($B267,'E2 — Triagem'!$B$8:$B$507,0)),""))</f>
        <v/>
      </c>
      <c r="E267" s="447"/>
      <c r="F267" s="447"/>
      <c r="G267" s="447"/>
      <c r="H267" s="447"/>
      <c r="I267" s="455" t="str">
        <f t="shared" si="4"/>
        <v/>
      </c>
      <c r="J267" s="448"/>
      <c r="K267" s="456"/>
    </row>
    <row r="268" spans="2:11" x14ac:dyDescent="0.35">
      <c r="B268" s="445" t="str">
        <f>IF(Lançamentos!$B263="","",Lançamentos!$B263)</f>
        <v/>
      </c>
      <c r="C268" s="446" t="str">
        <f>IF($B268="","",IFERROR(INDEX(Lançamentos!$J$3:$J$1001,MATCH($B268,Lançamentos!$B$3:$B$1001,0)),""))</f>
        <v/>
      </c>
      <c r="D268" s="447" t="str">
        <f>IF($B268="","",IFERROR(INDEX('E2 — Triagem'!$D$8:$D$507,MATCH($B268,'E2 — Triagem'!$B$8:$B$507,0)),""))</f>
        <v/>
      </c>
      <c r="E268" s="447"/>
      <c r="F268" s="447"/>
      <c r="G268" s="447"/>
      <c r="H268" s="447"/>
      <c r="I268" s="455" t="str">
        <f t="shared" si="4"/>
        <v/>
      </c>
      <c r="J268" s="448"/>
      <c r="K268" s="456"/>
    </row>
    <row r="269" spans="2:11" x14ac:dyDescent="0.35">
      <c r="B269" s="445" t="str">
        <f>IF(Lançamentos!$B264="","",Lançamentos!$B264)</f>
        <v/>
      </c>
      <c r="C269" s="446" t="str">
        <f>IF($B269="","",IFERROR(INDEX(Lançamentos!$J$3:$J$1001,MATCH($B269,Lançamentos!$B$3:$B$1001,0)),""))</f>
        <v/>
      </c>
      <c r="D269" s="447" t="str">
        <f>IF($B269="","",IFERROR(INDEX('E2 — Triagem'!$D$8:$D$507,MATCH($B269,'E2 — Triagem'!$B$8:$B$507,0)),""))</f>
        <v/>
      </c>
      <c r="E269" s="447"/>
      <c r="F269" s="447"/>
      <c r="G269" s="447"/>
      <c r="H269" s="447"/>
      <c r="I269" s="455" t="str">
        <f t="shared" si="4"/>
        <v/>
      </c>
      <c r="J269" s="448"/>
      <c r="K269" s="456"/>
    </row>
    <row r="270" spans="2:11" x14ac:dyDescent="0.35">
      <c r="B270" s="445" t="str">
        <f>IF(Lançamentos!$B265="","",Lançamentos!$B265)</f>
        <v/>
      </c>
      <c r="C270" s="446" t="str">
        <f>IF($B270="","",IFERROR(INDEX(Lançamentos!$J$3:$J$1001,MATCH($B270,Lançamentos!$B$3:$B$1001,0)),""))</f>
        <v/>
      </c>
      <c r="D270" s="447" t="str">
        <f>IF($B270="","",IFERROR(INDEX('E2 — Triagem'!$D$8:$D$507,MATCH($B270,'E2 — Triagem'!$B$8:$B$507,0)),""))</f>
        <v/>
      </c>
      <c r="E270" s="447"/>
      <c r="F270" s="447"/>
      <c r="G270" s="447"/>
      <c r="H270" s="447"/>
      <c r="I270" s="455" t="str">
        <f t="shared" si="4"/>
        <v/>
      </c>
      <c r="J270" s="448"/>
      <c r="K270" s="456"/>
    </row>
    <row r="271" spans="2:11" x14ac:dyDescent="0.35">
      <c r="B271" s="445" t="str">
        <f>IF(Lançamentos!$B266="","",Lançamentos!$B266)</f>
        <v/>
      </c>
      <c r="C271" s="446" t="str">
        <f>IF($B271="","",IFERROR(INDEX(Lançamentos!$J$3:$J$1001,MATCH($B271,Lançamentos!$B$3:$B$1001,0)),""))</f>
        <v/>
      </c>
      <c r="D271" s="447" t="str">
        <f>IF($B271="","",IFERROR(INDEX('E2 — Triagem'!$D$8:$D$507,MATCH($B271,'E2 — Triagem'!$B$8:$B$507,0)),""))</f>
        <v/>
      </c>
      <c r="E271" s="447"/>
      <c r="F271" s="447"/>
      <c r="G271" s="447"/>
      <c r="H271" s="447"/>
      <c r="I271" s="455" t="str">
        <f t="shared" si="4"/>
        <v/>
      </c>
      <c r="J271" s="448"/>
      <c r="K271" s="456"/>
    </row>
    <row r="272" spans="2:11" x14ac:dyDescent="0.35">
      <c r="B272" s="445" t="str">
        <f>IF(Lançamentos!$B267="","",Lançamentos!$B267)</f>
        <v/>
      </c>
      <c r="C272" s="446" t="str">
        <f>IF($B272="","",IFERROR(INDEX(Lançamentos!$J$3:$J$1001,MATCH($B272,Lançamentos!$B$3:$B$1001,0)),""))</f>
        <v/>
      </c>
      <c r="D272" s="447" t="str">
        <f>IF($B272="","",IFERROR(INDEX('E2 — Triagem'!$D$8:$D$507,MATCH($B272,'E2 — Triagem'!$B$8:$B$507,0)),""))</f>
        <v/>
      </c>
      <c r="E272" s="447"/>
      <c r="F272" s="447"/>
      <c r="G272" s="447"/>
      <c r="H272" s="447"/>
      <c r="I272" s="455" t="str">
        <f t="shared" ref="I272:I335" si="5">IF(B272="","",IF(COUNTIF(E272:H272,"N/A")=4,0,COUNTIF(E272:H272,"✔ Concluído")/(4-COUNTIF(E272:H272,"N/A"))))</f>
        <v/>
      </c>
      <c r="J272" s="448"/>
      <c r="K272" s="456"/>
    </row>
    <row r="273" spans="2:11" x14ac:dyDescent="0.35">
      <c r="B273" s="445" t="str">
        <f>IF(Lançamentos!$B268="","",Lançamentos!$B268)</f>
        <v/>
      </c>
      <c r="C273" s="446" t="str">
        <f>IF($B273="","",IFERROR(INDEX(Lançamentos!$J$3:$J$1001,MATCH($B273,Lançamentos!$B$3:$B$1001,0)),""))</f>
        <v/>
      </c>
      <c r="D273" s="447" t="str">
        <f>IF($B273="","",IFERROR(INDEX('E2 — Triagem'!$D$8:$D$507,MATCH($B273,'E2 — Triagem'!$B$8:$B$507,0)),""))</f>
        <v/>
      </c>
      <c r="E273" s="447"/>
      <c r="F273" s="447"/>
      <c r="G273" s="447"/>
      <c r="H273" s="447"/>
      <c r="I273" s="455" t="str">
        <f t="shared" si="5"/>
        <v/>
      </c>
      <c r="J273" s="448"/>
      <c r="K273" s="456"/>
    </row>
    <row r="274" spans="2:11" x14ac:dyDescent="0.35">
      <c r="B274" s="445" t="str">
        <f>IF(Lançamentos!$B269="","",Lançamentos!$B269)</f>
        <v/>
      </c>
      <c r="C274" s="446" t="str">
        <f>IF($B274="","",IFERROR(INDEX(Lançamentos!$J$3:$J$1001,MATCH($B274,Lançamentos!$B$3:$B$1001,0)),""))</f>
        <v/>
      </c>
      <c r="D274" s="447" t="str">
        <f>IF($B274="","",IFERROR(INDEX('E2 — Triagem'!$D$8:$D$507,MATCH($B274,'E2 — Triagem'!$B$8:$B$507,0)),""))</f>
        <v/>
      </c>
      <c r="E274" s="447"/>
      <c r="F274" s="447"/>
      <c r="G274" s="447"/>
      <c r="H274" s="447"/>
      <c r="I274" s="455" t="str">
        <f t="shared" si="5"/>
        <v/>
      </c>
      <c r="J274" s="448"/>
      <c r="K274" s="456"/>
    </row>
    <row r="275" spans="2:11" x14ac:dyDescent="0.35">
      <c r="B275" s="445" t="str">
        <f>IF(Lançamentos!$B270="","",Lançamentos!$B270)</f>
        <v/>
      </c>
      <c r="C275" s="446" t="str">
        <f>IF($B275="","",IFERROR(INDEX(Lançamentos!$J$3:$J$1001,MATCH($B275,Lançamentos!$B$3:$B$1001,0)),""))</f>
        <v/>
      </c>
      <c r="D275" s="447" t="str">
        <f>IF($B275="","",IFERROR(INDEX('E2 — Triagem'!$D$8:$D$507,MATCH($B275,'E2 — Triagem'!$B$8:$B$507,0)),""))</f>
        <v/>
      </c>
      <c r="E275" s="447"/>
      <c r="F275" s="447"/>
      <c r="G275" s="447"/>
      <c r="H275" s="447"/>
      <c r="I275" s="455" t="str">
        <f t="shared" si="5"/>
        <v/>
      </c>
      <c r="J275" s="448"/>
      <c r="K275" s="456"/>
    </row>
    <row r="276" spans="2:11" x14ac:dyDescent="0.35">
      <c r="B276" s="445" t="str">
        <f>IF(Lançamentos!$B271="","",Lançamentos!$B271)</f>
        <v/>
      </c>
      <c r="C276" s="446" t="str">
        <f>IF($B276="","",IFERROR(INDEX(Lançamentos!$J$3:$J$1001,MATCH($B276,Lançamentos!$B$3:$B$1001,0)),""))</f>
        <v/>
      </c>
      <c r="D276" s="447" t="str">
        <f>IF($B276="","",IFERROR(INDEX('E2 — Triagem'!$D$8:$D$507,MATCH($B276,'E2 — Triagem'!$B$8:$B$507,0)),""))</f>
        <v/>
      </c>
      <c r="E276" s="447"/>
      <c r="F276" s="447"/>
      <c r="G276" s="447"/>
      <c r="H276" s="447"/>
      <c r="I276" s="455" t="str">
        <f t="shared" si="5"/>
        <v/>
      </c>
      <c r="J276" s="448"/>
      <c r="K276" s="456"/>
    </row>
    <row r="277" spans="2:11" x14ac:dyDescent="0.35">
      <c r="B277" s="445" t="str">
        <f>IF(Lançamentos!$B272="","",Lançamentos!$B272)</f>
        <v/>
      </c>
      <c r="C277" s="446" t="str">
        <f>IF($B277="","",IFERROR(INDEX(Lançamentos!$J$3:$J$1001,MATCH($B277,Lançamentos!$B$3:$B$1001,0)),""))</f>
        <v/>
      </c>
      <c r="D277" s="447" t="str">
        <f>IF($B277="","",IFERROR(INDEX('E2 — Triagem'!$D$8:$D$507,MATCH($B277,'E2 — Triagem'!$B$8:$B$507,0)),""))</f>
        <v/>
      </c>
      <c r="E277" s="447"/>
      <c r="F277" s="447"/>
      <c r="G277" s="447"/>
      <c r="H277" s="447"/>
      <c r="I277" s="455" t="str">
        <f t="shared" si="5"/>
        <v/>
      </c>
      <c r="J277" s="448"/>
      <c r="K277" s="456"/>
    </row>
    <row r="278" spans="2:11" x14ac:dyDescent="0.35">
      <c r="B278" s="445" t="str">
        <f>IF(Lançamentos!$B273="","",Lançamentos!$B273)</f>
        <v/>
      </c>
      <c r="C278" s="446" t="str">
        <f>IF($B278="","",IFERROR(INDEX(Lançamentos!$J$3:$J$1001,MATCH($B278,Lançamentos!$B$3:$B$1001,0)),""))</f>
        <v/>
      </c>
      <c r="D278" s="447" t="str">
        <f>IF($B278="","",IFERROR(INDEX('E2 — Triagem'!$D$8:$D$507,MATCH($B278,'E2 — Triagem'!$B$8:$B$507,0)),""))</f>
        <v/>
      </c>
      <c r="E278" s="447"/>
      <c r="F278" s="447"/>
      <c r="G278" s="447"/>
      <c r="H278" s="447"/>
      <c r="I278" s="455" t="str">
        <f t="shared" si="5"/>
        <v/>
      </c>
      <c r="J278" s="448"/>
      <c r="K278" s="456"/>
    </row>
    <row r="279" spans="2:11" x14ac:dyDescent="0.35">
      <c r="B279" s="445" t="str">
        <f>IF(Lançamentos!$B274="","",Lançamentos!$B274)</f>
        <v/>
      </c>
      <c r="C279" s="446" t="str">
        <f>IF($B279="","",IFERROR(INDEX(Lançamentos!$J$3:$J$1001,MATCH($B279,Lançamentos!$B$3:$B$1001,0)),""))</f>
        <v/>
      </c>
      <c r="D279" s="447" t="str">
        <f>IF($B279="","",IFERROR(INDEX('E2 — Triagem'!$D$8:$D$507,MATCH($B279,'E2 — Triagem'!$B$8:$B$507,0)),""))</f>
        <v/>
      </c>
      <c r="E279" s="447"/>
      <c r="F279" s="447"/>
      <c r="G279" s="447"/>
      <c r="H279" s="447"/>
      <c r="I279" s="455" t="str">
        <f t="shared" si="5"/>
        <v/>
      </c>
      <c r="J279" s="448"/>
      <c r="K279" s="456"/>
    </row>
    <row r="280" spans="2:11" x14ac:dyDescent="0.35">
      <c r="B280" s="445" t="str">
        <f>IF(Lançamentos!$B275="","",Lançamentos!$B275)</f>
        <v/>
      </c>
      <c r="C280" s="446" t="str">
        <f>IF($B280="","",IFERROR(INDEX(Lançamentos!$J$3:$J$1001,MATCH($B280,Lançamentos!$B$3:$B$1001,0)),""))</f>
        <v/>
      </c>
      <c r="D280" s="447" t="str">
        <f>IF($B280="","",IFERROR(INDEX('E2 — Triagem'!$D$8:$D$507,MATCH($B280,'E2 — Triagem'!$B$8:$B$507,0)),""))</f>
        <v/>
      </c>
      <c r="E280" s="447"/>
      <c r="F280" s="447"/>
      <c r="G280" s="447"/>
      <c r="H280" s="447"/>
      <c r="I280" s="455" t="str">
        <f t="shared" si="5"/>
        <v/>
      </c>
      <c r="J280" s="448"/>
      <c r="K280" s="456"/>
    </row>
    <row r="281" spans="2:11" x14ac:dyDescent="0.35">
      <c r="B281" s="445" t="str">
        <f>IF(Lançamentos!$B276="","",Lançamentos!$B276)</f>
        <v/>
      </c>
      <c r="C281" s="446" t="str">
        <f>IF($B281="","",IFERROR(INDEX(Lançamentos!$J$3:$J$1001,MATCH($B281,Lançamentos!$B$3:$B$1001,0)),""))</f>
        <v/>
      </c>
      <c r="D281" s="447" t="str">
        <f>IF($B281="","",IFERROR(INDEX('E2 — Triagem'!$D$8:$D$507,MATCH($B281,'E2 — Triagem'!$B$8:$B$507,0)),""))</f>
        <v/>
      </c>
      <c r="E281" s="447"/>
      <c r="F281" s="447"/>
      <c r="G281" s="447"/>
      <c r="H281" s="447"/>
      <c r="I281" s="455" t="str">
        <f t="shared" si="5"/>
        <v/>
      </c>
      <c r="J281" s="448"/>
      <c r="K281" s="456"/>
    </row>
    <row r="282" spans="2:11" x14ac:dyDescent="0.35">
      <c r="B282" s="445" t="str">
        <f>IF(Lançamentos!$B277="","",Lançamentos!$B277)</f>
        <v/>
      </c>
      <c r="C282" s="446" t="str">
        <f>IF($B282="","",IFERROR(INDEX(Lançamentos!$J$3:$J$1001,MATCH($B282,Lançamentos!$B$3:$B$1001,0)),""))</f>
        <v/>
      </c>
      <c r="D282" s="447" t="str">
        <f>IF($B282="","",IFERROR(INDEX('E2 — Triagem'!$D$8:$D$507,MATCH($B282,'E2 — Triagem'!$B$8:$B$507,0)),""))</f>
        <v/>
      </c>
      <c r="E282" s="447"/>
      <c r="F282" s="447"/>
      <c r="G282" s="447"/>
      <c r="H282" s="447"/>
      <c r="I282" s="455" t="str">
        <f t="shared" si="5"/>
        <v/>
      </c>
      <c r="J282" s="448"/>
      <c r="K282" s="456"/>
    </row>
    <row r="283" spans="2:11" x14ac:dyDescent="0.35">
      <c r="B283" s="445" t="str">
        <f>IF(Lançamentos!$B278="","",Lançamentos!$B278)</f>
        <v/>
      </c>
      <c r="C283" s="446" t="str">
        <f>IF($B283="","",IFERROR(INDEX(Lançamentos!$J$3:$J$1001,MATCH($B283,Lançamentos!$B$3:$B$1001,0)),""))</f>
        <v/>
      </c>
      <c r="D283" s="447" t="str">
        <f>IF($B283="","",IFERROR(INDEX('E2 — Triagem'!$D$8:$D$507,MATCH($B283,'E2 — Triagem'!$B$8:$B$507,0)),""))</f>
        <v/>
      </c>
      <c r="E283" s="447"/>
      <c r="F283" s="447"/>
      <c r="G283" s="447"/>
      <c r="H283" s="447"/>
      <c r="I283" s="455" t="str">
        <f t="shared" si="5"/>
        <v/>
      </c>
      <c r="J283" s="448"/>
      <c r="K283" s="456"/>
    </row>
    <row r="284" spans="2:11" x14ac:dyDescent="0.35">
      <c r="B284" s="445" t="str">
        <f>IF(Lançamentos!$B279="","",Lançamentos!$B279)</f>
        <v/>
      </c>
      <c r="C284" s="446" t="str">
        <f>IF($B284="","",IFERROR(INDEX(Lançamentos!$J$3:$J$1001,MATCH($B284,Lançamentos!$B$3:$B$1001,0)),""))</f>
        <v/>
      </c>
      <c r="D284" s="447" t="str">
        <f>IF($B284="","",IFERROR(INDEX('E2 — Triagem'!$D$8:$D$507,MATCH($B284,'E2 — Triagem'!$B$8:$B$507,0)),""))</f>
        <v/>
      </c>
      <c r="E284" s="447"/>
      <c r="F284" s="447"/>
      <c r="G284" s="447"/>
      <c r="H284" s="447"/>
      <c r="I284" s="455" t="str">
        <f t="shared" si="5"/>
        <v/>
      </c>
      <c r="J284" s="448"/>
      <c r="K284" s="456"/>
    </row>
    <row r="285" spans="2:11" x14ac:dyDescent="0.35">
      <c r="B285" s="445" t="str">
        <f>IF(Lançamentos!$B280="","",Lançamentos!$B280)</f>
        <v/>
      </c>
      <c r="C285" s="446" t="str">
        <f>IF($B285="","",IFERROR(INDEX(Lançamentos!$J$3:$J$1001,MATCH($B285,Lançamentos!$B$3:$B$1001,0)),""))</f>
        <v/>
      </c>
      <c r="D285" s="447" t="str">
        <f>IF($B285="","",IFERROR(INDEX('E2 — Triagem'!$D$8:$D$507,MATCH($B285,'E2 — Triagem'!$B$8:$B$507,0)),""))</f>
        <v/>
      </c>
      <c r="E285" s="447"/>
      <c r="F285" s="447"/>
      <c r="G285" s="447"/>
      <c r="H285" s="447"/>
      <c r="I285" s="455" t="str">
        <f t="shared" si="5"/>
        <v/>
      </c>
      <c r="J285" s="448"/>
      <c r="K285" s="456"/>
    </row>
    <row r="286" spans="2:11" x14ac:dyDescent="0.35">
      <c r="B286" s="445" t="str">
        <f>IF(Lançamentos!$B281="","",Lançamentos!$B281)</f>
        <v/>
      </c>
      <c r="C286" s="446" t="str">
        <f>IF($B286="","",IFERROR(INDEX(Lançamentos!$J$3:$J$1001,MATCH($B286,Lançamentos!$B$3:$B$1001,0)),""))</f>
        <v/>
      </c>
      <c r="D286" s="447" t="str">
        <f>IF($B286="","",IFERROR(INDEX('E2 — Triagem'!$D$8:$D$507,MATCH($B286,'E2 — Triagem'!$B$8:$B$507,0)),""))</f>
        <v/>
      </c>
      <c r="E286" s="447"/>
      <c r="F286" s="447"/>
      <c r="G286" s="447"/>
      <c r="H286" s="447"/>
      <c r="I286" s="455" t="str">
        <f t="shared" si="5"/>
        <v/>
      </c>
      <c r="J286" s="448"/>
      <c r="K286" s="456"/>
    </row>
    <row r="287" spans="2:11" x14ac:dyDescent="0.35">
      <c r="B287" s="445" t="str">
        <f>IF(Lançamentos!$B282="","",Lançamentos!$B282)</f>
        <v/>
      </c>
      <c r="C287" s="446" t="str">
        <f>IF($B287="","",IFERROR(INDEX(Lançamentos!$J$3:$J$1001,MATCH($B287,Lançamentos!$B$3:$B$1001,0)),""))</f>
        <v/>
      </c>
      <c r="D287" s="447" t="str">
        <f>IF($B287="","",IFERROR(INDEX('E2 — Triagem'!$D$8:$D$507,MATCH($B287,'E2 — Triagem'!$B$8:$B$507,0)),""))</f>
        <v/>
      </c>
      <c r="E287" s="447"/>
      <c r="F287" s="447"/>
      <c r="G287" s="447"/>
      <c r="H287" s="447"/>
      <c r="I287" s="455" t="str">
        <f t="shared" si="5"/>
        <v/>
      </c>
      <c r="J287" s="448"/>
      <c r="K287" s="456"/>
    </row>
    <row r="288" spans="2:11" x14ac:dyDescent="0.35">
      <c r="B288" s="445" t="str">
        <f>IF(Lançamentos!$B283="","",Lançamentos!$B283)</f>
        <v/>
      </c>
      <c r="C288" s="446" t="str">
        <f>IF($B288="","",IFERROR(INDEX(Lançamentos!$J$3:$J$1001,MATCH($B288,Lançamentos!$B$3:$B$1001,0)),""))</f>
        <v/>
      </c>
      <c r="D288" s="447" t="str">
        <f>IF($B288="","",IFERROR(INDEX('E2 — Triagem'!$D$8:$D$507,MATCH($B288,'E2 — Triagem'!$B$8:$B$507,0)),""))</f>
        <v/>
      </c>
      <c r="E288" s="447"/>
      <c r="F288" s="447"/>
      <c r="G288" s="447"/>
      <c r="H288" s="447"/>
      <c r="I288" s="455" t="str">
        <f t="shared" si="5"/>
        <v/>
      </c>
      <c r="J288" s="448"/>
      <c r="K288" s="456"/>
    </row>
    <row r="289" spans="2:11" x14ac:dyDescent="0.35">
      <c r="B289" s="445" t="str">
        <f>IF(Lançamentos!$B284="","",Lançamentos!$B284)</f>
        <v/>
      </c>
      <c r="C289" s="446" t="str">
        <f>IF($B289="","",IFERROR(INDEX(Lançamentos!$J$3:$J$1001,MATCH($B289,Lançamentos!$B$3:$B$1001,0)),""))</f>
        <v/>
      </c>
      <c r="D289" s="447" t="str">
        <f>IF($B289="","",IFERROR(INDEX('E2 — Triagem'!$D$8:$D$507,MATCH($B289,'E2 — Triagem'!$B$8:$B$507,0)),""))</f>
        <v/>
      </c>
      <c r="E289" s="447"/>
      <c r="F289" s="447"/>
      <c r="G289" s="447"/>
      <c r="H289" s="447"/>
      <c r="I289" s="455" t="str">
        <f t="shared" si="5"/>
        <v/>
      </c>
      <c r="J289" s="448"/>
      <c r="K289" s="456"/>
    </row>
    <row r="290" spans="2:11" x14ac:dyDescent="0.35">
      <c r="B290" s="445" t="str">
        <f>IF(Lançamentos!$B285="","",Lançamentos!$B285)</f>
        <v/>
      </c>
      <c r="C290" s="446" t="str">
        <f>IF($B290="","",IFERROR(INDEX(Lançamentos!$J$3:$J$1001,MATCH($B290,Lançamentos!$B$3:$B$1001,0)),""))</f>
        <v/>
      </c>
      <c r="D290" s="447" t="str">
        <f>IF($B290="","",IFERROR(INDEX('E2 — Triagem'!$D$8:$D$507,MATCH($B290,'E2 — Triagem'!$B$8:$B$507,0)),""))</f>
        <v/>
      </c>
      <c r="E290" s="447"/>
      <c r="F290" s="447"/>
      <c r="G290" s="447"/>
      <c r="H290" s="447"/>
      <c r="I290" s="455" t="str">
        <f t="shared" si="5"/>
        <v/>
      </c>
      <c r="J290" s="448"/>
      <c r="K290" s="456"/>
    </row>
    <row r="291" spans="2:11" x14ac:dyDescent="0.35">
      <c r="B291" s="445" t="str">
        <f>IF(Lançamentos!$B286="","",Lançamentos!$B286)</f>
        <v/>
      </c>
      <c r="C291" s="446" t="str">
        <f>IF($B291="","",IFERROR(INDEX(Lançamentos!$J$3:$J$1001,MATCH($B291,Lançamentos!$B$3:$B$1001,0)),""))</f>
        <v/>
      </c>
      <c r="D291" s="447" t="str">
        <f>IF($B291="","",IFERROR(INDEX('E2 — Triagem'!$D$8:$D$507,MATCH($B291,'E2 — Triagem'!$B$8:$B$507,0)),""))</f>
        <v/>
      </c>
      <c r="E291" s="447"/>
      <c r="F291" s="447"/>
      <c r="G291" s="447"/>
      <c r="H291" s="447"/>
      <c r="I291" s="455" t="str">
        <f t="shared" si="5"/>
        <v/>
      </c>
      <c r="J291" s="448"/>
      <c r="K291" s="456"/>
    </row>
    <row r="292" spans="2:11" x14ac:dyDescent="0.35">
      <c r="B292" s="445" t="str">
        <f>IF(Lançamentos!$B287="","",Lançamentos!$B287)</f>
        <v/>
      </c>
      <c r="C292" s="446" t="str">
        <f>IF($B292="","",IFERROR(INDEX(Lançamentos!$J$3:$J$1001,MATCH($B292,Lançamentos!$B$3:$B$1001,0)),""))</f>
        <v/>
      </c>
      <c r="D292" s="447" t="str">
        <f>IF($B292="","",IFERROR(INDEX('E2 — Triagem'!$D$8:$D$507,MATCH($B292,'E2 — Triagem'!$B$8:$B$507,0)),""))</f>
        <v/>
      </c>
      <c r="E292" s="447"/>
      <c r="F292" s="447"/>
      <c r="G292" s="447"/>
      <c r="H292" s="447"/>
      <c r="I292" s="455" t="str">
        <f t="shared" si="5"/>
        <v/>
      </c>
      <c r="J292" s="448"/>
      <c r="K292" s="456"/>
    </row>
    <row r="293" spans="2:11" x14ac:dyDescent="0.35">
      <c r="B293" s="445" t="str">
        <f>IF(Lançamentos!$B288="","",Lançamentos!$B288)</f>
        <v/>
      </c>
      <c r="C293" s="446" t="str">
        <f>IF($B293="","",IFERROR(INDEX(Lançamentos!$J$3:$J$1001,MATCH($B293,Lançamentos!$B$3:$B$1001,0)),""))</f>
        <v/>
      </c>
      <c r="D293" s="447" t="str">
        <f>IF($B293="","",IFERROR(INDEX('E2 — Triagem'!$D$8:$D$507,MATCH($B293,'E2 — Triagem'!$B$8:$B$507,0)),""))</f>
        <v/>
      </c>
      <c r="E293" s="447"/>
      <c r="F293" s="447"/>
      <c r="G293" s="447"/>
      <c r="H293" s="447"/>
      <c r="I293" s="455" t="str">
        <f t="shared" si="5"/>
        <v/>
      </c>
      <c r="J293" s="448"/>
      <c r="K293" s="456"/>
    </row>
    <row r="294" spans="2:11" x14ac:dyDescent="0.35">
      <c r="B294" s="445" t="str">
        <f>IF(Lançamentos!$B289="","",Lançamentos!$B289)</f>
        <v/>
      </c>
      <c r="C294" s="446" t="str">
        <f>IF($B294="","",IFERROR(INDEX(Lançamentos!$J$3:$J$1001,MATCH($B294,Lançamentos!$B$3:$B$1001,0)),""))</f>
        <v/>
      </c>
      <c r="D294" s="447" t="str">
        <f>IF($B294="","",IFERROR(INDEX('E2 — Triagem'!$D$8:$D$507,MATCH($B294,'E2 — Triagem'!$B$8:$B$507,0)),""))</f>
        <v/>
      </c>
      <c r="E294" s="447"/>
      <c r="F294" s="447"/>
      <c r="G294" s="447"/>
      <c r="H294" s="447"/>
      <c r="I294" s="455" t="str">
        <f t="shared" si="5"/>
        <v/>
      </c>
      <c r="J294" s="448"/>
      <c r="K294" s="456"/>
    </row>
    <row r="295" spans="2:11" x14ac:dyDescent="0.35">
      <c r="B295" s="445" t="str">
        <f>IF(Lançamentos!$B290="","",Lançamentos!$B290)</f>
        <v/>
      </c>
      <c r="C295" s="446" t="str">
        <f>IF($B295="","",IFERROR(INDEX(Lançamentos!$J$3:$J$1001,MATCH($B295,Lançamentos!$B$3:$B$1001,0)),""))</f>
        <v/>
      </c>
      <c r="D295" s="447" t="str">
        <f>IF($B295="","",IFERROR(INDEX('E2 — Triagem'!$D$8:$D$507,MATCH($B295,'E2 — Triagem'!$B$8:$B$507,0)),""))</f>
        <v/>
      </c>
      <c r="E295" s="447"/>
      <c r="F295" s="447"/>
      <c r="G295" s="447"/>
      <c r="H295" s="447"/>
      <c r="I295" s="455" t="str">
        <f t="shared" si="5"/>
        <v/>
      </c>
      <c r="J295" s="448"/>
      <c r="K295" s="456"/>
    </row>
    <row r="296" spans="2:11" x14ac:dyDescent="0.35">
      <c r="B296" s="445" t="str">
        <f>IF(Lançamentos!$B291="","",Lançamentos!$B291)</f>
        <v/>
      </c>
      <c r="C296" s="446" t="str">
        <f>IF($B296="","",IFERROR(INDEX(Lançamentos!$J$3:$J$1001,MATCH($B296,Lançamentos!$B$3:$B$1001,0)),""))</f>
        <v/>
      </c>
      <c r="D296" s="447" t="str">
        <f>IF($B296="","",IFERROR(INDEX('E2 — Triagem'!$D$8:$D$507,MATCH($B296,'E2 — Triagem'!$B$8:$B$507,0)),""))</f>
        <v/>
      </c>
      <c r="E296" s="447"/>
      <c r="F296" s="447"/>
      <c r="G296" s="447"/>
      <c r="H296" s="447"/>
      <c r="I296" s="455" t="str">
        <f t="shared" si="5"/>
        <v/>
      </c>
      <c r="J296" s="448"/>
      <c r="K296" s="456"/>
    </row>
    <row r="297" spans="2:11" x14ac:dyDescent="0.35">
      <c r="B297" s="445" t="str">
        <f>IF(Lançamentos!$B292="","",Lançamentos!$B292)</f>
        <v/>
      </c>
      <c r="C297" s="446" t="str">
        <f>IF($B297="","",IFERROR(INDEX(Lançamentos!$J$3:$J$1001,MATCH($B297,Lançamentos!$B$3:$B$1001,0)),""))</f>
        <v/>
      </c>
      <c r="D297" s="447" t="str">
        <f>IF($B297="","",IFERROR(INDEX('E2 — Triagem'!$D$8:$D$507,MATCH($B297,'E2 — Triagem'!$B$8:$B$507,0)),""))</f>
        <v/>
      </c>
      <c r="E297" s="447"/>
      <c r="F297" s="447"/>
      <c r="G297" s="447"/>
      <c r="H297" s="447"/>
      <c r="I297" s="455" t="str">
        <f t="shared" si="5"/>
        <v/>
      </c>
      <c r="J297" s="448"/>
      <c r="K297" s="456"/>
    </row>
    <row r="298" spans="2:11" x14ac:dyDescent="0.35">
      <c r="B298" s="445" t="str">
        <f>IF(Lançamentos!$B293="","",Lançamentos!$B293)</f>
        <v/>
      </c>
      <c r="C298" s="446" t="str">
        <f>IF($B298="","",IFERROR(INDEX(Lançamentos!$J$3:$J$1001,MATCH($B298,Lançamentos!$B$3:$B$1001,0)),""))</f>
        <v/>
      </c>
      <c r="D298" s="447" t="str">
        <f>IF($B298="","",IFERROR(INDEX('E2 — Triagem'!$D$8:$D$507,MATCH($B298,'E2 — Triagem'!$B$8:$B$507,0)),""))</f>
        <v/>
      </c>
      <c r="E298" s="447"/>
      <c r="F298" s="447"/>
      <c r="G298" s="447"/>
      <c r="H298" s="447"/>
      <c r="I298" s="455" t="str">
        <f t="shared" si="5"/>
        <v/>
      </c>
      <c r="J298" s="448"/>
      <c r="K298" s="456"/>
    </row>
    <row r="299" spans="2:11" x14ac:dyDescent="0.35">
      <c r="B299" s="445" t="str">
        <f>IF(Lançamentos!$B294="","",Lançamentos!$B294)</f>
        <v/>
      </c>
      <c r="C299" s="446" t="str">
        <f>IF($B299="","",IFERROR(INDEX(Lançamentos!$J$3:$J$1001,MATCH($B299,Lançamentos!$B$3:$B$1001,0)),""))</f>
        <v/>
      </c>
      <c r="D299" s="447" t="str">
        <f>IF($B299="","",IFERROR(INDEX('E2 — Triagem'!$D$8:$D$507,MATCH($B299,'E2 — Triagem'!$B$8:$B$507,0)),""))</f>
        <v/>
      </c>
      <c r="E299" s="447"/>
      <c r="F299" s="447"/>
      <c r="G299" s="447"/>
      <c r="H299" s="447"/>
      <c r="I299" s="455" t="str">
        <f t="shared" si="5"/>
        <v/>
      </c>
      <c r="J299" s="448"/>
      <c r="K299" s="456"/>
    </row>
    <row r="300" spans="2:11" x14ac:dyDescent="0.35">
      <c r="B300" s="445" t="str">
        <f>IF(Lançamentos!$B295="","",Lançamentos!$B295)</f>
        <v/>
      </c>
      <c r="C300" s="446" t="str">
        <f>IF($B300="","",IFERROR(INDEX(Lançamentos!$J$3:$J$1001,MATCH($B300,Lançamentos!$B$3:$B$1001,0)),""))</f>
        <v/>
      </c>
      <c r="D300" s="447" t="str">
        <f>IF($B300="","",IFERROR(INDEX('E2 — Triagem'!$D$8:$D$507,MATCH($B300,'E2 — Triagem'!$B$8:$B$507,0)),""))</f>
        <v/>
      </c>
      <c r="E300" s="447"/>
      <c r="F300" s="447"/>
      <c r="G300" s="447"/>
      <c r="H300" s="447"/>
      <c r="I300" s="455" t="str">
        <f t="shared" si="5"/>
        <v/>
      </c>
      <c r="J300" s="448"/>
      <c r="K300" s="456"/>
    </row>
    <row r="301" spans="2:11" x14ac:dyDescent="0.35">
      <c r="B301" s="445" t="str">
        <f>IF(Lançamentos!$B296="","",Lançamentos!$B296)</f>
        <v/>
      </c>
      <c r="C301" s="446" t="str">
        <f>IF($B301="","",IFERROR(INDEX(Lançamentos!$J$3:$J$1001,MATCH($B301,Lançamentos!$B$3:$B$1001,0)),""))</f>
        <v/>
      </c>
      <c r="D301" s="447" t="str">
        <f>IF($B301="","",IFERROR(INDEX('E2 — Triagem'!$D$8:$D$507,MATCH($B301,'E2 — Triagem'!$B$8:$B$507,0)),""))</f>
        <v/>
      </c>
      <c r="E301" s="447"/>
      <c r="F301" s="447"/>
      <c r="G301" s="447"/>
      <c r="H301" s="447"/>
      <c r="I301" s="455" t="str">
        <f t="shared" si="5"/>
        <v/>
      </c>
      <c r="J301" s="448"/>
      <c r="K301" s="456"/>
    </row>
    <row r="302" spans="2:11" x14ac:dyDescent="0.35">
      <c r="B302" s="445" t="str">
        <f>IF(Lançamentos!$B297="","",Lançamentos!$B297)</f>
        <v/>
      </c>
      <c r="C302" s="446" t="str">
        <f>IF($B302="","",IFERROR(INDEX(Lançamentos!$J$3:$J$1001,MATCH($B302,Lançamentos!$B$3:$B$1001,0)),""))</f>
        <v/>
      </c>
      <c r="D302" s="447" t="str">
        <f>IF($B302="","",IFERROR(INDEX('E2 — Triagem'!$D$8:$D$507,MATCH($B302,'E2 — Triagem'!$B$8:$B$507,0)),""))</f>
        <v/>
      </c>
      <c r="E302" s="447"/>
      <c r="F302" s="447"/>
      <c r="G302" s="447"/>
      <c r="H302" s="447"/>
      <c r="I302" s="455" t="str">
        <f t="shared" si="5"/>
        <v/>
      </c>
      <c r="J302" s="448"/>
      <c r="K302" s="456"/>
    </row>
    <row r="303" spans="2:11" x14ac:dyDescent="0.35">
      <c r="B303" s="445" t="str">
        <f>IF(Lançamentos!$B298="","",Lançamentos!$B298)</f>
        <v/>
      </c>
      <c r="C303" s="446" t="str">
        <f>IF($B303="","",IFERROR(INDEX(Lançamentos!$J$3:$J$1001,MATCH($B303,Lançamentos!$B$3:$B$1001,0)),""))</f>
        <v/>
      </c>
      <c r="D303" s="447" t="str">
        <f>IF($B303="","",IFERROR(INDEX('E2 — Triagem'!$D$8:$D$507,MATCH($B303,'E2 — Triagem'!$B$8:$B$507,0)),""))</f>
        <v/>
      </c>
      <c r="E303" s="447"/>
      <c r="F303" s="447"/>
      <c r="G303" s="447"/>
      <c r="H303" s="447"/>
      <c r="I303" s="455" t="str">
        <f t="shared" si="5"/>
        <v/>
      </c>
      <c r="J303" s="448"/>
      <c r="K303" s="456"/>
    </row>
    <row r="304" spans="2:11" x14ac:dyDescent="0.35">
      <c r="B304" s="445" t="str">
        <f>IF(Lançamentos!$B299="","",Lançamentos!$B299)</f>
        <v/>
      </c>
      <c r="C304" s="446" t="str">
        <f>IF($B304="","",IFERROR(INDEX(Lançamentos!$J$3:$J$1001,MATCH($B304,Lançamentos!$B$3:$B$1001,0)),""))</f>
        <v/>
      </c>
      <c r="D304" s="447" t="str">
        <f>IF($B304="","",IFERROR(INDEX('E2 — Triagem'!$D$8:$D$507,MATCH($B304,'E2 — Triagem'!$B$8:$B$507,0)),""))</f>
        <v/>
      </c>
      <c r="E304" s="447"/>
      <c r="F304" s="447"/>
      <c r="G304" s="447"/>
      <c r="H304" s="447"/>
      <c r="I304" s="455" t="str">
        <f t="shared" si="5"/>
        <v/>
      </c>
      <c r="J304" s="448"/>
      <c r="K304" s="456"/>
    </row>
    <row r="305" spans="2:11" x14ac:dyDescent="0.35">
      <c r="B305" s="445" t="str">
        <f>IF(Lançamentos!$B300="","",Lançamentos!$B300)</f>
        <v/>
      </c>
      <c r="C305" s="446" t="str">
        <f>IF($B305="","",IFERROR(INDEX(Lançamentos!$J$3:$J$1001,MATCH($B305,Lançamentos!$B$3:$B$1001,0)),""))</f>
        <v/>
      </c>
      <c r="D305" s="447" t="str">
        <f>IF($B305="","",IFERROR(INDEX('E2 — Triagem'!$D$8:$D$507,MATCH($B305,'E2 — Triagem'!$B$8:$B$507,0)),""))</f>
        <v/>
      </c>
      <c r="E305" s="447"/>
      <c r="F305" s="447"/>
      <c r="G305" s="447"/>
      <c r="H305" s="447"/>
      <c r="I305" s="455" t="str">
        <f t="shared" si="5"/>
        <v/>
      </c>
      <c r="J305" s="448"/>
      <c r="K305" s="456"/>
    </row>
    <row r="306" spans="2:11" x14ac:dyDescent="0.35">
      <c r="B306" s="445" t="str">
        <f>IF(Lançamentos!$B301="","",Lançamentos!$B301)</f>
        <v/>
      </c>
      <c r="C306" s="446" t="str">
        <f>IF($B306="","",IFERROR(INDEX(Lançamentos!$J$3:$J$1001,MATCH($B306,Lançamentos!$B$3:$B$1001,0)),""))</f>
        <v/>
      </c>
      <c r="D306" s="447" t="str">
        <f>IF($B306="","",IFERROR(INDEX('E2 — Triagem'!$D$8:$D$507,MATCH($B306,'E2 — Triagem'!$B$8:$B$507,0)),""))</f>
        <v/>
      </c>
      <c r="E306" s="447"/>
      <c r="F306" s="447"/>
      <c r="G306" s="447"/>
      <c r="H306" s="447"/>
      <c r="I306" s="455" t="str">
        <f t="shared" si="5"/>
        <v/>
      </c>
      <c r="J306" s="448"/>
      <c r="K306" s="456"/>
    </row>
    <row r="307" spans="2:11" x14ac:dyDescent="0.35">
      <c r="B307" s="445" t="str">
        <f>IF(Lançamentos!$B302="","",Lançamentos!$B302)</f>
        <v/>
      </c>
      <c r="C307" s="446" t="str">
        <f>IF($B307="","",IFERROR(INDEX(Lançamentos!$J$3:$J$1001,MATCH($B307,Lançamentos!$B$3:$B$1001,0)),""))</f>
        <v/>
      </c>
      <c r="D307" s="447" t="str">
        <f>IF($B307="","",IFERROR(INDEX('E2 — Triagem'!$D$8:$D$507,MATCH($B307,'E2 — Triagem'!$B$8:$B$507,0)),""))</f>
        <v/>
      </c>
      <c r="E307" s="447"/>
      <c r="F307" s="447"/>
      <c r="G307" s="447"/>
      <c r="H307" s="447"/>
      <c r="I307" s="455" t="str">
        <f t="shared" si="5"/>
        <v/>
      </c>
      <c r="J307" s="448"/>
      <c r="K307" s="456"/>
    </row>
    <row r="308" spans="2:11" x14ac:dyDescent="0.35">
      <c r="B308" s="445" t="str">
        <f>IF(Lançamentos!$B303="","",Lançamentos!$B303)</f>
        <v/>
      </c>
      <c r="C308" s="446" t="str">
        <f>IF($B308="","",IFERROR(INDEX(Lançamentos!$J$3:$J$1001,MATCH($B308,Lançamentos!$B$3:$B$1001,0)),""))</f>
        <v/>
      </c>
      <c r="D308" s="447" t="str">
        <f>IF($B308="","",IFERROR(INDEX('E2 — Triagem'!$D$8:$D$507,MATCH($B308,'E2 — Triagem'!$B$8:$B$507,0)),""))</f>
        <v/>
      </c>
      <c r="E308" s="447"/>
      <c r="F308" s="447"/>
      <c r="G308" s="447"/>
      <c r="H308" s="447"/>
      <c r="I308" s="455" t="str">
        <f t="shared" si="5"/>
        <v/>
      </c>
      <c r="J308" s="448"/>
      <c r="K308" s="456"/>
    </row>
    <row r="309" spans="2:11" x14ac:dyDescent="0.35">
      <c r="B309" s="445" t="str">
        <f>IF(Lançamentos!$B304="","",Lançamentos!$B304)</f>
        <v/>
      </c>
      <c r="C309" s="446" t="str">
        <f>IF($B309="","",IFERROR(INDEX(Lançamentos!$J$3:$J$1001,MATCH($B309,Lançamentos!$B$3:$B$1001,0)),""))</f>
        <v/>
      </c>
      <c r="D309" s="447" t="str">
        <f>IF($B309="","",IFERROR(INDEX('E2 — Triagem'!$D$8:$D$507,MATCH($B309,'E2 — Triagem'!$B$8:$B$507,0)),""))</f>
        <v/>
      </c>
      <c r="E309" s="447"/>
      <c r="F309" s="447"/>
      <c r="G309" s="447"/>
      <c r="H309" s="447"/>
      <c r="I309" s="455" t="str">
        <f t="shared" si="5"/>
        <v/>
      </c>
      <c r="J309" s="448"/>
      <c r="K309" s="456"/>
    </row>
    <row r="310" spans="2:11" x14ac:dyDescent="0.35">
      <c r="B310" s="445" t="str">
        <f>IF(Lançamentos!$B305="","",Lançamentos!$B305)</f>
        <v/>
      </c>
      <c r="C310" s="446" t="str">
        <f>IF($B310="","",IFERROR(INDEX(Lançamentos!$J$3:$J$1001,MATCH($B310,Lançamentos!$B$3:$B$1001,0)),""))</f>
        <v/>
      </c>
      <c r="D310" s="447" t="str">
        <f>IF($B310="","",IFERROR(INDEX('E2 — Triagem'!$D$8:$D$507,MATCH($B310,'E2 — Triagem'!$B$8:$B$507,0)),""))</f>
        <v/>
      </c>
      <c r="E310" s="447"/>
      <c r="F310" s="447"/>
      <c r="G310" s="447"/>
      <c r="H310" s="447"/>
      <c r="I310" s="455" t="str">
        <f t="shared" si="5"/>
        <v/>
      </c>
      <c r="J310" s="448"/>
      <c r="K310" s="456"/>
    </row>
    <row r="311" spans="2:11" x14ac:dyDescent="0.35">
      <c r="B311" s="445" t="str">
        <f>IF(Lançamentos!$B306="","",Lançamentos!$B306)</f>
        <v/>
      </c>
      <c r="C311" s="446" t="str">
        <f>IF($B311="","",IFERROR(INDEX(Lançamentos!$J$3:$J$1001,MATCH($B311,Lançamentos!$B$3:$B$1001,0)),""))</f>
        <v/>
      </c>
      <c r="D311" s="447" t="str">
        <f>IF($B311="","",IFERROR(INDEX('E2 — Triagem'!$D$8:$D$507,MATCH($B311,'E2 — Triagem'!$B$8:$B$507,0)),""))</f>
        <v/>
      </c>
      <c r="E311" s="447"/>
      <c r="F311" s="447"/>
      <c r="G311" s="447"/>
      <c r="H311" s="447"/>
      <c r="I311" s="455" t="str">
        <f t="shared" si="5"/>
        <v/>
      </c>
      <c r="J311" s="448"/>
      <c r="K311" s="456"/>
    </row>
    <row r="312" spans="2:11" x14ac:dyDescent="0.35">
      <c r="B312" s="445" t="str">
        <f>IF(Lançamentos!$B307="","",Lançamentos!$B307)</f>
        <v/>
      </c>
      <c r="C312" s="446" t="str">
        <f>IF($B312="","",IFERROR(INDEX(Lançamentos!$J$3:$J$1001,MATCH($B312,Lançamentos!$B$3:$B$1001,0)),""))</f>
        <v/>
      </c>
      <c r="D312" s="447" t="str">
        <f>IF($B312="","",IFERROR(INDEX('E2 — Triagem'!$D$8:$D$507,MATCH($B312,'E2 — Triagem'!$B$8:$B$507,0)),""))</f>
        <v/>
      </c>
      <c r="E312" s="447"/>
      <c r="F312" s="447"/>
      <c r="G312" s="447"/>
      <c r="H312" s="447"/>
      <c r="I312" s="455" t="str">
        <f t="shared" si="5"/>
        <v/>
      </c>
      <c r="J312" s="448"/>
      <c r="K312" s="456"/>
    </row>
    <row r="313" spans="2:11" x14ac:dyDescent="0.35">
      <c r="B313" s="445" t="str">
        <f>IF(Lançamentos!$B308="","",Lançamentos!$B308)</f>
        <v/>
      </c>
      <c r="C313" s="446" t="str">
        <f>IF($B313="","",IFERROR(INDEX(Lançamentos!$J$3:$J$1001,MATCH($B313,Lançamentos!$B$3:$B$1001,0)),""))</f>
        <v/>
      </c>
      <c r="D313" s="447" t="str">
        <f>IF($B313="","",IFERROR(INDEX('E2 — Triagem'!$D$8:$D$507,MATCH($B313,'E2 — Triagem'!$B$8:$B$507,0)),""))</f>
        <v/>
      </c>
      <c r="E313" s="447"/>
      <c r="F313" s="447"/>
      <c r="G313" s="447"/>
      <c r="H313" s="447"/>
      <c r="I313" s="455" t="str">
        <f t="shared" si="5"/>
        <v/>
      </c>
      <c r="J313" s="448"/>
      <c r="K313" s="456"/>
    </row>
    <row r="314" spans="2:11" x14ac:dyDescent="0.35">
      <c r="B314" s="445" t="str">
        <f>IF(Lançamentos!$B309="","",Lançamentos!$B309)</f>
        <v/>
      </c>
      <c r="C314" s="446" t="str">
        <f>IF($B314="","",IFERROR(INDEX(Lançamentos!$J$3:$J$1001,MATCH($B314,Lançamentos!$B$3:$B$1001,0)),""))</f>
        <v/>
      </c>
      <c r="D314" s="447" t="str">
        <f>IF($B314="","",IFERROR(INDEX('E2 — Triagem'!$D$8:$D$507,MATCH($B314,'E2 — Triagem'!$B$8:$B$507,0)),""))</f>
        <v/>
      </c>
      <c r="E314" s="447"/>
      <c r="F314" s="447"/>
      <c r="G314" s="447"/>
      <c r="H314" s="447"/>
      <c r="I314" s="455" t="str">
        <f t="shared" si="5"/>
        <v/>
      </c>
      <c r="J314" s="448"/>
      <c r="K314" s="456"/>
    </row>
    <row r="315" spans="2:11" x14ac:dyDescent="0.35">
      <c r="B315" s="445" t="str">
        <f>IF(Lançamentos!$B310="","",Lançamentos!$B310)</f>
        <v/>
      </c>
      <c r="C315" s="446" t="str">
        <f>IF($B315="","",IFERROR(INDEX(Lançamentos!$J$3:$J$1001,MATCH($B315,Lançamentos!$B$3:$B$1001,0)),""))</f>
        <v/>
      </c>
      <c r="D315" s="447" t="str">
        <f>IF($B315="","",IFERROR(INDEX('E2 — Triagem'!$D$8:$D$507,MATCH($B315,'E2 — Triagem'!$B$8:$B$507,0)),""))</f>
        <v/>
      </c>
      <c r="E315" s="447"/>
      <c r="F315" s="447"/>
      <c r="G315" s="447"/>
      <c r="H315" s="447"/>
      <c r="I315" s="455" t="str">
        <f t="shared" si="5"/>
        <v/>
      </c>
      <c r="J315" s="448"/>
      <c r="K315" s="456"/>
    </row>
    <row r="316" spans="2:11" x14ac:dyDescent="0.35">
      <c r="B316" s="445" t="str">
        <f>IF(Lançamentos!$B311="","",Lançamentos!$B311)</f>
        <v/>
      </c>
      <c r="C316" s="446" t="str">
        <f>IF($B316="","",IFERROR(INDEX(Lançamentos!$J$3:$J$1001,MATCH($B316,Lançamentos!$B$3:$B$1001,0)),""))</f>
        <v/>
      </c>
      <c r="D316" s="447" t="str">
        <f>IF($B316="","",IFERROR(INDEX('E2 — Triagem'!$D$8:$D$507,MATCH($B316,'E2 — Triagem'!$B$8:$B$507,0)),""))</f>
        <v/>
      </c>
      <c r="E316" s="447"/>
      <c r="F316" s="447"/>
      <c r="G316" s="447"/>
      <c r="H316" s="447"/>
      <c r="I316" s="455" t="str">
        <f t="shared" si="5"/>
        <v/>
      </c>
      <c r="J316" s="448"/>
      <c r="K316" s="456"/>
    </row>
    <row r="317" spans="2:11" x14ac:dyDescent="0.35">
      <c r="B317" s="445" t="str">
        <f>IF(Lançamentos!$B312="","",Lançamentos!$B312)</f>
        <v/>
      </c>
      <c r="C317" s="446" t="str">
        <f>IF($B317="","",IFERROR(INDEX(Lançamentos!$J$3:$J$1001,MATCH($B317,Lançamentos!$B$3:$B$1001,0)),""))</f>
        <v/>
      </c>
      <c r="D317" s="447" t="str">
        <f>IF($B317="","",IFERROR(INDEX('E2 — Triagem'!$D$8:$D$507,MATCH($B317,'E2 — Triagem'!$B$8:$B$507,0)),""))</f>
        <v/>
      </c>
      <c r="E317" s="447"/>
      <c r="F317" s="447"/>
      <c r="G317" s="447"/>
      <c r="H317" s="447"/>
      <c r="I317" s="455" t="str">
        <f t="shared" si="5"/>
        <v/>
      </c>
      <c r="J317" s="448"/>
      <c r="K317" s="456"/>
    </row>
    <row r="318" spans="2:11" x14ac:dyDescent="0.35">
      <c r="B318" s="445" t="str">
        <f>IF(Lançamentos!$B313="","",Lançamentos!$B313)</f>
        <v/>
      </c>
      <c r="C318" s="446" t="str">
        <f>IF($B318="","",IFERROR(INDEX(Lançamentos!$J$3:$J$1001,MATCH($B318,Lançamentos!$B$3:$B$1001,0)),""))</f>
        <v/>
      </c>
      <c r="D318" s="447" t="str">
        <f>IF($B318="","",IFERROR(INDEX('E2 — Triagem'!$D$8:$D$507,MATCH($B318,'E2 — Triagem'!$B$8:$B$507,0)),""))</f>
        <v/>
      </c>
      <c r="E318" s="447"/>
      <c r="F318" s="447"/>
      <c r="G318" s="447"/>
      <c r="H318" s="447"/>
      <c r="I318" s="455" t="str">
        <f t="shared" si="5"/>
        <v/>
      </c>
      <c r="J318" s="448"/>
      <c r="K318" s="456"/>
    </row>
    <row r="319" spans="2:11" x14ac:dyDescent="0.35">
      <c r="B319" s="445" t="str">
        <f>IF(Lançamentos!$B314="","",Lançamentos!$B314)</f>
        <v/>
      </c>
      <c r="C319" s="446" t="str">
        <f>IF($B319="","",IFERROR(INDEX(Lançamentos!$J$3:$J$1001,MATCH($B319,Lançamentos!$B$3:$B$1001,0)),""))</f>
        <v/>
      </c>
      <c r="D319" s="447" t="str">
        <f>IF($B319="","",IFERROR(INDEX('E2 — Triagem'!$D$8:$D$507,MATCH($B319,'E2 — Triagem'!$B$8:$B$507,0)),""))</f>
        <v/>
      </c>
      <c r="E319" s="447"/>
      <c r="F319" s="447"/>
      <c r="G319" s="447"/>
      <c r="H319" s="447"/>
      <c r="I319" s="455" t="str">
        <f t="shared" si="5"/>
        <v/>
      </c>
      <c r="J319" s="448"/>
      <c r="K319" s="456"/>
    </row>
    <row r="320" spans="2:11" x14ac:dyDescent="0.35">
      <c r="B320" s="445" t="str">
        <f>IF(Lançamentos!$B315="","",Lançamentos!$B315)</f>
        <v/>
      </c>
      <c r="C320" s="446" t="str">
        <f>IF($B320="","",IFERROR(INDEX(Lançamentos!$J$3:$J$1001,MATCH($B320,Lançamentos!$B$3:$B$1001,0)),""))</f>
        <v/>
      </c>
      <c r="D320" s="447" t="str">
        <f>IF($B320="","",IFERROR(INDEX('E2 — Triagem'!$D$8:$D$507,MATCH($B320,'E2 — Triagem'!$B$8:$B$507,0)),""))</f>
        <v/>
      </c>
      <c r="E320" s="447"/>
      <c r="F320" s="447"/>
      <c r="G320" s="447"/>
      <c r="H320" s="447"/>
      <c r="I320" s="455" t="str">
        <f t="shared" si="5"/>
        <v/>
      </c>
      <c r="J320" s="448"/>
      <c r="K320" s="456"/>
    </row>
    <row r="321" spans="2:11" x14ac:dyDescent="0.35">
      <c r="B321" s="445" t="str">
        <f>IF(Lançamentos!$B316="","",Lançamentos!$B316)</f>
        <v/>
      </c>
      <c r="C321" s="446" t="str">
        <f>IF($B321="","",IFERROR(INDEX(Lançamentos!$J$3:$J$1001,MATCH($B321,Lançamentos!$B$3:$B$1001,0)),""))</f>
        <v/>
      </c>
      <c r="D321" s="447" t="str">
        <f>IF($B321="","",IFERROR(INDEX('E2 — Triagem'!$D$8:$D$507,MATCH($B321,'E2 — Triagem'!$B$8:$B$507,0)),""))</f>
        <v/>
      </c>
      <c r="E321" s="447"/>
      <c r="F321" s="447"/>
      <c r="G321" s="447"/>
      <c r="H321" s="447"/>
      <c r="I321" s="455" t="str">
        <f t="shared" si="5"/>
        <v/>
      </c>
      <c r="J321" s="448"/>
      <c r="K321" s="456"/>
    </row>
    <row r="322" spans="2:11" x14ac:dyDescent="0.35">
      <c r="B322" s="445" t="str">
        <f>IF(Lançamentos!$B317="","",Lançamentos!$B317)</f>
        <v/>
      </c>
      <c r="C322" s="446" t="str">
        <f>IF($B322="","",IFERROR(INDEX(Lançamentos!$J$3:$J$1001,MATCH($B322,Lançamentos!$B$3:$B$1001,0)),""))</f>
        <v/>
      </c>
      <c r="D322" s="447" t="str">
        <f>IF($B322="","",IFERROR(INDEX('E2 — Triagem'!$D$8:$D$507,MATCH($B322,'E2 — Triagem'!$B$8:$B$507,0)),""))</f>
        <v/>
      </c>
      <c r="E322" s="447"/>
      <c r="F322" s="447"/>
      <c r="G322" s="447"/>
      <c r="H322" s="447"/>
      <c r="I322" s="455" t="str">
        <f t="shared" si="5"/>
        <v/>
      </c>
      <c r="J322" s="448"/>
      <c r="K322" s="456"/>
    </row>
    <row r="323" spans="2:11" x14ac:dyDescent="0.35">
      <c r="B323" s="445" t="str">
        <f>IF(Lançamentos!$B318="","",Lançamentos!$B318)</f>
        <v/>
      </c>
      <c r="C323" s="446" t="str">
        <f>IF($B323="","",IFERROR(INDEX(Lançamentos!$J$3:$J$1001,MATCH($B323,Lançamentos!$B$3:$B$1001,0)),""))</f>
        <v/>
      </c>
      <c r="D323" s="447" t="str">
        <f>IF($B323="","",IFERROR(INDEX('E2 — Triagem'!$D$8:$D$507,MATCH($B323,'E2 — Triagem'!$B$8:$B$507,0)),""))</f>
        <v/>
      </c>
      <c r="E323" s="447"/>
      <c r="F323" s="447"/>
      <c r="G323" s="447"/>
      <c r="H323" s="447"/>
      <c r="I323" s="455" t="str">
        <f t="shared" si="5"/>
        <v/>
      </c>
      <c r="J323" s="448"/>
      <c r="K323" s="456"/>
    </row>
    <row r="324" spans="2:11" x14ac:dyDescent="0.35">
      <c r="B324" s="445" t="str">
        <f>IF(Lançamentos!$B319="","",Lançamentos!$B319)</f>
        <v/>
      </c>
      <c r="C324" s="446" t="str">
        <f>IF($B324="","",IFERROR(INDEX(Lançamentos!$J$3:$J$1001,MATCH($B324,Lançamentos!$B$3:$B$1001,0)),""))</f>
        <v/>
      </c>
      <c r="D324" s="447" t="str">
        <f>IF($B324="","",IFERROR(INDEX('E2 — Triagem'!$D$8:$D$507,MATCH($B324,'E2 — Triagem'!$B$8:$B$507,0)),""))</f>
        <v/>
      </c>
      <c r="E324" s="447"/>
      <c r="F324" s="447"/>
      <c r="G324" s="447"/>
      <c r="H324" s="447"/>
      <c r="I324" s="455" t="str">
        <f t="shared" si="5"/>
        <v/>
      </c>
      <c r="J324" s="448"/>
      <c r="K324" s="456"/>
    </row>
    <row r="325" spans="2:11" x14ac:dyDescent="0.35">
      <c r="B325" s="445" t="str">
        <f>IF(Lançamentos!$B320="","",Lançamentos!$B320)</f>
        <v/>
      </c>
      <c r="C325" s="446" t="str">
        <f>IF($B325="","",IFERROR(INDEX(Lançamentos!$J$3:$J$1001,MATCH($B325,Lançamentos!$B$3:$B$1001,0)),""))</f>
        <v/>
      </c>
      <c r="D325" s="447" t="str">
        <f>IF($B325="","",IFERROR(INDEX('E2 — Triagem'!$D$8:$D$507,MATCH($B325,'E2 — Triagem'!$B$8:$B$507,0)),""))</f>
        <v/>
      </c>
      <c r="E325" s="447"/>
      <c r="F325" s="447"/>
      <c r="G325" s="447"/>
      <c r="H325" s="447"/>
      <c r="I325" s="455" t="str">
        <f t="shared" si="5"/>
        <v/>
      </c>
      <c r="J325" s="448"/>
      <c r="K325" s="456"/>
    </row>
    <row r="326" spans="2:11" x14ac:dyDescent="0.35">
      <c r="B326" s="445" t="str">
        <f>IF(Lançamentos!$B321="","",Lançamentos!$B321)</f>
        <v/>
      </c>
      <c r="C326" s="446" t="str">
        <f>IF($B326="","",IFERROR(INDEX(Lançamentos!$J$3:$J$1001,MATCH($B326,Lançamentos!$B$3:$B$1001,0)),""))</f>
        <v/>
      </c>
      <c r="D326" s="447" t="str">
        <f>IF($B326="","",IFERROR(INDEX('E2 — Triagem'!$D$8:$D$507,MATCH($B326,'E2 — Triagem'!$B$8:$B$507,0)),""))</f>
        <v/>
      </c>
      <c r="E326" s="447"/>
      <c r="F326" s="447"/>
      <c r="G326" s="447"/>
      <c r="H326" s="447"/>
      <c r="I326" s="455" t="str">
        <f t="shared" si="5"/>
        <v/>
      </c>
      <c r="J326" s="448"/>
      <c r="K326" s="456"/>
    </row>
    <row r="327" spans="2:11" x14ac:dyDescent="0.35">
      <c r="B327" s="445" t="str">
        <f>IF(Lançamentos!$B322="","",Lançamentos!$B322)</f>
        <v/>
      </c>
      <c r="C327" s="446" t="str">
        <f>IF($B327="","",IFERROR(INDEX(Lançamentos!$J$3:$J$1001,MATCH($B327,Lançamentos!$B$3:$B$1001,0)),""))</f>
        <v/>
      </c>
      <c r="D327" s="447" t="str">
        <f>IF($B327="","",IFERROR(INDEX('E2 — Triagem'!$D$8:$D$507,MATCH($B327,'E2 — Triagem'!$B$8:$B$507,0)),""))</f>
        <v/>
      </c>
      <c r="E327" s="447"/>
      <c r="F327" s="447"/>
      <c r="G327" s="447"/>
      <c r="H327" s="447"/>
      <c r="I327" s="455" t="str">
        <f t="shared" si="5"/>
        <v/>
      </c>
      <c r="J327" s="448"/>
      <c r="K327" s="456"/>
    </row>
    <row r="328" spans="2:11" x14ac:dyDescent="0.35">
      <c r="B328" s="445" t="str">
        <f>IF(Lançamentos!$B323="","",Lançamentos!$B323)</f>
        <v/>
      </c>
      <c r="C328" s="446" t="str">
        <f>IF($B328="","",IFERROR(INDEX(Lançamentos!$J$3:$J$1001,MATCH($B328,Lançamentos!$B$3:$B$1001,0)),""))</f>
        <v/>
      </c>
      <c r="D328" s="447" t="str">
        <f>IF($B328="","",IFERROR(INDEX('E2 — Triagem'!$D$8:$D$507,MATCH($B328,'E2 — Triagem'!$B$8:$B$507,0)),""))</f>
        <v/>
      </c>
      <c r="E328" s="447"/>
      <c r="F328" s="447"/>
      <c r="G328" s="447"/>
      <c r="H328" s="447"/>
      <c r="I328" s="455" t="str">
        <f t="shared" si="5"/>
        <v/>
      </c>
      <c r="J328" s="448"/>
      <c r="K328" s="456"/>
    </row>
    <row r="329" spans="2:11" x14ac:dyDescent="0.35">
      <c r="B329" s="445" t="str">
        <f>IF(Lançamentos!$B324="","",Lançamentos!$B324)</f>
        <v/>
      </c>
      <c r="C329" s="446" t="str">
        <f>IF($B329="","",IFERROR(INDEX(Lançamentos!$J$3:$J$1001,MATCH($B329,Lançamentos!$B$3:$B$1001,0)),""))</f>
        <v/>
      </c>
      <c r="D329" s="447" t="str">
        <f>IF($B329="","",IFERROR(INDEX('E2 — Triagem'!$D$8:$D$507,MATCH($B329,'E2 — Triagem'!$B$8:$B$507,0)),""))</f>
        <v/>
      </c>
      <c r="E329" s="447"/>
      <c r="F329" s="447"/>
      <c r="G329" s="447"/>
      <c r="H329" s="447"/>
      <c r="I329" s="455" t="str">
        <f t="shared" si="5"/>
        <v/>
      </c>
      <c r="J329" s="448"/>
      <c r="K329" s="456"/>
    </row>
    <row r="330" spans="2:11" x14ac:dyDescent="0.35">
      <c r="B330" s="445" t="str">
        <f>IF(Lançamentos!$B325="","",Lançamentos!$B325)</f>
        <v/>
      </c>
      <c r="C330" s="446" t="str">
        <f>IF($B330="","",IFERROR(INDEX(Lançamentos!$J$3:$J$1001,MATCH($B330,Lançamentos!$B$3:$B$1001,0)),""))</f>
        <v/>
      </c>
      <c r="D330" s="447" t="str">
        <f>IF($B330="","",IFERROR(INDEX('E2 — Triagem'!$D$8:$D$507,MATCH($B330,'E2 — Triagem'!$B$8:$B$507,0)),""))</f>
        <v/>
      </c>
      <c r="E330" s="447"/>
      <c r="F330" s="447"/>
      <c r="G330" s="447"/>
      <c r="H330" s="447"/>
      <c r="I330" s="455" t="str">
        <f t="shared" si="5"/>
        <v/>
      </c>
      <c r="J330" s="448"/>
      <c r="K330" s="456"/>
    </row>
    <row r="331" spans="2:11" x14ac:dyDescent="0.35">
      <c r="B331" s="445" t="str">
        <f>IF(Lançamentos!$B326="","",Lançamentos!$B326)</f>
        <v/>
      </c>
      <c r="C331" s="446" t="str">
        <f>IF($B331="","",IFERROR(INDEX(Lançamentos!$J$3:$J$1001,MATCH($B331,Lançamentos!$B$3:$B$1001,0)),""))</f>
        <v/>
      </c>
      <c r="D331" s="447" t="str">
        <f>IF($B331="","",IFERROR(INDEX('E2 — Triagem'!$D$8:$D$507,MATCH($B331,'E2 — Triagem'!$B$8:$B$507,0)),""))</f>
        <v/>
      </c>
      <c r="E331" s="447"/>
      <c r="F331" s="447"/>
      <c r="G331" s="447"/>
      <c r="H331" s="447"/>
      <c r="I331" s="455" t="str">
        <f t="shared" si="5"/>
        <v/>
      </c>
      <c r="J331" s="448"/>
      <c r="K331" s="456"/>
    </row>
    <row r="332" spans="2:11" x14ac:dyDescent="0.35">
      <c r="B332" s="445" t="str">
        <f>IF(Lançamentos!$B327="","",Lançamentos!$B327)</f>
        <v/>
      </c>
      <c r="C332" s="446" t="str">
        <f>IF($B332="","",IFERROR(INDEX(Lançamentos!$J$3:$J$1001,MATCH($B332,Lançamentos!$B$3:$B$1001,0)),""))</f>
        <v/>
      </c>
      <c r="D332" s="447" t="str">
        <f>IF($B332="","",IFERROR(INDEX('E2 — Triagem'!$D$8:$D$507,MATCH($B332,'E2 — Triagem'!$B$8:$B$507,0)),""))</f>
        <v/>
      </c>
      <c r="E332" s="447"/>
      <c r="F332" s="447"/>
      <c r="G332" s="447"/>
      <c r="H332" s="447"/>
      <c r="I332" s="455" t="str">
        <f t="shared" si="5"/>
        <v/>
      </c>
      <c r="J332" s="448"/>
      <c r="K332" s="456"/>
    </row>
    <row r="333" spans="2:11" x14ac:dyDescent="0.35">
      <c r="B333" s="445" t="str">
        <f>IF(Lançamentos!$B328="","",Lançamentos!$B328)</f>
        <v/>
      </c>
      <c r="C333" s="446" t="str">
        <f>IF($B333="","",IFERROR(INDEX(Lançamentos!$J$3:$J$1001,MATCH($B333,Lançamentos!$B$3:$B$1001,0)),""))</f>
        <v/>
      </c>
      <c r="D333" s="447" t="str">
        <f>IF($B333="","",IFERROR(INDEX('E2 — Triagem'!$D$8:$D$507,MATCH($B333,'E2 — Triagem'!$B$8:$B$507,0)),""))</f>
        <v/>
      </c>
      <c r="E333" s="447"/>
      <c r="F333" s="447"/>
      <c r="G333" s="447"/>
      <c r="H333" s="447"/>
      <c r="I333" s="455" t="str">
        <f t="shared" si="5"/>
        <v/>
      </c>
      <c r="J333" s="448"/>
      <c r="K333" s="456"/>
    </row>
    <row r="334" spans="2:11" x14ac:dyDescent="0.35">
      <c r="B334" s="445" t="str">
        <f>IF(Lançamentos!$B329="","",Lançamentos!$B329)</f>
        <v/>
      </c>
      <c r="C334" s="446" t="str">
        <f>IF($B334="","",IFERROR(INDEX(Lançamentos!$J$3:$J$1001,MATCH($B334,Lançamentos!$B$3:$B$1001,0)),""))</f>
        <v/>
      </c>
      <c r="D334" s="447" t="str">
        <f>IF($B334="","",IFERROR(INDEX('E2 — Triagem'!$D$8:$D$507,MATCH($B334,'E2 — Triagem'!$B$8:$B$507,0)),""))</f>
        <v/>
      </c>
      <c r="E334" s="447"/>
      <c r="F334" s="447"/>
      <c r="G334" s="447"/>
      <c r="H334" s="447"/>
      <c r="I334" s="455" t="str">
        <f t="shared" si="5"/>
        <v/>
      </c>
      <c r="J334" s="448"/>
      <c r="K334" s="456"/>
    </row>
    <row r="335" spans="2:11" x14ac:dyDescent="0.35">
      <c r="B335" s="445" t="str">
        <f>IF(Lançamentos!$B330="","",Lançamentos!$B330)</f>
        <v/>
      </c>
      <c r="C335" s="446" t="str">
        <f>IF($B335="","",IFERROR(INDEX(Lançamentos!$J$3:$J$1001,MATCH($B335,Lançamentos!$B$3:$B$1001,0)),""))</f>
        <v/>
      </c>
      <c r="D335" s="447" t="str">
        <f>IF($B335="","",IFERROR(INDEX('E2 — Triagem'!$D$8:$D$507,MATCH($B335,'E2 — Triagem'!$B$8:$B$507,0)),""))</f>
        <v/>
      </c>
      <c r="E335" s="447"/>
      <c r="F335" s="447"/>
      <c r="G335" s="447"/>
      <c r="H335" s="447"/>
      <c r="I335" s="455" t="str">
        <f t="shared" si="5"/>
        <v/>
      </c>
      <c r="J335" s="448"/>
      <c r="K335" s="456"/>
    </row>
    <row r="336" spans="2:11" x14ac:dyDescent="0.35">
      <c r="B336" s="445" t="str">
        <f>IF(Lançamentos!$B331="","",Lançamentos!$B331)</f>
        <v/>
      </c>
      <c r="C336" s="446" t="str">
        <f>IF($B336="","",IFERROR(INDEX(Lançamentos!$J$3:$J$1001,MATCH($B336,Lançamentos!$B$3:$B$1001,0)),""))</f>
        <v/>
      </c>
      <c r="D336" s="447" t="str">
        <f>IF($B336="","",IFERROR(INDEX('E2 — Triagem'!$D$8:$D$507,MATCH($B336,'E2 — Triagem'!$B$8:$B$507,0)),""))</f>
        <v/>
      </c>
      <c r="E336" s="447"/>
      <c r="F336" s="447"/>
      <c r="G336" s="447"/>
      <c r="H336" s="447"/>
      <c r="I336" s="455" t="str">
        <f t="shared" ref="I336:I399" si="6">IF(B336="","",IF(COUNTIF(E336:H336,"N/A")=4,0,COUNTIF(E336:H336,"✔ Concluído")/(4-COUNTIF(E336:H336,"N/A"))))</f>
        <v/>
      </c>
      <c r="J336" s="448"/>
      <c r="K336" s="456"/>
    </row>
    <row r="337" spans="2:11" x14ac:dyDescent="0.35">
      <c r="B337" s="445" t="str">
        <f>IF(Lançamentos!$B332="","",Lançamentos!$B332)</f>
        <v/>
      </c>
      <c r="C337" s="446" t="str">
        <f>IF($B337="","",IFERROR(INDEX(Lançamentos!$J$3:$J$1001,MATCH($B337,Lançamentos!$B$3:$B$1001,0)),""))</f>
        <v/>
      </c>
      <c r="D337" s="447" t="str">
        <f>IF($B337="","",IFERROR(INDEX('E2 — Triagem'!$D$8:$D$507,MATCH($B337,'E2 — Triagem'!$B$8:$B$507,0)),""))</f>
        <v/>
      </c>
      <c r="E337" s="447"/>
      <c r="F337" s="447"/>
      <c r="G337" s="447"/>
      <c r="H337" s="447"/>
      <c r="I337" s="455" t="str">
        <f t="shared" si="6"/>
        <v/>
      </c>
      <c r="J337" s="448"/>
      <c r="K337" s="456"/>
    </row>
    <row r="338" spans="2:11" x14ac:dyDescent="0.35">
      <c r="B338" s="445" t="str">
        <f>IF(Lançamentos!$B333="","",Lançamentos!$B333)</f>
        <v/>
      </c>
      <c r="C338" s="446" t="str">
        <f>IF($B338="","",IFERROR(INDEX(Lançamentos!$J$3:$J$1001,MATCH($B338,Lançamentos!$B$3:$B$1001,0)),""))</f>
        <v/>
      </c>
      <c r="D338" s="447" t="str">
        <f>IF($B338="","",IFERROR(INDEX('E2 — Triagem'!$D$8:$D$507,MATCH($B338,'E2 — Triagem'!$B$8:$B$507,0)),""))</f>
        <v/>
      </c>
      <c r="E338" s="447"/>
      <c r="F338" s="447"/>
      <c r="G338" s="447"/>
      <c r="H338" s="447"/>
      <c r="I338" s="455" t="str">
        <f t="shared" si="6"/>
        <v/>
      </c>
      <c r="J338" s="448"/>
      <c r="K338" s="456"/>
    </row>
    <row r="339" spans="2:11" x14ac:dyDescent="0.35">
      <c r="B339" s="445" t="str">
        <f>IF(Lançamentos!$B334="","",Lançamentos!$B334)</f>
        <v/>
      </c>
      <c r="C339" s="446" t="str">
        <f>IF($B339="","",IFERROR(INDEX(Lançamentos!$J$3:$J$1001,MATCH($B339,Lançamentos!$B$3:$B$1001,0)),""))</f>
        <v/>
      </c>
      <c r="D339" s="447" t="str">
        <f>IF($B339="","",IFERROR(INDEX('E2 — Triagem'!$D$8:$D$507,MATCH($B339,'E2 — Triagem'!$B$8:$B$507,0)),""))</f>
        <v/>
      </c>
      <c r="E339" s="447"/>
      <c r="F339" s="447"/>
      <c r="G339" s="447"/>
      <c r="H339" s="447"/>
      <c r="I339" s="455" t="str">
        <f t="shared" si="6"/>
        <v/>
      </c>
      <c r="J339" s="448"/>
      <c r="K339" s="456"/>
    </row>
    <row r="340" spans="2:11" x14ac:dyDescent="0.35">
      <c r="B340" s="445" t="str">
        <f>IF(Lançamentos!$B335="","",Lançamentos!$B335)</f>
        <v/>
      </c>
      <c r="C340" s="446" t="str">
        <f>IF($B340="","",IFERROR(INDEX(Lançamentos!$J$3:$J$1001,MATCH($B340,Lançamentos!$B$3:$B$1001,0)),""))</f>
        <v/>
      </c>
      <c r="D340" s="447" t="str">
        <f>IF($B340="","",IFERROR(INDEX('E2 — Triagem'!$D$8:$D$507,MATCH($B340,'E2 — Triagem'!$B$8:$B$507,0)),""))</f>
        <v/>
      </c>
      <c r="E340" s="447"/>
      <c r="F340" s="447"/>
      <c r="G340" s="447"/>
      <c r="H340" s="447"/>
      <c r="I340" s="455" t="str">
        <f t="shared" si="6"/>
        <v/>
      </c>
      <c r="J340" s="448"/>
      <c r="K340" s="456"/>
    </row>
    <row r="341" spans="2:11" x14ac:dyDescent="0.35">
      <c r="B341" s="445" t="str">
        <f>IF(Lançamentos!$B336="","",Lançamentos!$B336)</f>
        <v/>
      </c>
      <c r="C341" s="446" t="str">
        <f>IF($B341="","",IFERROR(INDEX(Lançamentos!$J$3:$J$1001,MATCH($B341,Lançamentos!$B$3:$B$1001,0)),""))</f>
        <v/>
      </c>
      <c r="D341" s="447" t="str">
        <f>IF($B341="","",IFERROR(INDEX('E2 — Triagem'!$D$8:$D$507,MATCH($B341,'E2 — Triagem'!$B$8:$B$507,0)),""))</f>
        <v/>
      </c>
      <c r="E341" s="447"/>
      <c r="F341" s="447"/>
      <c r="G341" s="447"/>
      <c r="H341" s="447"/>
      <c r="I341" s="455" t="str">
        <f t="shared" si="6"/>
        <v/>
      </c>
      <c r="J341" s="448"/>
      <c r="K341" s="456"/>
    </row>
    <row r="342" spans="2:11" x14ac:dyDescent="0.35">
      <c r="B342" s="445" t="str">
        <f>IF(Lançamentos!$B337="","",Lançamentos!$B337)</f>
        <v/>
      </c>
      <c r="C342" s="446" t="str">
        <f>IF($B342="","",IFERROR(INDEX(Lançamentos!$J$3:$J$1001,MATCH($B342,Lançamentos!$B$3:$B$1001,0)),""))</f>
        <v/>
      </c>
      <c r="D342" s="447" t="str">
        <f>IF($B342="","",IFERROR(INDEX('E2 — Triagem'!$D$8:$D$507,MATCH($B342,'E2 — Triagem'!$B$8:$B$507,0)),""))</f>
        <v/>
      </c>
      <c r="E342" s="447"/>
      <c r="F342" s="447"/>
      <c r="G342" s="447"/>
      <c r="H342" s="447"/>
      <c r="I342" s="455" t="str">
        <f t="shared" si="6"/>
        <v/>
      </c>
      <c r="J342" s="448"/>
      <c r="K342" s="456"/>
    </row>
    <row r="343" spans="2:11" x14ac:dyDescent="0.35">
      <c r="B343" s="445" t="str">
        <f>IF(Lançamentos!$B338="","",Lançamentos!$B338)</f>
        <v/>
      </c>
      <c r="C343" s="446" t="str">
        <f>IF($B343="","",IFERROR(INDEX(Lançamentos!$J$3:$J$1001,MATCH($B343,Lançamentos!$B$3:$B$1001,0)),""))</f>
        <v/>
      </c>
      <c r="D343" s="447" t="str">
        <f>IF($B343="","",IFERROR(INDEX('E2 — Triagem'!$D$8:$D$507,MATCH($B343,'E2 — Triagem'!$B$8:$B$507,0)),""))</f>
        <v/>
      </c>
      <c r="E343" s="447"/>
      <c r="F343" s="447"/>
      <c r="G343" s="447"/>
      <c r="H343" s="447"/>
      <c r="I343" s="455" t="str">
        <f t="shared" si="6"/>
        <v/>
      </c>
      <c r="J343" s="448"/>
      <c r="K343" s="456"/>
    </row>
    <row r="344" spans="2:11" x14ac:dyDescent="0.35">
      <c r="B344" s="445" t="str">
        <f>IF(Lançamentos!$B339="","",Lançamentos!$B339)</f>
        <v/>
      </c>
      <c r="C344" s="446" t="str">
        <f>IF($B344="","",IFERROR(INDEX(Lançamentos!$J$3:$J$1001,MATCH($B344,Lançamentos!$B$3:$B$1001,0)),""))</f>
        <v/>
      </c>
      <c r="D344" s="447" t="str">
        <f>IF($B344="","",IFERROR(INDEX('E2 — Triagem'!$D$8:$D$507,MATCH($B344,'E2 — Triagem'!$B$8:$B$507,0)),""))</f>
        <v/>
      </c>
      <c r="E344" s="447"/>
      <c r="F344" s="447"/>
      <c r="G344" s="447"/>
      <c r="H344" s="447"/>
      <c r="I344" s="455" t="str">
        <f t="shared" si="6"/>
        <v/>
      </c>
      <c r="J344" s="448"/>
      <c r="K344" s="456"/>
    </row>
    <row r="345" spans="2:11" x14ac:dyDescent="0.35">
      <c r="B345" s="445" t="str">
        <f>IF(Lançamentos!$B340="","",Lançamentos!$B340)</f>
        <v/>
      </c>
      <c r="C345" s="446" t="str">
        <f>IF($B345="","",IFERROR(INDEX(Lançamentos!$J$3:$J$1001,MATCH($B345,Lançamentos!$B$3:$B$1001,0)),""))</f>
        <v/>
      </c>
      <c r="D345" s="447" t="str">
        <f>IF($B345="","",IFERROR(INDEX('E2 — Triagem'!$D$8:$D$507,MATCH($B345,'E2 — Triagem'!$B$8:$B$507,0)),""))</f>
        <v/>
      </c>
      <c r="E345" s="447"/>
      <c r="F345" s="447"/>
      <c r="G345" s="447"/>
      <c r="H345" s="447"/>
      <c r="I345" s="455" t="str">
        <f t="shared" si="6"/>
        <v/>
      </c>
      <c r="J345" s="448"/>
      <c r="K345" s="456"/>
    </row>
    <row r="346" spans="2:11" x14ac:dyDescent="0.35">
      <c r="B346" s="445" t="str">
        <f>IF(Lançamentos!$B341="","",Lançamentos!$B341)</f>
        <v/>
      </c>
      <c r="C346" s="446" t="str">
        <f>IF($B346="","",IFERROR(INDEX(Lançamentos!$J$3:$J$1001,MATCH($B346,Lançamentos!$B$3:$B$1001,0)),""))</f>
        <v/>
      </c>
      <c r="D346" s="447" t="str">
        <f>IF($B346="","",IFERROR(INDEX('E2 — Triagem'!$D$8:$D$507,MATCH($B346,'E2 — Triagem'!$B$8:$B$507,0)),""))</f>
        <v/>
      </c>
      <c r="E346" s="447"/>
      <c r="F346" s="447"/>
      <c r="G346" s="447"/>
      <c r="H346" s="447"/>
      <c r="I346" s="455" t="str">
        <f t="shared" si="6"/>
        <v/>
      </c>
      <c r="J346" s="448"/>
      <c r="K346" s="456"/>
    </row>
    <row r="347" spans="2:11" x14ac:dyDescent="0.35">
      <c r="B347" s="445" t="str">
        <f>IF(Lançamentos!$B342="","",Lançamentos!$B342)</f>
        <v/>
      </c>
      <c r="C347" s="446" t="str">
        <f>IF($B347="","",IFERROR(INDEX(Lançamentos!$J$3:$J$1001,MATCH($B347,Lançamentos!$B$3:$B$1001,0)),""))</f>
        <v/>
      </c>
      <c r="D347" s="447" t="str">
        <f>IF($B347="","",IFERROR(INDEX('E2 — Triagem'!$D$8:$D$507,MATCH($B347,'E2 — Triagem'!$B$8:$B$507,0)),""))</f>
        <v/>
      </c>
      <c r="E347" s="447"/>
      <c r="F347" s="447"/>
      <c r="G347" s="447"/>
      <c r="H347" s="447"/>
      <c r="I347" s="455" t="str">
        <f t="shared" si="6"/>
        <v/>
      </c>
      <c r="J347" s="448"/>
      <c r="K347" s="456"/>
    </row>
    <row r="348" spans="2:11" x14ac:dyDescent="0.35">
      <c r="B348" s="445" t="str">
        <f>IF(Lançamentos!$B343="","",Lançamentos!$B343)</f>
        <v/>
      </c>
      <c r="C348" s="446" t="str">
        <f>IF($B348="","",IFERROR(INDEX(Lançamentos!$J$3:$J$1001,MATCH($B348,Lançamentos!$B$3:$B$1001,0)),""))</f>
        <v/>
      </c>
      <c r="D348" s="447" t="str">
        <f>IF($B348="","",IFERROR(INDEX('E2 — Triagem'!$D$8:$D$507,MATCH($B348,'E2 — Triagem'!$B$8:$B$507,0)),""))</f>
        <v/>
      </c>
      <c r="E348" s="447"/>
      <c r="F348" s="447"/>
      <c r="G348" s="447"/>
      <c r="H348" s="447"/>
      <c r="I348" s="455" t="str">
        <f t="shared" si="6"/>
        <v/>
      </c>
      <c r="J348" s="448"/>
      <c r="K348" s="456"/>
    </row>
    <row r="349" spans="2:11" x14ac:dyDescent="0.35">
      <c r="B349" s="445" t="str">
        <f>IF(Lançamentos!$B344="","",Lançamentos!$B344)</f>
        <v/>
      </c>
      <c r="C349" s="446" t="str">
        <f>IF($B349="","",IFERROR(INDEX(Lançamentos!$J$3:$J$1001,MATCH($B349,Lançamentos!$B$3:$B$1001,0)),""))</f>
        <v/>
      </c>
      <c r="D349" s="447" t="str">
        <f>IF($B349="","",IFERROR(INDEX('E2 — Triagem'!$D$8:$D$507,MATCH($B349,'E2 — Triagem'!$B$8:$B$507,0)),""))</f>
        <v/>
      </c>
      <c r="E349" s="447"/>
      <c r="F349" s="447"/>
      <c r="G349" s="447"/>
      <c r="H349" s="447"/>
      <c r="I349" s="455" t="str">
        <f t="shared" si="6"/>
        <v/>
      </c>
      <c r="J349" s="448"/>
      <c r="K349" s="456"/>
    </row>
    <row r="350" spans="2:11" x14ac:dyDescent="0.35">
      <c r="B350" s="445" t="str">
        <f>IF(Lançamentos!$B345="","",Lançamentos!$B345)</f>
        <v/>
      </c>
      <c r="C350" s="446" t="str">
        <f>IF($B350="","",IFERROR(INDEX(Lançamentos!$J$3:$J$1001,MATCH($B350,Lançamentos!$B$3:$B$1001,0)),""))</f>
        <v/>
      </c>
      <c r="D350" s="447" t="str">
        <f>IF($B350="","",IFERROR(INDEX('E2 — Triagem'!$D$8:$D$507,MATCH($B350,'E2 — Triagem'!$B$8:$B$507,0)),""))</f>
        <v/>
      </c>
      <c r="E350" s="447"/>
      <c r="F350" s="447"/>
      <c r="G350" s="447"/>
      <c r="H350" s="447"/>
      <c r="I350" s="455" t="str">
        <f t="shared" si="6"/>
        <v/>
      </c>
      <c r="J350" s="448"/>
      <c r="K350" s="456"/>
    </row>
    <row r="351" spans="2:11" x14ac:dyDescent="0.35">
      <c r="B351" s="445" t="str">
        <f>IF(Lançamentos!$B346="","",Lançamentos!$B346)</f>
        <v/>
      </c>
      <c r="C351" s="446" t="str">
        <f>IF($B351="","",IFERROR(INDEX(Lançamentos!$J$3:$J$1001,MATCH($B351,Lançamentos!$B$3:$B$1001,0)),""))</f>
        <v/>
      </c>
      <c r="D351" s="447" t="str">
        <f>IF($B351="","",IFERROR(INDEX('E2 — Triagem'!$D$8:$D$507,MATCH($B351,'E2 — Triagem'!$B$8:$B$507,0)),""))</f>
        <v/>
      </c>
      <c r="E351" s="447"/>
      <c r="F351" s="447"/>
      <c r="G351" s="447"/>
      <c r="H351" s="447"/>
      <c r="I351" s="455" t="str">
        <f t="shared" si="6"/>
        <v/>
      </c>
      <c r="J351" s="448"/>
      <c r="K351" s="456"/>
    </row>
    <row r="352" spans="2:11" x14ac:dyDescent="0.35">
      <c r="B352" s="445" t="str">
        <f>IF(Lançamentos!$B347="","",Lançamentos!$B347)</f>
        <v/>
      </c>
      <c r="C352" s="446" t="str">
        <f>IF($B352="","",IFERROR(INDEX(Lançamentos!$J$3:$J$1001,MATCH($B352,Lançamentos!$B$3:$B$1001,0)),""))</f>
        <v/>
      </c>
      <c r="D352" s="447" t="str">
        <f>IF($B352="","",IFERROR(INDEX('E2 — Triagem'!$D$8:$D$507,MATCH($B352,'E2 — Triagem'!$B$8:$B$507,0)),""))</f>
        <v/>
      </c>
      <c r="E352" s="447"/>
      <c r="F352" s="447"/>
      <c r="G352" s="447"/>
      <c r="H352" s="447"/>
      <c r="I352" s="455" t="str">
        <f t="shared" si="6"/>
        <v/>
      </c>
      <c r="J352" s="448"/>
      <c r="K352" s="456"/>
    </row>
    <row r="353" spans="2:11" x14ac:dyDescent="0.35">
      <c r="B353" s="445" t="str">
        <f>IF(Lançamentos!$B348="","",Lançamentos!$B348)</f>
        <v/>
      </c>
      <c r="C353" s="446" t="str">
        <f>IF($B353="","",IFERROR(INDEX(Lançamentos!$J$3:$J$1001,MATCH($B353,Lançamentos!$B$3:$B$1001,0)),""))</f>
        <v/>
      </c>
      <c r="D353" s="447" t="str">
        <f>IF($B353="","",IFERROR(INDEX('E2 — Triagem'!$D$8:$D$507,MATCH($B353,'E2 — Triagem'!$B$8:$B$507,0)),""))</f>
        <v/>
      </c>
      <c r="E353" s="447"/>
      <c r="F353" s="447"/>
      <c r="G353" s="447"/>
      <c r="H353" s="447"/>
      <c r="I353" s="455" t="str">
        <f t="shared" si="6"/>
        <v/>
      </c>
      <c r="J353" s="448"/>
      <c r="K353" s="456"/>
    </row>
    <row r="354" spans="2:11" x14ac:dyDescent="0.35">
      <c r="B354" s="445" t="str">
        <f>IF(Lançamentos!$B349="","",Lançamentos!$B349)</f>
        <v/>
      </c>
      <c r="C354" s="446" t="str">
        <f>IF($B354="","",IFERROR(INDEX(Lançamentos!$J$3:$J$1001,MATCH($B354,Lançamentos!$B$3:$B$1001,0)),""))</f>
        <v/>
      </c>
      <c r="D354" s="447" t="str">
        <f>IF($B354="","",IFERROR(INDEX('E2 — Triagem'!$D$8:$D$507,MATCH($B354,'E2 — Triagem'!$B$8:$B$507,0)),""))</f>
        <v/>
      </c>
      <c r="E354" s="447"/>
      <c r="F354" s="447"/>
      <c r="G354" s="447"/>
      <c r="H354" s="447"/>
      <c r="I354" s="455" t="str">
        <f t="shared" si="6"/>
        <v/>
      </c>
      <c r="J354" s="448"/>
      <c r="K354" s="456"/>
    </row>
    <row r="355" spans="2:11" x14ac:dyDescent="0.35">
      <c r="B355" s="445" t="str">
        <f>IF(Lançamentos!$B350="","",Lançamentos!$B350)</f>
        <v/>
      </c>
      <c r="C355" s="446" t="str">
        <f>IF($B355="","",IFERROR(INDEX(Lançamentos!$J$3:$J$1001,MATCH($B355,Lançamentos!$B$3:$B$1001,0)),""))</f>
        <v/>
      </c>
      <c r="D355" s="447" t="str">
        <f>IF($B355="","",IFERROR(INDEX('E2 — Triagem'!$D$8:$D$507,MATCH($B355,'E2 — Triagem'!$B$8:$B$507,0)),""))</f>
        <v/>
      </c>
      <c r="E355" s="447"/>
      <c r="F355" s="447"/>
      <c r="G355" s="447"/>
      <c r="H355" s="447"/>
      <c r="I355" s="455" t="str">
        <f t="shared" si="6"/>
        <v/>
      </c>
      <c r="J355" s="448"/>
      <c r="K355" s="456"/>
    </row>
    <row r="356" spans="2:11" x14ac:dyDescent="0.35">
      <c r="B356" s="445" t="str">
        <f>IF(Lançamentos!$B351="","",Lançamentos!$B351)</f>
        <v/>
      </c>
      <c r="C356" s="446" t="str">
        <f>IF($B356="","",IFERROR(INDEX(Lançamentos!$J$3:$J$1001,MATCH($B356,Lançamentos!$B$3:$B$1001,0)),""))</f>
        <v/>
      </c>
      <c r="D356" s="447" t="str">
        <f>IF($B356="","",IFERROR(INDEX('E2 — Triagem'!$D$8:$D$507,MATCH($B356,'E2 — Triagem'!$B$8:$B$507,0)),""))</f>
        <v/>
      </c>
      <c r="E356" s="447"/>
      <c r="F356" s="447"/>
      <c r="G356" s="447"/>
      <c r="H356" s="447"/>
      <c r="I356" s="455" t="str">
        <f t="shared" si="6"/>
        <v/>
      </c>
      <c r="J356" s="448"/>
      <c r="K356" s="456"/>
    </row>
    <row r="357" spans="2:11" x14ac:dyDescent="0.35">
      <c r="B357" s="445" t="str">
        <f>IF(Lançamentos!$B352="","",Lançamentos!$B352)</f>
        <v/>
      </c>
      <c r="C357" s="446" t="str">
        <f>IF($B357="","",IFERROR(INDEX(Lançamentos!$J$3:$J$1001,MATCH($B357,Lançamentos!$B$3:$B$1001,0)),""))</f>
        <v/>
      </c>
      <c r="D357" s="447" t="str">
        <f>IF($B357="","",IFERROR(INDEX('E2 — Triagem'!$D$8:$D$507,MATCH($B357,'E2 — Triagem'!$B$8:$B$507,0)),""))</f>
        <v/>
      </c>
      <c r="E357" s="447"/>
      <c r="F357" s="447"/>
      <c r="G357" s="447"/>
      <c r="H357" s="447"/>
      <c r="I357" s="455" t="str">
        <f t="shared" si="6"/>
        <v/>
      </c>
      <c r="J357" s="448"/>
      <c r="K357" s="456"/>
    </row>
    <row r="358" spans="2:11" x14ac:dyDescent="0.35">
      <c r="B358" s="445" t="str">
        <f>IF(Lançamentos!$B353="","",Lançamentos!$B353)</f>
        <v/>
      </c>
      <c r="C358" s="446" t="str">
        <f>IF($B358="","",IFERROR(INDEX(Lançamentos!$J$3:$J$1001,MATCH($B358,Lançamentos!$B$3:$B$1001,0)),""))</f>
        <v/>
      </c>
      <c r="D358" s="447" t="str">
        <f>IF($B358="","",IFERROR(INDEX('E2 — Triagem'!$D$8:$D$507,MATCH($B358,'E2 — Triagem'!$B$8:$B$507,0)),""))</f>
        <v/>
      </c>
      <c r="E358" s="447"/>
      <c r="F358" s="447"/>
      <c r="G358" s="447"/>
      <c r="H358" s="447"/>
      <c r="I358" s="455" t="str">
        <f t="shared" si="6"/>
        <v/>
      </c>
      <c r="J358" s="448"/>
      <c r="K358" s="456"/>
    </row>
    <row r="359" spans="2:11" x14ac:dyDescent="0.35">
      <c r="B359" s="445" t="str">
        <f>IF(Lançamentos!$B354="","",Lançamentos!$B354)</f>
        <v/>
      </c>
      <c r="C359" s="446" t="str">
        <f>IF($B359="","",IFERROR(INDEX(Lançamentos!$J$3:$J$1001,MATCH($B359,Lançamentos!$B$3:$B$1001,0)),""))</f>
        <v/>
      </c>
      <c r="D359" s="447" t="str">
        <f>IF($B359="","",IFERROR(INDEX('E2 — Triagem'!$D$8:$D$507,MATCH($B359,'E2 — Triagem'!$B$8:$B$507,0)),""))</f>
        <v/>
      </c>
      <c r="E359" s="447"/>
      <c r="F359" s="447"/>
      <c r="G359" s="447"/>
      <c r="H359" s="447"/>
      <c r="I359" s="455" t="str">
        <f t="shared" si="6"/>
        <v/>
      </c>
      <c r="J359" s="448"/>
      <c r="K359" s="456"/>
    </row>
    <row r="360" spans="2:11" x14ac:dyDescent="0.35">
      <c r="B360" s="445" t="str">
        <f>IF(Lançamentos!$B355="","",Lançamentos!$B355)</f>
        <v/>
      </c>
      <c r="C360" s="446" t="str">
        <f>IF($B360="","",IFERROR(INDEX(Lançamentos!$J$3:$J$1001,MATCH($B360,Lançamentos!$B$3:$B$1001,0)),""))</f>
        <v/>
      </c>
      <c r="D360" s="447" t="str">
        <f>IF($B360="","",IFERROR(INDEX('E2 — Triagem'!$D$8:$D$507,MATCH($B360,'E2 — Triagem'!$B$8:$B$507,0)),""))</f>
        <v/>
      </c>
      <c r="E360" s="447"/>
      <c r="F360" s="447"/>
      <c r="G360" s="447"/>
      <c r="H360" s="447"/>
      <c r="I360" s="455" t="str">
        <f t="shared" si="6"/>
        <v/>
      </c>
      <c r="J360" s="448"/>
      <c r="K360" s="456"/>
    </row>
    <row r="361" spans="2:11" x14ac:dyDescent="0.35">
      <c r="B361" s="445" t="str">
        <f>IF(Lançamentos!$B356="","",Lançamentos!$B356)</f>
        <v/>
      </c>
      <c r="C361" s="446" t="str">
        <f>IF($B361="","",IFERROR(INDEX(Lançamentos!$J$3:$J$1001,MATCH($B361,Lançamentos!$B$3:$B$1001,0)),""))</f>
        <v/>
      </c>
      <c r="D361" s="447" t="str">
        <f>IF($B361="","",IFERROR(INDEX('E2 — Triagem'!$D$8:$D$507,MATCH($B361,'E2 — Triagem'!$B$8:$B$507,0)),""))</f>
        <v/>
      </c>
      <c r="E361" s="447"/>
      <c r="F361" s="447"/>
      <c r="G361" s="447"/>
      <c r="H361" s="447"/>
      <c r="I361" s="455" t="str">
        <f t="shared" si="6"/>
        <v/>
      </c>
      <c r="J361" s="448"/>
      <c r="K361" s="456"/>
    </row>
    <row r="362" spans="2:11" x14ac:dyDescent="0.35">
      <c r="B362" s="445" t="str">
        <f>IF(Lançamentos!$B357="","",Lançamentos!$B357)</f>
        <v/>
      </c>
      <c r="C362" s="446" t="str">
        <f>IF($B362="","",IFERROR(INDEX(Lançamentos!$J$3:$J$1001,MATCH($B362,Lançamentos!$B$3:$B$1001,0)),""))</f>
        <v/>
      </c>
      <c r="D362" s="447" t="str">
        <f>IF($B362="","",IFERROR(INDEX('E2 — Triagem'!$D$8:$D$507,MATCH($B362,'E2 — Triagem'!$B$8:$B$507,0)),""))</f>
        <v/>
      </c>
      <c r="E362" s="447"/>
      <c r="F362" s="447"/>
      <c r="G362" s="447"/>
      <c r="H362" s="447"/>
      <c r="I362" s="455" t="str">
        <f t="shared" si="6"/>
        <v/>
      </c>
      <c r="J362" s="448"/>
      <c r="K362" s="456"/>
    </row>
    <row r="363" spans="2:11" x14ac:dyDescent="0.35">
      <c r="B363" s="445" t="str">
        <f>IF(Lançamentos!$B358="","",Lançamentos!$B358)</f>
        <v/>
      </c>
      <c r="C363" s="446" t="str">
        <f>IF($B363="","",IFERROR(INDEX(Lançamentos!$J$3:$J$1001,MATCH($B363,Lançamentos!$B$3:$B$1001,0)),""))</f>
        <v/>
      </c>
      <c r="D363" s="447" t="str">
        <f>IF($B363="","",IFERROR(INDEX('E2 — Triagem'!$D$8:$D$507,MATCH($B363,'E2 — Triagem'!$B$8:$B$507,0)),""))</f>
        <v/>
      </c>
      <c r="E363" s="447"/>
      <c r="F363" s="447"/>
      <c r="G363" s="447"/>
      <c r="H363" s="447"/>
      <c r="I363" s="455" t="str">
        <f t="shared" si="6"/>
        <v/>
      </c>
      <c r="J363" s="448"/>
      <c r="K363" s="456"/>
    </row>
    <row r="364" spans="2:11" x14ac:dyDescent="0.35">
      <c r="B364" s="445" t="str">
        <f>IF(Lançamentos!$B359="","",Lançamentos!$B359)</f>
        <v/>
      </c>
      <c r="C364" s="446" t="str">
        <f>IF($B364="","",IFERROR(INDEX(Lançamentos!$J$3:$J$1001,MATCH($B364,Lançamentos!$B$3:$B$1001,0)),""))</f>
        <v/>
      </c>
      <c r="D364" s="447" t="str">
        <f>IF($B364="","",IFERROR(INDEX('E2 — Triagem'!$D$8:$D$507,MATCH($B364,'E2 — Triagem'!$B$8:$B$507,0)),""))</f>
        <v/>
      </c>
      <c r="E364" s="447"/>
      <c r="F364" s="447"/>
      <c r="G364" s="447"/>
      <c r="H364" s="447"/>
      <c r="I364" s="455" t="str">
        <f t="shared" si="6"/>
        <v/>
      </c>
      <c r="J364" s="448"/>
      <c r="K364" s="456"/>
    </row>
    <row r="365" spans="2:11" x14ac:dyDescent="0.35">
      <c r="B365" s="445" t="str">
        <f>IF(Lançamentos!$B360="","",Lançamentos!$B360)</f>
        <v/>
      </c>
      <c r="C365" s="446" t="str">
        <f>IF($B365="","",IFERROR(INDEX(Lançamentos!$J$3:$J$1001,MATCH($B365,Lançamentos!$B$3:$B$1001,0)),""))</f>
        <v/>
      </c>
      <c r="D365" s="447" t="str">
        <f>IF($B365="","",IFERROR(INDEX('E2 — Triagem'!$D$8:$D$507,MATCH($B365,'E2 — Triagem'!$B$8:$B$507,0)),""))</f>
        <v/>
      </c>
      <c r="E365" s="447"/>
      <c r="F365" s="447"/>
      <c r="G365" s="447"/>
      <c r="H365" s="447"/>
      <c r="I365" s="455" t="str">
        <f t="shared" si="6"/>
        <v/>
      </c>
      <c r="J365" s="448"/>
      <c r="K365" s="456"/>
    </row>
    <row r="366" spans="2:11" x14ac:dyDescent="0.35">
      <c r="B366" s="445" t="str">
        <f>IF(Lançamentos!$B361="","",Lançamentos!$B361)</f>
        <v/>
      </c>
      <c r="C366" s="446" t="str">
        <f>IF($B366="","",IFERROR(INDEX(Lançamentos!$J$3:$J$1001,MATCH($B366,Lançamentos!$B$3:$B$1001,0)),""))</f>
        <v/>
      </c>
      <c r="D366" s="447" t="str">
        <f>IF($B366="","",IFERROR(INDEX('E2 — Triagem'!$D$8:$D$507,MATCH($B366,'E2 — Triagem'!$B$8:$B$507,0)),""))</f>
        <v/>
      </c>
      <c r="E366" s="447"/>
      <c r="F366" s="447"/>
      <c r="G366" s="447"/>
      <c r="H366" s="447"/>
      <c r="I366" s="455" t="str">
        <f t="shared" si="6"/>
        <v/>
      </c>
      <c r="J366" s="448"/>
      <c r="K366" s="456"/>
    </row>
    <row r="367" spans="2:11" x14ac:dyDescent="0.35">
      <c r="B367" s="445" t="str">
        <f>IF(Lançamentos!$B362="","",Lançamentos!$B362)</f>
        <v/>
      </c>
      <c r="C367" s="446" t="str">
        <f>IF($B367="","",IFERROR(INDEX(Lançamentos!$J$3:$J$1001,MATCH($B367,Lançamentos!$B$3:$B$1001,0)),""))</f>
        <v/>
      </c>
      <c r="D367" s="447" t="str">
        <f>IF($B367="","",IFERROR(INDEX('E2 — Triagem'!$D$8:$D$507,MATCH($B367,'E2 — Triagem'!$B$8:$B$507,0)),""))</f>
        <v/>
      </c>
      <c r="E367" s="447"/>
      <c r="F367" s="447"/>
      <c r="G367" s="447"/>
      <c r="H367" s="447"/>
      <c r="I367" s="455" t="str">
        <f t="shared" si="6"/>
        <v/>
      </c>
      <c r="J367" s="448"/>
      <c r="K367" s="456"/>
    </row>
    <row r="368" spans="2:11" x14ac:dyDescent="0.35">
      <c r="B368" s="445" t="str">
        <f>IF(Lançamentos!$B363="","",Lançamentos!$B363)</f>
        <v/>
      </c>
      <c r="C368" s="446" t="str">
        <f>IF($B368="","",IFERROR(INDEX(Lançamentos!$J$3:$J$1001,MATCH($B368,Lançamentos!$B$3:$B$1001,0)),""))</f>
        <v/>
      </c>
      <c r="D368" s="447" t="str">
        <f>IF($B368="","",IFERROR(INDEX('E2 — Triagem'!$D$8:$D$507,MATCH($B368,'E2 — Triagem'!$B$8:$B$507,0)),""))</f>
        <v/>
      </c>
      <c r="E368" s="447"/>
      <c r="F368" s="447"/>
      <c r="G368" s="447"/>
      <c r="H368" s="447"/>
      <c r="I368" s="455" t="str">
        <f t="shared" si="6"/>
        <v/>
      </c>
      <c r="J368" s="448"/>
      <c r="K368" s="456"/>
    </row>
    <row r="369" spans="2:11" x14ac:dyDescent="0.35">
      <c r="B369" s="445" t="str">
        <f>IF(Lançamentos!$B364="","",Lançamentos!$B364)</f>
        <v/>
      </c>
      <c r="C369" s="446" t="str">
        <f>IF($B369="","",IFERROR(INDEX(Lançamentos!$J$3:$J$1001,MATCH($B369,Lançamentos!$B$3:$B$1001,0)),""))</f>
        <v/>
      </c>
      <c r="D369" s="447" t="str">
        <f>IF($B369="","",IFERROR(INDEX('E2 — Triagem'!$D$8:$D$507,MATCH($B369,'E2 — Triagem'!$B$8:$B$507,0)),""))</f>
        <v/>
      </c>
      <c r="E369" s="447"/>
      <c r="F369" s="447"/>
      <c r="G369" s="447"/>
      <c r="H369" s="447"/>
      <c r="I369" s="455" t="str">
        <f t="shared" si="6"/>
        <v/>
      </c>
      <c r="J369" s="448"/>
      <c r="K369" s="456"/>
    </row>
    <row r="370" spans="2:11" x14ac:dyDescent="0.35">
      <c r="B370" s="445" t="str">
        <f>IF(Lançamentos!$B365="","",Lançamentos!$B365)</f>
        <v/>
      </c>
      <c r="C370" s="446" t="str">
        <f>IF($B370="","",IFERROR(INDEX(Lançamentos!$J$3:$J$1001,MATCH($B370,Lançamentos!$B$3:$B$1001,0)),""))</f>
        <v/>
      </c>
      <c r="D370" s="447" t="str">
        <f>IF($B370="","",IFERROR(INDEX('E2 — Triagem'!$D$8:$D$507,MATCH($B370,'E2 — Triagem'!$B$8:$B$507,0)),""))</f>
        <v/>
      </c>
      <c r="E370" s="447"/>
      <c r="F370" s="447"/>
      <c r="G370" s="447"/>
      <c r="H370" s="447"/>
      <c r="I370" s="455" t="str">
        <f t="shared" si="6"/>
        <v/>
      </c>
      <c r="J370" s="448"/>
      <c r="K370" s="456"/>
    </row>
    <row r="371" spans="2:11" x14ac:dyDescent="0.35">
      <c r="B371" s="445" t="str">
        <f>IF(Lançamentos!$B366="","",Lançamentos!$B366)</f>
        <v/>
      </c>
      <c r="C371" s="446" t="str">
        <f>IF($B371="","",IFERROR(INDEX(Lançamentos!$J$3:$J$1001,MATCH($B371,Lançamentos!$B$3:$B$1001,0)),""))</f>
        <v/>
      </c>
      <c r="D371" s="447" t="str">
        <f>IF($B371="","",IFERROR(INDEX('E2 — Triagem'!$D$8:$D$507,MATCH($B371,'E2 — Triagem'!$B$8:$B$507,0)),""))</f>
        <v/>
      </c>
      <c r="E371" s="447"/>
      <c r="F371" s="447"/>
      <c r="G371" s="447"/>
      <c r="H371" s="447"/>
      <c r="I371" s="455" t="str">
        <f t="shared" si="6"/>
        <v/>
      </c>
      <c r="J371" s="448"/>
      <c r="K371" s="456"/>
    </row>
    <row r="372" spans="2:11" x14ac:dyDescent="0.35">
      <c r="B372" s="445" t="str">
        <f>IF(Lançamentos!$B367="","",Lançamentos!$B367)</f>
        <v/>
      </c>
      <c r="C372" s="446" t="str">
        <f>IF($B372="","",IFERROR(INDEX(Lançamentos!$J$3:$J$1001,MATCH($B372,Lançamentos!$B$3:$B$1001,0)),""))</f>
        <v/>
      </c>
      <c r="D372" s="447" t="str">
        <f>IF($B372="","",IFERROR(INDEX('E2 — Triagem'!$D$8:$D$507,MATCH($B372,'E2 — Triagem'!$B$8:$B$507,0)),""))</f>
        <v/>
      </c>
      <c r="E372" s="447"/>
      <c r="F372" s="447"/>
      <c r="G372" s="447"/>
      <c r="H372" s="447"/>
      <c r="I372" s="455" t="str">
        <f t="shared" si="6"/>
        <v/>
      </c>
      <c r="J372" s="448"/>
      <c r="K372" s="456"/>
    </row>
    <row r="373" spans="2:11" x14ac:dyDescent="0.35">
      <c r="B373" s="445" t="str">
        <f>IF(Lançamentos!$B368="","",Lançamentos!$B368)</f>
        <v/>
      </c>
      <c r="C373" s="446" t="str">
        <f>IF($B373="","",IFERROR(INDEX(Lançamentos!$J$3:$J$1001,MATCH($B373,Lançamentos!$B$3:$B$1001,0)),""))</f>
        <v/>
      </c>
      <c r="D373" s="447" t="str">
        <f>IF($B373="","",IFERROR(INDEX('E2 — Triagem'!$D$8:$D$507,MATCH($B373,'E2 — Triagem'!$B$8:$B$507,0)),""))</f>
        <v/>
      </c>
      <c r="E373" s="447"/>
      <c r="F373" s="447"/>
      <c r="G373" s="447"/>
      <c r="H373" s="447"/>
      <c r="I373" s="455" t="str">
        <f t="shared" si="6"/>
        <v/>
      </c>
      <c r="J373" s="448"/>
      <c r="K373" s="456"/>
    </row>
    <row r="374" spans="2:11" x14ac:dyDescent="0.35">
      <c r="B374" s="445" t="str">
        <f>IF(Lançamentos!$B369="","",Lançamentos!$B369)</f>
        <v/>
      </c>
      <c r="C374" s="446" t="str">
        <f>IF($B374="","",IFERROR(INDEX(Lançamentos!$J$3:$J$1001,MATCH($B374,Lançamentos!$B$3:$B$1001,0)),""))</f>
        <v/>
      </c>
      <c r="D374" s="447" t="str">
        <f>IF($B374="","",IFERROR(INDEX('E2 — Triagem'!$D$8:$D$507,MATCH($B374,'E2 — Triagem'!$B$8:$B$507,0)),""))</f>
        <v/>
      </c>
      <c r="E374" s="447"/>
      <c r="F374" s="447"/>
      <c r="G374" s="447"/>
      <c r="H374" s="447"/>
      <c r="I374" s="455" t="str">
        <f t="shared" si="6"/>
        <v/>
      </c>
      <c r="J374" s="448"/>
      <c r="K374" s="456"/>
    </row>
    <row r="375" spans="2:11" x14ac:dyDescent="0.35">
      <c r="B375" s="445" t="str">
        <f>IF(Lançamentos!$B370="","",Lançamentos!$B370)</f>
        <v/>
      </c>
      <c r="C375" s="446" t="str">
        <f>IF($B375="","",IFERROR(INDEX(Lançamentos!$J$3:$J$1001,MATCH($B375,Lançamentos!$B$3:$B$1001,0)),""))</f>
        <v/>
      </c>
      <c r="D375" s="447" t="str">
        <f>IF($B375="","",IFERROR(INDEX('E2 — Triagem'!$D$8:$D$507,MATCH($B375,'E2 — Triagem'!$B$8:$B$507,0)),""))</f>
        <v/>
      </c>
      <c r="E375" s="447"/>
      <c r="F375" s="447"/>
      <c r="G375" s="447"/>
      <c r="H375" s="447"/>
      <c r="I375" s="455" t="str">
        <f t="shared" si="6"/>
        <v/>
      </c>
      <c r="J375" s="448"/>
      <c r="K375" s="456"/>
    </row>
    <row r="376" spans="2:11" x14ac:dyDescent="0.35">
      <c r="B376" s="445" t="str">
        <f>IF(Lançamentos!$B371="","",Lançamentos!$B371)</f>
        <v/>
      </c>
      <c r="C376" s="446" t="str">
        <f>IF($B376="","",IFERROR(INDEX(Lançamentos!$J$3:$J$1001,MATCH($B376,Lançamentos!$B$3:$B$1001,0)),""))</f>
        <v/>
      </c>
      <c r="D376" s="447" t="str">
        <f>IF($B376="","",IFERROR(INDEX('E2 — Triagem'!$D$8:$D$507,MATCH($B376,'E2 — Triagem'!$B$8:$B$507,0)),""))</f>
        <v/>
      </c>
      <c r="E376" s="447"/>
      <c r="F376" s="447"/>
      <c r="G376" s="447"/>
      <c r="H376" s="447"/>
      <c r="I376" s="455" t="str">
        <f t="shared" si="6"/>
        <v/>
      </c>
      <c r="J376" s="448"/>
      <c r="K376" s="456"/>
    </row>
    <row r="377" spans="2:11" x14ac:dyDescent="0.35">
      <c r="B377" s="445" t="str">
        <f>IF(Lançamentos!$B372="","",Lançamentos!$B372)</f>
        <v/>
      </c>
      <c r="C377" s="446" t="str">
        <f>IF($B377="","",IFERROR(INDEX(Lançamentos!$J$3:$J$1001,MATCH($B377,Lançamentos!$B$3:$B$1001,0)),""))</f>
        <v/>
      </c>
      <c r="D377" s="447" t="str">
        <f>IF($B377="","",IFERROR(INDEX('E2 — Triagem'!$D$8:$D$507,MATCH($B377,'E2 — Triagem'!$B$8:$B$507,0)),""))</f>
        <v/>
      </c>
      <c r="E377" s="447"/>
      <c r="F377" s="447"/>
      <c r="G377" s="447"/>
      <c r="H377" s="447"/>
      <c r="I377" s="455" t="str">
        <f t="shared" si="6"/>
        <v/>
      </c>
      <c r="J377" s="448"/>
      <c r="K377" s="456"/>
    </row>
    <row r="378" spans="2:11" x14ac:dyDescent="0.35">
      <c r="B378" s="445" t="str">
        <f>IF(Lançamentos!$B373="","",Lançamentos!$B373)</f>
        <v/>
      </c>
      <c r="C378" s="446" t="str">
        <f>IF($B378="","",IFERROR(INDEX(Lançamentos!$J$3:$J$1001,MATCH($B378,Lançamentos!$B$3:$B$1001,0)),""))</f>
        <v/>
      </c>
      <c r="D378" s="447" t="str">
        <f>IF($B378="","",IFERROR(INDEX('E2 — Triagem'!$D$8:$D$507,MATCH($B378,'E2 — Triagem'!$B$8:$B$507,0)),""))</f>
        <v/>
      </c>
      <c r="E378" s="447"/>
      <c r="F378" s="447"/>
      <c r="G378" s="447"/>
      <c r="H378" s="447"/>
      <c r="I378" s="455" t="str">
        <f t="shared" si="6"/>
        <v/>
      </c>
      <c r="J378" s="448"/>
      <c r="K378" s="456"/>
    </row>
    <row r="379" spans="2:11" x14ac:dyDescent="0.35">
      <c r="B379" s="445" t="str">
        <f>IF(Lançamentos!$B374="","",Lançamentos!$B374)</f>
        <v/>
      </c>
      <c r="C379" s="446" t="str">
        <f>IF($B379="","",IFERROR(INDEX(Lançamentos!$J$3:$J$1001,MATCH($B379,Lançamentos!$B$3:$B$1001,0)),""))</f>
        <v/>
      </c>
      <c r="D379" s="447" t="str">
        <f>IF($B379="","",IFERROR(INDEX('E2 — Triagem'!$D$8:$D$507,MATCH($B379,'E2 — Triagem'!$B$8:$B$507,0)),""))</f>
        <v/>
      </c>
      <c r="E379" s="447"/>
      <c r="F379" s="447"/>
      <c r="G379" s="447"/>
      <c r="H379" s="447"/>
      <c r="I379" s="455" t="str">
        <f t="shared" si="6"/>
        <v/>
      </c>
      <c r="J379" s="448"/>
      <c r="K379" s="456"/>
    </row>
    <row r="380" spans="2:11" x14ac:dyDescent="0.35">
      <c r="B380" s="445" t="str">
        <f>IF(Lançamentos!$B375="","",Lançamentos!$B375)</f>
        <v/>
      </c>
      <c r="C380" s="446" t="str">
        <f>IF($B380="","",IFERROR(INDEX(Lançamentos!$J$3:$J$1001,MATCH($B380,Lançamentos!$B$3:$B$1001,0)),""))</f>
        <v/>
      </c>
      <c r="D380" s="447" t="str">
        <f>IF($B380="","",IFERROR(INDEX('E2 — Triagem'!$D$8:$D$507,MATCH($B380,'E2 — Triagem'!$B$8:$B$507,0)),""))</f>
        <v/>
      </c>
      <c r="E380" s="447"/>
      <c r="F380" s="447"/>
      <c r="G380" s="447"/>
      <c r="H380" s="447"/>
      <c r="I380" s="455" t="str">
        <f t="shared" si="6"/>
        <v/>
      </c>
      <c r="J380" s="448"/>
      <c r="K380" s="456"/>
    </row>
    <row r="381" spans="2:11" x14ac:dyDescent="0.35">
      <c r="B381" s="445" t="str">
        <f>IF(Lançamentos!$B376="","",Lançamentos!$B376)</f>
        <v/>
      </c>
      <c r="C381" s="446" t="str">
        <f>IF($B381="","",IFERROR(INDEX(Lançamentos!$J$3:$J$1001,MATCH($B381,Lançamentos!$B$3:$B$1001,0)),""))</f>
        <v/>
      </c>
      <c r="D381" s="447" t="str">
        <f>IF($B381="","",IFERROR(INDEX('E2 — Triagem'!$D$8:$D$507,MATCH($B381,'E2 — Triagem'!$B$8:$B$507,0)),""))</f>
        <v/>
      </c>
      <c r="E381" s="447"/>
      <c r="F381" s="447"/>
      <c r="G381" s="447"/>
      <c r="H381" s="447"/>
      <c r="I381" s="455" t="str">
        <f t="shared" si="6"/>
        <v/>
      </c>
      <c r="J381" s="448"/>
      <c r="K381" s="456"/>
    </row>
    <row r="382" spans="2:11" x14ac:dyDescent="0.35">
      <c r="B382" s="445" t="str">
        <f>IF(Lançamentos!$B377="","",Lançamentos!$B377)</f>
        <v/>
      </c>
      <c r="C382" s="446" t="str">
        <f>IF($B382="","",IFERROR(INDEX(Lançamentos!$J$3:$J$1001,MATCH($B382,Lançamentos!$B$3:$B$1001,0)),""))</f>
        <v/>
      </c>
      <c r="D382" s="447" t="str">
        <f>IF($B382="","",IFERROR(INDEX('E2 — Triagem'!$D$8:$D$507,MATCH($B382,'E2 — Triagem'!$B$8:$B$507,0)),""))</f>
        <v/>
      </c>
      <c r="E382" s="447"/>
      <c r="F382" s="447"/>
      <c r="G382" s="447"/>
      <c r="H382" s="447"/>
      <c r="I382" s="455" t="str">
        <f t="shared" si="6"/>
        <v/>
      </c>
      <c r="J382" s="448"/>
      <c r="K382" s="456"/>
    </row>
    <row r="383" spans="2:11" x14ac:dyDescent="0.35">
      <c r="B383" s="445" t="str">
        <f>IF(Lançamentos!$B378="","",Lançamentos!$B378)</f>
        <v/>
      </c>
      <c r="C383" s="446" t="str">
        <f>IF($B383="","",IFERROR(INDEX(Lançamentos!$J$3:$J$1001,MATCH($B383,Lançamentos!$B$3:$B$1001,0)),""))</f>
        <v/>
      </c>
      <c r="D383" s="447" t="str">
        <f>IF($B383="","",IFERROR(INDEX('E2 — Triagem'!$D$8:$D$507,MATCH($B383,'E2 — Triagem'!$B$8:$B$507,0)),""))</f>
        <v/>
      </c>
      <c r="E383" s="447"/>
      <c r="F383" s="447"/>
      <c r="G383" s="447"/>
      <c r="H383" s="447"/>
      <c r="I383" s="455" t="str">
        <f t="shared" si="6"/>
        <v/>
      </c>
      <c r="J383" s="448"/>
      <c r="K383" s="456"/>
    </row>
    <row r="384" spans="2:11" x14ac:dyDescent="0.35">
      <c r="B384" s="445" t="str">
        <f>IF(Lançamentos!$B379="","",Lançamentos!$B379)</f>
        <v/>
      </c>
      <c r="C384" s="446" t="str">
        <f>IF($B384="","",IFERROR(INDEX(Lançamentos!$J$3:$J$1001,MATCH($B384,Lançamentos!$B$3:$B$1001,0)),""))</f>
        <v/>
      </c>
      <c r="D384" s="447" t="str">
        <f>IF($B384="","",IFERROR(INDEX('E2 — Triagem'!$D$8:$D$507,MATCH($B384,'E2 — Triagem'!$B$8:$B$507,0)),""))</f>
        <v/>
      </c>
      <c r="E384" s="447"/>
      <c r="F384" s="447"/>
      <c r="G384" s="447"/>
      <c r="H384" s="447"/>
      <c r="I384" s="455" t="str">
        <f t="shared" si="6"/>
        <v/>
      </c>
      <c r="J384" s="448"/>
      <c r="K384" s="456"/>
    </row>
    <row r="385" spans="2:11" x14ac:dyDescent="0.35">
      <c r="B385" s="445" t="str">
        <f>IF(Lançamentos!$B380="","",Lançamentos!$B380)</f>
        <v/>
      </c>
      <c r="C385" s="446" t="str">
        <f>IF($B385="","",IFERROR(INDEX(Lançamentos!$J$3:$J$1001,MATCH($B385,Lançamentos!$B$3:$B$1001,0)),""))</f>
        <v/>
      </c>
      <c r="D385" s="447" t="str">
        <f>IF($B385="","",IFERROR(INDEX('E2 — Triagem'!$D$8:$D$507,MATCH($B385,'E2 — Triagem'!$B$8:$B$507,0)),""))</f>
        <v/>
      </c>
      <c r="E385" s="447"/>
      <c r="F385" s="447"/>
      <c r="G385" s="447"/>
      <c r="H385" s="447"/>
      <c r="I385" s="455" t="str">
        <f t="shared" si="6"/>
        <v/>
      </c>
      <c r="J385" s="448"/>
      <c r="K385" s="456"/>
    </row>
    <row r="386" spans="2:11" x14ac:dyDescent="0.35">
      <c r="B386" s="445" t="str">
        <f>IF(Lançamentos!$B381="","",Lançamentos!$B381)</f>
        <v/>
      </c>
      <c r="C386" s="446" t="str">
        <f>IF($B386="","",IFERROR(INDEX(Lançamentos!$J$3:$J$1001,MATCH($B386,Lançamentos!$B$3:$B$1001,0)),""))</f>
        <v/>
      </c>
      <c r="D386" s="447" t="str">
        <f>IF($B386="","",IFERROR(INDEX('E2 — Triagem'!$D$8:$D$507,MATCH($B386,'E2 — Triagem'!$B$8:$B$507,0)),""))</f>
        <v/>
      </c>
      <c r="E386" s="447"/>
      <c r="F386" s="447"/>
      <c r="G386" s="447"/>
      <c r="H386" s="447"/>
      <c r="I386" s="455" t="str">
        <f t="shared" si="6"/>
        <v/>
      </c>
      <c r="J386" s="448"/>
      <c r="K386" s="456"/>
    </row>
    <row r="387" spans="2:11" x14ac:dyDescent="0.35">
      <c r="B387" s="445" t="str">
        <f>IF(Lançamentos!$B382="","",Lançamentos!$B382)</f>
        <v/>
      </c>
      <c r="C387" s="446" t="str">
        <f>IF($B387="","",IFERROR(INDEX(Lançamentos!$J$3:$J$1001,MATCH($B387,Lançamentos!$B$3:$B$1001,0)),""))</f>
        <v/>
      </c>
      <c r="D387" s="447" t="str">
        <f>IF($B387="","",IFERROR(INDEX('E2 — Triagem'!$D$8:$D$507,MATCH($B387,'E2 — Triagem'!$B$8:$B$507,0)),""))</f>
        <v/>
      </c>
      <c r="E387" s="447"/>
      <c r="F387" s="447"/>
      <c r="G387" s="447"/>
      <c r="H387" s="447"/>
      <c r="I387" s="455" t="str">
        <f t="shared" si="6"/>
        <v/>
      </c>
      <c r="J387" s="448"/>
      <c r="K387" s="456"/>
    </row>
    <row r="388" spans="2:11" x14ac:dyDescent="0.35">
      <c r="B388" s="445" t="str">
        <f>IF(Lançamentos!$B383="","",Lançamentos!$B383)</f>
        <v/>
      </c>
      <c r="C388" s="446" t="str">
        <f>IF($B388="","",IFERROR(INDEX(Lançamentos!$J$3:$J$1001,MATCH($B388,Lançamentos!$B$3:$B$1001,0)),""))</f>
        <v/>
      </c>
      <c r="D388" s="447" t="str">
        <f>IF($B388="","",IFERROR(INDEX('E2 — Triagem'!$D$8:$D$507,MATCH($B388,'E2 — Triagem'!$B$8:$B$507,0)),""))</f>
        <v/>
      </c>
      <c r="E388" s="447"/>
      <c r="F388" s="447"/>
      <c r="G388" s="447"/>
      <c r="H388" s="447"/>
      <c r="I388" s="455" t="str">
        <f t="shared" si="6"/>
        <v/>
      </c>
      <c r="J388" s="448"/>
      <c r="K388" s="456"/>
    </row>
    <row r="389" spans="2:11" x14ac:dyDescent="0.35">
      <c r="B389" s="445" t="str">
        <f>IF(Lançamentos!$B384="","",Lançamentos!$B384)</f>
        <v/>
      </c>
      <c r="C389" s="446" t="str">
        <f>IF($B389="","",IFERROR(INDEX(Lançamentos!$J$3:$J$1001,MATCH($B389,Lançamentos!$B$3:$B$1001,0)),""))</f>
        <v/>
      </c>
      <c r="D389" s="447" t="str">
        <f>IF($B389="","",IFERROR(INDEX('E2 — Triagem'!$D$8:$D$507,MATCH($B389,'E2 — Triagem'!$B$8:$B$507,0)),""))</f>
        <v/>
      </c>
      <c r="E389" s="447"/>
      <c r="F389" s="447"/>
      <c r="G389" s="447"/>
      <c r="H389" s="447"/>
      <c r="I389" s="455" t="str">
        <f t="shared" si="6"/>
        <v/>
      </c>
      <c r="J389" s="448"/>
      <c r="K389" s="456"/>
    </row>
    <row r="390" spans="2:11" x14ac:dyDescent="0.35">
      <c r="B390" s="445" t="str">
        <f>IF(Lançamentos!$B385="","",Lançamentos!$B385)</f>
        <v/>
      </c>
      <c r="C390" s="446" t="str">
        <f>IF($B390="","",IFERROR(INDEX(Lançamentos!$J$3:$J$1001,MATCH($B390,Lançamentos!$B$3:$B$1001,0)),""))</f>
        <v/>
      </c>
      <c r="D390" s="447" t="str">
        <f>IF($B390="","",IFERROR(INDEX('E2 — Triagem'!$D$8:$D$507,MATCH($B390,'E2 — Triagem'!$B$8:$B$507,0)),""))</f>
        <v/>
      </c>
      <c r="E390" s="447"/>
      <c r="F390" s="447"/>
      <c r="G390" s="447"/>
      <c r="H390" s="447"/>
      <c r="I390" s="455" t="str">
        <f t="shared" si="6"/>
        <v/>
      </c>
      <c r="J390" s="448"/>
      <c r="K390" s="456"/>
    </row>
    <row r="391" spans="2:11" x14ac:dyDescent="0.35">
      <c r="B391" s="445" t="str">
        <f>IF(Lançamentos!$B386="","",Lançamentos!$B386)</f>
        <v/>
      </c>
      <c r="C391" s="446" t="str">
        <f>IF($B391="","",IFERROR(INDEX(Lançamentos!$J$3:$J$1001,MATCH($B391,Lançamentos!$B$3:$B$1001,0)),""))</f>
        <v/>
      </c>
      <c r="D391" s="447" t="str">
        <f>IF($B391="","",IFERROR(INDEX('E2 — Triagem'!$D$8:$D$507,MATCH($B391,'E2 — Triagem'!$B$8:$B$507,0)),""))</f>
        <v/>
      </c>
      <c r="E391" s="447"/>
      <c r="F391" s="447"/>
      <c r="G391" s="447"/>
      <c r="H391" s="447"/>
      <c r="I391" s="455" t="str">
        <f t="shared" si="6"/>
        <v/>
      </c>
      <c r="J391" s="448"/>
      <c r="K391" s="456"/>
    </row>
    <row r="392" spans="2:11" x14ac:dyDescent="0.35">
      <c r="B392" s="445" t="str">
        <f>IF(Lançamentos!$B387="","",Lançamentos!$B387)</f>
        <v/>
      </c>
      <c r="C392" s="446" t="str">
        <f>IF($B392="","",IFERROR(INDEX(Lançamentos!$J$3:$J$1001,MATCH($B392,Lançamentos!$B$3:$B$1001,0)),""))</f>
        <v/>
      </c>
      <c r="D392" s="447" t="str">
        <f>IF($B392="","",IFERROR(INDEX('E2 — Triagem'!$D$8:$D$507,MATCH($B392,'E2 — Triagem'!$B$8:$B$507,0)),""))</f>
        <v/>
      </c>
      <c r="E392" s="447"/>
      <c r="F392" s="447"/>
      <c r="G392" s="447"/>
      <c r="H392" s="447"/>
      <c r="I392" s="455" t="str">
        <f t="shared" si="6"/>
        <v/>
      </c>
      <c r="J392" s="448"/>
      <c r="K392" s="456"/>
    </row>
    <row r="393" spans="2:11" x14ac:dyDescent="0.35">
      <c r="B393" s="445" t="str">
        <f>IF(Lançamentos!$B388="","",Lançamentos!$B388)</f>
        <v/>
      </c>
      <c r="C393" s="446" t="str">
        <f>IF($B393="","",IFERROR(INDEX(Lançamentos!$J$3:$J$1001,MATCH($B393,Lançamentos!$B$3:$B$1001,0)),""))</f>
        <v/>
      </c>
      <c r="D393" s="447" t="str">
        <f>IF($B393="","",IFERROR(INDEX('E2 — Triagem'!$D$8:$D$507,MATCH($B393,'E2 — Triagem'!$B$8:$B$507,0)),""))</f>
        <v/>
      </c>
      <c r="E393" s="447"/>
      <c r="F393" s="447"/>
      <c r="G393" s="447"/>
      <c r="H393" s="447"/>
      <c r="I393" s="455" t="str">
        <f t="shared" si="6"/>
        <v/>
      </c>
      <c r="J393" s="448"/>
      <c r="K393" s="456"/>
    </row>
    <row r="394" spans="2:11" x14ac:dyDescent="0.35">
      <c r="B394" s="445" t="str">
        <f>IF(Lançamentos!$B389="","",Lançamentos!$B389)</f>
        <v/>
      </c>
      <c r="C394" s="446" t="str">
        <f>IF($B394="","",IFERROR(INDEX(Lançamentos!$J$3:$J$1001,MATCH($B394,Lançamentos!$B$3:$B$1001,0)),""))</f>
        <v/>
      </c>
      <c r="D394" s="447" t="str">
        <f>IF($B394="","",IFERROR(INDEX('E2 — Triagem'!$D$8:$D$507,MATCH($B394,'E2 — Triagem'!$B$8:$B$507,0)),""))</f>
        <v/>
      </c>
      <c r="E394" s="447"/>
      <c r="F394" s="447"/>
      <c r="G394" s="447"/>
      <c r="H394" s="447"/>
      <c r="I394" s="455" t="str">
        <f t="shared" si="6"/>
        <v/>
      </c>
      <c r="J394" s="448"/>
      <c r="K394" s="456"/>
    </row>
    <row r="395" spans="2:11" x14ac:dyDescent="0.35">
      <c r="B395" s="445" t="str">
        <f>IF(Lançamentos!$B390="","",Lançamentos!$B390)</f>
        <v/>
      </c>
      <c r="C395" s="446" t="str">
        <f>IF($B395="","",IFERROR(INDEX(Lançamentos!$J$3:$J$1001,MATCH($B395,Lançamentos!$B$3:$B$1001,0)),""))</f>
        <v/>
      </c>
      <c r="D395" s="447" t="str">
        <f>IF($B395="","",IFERROR(INDEX('E2 — Triagem'!$D$8:$D$507,MATCH($B395,'E2 — Triagem'!$B$8:$B$507,0)),""))</f>
        <v/>
      </c>
      <c r="E395" s="447"/>
      <c r="F395" s="447"/>
      <c r="G395" s="447"/>
      <c r="H395" s="447"/>
      <c r="I395" s="455" t="str">
        <f t="shared" si="6"/>
        <v/>
      </c>
      <c r="J395" s="448"/>
      <c r="K395" s="456"/>
    </row>
    <row r="396" spans="2:11" x14ac:dyDescent="0.35">
      <c r="B396" s="445" t="str">
        <f>IF(Lançamentos!$B391="","",Lançamentos!$B391)</f>
        <v/>
      </c>
      <c r="C396" s="446" t="str">
        <f>IF($B396="","",IFERROR(INDEX(Lançamentos!$J$3:$J$1001,MATCH($B396,Lançamentos!$B$3:$B$1001,0)),""))</f>
        <v/>
      </c>
      <c r="D396" s="447" t="str">
        <f>IF($B396="","",IFERROR(INDEX('E2 — Triagem'!$D$8:$D$507,MATCH($B396,'E2 — Triagem'!$B$8:$B$507,0)),""))</f>
        <v/>
      </c>
      <c r="E396" s="447"/>
      <c r="F396" s="447"/>
      <c r="G396" s="447"/>
      <c r="H396" s="447"/>
      <c r="I396" s="455" t="str">
        <f t="shared" si="6"/>
        <v/>
      </c>
      <c r="J396" s="448"/>
      <c r="K396" s="456"/>
    </row>
    <row r="397" spans="2:11" x14ac:dyDescent="0.35">
      <c r="B397" s="445" t="str">
        <f>IF(Lançamentos!$B392="","",Lançamentos!$B392)</f>
        <v/>
      </c>
      <c r="C397" s="446" t="str">
        <f>IF($B397="","",IFERROR(INDEX(Lançamentos!$J$3:$J$1001,MATCH($B397,Lançamentos!$B$3:$B$1001,0)),""))</f>
        <v/>
      </c>
      <c r="D397" s="447" t="str">
        <f>IF($B397="","",IFERROR(INDEX('E2 — Triagem'!$D$8:$D$507,MATCH($B397,'E2 — Triagem'!$B$8:$B$507,0)),""))</f>
        <v/>
      </c>
      <c r="E397" s="447"/>
      <c r="F397" s="447"/>
      <c r="G397" s="447"/>
      <c r="H397" s="447"/>
      <c r="I397" s="455" t="str">
        <f t="shared" si="6"/>
        <v/>
      </c>
      <c r="J397" s="448"/>
      <c r="K397" s="456"/>
    </row>
    <row r="398" spans="2:11" x14ac:dyDescent="0.35">
      <c r="B398" s="445" t="str">
        <f>IF(Lançamentos!$B393="","",Lançamentos!$B393)</f>
        <v/>
      </c>
      <c r="C398" s="446" t="str">
        <f>IF($B398="","",IFERROR(INDEX(Lançamentos!$J$3:$J$1001,MATCH($B398,Lançamentos!$B$3:$B$1001,0)),""))</f>
        <v/>
      </c>
      <c r="D398" s="447" t="str">
        <f>IF($B398="","",IFERROR(INDEX('E2 — Triagem'!$D$8:$D$507,MATCH($B398,'E2 — Triagem'!$B$8:$B$507,0)),""))</f>
        <v/>
      </c>
      <c r="E398" s="447"/>
      <c r="F398" s="447"/>
      <c r="G398" s="447"/>
      <c r="H398" s="447"/>
      <c r="I398" s="455" t="str">
        <f t="shared" si="6"/>
        <v/>
      </c>
      <c r="J398" s="448"/>
      <c r="K398" s="456"/>
    </row>
    <row r="399" spans="2:11" x14ac:dyDescent="0.35">
      <c r="B399" s="445" t="str">
        <f>IF(Lançamentos!$B394="","",Lançamentos!$B394)</f>
        <v/>
      </c>
      <c r="C399" s="446" t="str">
        <f>IF($B399="","",IFERROR(INDEX(Lançamentos!$J$3:$J$1001,MATCH($B399,Lançamentos!$B$3:$B$1001,0)),""))</f>
        <v/>
      </c>
      <c r="D399" s="447" t="str">
        <f>IF($B399="","",IFERROR(INDEX('E2 — Triagem'!$D$8:$D$507,MATCH($B399,'E2 — Triagem'!$B$8:$B$507,0)),""))</f>
        <v/>
      </c>
      <c r="E399" s="447"/>
      <c r="F399" s="447"/>
      <c r="G399" s="447"/>
      <c r="H399" s="447"/>
      <c r="I399" s="455" t="str">
        <f t="shared" si="6"/>
        <v/>
      </c>
      <c r="J399" s="448"/>
      <c r="K399" s="456"/>
    </row>
    <row r="400" spans="2:11" x14ac:dyDescent="0.35">
      <c r="B400" s="445" t="str">
        <f>IF(Lançamentos!$B395="","",Lançamentos!$B395)</f>
        <v/>
      </c>
      <c r="C400" s="446" t="str">
        <f>IF($B400="","",IFERROR(INDEX(Lançamentos!$J$3:$J$1001,MATCH($B400,Lançamentos!$B$3:$B$1001,0)),""))</f>
        <v/>
      </c>
      <c r="D400" s="447" t="str">
        <f>IF($B400="","",IFERROR(INDEX('E2 — Triagem'!$D$8:$D$507,MATCH($B400,'E2 — Triagem'!$B$8:$B$507,0)),""))</f>
        <v/>
      </c>
      <c r="E400" s="447"/>
      <c r="F400" s="447"/>
      <c r="G400" s="447"/>
      <c r="H400" s="447"/>
      <c r="I400" s="455" t="str">
        <f t="shared" ref="I400:I463" si="7">IF(B400="","",IF(COUNTIF(E400:H400,"N/A")=4,0,COUNTIF(E400:H400,"✔ Concluído")/(4-COUNTIF(E400:H400,"N/A"))))</f>
        <v/>
      </c>
      <c r="J400" s="448"/>
      <c r="K400" s="456"/>
    </row>
    <row r="401" spans="2:11" x14ac:dyDescent="0.35">
      <c r="B401" s="445" t="str">
        <f>IF(Lançamentos!$B396="","",Lançamentos!$B396)</f>
        <v/>
      </c>
      <c r="C401" s="446" t="str">
        <f>IF($B401="","",IFERROR(INDEX(Lançamentos!$J$3:$J$1001,MATCH($B401,Lançamentos!$B$3:$B$1001,0)),""))</f>
        <v/>
      </c>
      <c r="D401" s="447" t="str">
        <f>IF($B401="","",IFERROR(INDEX('E2 — Triagem'!$D$8:$D$507,MATCH($B401,'E2 — Triagem'!$B$8:$B$507,0)),""))</f>
        <v/>
      </c>
      <c r="E401" s="447"/>
      <c r="F401" s="447"/>
      <c r="G401" s="447"/>
      <c r="H401" s="447"/>
      <c r="I401" s="455" t="str">
        <f t="shared" si="7"/>
        <v/>
      </c>
      <c r="J401" s="448"/>
      <c r="K401" s="456"/>
    </row>
    <row r="402" spans="2:11" x14ac:dyDescent="0.35">
      <c r="B402" s="445" t="str">
        <f>IF(Lançamentos!$B397="","",Lançamentos!$B397)</f>
        <v/>
      </c>
      <c r="C402" s="446" t="str">
        <f>IF($B402="","",IFERROR(INDEX(Lançamentos!$J$3:$J$1001,MATCH($B402,Lançamentos!$B$3:$B$1001,0)),""))</f>
        <v/>
      </c>
      <c r="D402" s="447" t="str">
        <f>IF($B402="","",IFERROR(INDEX('E2 — Triagem'!$D$8:$D$507,MATCH($B402,'E2 — Triagem'!$B$8:$B$507,0)),""))</f>
        <v/>
      </c>
      <c r="E402" s="447"/>
      <c r="F402" s="447"/>
      <c r="G402" s="447"/>
      <c r="H402" s="447"/>
      <c r="I402" s="455" t="str">
        <f t="shared" si="7"/>
        <v/>
      </c>
      <c r="J402" s="448"/>
      <c r="K402" s="456"/>
    </row>
    <row r="403" spans="2:11" x14ac:dyDescent="0.35">
      <c r="B403" s="445" t="str">
        <f>IF(Lançamentos!$B398="","",Lançamentos!$B398)</f>
        <v/>
      </c>
      <c r="C403" s="446" t="str">
        <f>IF($B403="","",IFERROR(INDEX(Lançamentos!$J$3:$J$1001,MATCH($B403,Lançamentos!$B$3:$B$1001,0)),""))</f>
        <v/>
      </c>
      <c r="D403" s="447" t="str">
        <f>IF($B403="","",IFERROR(INDEX('E2 — Triagem'!$D$8:$D$507,MATCH($B403,'E2 — Triagem'!$B$8:$B$507,0)),""))</f>
        <v/>
      </c>
      <c r="E403" s="447"/>
      <c r="F403" s="447"/>
      <c r="G403" s="447"/>
      <c r="H403" s="447"/>
      <c r="I403" s="455" t="str">
        <f t="shared" si="7"/>
        <v/>
      </c>
      <c r="J403" s="448"/>
      <c r="K403" s="456"/>
    </row>
    <row r="404" spans="2:11" x14ac:dyDescent="0.35">
      <c r="B404" s="445" t="str">
        <f>IF(Lançamentos!$B399="","",Lançamentos!$B399)</f>
        <v/>
      </c>
      <c r="C404" s="446" t="str">
        <f>IF($B404="","",IFERROR(INDEX(Lançamentos!$J$3:$J$1001,MATCH($B404,Lançamentos!$B$3:$B$1001,0)),""))</f>
        <v/>
      </c>
      <c r="D404" s="447" t="str">
        <f>IF($B404="","",IFERROR(INDEX('E2 — Triagem'!$D$8:$D$507,MATCH($B404,'E2 — Triagem'!$B$8:$B$507,0)),""))</f>
        <v/>
      </c>
      <c r="E404" s="447"/>
      <c r="F404" s="447"/>
      <c r="G404" s="447"/>
      <c r="H404" s="447"/>
      <c r="I404" s="455" t="str">
        <f t="shared" si="7"/>
        <v/>
      </c>
      <c r="J404" s="448"/>
      <c r="K404" s="456"/>
    </row>
    <row r="405" spans="2:11" x14ac:dyDescent="0.35">
      <c r="B405" s="445" t="str">
        <f>IF(Lançamentos!$B400="","",Lançamentos!$B400)</f>
        <v/>
      </c>
      <c r="C405" s="446" t="str">
        <f>IF($B405="","",IFERROR(INDEX(Lançamentos!$J$3:$J$1001,MATCH($B405,Lançamentos!$B$3:$B$1001,0)),""))</f>
        <v/>
      </c>
      <c r="D405" s="447" t="str">
        <f>IF($B405="","",IFERROR(INDEX('E2 — Triagem'!$D$8:$D$507,MATCH($B405,'E2 — Triagem'!$B$8:$B$507,0)),""))</f>
        <v/>
      </c>
      <c r="E405" s="447"/>
      <c r="F405" s="447"/>
      <c r="G405" s="447"/>
      <c r="H405" s="447"/>
      <c r="I405" s="455" t="str">
        <f t="shared" si="7"/>
        <v/>
      </c>
      <c r="J405" s="448"/>
      <c r="K405" s="456"/>
    </row>
    <row r="406" spans="2:11" x14ac:dyDescent="0.35">
      <c r="B406" s="445" t="str">
        <f>IF(Lançamentos!$B401="","",Lançamentos!$B401)</f>
        <v/>
      </c>
      <c r="C406" s="446" t="str">
        <f>IF($B406="","",IFERROR(INDEX(Lançamentos!$J$3:$J$1001,MATCH($B406,Lançamentos!$B$3:$B$1001,0)),""))</f>
        <v/>
      </c>
      <c r="D406" s="447" t="str">
        <f>IF($B406="","",IFERROR(INDEX('E2 — Triagem'!$D$8:$D$507,MATCH($B406,'E2 — Triagem'!$B$8:$B$507,0)),""))</f>
        <v/>
      </c>
      <c r="E406" s="447"/>
      <c r="F406" s="447"/>
      <c r="G406" s="447"/>
      <c r="H406" s="447"/>
      <c r="I406" s="455" t="str">
        <f t="shared" si="7"/>
        <v/>
      </c>
      <c r="J406" s="448"/>
      <c r="K406" s="456"/>
    </row>
    <row r="407" spans="2:11" x14ac:dyDescent="0.35">
      <c r="B407" s="445" t="str">
        <f>IF(Lançamentos!$B402="","",Lançamentos!$B402)</f>
        <v/>
      </c>
      <c r="C407" s="446" t="str">
        <f>IF($B407="","",IFERROR(INDEX(Lançamentos!$J$3:$J$1001,MATCH($B407,Lançamentos!$B$3:$B$1001,0)),""))</f>
        <v/>
      </c>
      <c r="D407" s="447" t="str">
        <f>IF($B407="","",IFERROR(INDEX('E2 — Triagem'!$D$8:$D$507,MATCH($B407,'E2 — Triagem'!$B$8:$B$507,0)),""))</f>
        <v/>
      </c>
      <c r="E407" s="447"/>
      <c r="F407" s="447"/>
      <c r="G407" s="447"/>
      <c r="H407" s="447"/>
      <c r="I407" s="455" t="str">
        <f t="shared" si="7"/>
        <v/>
      </c>
      <c r="J407" s="448"/>
      <c r="K407" s="456"/>
    </row>
    <row r="408" spans="2:11" x14ac:dyDescent="0.35">
      <c r="B408" s="445" t="str">
        <f>IF(Lançamentos!$B403="","",Lançamentos!$B403)</f>
        <v/>
      </c>
      <c r="C408" s="446" t="str">
        <f>IF($B408="","",IFERROR(INDEX(Lançamentos!$J$3:$J$1001,MATCH($B408,Lançamentos!$B$3:$B$1001,0)),""))</f>
        <v/>
      </c>
      <c r="D408" s="447" t="str">
        <f>IF($B408="","",IFERROR(INDEX('E2 — Triagem'!$D$8:$D$507,MATCH($B408,'E2 — Triagem'!$B$8:$B$507,0)),""))</f>
        <v/>
      </c>
      <c r="E408" s="447"/>
      <c r="F408" s="447"/>
      <c r="G408" s="447"/>
      <c r="H408" s="447"/>
      <c r="I408" s="455" t="str">
        <f t="shared" si="7"/>
        <v/>
      </c>
      <c r="J408" s="448"/>
      <c r="K408" s="456"/>
    </row>
    <row r="409" spans="2:11" x14ac:dyDescent="0.35">
      <c r="B409" s="445" t="str">
        <f>IF(Lançamentos!$B404="","",Lançamentos!$B404)</f>
        <v/>
      </c>
      <c r="C409" s="446" t="str">
        <f>IF($B409="","",IFERROR(INDEX(Lançamentos!$J$3:$J$1001,MATCH($B409,Lançamentos!$B$3:$B$1001,0)),""))</f>
        <v/>
      </c>
      <c r="D409" s="447" t="str">
        <f>IF($B409="","",IFERROR(INDEX('E2 — Triagem'!$D$8:$D$507,MATCH($B409,'E2 — Triagem'!$B$8:$B$507,0)),""))</f>
        <v/>
      </c>
      <c r="E409" s="447"/>
      <c r="F409" s="447"/>
      <c r="G409" s="447"/>
      <c r="H409" s="447"/>
      <c r="I409" s="455" t="str">
        <f t="shared" si="7"/>
        <v/>
      </c>
      <c r="J409" s="448"/>
      <c r="K409" s="456"/>
    </row>
    <row r="410" spans="2:11" x14ac:dyDescent="0.35">
      <c r="B410" s="445" t="str">
        <f>IF(Lançamentos!$B405="","",Lançamentos!$B405)</f>
        <v/>
      </c>
      <c r="C410" s="446" t="str">
        <f>IF($B410="","",IFERROR(INDEX(Lançamentos!$J$3:$J$1001,MATCH($B410,Lançamentos!$B$3:$B$1001,0)),""))</f>
        <v/>
      </c>
      <c r="D410" s="447" t="str">
        <f>IF($B410="","",IFERROR(INDEX('E2 — Triagem'!$D$8:$D$507,MATCH($B410,'E2 — Triagem'!$B$8:$B$507,0)),""))</f>
        <v/>
      </c>
      <c r="E410" s="447"/>
      <c r="F410" s="447"/>
      <c r="G410" s="447"/>
      <c r="H410" s="447"/>
      <c r="I410" s="455" t="str">
        <f t="shared" si="7"/>
        <v/>
      </c>
      <c r="J410" s="448"/>
      <c r="K410" s="456"/>
    </row>
    <row r="411" spans="2:11" x14ac:dyDescent="0.35">
      <c r="B411" s="445" t="str">
        <f>IF(Lançamentos!$B406="","",Lançamentos!$B406)</f>
        <v/>
      </c>
      <c r="C411" s="446" t="str">
        <f>IF($B411="","",IFERROR(INDEX(Lançamentos!$J$3:$J$1001,MATCH($B411,Lançamentos!$B$3:$B$1001,0)),""))</f>
        <v/>
      </c>
      <c r="D411" s="447" t="str">
        <f>IF($B411="","",IFERROR(INDEX('E2 — Triagem'!$D$8:$D$507,MATCH($B411,'E2 — Triagem'!$B$8:$B$507,0)),""))</f>
        <v/>
      </c>
      <c r="E411" s="447"/>
      <c r="F411" s="447"/>
      <c r="G411" s="447"/>
      <c r="H411" s="447"/>
      <c r="I411" s="455" t="str">
        <f t="shared" si="7"/>
        <v/>
      </c>
      <c r="J411" s="448"/>
      <c r="K411" s="456"/>
    </row>
    <row r="412" spans="2:11" x14ac:dyDescent="0.35">
      <c r="B412" s="445" t="str">
        <f>IF(Lançamentos!$B407="","",Lançamentos!$B407)</f>
        <v/>
      </c>
      <c r="C412" s="446" t="str">
        <f>IF($B412="","",IFERROR(INDEX(Lançamentos!$J$3:$J$1001,MATCH($B412,Lançamentos!$B$3:$B$1001,0)),""))</f>
        <v/>
      </c>
      <c r="D412" s="447" t="str">
        <f>IF($B412="","",IFERROR(INDEX('E2 — Triagem'!$D$8:$D$507,MATCH($B412,'E2 — Triagem'!$B$8:$B$507,0)),""))</f>
        <v/>
      </c>
      <c r="E412" s="447"/>
      <c r="F412" s="447"/>
      <c r="G412" s="447"/>
      <c r="H412" s="447"/>
      <c r="I412" s="455" t="str">
        <f t="shared" si="7"/>
        <v/>
      </c>
      <c r="J412" s="448"/>
      <c r="K412" s="456"/>
    </row>
    <row r="413" spans="2:11" x14ac:dyDescent="0.35">
      <c r="B413" s="445" t="str">
        <f>IF(Lançamentos!$B408="","",Lançamentos!$B408)</f>
        <v/>
      </c>
      <c r="C413" s="446" t="str">
        <f>IF($B413="","",IFERROR(INDEX(Lançamentos!$J$3:$J$1001,MATCH($B413,Lançamentos!$B$3:$B$1001,0)),""))</f>
        <v/>
      </c>
      <c r="D413" s="447" t="str">
        <f>IF($B413="","",IFERROR(INDEX('E2 — Triagem'!$D$8:$D$507,MATCH($B413,'E2 — Triagem'!$B$8:$B$507,0)),""))</f>
        <v/>
      </c>
      <c r="E413" s="447"/>
      <c r="F413" s="447"/>
      <c r="G413" s="447"/>
      <c r="H413" s="447"/>
      <c r="I413" s="455" t="str">
        <f t="shared" si="7"/>
        <v/>
      </c>
      <c r="J413" s="448"/>
      <c r="K413" s="456"/>
    </row>
    <row r="414" spans="2:11" x14ac:dyDescent="0.35">
      <c r="B414" s="445" t="str">
        <f>IF(Lançamentos!$B409="","",Lançamentos!$B409)</f>
        <v/>
      </c>
      <c r="C414" s="446" t="str">
        <f>IF($B414="","",IFERROR(INDEX(Lançamentos!$J$3:$J$1001,MATCH($B414,Lançamentos!$B$3:$B$1001,0)),""))</f>
        <v/>
      </c>
      <c r="D414" s="447" t="str">
        <f>IF($B414="","",IFERROR(INDEX('E2 — Triagem'!$D$8:$D$507,MATCH($B414,'E2 — Triagem'!$B$8:$B$507,0)),""))</f>
        <v/>
      </c>
      <c r="E414" s="447"/>
      <c r="F414" s="447"/>
      <c r="G414" s="447"/>
      <c r="H414" s="447"/>
      <c r="I414" s="455" t="str">
        <f t="shared" si="7"/>
        <v/>
      </c>
      <c r="J414" s="448"/>
      <c r="K414" s="456"/>
    </row>
    <row r="415" spans="2:11" x14ac:dyDescent="0.35">
      <c r="B415" s="445" t="str">
        <f>IF(Lançamentos!$B410="","",Lançamentos!$B410)</f>
        <v/>
      </c>
      <c r="C415" s="446" t="str">
        <f>IF($B415="","",IFERROR(INDEX(Lançamentos!$J$3:$J$1001,MATCH($B415,Lançamentos!$B$3:$B$1001,0)),""))</f>
        <v/>
      </c>
      <c r="D415" s="447" t="str">
        <f>IF($B415="","",IFERROR(INDEX('E2 — Triagem'!$D$8:$D$507,MATCH($B415,'E2 — Triagem'!$B$8:$B$507,0)),""))</f>
        <v/>
      </c>
      <c r="E415" s="447"/>
      <c r="F415" s="447"/>
      <c r="G415" s="447"/>
      <c r="H415" s="447"/>
      <c r="I415" s="455" t="str">
        <f t="shared" si="7"/>
        <v/>
      </c>
      <c r="J415" s="448"/>
      <c r="K415" s="456"/>
    </row>
    <row r="416" spans="2:11" x14ac:dyDescent="0.35">
      <c r="B416" s="445" t="str">
        <f>IF(Lançamentos!$B411="","",Lançamentos!$B411)</f>
        <v/>
      </c>
      <c r="C416" s="446" t="str">
        <f>IF($B416="","",IFERROR(INDEX(Lançamentos!$J$3:$J$1001,MATCH($B416,Lançamentos!$B$3:$B$1001,0)),""))</f>
        <v/>
      </c>
      <c r="D416" s="447" t="str">
        <f>IF($B416="","",IFERROR(INDEX('E2 — Triagem'!$D$8:$D$507,MATCH($B416,'E2 — Triagem'!$B$8:$B$507,0)),""))</f>
        <v/>
      </c>
      <c r="E416" s="447"/>
      <c r="F416" s="447"/>
      <c r="G416" s="447"/>
      <c r="H416" s="447"/>
      <c r="I416" s="455" t="str">
        <f t="shared" si="7"/>
        <v/>
      </c>
      <c r="J416" s="448"/>
      <c r="K416" s="456"/>
    </row>
    <row r="417" spans="2:11" x14ac:dyDescent="0.35">
      <c r="B417" s="445" t="str">
        <f>IF(Lançamentos!$B412="","",Lançamentos!$B412)</f>
        <v/>
      </c>
      <c r="C417" s="446" t="str">
        <f>IF($B417="","",IFERROR(INDEX(Lançamentos!$J$3:$J$1001,MATCH($B417,Lançamentos!$B$3:$B$1001,0)),""))</f>
        <v/>
      </c>
      <c r="D417" s="447" t="str">
        <f>IF($B417="","",IFERROR(INDEX('E2 — Triagem'!$D$8:$D$507,MATCH($B417,'E2 — Triagem'!$B$8:$B$507,0)),""))</f>
        <v/>
      </c>
      <c r="E417" s="447"/>
      <c r="F417" s="447"/>
      <c r="G417" s="447"/>
      <c r="H417" s="447"/>
      <c r="I417" s="455" t="str">
        <f t="shared" si="7"/>
        <v/>
      </c>
      <c r="J417" s="448"/>
      <c r="K417" s="456"/>
    </row>
    <row r="418" spans="2:11" x14ac:dyDescent="0.35">
      <c r="B418" s="445" t="str">
        <f>IF(Lançamentos!$B413="","",Lançamentos!$B413)</f>
        <v/>
      </c>
      <c r="C418" s="446" t="str">
        <f>IF($B418="","",IFERROR(INDEX(Lançamentos!$J$3:$J$1001,MATCH($B418,Lançamentos!$B$3:$B$1001,0)),""))</f>
        <v/>
      </c>
      <c r="D418" s="447" t="str">
        <f>IF($B418="","",IFERROR(INDEX('E2 — Triagem'!$D$8:$D$507,MATCH($B418,'E2 — Triagem'!$B$8:$B$507,0)),""))</f>
        <v/>
      </c>
      <c r="E418" s="447"/>
      <c r="F418" s="447"/>
      <c r="G418" s="447"/>
      <c r="H418" s="447"/>
      <c r="I418" s="455" t="str">
        <f t="shared" si="7"/>
        <v/>
      </c>
      <c r="J418" s="448"/>
      <c r="K418" s="456"/>
    </row>
    <row r="419" spans="2:11" x14ac:dyDescent="0.35">
      <c r="B419" s="445" t="str">
        <f>IF(Lançamentos!$B414="","",Lançamentos!$B414)</f>
        <v/>
      </c>
      <c r="C419" s="446" t="str">
        <f>IF($B419="","",IFERROR(INDEX(Lançamentos!$J$3:$J$1001,MATCH($B419,Lançamentos!$B$3:$B$1001,0)),""))</f>
        <v/>
      </c>
      <c r="D419" s="447" t="str">
        <f>IF($B419="","",IFERROR(INDEX('E2 — Triagem'!$D$8:$D$507,MATCH($B419,'E2 — Triagem'!$B$8:$B$507,0)),""))</f>
        <v/>
      </c>
      <c r="E419" s="447"/>
      <c r="F419" s="447"/>
      <c r="G419" s="447"/>
      <c r="H419" s="447"/>
      <c r="I419" s="455" t="str">
        <f t="shared" si="7"/>
        <v/>
      </c>
      <c r="J419" s="448"/>
      <c r="K419" s="456"/>
    </row>
    <row r="420" spans="2:11" x14ac:dyDescent="0.35">
      <c r="B420" s="445" t="str">
        <f>IF(Lançamentos!$B415="","",Lançamentos!$B415)</f>
        <v/>
      </c>
      <c r="C420" s="446" t="str">
        <f>IF($B420="","",IFERROR(INDEX(Lançamentos!$J$3:$J$1001,MATCH($B420,Lançamentos!$B$3:$B$1001,0)),""))</f>
        <v/>
      </c>
      <c r="D420" s="447" t="str">
        <f>IF($B420="","",IFERROR(INDEX('E2 — Triagem'!$D$8:$D$507,MATCH($B420,'E2 — Triagem'!$B$8:$B$507,0)),""))</f>
        <v/>
      </c>
      <c r="E420" s="447"/>
      <c r="F420" s="447"/>
      <c r="G420" s="447"/>
      <c r="H420" s="447"/>
      <c r="I420" s="455" t="str">
        <f t="shared" si="7"/>
        <v/>
      </c>
      <c r="J420" s="448"/>
      <c r="K420" s="456"/>
    </row>
    <row r="421" spans="2:11" x14ac:dyDescent="0.35">
      <c r="B421" s="445" t="str">
        <f>IF(Lançamentos!$B416="","",Lançamentos!$B416)</f>
        <v/>
      </c>
      <c r="C421" s="446" t="str">
        <f>IF($B421="","",IFERROR(INDEX(Lançamentos!$J$3:$J$1001,MATCH($B421,Lançamentos!$B$3:$B$1001,0)),""))</f>
        <v/>
      </c>
      <c r="D421" s="447" t="str">
        <f>IF($B421="","",IFERROR(INDEX('E2 — Triagem'!$D$8:$D$507,MATCH($B421,'E2 — Triagem'!$B$8:$B$507,0)),""))</f>
        <v/>
      </c>
      <c r="E421" s="447"/>
      <c r="F421" s="447"/>
      <c r="G421" s="447"/>
      <c r="H421" s="447"/>
      <c r="I421" s="455" t="str">
        <f t="shared" si="7"/>
        <v/>
      </c>
      <c r="J421" s="448"/>
      <c r="K421" s="456"/>
    </row>
    <row r="422" spans="2:11" x14ac:dyDescent="0.35">
      <c r="B422" s="445" t="str">
        <f>IF(Lançamentos!$B417="","",Lançamentos!$B417)</f>
        <v/>
      </c>
      <c r="C422" s="446" t="str">
        <f>IF($B422="","",IFERROR(INDEX(Lançamentos!$J$3:$J$1001,MATCH($B422,Lançamentos!$B$3:$B$1001,0)),""))</f>
        <v/>
      </c>
      <c r="D422" s="447" t="str">
        <f>IF($B422="","",IFERROR(INDEX('E2 — Triagem'!$D$8:$D$507,MATCH($B422,'E2 — Triagem'!$B$8:$B$507,0)),""))</f>
        <v/>
      </c>
      <c r="E422" s="447"/>
      <c r="F422" s="447"/>
      <c r="G422" s="447"/>
      <c r="H422" s="447"/>
      <c r="I422" s="455" t="str">
        <f t="shared" si="7"/>
        <v/>
      </c>
      <c r="J422" s="448"/>
      <c r="K422" s="456"/>
    </row>
    <row r="423" spans="2:11" x14ac:dyDescent="0.35">
      <c r="B423" s="445" t="str">
        <f>IF(Lançamentos!$B418="","",Lançamentos!$B418)</f>
        <v/>
      </c>
      <c r="C423" s="446" t="str">
        <f>IF($B423="","",IFERROR(INDEX(Lançamentos!$J$3:$J$1001,MATCH($B423,Lançamentos!$B$3:$B$1001,0)),""))</f>
        <v/>
      </c>
      <c r="D423" s="447" t="str">
        <f>IF($B423="","",IFERROR(INDEX('E2 — Triagem'!$D$8:$D$507,MATCH($B423,'E2 — Triagem'!$B$8:$B$507,0)),""))</f>
        <v/>
      </c>
      <c r="E423" s="447"/>
      <c r="F423" s="447"/>
      <c r="G423" s="447"/>
      <c r="H423" s="447"/>
      <c r="I423" s="455" t="str">
        <f t="shared" si="7"/>
        <v/>
      </c>
      <c r="J423" s="448"/>
      <c r="K423" s="456"/>
    </row>
    <row r="424" spans="2:11" x14ac:dyDescent="0.35">
      <c r="B424" s="445" t="str">
        <f>IF(Lançamentos!$B419="","",Lançamentos!$B419)</f>
        <v/>
      </c>
      <c r="C424" s="446" t="str">
        <f>IF($B424="","",IFERROR(INDEX(Lançamentos!$J$3:$J$1001,MATCH($B424,Lançamentos!$B$3:$B$1001,0)),""))</f>
        <v/>
      </c>
      <c r="D424" s="447" t="str">
        <f>IF($B424="","",IFERROR(INDEX('E2 — Triagem'!$D$8:$D$507,MATCH($B424,'E2 — Triagem'!$B$8:$B$507,0)),""))</f>
        <v/>
      </c>
      <c r="E424" s="447"/>
      <c r="F424" s="447"/>
      <c r="G424" s="447"/>
      <c r="H424" s="447"/>
      <c r="I424" s="455" t="str">
        <f t="shared" si="7"/>
        <v/>
      </c>
      <c r="J424" s="448"/>
      <c r="K424" s="456"/>
    </row>
    <row r="425" spans="2:11" x14ac:dyDescent="0.35">
      <c r="B425" s="445" t="str">
        <f>IF(Lançamentos!$B420="","",Lançamentos!$B420)</f>
        <v/>
      </c>
      <c r="C425" s="446" t="str">
        <f>IF($B425="","",IFERROR(INDEX(Lançamentos!$J$3:$J$1001,MATCH($B425,Lançamentos!$B$3:$B$1001,0)),""))</f>
        <v/>
      </c>
      <c r="D425" s="447" t="str">
        <f>IF($B425="","",IFERROR(INDEX('E2 — Triagem'!$D$8:$D$507,MATCH($B425,'E2 — Triagem'!$B$8:$B$507,0)),""))</f>
        <v/>
      </c>
      <c r="E425" s="447"/>
      <c r="F425" s="447"/>
      <c r="G425" s="447"/>
      <c r="H425" s="447"/>
      <c r="I425" s="455" t="str">
        <f t="shared" si="7"/>
        <v/>
      </c>
      <c r="J425" s="448"/>
      <c r="K425" s="456"/>
    </row>
    <row r="426" spans="2:11" x14ac:dyDescent="0.35">
      <c r="B426" s="445" t="str">
        <f>IF(Lançamentos!$B421="","",Lançamentos!$B421)</f>
        <v/>
      </c>
      <c r="C426" s="446" t="str">
        <f>IF($B426="","",IFERROR(INDEX(Lançamentos!$J$3:$J$1001,MATCH($B426,Lançamentos!$B$3:$B$1001,0)),""))</f>
        <v/>
      </c>
      <c r="D426" s="447" t="str">
        <f>IF($B426="","",IFERROR(INDEX('E2 — Triagem'!$D$8:$D$507,MATCH($B426,'E2 — Triagem'!$B$8:$B$507,0)),""))</f>
        <v/>
      </c>
      <c r="E426" s="447"/>
      <c r="F426" s="447"/>
      <c r="G426" s="447"/>
      <c r="H426" s="447"/>
      <c r="I426" s="455" t="str">
        <f t="shared" si="7"/>
        <v/>
      </c>
      <c r="J426" s="448"/>
      <c r="K426" s="456"/>
    </row>
    <row r="427" spans="2:11" x14ac:dyDescent="0.35">
      <c r="B427" s="445" t="str">
        <f>IF(Lançamentos!$B422="","",Lançamentos!$B422)</f>
        <v/>
      </c>
      <c r="C427" s="446" t="str">
        <f>IF($B427="","",IFERROR(INDEX(Lançamentos!$J$3:$J$1001,MATCH($B427,Lançamentos!$B$3:$B$1001,0)),""))</f>
        <v/>
      </c>
      <c r="D427" s="447" t="str">
        <f>IF($B427="","",IFERROR(INDEX('E2 — Triagem'!$D$8:$D$507,MATCH($B427,'E2 — Triagem'!$B$8:$B$507,0)),""))</f>
        <v/>
      </c>
      <c r="E427" s="447"/>
      <c r="F427" s="447"/>
      <c r="G427" s="447"/>
      <c r="H427" s="447"/>
      <c r="I427" s="455" t="str">
        <f t="shared" si="7"/>
        <v/>
      </c>
      <c r="J427" s="448"/>
      <c r="K427" s="456"/>
    </row>
    <row r="428" spans="2:11" x14ac:dyDescent="0.35">
      <c r="B428" s="445" t="str">
        <f>IF(Lançamentos!$B423="","",Lançamentos!$B423)</f>
        <v/>
      </c>
      <c r="C428" s="446" t="str">
        <f>IF($B428="","",IFERROR(INDEX(Lançamentos!$J$3:$J$1001,MATCH($B428,Lançamentos!$B$3:$B$1001,0)),""))</f>
        <v/>
      </c>
      <c r="D428" s="447" t="str">
        <f>IF($B428="","",IFERROR(INDEX('E2 — Triagem'!$D$8:$D$507,MATCH($B428,'E2 — Triagem'!$B$8:$B$507,0)),""))</f>
        <v/>
      </c>
      <c r="E428" s="447"/>
      <c r="F428" s="447"/>
      <c r="G428" s="447"/>
      <c r="H428" s="447"/>
      <c r="I428" s="455" t="str">
        <f t="shared" si="7"/>
        <v/>
      </c>
      <c r="J428" s="448"/>
      <c r="K428" s="456"/>
    </row>
    <row r="429" spans="2:11" x14ac:dyDescent="0.35">
      <c r="B429" s="445" t="str">
        <f>IF(Lançamentos!$B424="","",Lançamentos!$B424)</f>
        <v/>
      </c>
      <c r="C429" s="446" t="str">
        <f>IF($B429="","",IFERROR(INDEX(Lançamentos!$J$3:$J$1001,MATCH($B429,Lançamentos!$B$3:$B$1001,0)),""))</f>
        <v/>
      </c>
      <c r="D429" s="447" t="str">
        <f>IF($B429="","",IFERROR(INDEX('E2 — Triagem'!$D$8:$D$507,MATCH($B429,'E2 — Triagem'!$B$8:$B$507,0)),""))</f>
        <v/>
      </c>
      <c r="E429" s="447"/>
      <c r="F429" s="447"/>
      <c r="G429" s="447"/>
      <c r="H429" s="447"/>
      <c r="I429" s="455" t="str">
        <f t="shared" si="7"/>
        <v/>
      </c>
      <c r="J429" s="448"/>
      <c r="K429" s="456"/>
    </row>
    <row r="430" spans="2:11" x14ac:dyDescent="0.35">
      <c r="B430" s="445" t="str">
        <f>IF(Lançamentos!$B425="","",Lançamentos!$B425)</f>
        <v/>
      </c>
      <c r="C430" s="446" t="str">
        <f>IF($B430="","",IFERROR(INDEX(Lançamentos!$J$3:$J$1001,MATCH($B430,Lançamentos!$B$3:$B$1001,0)),""))</f>
        <v/>
      </c>
      <c r="D430" s="447" t="str">
        <f>IF($B430="","",IFERROR(INDEX('E2 — Triagem'!$D$8:$D$507,MATCH($B430,'E2 — Triagem'!$B$8:$B$507,0)),""))</f>
        <v/>
      </c>
      <c r="E430" s="447"/>
      <c r="F430" s="447"/>
      <c r="G430" s="447"/>
      <c r="H430" s="447"/>
      <c r="I430" s="455" t="str">
        <f t="shared" si="7"/>
        <v/>
      </c>
      <c r="J430" s="448"/>
      <c r="K430" s="456"/>
    </row>
    <row r="431" spans="2:11" x14ac:dyDescent="0.35">
      <c r="B431" s="445" t="str">
        <f>IF(Lançamentos!$B426="","",Lançamentos!$B426)</f>
        <v/>
      </c>
      <c r="C431" s="446" t="str">
        <f>IF($B431="","",IFERROR(INDEX(Lançamentos!$J$3:$J$1001,MATCH($B431,Lançamentos!$B$3:$B$1001,0)),""))</f>
        <v/>
      </c>
      <c r="D431" s="447" t="str">
        <f>IF($B431="","",IFERROR(INDEX('E2 — Triagem'!$D$8:$D$507,MATCH($B431,'E2 — Triagem'!$B$8:$B$507,0)),""))</f>
        <v/>
      </c>
      <c r="E431" s="447"/>
      <c r="F431" s="447"/>
      <c r="G431" s="447"/>
      <c r="H431" s="447"/>
      <c r="I431" s="455" t="str">
        <f t="shared" si="7"/>
        <v/>
      </c>
      <c r="J431" s="448"/>
      <c r="K431" s="456"/>
    </row>
    <row r="432" spans="2:11" x14ac:dyDescent="0.35">
      <c r="B432" s="445" t="str">
        <f>IF(Lançamentos!$B427="","",Lançamentos!$B427)</f>
        <v/>
      </c>
      <c r="C432" s="446" t="str">
        <f>IF($B432="","",IFERROR(INDEX(Lançamentos!$J$3:$J$1001,MATCH($B432,Lançamentos!$B$3:$B$1001,0)),""))</f>
        <v/>
      </c>
      <c r="D432" s="447" t="str">
        <f>IF($B432="","",IFERROR(INDEX('E2 — Triagem'!$D$8:$D$507,MATCH($B432,'E2 — Triagem'!$B$8:$B$507,0)),""))</f>
        <v/>
      </c>
      <c r="E432" s="447"/>
      <c r="F432" s="447"/>
      <c r="G432" s="447"/>
      <c r="H432" s="447"/>
      <c r="I432" s="455" t="str">
        <f t="shared" si="7"/>
        <v/>
      </c>
      <c r="J432" s="448"/>
      <c r="K432" s="456"/>
    </row>
    <row r="433" spans="2:11" x14ac:dyDescent="0.35">
      <c r="B433" s="445" t="str">
        <f>IF(Lançamentos!$B428="","",Lançamentos!$B428)</f>
        <v/>
      </c>
      <c r="C433" s="446" t="str">
        <f>IF($B433="","",IFERROR(INDEX(Lançamentos!$J$3:$J$1001,MATCH($B433,Lançamentos!$B$3:$B$1001,0)),""))</f>
        <v/>
      </c>
      <c r="D433" s="447" t="str">
        <f>IF($B433="","",IFERROR(INDEX('E2 — Triagem'!$D$8:$D$507,MATCH($B433,'E2 — Triagem'!$B$8:$B$507,0)),""))</f>
        <v/>
      </c>
      <c r="E433" s="447"/>
      <c r="F433" s="447"/>
      <c r="G433" s="447"/>
      <c r="H433" s="447"/>
      <c r="I433" s="455" t="str">
        <f t="shared" si="7"/>
        <v/>
      </c>
      <c r="J433" s="448"/>
      <c r="K433" s="456"/>
    </row>
    <row r="434" spans="2:11" x14ac:dyDescent="0.35">
      <c r="B434" s="445" t="str">
        <f>IF(Lançamentos!$B429="","",Lançamentos!$B429)</f>
        <v/>
      </c>
      <c r="C434" s="446" t="str">
        <f>IF($B434="","",IFERROR(INDEX(Lançamentos!$J$3:$J$1001,MATCH($B434,Lançamentos!$B$3:$B$1001,0)),""))</f>
        <v/>
      </c>
      <c r="D434" s="447" t="str">
        <f>IF($B434="","",IFERROR(INDEX('E2 — Triagem'!$D$8:$D$507,MATCH($B434,'E2 — Triagem'!$B$8:$B$507,0)),""))</f>
        <v/>
      </c>
      <c r="E434" s="447"/>
      <c r="F434" s="447"/>
      <c r="G434" s="447"/>
      <c r="H434" s="447"/>
      <c r="I434" s="455" t="str">
        <f t="shared" si="7"/>
        <v/>
      </c>
      <c r="J434" s="448"/>
      <c r="K434" s="456"/>
    </row>
    <row r="435" spans="2:11" x14ac:dyDescent="0.35">
      <c r="B435" s="445" t="str">
        <f>IF(Lançamentos!$B430="","",Lançamentos!$B430)</f>
        <v/>
      </c>
      <c r="C435" s="446" t="str">
        <f>IF($B435="","",IFERROR(INDEX(Lançamentos!$J$3:$J$1001,MATCH($B435,Lançamentos!$B$3:$B$1001,0)),""))</f>
        <v/>
      </c>
      <c r="D435" s="447" t="str">
        <f>IF($B435="","",IFERROR(INDEX('E2 — Triagem'!$D$8:$D$507,MATCH($B435,'E2 — Triagem'!$B$8:$B$507,0)),""))</f>
        <v/>
      </c>
      <c r="E435" s="447"/>
      <c r="F435" s="447"/>
      <c r="G435" s="447"/>
      <c r="H435" s="447"/>
      <c r="I435" s="455" t="str">
        <f t="shared" si="7"/>
        <v/>
      </c>
      <c r="J435" s="448"/>
      <c r="K435" s="456"/>
    </row>
    <row r="436" spans="2:11" x14ac:dyDescent="0.35">
      <c r="B436" s="445" t="str">
        <f>IF(Lançamentos!$B431="","",Lançamentos!$B431)</f>
        <v/>
      </c>
      <c r="C436" s="446" t="str">
        <f>IF($B436="","",IFERROR(INDEX(Lançamentos!$J$3:$J$1001,MATCH($B436,Lançamentos!$B$3:$B$1001,0)),""))</f>
        <v/>
      </c>
      <c r="D436" s="447" t="str">
        <f>IF($B436="","",IFERROR(INDEX('E2 — Triagem'!$D$8:$D$507,MATCH($B436,'E2 — Triagem'!$B$8:$B$507,0)),""))</f>
        <v/>
      </c>
      <c r="E436" s="447"/>
      <c r="F436" s="447"/>
      <c r="G436" s="447"/>
      <c r="H436" s="447"/>
      <c r="I436" s="455" t="str">
        <f t="shared" si="7"/>
        <v/>
      </c>
      <c r="J436" s="448"/>
      <c r="K436" s="456"/>
    </row>
    <row r="437" spans="2:11" x14ac:dyDescent="0.35">
      <c r="B437" s="445" t="str">
        <f>IF(Lançamentos!$B432="","",Lançamentos!$B432)</f>
        <v/>
      </c>
      <c r="C437" s="446" t="str">
        <f>IF($B437="","",IFERROR(INDEX(Lançamentos!$J$3:$J$1001,MATCH($B437,Lançamentos!$B$3:$B$1001,0)),""))</f>
        <v/>
      </c>
      <c r="D437" s="447" t="str">
        <f>IF($B437="","",IFERROR(INDEX('E2 — Triagem'!$D$8:$D$507,MATCH($B437,'E2 — Triagem'!$B$8:$B$507,0)),""))</f>
        <v/>
      </c>
      <c r="E437" s="447"/>
      <c r="F437" s="447"/>
      <c r="G437" s="447"/>
      <c r="H437" s="447"/>
      <c r="I437" s="455" t="str">
        <f t="shared" si="7"/>
        <v/>
      </c>
      <c r="J437" s="448"/>
      <c r="K437" s="456"/>
    </row>
    <row r="438" spans="2:11" x14ac:dyDescent="0.35">
      <c r="B438" s="445" t="str">
        <f>IF(Lançamentos!$B433="","",Lançamentos!$B433)</f>
        <v/>
      </c>
      <c r="C438" s="446" t="str">
        <f>IF($B438="","",IFERROR(INDEX(Lançamentos!$J$3:$J$1001,MATCH($B438,Lançamentos!$B$3:$B$1001,0)),""))</f>
        <v/>
      </c>
      <c r="D438" s="447" t="str">
        <f>IF($B438="","",IFERROR(INDEX('E2 — Triagem'!$D$8:$D$507,MATCH($B438,'E2 — Triagem'!$B$8:$B$507,0)),""))</f>
        <v/>
      </c>
      <c r="E438" s="447"/>
      <c r="F438" s="447"/>
      <c r="G438" s="447"/>
      <c r="H438" s="447"/>
      <c r="I438" s="455" t="str">
        <f t="shared" si="7"/>
        <v/>
      </c>
      <c r="J438" s="448"/>
      <c r="K438" s="456"/>
    </row>
    <row r="439" spans="2:11" x14ac:dyDescent="0.35">
      <c r="B439" s="445" t="str">
        <f>IF(Lançamentos!$B434="","",Lançamentos!$B434)</f>
        <v/>
      </c>
      <c r="C439" s="446" t="str">
        <f>IF($B439="","",IFERROR(INDEX(Lançamentos!$J$3:$J$1001,MATCH($B439,Lançamentos!$B$3:$B$1001,0)),""))</f>
        <v/>
      </c>
      <c r="D439" s="447" t="str">
        <f>IF($B439="","",IFERROR(INDEX('E2 — Triagem'!$D$8:$D$507,MATCH($B439,'E2 — Triagem'!$B$8:$B$507,0)),""))</f>
        <v/>
      </c>
      <c r="E439" s="447"/>
      <c r="F439" s="447"/>
      <c r="G439" s="447"/>
      <c r="H439" s="447"/>
      <c r="I439" s="455" t="str">
        <f t="shared" si="7"/>
        <v/>
      </c>
      <c r="J439" s="448"/>
      <c r="K439" s="456"/>
    </row>
    <row r="440" spans="2:11" x14ac:dyDescent="0.35">
      <c r="B440" s="445" t="str">
        <f>IF(Lançamentos!$B435="","",Lançamentos!$B435)</f>
        <v/>
      </c>
      <c r="C440" s="446" t="str">
        <f>IF($B440="","",IFERROR(INDEX(Lançamentos!$J$3:$J$1001,MATCH($B440,Lançamentos!$B$3:$B$1001,0)),""))</f>
        <v/>
      </c>
      <c r="D440" s="447" t="str">
        <f>IF($B440="","",IFERROR(INDEX('E2 — Triagem'!$D$8:$D$507,MATCH($B440,'E2 — Triagem'!$B$8:$B$507,0)),""))</f>
        <v/>
      </c>
      <c r="E440" s="447"/>
      <c r="F440" s="447"/>
      <c r="G440" s="447"/>
      <c r="H440" s="447"/>
      <c r="I440" s="455" t="str">
        <f t="shared" si="7"/>
        <v/>
      </c>
      <c r="J440" s="448"/>
      <c r="K440" s="456"/>
    </row>
    <row r="441" spans="2:11" x14ac:dyDescent="0.35">
      <c r="B441" s="445" t="str">
        <f>IF(Lançamentos!$B436="","",Lançamentos!$B436)</f>
        <v/>
      </c>
      <c r="C441" s="446" t="str">
        <f>IF($B441="","",IFERROR(INDEX(Lançamentos!$J$3:$J$1001,MATCH($B441,Lançamentos!$B$3:$B$1001,0)),""))</f>
        <v/>
      </c>
      <c r="D441" s="447" t="str">
        <f>IF($B441="","",IFERROR(INDEX('E2 — Triagem'!$D$8:$D$507,MATCH($B441,'E2 — Triagem'!$B$8:$B$507,0)),""))</f>
        <v/>
      </c>
      <c r="E441" s="447"/>
      <c r="F441" s="447"/>
      <c r="G441" s="447"/>
      <c r="H441" s="447"/>
      <c r="I441" s="455" t="str">
        <f t="shared" si="7"/>
        <v/>
      </c>
      <c r="J441" s="448"/>
      <c r="K441" s="456"/>
    </row>
    <row r="442" spans="2:11" x14ac:dyDescent="0.35">
      <c r="B442" s="445" t="str">
        <f>IF(Lançamentos!$B437="","",Lançamentos!$B437)</f>
        <v/>
      </c>
      <c r="C442" s="446" t="str">
        <f>IF($B442="","",IFERROR(INDEX(Lançamentos!$J$3:$J$1001,MATCH($B442,Lançamentos!$B$3:$B$1001,0)),""))</f>
        <v/>
      </c>
      <c r="D442" s="447" t="str">
        <f>IF($B442="","",IFERROR(INDEX('E2 — Triagem'!$D$8:$D$507,MATCH($B442,'E2 — Triagem'!$B$8:$B$507,0)),""))</f>
        <v/>
      </c>
      <c r="E442" s="447"/>
      <c r="F442" s="447"/>
      <c r="G442" s="447"/>
      <c r="H442" s="447"/>
      <c r="I442" s="455" t="str">
        <f t="shared" si="7"/>
        <v/>
      </c>
      <c r="J442" s="448"/>
      <c r="K442" s="456"/>
    </row>
    <row r="443" spans="2:11" x14ac:dyDescent="0.35">
      <c r="B443" s="445" t="str">
        <f>IF(Lançamentos!$B438="","",Lançamentos!$B438)</f>
        <v/>
      </c>
      <c r="C443" s="446" t="str">
        <f>IF($B443="","",IFERROR(INDEX(Lançamentos!$J$3:$J$1001,MATCH($B443,Lançamentos!$B$3:$B$1001,0)),""))</f>
        <v/>
      </c>
      <c r="D443" s="447" t="str">
        <f>IF($B443="","",IFERROR(INDEX('E2 — Triagem'!$D$8:$D$507,MATCH($B443,'E2 — Triagem'!$B$8:$B$507,0)),""))</f>
        <v/>
      </c>
      <c r="E443" s="447"/>
      <c r="F443" s="447"/>
      <c r="G443" s="447"/>
      <c r="H443" s="447"/>
      <c r="I443" s="455" t="str">
        <f t="shared" si="7"/>
        <v/>
      </c>
      <c r="J443" s="448"/>
      <c r="K443" s="456"/>
    </row>
    <row r="444" spans="2:11" x14ac:dyDescent="0.35">
      <c r="B444" s="445" t="str">
        <f>IF(Lançamentos!$B439="","",Lançamentos!$B439)</f>
        <v/>
      </c>
      <c r="C444" s="446" t="str">
        <f>IF($B444="","",IFERROR(INDEX(Lançamentos!$J$3:$J$1001,MATCH($B444,Lançamentos!$B$3:$B$1001,0)),""))</f>
        <v/>
      </c>
      <c r="D444" s="447" t="str">
        <f>IF($B444="","",IFERROR(INDEX('E2 — Triagem'!$D$8:$D$507,MATCH($B444,'E2 — Triagem'!$B$8:$B$507,0)),""))</f>
        <v/>
      </c>
      <c r="E444" s="447"/>
      <c r="F444" s="447"/>
      <c r="G444" s="447"/>
      <c r="H444" s="447"/>
      <c r="I444" s="455" t="str">
        <f t="shared" si="7"/>
        <v/>
      </c>
      <c r="J444" s="448"/>
      <c r="K444" s="456"/>
    </row>
    <row r="445" spans="2:11" x14ac:dyDescent="0.35">
      <c r="B445" s="445" t="str">
        <f>IF(Lançamentos!$B440="","",Lançamentos!$B440)</f>
        <v/>
      </c>
      <c r="C445" s="446" t="str">
        <f>IF($B445="","",IFERROR(INDEX(Lançamentos!$J$3:$J$1001,MATCH($B445,Lançamentos!$B$3:$B$1001,0)),""))</f>
        <v/>
      </c>
      <c r="D445" s="447" t="str">
        <f>IF($B445="","",IFERROR(INDEX('E2 — Triagem'!$D$8:$D$507,MATCH($B445,'E2 — Triagem'!$B$8:$B$507,0)),""))</f>
        <v/>
      </c>
      <c r="E445" s="447"/>
      <c r="F445" s="447"/>
      <c r="G445" s="447"/>
      <c r="H445" s="447"/>
      <c r="I445" s="455" t="str">
        <f t="shared" si="7"/>
        <v/>
      </c>
      <c r="J445" s="448"/>
      <c r="K445" s="456"/>
    </row>
    <row r="446" spans="2:11" x14ac:dyDescent="0.35">
      <c r="B446" s="445" t="str">
        <f>IF(Lançamentos!$B441="","",Lançamentos!$B441)</f>
        <v/>
      </c>
      <c r="C446" s="446" t="str">
        <f>IF($B446="","",IFERROR(INDEX(Lançamentos!$J$3:$J$1001,MATCH($B446,Lançamentos!$B$3:$B$1001,0)),""))</f>
        <v/>
      </c>
      <c r="D446" s="447" t="str">
        <f>IF($B446="","",IFERROR(INDEX('E2 — Triagem'!$D$8:$D$507,MATCH($B446,'E2 — Triagem'!$B$8:$B$507,0)),""))</f>
        <v/>
      </c>
      <c r="E446" s="447"/>
      <c r="F446" s="447"/>
      <c r="G446" s="447"/>
      <c r="H446" s="447"/>
      <c r="I446" s="455" t="str">
        <f t="shared" si="7"/>
        <v/>
      </c>
      <c r="J446" s="448"/>
      <c r="K446" s="456"/>
    </row>
    <row r="447" spans="2:11" x14ac:dyDescent="0.35">
      <c r="B447" s="445" t="str">
        <f>IF(Lançamentos!$B442="","",Lançamentos!$B442)</f>
        <v/>
      </c>
      <c r="C447" s="446" t="str">
        <f>IF($B447="","",IFERROR(INDEX(Lançamentos!$J$3:$J$1001,MATCH($B447,Lançamentos!$B$3:$B$1001,0)),""))</f>
        <v/>
      </c>
      <c r="D447" s="447" t="str">
        <f>IF($B447="","",IFERROR(INDEX('E2 — Triagem'!$D$8:$D$507,MATCH($B447,'E2 — Triagem'!$B$8:$B$507,0)),""))</f>
        <v/>
      </c>
      <c r="E447" s="447"/>
      <c r="F447" s="447"/>
      <c r="G447" s="447"/>
      <c r="H447" s="447"/>
      <c r="I447" s="455" t="str">
        <f t="shared" si="7"/>
        <v/>
      </c>
      <c r="J447" s="448"/>
      <c r="K447" s="456"/>
    </row>
    <row r="448" spans="2:11" x14ac:dyDescent="0.35">
      <c r="B448" s="445" t="str">
        <f>IF(Lançamentos!$B443="","",Lançamentos!$B443)</f>
        <v/>
      </c>
      <c r="C448" s="446" t="str">
        <f>IF($B448="","",IFERROR(INDEX(Lançamentos!$J$3:$J$1001,MATCH($B448,Lançamentos!$B$3:$B$1001,0)),""))</f>
        <v/>
      </c>
      <c r="D448" s="447" t="str">
        <f>IF($B448="","",IFERROR(INDEX('E2 — Triagem'!$D$8:$D$507,MATCH($B448,'E2 — Triagem'!$B$8:$B$507,0)),""))</f>
        <v/>
      </c>
      <c r="E448" s="447"/>
      <c r="F448" s="447"/>
      <c r="G448" s="447"/>
      <c r="H448" s="447"/>
      <c r="I448" s="455" t="str">
        <f t="shared" si="7"/>
        <v/>
      </c>
      <c r="J448" s="448"/>
      <c r="K448" s="456"/>
    </row>
    <row r="449" spans="2:11" x14ac:dyDescent="0.35">
      <c r="B449" s="445" t="str">
        <f>IF(Lançamentos!$B444="","",Lançamentos!$B444)</f>
        <v/>
      </c>
      <c r="C449" s="446" t="str">
        <f>IF($B449="","",IFERROR(INDEX(Lançamentos!$J$3:$J$1001,MATCH($B449,Lançamentos!$B$3:$B$1001,0)),""))</f>
        <v/>
      </c>
      <c r="D449" s="447" t="str">
        <f>IF($B449="","",IFERROR(INDEX('E2 — Triagem'!$D$8:$D$507,MATCH($B449,'E2 — Triagem'!$B$8:$B$507,0)),""))</f>
        <v/>
      </c>
      <c r="E449" s="447"/>
      <c r="F449" s="447"/>
      <c r="G449" s="447"/>
      <c r="H449" s="447"/>
      <c r="I449" s="455" t="str">
        <f t="shared" si="7"/>
        <v/>
      </c>
      <c r="J449" s="448"/>
      <c r="K449" s="456"/>
    </row>
    <row r="450" spans="2:11" x14ac:dyDescent="0.35">
      <c r="B450" s="445" t="str">
        <f>IF(Lançamentos!$B445="","",Lançamentos!$B445)</f>
        <v/>
      </c>
      <c r="C450" s="446" t="str">
        <f>IF($B450="","",IFERROR(INDEX(Lançamentos!$J$3:$J$1001,MATCH($B450,Lançamentos!$B$3:$B$1001,0)),""))</f>
        <v/>
      </c>
      <c r="D450" s="447" t="str">
        <f>IF($B450="","",IFERROR(INDEX('E2 — Triagem'!$D$8:$D$507,MATCH($B450,'E2 — Triagem'!$B$8:$B$507,0)),""))</f>
        <v/>
      </c>
      <c r="E450" s="447"/>
      <c r="F450" s="447"/>
      <c r="G450" s="447"/>
      <c r="H450" s="447"/>
      <c r="I450" s="455" t="str">
        <f t="shared" si="7"/>
        <v/>
      </c>
      <c r="J450" s="448"/>
      <c r="K450" s="456"/>
    </row>
    <row r="451" spans="2:11" x14ac:dyDescent="0.35">
      <c r="B451" s="445" t="str">
        <f>IF(Lançamentos!$B446="","",Lançamentos!$B446)</f>
        <v/>
      </c>
      <c r="C451" s="446" t="str">
        <f>IF($B451="","",IFERROR(INDEX(Lançamentos!$J$3:$J$1001,MATCH($B451,Lançamentos!$B$3:$B$1001,0)),""))</f>
        <v/>
      </c>
      <c r="D451" s="447" t="str">
        <f>IF($B451="","",IFERROR(INDEX('E2 — Triagem'!$D$8:$D$507,MATCH($B451,'E2 — Triagem'!$B$8:$B$507,0)),""))</f>
        <v/>
      </c>
      <c r="E451" s="447"/>
      <c r="F451" s="447"/>
      <c r="G451" s="447"/>
      <c r="H451" s="447"/>
      <c r="I451" s="455" t="str">
        <f t="shared" si="7"/>
        <v/>
      </c>
      <c r="J451" s="448"/>
      <c r="K451" s="456"/>
    </row>
    <row r="452" spans="2:11" x14ac:dyDescent="0.35">
      <c r="B452" s="445" t="str">
        <f>IF(Lançamentos!$B447="","",Lançamentos!$B447)</f>
        <v/>
      </c>
      <c r="C452" s="446" t="str">
        <f>IF($B452="","",IFERROR(INDEX(Lançamentos!$J$3:$J$1001,MATCH($B452,Lançamentos!$B$3:$B$1001,0)),""))</f>
        <v/>
      </c>
      <c r="D452" s="447" t="str">
        <f>IF($B452="","",IFERROR(INDEX('E2 — Triagem'!$D$8:$D$507,MATCH($B452,'E2 — Triagem'!$B$8:$B$507,0)),""))</f>
        <v/>
      </c>
      <c r="E452" s="447"/>
      <c r="F452" s="447"/>
      <c r="G452" s="447"/>
      <c r="H452" s="447"/>
      <c r="I452" s="455" t="str">
        <f t="shared" si="7"/>
        <v/>
      </c>
      <c r="J452" s="448"/>
      <c r="K452" s="456"/>
    </row>
    <row r="453" spans="2:11" x14ac:dyDescent="0.35">
      <c r="B453" s="445" t="str">
        <f>IF(Lançamentos!$B448="","",Lançamentos!$B448)</f>
        <v/>
      </c>
      <c r="C453" s="446" t="str">
        <f>IF($B453="","",IFERROR(INDEX(Lançamentos!$J$3:$J$1001,MATCH($B453,Lançamentos!$B$3:$B$1001,0)),""))</f>
        <v/>
      </c>
      <c r="D453" s="447" t="str">
        <f>IF($B453="","",IFERROR(INDEX('E2 — Triagem'!$D$8:$D$507,MATCH($B453,'E2 — Triagem'!$B$8:$B$507,0)),""))</f>
        <v/>
      </c>
      <c r="E453" s="447"/>
      <c r="F453" s="447"/>
      <c r="G453" s="447"/>
      <c r="H453" s="447"/>
      <c r="I453" s="455" t="str">
        <f t="shared" si="7"/>
        <v/>
      </c>
      <c r="J453" s="448"/>
      <c r="K453" s="456"/>
    </row>
    <row r="454" spans="2:11" x14ac:dyDescent="0.35">
      <c r="B454" s="445" t="str">
        <f>IF(Lançamentos!$B449="","",Lançamentos!$B449)</f>
        <v/>
      </c>
      <c r="C454" s="446" t="str">
        <f>IF($B454="","",IFERROR(INDEX(Lançamentos!$J$3:$J$1001,MATCH($B454,Lançamentos!$B$3:$B$1001,0)),""))</f>
        <v/>
      </c>
      <c r="D454" s="447" t="str">
        <f>IF($B454="","",IFERROR(INDEX('E2 — Triagem'!$D$8:$D$507,MATCH($B454,'E2 — Triagem'!$B$8:$B$507,0)),""))</f>
        <v/>
      </c>
      <c r="E454" s="447"/>
      <c r="F454" s="447"/>
      <c r="G454" s="447"/>
      <c r="H454" s="447"/>
      <c r="I454" s="455" t="str">
        <f t="shared" si="7"/>
        <v/>
      </c>
      <c r="J454" s="448"/>
      <c r="K454" s="456"/>
    </row>
    <row r="455" spans="2:11" x14ac:dyDescent="0.35">
      <c r="B455" s="445" t="str">
        <f>IF(Lançamentos!$B450="","",Lançamentos!$B450)</f>
        <v/>
      </c>
      <c r="C455" s="446" t="str">
        <f>IF($B455="","",IFERROR(INDEX(Lançamentos!$J$3:$J$1001,MATCH($B455,Lançamentos!$B$3:$B$1001,0)),""))</f>
        <v/>
      </c>
      <c r="D455" s="447" t="str">
        <f>IF($B455="","",IFERROR(INDEX('E2 — Triagem'!$D$8:$D$507,MATCH($B455,'E2 — Triagem'!$B$8:$B$507,0)),""))</f>
        <v/>
      </c>
      <c r="E455" s="447"/>
      <c r="F455" s="447"/>
      <c r="G455" s="447"/>
      <c r="H455" s="447"/>
      <c r="I455" s="455" t="str">
        <f t="shared" si="7"/>
        <v/>
      </c>
      <c r="J455" s="448"/>
      <c r="K455" s="456"/>
    </row>
    <row r="456" spans="2:11" x14ac:dyDescent="0.35">
      <c r="B456" s="445" t="str">
        <f>IF(Lançamentos!$B451="","",Lançamentos!$B451)</f>
        <v/>
      </c>
      <c r="C456" s="446" t="str">
        <f>IF($B456="","",IFERROR(INDEX(Lançamentos!$J$3:$J$1001,MATCH($B456,Lançamentos!$B$3:$B$1001,0)),""))</f>
        <v/>
      </c>
      <c r="D456" s="447" t="str">
        <f>IF($B456="","",IFERROR(INDEX('E2 — Triagem'!$D$8:$D$507,MATCH($B456,'E2 — Triagem'!$B$8:$B$507,0)),""))</f>
        <v/>
      </c>
      <c r="E456" s="447"/>
      <c r="F456" s="447"/>
      <c r="G456" s="447"/>
      <c r="H456" s="447"/>
      <c r="I456" s="455" t="str">
        <f t="shared" si="7"/>
        <v/>
      </c>
      <c r="J456" s="448"/>
      <c r="K456" s="456"/>
    </row>
    <row r="457" spans="2:11" x14ac:dyDescent="0.35">
      <c r="B457" s="445" t="str">
        <f>IF(Lançamentos!$B452="","",Lançamentos!$B452)</f>
        <v/>
      </c>
      <c r="C457" s="446" t="str">
        <f>IF($B457="","",IFERROR(INDEX(Lançamentos!$J$3:$J$1001,MATCH($B457,Lançamentos!$B$3:$B$1001,0)),""))</f>
        <v/>
      </c>
      <c r="D457" s="447" t="str">
        <f>IF($B457="","",IFERROR(INDEX('E2 — Triagem'!$D$8:$D$507,MATCH($B457,'E2 — Triagem'!$B$8:$B$507,0)),""))</f>
        <v/>
      </c>
      <c r="E457" s="447"/>
      <c r="F457" s="447"/>
      <c r="G457" s="447"/>
      <c r="H457" s="447"/>
      <c r="I457" s="455" t="str">
        <f t="shared" si="7"/>
        <v/>
      </c>
      <c r="J457" s="448"/>
      <c r="K457" s="456"/>
    </row>
    <row r="458" spans="2:11" x14ac:dyDescent="0.35">
      <c r="B458" s="445" t="str">
        <f>IF(Lançamentos!$B453="","",Lançamentos!$B453)</f>
        <v/>
      </c>
      <c r="C458" s="446" t="str">
        <f>IF($B458="","",IFERROR(INDEX(Lançamentos!$J$3:$J$1001,MATCH($B458,Lançamentos!$B$3:$B$1001,0)),""))</f>
        <v/>
      </c>
      <c r="D458" s="447" t="str">
        <f>IF($B458="","",IFERROR(INDEX('E2 — Triagem'!$D$8:$D$507,MATCH($B458,'E2 — Triagem'!$B$8:$B$507,0)),""))</f>
        <v/>
      </c>
      <c r="E458" s="447"/>
      <c r="F458" s="447"/>
      <c r="G458" s="447"/>
      <c r="H458" s="447"/>
      <c r="I458" s="455" t="str">
        <f t="shared" si="7"/>
        <v/>
      </c>
      <c r="J458" s="448"/>
      <c r="K458" s="456"/>
    </row>
    <row r="459" spans="2:11" x14ac:dyDescent="0.35">
      <c r="B459" s="445" t="str">
        <f>IF(Lançamentos!$B454="","",Lançamentos!$B454)</f>
        <v/>
      </c>
      <c r="C459" s="446" t="str">
        <f>IF($B459="","",IFERROR(INDEX(Lançamentos!$J$3:$J$1001,MATCH($B459,Lançamentos!$B$3:$B$1001,0)),""))</f>
        <v/>
      </c>
      <c r="D459" s="447" t="str">
        <f>IF($B459="","",IFERROR(INDEX('E2 — Triagem'!$D$8:$D$507,MATCH($B459,'E2 — Triagem'!$B$8:$B$507,0)),""))</f>
        <v/>
      </c>
      <c r="E459" s="447"/>
      <c r="F459" s="447"/>
      <c r="G459" s="447"/>
      <c r="H459" s="447"/>
      <c r="I459" s="455" t="str">
        <f t="shared" si="7"/>
        <v/>
      </c>
      <c r="J459" s="448"/>
      <c r="K459" s="456"/>
    </row>
    <row r="460" spans="2:11" x14ac:dyDescent="0.35">
      <c r="B460" s="445" t="str">
        <f>IF(Lançamentos!$B455="","",Lançamentos!$B455)</f>
        <v/>
      </c>
      <c r="C460" s="446" t="str">
        <f>IF($B460="","",IFERROR(INDEX(Lançamentos!$J$3:$J$1001,MATCH($B460,Lançamentos!$B$3:$B$1001,0)),""))</f>
        <v/>
      </c>
      <c r="D460" s="447" t="str">
        <f>IF($B460="","",IFERROR(INDEX('E2 — Triagem'!$D$8:$D$507,MATCH($B460,'E2 — Triagem'!$B$8:$B$507,0)),""))</f>
        <v/>
      </c>
      <c r="E460" s="447"/>
      <c r="F460" s="447"/>
      <c r="G460" s="447"/>
      <c r="H460" s="447"/>
      <c r="I460" s="455" t="str">
        <f t="shared" si="7"/>
        <v/>
      </c>
      <c r="J460" s="448"/>
      <c r="K460" s="456"/>
    </row>
    <row r="461" spans="2:11" x14ac:dyDescent="0.35">
      <c r="B461" s="445" t="str">
        <f>IF(Lançamentos!$B456="","",Lançamentos!$B456)</f>
        <v/>
      </c>
      <c r="C461" s="446" t="str">
        <f>IF($B461="","",IFERROR(INDEX(Lançamentos!$J$3:$J$1001,MATCH($B461,Lançamentos!$B$3:$B$1001,0)),""))</f>
        <v/>
      </c>
      <c r="D461" s="447" t="str">
        <f>IF($B461="","",IFERROR(INDEX('E2 — Triagem'!$D$8:$D$507,MATCH($B461,'E2 — Triagem'!$B$8:$B$507,0)),""))</f>
        <v/>
      </c>
      <c r="E461" s="447"/>
      <c r="F461" s="447"/>
      <c r="G461" s="447"/>
      <c r="H461" s="447"/>
      <c r="I461" s="455" t="str">
        <f t="shared" si="7"/>
        <v/>
      </c>
      <c r="J461" s="448"/>
      <c r="K461" s="456"/>
    </row>
    <row r="462" spans="2:11" x14ac:dyDescent="0.35">
      <c r="B462" s="445" t="str">
        <f>IF(Lançamentos!$B457="","",Lançamentos!$B457)</f>
        <v/>
      </c>
      <c r="C462" s="446" t="str">
        <f>IF($B462="","",IFERROR(INDEX(Lançamentos!$J$3:$J$1001,MATCH($B462,Lançamentos!$B$3:$B$1001,0)),""))</f>
        <v/>
      </c>
      <c r="D462" s="447" t="str">
        <f>IF($B462="","",IFERROR(INDEX('E2 — Triagem'!$D$8:$D$507,MATCH($B462,'E2 — Triagem'!$B$8:$B$507,0)),""))</f>
        <v/>
      </c>
      <c r="E462" s="447"/>
      <c r="F462" s="447"/>
      <c r="G462" s="447"/>
      <c r="H462" s="447"/>
      <c r="I462" s="455" t="str">
        <f t="shared" si="7"/>
        <v/>
      </c>
      <c r="J462" s="448"/>
      <c r="K462" s="456"/>
    </row>
    <row r="463" spans="2:11" x14ac:dyDescent="0.35">
      <c r="B463" s="445" t="str">
        <f>IF(Lançamentos!$B458="","",Lançamentos!$B458)</f>
        <v/>
      </c>
      <c r="C463" s="446" t="str">
        <f>IF($B463="","",IFERROR(INDEX(Lançamentos!$J$3:$J$1001,MATCH($B463,Lançamentos!$B$3:$B$1001,0)),""))</f>
        <v/>
      </c>
      <c r="D463" s="447" t="str">
        <f>IF($B463="","",IFERROR(INDEX('E2 — Triagem'!$D$8:$D$507,MATCH($B463,'E2 — Triagem'!$B$8:$B$507,0)),""))</f>
        <v/>
      </c>
      <c r="E463" s="447"/>
      <c r="F463" s="447"/>
      <c r="G463" s="447"/>
      <c r="H463" s="447"/>
      <c r="I463" s="455" t="str">
        <f t="shared" si="7"/>
        <v/>
      </c>
      <c r="J463" s="448"/>
      <c r="K463" s="456"/>
    </row>
    <row r="464" spans="2:11" x14ac:dyDescent="0.35">
      <c r="B464" s="445" t="str">
        <f>IF(Lançamentos!$B459="","",Lançamentos!$B459)</f>
        <v/>
      </c>
      <c r="C464" s="446" t="str">
        <f>IF($B464="","",IFERROR(INDEX(Lançamentos!$J$3:$J$1001,MATCH($B464,Lançamentos!$B$3:$B$1001,0)),""))</f>
        <v/>
      </c>
      <c r="D464" s="447" t="str">
        <f>IF($B464="","",IFERROR(INDEX('E2 — Triagem'!$D$8:$D$507,MATCH($B464,'E2 — Triagem'!$B$8:$B$507,0)),""))</f>
        <v/>
      </c>
      <c r="E464" s="447"/>
      <c r="F464" s="447"/>
      <c r="G464" s="447"/>
      <c r="H464" s="447"/>
      <c r="I464" s="455" t="str">
        <f t="shared" ref="I464:I507" si="8">IF(B464="","",IF(COUNTIF(E464:H464,"N/A")=4,0,COUNTIF(E464:H464,"✔ Concluído")/(4-COUNTIF(E464:H464,"N/A"))))</f>
        <v/>
      </c>
      <c r="J464" s="448"/>
      <c r="K464" s="456"/>
    </row>
    <row r="465" spans="2:11" x14ac:dyDescent="0.35">
      <c r="B465" s="445" t="str">
        <f>IF(Lançamentos!$B460="","",Lançamentos!$B460)</f>
        <v/>
      </c>
      <c r="C465" s="446" t="str">
        <f>IF($B465="","",IFERROR(INDEX(Lançamentos!$J$3:$J$1001,MATCH($B465,Lançamentos!$B$3:$B$1001,0)),""))</f>
        <v/>
      </c>
      <c r="D465" s="447" t="str">
        <f>IF($B465="","",IFERROR(INDEX('E2 — Triagem'!$D$8:$D$507,MATCH($B465,'E2 — Triagem'!$B$8:$B$507,0)),""))</f>
        <v/>
      </c>
      <c r="E465" s="447"/>
      <c r="F465" s="447"/>
      <c r="G465" s="447"/>
      <c r="H465" s="447"/>
      <c r="I465" s="455" t="str">
        <f t="shared" si="8"/>
        <v/>
      </c>
      <c r="J465" s="448"/>
      <c r="K465" s="456"/>
    </row>
    <row r="466" spans="2:11" x14ac:dyDescent="0.35">
      <c r="B466" s="445" t="str">
        <f>IF(Lançamentos!$B461="","",Lançamentos!$B461)</f>
        <v/>
      </c>
      <c r="C466" s="446" t="str">
        <f>IF($B466="","",IFERROR(INDEX(Lançamentos!$J$3:$J$1001,MATCH($B466,Lançamentos!$B$3:$B$1001,0)),""))</f>
        <v/>
      </c>
      <c r="D466" s="447" t="str">
        <f>IF($B466="","",IFERROR(INDEX('E2 — Triagem'!$D$8:$D$507,MATCH($B466,'E2 — Triagem'!$B$8:$B$507,0)),""))</f>
        <v/>
      </c>
      <c r="E466" s="447"/>
      <c r="F466" s="447"/>
      <c r="G466" s="447"/>
      <c r="H466" s="447"/>
      <c r="I466" s="455" t="str">
        <f t="shared" si="8"/>
        <v/>
      </c>
      <c r="J466" s="448"/>
      <c r="K466" s="456"/>
    </row>
    <row r="467" spans="2:11" x14ac:dyDescent="0.35">
      <c r="B467" s="445" t="str">
        <f>IF(Lançamentos!$B462="","",Lançamentos!$B462)</f>
        <v/>
      </c>
      <c r="C467" s="446" t="str">
        <f>IF($B467="","",IFERROR(INDEX(Lançamentos!$J$3:$J$1001,MATCH($B467,Lançamentos!$B$3:$B$1001,0)),""))</f>
        <v/>
      </c>
      <c r="D467" s="447" t="str">
        <f>IF($B467="","",IFERROR(INDEX('E2 — Triagem'!$D$8:$D$507,MATCH($B467,'E2 — Triagem'!$B$8:$B$507,0)),""))</f>
        <v/>
      </c>
      <c r="E467" s="447"/>
      <c r="F467" s="447"/>
      <c r="G467" s="447"/>
      <c r="H467" s="447"/>
      <c r="I467" s="455" t="str">
        <f t="shared" si="8"/>
        <v/>
      </c>
      <c r="J467" s="448"/>
      <c r="K467" s="456"/>
    </row>
    <row r="468" spans="2:11" x14ac:dyDescent="0.35">
      <c r="B468" s="445" t="str">
        <f>IF(Lançamentos!$B463="","",Lançamentos!$B463)</f>
        <v/>
      </c>
      <c r="C468" s="446" t="str">
        <f>IF($B468="","",IFERROR(INDEX(Lançamentos!$J$3:$J$1001,MATCH($B468,Lançamentos!$B$3:$B$1001,0)),""))</f>
        <v/>
      </c>
      <c r="D468" s="447" t="str">
        <f>IF($B468="","",IFERROR(INDEX('E2 — Triagem'!$D$8:$D$507,MATCH($B468,'E2 — Triagem'!$B$8:$B$507,0)),""))</f>
        <v/>
      </c>
      <c r="E468" s="447"/>
      <c r="F468" s="447"/>
      <c r="G468" s="447"/>
      <c r="H468" s="447"/>
      <c r="I468" s="455" t="str">
        <f t="shared" si="8"/>
        <v/>
      </c>
      <c r="J468" s="448"/>
      <c r="K468" s="456"/>
    </row>
    <row r="469" spans="2:11" x14ac:dyDescent="0.35">
      <c r="B469" s="445" t="str">
        <f>IF(Lançamentos!$B464="","",Lançamentos!$B464)</f>
        <v/>
      </c>
      <c r="C469" s="446" t="str">
        <f>IF($B469="","",IFERROR(INDEX(Lançamentos!$J$3:$J$1001,MATCH($B469,Lançamentos!$B$3:$B$1001,0)),""))</f>
        <v/>
      </c>
      <c r="D469" s="447" t="str">
        <f>IF($B469="","",IFERROR(INDEX('E2 — Triagem'!$D$8:$D$507,MATCH($B469,'E2 — Triagem'!$B$8:$B$507,0)),""))</f>
        <v/>
      </c>
      <c r="E469" s="447"/>
      <c r="F469" s="447"/>
      <c r="G469" s="447"/>
      <c r="H469" s="447"/>
      <c r="I469" s="455" t="str">
        <f t="shared" si="8"/>
        <v/>
      </c>
      <c r="J469" s="448"/>
      <c r="K469" s="456"/>
    </row>
    <row r="470" spans="2:11" x14ac:dyDescent="0.35">
      <c r="B470" s="445" t="str">
        <f>IF(Lançamentos!$B465="","",Lançamentos!$B465)</f>
        <v/>
      </c>
      <c r="C470" s="446" t="str">
        <f>IF($B470="","",IFERROR(INDEX(Lançamentos!$J$3:$J$1001,MATCH($B470,Lançamentos!$B$3:$B$1001,0)),""))</f>
        <v/>
      </c>
      <c r="D470" s="447" t="str">
        <f>IF($B470="","",IFERROR(INDEX('E2 — Triagem'!$D$8:$D$507,MATCH($B470,'E2 — Triagem'!$B$8:$B$507,0)),""))</f>
        <v/>
      </c>
      <c r="E470" s="447"/>
      <c r="F470" s="447"/>
      <c r="G470" s="447"/>
      <c r="H470" s="447"/>
      <c r="I470" s="455" t="str">
        <f t="shared" si="8"/>
        <v/>
      </c>
      <c r="J470" s="448"/>
      <c r="K470" s="456"/>
    </row>
    <row r="471" spans="2:11" x14ac:dyDescent="0.35">
      <c r="B471" s="445" t="str">
        <f>IF(Lançamentos!$B466="","",Lançamentos!$B466)</f>
        <v/>
      </c>
      <c r="C471" s="446" t="str">
        <f>IF($B471="","",IFERROR(INDEX(Lançamentos!$J$3:$J$1001,MATCH($B471,Lançamentos!$B$3:$B$1001,0)),""))</f>
        <v/>
      </c>
      <c r="D471" s="447" t="str">
        <f>IF($B471="","",IFERROR(INDEX('E2 — Triagem'!$D$8:$D$507,MATCH($B471,'E2 — Triagem'!$B$8:$B$507,0)),""))</f>
        <v/>
      </c>
      <c r="E471" s="447"/>
      <c r="F471" s="447"/>
      <c r="G471" s="447"/>
      <c r="H471" s="447"/>
      <c r="I471" s="455" t="str">
        <f t="shared" si="8"/>
        <v/>
      </c>
      <c r="J471" s="448"/>
      <c r="K471" s="456"/>
    </row>
    <row r="472" spans="2:11" x14ac:dyDescent="0.35">
      <c r="B472" s="445" t="str">
        <f>IF(Lançamentos!$B467="","",Lançamentos!$B467)</f>
        <v/>
      </c>
      <c r="C472" s="446" t="str">
        <f>IF($B472="","",IFERROR(INDEX(Lançamentos!$J$3:$J$1001,MATCH($B472,Lançamentos!$B$3:$B$1001,0)),""))</f>
        <v/>
      </c>
      <c r="D472" s="447" t="str">
        <f>IF($B472="","",IFERROR(INDEX('E2 — Triagem'!$D$8:$D$507,MATCH($B472,'E2 — Triagem'!$B$8:$B$507,0)),""))</f>
        <v/>
      </c>
      <c r="E472" s="447"/>
      <c r="F472" s="447"/>
      <c r="G472" s="447"/>
      <c r="H472" s="447"/>
      <c r="I472" s="455" t="str">
        <f t="shared" si="8"/>
        <v/>
      </c>
      <c r="J472" s="448"/>
      <c r="K472" s="456"/>
    </row>
    <row r="473" spans="2:11" x14ac:dyDescent="0.35">
      <c r="B473" s="445" t="str">
        <f>IF(Lançamentos!$B468="","",Lançamentos!$B468)</f>
        <v/>
      </c>
      <c r="C473" s="446" t="str">
        <f>IF($B473="","",IFERROR(INDEX(Lançamentos!$J$3:$J$1001,MATCH($B473,Lançamentos!$B$3:$B$1001,0)),""))</f>
        <v/>
      </c>
      <c r="D473" s="447" t="str">
        <f>IF($B473="","",IFERROR(INDEX('E2 — Triagem'!$D$8:$D$507,MATCH($B473,'E2 — Triagem'!$B$8:$B$507,0)),""))</f>
        <v/>
      </c>
      <c r="E473" s="447"/>
      <c r="F473" s="447"/>
      <c r="G473" s="447"/>
      <c r="H473" s="447"/>
      <c r="I473" s="455" t="str">
        <f t="shared" si="8"/>
        <v/>
      </c>
      <c r="J473" s="448"/>
      <c r="K473" s="456"/>
    </row>
    <row r="474" spans="2:11" x14ac:dyDescent="0.35">
      <c r="B474" s="445" t="str">
        <f>IF(Lançamentos!$B469="","",Lançamentos!$B469)</f>
        <v/>
      </c>
      <c r="C474" s="446" t="str">
        <f>IF($B474="","",IFERROR(INDEX(Lançamentos!$J$3:$J$1001,MATCH($B474,Lançamentos!$B$3:$B$1001,0)),""))</f>
        <v/>
      </c>
      <c r="D474" s="447" t="str">
        <f>IF($B474="","",IFERROR(INDEX('E2 — Triagem'!$D$8:$D$507,MATCH($B474,'E2 — Triagem'!$B$8:$B$507,0)),""))</f>
        <v/>
      </c>
      <c r="E474" s="447"/>
      <c r="F474" s="447"/>
      <c r="G474" s="447"/>
      <c r="H474" s="447"/>
      <c r="I474" s="455" t="str">
        <f t="shared" si="8"/>
        <v/>
      </c>
      <c r="J474" s="448"/>
      <c r="K474" s="456"/>
    </row>
    <row r="475" spans="2:11" x14ac:dyDescent="0.35">
      <c r="B475" s="445" t="str">
        <f>IF(Lançamentos!$B470="","",Lançamentos!$B470)</f>
        <v/>
      </c>
      <c r="C475" s="446" t="str">
        <f>IF($B475="","",IFERROR(INDEX(Lançamentos!$J$3:$J$1001,MATCH($B475,Lançamentos!$B$3:$B$1001,0)),""))</f>
        <v/>
      </c>
      <c r="D475" s="447" t="str">
        <f>IF($B475="","",IFERROR(INDEX('E2 — Triagem'!$D$8:$D$507,MATCH($B475,'E2 — Triagem'!$B$8:$B$507,0)),""))</f>
        <v/>
      </c>
      <c r="E475" s="447"/>
      <c r="F475" s="447"/>
      <c r="G475" s="447"/>
      <c r="H475" s="447"/>
      <c r="I475" s="455" t="str">
        <f t="shared" si="8"/>
        <v/>
      </c>
      <c r="J475" s="448"/>
      <c r="K475" s="456"/>
    </row>
    <row r="476" spans="2:11" x14ac:dyDescent="0.35">
      <c r="B476" s="445" t="str">
        <f>IF(Lançamentos!$B471="","",Lançamentos!$B471)</f>
        <v/>
      </c>
      <c r="C476" s="446" t="str">
        <f>IF($B476="","",IFERROR(INDEX(Lançamentos!$J$3:$J$1001,MATCH($B476,Lançamentos!$B$3:$B$1001,0)),""))</f>
        <v/>
      </c>
      <c r="D476" s="447" t="str">
        <f>IF($B476="","",IFERROR(INDEX('E2 — Triagem'!$D$8:$D$507,MATCH($B476,'E2 — Triagem'!$B$8:$B$507,0)),""))</f>
        <v/>
      </c>
      <c r="E476" s="447"/>
      <c r="F476" s="447"/>
      <c r="G476" s="447"/>
      <c r="H476" s="447"/>
      <c r="I476" s="455" t="str">
        <f t="shared" si="8"/>
        <v/>
      </c>
      <c r="J476" s="448"/>
      <c r="K476" s="456"/>
    </row>
    <row r="477" spans="2:11" x14ac:dyDescent="0.35">
      <c r="B477" s="445" t="str">
        <f>IF(Lançamentos!$B472="","",Lançamentos!$B472)</f>
        <v/>
      </c>
      <c r="C477" s="446" t="str">
        <f>IF($B477="","",IFERROR(INDEX(Lançamentos!$J$3:$J$1001,MATCH($B477,Lançamentos!$B$3:$B$1001,0)),""))</f>
        <v/>
      </c>
      <c r="D477" s="447" t="str">
        <f>IF($B477="","",IFERROR(INDEX('E2 — Triagem'!$D$8:$D$507,MATCH($B477,'E2 — Triagem'!$B$8:$B$507,0)),""))</f>
        <v/>
      </c>
      <c r="E477" s="447"/>
      <c r="F477" s="447"/>
      <c r="G477" s="447"/>
      <c r="H477" s="447"/>
      <c r="I477" s="455" t="str">
        <f t="shared" si="8"/>
        <v/>
      </c>
      <c r="J477" s="448"/>
      <c r="K477" s="456"/>
    </row>
    <row r="478" spans="2:11" x14ac:dyDescent="0.35">
      <c r="B478" s="445" t="str">
        <f>IF(Lançamentos!$B473="","",Lançamentos!$B473)</f>
        <v/>
      </c>
      <c r="C478" s="446" t="str">
        <f>IF($B478="","",IFERROR(INDEX(Lançamentos!$J$3:$J$1001,MATCH($B478,Lançamentos!$B$3:$B$1001,0)),""))</f>
        <v/>
      </c>
      <c r="D478" s="447" t="str">
        <f>IF($B478="","",IFERROR(INDEX('E2 — Triagem'!$D$8:$D$507,MATCH($B478,'E2 — Triagem'!$B$8:$B$507,0)),""))</f>
        <v/>
      </c>
      <c r="E478" s="447"/>
      <c r="F478" s="447"/>
      <c r="G478" s="447"/>
      <c r="H478" s="447"/>
      <c r="I478" s="455" t="str">
        <f t="shared" si="8"/>
        <v/>
      </c>
      <c r="J478" s="448"/>
      <c r="K478" s="456"/>
    </row>
    <row r="479" spans="2:11" x14ac:dyDescent="0.35">
      <c r="B479" s="445" t="str">
        <f>IF(Lançamentos!$B474="","",Lançamentos!$B474)</f>
        <v/>
      </c>
      <c r="C479" s="446" t="str">
        <f>IF($B479="","",IFERROR(INDEX(Lançamentos!$J$3:$J$1001,MATCH($B479,Lançamentos!$B$3:$B$1001,0)),""))</f>
        <v/>
      </c>
      <c r="D479" s="447" t="str">
        <f>IF($B479="","",IFERROR(INDEX('E2 — Triagem'!$D$8:$D$507,MATCH($B479,'E2 — Triagem'!$B$8:$B$507,0)),""))</f>
        <v/>
      </c>
      <c r="E479" s="447"/>
      <c r="F479" s="447"/>
      <c r="G479" s="447"/>
      <c r="H479" s="447"/>
      <c r="I479" s="455" t="str">
        <f t="shared" si="8"/>
        <v/>
      </c>
      <c r="J479" s="448"/>
      <c r="K479" s="456"/>
    </row>
    <row r="480" spans="2:11" x14ac:dyDescent="0.35">
      <c r="B480" s="445" t="str">
        <f>IF(Lançamentos!$B475="","",Lançamentos!$B475)</f>
        <v/>
      </c>
      <c r="C480" s="446" t="str">
        <f>IF($B480="","",IFERROR(INDEX(Lançamentos!$J$3:$J$1001,MATCH($B480,Lançamentos!$B$3:$B$1001,0)),""))</f>
        <v/>
      </c>
      <c r="D480" s="447" t="str">
        <f>IF($B480="","",IFERROR(INDEX('E2 — Triagem'!$D$8:$D$507,MATCH($B480,'E2 — Triagem'!$B$8:$B$507,0)),""))</f>
        <v/>
      </c>
      <c r="E480" s="447"/>
      <c r="F480" s="447"/>
      <c r="G480" s="447"/>
      <c r="H480" s="447"/>
      <c r="I480" s="455" t="str">
        <f t="shared" si="8"/>
        <v/>
      </c>
      <c r="J480" s="448"/>
      <c r="K480" s="456"/>
    </row>
    <row r="481" spans="2:11" x14ac:dyDescent="0.35">
      <c r="B481" s="445" t="str">
        <f>IF(Lançamentos!$B476="","",Lançamentos!$B476)</f>
        <v/>
      </c>
      <c r="C481" s="446" t="str">
        <f>IF($B481="","",IFERROR(INDEX(Lançamentos!$J$3:$J$1001,MATCH($B481,Lançamentos!$B$3:$B$1001,0)),""))</f>
        <v/>
      </c>
      <c r="D481" s="447" t="str">
        <f>IF($B481="","",IFERROR(INDEX('E2 — Triagem'!$D$8:$D$507,MATCH($B481,'E2 — Triagem'!$B$8:$B$507,0)),""))</f>
        <v/>
      </c>
      <c r="E481" s="447"/>
      <c r="F481" s="447"/>
      <c r="G481" s="447"/>
      <c r="H481" s="447"/>
      <c r="I481" s="455" t="str">
        <f t="shared" si="8"/>
        <v/>
      </c>
      <c r="J481" s="448"/>
      <c r="K481" s="456"/>
    </row>
    <row r="482" spans="2:11" x14ac:dyDescent="0.35">
      <c r="B482" s="445" t="str">
        <f>IF(Lançamentos!$B477="","",Lançamentos!$B477)</f>
        <v/>
      </c>
      <c r="C482" s="446" t="str">
        <f>IF($B482="","",IFERROR(INDEX(Lançamentos!$J$3:$J$1001,MATCH($B482,Lançamentos!$B$3:$B$1001,0)),""))</f>
        <v/>
      </c>
      <c r="D482" s="447" t="str">
        <f>IF($B482="","",IFERROR(INDEX('E2 — Triagem'!$D$8:$D$507,MATCH($B482,'E2 — Triagem'!$B$8:$B$507,0)),""))</f>
        <v/>
      </c>
      <c r="E482" s="447"/>
      <c r="F482" s="447"/>
      <c r="G482" s="447"/>
      <c r="H482" s="447"/>
      <c r="I482" s="455" t="str">
        <f t="shared" si="8"/>
        <v/>
      </c>
      <c r="J482" s="448"/>
      <c r="K482" s="456"/>
    </row>
    <row r="483" spans="2:11" x14ac:dyDescent="0.35">
      <c r="B483" s="445" t="str">
        <f>IF(Lançamentos!$B478="","",Lançamentos!$B478)</f>
        <v/>
      </c>
      <c r="C483" s="446" t="str">
        <f>IF($B483="","",IFERROR(INDEX(Lançamentos!$J$3:$J$1001,MATCH($B483,Lançamentos!$B$3:$B$1001,0)),""))</f>
        <v/>
      </c>
      <c r="D483" s="447" t="str">
        <f>IF($B483="","",IFERROR(INDEX('E2 — Triagem'!$D$8:$D$507,MATCH($B483,'E2 — Triagem'!$B$8:$B$507,0)),""))</f>
        <v/>
      </c>
      <c r="E483" s="447"/>
      <c r="F483" s="447"/>
      <c r="G483" s="447"/>
      <c r="H483" s="447"/>
      <c r="I483" s="455" t="str">
        <f t="shared" si="8"/>
        <v/>
      </c>
      <c r="J483" s="448"/>
      <c r="K483" s="456"/>
    </row>
    <row r="484" spans="2:11" x14ac:dyDescent="0.35">
      <c r="B484" s="445" t="str">
        <f>IF(Lançamentos!$B479="","",Lançamentos!$B479)</f>
        <v/>
      </c>
      <c r="C484" s="446" t="str">
        <f>IF($B484="","",IFERROR(INDEX(Lançamentos!$J$3:$J$1001,MATCH($B484,Lançamentos!$B$3:$B$1001,0)),""))</f>
        <v/>
      </c>
      <c r="D484" s="447" t="str">
        <f>IF($B484="","",IFERROR(INDEX('E2 — Triagem'!$D$8:$D$507,MATCH($B484,'E2 — Triagem'!$B$8:$B$507,0)),""))</f>
        <v/>
      </c>
      <c r="E484" s="447"/>
      <c r="F484" s="447"/>
      <c r="G484" s="447"/>
      <c r="H484" s="447"/>
      <c r="I484" s="455" t="str">
        <f t="shared" si="8"/>
        <v/>
      </c>
      <c r="J484" s="448"/>
      <c r="K484" s="456"/>
    </row>
    <row r="485" spans="2:11" x14ac:dyDescent="0.35">
      <c r="B485" s="445" t="str">
        <f>IF(Lançamentos!$B480="","",Lançamentos!$B480)</f>
        <v/>
      </c>
      <c r="C485" s="446" t="str">
        <f>IF($B485="","",IFERROR(INDEX(Lançamentos!$J$3:$J$1001,MATCH($B485,Lançamentos!$B$3:$B$1001,0)),""))</f>
        <v/>
      </c>
      <c r="D485" s="447" t="str">
        <f>IF($B485="","",IFERROR(INDEX('E2 — Triagem'!$D$8:$D$507,MATCH($B485,'E2 — Triagem'!$B$8:$B$507,0)),""))</f>
        <v/>
      </c>
      <c r="E485" s="447"/>
      <c r="F485" s="447"/>
      <c r="G485" s="447"/>
      <c r="H485" s="447"/>
      <c r="I485" s="455" t="str">
        <f t="shared" si="8"/>
        <v/>
      </c>
      <c r="J485" s="448"/>
      <c r="K485" s="456"/>
    </row>
    <row r="486" spans="2:11" x14ac:dyDescent="0.35">
      <c r="B486" s="445" t="str">
        <f>IF(Lançamentos!$B481="","",Lançamentos!$B481)</f>
        <v/>
      </c>
      <c r="C486" s="446" t="str">
        <f>IF($B486="","",IFERROR(INDEX(Lançamentos!$J$3:$J$1001,MATCH($B486,Lançamentos!$B$3:$B$1001,0)),""))</f>
        <v/>
      </c>
      <c r="D486" s="447" t="str">
        <f>IF($B486="","",IFERROR(INDEX('E2 — Triagem'!$D$8:$D$507,MATCH($B486,'E2 — Triagem'!$B$8:$B$507,0)),""))</f>
        <v/>
      </c>
      <c r="E486" s="447"/>
      <c r="F486" s="447"/>
      <c r="G486" s="447"/>
      <c r="H486" s="447"/>
      <c r="I486" s="455" t="str">
        <f t="shared" si="8"/>
        <v/>
      </c>
      <c r="J486" s="448"/>
      <c r="K486" s="456"/>
    </row>
    <row r="487" spans="2:11" x14ac:dyDescent="0.35">
      <c r="B487" s="445" t="str">
        <f>IF(Lançamentos!$B482="","",Lançamentos!$B482)</f>
        <v/>
      </c>
      <c r="C487" s="446" t="str">
        <f>IF($B487="","",IFERROR(INDEX(Lançamentos!$J$3:$J$1001,MATCH($B487,Lançamentos!$B$3:$B$1001,0)),""))</f>
        <v/>
      </c>
      <c r="D487" s="447" t="str">
        <f>IF($B487="","",IFERROR(INDEX('E2 — Triagem'!$D$8:$D$507,MATCH($B487,'E2 — Triagem'!$B$8:$B$507,0)),""))</f>
        <v/>
      </c>
      <c r="E487" s="447"/>
      <c r="F487" s="447"/>
      <c r="G487" s="447"/>
      <c r="H487" s="447"/>
      <c r="I487" s="455" t="str">
        <f t="shared" si="8"/>
        <v/>
      </c>
      <c r="J487" s="448"/>
      <c r="K487" s="456"/>
    </row>
    <row r="488" spans="2:11" x14ac:dyDescent="0.35">
      <c r="B488" s="445" t="str">
        <f>IF(Lançamentos!$B483="","",Lançamentos!$B483)</f>
        <v/>
      </c>
      <c r="C488" s="446" t="str">
        <f>IF($B488="","",IFERROR(INDEX(Lançamentos!$J$3:$J$1001,MATCH($B488,Lançamentos!$B$3:$B$1001,0)),""))</f>
        <v/>
      </c>
      <c r="D488" s="447" t="str">
        <f>IF($B488="","",IFERROR(INDEX('E2 — Triagem'!$D$8:$D$507,MATCH($B488,'E2 — Triagem'!$B$8:$B$507,0)),""))</f>
        <v/>
      </c>
      <c r="E488" s="447"/>
      <c r="F488" s="447"/>
      <c r="G488" s="447"/>
      <c r="H488" s="447"/>
      <c r="I488" s="455" t="str">
        <f t="shared" si="8"/>
        <v/>
      </c>
      <c r="J488" s="448"/>
      <c r="K488" s="456"/>
    </row>
    <row r="489" spans="2:11" x14ac:dyDescent="0.35">
      <c r="B489" s="445" t="str">
        <f>IF(Lançamentos!$B484="","",Lançamentos!$B484)</f>
        <v/>
      </c>
      <c r="C489" s="446" t="str">
        <f>IF($B489="","",IFERROR(INDEX(Lançamentos!$J$3:$J$1001,MATCH($B489,Lançamentos!$B$3:$B$1001,0)),""))</f>
        <v/>
      </c>
      <c r="D489" s="447" t="str">
        <f>IF($B489="","",IFERROR(INDEX('E2 — Triagem'!$D$8:$D$507,MATCH($B489,'E2 — Triagem'!$B$8:$B$507,0)),""))</f>
        <v/>
      </c>
      <c r="E489" s="447"/>
      <c r="F489" s="447"/>
      <c r="G489" s="447"/>
      <c r="H489" s="447"/>
      <c r="I489" s="455" t="str">
        <f t="shared" si="8"/>
        <v/>
      </c>
      <c r="J489" s="448"/>
      <c r="K489" s="456"/>
    </row>
    <row r="490" spans="2:11" x14ac:dyDescent="0.35">
      <c r="B490" s="445" t="str">
        <f>IF(Lançamentos!$B485="","",Lançamentos!$B485)</f>
        <v/>
      </c>
      <c r="C490" s="446" t="str">
        <f>IF($B490="","",IFERROR(INDEX(Lançamentos!$J$3:$J$1001,MATCH($B490,Lançamentos!$B$3:$B$1001,0)),""))</f>
        <v/>
      </c>
      <c r="D490" s="447" t="str">
        <f>IF($B490="","",IFERROR(INDEX('E2 — Triagem'!$D$8:$D$507,MATCH($B490,'E2 — Triagem'!$B$8:$B$507,0)),""))</f>
        <v/>
      </c>
      <c r="E490" s="447"/>
      <c r="F490" s="447"/>
      <c r="G490" s="447"/>
      <c r="H490" s="447"/>
      <c r="I490" s="455" t="str">
        <f t="shared" si="8"/>
        <v/>
      </c>
      <c r="J490" s="448"/>
      <c r="K490" s="456"/>
    </row>
    <row r="491" spans="2:11" x14ac:dyDescent="0.35">
      <c r="B491" s="445" t="str">
        <f>IF(Lançamentos!$B486="","",Lançamentos!$B486)</f>
        <v/>
      </c>
      <c r="C491" s="446" t="str">
        <f>IF($B491="","",IFERROR(INDEX(Lançamentos!$J$3:$J$1001,MATCH($B491,Lançamentos!$B$3:$B$1001,0)),""))</f>
        <v/>
      </c>
      <c r="D491" s="447" t="str">
        <f>IF($B491="","",IFERROR(INDEX('E2 — Triagem'!$D$8:$D$507,MATCH($B491,'E2 — Triagem'!$B$8:$B$507,0)),""))</f>
        <v/>
      </c>
      <c r="E491" s="447"/>
      <c r="F491" s="447"/>
      <c r="G491" s="447"/>
      <c r="H491" s="447"/>
      <c r="I491" s="455" t="str">
        <f t="shared" si="8"/>
        <v/>
      </c>
      <c r="J491" s="448"/>
      <c r="K491" s="456"/>
    </row>
    <row r="492" spans="2:11" x14ac:dyDescent="0.35">
      <c r="B492" s="445" t="str">
        <f>IF(Lançamentos!$B487="","",Lançamentos!$B487)</f>
        <v/>
      </c>
      <c r="C492" s="446" t="str">
        <f>IF($B492="","",IFERROR(INDEX(Lançamentos!$J$3:$J$1001,MATCH($B492,Lançamentos!$B$3:$B$1001,0)),""))</f>
        <v/>
      </c>
      <c r="D492" s="447" t="str">
        <f>IF($B492="","",IFERROR(INDEX('E2 — Triagem'!$D$8:$D$507,MATCH($B492,'E2 — Triagem'!$B$8:$B$507,0)),""))</f>
        <v/>
      </c>
      <c r="E492" s="447"/>
      <c r="F492" s="447"/>
      <c r="G492" s="447"/>
      <c r="H492" s="447"/>
      <c r="I492" s="455" t="str">
        <f t="shared" si="8"/>
        <v/>
      </c>
      <c r="J492" s="448"/>
      <c r="K492" s="456"/>
    </row>
    <row r="493" spans="2:11" x14ac:dyDescent="0.35">
      <c r="B493" s="445" t="str">
        <f>IF(Lançamentos!$B488="","",Lançamentos!$B488)</f>
        <v/>
      </c>
      <c r="C493" s="446" t="str">
        <f>IF($B493="","",IFERROR(INDEX(Lançamentos!$J$3:$J$1001,MATCH($B493,Lançamentos!$B$3:$B$1001,0)),""))</f>
        <v/>
      </c>
      <c r="D493" s="447" t="str">
        <f>IF($B493="","",IFERROR(INDEX('E2 — Triagem'!$D$8:$D$507,MATCH($B493,'E2 — Triagem'!$B$8:$B$507,0)),""))</f>
        <v/>
      </c>
      <c r="E493" s="447"/>
      <c r="F493" s="447"/>
      <c r="G493" s="447"/>
      <c r="H493" s="447"/>
      <c r="I493" s="455" t="str">
        <f t="shared" si="8"/>
        <v/>
      </c>
      <c r="J493" s="448"/>
      <c r="K493" s="456"/>
    </row>
    <row r="494" spans="2:11" x14ac:dyDescent="0.35">
      <c r="B494" s="445" t="str">
        <f>IF(Lançamentos!$B489="","",Lançamentos!$B489)</f>
        <v/>
      </c>
      <c r="C494" s="446" t="str">
        <f>IF($B494="","",IFERROR(INDEX(Lançamentos!$J$3:$J$1001,MATCH($B494,Lançamentos!$B$3:$B$1001,0)),""))</f>
        <v/>
      </c>
      <c r="D494" s="447" t="str">
        <f>IF($B494="","",IFERROR(INDEX('E2 — Triagem'!$D$8:$D$507,MATCH($B494,'E2 — Triagem'!$B$8:$B$507,0)),""))</f>
        <v/>
      </c>
      <c r="E494" s="447"/>
      <c r="F494" s="447"/>
      <c r="G494" s="447"/>
      <c r="H494" s="447"/>
      <c r="I494" s="455" t="str">
        <f t="shared" si="8"/>
        <v/>
      </c>
      <c r="J494" s="448"/>
      <c r="K494" s="456"/>
    </row>
    <row r="495" spans="2:11" x14ac:dyDescent="0.35">
      <c r="B495" s="445" t="str">
        <f>IF(Lançamentos!$B490="","",Lançamentos!$B490)</f>
        <v/>
      </c>
      <c r="C495" s="446" t="str">
        <f>IF($B495="","",IFERROR(INDEX(Lançamentos!$J$3:$J$1001,MATCH($B495,Lançamentos!$B$3:$B$1001,0)),""))</f>
        <v/>
      </c>
      <c r="D495" s="447" t="str">
        <f>IF($B495="","",IFERROR(INDEX('E2 — Triagem'!$D$8:$D$507,MATCH($B495,'E2 — Triagem'!$B$8:$B$507,0)),""))</f>
        <v/>
      </c>
      <c r="E495" s="447"/>
      <c r="F495" s="447"/>
      <c r="G495" s="447"/>
      <c r="H495" s="447"/>
      <c r="I495" s="455" t="str">
        <f t="shared" si="8"/>
        <v/>
      </c>
      <c r="J495" s="448"/>
      <c r="K495" s="456"/>
    </row>
    <row r="496" spans="2:11" x14ac:dyDescent="0.35">
      <c r="B496" s="445" t="str">
        <f>IF(Lançamentos!$B491="","",Lançamentos!$B491)</f>
        <v/>
      </c>
      <c r="C496" s="446" t="str">
        <f>IF($B496="","",IFERROR(INDEX(Lançamentos!$J$3:$J$1001,MATCH($B496,Lançamentos!$B$3:$B$1001,0)),""))</f>
        <v/>
      </c>
      <c r="D496" s="447" t="str">
        <f>IF($B496="","",IFERROR(INDEX('E2 — Triagem'!$D$8:$D$507,MATCH($B496,'E2 — Triagem'!$B$8:$B$507,0)),""))</f>
        <v/>
      </c>
      <c r="E496" s="447"/>
      <c r="F496" s="447"/>
      <c r="G496" s="447"/>
      <c r="H496" s="447"/>
      <c r="I496" s="455" t="str">
        <f t="shared" si="8"/>
        <v/>
      </c>
      <c r="J496" s="448"/>
      <c r="K496" s="456"/>
    </row>
    <row r="497" spans="2:11" x14ac:dyDescent="0.35">
      <c r="B497" s="445" t="str">
        <f>IF(Lançamentos!$B492="","",Lançamentos!$B492)</f>
        <v/>
      </c>
      <c r="C497" s="446" t="str">
        <f>IF($B497="","",IFERROR(INDEX(Lançamentos!$J$3:$J$1001,MATCH($B497,Lançamentos!$B$3:$B$1001,0)),""))</f>
        <v/>
      </c>
      <c r="D497" s="447" t="str">
        <f>IF($B497="","",IFERROR(INDEX('E2 — Triagem'!$D$8:$D$507,MATCH($B497,'E2 — Triagem'!$B$8:$B$507,0)),""))</f>
        <v/>
      </c>
      <c r="E497" s="447"/>
      <c r="F497" s="447"/>
      <c r="G497" s="447"/>
      <c r="H497" s="447"/>
      <c r="I497" s="455" t="str">
        <f t="shared" si="8"/>
        <v/>
      </c>
      <c r="J497" s="448"/>
      <c r="K497" s="456"/>
    </row>
    <row r="498" spans="2:11" x14ac:dyDescent="0.35">
      <c r="B498" s="445" t="str">
        <f>IF(Lançamentos!$B493="","",Lançamentos!$B493)</f>
        <v/>
      </c>
      <c r="C498" s="446" t="str">
        <f>IF($B498="","",IFERROR(INDEX(Lançamentos!$J$3:$J$1001,MATCH($B498,Lançamentos!$B$3:$B$1001,0)),""))</f>
        <v/>
      </c>
      <c r="D498" s="447" t="str">
        <f>IF($B498="","",IFERROR(INDEX('E2 — Triagem'!$D$8:$D$507,MATCH($B498,'E2 — Triagem'!$B$8:$B$507,0)),""))</f>
        <v/>
      </c>
      <c r="E498" s="447"/>
      <c r="F498" s="447"/>
      <c r="G498" s="447"/>
      <c r="H498" s="447"/>
      <c r="I498" s="455" t="str">
        <f t="shared" si="8"/>
        <v/>
      </c>
      <c r="J498" s="448"/>
      <c r="K498" s="456"/>
    </row>
    <row r="499" spans="2:11" x14ac:dyDescent="0.35">
      <c r="B499" s="445" t="str">
        <f>IF(Lançamentos!$B494="","",Lançamentos!$B494)</f>
        <v/>
      </c>
      <c r="C499" s="446" t="str">
        <f>IF($B499="","",IFERROR(INDEX(Lançamentos!$J$3:$J$1001,MATCH($B499,Lançamentos!$B$3:$B$1001,0)),""))</f>
        <v/>
      </c>
      <c r="D499" s="447" t="str">
        <f>IF($B499="","",IFERROR(INDEX('E2 — Triagem'!$D$8:$D$507,MATCH($B499,'E2 — Triagem'!$B$8:$B$507,0)),""))</f>
        <v/>
      </c>
      <c r="E499" s="447"/>
      <c r="F499" s="447"/>
      <c r="G499" s="447"/>
      <c r="H499" s="447"/>
      <c r="I499" s="455" t="str">
        <f t="shared" si="8"/>
        <v/>
      </c>
      <c r="J499" s="448"/>
      <c r="K499" s="456"/>
    </row>
    <row r="500" spans="2:11" x14ac:dyDescent="0.35">
      <c r="B500" s="445" t="str">
        <f>IF(Lançamentos!$B495="","",Lançamentos!$B495)</f>
        <v/>
      </c>
      <c r="C500" s="446" t="str">
        <f>IF($B500="","",IFERROR(INDEX(Lançamentos!$J$3:$J$1001,MATCH($B500,Lançamentos!$B$3:$B$1001,0)),""))</f>
        <v/>
      </c>
      <c r="D500" s="447" t="str">
        <f>IF($B500="","",IFERROR(INDEX('E2 — Triagem'!$D$8:$D$507,MATCH($B500,'E2 — Triagem'!$B$8:$B$507,0)),""))</f>
        <v/>
      </c>
      <c r="E500" s="447"/>
      <c r="F500" s="447"/>
      <c r="G500" s="447"/>
      <c r="H500" s="447"/>
      <c r="I500" s="455" t="str">
        <f t="shared" si="8"/>
        <v/>
      </c>
      <c r="J500" s="448"/>
      <c r="K500" s="456"/>
    </row>
    <row r="501" spans="2:11" x14ac:dyDescent="0.35">
      <c r="B501" s="445" t="str">
        <f>IF(Lançamentos!$B496="","",Lançamentos!$B496)</f>
        <v/>
      </c>
      <c r="C501" s="446" t="str">
        <f>IF($B501="","",IFERROR(INDEX(Lançamentos!$J$3:$J$1001,MATCH($B501,Lançamentos!$B$3:$B$1001,0)),""))</f>
        <v/>
      </c>
      <c r="D501" s="447" t="str">
        <f>IF($B501="","",IFERROR(INDEX('E2 — Triagem'!$D$8:$D$507,MATCH($B501,'E2 — Triagem'!$B$8:$B$507,0)),""))</f>
        <v/>
      </c>
      <c r="E501" s="447"/>
      <c r="F501" s="447"/>
      <c r="G501" s="447"/>
      <c r="H501" s="447"/>
      <c r="I501" s="455" t="str">
        <f t="shared" si="8"/>
        <v/>
      </c>
      <c r="J501" s="448"/>
      <c r="K501" s="456"/>
    </row>
    <row r="502" spans="2:11" x14ac:dyDescent="0.35">
      <c r="B502" s="445" t="str">
        <f>IF(Lançamentos!$B497="","",Lançamentos!$B497)</f>
        <v/>
      </c>
      <c r="C502" s="446" t="str">
        <f>IF($B502="","",IFERROR(INDEX(Lançamentos!$J$3:$J$1001,MATCH($B502,Lançamentos!$B$3:$B$1001,0)),""))</f>
        <v/>
      </c>
      <c r="D502" s="447" t="str">
        <f>IF($B502="","",IFERROR(INDEX('E2 — Triagem'!$D$8:$D$507,MATCH($B502,'E2 — Triagem'!$B$8:$B$507,0)),""))</f>
        <v/>
      </c>
      <c r="E502" s="447"/>
      <c r="F502" s="447"/>
      <c r="G502" s="447"/>
      <c r="H502" s="447"/>
      <c r="I502" s="455" t="str">
        <f t="shared" si="8"/>
        <v/>
      </c>
      <c r="J502" s="448"/>
      <c r="K502" s="456"/>
    </row>
    <row r="503" spans="2:11" x14ac:dyDescent="0.35">
      <c r="B503" s="445" t="str">
        <f>IF(Lançamentos!$B498="","",Lançamentos!$B498)</f>
        <v/>
      </c>
      <c r="C503" s="446" t="str">
        <f>IF($B503="","",IFERROR(INDEX(Lançamentos!$J$3:$J$1001,MATCH($B503,Lançamentos!$B$3:$B$1001,0)),""))</f>
        <v/>
      </c>
      <c r="D503" s="447" t="str">
        <f>IF($B503="","",IFERROR(INDEX('E2 — Triagem'!$D$8:$D$507,MATCH($B503,'E2 — Triagem'!$B$8:$B$507,0)),""))</f>
        <v/>
      </c>
      <c r="E503" s="447"/>
      <c r="F503" s="447"/>
      <c r="G503" s="447"/>
      <c r="H503" s="447"/>
      <c r="I503" s="455" t="str">
        <f t="shared" si="8"/>
        <v/>
      </c>
      <c r="J503" s="448"/>
      <c r="K503" s="456"/>
    </row>
    <row r="504" spans="2:11" x14ac:dyDescent="0.35">
      <c r="B504" s="445" t="str">
        <f>IF(Lançamentos!$B499="","",Lançamentos!$B499)</f>
        <v/>
      </c>
      <c r="C504" s="446" t="str">
        <f>IF($B504="","",IFERROR(INDEX(Lançamentos!$J$3:$J$1001,MATCH($B504,Lançamentos!$B$3:$B$1001,0)),""))</f>
        <v/>
      </c>
      <c r="D504" s="447" t="str">
        <f>IF($B504="","",IFERROR(INDEX('E2 — Triagem'!$D$8:$D$507,MATCH($B504,'E2 — Triagem'!$B$8:$B$507,0)),""))</f>
        <v/>
      </c>
      <c r="E504" s="447"/>
      <c r="F504" s="447"/>
      <c r="G504" s="447"/>
      <c r="H504" s="447"/>
      <c r="I504" s="455" t="str">
        <f t="shared" si="8"/>
        <v/>
      </c>
      <c r="J504" s="448"/>
      <c r="K504" s="456"/>
    </row>
    <row r="505" spans="2:11" x14ac:dyDescent="0.35">
      <c r="B505" s="445" t="str">
        <f>IF(Lançamentos!$B500="","",Lançamentos!$B500)</f>
        <v/>
      </c>
      <c r="C505" s="446" t="str">
        <f>IF($B505="","",IFERROR(INDEX(Lançamentos!$J$3:$J$1001,MATCH($B505,Lançamentos!$B$3:$B$1001,0)),""))</f>
        <v/>
      </c>
      <c r="D505" s="447" t="str">
        <f>IF($B505="","",IFERROR(INDEX('E2 — Triagem'!$D$8:$D$507,MATCH($B505,'E2 — Triagem'!$B$8:$B$507,0)),""))</f>
        <v/>
      </c>
      <c r="E505" s="447"/>
      <c r="F505" s="447"/>
      <c r="G505" s="447"/>
      <c r="H505" s="447"/>
      <c r="I505" s="455" t="str">
        <f t="shared" si="8"/>
        <v/>
      </c>
      <c r="J505" s="448"/>
      <c r="K505" s="456"/>
    </row>
    <row r="506" spans="2:11" x14ac:dyDescent="0.35">
      <c r="B506" s="445" t="str">
        <f>IF(Lançamentos!$B501="","",Lançamentos!$B501)</f>
        <v/>
      </c>
      <c r="C506" s="446" t="str">
        <f>IF($B506="","",IFERROR(INDEX(Lançamentos!$J$3:$J$1001,MATCH($B506,Lançamentos!$B$3:$B$1001,0)),""))</f>
        <v/>
      </c>
      <c r="D506" s="447" t="str">
        <f>IF($B506="","",IFERROR(INDEX('E2 — Triagem'!$D$8:$D$507,MATCH($B506,'E2 — Triagem'!$B$8:$B$507,0)),""))</f>
        <v/>
      </c>
      <c r="E506" s="447"/>
      <c r="F506" s="447"/>
      <c r="G506" s="447"/>
      <c r="H506" s="447"/>
      <c r="I506" s="455" t="str">
        <f t="shared" si="8"/>
        <v/>
      </c>
      <c r="J506" s="448"/>
      <c r="K506" s="456"/>
    </row>
    <row r="507" spans="2:11" x14ac:dyDescent="0.35">
      <c r="B507" s="450" t="str">
        <f>IF(Lançamentos!$B502="","",Lançamentos!$B502)</f>
        <v/>
      </c>
      <c r="C507" s="451" t="str">
        <f>IF($B507="","",IFERROR(INDEX(Lançamentos!$J$3:$J$1001,MATCH($B507,Lançamentos!$B$3:$B$1001,0)),""))</f>
        <v/>
      </c>
      <c r="D507" s="452" t="str">
        <f>IF($B507="","",IFERROR(INDEX('E2 — Triagem'!$D$8:$D$507,MATCH($B507,'E2 — Triagem'!$B$8:$B$507,0)),""))</f>
        <v/>
      </c>
      <c r="E507" s="452"/>
      <c r="F507" s="452"/>
      <c r="G507" s="452"/>
      <c r="H507" s="452"/>
      <c r="I507" s="457" t="str">
        <f t="shared" si="8"/>
        <v/>
      </c>
      <c r="J507" s="453"/>
      <c r="K507" s="458"/>
    </row>
  </sheetData>
  <conditionalFormatting sqref="B8:K507">
    <cfRule type="expression" dxfId="88" priority="14" stopIfTrue="1">
      <formula>AND($B8&lt;&gt;"",COUNTIF($E8:$H8,"✔ Concluído")=4)</formula>
    </cfRule>
    <cfRule type="expression" dxfId="87" priority="15">
      <formula>AND($B8&lt;&gt;"",COUNTIF($E8:$H8,"⛔ Bloqueado")&gt;0)</formula>
    </cfRule>
    <cfRule type="expression" dxfId="86" priority="16">
      <formula>AND($B8&lt;&gt;"",COUNTIF($E8:$H8,"🔄 Em andamento")&gt;0,COUNTIF($E8:$H8,"⛔ Bloqueado")=0)</formula>
    </cfRule>
    <cfRule type="expression" dxfId="85" priority="17">
      <formula>AND($B8&lt;&gt;"",COUNTIF($E8:$H8,"⏳ Pendente")&gt;0,COUNTIF($E8:$H8,"🔄 Em andamento")=0,COUNTIF($E8:$H8,"⛔ Bloqueado")=0)</formula>
    </cfRule>
    <cfRule type="expression" dxfId="84" priority="18">
      <formula>AND($B8&lt;&gt;"",COUNTIF($E8:$H8,"N/A")=4)</formula>
    </cfRule>
    <cfRule type="expression" dxfId="83" priority="19">
      <formula>E8="⛔ Bloqueado"</formula>
    </cfRule>
    <cfRule type="expression" dxfId="82" priority="20">
      <formula>E8="✔ Concluído"</formula>
    </cfRule>
    <cfRule type="expression" dxfId="81" priority="21">
      <formula>E8="⏳ Pendente"</formula>
    </cfRule>
    <cfRule type="expression" dxfId="80" priority="22">
      <formula>E8="🔄 Em andamento"</formula>
    </cfRule>
    <cfRule type="expression" dxfId="79" priority="23">
      <formula>E8="N/A"</formula>
    </cfRule>
    <cfRule type="expression" dxfId="78" priority="24">
      <formula>AND(E8="N/A",$J8="",$K8="")</formula>
    </cfRule>
  </conditionalFormatting>
  <conditionalFormatting sqref="J8:J507">
    <cfRule type="expression" dxfId="77" priority="13" stopIfTrue="1">
      <formula>AND($B8&lt;&gt;"",COUNTIF($E8:$H8,"✔ Concluído")=4,$J8="")</formula>
    </cfRule>
  </conditionalFormatting>
  <conditionalFormatting sqref="B208:K507">
    <cfRule type="expression" dxfId="76" priority="1" stopIfTrue="1">
      <formula>AND($B208&lt;&gt;"",COUNTIF($E208:$H208,"✔ Concluído")=4)</formula>
    </cfRule>
    <cfRule type="expression" dxfId="75" priority="2">
      <formula>AND($B208&lt;&gt;"",COUNTIF($E208:$H208,"⛔ Bloqueado")&gt;0)</formula>
    </cfRule>
    <cfRule type="expression" dxfId="74" priority="3">
      <formula>AND($B208&lt;&gt;"",COUNTIF($E208:$H208,"🔄 Em andamento")&gt;0,COUNTIF($E208:$H208,"⛔ Bloqueado")=0)</formula>
    </cfRule>
    <cfRule type="expression" dxfId="73" priority="4">
      <formula>AND($B208&lt;&gt;"",COUNTIF($E208:$H208,"⏳ Pendente")&gt;0,COUNTIF($E208:$H208,"🔄 Em andamento")=0,COUNTIF($E208:$H208,"⛔ Bloqueado")=0)</formula>
    </cfRule>
    <cfRule type="expression" dxfId="72" priority="5">
      <formula>AND($B208&lt;&gt;"",COUNTIF($E208:$H208,"N/A")=4)</formula>
    </cfRule>
    <cfRule type="expression" dxfId="71" priority="6">
      <formula>E208="⛔ Bloqueado"</formula>
    </cfRule>
    <cfRule type="expression" dxfId="70" priority="7">
      <formula>E208="✔ Concluído"</formula>
    </cfRule>
    <cfRule type="expression" dxfId="69" priority="8">
      <formula>E208="⏳ Pendente"</formula>
    </cfRule>
    <cfRule type="expression" dxfId="68" priority="9">
      <formula>E208="🔄 Em andamento"</formula>
    </cfRule>
    <cfRule type="expression" dxfId="67" priority="10">
      <formula>E208="N/A"</formula>
    </cfRule>
    <cfRule type="expression" dxfId="66" priority="11">
      <formula>AND(E208="N/A",$J208="",$K208="")</formula>
    </cfRule>
  </conditionalFormatting>
  <dataValidations count="1">
    <dataValidation type="list" allowBlank="1" showErrorMessage="1" errorTitle="Status inválido" error="Selecione um dos status padronizados da lista." sqref="E8:H507" xr:uid="{5A178F44-A45A-4A8B-8BB8-8F3472841F71}">
      <formula1>"⏳ Pendente,🔄 Em andamento,✔ Concluído,⛔ Bloqueado,N/A"</formula1>
    </dataValidation>
  </dataValidations>
  <pageMargins left="0.75" right="0.75" top="1" bottom="1" header="0.511811023622047" footer="0.511811023622047"/>
  <pageSetup paperSize="9" orientation="portrait" horizontalDpi="300" verticalDpi="300"/>
  <legacyDrawing r:id="rId1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XFC507"/>
  <sheetViews>
    <sheetView showGridLines="0" zoomScale="80" zoomScaleNormal="80" workbookViewId="0">
      <pane ySplit="7" topLeftCell="A8" activePane="bottomLeft" state="frozen"/>
      <selection sqref="A1:XFD1048576"/>
      <selection pane="bottomLeft" activeCell="C17" sqref="C17"/>
    </sheetView>
  </sheetViews>
  <sheetFormatPr defaultColWidth="8.54296875" defaultRowHeight="14.5" x14ac:dyDescent="0.35"/>
  <cols>
    <col min="1" max="1" width="1.54296875" bestFit="1" customWidth="1"/>
    <col min="2" max="2" width="15.453125" customWidth="1"/>
    <col min="3" max="3" width="41.81640625" customWidth="1"/>
    <col min="4" max="4" width="27.26953125" customWidth="1"/>
    <col min="5" max="5" width="31.81640625" customWidth="1"/>
    <col min="6" max="6" width="30" customWidth="1"/>
    <col min="7" max="7" width="31.81640625" customWidth="1"/>
    <col min="8" max="8" width="41.26953125" customWidth="1"/>
    <col min="9" max="9" width="31.81640625" customWidth="1"/>
    <col min="10" max="10" width="45.81640625" customWidth="1"/>
    <col min="11" max="11" width="14.54296875" customWidth="1"/>
    <col min="12" max="12" width="36.453125" customWidth="1"/>
    <col min="13" max="13" width="41.81640625" customWidth="1"/>
    <col min="14" max="14" width="49.26953125" customWidth="1"/>
    <col min="15" max="15" width="19" customWidth="1"/>
    <col min="16" max="16" width="14.81640625" customWidth="1"/>
    <col min="17" max="17" width="25.81640625" customWidth="1"/>
    <col min="18" max="18" width="21.81640625" customWidth="1"/>
    <col min="19" max="19" width="21.54296875" customWidth="1"/>
    <col min="20" max="20" width="31.81640625" customWidth="1"/>
    <col min="21" max="21" width="42" customWidth="1"/>
    <col min="22" max="22" width="1.54296875" bestFit="1" customWidth="1"/>
    <col min="23" max="234" width="8.7265625" hidden="1" customWidth="1"/>
    <col min="235" max="16383" width="0" hidden="1" customWidth="1"/>
    <col min="16384" max="16384" width="23.54296875" hidden="1" customWidth="1"/>
  </cols>
  <sheetData>
    <row r="2" spans="2:21" ht="19.5" customHeight="1" x14ac:dyDescent="0.35">
      <c r="B2" s="315" t="s">
        <v>539</v>
      </c>
      <c r="C2" s="134"/>
      <c r="D2" s="134"/>
      <c r="E2" s="134"/>
      <c r="F2" s="134"/>
      <c r="G2" s="134"/>
      <c r="H2" s="134"/>
      <c r="I2" s="134"/>
      <c r="J2" s="134"/>
      <c r="K2" s="134"/>
      <c r="L2" s="134"/>
      <c r="M2" s="134"/>
      <c r="N2" s="134"/>
      <c r="O2" s="134"/>
      <c r="P2" s="134"/>
      <c r="Q2" s="134"/>
      <c r="R2" s="134"/>
      <c r="S2" s="134"/>
      <c r="T2" s="134"/>
      <c r="U2" s="134"/>
    </row>
    <row r="3" spans="2:21" ht="15" customHeight="1" x14ac:dyDescent="0.35">
      <c r="B3" s="135" t="s">
        <v>557</v>
      </c>
      <c r="C3" s="136"/>
      <c r="D3" s="136"/>
      <c r="E3" s="136"/>
      <c r="F3" s="136"/>
      <c r="G3" s="136"/>
      <c r="H3" s="136"/>
      <c r="I3" s="136"/>
      <c r="J3" s="136"/>
      <c r="K3" s="136"/>
      <c r="L3" s="136"/>
      <c r="M3" s="136"/>
      <c r="N3" s="136"/>
      <c r="O3" s="136"/>
      <c r="P3" s="136"/>
      <c r="Q3" s="136"/>
      <c r="R3" s="136"/>
      <c r="S3" s="136"/>
      <c r="T3" s="136"/>
      <c r="U3" s="136"/>
    </row>
    <row r="4" spans="2:21" ht="29.15" customHeight="1" x14ac:dyDescent="0.35">
      <c r="B4" s="20" t="s">
        <v>558</v>
      </c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</row>
    <row r="5" spans="2:21" ht="29.15" customHeight="1" x14ac:dyDescent="0.35">
      <c r="B5" s="21" t="s">
        <v>559</v>
      </c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6" spans="2:21" ht="8.15" customHeight="1" x14ac:dyDescent="0.35">
      <c r="B6" s="137"/>
      <c r="C6" s="137"/>
      <c r="D6" s="137"/>
      <c r="E6" s="137"/>
      <c r="F6" s="137"/>
      <c r="G6" s="137"/>
      <c r="H6" s="137"/>
      <c r="I6" s="137"/>
      <c r="J6" s="137"/>
      <c r="K6" s="137"/>
      <c r="L6" s="137"/>
      <c r="M6" s="137"/>
      <c r="N6" s="137"/>
      <c r="O6" s="137"/>
      <c r="P6" s="137"/>
      <c r="Q6" s="137"/>
      <c r="R6" s="137"/>
      <c r="S6" s="137"/>
      <c r="T6" s="137"/>
      <c r="U6" s="137"/>
    </row>
    <row r="7" spans="2:21" ht="37" customHeight="1" x14ac:dyDescent="0.35">
      <c r="B7" s="304" t="s">
        <v>8</v>
      </c>
      <c r="C7" s="305" t="s">
        <v>127</v>
      </c>
      <c r="D7" s="305" t="s">
        <v>14</v>
      </c>
      <c r="E7" s="305" t="s">
        <v>540</v>
      </c>
      <c r="F7" s="305" t="s">
        <v>541</v>
      </c>
      <c r="G7" s="305" t="s">
        <v>542</v>
      </c>
      <c r="H7" s="305" t="s">
        <v>543</v>
      </c>
      <c r="I7" s="305" t="s">
        <v>544</v>
      </c>
      <c r="J7" s="305" t="s">
        <v>545</v>
      </c>
      <c r="K7" s="305" t="s">
        <v>479</v>
      </c>
      <c r="L7" s="305" t="s">
        <v>109</v>
      </c>
      <c r="M7" s="305" t="s">
        <v>33</v>
      </c>
      <c r="N7" s="305" t="s">
        <v>546</v>
      </c>
      <c r="O7" s="305" t="s">
        <v>547</v>
      </c>
      <c r="P7" s="305" t="s">
        <v>548</v>
      </c>
      <c r="Q7" s="305" t="s">
        <v>549</v>
      </c>
      <c r="R7" s="305" t="s">
        <v>550</v>
      </c>
      <c r="S7" s="305" t="s">
        <v>551</v>
      </c>
      <c r="T7" s="305" t="s">
        <v>552</v>
      </c>
      <c r="U7" s="306" t="s">
        <v>553</v>
      </c>
    </row>
    <row r="8" spans="2:21" ht="18" customHeight="1" x14ac:dyDescent="0.35">
      <c r="B8" s="204" t="str">
        <f>IF(Lançamentos!$B3="","",Lançamentos!$B3)</f>
        <v/>
      </c>
      <c r="C8" s="205" t="str">
        <f>IF($B8="","",IFERROR(INDEX(Lançamentos!$J$3:$J$1001,MATCH($B8,Lançamentos!$B$3:$B$1001,0)),""))</f>
        <v/>
      </c>
      <c r="D8" s="411" t="str">
        <f>IF($B8="","",IFERROR(INDEX('E2 — Triagem'!$D$8:$D$507,MATCH($B8,'E2 — Triagem'!$B$8:$B$507,0)),""))</f>
        <v/>
      </c>
      <c r="E8" s="193"/>
      <c r="F8" s="193"/>
      <c r="G8" s="193"/>
      <c r="H8" s="193"/>
      <c r="I8" s="193"/>
      <c r="J8" s="193"/>
      <c r="K8" s="207" t="str">
        <f>IF(B8="","",IF(COUNTIF(E8:J8,"N/A")=6,0,COUNTIF(E8:J8,"✔ Concluído")/(6-COUNTIF(E8:J8,"N/A"))))</f>
        <v/>
      </c>
      <c r="L8" s="181"/>
      <c r="M8" s="181"/>
      <c r="N8" s="193"/>
      <c r="O8" s="208" t="str">
        <f>IF(B8="","",IF(Lançamentos!D3="","",Lançamentos!D3))</f>
        <v/>
      </c>
      <c r="P8" s="209">
        <v>7</v>
      </c>
      <c r="Q8" s="208" t="str">
        <f>IF(OR(O8="",P8=""),"",O8+P8)</f>
        <v/>
      </c>
      <c r="R8" s="210"/>
      <c r="S8" s="211" t="str">
        <f ca="1">IF(O8="","",MAX(0,IF(R8&lt;&gt;"",R8-O8,TODAY()-O8)))</f>
        <v/>
      </c>
      <c r="T8" s="206" t="str">
        <f ca="1">IF(B8="","",IF(R8&lt;&gt;"","✅ Encerrado",IF(O8="","",IF(TODAY()&gt;Q8,"🔴 Hypercare Atrasado",IF(TODAY()&gt;=Q8-2,"🟡 Próximo do Encerramento","🟢 Dentro do Período")))))</f>
        <v/>
      </c>
      <c r="U8" s="195"/>
    </row>
    <row r="9" spans="2:21" ht="18" customHeight="1" x14ac:dyDescent="0.35">
      <c r="B9" s="204" t="str">
        <f>IF(Lançamentos!$B4="","",Lançamentos!$B4)</f>
        <v/>
      </c>
      <c r="C9" s="205" t="str">
        <f>IF($B9="","",IFERROR(INDEX(Lançamentos!$J$3:$J$1001,MATCH($B9,Lançamentos!$B$3:$B$1001,0)),""))</f>
        <v/>
      </c>
      <c r="D9" s="411" t="str">
        <f>IF($B9="","",IFERROR(INDEX('E2 — Triagem'!$D$8:$D$507,MATCH($B9,'E2 — Triagem'!$B$8:$B$507,0)),""))</f>
        <v/>
      </c>
      <c r="E9" s="193"/>
      <c r="F9" s="193"/>
      <c r="G9" s="193"/>
      <c r="H9" s="193"/>
      <c r="I9" s="193"/>
      <c r="J9" s="193"/>
      <c r="K9" s="207" t="str">
        <f t="shared" ref="K9:K72" si="0">IF(B9="","",IF(COUNTIF(E9:J9,"N/A")=6,0,COUNTIF(E9:J9,"✔ Concluído")/(6-COUNTIF(E9:J9,"N/A"))))</f>
        <v/>
      </c>
      <c r="L9" s="181"/>
      <c r="M9" s="181"/>
      <c r="N9" s="193"/>
      <c r="O9" s="208" t="str">
        <f>IF(B9="","",IF(Lançamentos!D4="","",Lançamentos!D4))</f>
        <v/>
      </c>
      <c r="P9" s="209">
        <v>7</v>
      </c>
      <c r="Q9" s="208" t="str">
        <f t="shared" ref="Q9:Q72" si="1">IF(OR(O9="",P9=""),"",O9+P9)</f>
        <v/>
      </c>
      <c r="R9" s="210"/>
      <c r="S9" s="211" t="str">
        <f t="shared" ref="S9:S72" ca="1" si="2">IF(O9="","",MAX(0,IF(R9&lt;&gt;"",R9-O9,TODAY()-O9)))</f>
        <v/>
      </c>
      <c r="T9" s="206" t="str">
        <f t="shared" ref="T9:T72" ca="1" si="3">IF(B9="","",IF(R9&lt;&gt;"","✅ Encerrado",IF(O9="","",IF(TODAY()&gt;Q9,"🔴 Hypercare Atrasado",IF(TODAY()&gt;=Q9-2,"🟡 Próximo do Encerramento","🟢 Dentro do Período")))))</f>
        <v/>
      </c>
      <c r="U9" s="195"/>
    </row>
    <row r="10" spans="2:21" ht="18" customHeight="1" x14ac:dyDescent="0.35">
      <c r="B10" s="204" t="str">
        <f>IF(Lançamentos!$B5="","",Lançamentos!$B5)</f>
        <v/>
      </c>
      <c r="C10" s="205" t="str">
        <f>IF($B10="","",IFERROR(INDEX(Lançamentos!$J$3:$J$1001,MATCH($B10,Lançamentos!$B$3:$B$1001,0)),""))</f>
        <v/>
      </c>
      <c r="D10" s="411" t="str">
        <f>IF($B10="","",IFERROR(INDEX('E2 — Triagem'!$D$8:$D$507,MATCH($B10,'E2 — Triagem'!$B$8:$B$507,0)),""))</f>
        <v/>
      </c>
      <c r="E10" s="193"/>
      <c r="F10" s="193"/>
      <c r="G10" s="193"/>
      <c r="H10" s="193"/>
      <c r="I10" s="193"/>
      <c r="J10" s="193"/>
      <c r="K10" s="207" t="str">
        <f t="shared" si="0"/>
        <v/>
      </c>
      <c r="L10" s="181"/>
      <c r="M10" s="181"/>
      <c r="N10" s="193"/>
      <c r="O10" s="208" t="str">
        <f>IF(B10="","",IF(Lançamentos!D5="","",Lançamentos!D5))</f>
        <v/>
      </c>
      <c r="P10" s="209">
        <v>7</v>
      </c>
      <c r="Q10" s="208" t="str">
        <f t="shared" si="1"/>
        <v/>
      </c>
      <c r="R10" s="210"/>
      <c r="S10" s="211" t="str">
        <f t="shared" ca="1" si="2"/>
        <v/>
      </c>
      <c r="T10" s="206" t="str">
        <f t="shared" ca="1" si="3"/>
        <v/>
      </c>
      <c r="U10" s="195"/>
    </row>
    <row r="11" spans="2:21" ht="18" customHeight="1" x14ac:dyDescent="0.35">
      <c r="B11" s="204" t="str">
        <f>IF(Lançamentos!$B6="","",Lançamentos!$B6)</f>
        <v/>
      </c>
      <c r="C11" s="205" t="str">
        <f>IF($B11="","",IFERROR(INDEX(Lançamentos!$J$3:$J$1001,MATCH($B11,Lançamentos!$B$3:$B$1001,0)),""))</f>
        <v/>
      </c>
      <c r="D11" s="411" t="str">
        <f>IF($B11="","",IFERROR(INDEX('E2 — Triagem'!$D$8:$D$507,MATCH($B11,'E2 — Triagem'!$B$8:$B$507,0)),""))</f>
        <v/>
      </c>
      <c r="E11" s="193"/>
      <c r="F11" s="193"/>
      <c r="G11" s="193"/>
      <c r="H11" s="193"/>
      <c r="I11" s="193"/>
      <c r="J11" s="193"/>
      <c r="K11" s="207" t="str">
        <f t="shared" si="0"/>
        <v/>
      </c>
      <c r="L11" s="181"/>
      <c r="M11" s="181"/>
      <c r="N11" s="193"/>
      <c r="O11" s="208" t="str">
        <f>IF(B11="","",IF(Lançamentos!D6="","",Lançamentos!D6))</f>
        <v/>
      </c>
      <c r="P11" s="209">
        <v>7</v>
      </c>
      <c r="Q11" s="208" t="str">
        <f t="shared" si="1"/>
        <v/>
      </c>
      <c r="R11" s="210"/>
      <c r="S11" s="211" t="str">
        <f t="shared" ca="1" si="2"/>
        <v/>
      </c>
      <c r="T11" s="206" t="str">
        <f t="shared" ca="1" si="3"/>
        <v/>
      </c>
      <c r="U11" s="195"/>
    </row>
    <row r="12" spans="2:21" x14ac:dyDescent="0.35">
      <c r="B12" s="204" t="str">
        <f>IF(Lançamentos!$B7="","",Lançamentos!$B7)</f>
        <v/>
      </c>
      <c r="C12" s="205" t="str">
        <f>IF($B12="","",IFERROR(INDEX(Lançamentos!$J$3:$J$1001,MATCH($B12,Lançamentos!$B$3:$B$1001,0)),""))</f>
        <v/>
      </c>
      <c r="D12" s="411" t="str">
        <f>IF($B12="","",IFERROR(INDEX('E2 — Triagem'!$D$8:$D$507,MATCH($B12,'E2 — Triagem'!$B$8:$B$507,0)),""))</f>
        <v/>
      </c>
      <c r="E12" s="193"/>
      <c r="F12" s="193"/>
      <c r="G12" s="193"/>
      <c r="H12" s="193"/>
      <c r="I12" s="193"/>
      <c r="J12" s="193"/>
      <c r="K12" s="207" t="str">
        <f t="shared" si="0"/>
        <v/>
      </c>
      <c r="L12" s="181"/>
      <c r="M12" s="181"/>
      <c r="N12" s="193"/>
      <c r="O12" s="208" t="str">
        <f>IF(B12="","",IF(Lançamentos!D7="","",Lançamentos!D7))</f>
        <v/>
      </c>
      <c r="P12" s="209">
        <v>7</v>
      </c>
      <c r="Q12" s="208" t="str">
        <f t="shared" si="1"/>
        <v/>
      </c>
      <c r="R12" s="210"/>
      <c r="S12" s="211" t="str">
        <f t="shared" ca="1" si="2"/>
        <v/>
      </c>
      <c r="T12" s="206" t="str">
        <f t="shared" ca="1" si="3"/>
        <v/>
      </c>
      <c r="U12" s="195"/>
    </row>
    <row r="13" spans="2:21" ht="18" customHeight="1" x14ac:dyDescent="0.35">
      <c r="B13" s="204" t="str">
        <f>IF(Lançamentos!$B8="","",Lançamentos!$B8)</f>
        <v/>
      </c>
      <c r="C13" s="205" t="str">
        <f>IF($B13="","",IFERROR(INDEX(Lançamentos!$J$3:$J$1001,MATCH($B13,Lançamentos!$B$3:$B$1001,0)),""))</f>
        <v/>
      </c>
      <c r="D13" s="411" t="str">
        <f>IF($B13="","",IFERROR(INDEX('E2 — Triagem'!$D$8:$D$507,MATCH($B13,'E2 — Triagem'!$B$8:$B$507,0)),""))</f>
        <v/>
      </c>
      <c r="E13" s="193"/>
      <c r="F13" s="193"/>
      <c r="G13" s="193"/>
      <c r="H13" s="193"/>
      <c r="I13" s="193"/>
      <c r="J13" s="193"/>
      <c r="K13" s="207" t="str">
        <f t="shared" si="0"/>
        <v/>
      </c>
      <c r="L13" s="181"/>
      <c r="M13" s="181"/>
      <c r="N13" s="193"/>
      <c r="O13" s="208" t="str">
        <f>IF(B13="","",IF(Lançamentos!D8="","",Lançamentos!D8))</f>
        <v/>
      </c>
      <c r="P13" s="209">
        <v>7</v>
      </c>
      <c r="Q13" s="208" t="str">
        <f t="shared" si="1"/>
        <v/>
      </c>
      <c r="R13" s="210"/>
      <c r="S13" s="211" t="str">
        <f t="shared" ca="1" si="2"/>
        <v/>
      </c>
      <c r="T13" s="206" t="str">
        <f t="shared" ca="1" si="3"/>
        <v/>
      </c>
      <c r="U13" s="195"/>
    </row>
    <row r="14" spans="2:21" ht="18" customHeight="1" x14ac:dyDescent="0.35">
      <c r="B14" s="204" t="str">
        <f>IF(Lançamentos!$B9="","",Lançamentos!$B9)</f>
        <v/>
      </c>
      <c r="C14" s="205" t="str">
        <f>IF($B14="","",IFERROR(INDEX(Lançamentos!$J$3:$J$1001,MATCH($B14,Lançamentos!$B$3:$B$1001,0)),""))</f>
        <v/>
      </c>
      <c r="D14" s="411" t="str">
        <f>IF($B14="","",IFERROR(INDEX('E2 — Triagem'!$D$8:$D$507,MATCH($B14,'E2 — Triagem'!$B$8:$B$507,0)),""))</f>
        <v/>
      </c>
      <c r="E14" s="193"/>
      <c r="F14" s="193"/>
      <c r="G14" s="193"/>
      <c r="H14" s="193"/>
      <c r="I14" s="193"/>
      <c r="J14" s="193"/>
      <c r="K14" s="207" t="str">
        <f t="shared" si="0"/>
        <v/>
      </c>
      <c r="L14" s="181"/>
      <c r="M14" s="181"/>
      <c r="N14" s="193"/>
      <c r="O14" s="208" t="str">
        <f>IF(B14="","",IF(Lançamentos!D9="","",Lançamentos!D9))</f>
        <v/>
      </c>
      <c r="P14" s="209">
        <v>7</v>
      </c>
      <c r="Q14" s="208" t="str">
        <f t="shared" si="1"/>
        <v/>
      </c>
      <c r="R14" s="210"/>
      <c r="S14" s="211" t="str">
        <f t="shared" ca="1" si="2"/>
        <v/>
      </c>
      <c r="T14" s="206" t="str">
        <f t="shared" ca="1" si="3"/>
        <v/>
      </c>
      <c r="U14" s="195"/>
    </row>
    <row r="15" spans="2:21" ht="18" customHeight="1" x14ac:dyDescent="0.35">
      <c r="B15" s="204" t="str">
        <f>IF(Lançamentos!$B10="","",Lançamentos!$B10)</f>
        <v/>
      </c>
      <c r="C15" s="205" t="str">
        <f>IF($B15="","",IFERROR(INDEX(Lançamentos!$J$3:$J$1001,MATCH($B15,Lançamentos!$B$3:$B$1001,0)),""))</f>
        <v/>
      </c>
      <c r="D15" s="411" t="str">
        <f>IF($B15="","",IFERROR(INDEX('E2 — Triagem'!$D$8:$D$507,MATCH($B15,'E2 — Triagem'!$B$8:$B$507,0)),""))</f>
        <v/>
      </c>
      <c r="E15" s="193"/>
      <c r="F15" s="193"/>
      <c r="G15" s="193"/>
      <c r="H15" s="193"/>
      <c r="I15" s="193"/>
      <c r="J15" s="193"/>
      <c r="K15" s="207" t="str">
        <f t="shared" si="0"/>
        <v/>
      </c>
      <c r="L15" s="181"/>
      <c r="M15" s="181"/>
      <c r="N15" s="193"/>
      <c r="O15" s="208" t="str">
        <f>IF(B15="","",IF(Lançamentos!D10="","",Lançamentos!D10))</f>
        <v/>
      </c>
      <c r="P15" s="209">
        <v>7</v>
      </c>
      <c r="Q15" s="208" t="str">
        <f t="shared" si="1"/>
        <v/>
      </c>
      <c r="R15" s="210"/>
      <c r="S15" s="211" t="str">
        <f t="shared" ca="1" si="2"/>
        <v/>
      </c>
      <c r="T15" s="206" t="str">
        <f t="shared" ca="1" si="3"/>
        <v/>
      </c>
      <c r="U15" s="195"/>
    </row>
    <row r="16" spans="2:21" ht="18" customHeight="1" x14ac:dyDescent="0.35">
      <c r="B16" s="204" t="str">
        <f>IF(Lançamentos!$B11="","",Lançamentos!$B11)</f>
        <v/>
      </c>
      <c r="C16" s="205" t="str">
        <f>IF($B16="","",IFERROR(INDEX(Lançamentos!$J$3:$J$1001,MATCH($B16,Lançamentos!$B$3:$B$1001,0)),""))</f>
        <v/>
      </c>
      <c r="D16" s="411" t="str">
        <f>IF($B16="","",IFERROR(INDEX('E2 — Triagem'!$D$8:$D$507,MATCH($B16,'E2 — Triagem'!$B$8:$B$507,0)),""))</f>
        <v/>
      </c>
      <c r="E16" s="193"/>
      <c r="F16" s="193"/>
      <c r="G16" s="193"/>
      <c r="H16" s="193"/>
      <c r="I16" s="193"/>
      <c r="J16" s="193"/>
      <c r="K16" s="207" t="str">
        <f t="shared" si="0"/>
        <v/>
      </c>
      <c r="L16" s="181"/>
      <c r="M16" s="181"/>
      <c r="N16" s="193"/>
      <c r="O16" s="208" t="str">
        <f>IF(B16="","",IF(Lançamentos!D11="","",Lançamentos!D11))</f>
        <v/>
      </c>
      <c r="P16" s="209">
        <v>7</v>
      </c>
      <c r="Q16" s="208" t="str">
        <f t="shared" si="1"/>
        <v/>
      </c>
      <c r="R16" s="210"/>
      <c r="S16" s="211" t="str">
        <f t="shared" ca="1" si="2"/>
        <v/>
      </c>
      <c r="T16" s="206" t="str">
        <f t="shared" ca="1" si="3"/>
        <v/>
      </c>
      <c r="U16" s="195"/>
    </row>
    <row r="17" spans="2:21" ht="18" customHeight="1" x14ac:dyDescent="0.35">
      <c r="B17" s="204" t="str">
        <f>IF(Lançamentos!$B12="","",Lançamentos!$B12)</f>
        <v/>
      </c>
      <c r="C17" s="205" t="str">
        <f>IF($B17="","",IFERROR(INDEX(Lançamentos!$J$3:$J$1001,MATCH($B17,Lançamentos!$B$3:$B$1001,0)),""))</f>
        <v/>
      </c>
      <c r="D17" s="411" t="str">
        <f>IF($B17="","",IFERROR(INDEX('E2 — Triagem'!$D$8:$D$507,MATCH($B17,'E2 — Triagem'!$B$8:$B$507,0)),""))</f>
        <v/>
      </c>
      <c r="E17" s="193"/>
      <c r="F17" s="193"/>
      <c r="G17" s="193"/>
      <c r="H17" s="193"/>
      <c r="I17" s="193"/>
      <c r="J17" s="193"/>
      <c r="K17" s="207" t="str">
        <f t="shared" si="0"/>
        <v/>
      </c>
      <c r="L17" s="181"/>
      <c r="M17" s="181"/>
      <c r="N17" s="193"/>
      <c r="O17" s="208" t="str">
        <f>IF(B17="","",IF(Lançamentos!D12="","",Lançamentos!D12))</f>
        <v/>
      </c>
      <c r="P17" s="209">
        <v>7</v>
      </c>
      <c r="Q17" s="208" t="str">
        <f t="shared" si="1"/>
        <v/>
      </c>
      <c r="R17" s="210"/>
      <c r="S17" s="211" t="str">
        <f t="shared" ca="1" si="2"/>
        <v/>
      </c>
      <c r="T17" s="206" t="str">
        <f t="shared" ca="1" si="3"/>
        <v/>
      </c>
      <c r="U17" s="195"/>
    </row>
    <row r="18" spans="2:21" ht="18" customHeight="1" x14ac:dyDescent="0.35">
      <c r="B18" s="204" t="str">
        <f>IF(Lançamentos!$B13="","",Lançamentos!$B13)</f>
        <v/>
      </c>
      <c r="C18" s="205" t="str">
        <f>IF($B18="","",IFERROR(INDEX(Lançamentos!$J$3:$J$1001,MATCH($B18,Lançamentos!$B$3:$B$1001,0)),""))</f>
        <v/>
      </c>
      <c r="D18" s="411" t="str">
        <f>IF($B18="","",IFERROR(INDEX('E2 — Triagem'!$D$8:$D$507,MATCH($B18,'E2 — Triagem'!$B$8:$B$507,0)),""))</f>
        <v/>
      </c>
      <c r="E18" s="193"/>
      <c r="F18" s="193"/>
      <c r="G18" s="193"/>
      <c r="H18" s="193"/>
      <c r="I18" s="193"/>
      <c r="J18" s="193"/>
      <c r="K18" s="207" t="str">
        <f t="shared" si="0"/>
        <v/>
      </c>
      <c r="L18" s="181"/>
      <c r="M18" s="181"/>
      <c r="N18" s="193"/>
      <c r="O18" s="208" t="str">
        <f>IF(B18="","",IF(Lançamentos!D13="","",Lançamentos!D13))</f>
        <v/>
      </c>
      <c r="P18" s="209">
        <v>7</v>
      </c>
      <c r="Q18" s="208" t="str">
        <f t="shared" si="1"/>
        <v/>
      </c>
      <c r="R18" s="210"/>
      <c r="S18" s="211" t="str">
        <f t="shared" ca="1" si="2"/>
        <v/>
      </c>
      <c r="T18" s="206" t="str">
        <f t="shared" ca="1" si="3"/>
        <v/>
      </c>
      <c r="U18" s="195"/>
    </row>
    <row r="19" spans="2:21" ht="18" customHeight="1" x14ac:dyDescent="0.35">
      <c r="B19" s="204" t="str">
        <f>IF(Lançamentos!$B14="","",Lançamentos!$B14)</f>
        <v/>
      </c>
      <c r="C19" s="205" t="str">
        <f>IF($B19="","",IFERROR(INDEX(Lançamentos!$J$3:$J$1001,MATCH($B19,Lançamentos!$B$3:$B$1001,0)),""))</f>
        <v/>
      </c>
      <c r="D19" s="411" t="str">
        <f>IF($B19="","",IFERROR(INDEX('E2 — Triagem'!$D$8:$D$507,MATCH($B19,'E2 — Triagem'!$B$8:$B$507,0)),""))</f>
        <v/>
      </c>
      <c r="E19" s="193"/>
      <c r="F19" s="193"/>
      <c r="G19" s="193"/>
      <c r="H19" s="193"/>
      <c r="I19" s="193"/>
      <c r="J19" s="193"/>
      <c r="K19" s="207" t="str">
        <f t="shared" si="0"/>
        <v/>
      </c>
      <c r="L19" s="181"/>
      <c r="M19" s="181"/>
      <c r="N19" s="193"/>
      <c r="O19" s="208" t="str">
        <f>IF(B19="","",IF(Lançamentos!D14="","",Lançamentos!D14))</f>
        <v/>
      </c>
      <c r="P19" s="209">
        <v>7</v>
      </c>
      <c r="Q19" s="208" t="str">
        <f t="shared" si="1"/>
        <v/>
      </c>
      <c r="R19" s="210"/>
      <c r="S19" s="211" t="str">
        <f t="shared" ca="1" si="2"/>
        <v/>
      </c>
      <c r="T19" s="206" t="str">
        <f t="shared" ca="1" si="3"/>
        <v/>
      </c>
      <c r="U19" s="195"/>
    </row>
    <row r="20" spans="2:21" ht="18" customHeight="1" x14ac:dyDescent="0.35">
      <c r="B20" s="204" t="str">
        <f>IF(Lançamentos!$B15="","",Lançamentos!$B15)</f>
        <v/>
      </c>
      <c r="C20" s="205" t="str">
        <f>IF($B20="","",IFERROR(INDEX(Lançamentos!$J$3:$J$1001,MATCH($B20,Lançamentos!$B$3:$B$1001,0)),""))</f>
        <v/>
      </c>
      <c r="D20" s="411" t="str">
        <f>IF($B20="","",IFERROR(INDEX('E2 — Triagem'!$D$8:$D$507,MATCH($B20,'E2 — Triagem'!$B$8:$B$507,0)),""))</f>
        <v/>
      </c>
      <c r="E20" s="193"/>
      <c r="F20" s="193"/>
      <c r="G20" s="193"/>
      <c r="H20" s="193"/>
      <c r="I20" s="193"/>
      <c r="J20" s="193"/>
      <c r="K20" s="207" t="str">
        <f t="shared" si="0"/>
        <v/>
      </c>
      <c r="L20" s="181"/>
      <c r="M20" s="181"/>
      <c r="N20" s="193"/>
      <c r="O20" s="208" t="str">
        <f>IF(B20="","",IF(Lançamentos!D15="","",Lançamentos!D15))</f>
        <v/>
      </c>
      <c r="P20" s="209">
        <v>7</v>
      </c>
      <c r="Q20" s="208" t="str">
        <f t="shared" si="1"/>
        <v/>
      </c>
      <c r="R20" s="210"/>
      <c r="S20" s="211" t="str">
        <f t="shared" ca="1" si="2"/>
        <v/>
      </c>
      <c r="T20" s="206" t="str">
        <f t="shared" ca="1" si="3"/>
        <v/>
      </c>
      <c r="U20" s="195"/>
    </row>
    <row r="21" spans="2:21" ht="18" customHeight="1" x14ac:dyDescent="0.35">
      <c r="B21" s="204" t="str">
        <f>IF(Lançamentos!$B16="","",Lançamentos!$B16)</f>
        <v/>
      </c>
      <c r="C21" s="205" t="str">
        <f>IF($B21="","",IFERROR(INDEX(Lançamentos!$J$3:$J$1001,MATCH($B21,Lançamentos!$B$3:$B$1001,0)),""))</f>
        <v/>
      </c>
      <c r="D21" s="411" t="str">
        <f>IF($B21="","",IFERROR(INDEX('E2 — Triagem'!$D$8:$D$507,MATCH($B21,'E2 — Triagem'!$B$8:$B$507,0)),""))</f>
        <v/>
      </c>
      <c r="E21" s="193"/>
      <c r="F21" s="193"/>
      <c r="G21" s="193"/>
      <c r="H21" s="193"/>
      <c r="I21" s="193"/>
      <c r="J21" s="193"/>
      <c r="K21" s="207" t="str">
        <f t="shared" si="0"/>
        <v/>
      </c>
      <c r="L21" s="181"/>
      <c r="M21" s="181"/>
      <c r="N21" s="193"/>
      <c r="O21" s="208" t="str">
        <f>IF(B21="","",IF(Lançamentos!D16="","",Lançamentos!D16))</f>
        <v/>
      </c>
      <c r="P21" s="209">
        <v>7</v>
      </c>
      <c r="Q21" s="208" t="str">
        <f t="shared" si="1"/>
        <v/>
      </c>
      <c r="R21" s="210"/>
      <c r="S21" s="211" t="str">
        <f t="shared" ca="1" si="2"/>
        <v/>
      </c>
      <c r="T21" s="206" t="str">
        <f t="shared" ca="1" si="3"/>
        <v/>
      </c>
      <c r="U21" s="195"/>
    </row>
    <row r="22" spans="2:21" ht="18" customHeight="1" x14ac:dyDescent="0.35">
      <c r="B22" s="204" t="str">
        <f>IF(Lançamentos!$B17="","",Lançamentos!$B17)</f>
        <v/>
      </c>
      <c r="C22" s="205" t="str">
        <f>IF($B22="","",IFERROR(INDEX(Lançamentos!$J$3:$J$1001,MATCH($B22,Lançamentos!$B$3:$B$1001,0)),""))</f>
        <v/>
      </c>
      <c r="D22" s="411" t="str">
        <f>IF($B22="","",IFERROR(INDEX('E2 — Triagem'!$D$8:$D$507,MATCH($B22,'E2 — Triagem'!$B$8:$B$507,0)),""))</f>
        <v/>
      </c>
      <c r="E22" s="193"/>
      <c r="F22" s="193"/>
      <c r="G22" s="193"/>
      <c r="H22" s="193"/>
      <c r="I22" s="193"/>
      <c r="J22" s="193"/>
      <c r="K22" s="207" t="str">
        <f t="shared" si="0"/>
        <v/>
      </c>
      <c r="L22" s="181"/>
      <c r="M22" s="181"/>
      <c r="N22" s="193"/>
      <c r="O22" s="208" t="str">
        <f>IF(B22="","",IF(Lançamentos!D17="","",Lançamentos!D17))</f>
        <v/>
      </c>
      <c r="P22" s="209">
        <v>7</v>
      </c>
      <c r="Q22" s="208" t="str">
        <f t="shared" si="1"/>
        <v/>
      </c>
      <c r="R22" s="210"/>
      <c r="S22" s="211" t="str">
        <f t="shared" ca="1" si="2"/>
        <v/>
      </c>
      <c r="T22" s="206" t="str">
        <f t="shared" ca="1" si="3"/>
        <v/>
      </c>
      <c r="U22" s="195"/>
    </row>
    <row r="23" spans="2:21" ht="18" customHeight="1" x14ac:dyDescent="0.35">
      <c r="B23" s="204" t="str">
        <f>IF(Lançamentos!$B18="","",Lançamentos!$B18)</f>
        <v/>
      </c>
      <c r="C23" s="205" t="str">
        <f>IF($B23="","",IFERROR(INDEX(Lançamentos!$J$3:$J$1001,MATCH($B23,Lançamentos!$B$3:$B$1001,0)),""))</f>
        <v/>
      </c>
      <c r="D23" s="411" t="str">
        <f>IF($B23="","",IFERROR(INDEX('E2 — Triagem'!$D$8:$D$507,MATCH($B23,'E2 — Triagem'!$B$8:$B$507,0)),""))</f>
        <v/>
      </c>
      <c r="E23" s="193"/>
      <c r="F23" s="193"/>
      <c r="G23" s="193"/>
      <c r="H23" s="193"/>
      <c r="I23" s="193"/>
      <c r="J23" s="193"/>
      <c r="K23" s="207" t="str">
        <f t="shared" si="0"/>
        <v/>
      </c>
      <c r="L23" s="181"/>
      <c r="M23" s="181"/>
      <c r="N23" s="193"/>
      <c r="O23" s="208" t="str">
        <f>IF(B23="","",IF(Lançamentos!D18="","",Lançamentos!D18))</f>
        <v/>
      </c>
      <c r="P23" s="209">
        <v>7</v>
      </c>
      <c r="Q23" s="208" t="str">
        <f t="shared" si="1"/>
        <v/>
      </c>
      <c r="R23" s="210"/>
      <c r="S23" s="211" t="str">
        <f t="shared" ca="1" si="2"/>
        <v/>
      </c>
      <c r="T23" s="206" t="str">
        <f t="shared" ca="1" si="3"/>
        <v/>
      </c>
      <c r="U23" s="195"/>
    </row>
    <row r="24" spans="2:21" ht="18" customHeight="1" x14ac:dyDescent="0.35">
      <c r="B24" s="204" t="str">
        <f>IF(Lançamentos!$B19="","",Lançamentos!$B19)</f>
        <v/>
      </c>
      <c r="C24" s="205" t="str">
        <f>IF($B24="","",IFERROR(INDEX(Lançamentos!$J$3:$J$1001,MATCH($B24,Lançamentos!$B$3:$B$1001,0)),""))</f>
        <v/>
      </c>
      <c r="D24" s="411" t="str">
        <f>IF($B24="","",IFERROR(INDEX('E2 — Triagem'!$D$8:$D$507,MATCH($B24,'E2 — Triagem'!$B$8:$B$507,0)),""))</f>
        <v/>
      </c>
      <c r="E24" s="193"/>
      <c r="F24" s="193"/>
      <c r="G24" s="193"/>
      <c r="H24" s="193"/>
      <c r="I24" s="193"/>
      <c r="J24" s="193"/>
      <c r="K24" s="207" t="str">
        <f t="shared" si="0"/>
        <v/>
      </c>
      <c r="L24" s="181"/>
      <c r="M24" s="181"/>
      <c r="N24" s="193"/>
      <c r="O24" s="208" t="str">
        <f>IF(B24="","",IF(Lançamentos!D19="","",Lançamentos!D19))</f>
        <v/>
      </c>
      <c r="P24" s="209">
        <v>7</v>
      </c>
      <c r="Q24" s="208" t="str">
        <f t="shared" si="1"/>
        <v/>
      </c>
      <c r="R24" s="210"/>
      <c r="S24" s="211" t="str">
        <f t="shared" ca="1" si="2"/>
        <v/>
      </c>
      <c r="T24" s="206" t="str">
        <f t="shared" ca="1" si="3"/>
        <v/>
      </c>
      <c r="U24" s="195"/>
    </row>
    <row r="25" spans="2:21" ht="18" customHeight="1" x14ac:dyDescent="0.35">
      <c r="B25" s="204" t="str">
        <f>IF(Lançamentos!$B20="","",Lançamentos!$B20)</f>
        <v/>
      </c>
      <c r="C25" s="205" t="str">
        <f>IF($B25="","",IFERROR(INDEX(Lançamentos!$J$3:$J$1001,MATCH($B25,Lançamentos!$B$3:$B$1001,0)),""))</f>
        <v/>
      </c>
      <c r="D25" s="411" t="str">
        <f>IF($B25="","",IFERROR(INDEX('E2 — Triagem'!$D$8:$D$507,MATCH($B25,'E2 — Triagem'!$B$8:$B$507,0)),""))</f>
        <v/>
      </c>
      <c r="E25" s="193"/>
      <c r="F25" s="193"/>
      <c r="G25" s="193"/>
      <c r="H25" s="193"/>
      <c r="I25" s="193"/>
      <c r="J25" s="193"/>
      <c r="K25" s="207" t="str">
        <f t="shared" si="0"/>
        <v/>
      </c>
      <c r="L25" s="181"/>
      <c r="M25" s="181"/>
      <c r="N25" s="193"/>
      <c r="O25" s="208" t="str">
        <f>IF(B25="","",IF(Lançamentos!D20="","",Lançamentos!D20))</f>
        <v/>
      </c>
      <c r="P25" s="209">
        <v>7</v>
      </c>
      <c r="Q25" s="208" t="str">
        <f t="shared" si="1"/>
        <v/>
      </c>
      <c r="R25" s="210"/>
      <c r="S25" s="211" t="str">
        <f t="shared" ca="1" si="2"/>
        <v/>
      </c>
      <c r="T25" s="206" t="str">
        <f t="shared" ca="1" si="3"/>
        <v/>
      </c>
      <c r="U25" s="195"/>
    </row>
    <row r="26" spans="2:21" ht="18" customHeight="1" x14ac:dyDescent="0.35">
      <c r="B26" s="204" t="str">
        <f>IF(Lançamentos!$B21="","",Lançamentos!$B21)</f>
        <v/>
      </c>
      <c r="C26" s="205" t="str">
        <f>IF($B26="","",IFERROR(INDEX(Lançamentos!$J$3:$J$1001,MATCH($B26,Lançamentos!$B$3:$B$1001,0)),""))</f>
        <v/>
      </c>
      <c r="D26" s="411" t="str">
        <f>IF($B26="","",IFERROR(INDEX('E2 — Triagem'!$D$8:$D$507,MATCH($B26,'E2 — Triagem'!$B$8:$B$507,0)),""))</f>
        <v/>
      </c>
      <c r="E26" s="193"/>
      <c r="F26" s="193"/>
      <c r="G26" s="193"/>
      <c r="H26" s="193"/>
      <c r="I26" s="193"/>
      <c r="J26" s="193"/>
      <c r="K26" s="207" t="str">
        <f t="shared" si="0"/>
        <v/>
      </c>
      <c r="L26" s="181"/>
      <c r="M26" s="181"/>
      <c r="N26" s="193"/>
      <c r="O26" s="208" t="str">
        <f>IF(B26="","",IF(Lançamentos!D21="","",Lançamentos!D21))</f>
        <v/>
      </c>
      <c r="P26" s="209">
        <v>7</v>
      </c>
      <c r="Q26" s="208" t="str">
        <f t="shared" si="1"/>
        <v/>
      </c>
      <c r="R26" s="210"/>
      <c r="S26" s="211" t="str">
        <f t="shared" ca="1" si="2"/>
        <v/>
      </c>
      <c r="T26" s="206" t="str">
        <f t="shared" ca="1" si="3"/>
        <v/>
      </c>
      <c r="U26" s="195"/>
    </row>
    <row r="27" spans="2:21" ht="18" customHeight="1" x14ac:dyDescent="0.35">
      <c r="B27" s="204" t="str">
        <f>IF(Lançamentos!$B22="","",Lançamentos!$B22)</f>
        <v/>
      </c>
      <c r="C27" s="205" t="str">
        <f>IF($B27="","",IFERROR(INDEX(Lançamentos!$J$3:$J$1001,MATCH($B27,Lançamentos!$B$3:$B$1001,0)),""))</f>
        <v/>
      </c>
      <c r="D27" s="411" t="str">
        <f>IF($B27="","",IFERROR(INDEX('E2 — Triagem'!$D$8:$D$507,MATCH($B27,'E2 — Triagem'!$B$8:$B$507,0)),""))</f>
        <v/>
      </c>
      <c r="E27" s="193"/>
      <c r="F27" s="193"/>
      <c r="G27" s="193"/>
      <c r="H27" s="193"/>
      <c r="I27" s="193"/>
      <c r="J27" s="193"/>
      <c r="K27" s="207" t="str">
        <f t="shared" si="0"/>
        <v/>
      </c>
      <c r="L27" s="181"/>
      <c r="M27" s="181"/>
      <c r="N27" s="193"/>
      <c r="O27" s="208" t="str">
        <f>IF(B27="","",IF(Lançamentos!D22="","",Lançamentos!D22))</f>
        <v/>
      </c>
      <c r="P27" s="209">
        <v>7</v>
      </c>
      <c r="Q27" s="208" t="str">
        <f t="shared" si="1"/>
        <v/>
      </c>
      <c r="R27" s="210"/>
      <c r="S27" s="211" t="str">
        <f t="shared" ca="1" si="2"/>
        <v/>
      </c>
      <c r="T27" s="206" t="str">
        <f t="shared" ca="1" si="3"/>
        <v/>
      </c>
      <c r="U27" s="195"/>
    </row>
    <row r="28" spans="2:21" ht="18" customHeight="1" x14ac:dyDescent="0.35">
      <c r="B28" s="204" t="str">
        <f>IF(Lançamentos!$B23="","",Lançamentos!$B23)</f>
        <v/>
      </c>
      <c r="C28" s="205" t="str">
        <f>IF($B28="","",IFERROR(INDEX(Lançamentos!$J$3:$J$1001,MATCH($B28,Lançamentos!$B$3:$B$1001,0)),""))</f>
        <v/>
      </c>
      <c r="D28" s="411" t="str">
        <f>IF($B28="","",IFERROR(INDEX('E2 — Triagem'!$D$8:$D$507,MATCH($B28,'E2 — Triagem'!$B$8:$B$507,0)),""))</f>
        <v/>
      </c>
      <c r="E28" s="193"/>
      <c r="F28" s="193"/>
      <c r="G28" s="193"/>
      <c r="H28" s="193"/>
      <c r="I28" s="193"/>
      <c r="J28" s="193"/>
      <c r="K28" s="207" t="str">
        <f t="shared" si="0"/>
        <v/>
      </c>
      <c r="L28" s="181"/>
      <c r="M28" s="181"/>
      <c r="N28" s="193"/>
      <c r="O28" s="208" t="str">
        <f>IF(B28="","",IF(Lançamentos!D23="","",Lançamentos!D23))</f>
        <v/>
      </c>
      <c r="P28" s="209">
        <v>7</v>
      </c>
      <c r="Q28" s="208" t="str">
        <f t="shared" si="1"/>
        <v/>
      </c>
      <c r="R28" s="210"/>
      <c r="S28" s="211" t="str">
        <f t="shared" ca="1" si="2"/>
        <v/>
      </c>
      <c r="T28" s="206" t="str">
        <f t="shared" ca="1" si="3"/>
        <v/>
      </c>
      <c r="U28" s="195"/>
    </row>
    <row r="29" spans="2:21" ht="18" customHeight="1" x14ac:dyDescent="0.35">
      <c r="B29" s="204" t="str">
        <f>IF(Lançamentos!$B24="","",Lançamentos!$B24)</f>
        <v/>
      </c>
      <c r="C29" s="205" t="str">
        <f>IF($B29="","",IFERROR(INDEX(Lançamentos!$J$3:$J$1001,MATCH($B29,Lançamentos!$B$3:$B$1001,0)),""))</f>
        <v/>
      </c>
      <c r="D29" s="411" t="str">
        <f>IF($B29="","",IFERROR(INDEX('E2 — Triagem'!$D$8:$D$507,MATCH($B29,'E2 — Triagem'!$B$8:$B$507,0)),""))</f>
        <v/>
      </c>
      <c r="E29" s="193"/>
      <c r="F29" s="193"/>
      <c r="G29" s="193"/>
      <c r="H29" s="193"/>
      <c r="I29" s="193"/>
      <c r="J29" s="193"/>
      <c r="K29" s="207" t="str">
        <f t="shared" si="0"/>
        <v/>
      </c>
      <c r="L29" s="181"/>
      <c r="M29" s="181"/>
      <c r="N29" s="193"/>
      <c r="O29" s="208" t="str">
        <f>IF(B29="","",IF(Lançamentos!D24="","",Lançamentos!D24))</f>
        <v/>
      </c>
      <c r="P29" s="209">
        <v>7</v>
      </c>
      <c r="Q29" s="208" t="str">
        <f t="shared" si="1"/>
        <v/>
      </c>
      <c r="R29" s="210"/>
      <c r="S29" s="211" t="str">
        <f t="shared" ca="1" si="2"/>
        <v/>
      </c>
      <c r="T29" s="206" t="str">
        <f t="shared" ca="1" si="3"/>
        <v/>
      </c>
      <c r="U29" s="195"/>
    </row>
    <row r="30" spans="2:21" ht="18" customHeight="1" x14ac:dyDescent="0.35">
      <c r="B30" s="204" t="str">
        <f>IF(Lançamentos!$B25="","",Lançamentos!$B25)</f>
        <v/>
      </c>
      <c r="C30" s="205" t="str">
        <f>IF($B30="","",IFERROR(INDEX(Lançamentos!$J$3:$J$1001,MATCH($B30,Lançamentos!$B$3:$B$1001,0)),""))</f>
        <v/>
      </c>
      <c r="D30" s="411" t="str">
        <f>IF($B30="","",IFERROR(INDEX('E2 — Triagem'!$D$8:$D$507,MATCH($B30,'E2 — Triagem'!$B$8:$B$507,0)),""))</f>
        <v/>
      </c>
      <c r="E30" s="193"/>
      <c r="F30" s="193"/>
      <c r="G30" s="193"/>
      <c r="H30" s="193"/>
      <c r="I30" s="193"/>
      <c r="J30" s="193"/>
      <c r="K30" s="207" t="str">
        <f t="shared" si="0"/>
        <v/>
      </c>
      <c r="L30" s="181"/>
      <c r="M30" s="181"/>
      <c r="N30" s="193"/>
      <c r="O30" s="208" t="str">
        <f>IF(B30="","",IF(Lançamentos!D25="","",Lançamentos!D25))</f>
        <v/>
      </c>
      <c r="P30" s="209">
        <v>7</v>
      </c>
      <c r="Q30" s="208" t="str">
        <f t="shared" si="1"/>
        <v/>
      </c>
      <c r="R30" s="210"/>
      <c r="S30" s="211" t="str">
        <f t="shared" ca="1" si="2"/>
        <v/>
      </c>
      <c r="T30" s="206" t="str">
        <f t="shared" ca="1" si="3"/>
        <v/>
      </c>
      <c r="U30" s="195"/>
    </row>
    <row r="31" spans="2:21" ht="18" customHeight="1" x14ac:dyDescent="0.35">
      <c r="B31" s="204" t="str">
        <f>IF(Lançamentos!$B26="","",Lançamentos!$B26)</f>
        <v/>
      </c>
      <c r="C31" s="205" t="str">
        <f>IF($B31="","",IFERROR(INDEX(Lançamentos!$J$3:$J$1001,MATCH($B31,Lançamentos!$B$3:$B$1001,0)),""))</f>
        <v/>
      </c>
      <c r="D31" s="411" t="str">
        <f>IF($B31="","",IFERROR(INDEX('E2 — Triagem'!$D$8:$D$507,MATCH($B31,'E2 — Triagem'!$B$8:$B$507,0)),""))</f>
        <v/>
      </c>
      <c r="E31" s="193"/>
      <c r="F31" s="193"/>
      <c r="G31" s="193"/>
      <c r="H31" s="193"/>
      <c r="I31" s="193"/>
      <c r="J31" s="193"/>
      <c r="K31" s="207" t="str">
        <f t="shared" si="0"/>
        <v/>
      </c>
      <c r="L31" s="181"/>
      <c r="M31" s="181"/>
      <c r="N31" s="193"/>
      <c r="O31" s="208" t="str">
        <f>IF(B31="","",IF(Lançamentos!D26="","",Lançamentos!D26))</f>
        <v/>
      </c>
      <c r="P31" s="209">
        <v>7</v>
      </c>
      <c r="Q31" s="208" t="str">
        <f t="shared" si="1"/>
        <v/>
      </c>
      <c r="R31" s="210"/>
      <c r="S31" s="211" t="str">
        <f t="shared" ca="1" si="2"/>
        <v/>
      </c>
      <c r="T31" s="206" t="str">
        <f t="shared" ca="1" si="3"/>
        <v/>
      </c>
      <c r="U31" s="195"/>
    </row>
    <row r="32" spans="2:21" ht="18" customHeight="1" x14ac:dyDescent="0.35">
      <c r="B32" s="204" t="str">
        <f>IF(Lançamentos!$B27="","",Lançamentos!$B27)</f>
        <v/>
      </c>
      <c r="C32" s="205" t="str">
        <f>IF($B32="","",IFERROR(INDEX(Lançamentos!$J$3:$J$1001,MATCH($B32,Lançamentos!$B$3:$B$1001,0)),""))</f>
        <v/>
      </c>
      <c r="D32" s="411" t="str">
        <f>IF($B32="","",IFERROR(INDEX('E2 — Triagem'!$D$8:$D$507,MATCH($B32,'E2 — Triagem'!$B$8:$B$507,0)),""))</f>
        <v/>
      </c>
      <c r="E32" s="193"/>
      <c r="F32" s="193"/>
      <c r="G32" s="193"/>
      <c r="H32" s="193"/>
      <c r="I32" s="193"/>
      <c r="J32" s="193"/>
      <c r="K32" s="207" t="str">
        <f t="shared" si="0"/>
        <v/>
      </c>
      <c r="L32" s="181"/>
      <c r="M32" s="181"/>
      <c r="N32" s="193"/>
      <c r="O32" s="208" t="str">
        <f>IF(B32="","",IF(Lançamentos!D27="","",Lançamentos!D27))</f>
        <v/>
      </c>
      <c r="P32" s="209">
        <v>7</v>
      </c>
      <c r="Q32" s="208" t="str">
        <f t="shared" si="1"/>
        <v/>
      </c>
      <c r="R32" s="210"/>
      <c r="S32" s="211" t="str">
        <f t="shared" ca="1" si="2"/>
        <v/>
      </c>
      <c r="T32" s="206" t="str">
        <f t="shared" ca="1" si="3"/>
        <v/>
      </c>
      <c r="U32" s="195"/>
    </row>
    <row r="33" spans="2:21" ht="18" customHeight="1" x14ac:dyDescent="0.35">
      <c r="B33" s="204" t="str">
        <f>IF(Lançamentos!$B28="","",Lançamentos!$B28)</f>
        <v/>
      </c>
      <c r="C33" s="205" t="str">
        <f>IF($B33="","",IFERROR(INDEX(Lançamentos!$J$3:$J$1001,MATCH($B33,Lançamentos!$B$3:$B$1001,0)),""))</f>
        <v/>
      </c>
      <c r="D33" s="411" t="str">
        <f>IF($B33="","",IFERROR(INDEX('E2 — Triagem'!$D$8:$D$507,MATCH($B33,'E2 — Triagem'!$B$8:$B$507,0)),""))</f>
        <v/>
      </c>
      <c r="E33" s="193"/>
      <c r="F33" s="193"/>
      <c r="G33" s="193"/>
      <c r="H33" s="193"/>
      <c r="I33" s="193"/>
      <c r="J33" s="193"/>
      <c r="K33" s="207" t="str">
        <f t="shared" si="0"/>
        <v/>
      </c>
      <c r="L33" s="181"/>
      <c r="M33" s="181"/>
      <c r="N33" s="193"/>
      <c r="O33" s="208" t="str">
        <f>IF(B33="","",IF(Lançamentos!D28="","",Lançamentos!D28))</f>
        <v/>
      </c>
      <c r="P33" s="209">
        <v>7</v>
      </c>
      <c r="Q33" s="208" t="str">
        <f t="shared" si="1"/>
        <v/>
      </c>
      <c r="R33" s="210"/>
      <c r="S33" s="211" t="str">
        <f t="shared" ca="1" si="2"/>
        <v/>
      </c>
      <c r="T33" s="206" t="str">
        <f t="shared" ca="1" si="3"/>
        <v/>
      </c>
      <c r="U33" s="195"/>
    </row>
    <row r="34" spans="2:21" ht="18" customHeight="1" x14ac:dyDescent="0.35">
      <c r="B34" s="204" t="str">
        <f>IF(Lançamentos!$B29="","",Lançamentos!$B29)</f>
        <v/>
      </c>
      <c r="C34" s="205" t="str">
        <f>IF($B34="","",IFERROR(INDEX(Lançamentos!$J$3:$J$1001,MATCH($B34,Lançamentos!$B$3:$B$1001,0)),""))</f>
        <v/>
      </c>
      <c r="D34" s="411" t="str">
        <f>IF($B34="","",IFERROR(INDEX('E2 — Triagem'!$D$8:$D$507,MATCH($B34,'E2 — Triagem'!$B$8:$B$507,0)),""))</f>
        <v/>
      </c>
      <c r="E34" s="193"/>
      <c r="F34" s="193"/>
      <c r="G34" s="193"/>
      <c r="H34" s="193"/>
      <c r="I34" s="193"/>
      <c r="J34" s="193"/>
      <c r="K34" s="207" t="str">
        <f t="shared" si="0"/>
        <v/>
      </c>
      <c r="L34" s="181"/>
      <c r="M34" s="181"/>
      <c r="N34" s="193"/>
      <c r="O34" s="208" t="str">
        <f>IF(B34="","",IF(Lançamentos!D29="","",Lançamentos!D29))</f>
        <v/>
      </c>
      <c r="P34" s="209">
        <v>7</v>
      </c>
      <c r="Q34" s="208" t="str">
        <f t="shared" si="1"/>
        <v/>
      </c>
      <c r="R34" s="210"/>
      <c r="S34" s="211" t="str">
        <f t="shared" ca="1" si="2"/>
        <v/>
      </c>
      <c r="T34" s="206" t="str">
        <f t="shared" ca="1" si="3"/>
        <v/>
      </c>
      <c r="U34" s="195"/>
    </row>
    <row r="35" spans="2:21" ht="18" customHeight="1" x14ac:dyDescent="0.35">
      <c r="B35" s="204" t="str">
        <f>IF(Lançamentos!$B30="","",Lançamentos!$B30)</f>
        <v/>
      </c>
      <c r="C35" s="205" t="str">
        <f>IF($B35="","",IFERROR(INDEX(Lançamentos!$J$3:$J$1001,MATCH($B35,Lançamentos!$B$3:$B$1001,0)),""))</f>
        <v/>
      </c>
      <c r="D35" s="411" t="str">
        <f>IF($B35="","",IFERROR(INDEX('E2 — Triagem'!$D$8:$D$507,MATCH($B35,'E2 — Triagem'!$B$8:$B$507,0)),""))</f>
        <v/>
      </c>
      <c r="E35" s="193"/>
      <c r="F35" s="193"/>
      <c r="G35" s="193"/>
      <c r="H35" s="193"/>
      <c r="I35" s="193"/>
      <c r="J35" s="193"/>
      <c r="K35" s="207" t="str">
        <f t="shared" si="0"/>
        <v/>
      </c>
      <c r="L35" s="181"/>
      <c r="M35" s="181"/>
      <c r="N35" s="193"/>
      <c r="O35" s="208" t="str">
        <f>IF(B35="","",IF(Lançamentos!D30="","",Lançamentos!D30))</f>
        <v/>
      </c>
      <c r="P35" s="209">
        <v>7</v>
      </c>
      <c r="Q35" s="208" t="str">
        <f t="shared" si="1"/>
        <v/>
      </c>
      <c r="R35" s="210"/>
      <c r="S35" s="211" t="str">
        <f t="shared" ca="1" si="2"/>
        <v/>
      </c>
      <c r="T35" s="206" t="str">
        <f t="shared" ca="1" si="3"/>
        <v/>
      </c>
      <c r="U35" s="195"/>
    </row>
    <row r="36" spans="2:21" ht="18" customHeight="1" x14ac:dyDescent="0.35">
      <c r="B36" s="204" t="str">
        <f>IF(Lançamentos!$B31="","",Lançamentos!$B31)</f>
        <v/>
      </c>
      <c r="C36" s="205" t="str">
        <f>IF($B36="","",IFERROR(INDEX(Lançamentos!$J$3:$J$1001,MATCH($B36,Lançamentos!$B$3:$B$1001,0)),""))</f>
        <v/>
      </c>
      <c r="D36" s="411" t="str">
        <f>IF($B36="","",IFERROR(INDEX('E2 — Triagem'!$D$8:$D$507,MATCH($B36,'E2 — Triagem'!$B$8:$B$507,0)),""))</f>
        <v/>
      </c>
      <c r="E36" s="193"/>
      <c r="F36" s="193"/>
      <c r="G36" s="193"/>
      <c r="H36" s="193"/>
      <c r="I36" s="193"/>
      <c r="J36" s="193"/>
      <c r="K36" s="207" t="str">
        <f t="shared" si="0"/>
        <v/>
      </c>
      <c r="L36" s="181"/>
      <c r="M36" s="181"/>
      <c r="N36" s="193"/>
      <c r="O36" s="208" t="str">
        <f>IF(B36="","",IF(Lançamentos!D31="","",Lançamentos!D31))</f>
        <v/>
      </c>
      <c r="P36" s="209">
        <v>7</v>
      </c>
      <c r="Q36" s="208" t="str">
        <f t="shared" si="1"/>
        <v/>
      </c>
      <c r="R36" s="210"/>
      <c r="S36" s="211" t="str">
        <f t="shared" ca="1" si="2"/>
        <v/>
      </c>
      <c r="T36" s="206" t="str">
        <f t="shared" ca="1" si="3"/>
        <v/>
      </c>
      <c r="U36" s="195"/>
    </row>
    <row r="37" spans="2:21" ht="18" customHeight="1" x14ac:dyDescent="0.35">
      <c r="B37" s="204" t="str">
        <f>IF(Lançamentos!$B32="","",Lançamentos!$B32)</f>
        <v/>
      </c>
      <c r="C37" s="205" t="str">
        <f>IF($B37="","",IFERROR(INDEX(Lançamentos!$J$3:$J$1001,MATCH($B37,Lançamentos!$B$3:$B$1001,0)),""))</f>
        <v/>
      </c>
      <c r="D37" s="411" t="str">
        <f>IF($B37="","",IFERROR(INDEX('E2 — Triagem'!$D$8:$D$507,MATCH($B37,'E2 — Triagem'!$B$8:$B$507,0)),""))</f>
        <v/>
      </c>
      <c r="E37" s="193"/>
      <c r="F37" s="193"/>
      <c r="G37" s="193"/>
      <c r="H37" s="193"/>
      <c r="I37" s="193"/>
      <c r="J37" s="193"/>
      <c r="K37" s="207" t="str">
        <f t="shared" si="0"/>
        <v/>
      </c>
      <c r="L37" s="181"/>
      <c r="M37" s="181"/>
      <c r="N37" s="193"/>
      <c r="O37" s="208" t="str">
        <f>IF(B37="","",IF(Lançamentos!D32="","",Lançamentos!D32))</f>
        <v/>
      </c>
      <c r="P37" s="209">
        <v>7</v>
      </c>
      <c r="Q37" s="208" t="str">
        <f t="shared" si="1"/>
        <v/>
      </c>
      <c r="R37" s="210"/>
      <c r="S37" s="211" t="str">
        <f t="shared" ca="1" si="2"/>
        <v/>
      </c>
      <c r="T37" s="206" t="str">
        <f t="shared" ca="1" si="3"/>
        <v/>
      </c>
      <c r="U37" s="195"/>
    </row>
    <row r="38" spans="2:21" ht="18" customHeight="1" x14ac:dyDescent="0.35">
      <c r="B38" s="204" t="str">
        <f>IF(Lançamentos!$B33="","",Lançamentos!$B33)</f>
        <v/>
      </c>
      <c r="C38" s="205" t="str">
        <f>IF($B38="","",IFERROR(INDEX(Lançamentos!$J$3:$J$1001,MATCH($B38,Lançamentos!$B$3:$B$1001,0)),""))</f>
        <v/>
      </c>
      <c r="D38" s="411" t="str">
        <f>IF($B38="","",IFERROR(INDEX('E2 — Triagem'!$D$8:$D$507,MATCH($B38,'E2 — Triagem'!$B$8:$B$507,0)),""))</f>
        <v/>
      </c>
      <c r="E38" s="193"/>
      <c r="F38" s="193"/>
      <c r="G38" s="193"/>
      <c r="H38" s="193"/>
      <c r="I38" s="193"/>
      <c r="J38" s="193"/>
      <c r="K38" s="207" t="str">
        <f t="shared" si="0"/>
        <v/>
      </c>
      <c r="L38" s="181"/>
      <c r="M38" s="181"/>
      <c r="N38" s="193"/>
      <c r="O38" s="208" t="str">
        <f>IF(B38="","",IF(Lançamentos!D33="","",Lançamentos!D33))</f>
        <v/>
      </c>
      <c r="P38" s="209">
        <v>7</v>
      </c>
      <c r="Q38" s="208" t="str">
        <f t="shared" si="1"/>
        <v/>
      </c>
      <c r="R38" s="210"/>
      <c r="S38" s="211" t="str">
        <f t="shared" ca="1" si="2"/>
        <v/>
      </c>
      <c r="T38" s="206" t="str">
        <f t="shared" ca="1" si="3"/>
        <v/>
      </c>
      <c r="U38" s="195"/>
    </row>
    <row r="39" spans="2:21" ht="18" customHeight="1" x14ac:dyDescent="0.35">
      <c r="B39" s="204" t="str">
        <f>IF(Lançamentos!$B34="","",Lançamentos!$B34)</f>
        <v/>
      </c>
      <c r="C39" s="205" t="str">
        <f>IF($B39="","",IFERROR(INDEX(Lançamentos!$J$3:$J$1001,MATCH($B39,Lançamentos!$B$3:$B$1001,0)),""))</f>
        <v/>
      </c>
      <c r="D39" s="411" t="str">
        <f>IF($B39="","",IFERROR(INDEX('E2 — Triagem'!$D$8:$D$507,MATCH($B39,'E2 — Triagem'!$B$8:$B$507,0)),""))</f>
        <v/>
      </c>
      <c r="E39" s="193"/>
      <c r="F39" s="193"/>
      <c r="G39" s="193"/>
      <c r="H39" s="193"/>
      <c r="I39" s="193"/>
      <c r="J39" s="193"/>
      <c r="K39" s="207" t="str">
        <f t="shared" si="0"/>
        <v/>
      </c>
      <c r="L39" s="181"/>
      <c r="M39" s="181"/>
      <c r="N39" s="193"/>
      <c r="O39" s="208" t="str">
        <f>IF(B39="","",IF(Lançamentos!D34="","",Lançamentos!D34))</f>
        <v/>
      </c>
      <c r="P39" s="209">
        <v>7</v>
      </c>
      <c r="Q39" s="208" t="str">
        <f t="shared" si="1"/>
        <v/>
      </c>
      <c r="R39" s="210"/>
      <c r="S39" s="211" t="str">
        <f t="shared" ca="1" si="2"/>
        <v/>
      </c>
      <c r="T39" s="206" t="str">
        <f t="shared" ca="1" si="3"/>
        <v/>
      </c>
      <c r="U39" s="195"/>
    </row>
    <row r="40" spans="2:21" ht="18" customHeight="1" x14ac:dyDescent="0.35">
      <c r="B40" s="204" t="str">
        <f>IF(Lançamentos!$B35="","",Lançamentos!$B35)</f>
        <v/>
      </c>
      <c r="C40" s="205" t="str">
        <f>IF($B40="","",IFERROR(INDEX(Lançamentos!$J$3:$J$1001,MATCH($B40,Lançamentos!$B$3:$B$1001,0)),""))</f>
        <v/>
      </c>
      <c r="D40" s="411" t="str">
        <f>IF($B40="","",IFERROR(INDEX('E2 — Triagem'!$D$8:$D$507,MATCH($B40,'E2 — Triagem'!$B$8:$B$507,0)),""))</f>
        <v/>
      </c>
      <c r="E40" s="193"/>
      <c r="F40" s="193"/>
      <c r="G40" s="193"/>
      <c r="H40" s="193"/>
      <c r="I40" s="193"/>
      <c r="J40" s="193"/>
      <c r="K40" s="207" t="str">
        <f t="shared" si="0"/>
        <v/>
      </c>
      <c r="L40" s="181"/>
      <c r="M40" s="181"/>
      <c r="N40" s="193"/>
      <c r="O40" s="208" t="str">
        <f>IF(B40="","",IF(Lançamentos!D35="","",Lançamentos!D35))</f>
        <v/>
      </c>
      <c r="P40" s="209">
        <v>7</v>
      </c>
      <c r="Q40" s="208" t="str">
        <f t="shared" si="1"/>
        <v/>
      </c>
      <c r="R40" s="210"/>
      <c r="S40" s="211" t="str">
        <f t="shared" ca="1" si="2"/>
        <v/>
      </c>
      <c r="T40" s="206" t="str">
        <f t="shared" ca="1" si="3"/>
        <v/>
      </c>
      <c r="U40" s="195"/>
    </row>
    <row r="41" spans="2:21" ht="18" customHeight="1" x14ac:dyDescent="0.35">
      <c r="B41" s="204" t="str">
        <f>IF(Lançamentos!$B36="","",Lançamentos!$B36)</f>
        <v/>
      </c>
      <c r="C41" s="205" t="str">
        <f>IF($B41="","",IFERROR(INDEX(Lançamentos!$J$3:$J$1001,MATCH($B41,Lançamentos!$B$3:$B$1001,0)),""))</f>
        <v/>
      </c>
      <c r="D41" s="411" t="str">
        <f>IF($B41="","",IFERROR(INDEX('E2 — Triagem'!$D$8:$D$507,MATCH($B41,'E2 — Triagem'!$B$8:$B$507,0)),""))</f>
        <v/>
      </c>
      <c r="E41" s="193"/>
      <c r="F41" s="193"/>
      <c r="G41" s="193"/>
      <c r="H41" s="193"/>
      <c r="I41" s="193"/>
      <c r="J41" s="193"/>
      <c r="K41" s="207" t="str">
        <f t="shared" si="0"/>
        <v/>
      </c>
      <c r="L41" s="181"/>
      <c r="M41" s="181"/>
      <c r="N41" s="193"/>
      <c r="O41" s="208" t="str">
        <f>IF(B41="","",IF(Lançamentos!D36="","",Lançamentos!D36))</f>
        <v/>
      </c>
      <c r="P41" s="209">
        <v>7</v>
      </c>
      <c r="Q41" s="208" t="str">
        <f t="shared" si="1"/>
        <v/>
      </c>
      <c r="R41" s="210"/>
      <c r="S41" s="211" t="str">
        <f t="shared" ca="1" si="2"/>
        <v/>
      </c>
      <c r="T41" s="206" t="str">
        <f t="shared" ca="1" si="3"/>
        <v/>
      </c>
      <c r="U41" s="195"/>
    </row>
    <row r="42" spans="2:21" ht="18" customHeight="1" x14ac:dyDescent="0.35">
      <c r="B42" s="204" t="str">
        <f>IF(Lançamentos!$B37="","",Lançamentos!$B37)</f>
        <v/>
      </c>
      <c r="C42" s="205" t="str">
        <f>IF($B42="","",IFERROR(INDEX(Lançamentos!$J$3:$J$1001,MATCH($B42,Lançamentos!$B$3:$B$1001,0)),""))</f>
        <v/>
      </c>
      <c r="D42" s="411" t="str">
        <f>IF($B42="","",IFERROR(INDEX('E2 — Triagem'!$D$8:$D$507,MATCH($B42,'E2 — Triagem'!$B$8:$B$507,0)),""))</f>
        <v/>
      </c>
      <c r="E42" s="193"/>
      <c r="F42" s="193"/>
      <c r="G42" s="193"/>
      <c r="H42" s="193"/>
      <c r="I42" s="193"/>
      <c r="J42" s="193"/>
      <c r="K42" s="207" t="str">
        <f t="shared" si="0"/>
        <v/>
      </c>
      <c r="L42" s="181"/>
      <c r="M42" s="181"/>
      <c r="N42" s="193"/>
      <c r="O42" s="208" t="str">
        <f>IF(B42="","",IF(Lançamentos!D37="","",Lançamentos!D37))</f>
        <v/>
      </c>
      <c r="P42" s="209">
        <v>7</v>
      </c>
      <c r="Q42" s="208" t="str">
        <f t="shared" si="1"/>
        <v/>
      </c>
      <c r="R42" s="210"/>
      <c r="S42" s="211" t="str">
        <f t="shared" ca="1" si="2"/>
        <v/>
      </c>
      <c r="T42" s="206" t="str">
        <f t="shared" ca="1" si="3"/>
        <v/>
      </c>
      <c r="U42" s="195"/>
    </row>
    <row r="43" spans="2:21" ht="18" customHeight="1" x14ac:dyDescent="0.35">
      <c r="B43" s="204" t="str">
        <f>IF(Lançamentos!$B38="","",Lançamentos!$B38)</f>
        <v/>
      </c>
      <c r="C43" s="205" t="str">
        <f>IF($B43="","",IFERROR(INDEX(Lançamentos!$J$3:$J$1001,MATCH($B43,Lançamentos!$B$3:$B$1001,0)),""))</f>
        <v/>
      </c>
      <c r="D43" s="411" t="str">
        <f>IF($B43="","",IFERROR(INDEX('E2 — Triagem'!$D$8:$D$507,MATCH($B43,'E2 — Triagem'!$B$8:$B$507,0)),""))</f>
        <v/>
      </c>
      <c r="E43" s="193"/>
      <c r="F43" s="193"/>
      <c r="G43" s="193"/>
      <c r="H43" s="193"/>
      <c r="I43" s="193"/>
      <c r="J43" s="193"/>
      <c r="K43" s="207" t="str">
        <f t="shared" si="0"/>
        <v/>
      </c>
      <c r="L43" s="181"/>
      <c r="M43" s="181"/>
      <c r="N43" s="193"/>
      <c r="O43" s="208" t="str">
        <f>IF(B43="","",IF(Lançamentos!D38="","",Lançamentos!D38))</f>
        <v/>
      </c>
      <c r="P43" s="209">
        <v>7</v>
      </c>
      <c r="Q43" s="208" t="str">
        <f t="shared" si="1"/>
        <v/>
      </c>
      <c r="R43" s="210"/>
      <c r="S43" s="211" t="str">
        <f t="shared" ca="1" si="2"/>
        <v/>
      </c>
      <c r="T43" s="206" t="str">
        <f t="shared" ca="1" si="3"/>
        <v/>
      </c>
      <c r="U43" s="195"/>
    </row>
    <row r="44" spans="2:21" ht="18" customHeight="1" x14ac:dyDescent="0.35">
      <c r="B44" s="204" t="str">
        <f>IF(Lançamentos!$B39="","",Lançamentos!$B39)</f>
        <v/>
      </c>
      <c r="C44" s="205" t="str">
        <f>IF($B44="","",IFERROR(INDEX(Lançamentos!$J$3:$J$1001,MATCH($B44,Lançamentos!$B$3:$B$1001,0)),""))</f>
        <v/>
      </c>
      <c r="D44" s="411" t="str">
        <f>IF($B44="","",IFERROR(INDEX('E2 — Triagem'!$D$8:$D$507,MATCH($B44,'E2 — Triagem'!$B$8:$B$507,0)),""))</f>
        <v/>
      </c>
      <c r="E44" s="193"/>
      <c r="F44" s="193"/>
      <c r="G44" s="193"/>
      <c r="H44" s="193"/>
      <c r="I44" s="193"/>
      <c r="J44" s="193"/>
      <c r="K44" s="207" t="str">
        <f t="shared" si="0"/>
        <v/>
      </c>
      <c r="L44" s="181"/>
      <c r="M44" s="181"/>
      <c r="N44" s="193"/>
      <c r="O44" s="208" t="str">
        <f>IF(B44="","",IF(Lançamentos!D39="","",Lançamentos!D39))</f>
        <v/>
      </c>
      <c r="P44" s="209">
        <v>7</v>
      </c>
      <c r="Q44" s="208" t="str">
        <f t="shared" si="1"/>
        <v/>
      </c>
      <c r="R44" s="210"/>
      <c r="S44" s="211" t="str">
        <f t="shared" ca="1" si="2"/>
        <v/>
      </c>
      <c r="T44" s="206" t="str">
        <f t="shared" ca="1" si="3"/>
        <v/>
      </c>
      <c r="U44" s="195"/>
    </row>
    <row r="45" spans="2:21" ht="18" customHeight="1" x14ac:dyDescent="0.35">
      <c r="B45" s="204" t="str">
        <f>IF(Lançamentos!$B40="","",Lançamentos!$B40)</f>
        <v/>
      </c>
      <c r="C45" s="205" t="str">
        <f>IF($B45="","",IFERROR(INDEX(Lançamentos!$J$3:$J$1001,MATCH($B45,Lançamentos!$B$3:$B$1001,0)),""))</f>
        <v/>
      </c>
      <c r="D45" s="411" t="str">
        <f>IF($B45="","",IFERROR(INDEX('E2 — Triagem'!$D$8:$D$507,MATCH($B45,'E2 — Triagem'!$B$8:$B$507,0)),""))</f>
        <v/>
      </c>
      <c r="E45" s="193"/>
      <c r="F45" s="193"/>
      <c r="G45" s="193"/>
      <c r="H45" s="193"/>
      <c r="I45" s="193"/>
      <c r="J45" s="193"/>
      <c r="K45" s="207" t="str">
        <f t="shared" si="0"/>
        <v/>
      </c>
      <c r="L45" s="181"/>
      <c r="M45" s="181"/>
      <c r="N45" s="193"/>
      <c r="O45" s="208" t="str">
        <f>IF(B45="","",IF(Lançamentos!D40="","",Lançamentos!D40))</f>
        <v/>
      </c>
      <c r="P45" s="209">
        <v>7</v>
      </c>
      <c r="Q45" s="208" t="str">
        <f t="shared" si="1"/>
        <v/>
      </c>
      <c r="R45" s="210"/>
      <c r="S45" s="211" t="str">
        <f t="shared" ca="1" si="2"/>
        <v/>
      </c>
      <c r="T45" s="206" t="str">
        <f t="shared" ca="1" si="3"/>
        <v/>
      </c>
      <c r="U45" s="195"/>
    </row>
    <row r="46" spans="2:21" ht="18" customHeight="1" x14ac:dyDescent="0.35">
      <c r="B46" s="204" t="str">
        <f>IF(Lançamentos!$B41="","",Lançamentos!$B41)</f>
        <v/>
      </c>
      <c r="C46" s="205" t="str">
        <f>IF($B46="","",IFERROR(INDEX(Lançamentos!$J$3:$J$1001,MATCH($B46,Lançamentos!$B$3:$B$1001,0)),""))</f>
        <v/>
      </c>
      <c r="D46" s="411" t="str">
        <f>IF($B46="","",IFERROR(INDEX('E2 — Triagem'!$D$8:$D$507,MATCH($B46,'E2 — Triagem'!$B$8:$B$507,0)),""))</f>
        <v/>
      </c>
      <c r="E46" s="193"/>
      <c r="F46" s="193"/>
      <c r="G46" s="193"/>
      <c r="H46" s="193"/>
      <c r="I46" s="193"/>
      <c r="J46" s="193"/>
      <c r="K46" s="207" t="str">
        <f t="shared" si="0"/>
        <v/>
      </c>
      <c r="L46" s="181"/>
      <c r="M46" s="181"/>
      <c r="N46" s="193"/>
      <c r="O46" s="208" t="str">
        <f>IF(B46="","",IF(Lançamentos!D41="","",Lançamentos!D41))</f>
        <v/>
      </c>
      <c r="P46" s="209">
        <v>7</v>
      </c>
      <c r="Q46" s="208" t="str">
        <f t="shared" si="1"/>
        <v/>
      </c>
      <c r="R46" s="210"/>
      <c r="S46" s="211" t="str">
        <f t="shared" ca="1" si="2"/>
        <v/>
      </c>
      <c r="T46" s="206" t="str">
        <f t="shared" ca="1" si="3"/>
        <v/>
      </c>
      <c r="U46" s="195"/>
    </row>
    <row r="47" spans="2:21" ht="18" customHeight="1" x14ac:dyDescent="0.35">
      <c r="B47" s="204" t="str">
        <f>IF(Lançamentos!$B42="","",Lançamentos!$B42)</f>
        <v/>
      </c>
      <c r="C47" s="205" t="str">
        <f>IF($B47="","",IFERROR(INDEX(Lançamentos!$J$3:$J$1001,MATCH($B47,Lançamentos!$B$3:$B$1001,0)),""))</f>
        <v/>
      </c>
      <c r="D47" s="411" t="str">
        <f>IF($B47="","",IFERROR(INDEX('E2 — Triagem'!$D$8:$D$507,MATCH($B47,'E2 — Triagem'!$B$8:$B$507,0)),""))</f>
        <v/>
      </c>
      <c r="E47" s="193"/>
      <c r="F47" s="193"/>
      <c r="G47" s="193"/>
      <c r="H47" s="193"/>
      <c r="I47" s="193"/>
      <c r="J47" s="193"/>
      <c r="K47" s="207" t="str">
        <f t="shared" si="0"/>
        <v/>
      </c>
      <c r="L47" s="181"/>
      <c r="M47" s="181"/>
      <c r="N47" s="193"/>
      <c r="O47" s="208" t="str">
        <f>IF(B47="","",IF(Lançamentos!D42="","",Lançamentos!D42))</f>
        <v/>
      </c>
      <c r="P47" s="209">
        <v>7</v>
      </c>
      <c r="Q47" s="208" t="str">
        <f t="shared" si="1"/>
        <v/>
      </c>
      <c r="R47" s="210"/>
      <c r="S47" s="211" t="str">
        <f t="shared" ca="1" si="2"/>
        <v/>
      </c>
      <c r="T47" s="206" t="str">
        <f t="shared" ca="1" si="3"/>
        <v/>
      </c>
      <c r="U47" s="195"/>
    </row>
    <row r="48" spans="2:21" ht="18" customHeight="1" x14ac:dyDescent="0.35">
      <c r="B48" s="204" t="str">
        <f>IF(Lançamentos!$B43="","",Lançamentos!$B43)</f>
        <v/>
      </c>
      <c r="C48" s="205" t="str">
        <f>IF($B48="","",IFERROR(INDEX(Lançamentos!$J$3:$J$1001,MATCH($B48,Lançamentos!$B$3:$B$1001,0)),""))</f>
        <v/>
      </c>
      <c r="D48" s="411" t="str">
        <f>IF($B48="","",IFERROR(INDEX('E2 — Triagem'!$D$8:$D$507,MATCH($B48,'E2 — Triagem'!$B$8:$B$507,0)),""))</f>
        <v/>
      </c>
      <c r="E48" s="193"/>
      <c r="F48" s="193"/>
      <c r="G48" s="193"/>
      <c r="H48" s="193"/>
      <c r="I48" s="193"/>
      <c r="J48" s="193"/>
      <c r="K48" s="207" t="str">
        <f t="shared" si="0"/>
        <v/>
      </c>
      <c r="L48" s="181"/>
      <c r="M48" s="181"/>
      <c r="N48" s="193"/>
      <c r="O48" s="208" t="str">
        <f>IF(B48="","",IF(Lançamentos!D43="","",Lançamentos!D43))</f>
        <v/>
      </c>
      <c r="P48" s="209">
        <v>7</v>
      </c>
      <c r="Q48" s="208" t="str">
        <f t="shared" si="1"/>
        <v/>
      </c>
      <c r="R48" s="210"/>
      <c r="S48" s="211" t="str">
        <f t="shared" ca="1" si="2"/>
        <v/>
      </c>
      <c r="T48" s="206" t="str">
        <f t="shared" ca="1" si="3"/>
        <v/>
      </c>
      <c r="U48" s="195"/>
    </row>
    <row r="49" spans="2:21" ht="18" customHeight="1" x14ac:dyDescent="0.35">
      <c r="B49" s="204" t="str">
        <f>IF(Lançamentos!$B44="","",Lançamentos!$B44)</f>
        <v/>
      </c>
      <c r="C49" s="205" t="str">
        <f>IF($B49="","",IFERROR(INDEX(Lançamentos!$J$3:$J$1001,MATCH($B49,Lançamentos!$B$3:$B$1001,0)),""))</f>
        <v/>
      </c>
      <c r="D49" s="411" t="str">
        <f>IF($B49="","",IFERROR(INDEX('E2 — Triagem'!$D$8:$D$507,MATCH($B49,'E2 — Triagem'!$B$8:$B$507,0)),""))</f>
        <v/>
      </c>
      <c r="E49" s="193"/>
      <c r="F49" s="193"/>
      <c r="G49" s="193"/>
      <c r="H49" s="193"/>
      <c r="I49" s="193"/>
      <c r="J49" s="193"/>
      <c r="K49" s="207" t="str">
        <f t="shared" si="0"/>
        <v/>
      </c>
      <c r="L49" s="181"/>
      <c r="M49" s="181"/>
      <c r="N49" s="193"/>
      <c r="O49" s="208" t="str">
        <f>IF(B49="","",IF(Lançamentos!D44="","",Lançamentos!D44))</f>
        <v/>
      </c>
      <c r="P49" s="209">
        <v>7</v>
      </c>
      <c r="Q49" s="208" t="str">
        <f t="shared" si="1"/>
        <v/>
      </c>
      <c r="R49" s="210"/>
      <c r="S49" s="211" t="str">
        <f t="shared" ca="1" si="2"/>
        <v/>
      </c>
      <c r="T49" s="206" t="str">
        <f t="shared" ca="1" si="3"/>
        <v/>
      </c>
      <c r="U49" s="195"/>
    </row>
    <row r="50" spans="2:21" ht="18" customHeight="1" x14ac:dyDescent="0.35">
      <c r="B50" s="204" t="str">
        <f>IF(Lançamentos!$B45="","",Lançamentos!$B45)</f>
        <v/>
      </c>
      <c r="C50" s="205" t="str">
        <f>IF($B50="","",IFERROR(INDEX(Lançamentos!$J$3:$J$1001,MATCH($B50,Lançamentos!$B$3:$B$1001,0)),""))</f>
        <v/>
      </c>
      <c r="D50" s="411" t="str">
        <f>IF($B50="","",IFERROR(INDEX('E2 — Triagem'!$D$8:$D$507,MATCH($B50,'E2 — Triagem'!$B$8:$B$507,0)),""))</f>
        <v/>
      </c>
      <c r="E50" s="193"/>
      <c r="F50" s="193"/>
      <c r="G50" s="193"/>
      <c r="H50" s="193"/>
      <c r="I50" s="193"/>
      <c r="J50" s="193"/>
      <c r="K50" s="207" t="str">
        <f t="shared" si="0"/>
        <v/>
      </c>
      <c r="L50" s="181"/>
      <c r="M50" s="181"/>
      <c r="N50" s="193"/>
      <c r="O50" s="208" t="str">
        <f>IF(B50="","",IF(Lançamentos!D45="","",Lançamentos!D45))</f>
        <v/>
      </c>
      <c r="P50" s="209">
        <v>7</v>
      </c>
      <c r="Q50" s="208" t="str">
        <f t="shared" si="1"/>
        <v/>
      </c>
      <c r="R50" s="210"/>
      <c r="S50" s="211" t="str">
        <f t="shared" ca="1" si="2"/>
        <v/>
      </c>
      <c r="T50" s="206" t="str">
        <f t="shared" ca="1" si="3"/>
        <v/>
      </c>
      <c r="U50" s="195"/>
    </row>
    <row r="51" spans="2:21" ht="18" customHeight="1" x14ac:dyDescent="0.35">
      <c r="B51" s="204" t="str">
        <f>IF(Lançamentos!$B46="","",Lançamentos!$B46)</f>
        <v/>
      </c>
      <c r="C51" s="205" t="str">
        <f>IF($B51="","",IFERROR(INDEX(Lançamentos!$J$3:$J$1001,MATCH($B51,Lançamentos!$B$3:$B$1001,0)),""))</f>
        <v/>
      </c>
      <c r="D51" s="411" t="str">
        <f>IF($B51="","",IFERROR(INDEX('E2 — Triagem'!$D$8:$D$507,MATCH($B51,'E2 — Triagem'!$B$8:$B$507,0)),""))</f>
        <v/>
      </c>
      <c r="E51" s="193"/>
      <c r="F51" s="193"/>
      <c r="G51" s="193"/>
      <c r="H51" s="193"/>
      <c r="I51" s="193"/>
      <c r="J51" s="193"/>
      <c r="K51" s="207" t="str">
        <f t="shared" si="0"/>
        <v/>
      </c>
      <c r="L51" s="181"/>
      <c r="M51" s="181"/>
      <c r="N51" s="193"/>
      <c r="O51" s="208" t="str">
        <f>IF(B51="","",IF(Lançamentos!D46="","",Lançamentos!D46))</f>
        <v/>
      </c>
      <c r="P51" s="209">
        <v>7</v>
      </c>
      <c r="Q51" s="208" t="str">
        <f t="shared" si="1"/>
        <v/>
      </c>
      <c r="R51" s="210"/>
      <c r="S51" s="211" t="str">
        <f t="shared" ca="1" si="2"/>
        <v/>
      </c>
      <c r="T51" s="206" t="str">
        <f t="shared" ca="1" si="3"/>
        <v/>
      </c>
      <c r="U51" s="195"/>
    </row>
    <row r="52" spans="2:21" ht="18" customHeight="1" x14ac:dyDescent="0.35">
      <c r="B52" s="204" t="str">
        <f>IF(Lançamentos!$B47="","",Lançamentos!$B47)</f>
        <v/>
      </c>
      <c r="C52" s="205" t="str">
        <f>IF($B52="","",IFERROR(INDEX(Lançamentos!$J$3:$J$1001,MATCH($B52,Lançamentos!$B$3:$B$1001,0)),""))</f>
        <v/>
      </c>
      <c r="D52" s="411" t="str">
        <f>IF($B52="","",IFERROR(INDEX('E2 — Triagem'!$D$8:$D$507,MATCH($B52,'E2 — Triagem'!$B$8:$B$507,0)),""))</f>
        <v/>
      </c>
      <c r="E52" s="193"/>
      <c r="F52" s="193"/>
      <c r="G52" s="193"/>
      <c r="H52" s="193"/>
      <c r="I52" s="193"/>
      <c r="J52" s="193"/>
      <c r="K52" s="207" t="str">
        <f t="shared" si="0"/>
        <v/>
      </c>
      <c r="L52" s="181"/>
      <c r="M52" s="181"/>
      <c r="N52" s="193"/>
      <c r="O52" s="208" t="str">
        <f>IF(B52="","",IF(Lançamentos!D47="","",Lançamentos!D47))</f>
        <v/>
      </c>
      <c r="P52" s="209">
        <v>7</v>
      </c>
      <c r="Q52" s="208" t="str">
        <f t="shared" si="1"/>
        <v/>
      </c>
      <c r="R52" s="210"/>
      <c r="S52" s="211" t="str">
        <f t="shared" ca="1" si="2"/>
        <v/>
      </c>
      <c r="T52" s="206" t="str">
        <f t="shared" ca="1" si="3"/>
        <v/>
      </c>
      <c r="U52" s="195"/>
    </row>
    <row r="53" spans="2:21" ht="18" customHeight="1" x14ac:dyDescent="0.35">
      <c r="B53" s="204" t="str">
        <f>IF(Lançamentos!$B48="","",Lançamentos!$B48)</f>
        <v/>
      </c>
      <c r="C53" s="205" t="str">
        <f>IF($B53="","",IFERROR(INDEX(Lançamentos!$J$3:$J$1001,MATCH($B53,Lançamentos!$B$3:$B$1001,0)),""))</f>
        <v/>
      </c>
      <c r="D53" s="411" t="str">
        <f>IF($B53="","",IFERROR(INDEX('E2 — Triagem'!$D$8:$D$507,MATCH($B53,'E2 — Triagem'!$B$8:$B$507,0)),""))</f>
        <v/>
      </c>
      <c r="E53" s="193"/>
      <c r="F53" s="193"/>
      <c r="G53" s="193"/>
      <c r="H53" s="193"/>
      <c r="I53" s="193"/>
      <c r="J53" s="193"/>
      <c r="K53" s="207" t="str">
        <f t="shared" si="0"/>
        <v/>
      </c>
      <c r="L53" s="181"/>
      <c r="M53" s="181"/>
      <c r="N53" s="193"/>
      <c r="O53" s="208" t="str">
        <f>IF(B53="","",IF(Lançamentos!D48="","",Lançamentos!D48))</f>
        <v/>
      </c>
      <c r="P53" s="209">
        <v>7</v>
      </c>
      <c r="Q53" s="208" t="str">
        <f t="shared" si="1"/>
        <v/>
      </c>
      <c r="R53" s="210"/>
      <c r="S53" s="211" t="str">
        <f t="shared" ca="1" si="2"/>
        <v/>
      </c>
      <c r="T53" s="206" t="str">
        <f t="shared" ca="1" si="3"/>
        <v/>
      </c>
      <c r="U53" s="195"/>
    </row>
    <row r="54" spans="2:21" ht="18" customHeight="1" x14ac:dyDescent="0.35">
      <c r="B54" s="204" t="str">
        <f>IF(Lançamentos!$B49="","",Lançamentos!$B49)</f>
        <v/>
      </c>
      <c r="C54" s="205" t="str">
        <f>IF($B54="","",IFERROR(INDEX(Lançamentos!$J$3:$J$1001,MATCH($B54,Lançamentos!$B$3:$B$1001,0)),""))</f>
        <v/>
      </c>
      <c r="D54" s="411" t="str">
        <f>IF($B54="","",IFERROR(INDEX('E2 — Triagem'!$D$8:$D$507,MATCH($B54,'E2 — Triagem'!$B$8:$B$507,0)),""))</f>
        <v/>
      </c>
      <c r="E54" s="193"/>
      <c r="F54" s="193"/>
      <c r="G54" s="193"/>
      <c r="H54" s="193"/>
      <c r="I54" s="193"/>
      <c r="J54" s="193"/>
      <c r="K54" s="207" t="str">
        <f t="shared" si="0"/>
        <v/>
      </c>
      <c r="L54" s="181"/>
      <c r="M54" s="181"/>
      <c r="N54" s="193"/>
      <c r="O54" s="208" t="str">
        <f>IF(B54="","",IF(Lançamentos!D49="","",Lançamentos!D49))</f>
        <v/>
      </c>
      <c r="P54" s="209">
        <v>7</v>
      </c>
      <c r="Q54" s="208" t="str">
        <f t="shared" si="1"/>
        <v/>
      </c>
      <c r="R54" s="210"/>
      <c r="S54" s="211" t="str">
        <f t="shared" ca="1" si="2"/>
        <v/>
      </c>
      <c r="T54" s="206" t="str">
        <f t="shared" ca="1" si="3"/>
        <v/>
      </c>
      <c r="U54" s="195"/>
    </row>
    <row r="55" spans="2:21" ht="18" customHeight="1" x14ac:dyDescent="0.35">
      <c r="B55" s="204" t="str">
        <f>IF(Lançamentos!$B50="","",Lançamentos!$B50)</f>
        <v/>
      </c>
      <c r="C55" s="205" t="str">
        <f>IF($B55="","",IFERROR(INDEX(Lançamentos!$J$3:$J$1001,MATCH($B55,Lançamentos!$B$3:$B$1001,0)),""))</f>
        <v/>
      </c>
      <c r="D55" s="411" t="str">
        <f>IF($B55="","",IFERROR(INDEX('E2 — Triagem'!$D$8:$D$507,MATCH($B55,'E2 — Triagem'!$B$8:$B$507,0)),""))</f>
        <v/>
      </c>
      <c r="E55" s="193"/>
      <c r="F55" s="193"/>
      <c r="G55" s="193"/>
      <c r="H55" s="193"/>
      <c r="I55" s="193"/>
      <c r="J55" s="193"/>
      <c r="K55" s="207" t="str">
        <f t="shared" si="0"/>
        <v/>
      </c>
      <c r="L55" s="181"/>
      <c r="M55" s="181"/>
      <c r="N55" s="193"/>
      <c r="O55" s="208" t="str">
        <f>IF(B55="","",IF(Lançamentos!D50="","",Lançamentos!D50))</f>
        <v/>
      </c>
      <c r="P55" s="209">
        <v>7</v>
      </c>
      <c r="Q55" s="208" t="str">
        <f t="shared" si="1"/>
        <v/>
      </c>
      <c r="R55" s="210"/>
      <c r="S55" s="211" t="str">
        <f t="shared" ca="1" si="2"/>
        <v/>
      </c>
      <c r="T55" s="206" t="str">
        <f t="shared" ca="1" si="3"/>
        <v/>
      </c>
      <c r="U55" s="195"/>
    </row>
    <row r="56" spans="2:21" ht="18" customHeight="1" x14ac:dyDescent="0.35">
      <c r="B56" s="204" t="str">
        <f>IF(Lançamentos!$B51="","",Lançamentos!$B51)</f>
        <v/>
      </c>
      <c r="C56" s="205" t="str">
        <f>IF($B56="","",IFERROR(INDEX(Lançamentos!$J$3:$J$1001,MATCH($B56,Lançamentos!$B$3:$B$1001,0)),""))</f>
        <v/>
      </c>
      <c r="D56" s="411" t="str">
        <f>IF($B56="","",IFERROR(INDEX('E2 — Triagem'!$D$8:$D$507,MATCH($B56,'E2 — Triagem'!$B$8:$B$507,0)),""))</f>
        <v/>
      </c>
      <c r="E56" s="193"/>
      <c r="F56" s="193"/>
      <c r="G56" s="193"/>
      <c r="H56" s="193"/>
      <c r="I56" s="193"/>
      <c r="J56" s="193"/>
      <c r="K56" s="207" t="str">
        <f t="shared" si="0"/>
        <v/>
      </c>
      <c r="L56" s="181"/>
      <c r="M56" s="181"/>
      <c r="N56" s="193"/>
      <c r="O56" s="208" t="str">
        <f>IF(B56="","",IF(Lançamentos!D51="","",Lançamentos!D51))</f>
        <v/>
      </c>
      <c r="P56" s="209">
        <v>7</v>
      </c>
      <c r="Q56" s="208" t="str">
        <f t="shared" si="1"/>
        <v/>
      </c>
      <c r="R56" s="210"/>
      <c r="S56" s="211" t="str">
        <f t="shared" ca="1" si="2"/>
        <v/>
      </c>
      <c r="T56" s="206" t="str">
        <f t="shared" ca="1" si="3"/>
        <v/>
      </c>
      <c r="U56" s="195"/>
    </row>
    <row r="57" spans="2:21" ht="18" customHeight="1" x14ac:dyDescent="0.35">
      <c r="B57" s="204" t="str">
        <f>IF(Lançamentos!$B52="","",Lançamentos!$B52)</f>
        <v/>
      </c>
      <c r="C57" s="205" t="str">
        <f>IF($B57="","",IFERROR(INDEX(Lançamentos!$J$3:$J$1001,MATCH($B57,Lançamentos!$B$3:$B$1001,0)),""))</f>
        <v/>
      </c>
      <c r="D57" s="411" t="str">
        <f>IF($B57="","",IFERROR(INDEX('E2 — Triagem'!$D$8:$D$507,MATCH($B57,'E2 — Triagem'!$B$8:$B$507,0)),""))</f>
        <v/>
      </c>
      <c r="E57" s="193"/>
      <c r="F57" s="193"/>
      <c r="G57" s="193"/>
      <c r="H57" s="193"/>
      <c r="I57" s="193"/>
      <c r="J57" s="193"/>
      <c r="K57" s="207" t="str">
        <f t="shared" si="0"/>
        <v/>
      </c>
      <c r="L57" s="181"/>
      <c r="M57" s="181"/>
      <c r="N57" s="193"/>
      <c r="O57" s="208" t="str">
        <f>IF(B57="","",IF(Lançamentos!D52="","",Lançamentos!D52))</f>
        <v/>
      </c>
      <c r="P57" s="209">
        <v>7</v>
      </c>
      <c r="Q57" s="208" t="str">
        <f t="shared" si="1"/>
        <v/>
      </c>
      <c r="R57" s="210"/>
      <c r="S57" s="211" t="str">
        <f t="shared" ca="1" si="2"/>
        <v/>
      </c>
      <c r="T57" s="206" t="str">
        <f t="shared" ca="1" si="3"/>
        <v/>
      </c>
      <c r="U57" s="195"/>
    </row>
    <row r="58" spans="2:21" ht="18" customHeight="1" x14ac:dyDescent="0.35">
      <c r="B58" s="204" t="str">
        <f>IF(Lançamentos!$B53="","",Lançamentos!$B53)</f>
        <v/>
      </c>
      <c r="C58" s="205" t="str">
        <f>IF($B58="","",IFERROR(INDEX(Lançamentos!$J$3:$J$1001,MATCH($B58,Lançamentos!$B$3:$B$1001,0)),""))</f>
        <v/>
      </c>
      <c r="D58" s="411" t="str">
        <f>IF($B58="","",IFERROR(INDEX('E2 — Triagem'!$D$8:$D$507,MATCH($B58,'E2 — Triagem'!$B$8:$B$507,0)),""))</f>
        <v/>
      </c>
      <c r="E58" s="193"/>
      <c r="F58" s="193"/>
      <c r="G58" s="193"/>
      <c r="H58" s="193"/>
      <c r="I58" s="193"/>
      <c r="J58" s="193"/>
      <c r="K58" s="207" t="str">
        <f t="shared" si="0"/>
        <v/>
      </c>
      <c r="L58" s="181"/>
      <c r="M58" s="181"/>
      <c r="N58" s="193"/>
      <c r="O58" s="208" t="str">
        <f>IF(B58="","",IF(Lançamentos!D53="","",Lançamentos!D53))</f>
        <v/>
      </c>
      <c r="P58" s="209">
        <v>7</v>
      </c>
      <c r="Q58" s="208" t="str">
        <f t="shared" si="1"/>
        <v/>
      </c>
      <c r="R58" s="210"/>
      <c r="S58" s="211" t="str">
        <f t="shared" ca="1" si="2"/>
        <v/>
      </c>
      <c r="T58" s="206" t="str">
        <f t="shared" ca="1" si="3"/>
        <v/>
      </c>
      <c r="U58" s="195"/>
    </row>
    <row r="59" spans="2:21" ht="18" customHeight="1" x14ac:dyDescent="0.35">
      <c r="B59" s="204" t="str">
        <f>IF(Lançamentos!$B54="","",Lançamentos!$B54)</f>
        <v/>
      </c>
      <c r="C59" s="205" t="str">
        <f>IF($B59="","",IFERROR(INDEX(Lançamentos!$J$3:$J$1001,MATCH($B59,Lançamentos!$B$3:$B$1001,0)),""))</f>
        <v/>
      </c>
      <c r="D59" s="411" t="str">
        <f>IF($B59="","",IFERROR(INDEX('E2 — Triagem'!$D$8:$D$507,MATCH($B59,'E2 — Triagem'!$B$8:$B$507,0)),""))</f>
        <v/>
      </c>
      <c r="E59" s="193"/>
      <c r="F59" s="193"/>
      <c r="G59" s="193"/>
      <c r="H59" s="193"/>
      <c r="I59" s="193"/>
      <c r="J59" s="193"/>
      <c r="K59" s="207" t="str">
        <f t="shared" si="0"/>
        <v/>
      </c>
      <c r="L59" s="181"/>
      <c r="M59" s="181"/>
      <c r="N59" s="193"/>
      <c r="O59" s="208" t="str">
        <f>IF(B59="","",IF(Lançamentos!D54="","",Lançamentos!D54))</f>
        <v/>
      </c>
      <c r="P59" s="209">
        <v>7</v>
      </c>
      <c r="Q59" s="208" t="str">
        <f t="shared" si="1"/>
        <v/>
      </c>
      <c r="R59" s="210"/>
      <c r="S59" s="211" t="str">
        <f t="shared" ca="1" si="2"/>
        <v/>
      </c>
      <c r="T59" s="206" t="str">
        <f t="shared" ca="1" si="3"/>
        <v/>
      </c>
      <c r="U59" s="195"/>
    </row>
    <row r="60" spans="2:21" ht="18" customHeight="1" x14ac:dyDescent="0.35">
      <c r="B60" s="204" t="str">
        <f>IF(Lançamentos!$B55="","",Lançamentos!$B55)</f>
        <v/>
      </c>
      <c r="C60" s="205" t="str">
        <f>IF($B60="","",IFERROR(INDEX(Lançamentos!$J$3:$J$1001,MATCH($B60,Lançamentos!$B$3:$B$1001,0)),""))</f>
        <v/>
      </c>
      <c r="D60" s="411" t="str">
        <f>IF($B60="","",IFERROR(INDEX('E2 — Triagem'!$D$8:$D$507,MATCH($B60,'E2 — Triagem'!$B$8:$B$507,0)),""))</f>
        <v/>
      </c>
      <c r="E60" s="193"/>
      <c r="F60" s="193"/>
      <c r="G60" s="193"/>
      <c r="H60" s="193"/>
      <c r="I60" s="193"/>
      <c r="J60" s="193"/>
      <c r="K60" s="207" t="str">
        <f t="shared" si="0"/>
        <v/>
      </c>
      <c r="L60" s="181"/>
      <c r="M60" s="181"/>
      <c r="N60" s="193"/>
      <c r="O60" s="208" t="str">
        <f>IF(B60="","",IF(Lançamentos!D55="","",Lançamentos!D55))</f>
        <v/>
      </c>
      <c r="P60" s="209">
        <v>7</v>
      </c>
      <c r="Q60" s="208" t="str">
        <f t="shared" si="1"/>
        <v/>
      </c>
      <c r="R60" s="210"/>
      <c r="S60" s="211" t="str">
        <f t="shared" ca="1" si="2"/>
        <v/>
      </c>
      <c r="T60" s="206" t="str">
        <f t="shared" ca="1" si="3"/>
        <v/>
      </c>
      <c r="U60" s="195"/>
    </row>
    <row r="61" spans="2:21" ht="18" customHeight="1" x14ac:dyDescent="0.35">
      <c r="B61" s="204" t="str">
        <f>IF(Lançamentos!$B56="","",Lançamentos!$B56)</f>
        <v/>
      </c>
      <c r="C61" s="205" t="str">
        <f>IF($B61="","",IFERROR(INDEX(Lançamentos!$J$3:$J$1001,MATCH($B61,Lançamentos!$B$3:$B$1001,0)),""))</f>
        <v/>
      </c>
      <c r="D61" s="411" t="str">
        <f>IF($B61="","",IFERROR(INDEX('E2 — Triagem'!$D$8:$D$507,MATCH($B61,'E2 — Triagem'!$B$8:$B$507,0)),""))</f>
        <v/>
      </c>
      <c r="E61" s="193"/>
      <c r="F61" s="193"/>
      <c r="G61" s="193"/>
      <c r="H61" s="193"/>
      <c r="I61" s="193"/>
      <c r="J61" s="193"/>
      <c r="K61" s="207" t="str">
        <f t="shared" si="0"/>
        <v/>
      </c>
      <c r="L61" s="181"/>
      <c r="M61" s="181"/>
      <c r="N61" s="193"/>
      <c r="O61" s="208" t="str">
        <f>IF(B61="","",IF(Lançamentos!D56="","",Lançamentos!D56))</f>
        <v/>
      </c>
      <c r="P61" s="209">
        <v>7</v>
      </c>
      <c r="Q61" s="208" t="str">
        <f t="shared" si="1"/>
        <v/>
      </c>
      <c r="R61" s="210"/>
      <c r="S61" s="211" t="str">
        <f t="shared" ca="1" si="2"/>
        <v/>
      </c>
      <c r="T61" s="206" t="str">
        <f t="shared" ca="1" si="3"/>
        <v/>
      </c>
      <c r="U61" s="195"/>
    </row>
    <row r="62" spans="2:21" ht="18" customHeight="1" x14ac:dyDescent="0.35">
      <c r="B62" s="204" t="str">
        <f>IF(Lançamentos!$B57="","",Lançamentos!$B57)</f>
        <v/>
      </c>
      <c r="C62" s="205" t="str">
        <f>IF($B62="","",IFERROR(INDEX(Lançamentos!$J$3:$J$1001,MATCH($B62,Lançamentos!$B$3:$B$1001,0)),""))</f>
        <v/>
      </c>
      <c r="D62" s="411" t="str">
        <f>IF($B62="","",IFERROR(INDEX('E2 — Triagem'!$D$8:$D$507,MATCH($B62,'E2 — Triagem'!$B$8:$B$507,0)),""))</f>
        <v/>
      </c>
      <c r="E62" s="193"/>
      <c r="F62" s="193"/>
      <c r="G62" s="193"/>
      <c r="H62" s="193"/>
      <c r="I62" s="193"/>
      <c r="J62" s="193"/>
      <c r="K62" s="207" t="str">
        <f t="shared" si="0"/>
        <v/>
      </c>
      <c r="L62" s="181"/>
      <c r="M62" s="181"/>
      <c r="N62" s="193"/>
      <c r="O62" s="208" t="str">
        <f>IF(B62="","",IF(Lançamentos!D57="","",Lançamentos!D57))</f>
        <v/>
      </c>
      <c r="P62" s="209">
        <v>7</v>
      </c>
      <c r="Q62" s="208" t="str">
        <f t="shared" si="1"/>
        <v/>
      </c>
      <c r="R62" s="210"/>
      <c r="S62" s="211" t="str">
        <f t="shared" ca="1" si="2"/>
        <v/>
      </c>
      <c r="T62" s="206" t="str">
        <f t="shared" ca="1" si="3"/>
        <v/>
      </c>
      <c r="U62" s="195"/>
    </row>
    <row r="63" spans="2:21" ht="18" customHeight="1" x14ac:dyDescent="0.35">
      <c r="B63" s="204" t="str">
        <f>IF(Lançamentos!$B58="","",Lançamentos!$B58)</f>
        <v/>
      </c>
      <c r="C63" s="205" t="str">
        <f>IF($B63="","",IFERROR(INDEX(Lançamentos!$J$3:$J$1001,MATCH($B63,Lançamentos!$B$3:$B$1001,0)),""))</f>
        <v/>
      </c>
      <c r="D63" s="411" t="str">
        <f>IF($B63="","",IFERROR(INDEX('E2 — Triagem'!$D$8:$D$507,MATCH($B63,'E2 — Triagem'!$B$8:$B$507,0)),""))</f>
        <v/>
      </c>
      <c r="E63" s="193"/>
      <c r="F63" s="193"/>
      <c r="G63" s="193"/>
      <c r="H63" s="193"/>
      <c r="I63" s="193"/>
      <c r="J63" s="193"/>
      <c r="K63" s="207" t="str">
        <f t="shared" si="0"/>
        <v/>
      </c>
      <c r="L63" s="181"/>
      <c r="M63" s="181"/>
      <c r="N63" s="193"/>
      <c r="O63" s="208" t="str">
        <f>IF(B63="","",IF(Lançamentos!D58="","",Lançamentos!D58))</f>
        <v/>
      </c>
      <c r="P63" s="209">
        <v>7</v>
      </c>
      <c r="Q63" s="208" t="str">
        <f t="shared" si="1"/>
        <v/>
      </c>
      <c r="R63" s="210"/>
      <c r="S63" s="211" t="str">
        <f t="shared" ca="1" si="2"/>
        <v/>
      </c>
      <c r="T63" s="206" t="str">
        <f t="shared" ca="1" si="3"/>
        <v/>
      </c>
      <c r="U63" s="195"/>
    </row>
    <row r="64" spans="2:21" ht="18" customHeight="1" x14ac:dyDescent="0.35">
      <c r="B64" s="204" t="str">
        <f>IF(Lançamentos!$B59="","",Lançamentos!$B59)</f>
        <v/>
      </c>
      <c r="C64" s="205" t="str">
        <f>IF($B64="","",IFERROR(INDEX(Lançamentos!$J$3:$J$1001,MATCH($B64,Lançamentos!$B$3:$B$1001,0)),""))</f>
        <v/>
      </c>
      <c r="D64" s="411" t="str">
        <f>IF($B64="","",IFERROR(INDEX('E2 — Triagem'!$D$8:$D$507,MATCH($B64,'E2 — Triagem'!$B$8:$B$507,0)),""))</f>
        <v/>
      </c>
      <c r="E64" s="193"/>
      <c r="F64" s="193"/>
      <c r="G64" s="193"/>
      <c r="H64" s="193"/>
      <c r="I64" s="193"/>
      <c r="J64" s="193"/>
      <c r="K64" s="207" t="str">
        <f t="shared" si="0"/>
        <v/>
      </c>
      <c r="L64" s="181"/>
      <c r="M64" s="181"/>
      <c r="N64" s="193"/>
      <c r="O64" s="208" t="str">
        <f>IF(B64="","",IF(Lançamentos!D59="","",Lançamentos!D59))</f>
        <v/>
      </c>
      <c r="P64" s="209">
        <v>7</v>
      </c>
      <c r="Q64" s="208" t="str">
        <f t="shared" si="1"/>
        <v/>
      </c>
      <c r="R64" s="210"/>
      <c r="S64" s="211" t="str">
        <f t="shared" ca="1" si="2"/>
        <v/>
      </c>
      <c r="T64" s="206" t="str">
        <f t="shared" ca="1" si="3"/>
        <v/>
      </c>
      <c r="U64" s="195"/>
    </row>
    <row r="65" spans="2:21" ht="18" customHeight="1" x14ac:dyDescent="0.35">
      <c r="B65" s="204" t="str">
        <f>IF(Lançamentos!$B60="","",Lançamentos!$B60)</f>
        <v/>
      </c>
      <c r="C65" s="205" t="str">
        <f>IF($B65="","",IFERROR(INDEX(Lançamentos!$J$3:$J$1001,MATCH($B65,Lançamentos!$B$3:$B$1001,0)),""))</f>
        <v/>
      </c>
      <c r="D65" s="411" t="str">
        <f>IF($B65="","",IFERROR(INDEX('E2 — Triagem'!$D$8:$D$507,MATCH($B65,'E2 — Triagem'!$B$8:$B$507,0)),""))</f>
        <v/>
      </c>
      <c r="E65" s="193"/>
      <c r="F65" s="193"/>
      <c r="G65" s="193"/>
      <c r="H65" s="193"/>
      <c r="I65" s="193"/>
      <c r="J65" s="193"/>
      <c r="K65" s="207" t="str">
        <f t="shared" si="0"/>
        <v/>
      </c>
      <c r="L65" s="181"/>
      <c r="M65" s="181"/>
      <c r="N65" s="193"/>
      <c r="O65" s="208" t="str">
        <f>IF(B65="","",IF(Lançamentos!D60="","",Lançamentos!D60))</f>
        <v/>
      </c>
      <c r="P65" s="209">
        <v>7</v>
      </c>
      <c r="Q65" s="208" t="str">
        <f t="shared" si="1"/>
        <v/>
      </c>
      <c r="R65" s="210"/>
      <c r="S65" s="211" t="str">
        <f t="shared" ca="1" si="2"/>
        <v/>
      </c>
      <c r="T65" s="206" t="str">
        <f t="shared" ca="1" si="3"/>
        <v/>
      </c>
      <c r="U65" s="195"/>
    </row>
    <row r="66" spans="2:21" ht="18" customHeight="1" x14ac:dyDescent="0.35">
      <c r="B66" s="204" t="str">
        <f>IF(Lançamentos!$B61="","",Lançamentos!$B61)</f>
        <v/>
      </c>
      <c r="C66" s="205" t="str">
        <f>IF($B66="","",IFERROR(INDEX(Lançamentos!$J$3:$J$1001,MATCH($B66,Lançamentos!$B$3:$B$1001,0)),""))</f>
        <v/>
      </c>
      <c r="D66" s="411" t="str">
        <f>IF($B66="","",IFERROR(INDEX('E2 — Triagem'!$D$8:$D$507,MATCH($B66,'E2 — Triagem'!$B$8:$B$507,0)),""))</f>
        <v/>
      </c>
      <c r="E66" s="193"/>
      <c r="F66" s="193"/>
      <c r="G66" s="193"/>
      <c r="H66" s="193"/>
      <c r="I66" s="193"/>
      <c r="J66" s="193"/>
      <c r="K66" s="207" t="str">
        <f t="shared" si="0"/>
        <v/>
      </c>
      <c r="L66" s="181"/>
      <c r="M66" s="181"/>
      <c r="N66" s="193"/>
      <c r="O66" s="208" t="str">
        <f>IF(B66="","",IF(Lançamentos!D61="","",Lançamentos!D61))</f>
        <v/>
      </c>
      <c r="P66" s="209">
        <v>7</v>
      </c>
      <c r="Q66" s="208" t="str">
        <f t="shared" si="1"/>
        <v/>
      </c>
      <c r="R66" s="210"/>
      <c r="S66" s="211" t="str">
        <f t="shared" ca="1" si="2"/>
        <v/>
      </c>
      <c r="T66" s="206" t="str">
        <f t="shared" ca="1" si="3"/>
        <v/>
      </c>
      <c r="U66" s="195"/>
    </row>
    <row r="67" spans="2:21" ht="18" customHeight="1" x14ac:dyDescent="0.35">
      <c r="B67" s="204" t="str">
        <f>IF(Lançamentos!$B62="","",Lançamentos!$B62)</f>
        <v/>
      </c>
      <c r="C67" s="205" t="str">
        <f>IF($B67="","",IFERROR(INDEX(Lançamentos!$J$3:$J$1001,MATCH($B67,Lançamentos!$B$3:$B$1001,0)),""))</f>
        <v/>
      </c>
      <c r="D67" s="411" t="str">
        <f>IF($B67="","",IFERROR(INDEX('E2 — Triagem'!$D$8:$D$507,MATCH($B67,'E2 — Triagem'!$B$8:$B$507,0)),""))</f>
        <v/>
      </c>
      <c r="E67" s="193"/>
      <c r="F67" s="193"/>
      <c r="G67" s="193"/>
      <c r="H67" s="193"/>
      <c r="I67" s="193"/>
      <c r="J67" s="193"/>
      <c r="K67" s="207" t="str">
        <f t="shared" si="0"/>
        <v/>
      </c>
      <c r="L67" s="181"/>
      <c r="M67" s="181"/>
      <c r="N67" s="193"/>
      <c r="O67" s="208" t="str">
        <f>IF(B67="","",IF(Lançamentos!D62="","",Lançamentos!D62))</f>
        <v/>
      </c>
      <c r="P67" s="209">
        <v>7</v>
      </c>
      <c r="Q67" s="208" t="str">
        <f t="shared" si="1"/>
        <v/>
      </c>
      <c r="R67" s="210"/>
      <c r="S67" s="211" t="str">
        <f t="shared" ca="1" si="2"/>
        <v/>
      </c>
      <c r="T67" s="206" t="str">
        <f t="shared" ca="1" si="3"/>
        <v/>
      </c>
      <c r="U67" s="195"/>
    </row>
    <row r="68" spans="2:21" ht="18" customHeight="1" x14ac:dyDescent="0.35">
      <c r="B68" s="204" t="str">
        <f>IF(Lançamentos!$B63="","",Lançamentos!$B63)</f>
        <v/>
      </c>
      <c r="C68" s="205" t="str">
        <f>IF($B68="","",IFERROR(INDEX(Lançamentos!$J$3:$J$1001,MATCH($B68,Lançamentos!$B$3:$B$1001,0)),""))</f>
        <v/>
      </c>
      <c r="D68" s="411" t="str">
        <f>IF($B68="","",IFERROR(INDEX('E2 — Triagem'!$D$8:$D$507,MATCH($B68,'E2 — Triagem'!$B$8:$B$507,0)),""))</f>
        <v/>
      </c>
      <c r="E68" s="193"/>
      <c r="F68" s="193"/>
      <c r="G68" s="193"/>
      <c r="H68" s="193"/>
      <c r="I68" s="193"/>
      <c r="J68" s="193"/>
      <c r="K68" s="207" t="str">
        <f t="shared" si="0"/>
        <v/>
      </c>
      <c r="L68" s="181"/>
      <c r="M68" s="181"/>
      <c r="N68" s="193"/>
      <c r="O68" s="208" t="str">
        <f>IF(B68="","",IF(Lançamentos!D63="","",Lançamentos!D63))</f>
        <v/>
      </c>
      <c r="P68" s="209">
        <v>7</v>
      </c>
      <c r="Q68" s="208" t="str">
        <f t="shared" si="1"/>
        <v/>
      </c>
      <c r="R68" s="210"/>
      <c r="S68" s="211" t="str">
        <f t="shared" ca="1" si="2"/>
        <v/>
      </c>
      <c r="T68" s="206" t="str">
        <f t="shared" ca="1" si="3"/>
        <v/>
      </c>
      <c r="U68" s="195"/>
    </row>
    <row r="69" spans="2:21" ht="18" customHeight="1" x14ac:dyDescent="0.35">
      <c r="B69" s="204" t="str">
        <f>IF(Lançamentos!$B64="","",Lançamentos!$B64)</f>
        <v/>
      </c>
      <c r="C69" s="205" t="str">
        <f>IF($B69="","",IFERROR(INDEX(Lançamentos!$J$3:$J$1001,MATCH($B69,Lançamentos!$B$3:$B$1001,0)),""))</f>
        <v/>
      </c>
      <c r="D69" s="411" t="str">
        <f>IF($B69="","",IFERROR(INDEX('E2 — Triagem'!$D$8:$D$507,MATCH($B69,'E2 — Triagem'!$B$8:$B$507,0)),""))</f>
        <v/>
      </c>
      <c r="E69" s="193"/>
      <c r="F69" s="193"/>
      <c r="G69" s="193"/>
      <c r="H69" s="193"/>
      <c r="I69" s="193"/>
      <c r="J69" s="193"/>
      <c r="K69" s="207" t="str">
        <f t="shared" si="0"/>
        <v/>
      </c>
      <c r="L69" s="181"/>
      <c r="M69" s="181"/>
      <c r="N69" s="193"/>
      <c r="O69" s="208" t="str">
        <f>IF(B69="","",IF(Lançamentos!D64="","",Lançamentos!D64))</f>
        <v/>
      </c>
      <c r="P69" s="209">
        <v>7</v>
      </c>
      <c r="Q69" s="208" t="str">
        <f t="shared" si="1"/>
        <v/>
      </c>
      <c r="R69" s="210"/>
      <c r="S69" s="211" t="str">
        <f t="shared" ca="1" si="2"/>
        <v/>
      </c>
      <c r="T69" s="206" t="str">
        <f t="shared" ca="1" si="3"/>
        <v/>
      </c>
      <c r="U69" s="195"/>
    </row>
    <row r="70" spans="2:21" ht="18" customHeight="1" x14ac:dyDescent="0.35">
      <c r="B70" s="204" t="str">
        <f>IF(Lançamentos!$B65="","",Lançamentos!$B65)</f>
        <v/>
      </c>
      <c r="C70" s="205" t="str">
        <f>IF($B70="","",IFERROR(INDEX(Lançamentos!$J$3:$J$1001,MATCH($B70,Lançamentos!$B$3:$B$1001,0)),""))</f>
        <v/>
      </c>
      <c r="D70" s="411" t="str">
        <f>IF($B70="","",IFERROR(INDEX('E2 — Triagem'!$D$8:$D$507,MATCH($B70,'E2 — Triagem'!$B$8:$B$507,0)),""))</f>
        <v/>
      </c>
      <c r="E70" s="193"/>
      <c r="F70" s="193"/>
      <c r="G70" s="193"/>
      <c r="H70" s="193"/>
      <c r="I70" s="193"/>
      <c r="J70" s="193"/>
      <c r="K70" s="207" t="str">
        <f t="shared" si="0"/>
        <v/>
      </c>
      <c r="L70" s="181"/>
      <c r="M70" s="181"/>
      <c r="N70" s="193"/>
      <c r="O70" s="208" t="str">
        <f>IF(B70="","",IF(Lançamentos!D65="","",Lançamentos!D65))</f>
        <v/>
      </c>
      <c r="P70" s="209">
        <v>7</v>
      </c>
      <c r="Q70" s="208" t="str">
        <f t="shared" si="1"/>
        <v/>
      </c>
      <c r="R70" s="210"/>
      <c r="S70" s="211" t="str">
        <f t="shared" ca="1" si="2"/>
        <v/>
      </c>
      <c r="T70" s="206" t="str">
        <f t="shared" ca="1" si="3"/>
        <v/>
      </c>
      <c r="U70" s="195"/>
    </row>
    <row r="71" spans="2:21" ht="18" customHeight="1" x14ac:dyDescent="0.35">
      <c r="B71" s="204" t="str">
        <f>IF(Lançamentos!$B66="","",Lançamentos!$B66)</f>
        <v/>
      </c>
      <c r="C71" s="205" t="str">
        <f>IF($B71="","",IFERROR(INDEX(Lançamentos!$J$3:$J$1001,MATCH($B71,Lançamentos!$B$3:$B$1001,0)),""))</f>
        <v/>
      </c>
      <c r="D71" s="411" t="str">
        <f>IF($B71="","",IFERROR(INDEX('E2 — Triagem'!$D$8:$D$507,MATCH($B71,'E2 — Triagem'!$B$8:$B$507,0)),""))</f>
        <v/>
      </c>
      <c r="E71" s="193"/>
      <c r="F71" s="193"/>
      <c r="G71" s="193"/>
      <c r="H71" s="193"/>
      <c r="I71" s="193"/>
      <c r="J71" s="193"/>
      <c r="K71" s="207" t="str">
        <f t="shared" si="0"/>
        <v/>
      </c>
      <c r="L71" s="181"/>
      <c r="M71" s="181"/>
      <c r="N71" s="193"/>
      <c r="O71" s="208" t="str">
        <f>IF(B71="","",IF(Lançamentos!D66="","",Lançamentos!D66))</f>
        <v/>
      </c>
      <c r="P71" s="209">
        <v>7</v>
      </c>
      <c r="Q71" s="208" t="str">
        <f t="shared" si="1"/>
        <v/>
      </c>
      <c r="R71" s="210"/>
      <c r="S71" s="211" t="str">
        <f t="shared" ca="1" si="2"/>
        <v/>
      </c>
      <c r="T71" s="206" t="str">
        <f t="shared" ca="1" si="3"/>
        <v/>
      </c>
      <c r="U71" s="195"/>
    </row>
    <row r="72" spans="2:21" ht="18" customHeight="1" x14ac:dyDescent="0.35">
      <c r="B72" s="204" t="str">
        <f>IF(Lançamentos!$B67="","",Lançamentos!$B67)</f>
        <v/>
      </c>
      <c r="C72" s="205" t="str">
        <f>IF($B72="","",IFERROR(INDEX(Lançamentos!$J$3:$J$1001,MATCH($B72,Lançamentos!$B$3:$B$1001,0)),""))</f>
        <v/>
      </c>
      <c r="D72" s="411" t="str">
        <f>IF($B72="","",IFERROR(INDEX('E2 — Triagem'!$D$8:$D$507,MATCH($B72,'E2 — Triagem'!$B$8:$B$507,0)),""))</f>
        <v/>
      </c>
      <c r="E72" s="193"/>
      <c r="F72" s="193"/>
      <c r="G72" s="193"/>
      <c r="H72" s="193"/>
      <c r="I72" s="193"/>
      <c r="J72" s="193"/>
      <c r="K72" s="207" t="str">
        <f t="shared" si="0"/>
        <v/>
      </c>
      <c r="L72" s="181"/>
      <c r="M72" s="181"/>
      <c r="N72" s="193"/>
      <c r="O72" s="208" t="str">
        <f>IF(B72="","",IF(Lançamentos!D67="","",Lançamentos!D67))</f>
        <v/>
      </c>
      <c r="P72" s="209">
        <v>7</v>
      </c>
      <c r="Q72" s="208" t="str">
        <f t="shared" si="1"/>
        <v/>
      </c>
      <c r="R72" s="210"/>
      <c r="S72" s="211" t="str">
        <f t="shared" ca="1" si="2"/>
        <v/>
      </c>
      <c r="T72" s="206" t="str">
        <f t="shared" ca="1" si="3"/>
        <v/>
      </c>
      <c r="U72" s="195"/>
    </row>
    <row r="73" spans="2:21" ht="18" customHeight="1" x14ac:dyDescent="0.35">
      <c r="B73" s="204" t="str">
        <f>IF(Lançamentos!$B68="","",Lançamentos!$B68)</f>
        <v/>
      </c>
      <c r="C73" s="205" t="str">
        <f>IF($B73="","",IFERROR(INDEX(Lançamentos!$J$3:$J$1001,MATCH($B73,Lançamentos!$B$3:$B$1001,0)),""))</f>
        <v/>
      </c>
      <c r="D73" s="411" t="str">
        <f>IF($B73="","",IFERROR(INDEX('E2 — Triagem'!$D$8:$D$507,MATCH($B73,'E2 — Triagem'!$B$8:$B$507,0)),""))</f>
        <v/>
      </c>
      <c r="E73" s="193"/>
      <c r="F73" s="193"/>
      <c r="G73" s="193"/>
      <c r="H73" s="193"/>
      <c r="I73" s="193"/>
      <c r="J73" s="193"/>
      <c r="K73" s="207" t="str">
        <f t="shared" ref="K73:K136" si="4">IF(B73="","",IF(COUNTIF(E73:J73,"N/A")=6,0,COUNTIF(E73:J73,"✔ Concluído")/(6-COUNTIF(E73:J73,"N/A"))))</f>
        <v/>
      </c>
      <c r="L73" s="181"/>
      <c r="M73" s="181"/>
      <c r="N73" s="193"/>
      <c r="O73" s="208" t="str">
        <f>IF(B73="","",IF(Lançamentos!D68="","",Lançamentos!D68))</f>
        <v/>
      </c>
      <c r="P73" s="209">
        <v>7</v>
      </c>
      <c r="Q73" s="208" t="str">
        <f t="shared" ref="Q73:Q136" si="5">IF(OR(O73="",P73=""),"",O73+P73)</f>
        <v/>
      </c>
      <c r="R73" s="210"/>
      <c r="S73" s="211" t="str">
        <f t="shared" ref="S73:S136" ca="1" si="6">IF(O73="","",MAX(0,IF(R73&lt;&gt;"",R73-O73,TODAY()-O73)))</f>
        <v/>
      </c>
      <c r="T73" s="206" t="str">
        <f t="shared" ref="T73:T136" ca="1" si="7">IF(B73="","",IF(R73&lt;&gt;"","✅ Encerrado",IF(O73="","",IF(TODAY()&gt;Q73,"🔴 Hypercare Atrasado",IF(TODAY()&gt;=Q73-2,"🟡 Próximo do Encerramento","🟢 Dentro do Período")))))</f>
        <v/>
      </c>
      <c r="U73" s="195"/>
    </row>
    <row r="74" spans="2:21" ht="18" customHeight="1" x14ac:dyDescent="0.35">
      <c r="B74" s="204" t="str">
        <f>IF(Lançamentos!$B69="","",Lançamentos!$B69)</f>
        <v/>
      </c>
      <c r="C74" s="205" t="str">
        <f>IF($B74="","",IFERROR(INDEX(Lançamentos!$J$3:$J$1001,MATCH($B74,Lançamentos!$B$3:$B$1001,0)),""))</f>
        <v/>
      </c>
      <c r="D74" s="411" t="str">
        <f>IF($B74="","",IFERROR(INDEX('E2 — Triagem'!$D$8:$D$507,MATCH($B74,'E2 — Triagem'!$B$8:$B$507,0)),""))</f>
        <v/>
      </c>
      <c r="E74" s="193"/>
      <c r="F74" s="193"/>
      <c r="G74" s="193"/>
      <c r="H74" s="193"/>
      <c r="I74" s="193"/>
      <c r="J74" s="193"/>
      <c r="K74" s="207" t="str">
        <f t="shared" si="4"/>
        <v/>
      </c>
      <c r="L74" s="181"/>
      <c r="M74" s="181"/>
      <c r="N74" s="193"/>
      <c r="O74" s="208" t="str">
        <f>IF(B74="","",IF(Lançamentos!D69="","",Lançamentos!D69))</f>
        <v/>
      </c>
      <c r="P74" s="209">
        <v>7</v>
      </c>
      <c r="Q74" s="208" t="str">
        <f t="shared" si="5"/>
        <v/>
      </c>
      <c r="R74" s="210"/>
      <c r="S74" s="211" t="str">
        <f t="shared" ca="1" si="6"/>
        <v/>
      </c>
      <c r="T74" s="206" t="str">
        <f t="shared" ca="1" si="7"/>
        <v/>
      </c>
      <c r="U74" s="195"/>
    </row>
    <row r="75" spans="2:21" ht="18" customHeight="1" x14ac:dyDescent="0.35">
      <c r="B75" s="204" t="str">
        <f>IF(Lançamentos!$B70="","",Lançamentos!$B70)</f>
        <v/>
      </c>
      <c r="C75" s="205" t="str">
        <f>IF($B75="","",IFERROR(INDEX(Lançamentos!$J$3:$J$1001,MATCH($B75,Lançamentos!$B$3:$B$1001,0)),""))</f>
        <v/>
      </c>
      <c r="D75" s="411" t="str">
        <f>IF($B75="","",IFERROR(INDEX('E2 — Triagem'!$D$8:$D$507,MATCH($B75,'E2 — Triagem'!$B$8:$B$507,0)),""))</f>
        <v/>
      </c>
      <c r="E75" s="193"/>
      <c r="F75" s="193"/>
      <c r="G75" s="193"/>
      <c r="H75" s="193"/>
      <c r="I75" s="193"/>
      <c r="J75" s="193"/>
      <c r="K75" s="207" t="str">
        <f t="shared" si="4"/>
        <v/>
      </c>
      <c r="L75" s="181"/>
      <c r="M75" s="181"/>
      <c r="N75" s="193"/>
      <c r="O75" s="208" t="str">
        <f>IF(B75="","",IF(Lançamentos!D70="","",Lançamentos!D70))</f>
        <v/>
      </c>
      <c r="P75" s="209">
        <v>7</v>
      </c>
      <c r="Q75" s="208" t="str">
        <f t="shared" si="5"/>
        <v/>
      </c>
      <c r="R75" s="210"/>
      <c r="S75" s="211" t="str">
        <f t="shared" ca="1" si="6"/>
        <v/>
      </c>
      <c r="T75" s="206" t="str">
        <f t="shared" ca="1" si="7"/>
        <v/>
      </c>
      <c r="U75" s="195"/>
    </row>
    <row r="76" spans="2:21" ht="18" customHeight="1" x14ac:dyDescent="0.35">
      <c r="B76" s="204" t="str">
        <f>IF(Lançamentos!$B71="","",Lançamentos!$B71)</f>
        <v/>
      </c>
      <c r="C76" s="205" t="str">
        <f>IF($B76="","",IFERROR(INDEX(Lançamentos!$J$3:$J$1001,MATCH($B76,Lançamentos!$B$3:$B$1001,0)),""))</f>
        <v/>
      </c>
      <c r="D76" s="411" t="str">
        <f>IF($B76="","",IFERROR(INDEX('E2 — Triagem'!$D$8:$D$507,MATCH($B76,'E2 — Triagem'!$B$8:$B$507,0)),""))</f>
        <v/>
      </c>
      <c r="E76" s="193"/>
      <c r="F76" s="193"/>
      <c r="G76" s="193"/>
      <c r="H76" s="193"/>
      <c r="I76" s="193"/>
      <c r="J76" s="193"/>
      <c r="K76" s="207" t="str">
        <f t="shared" si="4"/>
        <v/>
      </c>
      <c r="L76" s="181"/>
      <c r="M76" s="181"/>
      <c r="N76" s="193"/>
      <c r="O76" s="208" t="str">
        <f>IF(B76="","",IF(Lançamentos!D71="","",Lançamentos!D71))</f>
        <v/>
      </c>
      <c r="P76" s="209">
        <v>7</v>
      </c>
      <c r="Q76" s="208" t="str">
        <f t="shared" si="5"/>
        <v/>
      </c>
      <c r="R76" s="210"/>
      <c r="S76" s="211" t="str">
        <f t="shared" ca="1" si="6"/>
        <v/>
      </c>
      <c r="T76" s="206" t="str">
        <f t="shared" ca="1" si="7"/>
        <v/>
      </c>
      <c r="U76" s="195"/>
    </row>
    <row r="77" spans="2:21" ht="18" customHeight="1" x14ac:dyDescent="0.35">
      <c r="B77" s="204" t="str">
        <f>IF(Lançamentos!$B72="","",Lançamentos!$B72)</f>
        <v/>
      </c>
      <c r="C77" s="205" t="str">
        <f>IF($B77="","",IFERROR(INDEX(Lançamentos!$J$3:$J$1001,MATCH($B77,Lançamentos!$B$3:$B$1001,0)),""))</f>
        <v/>
      </c>
      <c r="D77" s="411" t="str">
        <f>IF($B77="","",IFERROR(INDEX('E2 — Triagem'!$D$8:$D$507,MATCH($B77,'E2 — Triagem'!$B$8:$B$507,0)),""))</f>
        <v/>
      </c>
      <c r="E77" s="193"/>
      <c r="F77" s="193"/>
      <c r="G77" s="193"/>
      <c r="H77" s="193"/>
      <c r="I77" s="193"/>
      <c r="J77" s="193"/>
      <c r="K77" s="207" t="str">
        <f t="shared" si="4"/>
        <v/>
      </c>
      <c r="L77" s="181"/>
      <c r="M77" s="181"/>
      <c r="N77" s="193"/>
      <c r="O77" s="208" t="str">
        <f>IF(B77="","",IF(Lançamentos!D72="","",Lançamentos!D72))</f>
        <v/>
      </c>
      <c r="P77" s="209">
        <v>7</v>
      </c>
      <c r="Q77" s="208" t="str">
        <f t="shared" si="5"/>
        <v/>
      </c>
      <c r="R77" s="210"/>
      <c r="S77" s="211" t="str">
        <f t="shared" ca="1" si="6"/>
        <v/>
      </c>
      <c r="T77" s="206" t="str">
        <f t="shared" ca="1" si="7"/>
        <v/>
      </c>
      <c r="U77" s="195"/>
    </row>
    <row r="78" spans="2:21" ht="18" customHeight="1" x14ac:dyDescent="0.35">
      <c r="B78" s="204" t="str">
        <f>IF(Lançamentos!$B73="","",Lançamentos!$B73)</f>
        <v/>
      </c>
      <c r="C78" s="205" t="str">
        <f>IF($B78="","",IFERROR(INDEX(Lançamentos!$J$3:$J$1001,MATCH($B78,Lançamentos!$B$3:$B$1001,0)),""))</f>
        <v/>
      </c>
      <c r="D78" s="411" t="str">
        <f>IF($B78="","",IFERROR(INDEX('E2 — Triagem'!$D$8:$D$507,MATCH($B78,'E2 — Triagem'!$B$8:$B$507,0)),""))</f>
        <v/>
      </c>
      <c r="E78" s="193"/>
      <c r="F78" s="193"/>
      <c r="G78" s="193"/>
      <c r="H78" s="193"/>
      <c r="I78" s="193"/>
      <c r="J78" s="193"/>
      <c r="K78" s="207" t="str">
        <f t="shared" si="4"/>
        <v/>
      </c>
      <c r="L78" s="181"/>
      <c r="M78" s="181"/>
      <c r="N78" s="193"/>
      <c r="O78" s="208" t="str">
        <f>IF(B78="","",IF(Lançamentos!D73="","",Lançamentos!D73))</f>
        <v/>
      </c>
      <c r="P78" s="209">
        <v>7</v>
      </c>
      <c r="Q78" s="208" t="str">
        <f t="shared" si="5"/>
        <v/>
      </c>
      <c r="R78" s="210"/>
      <c r="S78" s="211" t="str">
        <f t="shared" ca="1" si="6"/>
        <v/>
      </c>
      <c r="T78" s="206" t="str">
        <f t="shared" ca="1" si="7"/>
        <v/>
      </c>
      <c r="U78" s="195"/>
    </row>
    <row r="79" spans="2:21" ht="18" customHeight="1" x14ac:dyDescent="0.35">
      <c r="B79" s="204" t="str">
        <f>IF(Lançamentos!$B74="","",Lançamentos!$B74)</f>
        <v/>
      </c>
      <c r="C79" s="205" t="str">
        <f>IF($B79="","",IFERROR(INDEX(Lançamentos!$J$3:$J$1001,MATCH($B79,Lançamentos!$B$3:$B$1001,0)),""))</f>
        <v/>
      </c>
      <c r="D79" s="411" t="str">
        <f>IF($B79="","",IFERROR(INDEX('E2 — Triagem'!$D$8:$D$507,MATCH($B79,'E2 — Triagem'!$B$8:$B$507,0)),""))</f>
        <v/>
      </c>
      <c r="E79" s="193"/>
      <c r="F79" s="193"/>
      <c r="G79" s="193"/>
      <c r="H79" s="193"/>
      <c r="I79" s="193"/>
      <c r="J79" s="193"/>
      <c r="K79" s="207" t="str">
        <f t="shared" si="4"/>
        <v/>
      </c>
      <c r="L79" s="181"/>
      <c r="M79" s="181"/>
      <c r="N79" s="193"/>
      <c r="O79" s="208" t="str">
        <f>IF(B79="","",IF(Lançamentos!D74="","",Lançamentos!D74))</f>
        <v/>
      </c>
      <c r="P79" s="209">
        <v>7</v>
      </c>
      <c r="Q79" s="208" t="str">
        <f t="shared" si="5"/>
        <v/>
      </c>
      <c r="R79" s="210"/>
      <c r="S79" s="211" t="str">
        <f t="shared" ca="1" si="6"/>
        <v/>
      </c>
      <c r="T79" s="206" t="str">
        <f t="shared" ca="1" si="7"/>
        <v/>
      </c>
      <c r="U79" s="195"/>
    </row>
    <row r="80" spans="2:21" ht="18" customHeight="1" x14ac:dyDescent="0.35">
      <c r="B80" s="204" t="str">
        <f>IF(Lançamentos!$B75="","",Lançamentos!$B75)</f>
        <v/>
      </c>
      <c r="C80" s="205" t="str">
        <f>IF($B80="","",IFERROR(INDEX(Lançamentos!$J$3:$J$1001,MATCH($B80,Lançamentos!$B$3:$B$1001,0)),""))</f>
        <v/>
      </c>
      <c r="D80" s="411" t="str">
        <f>IF($B80="","",IFERROR(INDEX('E2 — Triagem'!$D$8:$D$507,MATCH($B80,'E2 — Triagem'!$B$8:$B$507,0)),""))</f>
        <v/>
      </c>
      <c r="E80" s="193"/>
      <c r="F80" s="193"/>
      <c r="G80" s="193"/>
      <c r="H80" s="193"/>
      <c r="I80" s="193"/>
      <c r="J80" s="193"/>
      <c r="K80" s="207" t="str">
        <f t="shared" si="4"/>
        <v/>
      </c>
      <c r="L80" s="181"/>
      <c r="M80" s="181"/>
      <c r="N80" s="193"/>
      <c r="O80" s="208" t="str">
        <f>IF(B80="","",IF(Lançamentos!D75="","",Lançamentos!D75))</f>
        <v/>
      </c>
      <c r="P80" s="209">
        <v>7</v>
      </c>
      <c r="Q80" s="208" t="str">
        <f t="shared" si="5"/>
        <v/>
      </c>
      <c r="R80" s="210"/>
      <c r="S80" s="211" t="str">
        <f t="shared" ca="1" si="6"/>
        <v/>
      </c>
      <c r="T80" s="206" t="str">
        <f t="shared" ca="1" si="7"/>
        <v/>
      </c>
      <c r="U80" s="195"/>
    </row>
    <row r="81" spans="2:21" ht="18" customHeight="1" x14ac:dyDescent="0.35">
      <c r="B81" s="204" t="str">
        <f>IF(Lançamentos!$B76="","",Lançamentos!$B76)</f>
        <v/>
      </c>
      <c r="C81" s="205" t="str">
        <f>IF($B81="","",IFERROR(INDEX(Lançamentos!$J$3:$J$1001,MATCH($B81,Lançamentos!$B$3:$B$1001,0)),""))</f>
        <v/>
      </c>
      <c r="D81" s="411" t="str">
        <f>IF($B81="","",IFERROR(INDEX('E2 — Triagem'!$D$8:$D$507,MATCH($B81,'E2 — Triagem'!$B$8:$B$507,0)),""))</f>
        <v/>
      </c>
      <c r="E81" s="193"/>
      <c r="F81" s="193"/>
      <c r="G81" s="193"/>
      <c r="H81" s="193"/>
      <c r="I81" s="193"/>
      <c r="J81" s="193"/>
      <c r="K81" s="207" t="str">
        <f t="shared" si="4"/>
        <v/>
      </c>
      <c r="L81" s="181"/>
      <c r="M81" s="181"/>
      <c r="N81" s="193"/>
      <c r="O81" s="208" t="str">
        <f>IF(B81="","",IF(Lançamentos!D76="","",Lançamentos!D76))</f>
        <v/>
      </c>
      <c r="P81" s="209">
        <v>7</v>
      </c>
      <c r="Q81" s="208" t="str">
        <f t="shared" si="5"/>
        <v/>
      </c>
      <c r="R81" s="210"/>
      <c r="S81" s="211" t="str">
        <f t="shared" ca="1" si="6"/>
        <v/>
      </c>
      <c r="T81" s="206" t="str">
        <f t="shared" ca="1" si="7"/>
        <v/>
      </c>
      <c r="U81" s="195"/>
    </row>
    <row r="82" spans="2:21" ht="18" customHeight="1" x14ac:dyDescent="0.35">
      <c r="B82" s="204" t="str">
        <f>IF(Lançamentos!$B77="","",Lançamentos!$B77)</f>
        <v/>
      </c>
      <c r="C82" s="205" t="str">
        <f>IF($B82="","",IFERROR(INDEX(Lançamentos!$J$3:$J$1001,MATCH($B82,Lançamentos!$B$3:$B$1001,0)),""))</f>
        <v/>
      </c>
      <c r="D82" s="411" t="str">
        <f>IF($B82="","",IFERROR(INDEX('E2 — Triagem'!$D$8:$D$507,MATCH($B82,'E2 — Triagem'!$B$8:$B$507,0)),""))</f>
        <v/>
      </c>
      <c r="E82" s="193"/>
      <c r="F82" s="193"/>
      <c r="G82" s="193"/>
      <c r="H82" s="193"/>
      <c r="I82" s="193"/>
      <c r="J82" s="193"/>
      <c r="K82" s="207" t="str">
        <f t="shared" si="4"/>
        <v/>
      </c>
      <c r="L82" s="181"/>
      <c r="M82" s="181"/>
      <c r="N82" s="193"/>
      <c r="O82" s="208" t="str">
        <f>IF(B82="","",IF(Lançamentos!D77="","",Lançamentos!D77))</f>
        <v/>
      </c>
      <c r="P82" s="209">
        <v>7</v>
      </c>
      <c r="Q82" s="208" t="str">
        <f t="shared" si="5"/>
        <v/>
      </c>
      <c r="R82" s="210"/>
      <c r="S82" s="211" t="str">
        <f t="shared" ca="1" si="6"/>
        <v/>
      </c>
      <c r="T82" s="206" t="str">
        <f t="shared" ca="1" si="7"/>
        <v/>
      </c>
      <c r="U82" s="195"/>
    </row>
    <row r="83" spans="2:21" ht="18" customHeight="1" x14ac:dyDescent="0.35">
      <c r="B83" s="204" t="str">
        <f>IF(Lançamentos!$B78="","",Lançamentos!$B78)</f>
        <v/>
      </c>
      <c r="C83" s="205" t="str">
        <f>IF($B83="","",IFERROR(INDEX(Lançamentos!$J$3:$J$1001,MATCH($B83,Lançamentos!$B$3:$B$1001,0)),""))</f>
        <v/>
      </c>
      <c r="D83" s="411" t="str">
        <f>IF($B83="","",IFERROR(INDEX('E2 — Triagem'!$D$8:$D$507,MATCH($B83,'E2 — Triagem'!$B$8:$B$507,0)),""))</f>
        <v/>
      </c>
      <c r="E83" s="193"/>
      <c r="F83" s="193"/>
      <c r="G83" s="193"/>
      <c r="H83" s="193"/>
      <c r="I83" s="193"/>
      <c r="J83" s="193"/>
      <c r="K83" s="207" t="str">
        <f t="shared" si="4"/>
        <v/>
      </c>
      <c r="L83" s="181"/>
      <c r="M83" s="181"/>
      <c r="N83" s="193"/>
      <c r="O83" s="208" t="str">
        <f>IF(B83="","",IF(Lançamentos!D78="","",Lançamentos!D78))</f>
        <v/>
      </c>
      <c r="P83" s="209">
        <v>7</v>
      </c>
      <c r="Q83" s="208" t="str">
        <f t="shared" si="5"/>
        <v/>
      </c>
      <c r="R83" s="210"/>
      <c r="S83" s="211" t="str">
        <f t="shared" ca="1" si="6"/>
        <v/>
      </c>
      <c r="T83" s="206" t="str">
        <f t="shared" ca="1" si="7"/>
        <v/>
      </c>
      <c r="U83" s="195"/>
    </row>
    <row r="84" spans="2:21" ht="18" customHeight="1" x14ac:dyDescent="0.35">
      <c r="B84" s="204" t="str">
        <f>IF(Lançamentos!$B79="","",Lançamentos!$B79)</f>
        <v/>
      </c>
      <c r="C84" s="205" t="str">
        <f>IF($B84="","",IFERROR(INDEX(Lançamentos!$J$3:$J$1001,MATCH($B84,Lançamentos!$B$3:$B$1001,0)),""))</f>
        <v/>
      </c>
      <c r="D84" s="411" t="str">
        <f>IF($B84="","",IFERROR(INDEX('E2 — Triagem'!$D$8:$D$507,MATCH($B84,'E2 — Triagem'!$B$8:$B$507,0)),""))</f>
        <v/>
      </c>
      <c r="E84" s="193"/>
      <c r="F84" s="193"/>
      <c r="G84" s="193"/>
      <c r="H84" s="193"/>
      <c r="I84" s="193"/>
      <c r="J84" s="193"/>
      <c r="K84" s="207" t="str">
        <f t="shared" si="4"/>
        <v/>
      </c>
      <c r="L84" s="181"/>
      <c r="M84" s="181"/>
      <c r="N84" s="193"/>
      <c r="O84" s="208" t="str">
        <f>IF(B84="","",IF(Lançamentos!D79="","",Lançamentos!D79))</f>
        <v/>
      </c>
      <c r="P84" s="209">
        <v>7</v>
      </c>
      <c r="Q84" s="208" t="str">
        <f t="shared" si="5"/>
        <v/>
      </c>
      <c r="R84" s="210"/>
      <c r="S84" s="211" t="str">
        <f t="shared" ca="1" si="6"/>
        <v/>
      </c>
      <c r="T84" s="206" t="str">
        <f t="shared" ca="1" si="7"/>
        <v/>
      </c>
      <c r="U84" s="195"/>
    </row>
    <row r="85" spans="2:21" ht="18" customHeight="1" x14ac:dyDescent="0.35">
      <c r="B85" s="204" t="str">
        <f>IF(Lançamentos!$B80="","",Lançamentos!$B80)</f>
        <v/>
      </c>
      <c r="C85" s="205" t="str">
        <f>IF($B85="","",IFERROR(INDEX(Lançamentos!$J$3:$J$1001,MATCH($B85,Lançamentos!$B$3:$B$1001,0)),""))</f>
        <v/>
      </c>
      <c r="D85" s="411" t="str">
        <f>IF($B85="","",IFERROR(INDEX('E2 — Triagem'!$D$8:$D$507,MATCH($B85,'E2 — Triagem'!$B$8:$B$507,0)),""))</f>
        <v/>
      </c>
      <c r="E85" s="193"/>
      <c r="F85" s="193"/>
      <c r="G85" s="193"/>
      <c r="H85" s="193"/>
      <c r="I85" s="193"/>
      <c r="J85" s="193"/>
      <c r="K85" s="207" t="str">
        <f t="shared" si="4"/>
        <v/>
      </c>
      <c r="L85" s="181"/>
      <c r="M85" s="181"/>
      <c r="N85" s="193"/>
      <c r="O85" s="208" t="str">
        <f>IF(B85="","",IF(Lançamentos!D80="","",Lançamentos!D80))</f>
        <v/>
      </c>
      <c r="P85" s="209">
        <v>7</v>
      </c>
      <c r="Q85" s="208" t="str">
        <f t="shared" si="5"/>
        <v/>
      </c>
      <c r="R85" s="210"/>
      <c r="S85" s="211" t="str">
        <f t="shared" ca="1" si="6"/>
        <v/>
      </c>
      <c r="T85" s="206" t="str">
        <f t="shared" ca="1" si="7"/>
        <v/>
      </c>
      <c r="U85" s="195"/>
    </row>
    <row r="86" spans="2:21" ht="18" customHeight="1" x14ac:dyDescent="0.35">
      <c r="B86" s="204" t="str">
        <f>IF(Lançamentos!$B81="","",Lançamentos!$B81)</f>
        <v/>
      </c>
      <c r="C86" s="205" t="str">
        <f>IF($B86="","",IFERROR(INDEX(Lançamentos!$J$3:$J$1001,MATCH($B86,Lançamentos!$B$3:$B$1001,0)),""))</f>
        <v/>
      </c>
      <c r="D86" s="411" t="str">
        <f>IF($B86="","",IFERROR(INDEX('E2 — Triagem'!$D$8:$D$507,MATCH($B86,'E2 — Triagem'!$B$8:$B$507,0)),""))</f>
        <v/>
      </c>
      <c r="E86" s="193"/>
      <c r="F86" s="193"/>
      <c r="G86" s="193"/>
      <c r="H86" s="193"/>
      <c r="I86" s="193"/>
      <c r="J86" s="193"/>
      <c r="K86" s="207" t="str">
        <f t="shared" si="4"/>
        <v/>
      </c>
      <c r="L86" s="181"/>
      <c r="M86" s="181"/>
      <c r="N86" s="193"/>
      <c r="O86" s="208" t="str">
        <f>IF(B86="","",IF(Lançamentos!D81="","",Lançamentos!D81))</f>
        <v/>
      </c>
      <c r="P86" s="209">
        <v>7</v>
      </c>
      <c r="Q86" s="208" t="str">
        <f t="shared" si="5"/>
        <v/>
      </c>
      <c r="R86" s="210"/>
      <c r="S86" s="211" t="str">
        <f t="shared" ca="1" si="6"/>
        <v/>
      </c>
      <c r="T86" s="206" t="str">
        <f t="shared" ca="1" si="7"/>
        <v/>
      </c>
      <c r="U86" s="195"/>
    </row>
    <row r="87" spans="2:21" ht="18" customHeight="1" x14ac:dyDescent="0.35">
      <c r="B87" s="204" t="str">
        <f>IF(Lançamentos!$B82="","",Lançamentos!$B82)</f>
        <v/>
      </c>
      <c r="C87" s="205" t="str">
        <f>IF($B87="","",IFERROR(INDEX(Lançamentos!$J$3:$J$1001,MATCH($B87,Lançamentos!$B$3:$B$1001,0)),""))</f>
        <v/>
      </c>
      <c r="D87" s="411" t="str">
        <f>IF($B87="","",IFERROR(INDEX('E2 — Triagem'!$D$8:$D$507,MATCH($B87,'E2 — Triagem'!$B$8:$B$507,0)),""))</f>
        <v/>
      </c>
      <c r="E87" s="193"/>
      <c r="F87" s="193"/>
      <c r="G87" s="193"/>
      <c r="H87" s="193"/>
      <c r="I87" s="193"/>
      <c r="J87" s="193"/>
      <c r="K87" s="207" t="str">
        <f t="shared" si="4"/>
        <v/>
      </c>
      <c r="L87" s="181"/>
      <c r="M87" s="181"/>
      <c r="N87" s="193"/>
      <c r="O87" s="208" t="str">
        <f>IF(B87="","",IF(Lançamentos!D82="","",Lançamentos!D82))</f>
        <v/>
      </c>
      <c r="P87" s="209">
        <v>7</v>
      </c>
      <c r="Q87" s="208" t="str">
        <f t="shared" si="5"/>
        <v/>
      </c>
      <c r="R87" s="210"/>
      <c r="S87" s="211" t="str">
        <f t="shared" ca="1" si="6"/>
        <v/>
      </c>
      <c r="T87" s="206" t="str">
        <f t="shared" ca="1" si="7"/>
        <v/>
      </c>
      <c r="U87" s="195"/>
    </row>
    <row r="88" spans="2:21" ht="18" customHeight="1" x14ac:dyDescent="0.35">
      <c r="B88" s="204" t="str">
        <f>IF(Lançamentos!$B83="","",Lançamentos!$B83)</f>
        <v/>
      </c>
      <c r="C88" s="205" t="str">
        <f>IF($B88="","",IFERROR(INDEX(Lançamentos!$J$3:$J$1001,MATCH($B88,Lançamentos!$B$3:$B$1001,0)),""))</f>
        <v/>
      </c>
      <c r="D88" s="411" t="str">
        <f>IF($B88="","",IFERROR(INDEX('E2 — Triagem'!$D$8:$D$507,MATCH($B88,'E2 — Triagem'!$B$8:$B$507,0)),""))</f>
        <v/>
      </c>
      <c r="E88" s="193"/>
      <c r="F88" s="193"/>
      <c r="G88" s="193"/>
      <c r="H88" s="193"/>
      <c r="I88" s="193"/>
      <c r="J88" s="193"/>
      <c r="K88" s="207" t="str">
        <f t="shared" si="4"/>
        <v/>
      </c>
      <c r="L88" s="181"/>
      <c r="M88" s="181"/>
      <c r="N88" s="193"/>
      <c r="O88" s="208" t="str">
        <f>IF(B88="","",IF(Lançamentos!D83="","",Lançamentos!D83))</f>
        <v/>
      </c>
      <c r="P88" s="209">
        <v>7</v>
      </c>
      <c r="Q88" s="208" t="str">
        <f t="shared" si="5"/>
        <v/>
      </c>
      <c r="R88" s="210"/>
      <c r="S88" s="211" t="str">
        <f t="shared" ca="1" si="6"/>
        <v/>
      </c>
      <c r="T88" s="206" t="str">
        <f t="shared" ca="1" si="7"/>
        <v/>
      </c>
      <c r="U88" s="195"/>
    </row>
    <row r="89" spans="2:21" ht="18" customHeight="1" x14ac:dyDescent="0.35">
      <c r="B89" s="204" t="str">
        <f>IF(Lançamentos!$B84="","",Lançamentos!$B84)</f>
        <v/>
      </c>
      <c r="C89" s="205" t="str">
        <f>IF($B89="","",IFERROR(INDEX(Lançamentos!$J$3:$J$1001,MATCH($B89,Lançamentos!$B$3:$B$1001,0)),""))</f>
        <v/>
      </c>
      <c r="D89" s="411" t="str">
        <f>IF($B89="","",IFERROR(INDEX('E2 — Triagem'!$D$8:$D$507,MATCH($B89,'E2 — Triagem'!$B$8:$B$507,0)),""))</f>
        <v/>
      </c>
      <c r="E89" s="193"/>
      <c r="F89" s="193"/>
      <c r="G89" s="193"/>
      <c r="H89" s="193"/>
      <c r="I89" s="193"/>
      <c r="J89" s="193"/>
      <c r="K89" s="207" t="str">
        <f t="shared" si="4"/>
        <v/>
      </c>
      <c r="L89" s="181"/>
      <c r="M89" s="181"/>
      <c r="N89" s="193"/>
      <c r="O89" s="208" t="str">
        <f>IF(B89="","",IF(Lançamentos!D84="","",Lançamentos!D84))</f>
        <v/>
      </c>
      <c r="P89" s="209">
        <v>7</v>
      </c>
      <c r="Q89" s="208" t="str">
        <f t="shared" si="5"/>
        <v/>
      </c>
      <c r="R89" s="210"/>
      <c r="S89" s="211" t="str">
        <f t="shared" ca="1" si="6"/>
        <v/>
      </c>
      <c r="T89" s="206" t="str">
        <f t="shared" ca="1" si="7"/>
        <v/>
      </c>
      <c r="U89" s="195"/>
    </row>
    <row r="90" spans="2:21" ht="18" customHeight="1" x14ac:dyDescent="0.35">
      <c r="B90" s="204" t="str">
        <f>IF(Lançamentos!$B85="","",Lançamentos!$B85)</f>
        <v/>
      </c>
      <c r="C90" s="205" t="str">
        <f>IF($B90="","",IFERROR(INDEX(Lançamentos!$J$3:$J$1001,MATCH($B90,Lançamentos!$B$3:$B$1001,0)),""))</f>
        <v/>
      </c>
      <c r="D90" s="411" t="str">
        <f>IF($B90="","",IFERROR(INDEX('E2 — Triagem'!$D$8:$D$507,MATCH($B90,'E2 — Triagem'!$B$8:$B$507,0)),""))</f>
        <v/>
      </c>
      <c r="E90" s="193"/>
      <c r="F90" s="193"/>
      <c r="G90" s="193"/>
      <c r="H90" s="193"/>
      <c r="I90" s="193"/>
      <c r="J90" s="193"/>
      <c r="K90" s="207" t="str">
        <f t="shared" si="4"/>
        <v/>
      </c>
      <c r="L90" s="181"/>
      <c r="M90" s="181"/>
      <c r="N90" s="193"/>
      <c r="O90" s="208" t="str">
        <f>IF(B90="","",IF(Lançamentos!D85="","",Lançamentos!D85))</f>
        <v/>
      </c>
      <c r="P90" s="209">
        <v>7</v>
      </c>
      <c r="Q90" s="208" t="str">
        <f t="shared" si="5"/>
        <v/>
      </c>
      <c r="R90" s="210"/>
      <c r="S90" s="211" t="str">
        <f t="shared" ca="1" si="6"/>
        <v/>
      </c>
      <c r="T90" s="206" t="str">
        <f t="shared" ca="1" si="7"/>
        <v/>
      </c>
      <c r="U90" s="195"/>
    </row>
    <row r="91" spans="2:21" ht="18" customHeight="1" x14ac:dyDescent="0.35">
      <c r="B91" s="204" t="str">
        <f>IF(Lançamentos!$B86="","",Lançamentos!$B86)</f>
        <v/>
      </c>
      <c r="C91" s="205" t="str">
        <f>IF($B91="","",IFERROR(INDEX(Lançamentos!$J$3:$J$1001,MATCH($B91,Lançamentos!$B$3:$B$1001,0)),""))</f>
        <v/>
      </c>
      <c r="D91" s="411" t="str">
        <f>IF($B91="","",IFERROR(INDEX('E2 — Triagem'!$D$8:$D$507,MATCH($B91,'E2 — Triagem'!$B$8:$B$507,0)),""))</f>
        <v/>
      </c>
      <c r="E91" s="193"/>
      <c r="F91" s="193"/>
      <c r="G91" s="193"/>
      <c r="H91" s="193"/>
      <c r="I91" s="193"/>
      <c r="J91" s="193"/>
      <c r="K91" s="207" t="str">
        <f t="shared" si="4"/>
        <v/>
      </c>
      <c r="L91" s="181"/>
      <c r="M91" s="181"/>
      <c r="N91" s="193"/>
      <c r="O91" s="208" t="str">
        <f>IF(B91="","",IF(Lançamentos!D86="","",Lançamentos!D86))</f>
        <v/>
      </c>
      <c r="P91" s="209">
        <v>7</v>
      </c>
      <c r="Q91" s="208" t="str">
        <f t="shared" si="5"/>
        <v/>
      </c>
      <c r="R91" s="210"/>
      <c r="S91" s="211" t="str">
        <f t="shared" ca="1" si="6"/>
        <v/>
      </c>
      <c r="T91" s="206" t="str">
        <f t="shared" ca="1" si="7"/>
        <v/>
      </c>
      <c r="U91" s="195"/>
    </row>
    <row r="92" spans="2:21" ht="18" customHeight="1" x14ac:dyDescent="0.35">
      <c r="B92" s="204" t="str">
        <f>IF(Lançamentos!$B87="","",Lançamentos!$B87)</f>
        <v/>
      </c>
      <c r="C92" s="205" t="str">
        <f>IF($B92="","",IFERROR(INDEX(Lançamentos!$J$3:$J$1001,MATCH($B92,Lançamentos!$B$3:$B$1001,0)),""))</f>
        <v/>
      </c>
      <c r="D92" s="411" t="str">
        <f>IF($B92="","",IFERROR(INDEX('E2 — Triagem'!$D$8:$D$507,MATCH($B92,'E2 — Triagem'!$B$8:$B$507,0)),""))</f>
        <v/>
      </c>
      <c r="E92" s="193"/>
      <c r="F92" s="193"/>
      <c r="G92" s="193"/>
      <c r="H92" s="193"/>
      <c r="I92" s="193"/>
      <c r="J92" s="193"/>
      <c r="K92" s="207" t="str">
        <f t="shared" si="4"/>
        <v/>
      </c>
      <c r="L92" s="181"/>
      <c r="M92" s="181"/>
      <c r="N92" s="193"/>
      <c r="O92" s="208" t="str">
        <f>IF(B92="","",IF(Lançamentos!D87="","",Lançamentos!D87))</f>
        <v/>
      </c>
      <c r="P92" s="209">
        <v>7</v>
      </c>
      <c r="Q92" s="208" t="str">
        <f t="shared" si="5"/>
        <v/>
      </c>
      <c r="R92" s="210"/>
      <c r="S92" s="211" t="str">
        <f t="shared" ca="1" si="6"/>
        <v/>
      </c>
      <c r="T92" s="206" t="str">
        <f t="shared" ca="1" si="7"/>
        <v/>
      </c>
      <c r="U92" s="195"/>
    </row>
    <row r="93" spans="2:21" ht="18" customHeight="1" x14ac:dyDescent="0.35">
      <c r="B93" s="204" t="str">
        <f>IF(Lançamentos!$B88="","",Lançamentos!$B88)</f>
        <v/>
      </c>
      <c r="C93" s="205" t="str">
        <f>IF($B93="","",IFERROR(INDEX(Lançamentos!$J$3:$J$1001,MATCH($B93,Lançamentos!$B$3:$B$1001,0)),""))</f>
        <v/>
      </c>
      <c r="D93" s="411" t="str">
        <f>IF($B93="","",IFERROR(INDEX('E2 — Triagem'!$D$8:$D$507,MATCH($B93,'E2 — Triagem'!$B$8:$B$507,0)),""))</f>
        <v/>
      </c>
      <c r="E93" s="193"/>
      <c r="F93" s="193"/>
      <c r="G93" s="193"/>
      <c r="H93" s="193"/>
      <c r="I93" s="193"/>
      <c r="J93" s="193"/>
      <c r="K93" s="207" t="str">
        <f t="shared" si="4"/>
        <v/>
      </c>
      <c r="L93" s="181"/>
      <c r="M93" s="181"/>
      <c r="N93" s="193"/>
      <c r="O93" s="208" t="str">
        <f>IF(B93="","",IF(Lançamentos!D88="","",Lançamentos!D88))</f>
        <v/>
      </c>
      <c r="P93" s="209">
        <v>7</v>
      </c>
      <c r="Q93" s="208" t="str">
        <f t="shared" si="5"/>
        <v/>
      </c>
      <c r="R93" s="210"/>
      <c r="S93" s="211" t="str">
        <f t="shared" ca="1" si="6"/>
        <v/>
      </c>
      <c r="T93" s="206" t="str">
        <f t="shared" ca="1" si="7"/>
        <v/>
      </c>
      <c r="U93" s="195"/>
    </row>
    <row r="94" spans="2:21" ht="18" customHeight="1" x14ac:dyDescent="0.35">
      <c r="B94" s="204" t="str">
        <f>IF(Lançamentos!$B89="","",Lançamentos!$B89)</f>
        <v/>
      </c>
      <c r="C94" s="205" t="str">
        <f>IF($B94="","",IFERROR(INDEX(Lançamentos!$J$3:$J$1001,MATCH($B94,Lançamentos!$B$3:$B$1001,0)),""))</f>
        <v/>
      </c>
      <c r="D94" s="411" t="str">
        <f>IF($B94="","",IFERROR(INDEX('E2 — Triagem'!$D$8:$D$507,MATCH($B94,'E2 — Triagem'!$B$8:$B$507,0)),""))</f>
        <v/>
      </c>
      <c r="E94" s="193"/>
      <c r="F94" s="193"/>
      <c r="G94" s="193"/>
      <c r="H94" s="193"/>
      <c r="I94" s="193"/>
      <c r="J94" s="193"/>
      <c r="K94" s="207" t="str">
        <f t="shared" si="4"/>
        <v/>
      </c>
      <c r="L94" s="181"/>
      <c r="M94" s="181"/>
      <c r="N94" s="193"/>
      <c r="O94" s="208" t="str">
        <f>IF(B94="","",IF(Lançamentos!D89="","",Lançamentos!D89))</f>
        <v/>
      </c>
      <c r="P94" s="209">
        <v>7</v>
      </c>
      <c r="Q94" s="208" t="str">
        <f t="shared" si="5"/>
        <v/>
      </c>
      <c r="R94" s="210"/>
      <c r="S94" s="211" t="str">
        <f t="shared" ca="1" si="6"/>
        <v/>
      </c>
      <c r="T94" s="206" t="str">
        <f t="shared" ca="1" si="7"/>
        <v/>
      </c>
      <c r="U94" s="195"/>
    </row>
    <row r="95" spans="2:21" ht="18" customHeight="1" x14ac:dyDescent="0.35">
      <c r="B95" s="204" t="str">
        <f>IF(Lançamentos!$B90="","",Lançamentos!$B90)</f>
        <v/>
      </c>
      <c r="C95" s="205" t="str">
        <f>IF($B95="","",IFERROR(INDEX(Lançamentos!$J$3:$J$1001,MATCH($B95,Lançamentos!$B$3:$B$1001,0)),""))</f>
        <v/>
      </c>
      <c r="D95" s="411" t="str">
        <f>IF($B95="","",IFERROR(INDEX('E2 — Triagem'!$D$8:$D$507,MATCH($B95,'E2 — Triagem'!$B$8:$B$507,0)),""))</f>
        <v/>
      </c>
      <c r="E95" s="193"/>
      <c r="F95" s="193"/>
      <c r="G95" s="193"/>
      <c r="H95" s="193"/>
      <c r="I95" s="193"/>
      <c r="J95" s="193"/>
      <c r="K95" s="207" t="str">
        <f t="shared" si="4"/>
        <v/>
      </c>
      <c r="L95" s="181"/>
      <c r="M95" s="181"/>
      <c r="N95" s="193"/>
      <c r="O95" s="208" t="str">
        <f>IF(B95="","",IF(Lançamentos!D90="","",Lançamentos!D90))</f>
        <v/>
      </c>
      <c r="P95" s="209">
        <v>7</v>
      </c>
      <c r="Q95" s="208" t="str">
        <f t="shared" si="5"/>
        <v/>
      </c>
      <c r="R95" s="210"/>
      <c r="S95" s="211" t="str">
        <f t="shared" ca="1" si="6"/>
        <v/>
      </c>
      <c r="T95" s="206" t="str">
        <f t="shared" ca="1" si="7"/>
        <v/>
      </c>
      <c r="U95" s="195"/>
    </row>
    <row r="96" spans="2:21" ht="18" customHeight="1" x14ac:dyDescent="0.35">
      <c r="B96" s="204" t="str">
        <f>IF(Lançamentos!$B91="","",Lançamentos!$B91)</f>
        <v/>
      </c>
      <c r="C96" s="205" t="str">
        <f>IF($B96="","",IFERROR(INDEX(Lançamentos!$J$3:$J$1001,MATCH($B96,Lançamentos!$B$3:$B$1001,0)),""))</f>
        <v/>
      </c>
      <c r="D96" s="411" t="str">
        <f>IF($B96="","",IFERROR(INDEX('E2 — Triagem'!$D$8:$D$507,MATCH($B96,'E2 — Triagem'!$B$8:$B$507,0)),""))</f>
        <v/>
      </c>
      <c r="E96" s="193"/>
      <c r="F96" s="193"/>
      <c r="G96" s="193"/>
      <c r="H96" s="193"/>
      <c r="I96" s="193"/>
      <c r="J96" s="193"/>
      <c r="K96" s="207" t="str">
        <f t="shared" si="4"/>
        <v/>
      </c>
      <c r="L96" s="181"/>
      <c r="M96" s="181"/>
      <c r="N96" s="193"/>
      <c r="O96" s="208" t="str">
        <f>IF(B96="","",IF(Lançamentos!D91="","",Lançamentos!D91))</f>
        <v/>
      </c>
      <c r="P96" s="209">
        <v>7</v>
      </c>
      <c r="Q96" s="208" t="str">
        <f t="shared" si="5"/>
        <v/>
      </c>
      <c r="R96" s="210"/>
      <c r="S96" s="211" t="str">
        <f t="shared" ca="1" si="6"/>
        <v/>
      </c>
      <c r="T96" s="206" t="str">
        <f t="shared" ca="1" si="7"/>
        <v/>
      </c>
      <c r="U96" s="195"/>
    </row>
    <row r="97" spans="2:21" ht="18" customHeight="1" x14ac:dyDescent="0.35">
      <c r="B97" s="204" t="str">
        <f>IF(Lançamentos!$B92="","",Lançamentos!$B92)</f>
        <v/>
      </c>
      <c r="C97" s="205" t="str">
        <f>IF($B97="","",IFERROR(INDEX(Lançamentos!$J$3:$J$1001,MATCH($B97,Lançamentos!$B$3:$B$1001,0)),""))</f>
        <v/>
      </c>
      <c r="D97" s="411" t="str">
        <f>IF($B97="","",IFERROR(INDEX('E2 — Triagem'!$D$8:$D$507,MATCH($B97,'E2 — Triagem'!$B$8:$B$507,0)),""))</f>
        <v/>
      </c>
      <c r="E97" s="193"/>
      <c r="F97" s="193"/>
      <c r="G97" s="193"/>
      <c r="H97" s="193"/>
      <c r="I97" s="193"/>
      <c r="J97" s="193"/>
      <c r="K97" s="207" t="str">
        <f t="shared" si="4"/>
        <v/>
      </c>
      <c r="L97" s="181"/>
      <c r="M97" s="181"/>
      <c r="N97" s="193"/>
      <c r="O97" s="208" t="str">
        <f>IF(B97="","",IF(Lançamentos!D92="","",Lançamentos!D92))</f>
        <v/>
      </c>
      <c r="P97" s="209">
        <v>7</v>
      </c>
      <c r="Q97" s="208" t="str">
        <f t="shared" si="5"/>
        <v/>
      </c>
      <c r="R97" s="210"/>
      <c r="S97" s="211" t="str">
        <f t="shared" ca="1" si="6"/>
        <v/>
      </c>
      <c r="T97" s="206" t="str">
        <f t="shared" ca="1" si="7"/>
        <v/>
      </c>
      <c r="U97" s="195"/>
    </row>
    <row r="98" spans="2:21" ht="18" customHeight="1" x14ac:dyDescent="0.35">
      <c r="B98" s="204" t="str">
        <f>IF(Lançamentos!$B93="","",Lançamentos!$B93)</f>
        <v/>
      </c>
      <c r="C98" s="205" t="str">
        <f>IF($B98="","",IFERROR(INDEX(Lançamentos!$J$3:$J$1001,MATCH($B98,Lançamentos!$B$3:$B$1001,0)),""))</f>
        <v/>
      </c>
      <c r="D98" s="411" t="str">
        <f>IF($B98="","",IFERROR(INDEX('E2 — Triagem'!$D$8:$D$507,MATCH($B98,'E2 — Triagem'!$B$8:$B$507,0)),""))</f>
        <v/>
      </c>
      <c r="E98" s="193"/>
      <c r="F98" s="193"/>
      <c r="G98" s="193"/>
      <c r="H98" s="193"/>
      <c r="I98" s="193"/>
      <c r="J98" s="193"/>
      <c r="K98" s="207" t="str">
        <f t="shared" si="4"/>
        <v/>
      </c>
      <c r="L98" s="181"/>
      <c r="M98" s="181"/>
      <c r="N98" s="193"/>
      <c r="O98" s="208" t="str">
        <f>IF(B98="","",IF(Lançamentos!D93="","",Lançamentos!D93))</f>
        <v/>
      </c>
      <c r="P98" s="209">
        <v>7</v>
      </c>
      <c r="Q98" s="208" t="str">
        <f t="shared" si="5"/>
        <v/>
      </c>
      <c r="R98" s="210"/>
      <c r="S98" s="211" t="str">
        <f t="shared" ca="1" si="6"/>
        <v/>
      </c>
      <c r="T98" s="206" t="str">
        <f t="shared" ca="1" si="7"/>
        <v/>
      </c>
      <c r="U98" s="195"/>
    </row>
    <row r="99" spans="2:21" ht="18" customHeight="1" x14ac:dyDescent="0.35">
      <c r="B99" s="204" t="str">
        <f>IF(Lançamentos!$B94="","",Lançamentos!$B94)</f>
        <v/>
      </c>
      <c r="C99" s="205" t="str">
        <f>IF($B99="","",IFERROR(INDEX(Lançamentos!$J$3:$J$1001,MATCH($B99,Lançamentos!$B$3:$B$1001,0)),""))</f>
        <v/>
      </c>
      <c r="D99" s="411" t="str">
        <f>IF($B99="","",IFERROR(INDEX('E2 — Triagem'!$D$8:$D$507,MATCH($B99,'E2 — Triagem'!$B$8:$B$507,0)),""))</f>
        <v/>
      </c>
      <c r="E99" s="193"/>
      <c r="F99" s="193"/>
      <c r="G99" s="193"/>
      <c r="H99" s="193"/>
      <c r="I99" s="193"/>
      <c r="J99" s="193"/>
      <c r="K99" s="207" t="str">
        <f t="shared" si="4"/>
        <v/>
      </c>
      <c r="L99" s="181"/>
      <c r="M99" s="181"/>
      <c r="N99" s="193"/>
      <c r="O99" s="208" t="str">
        <f>IF(B99="","",IF(Lançamentos!D94="","",Lançamentos!D94))</f>
        <v/>
      </c>
      <c r="P99" s="209">
        <v>7</v>
      </c>
      <c r="Q99" s="208" t="str">
        <f t="shared" si="5"/>
        <v/>
      </c>
      <c r="R99" s="210"/>
      <c r="S99" s="211" t="str">
        <f t="shared" ca="1" si="6"/>
        <v/>
      </c>
      <c r="T99" s="206" t="str">
        <f t="shared" ca="1" si="7"/>
        <v/>
      </c>
      <c r="U99" s="195"/>
    </row>
    <row r="100" spans="2:21" ht="18" customHeight="1" x14ac:dyDescent="0.35">
      <c r="B100" s="204" t="str">
        <f>IF(Lançamentos!$B95="","",Lançamentos!$B95)</f>
        <v/>
      </c>
      <c r="C100" s="205" t="str">
        <f>IF($B100="","",IFERROR(INDEX(Lançamentos!$J$3:$J$1001,MATCH($B100,Lançamentos!$B$3:$B$1001,0)),""))</f>
        <v/>
      </c>
      <c r="D100" s="411" t="str">
        <f>IF($B100="","",IFERROR(INDEX('E2 — Triagem'!$D$8:$D$507,MATCH($B100,'E2 — Triagem'!$B$8:$B$507,0)),""))</f>
        <v/>
      </c>
      <c r="E100" s="193"/>
      <c r="F100" s="193"/>
      <c r="G100" s="193"/>
      <c r="H100" s="193"/>
      <c r="I100" s="193"/>
      <c r="J100" s="193"/>
      <c r="K100" s="207" t="str">
        <f t="shared" si="4"/>
        <v/>
      </c>
      <c r="L100" s="181"/>
      <c r="M100" s="181"/>
      <c r="N100" s="193"/>
      <c r="O100" s="208" t="str">
        <f>IF(B100="","",IF(Lançamentos!D95="","",Lançamentos!D95))</f>
        <v/>
      </c>
      <c r="P100" s="209">
        <v>7</v>
      </c>
      <c r="Q100" s="208" t="str">
        <f t="shared" si="5"/>
        <v/>
      </c>
      <c r="R100" s="210"/>
      <c r="S100" s="211" t="str">
        <f t="shared" ca="1" si="6"/>
        <v/>
      </c>
      <c r="T100" s="206" t="str">
        <f t="shared" ca="1" si="7"/>
        <v/>
      </c>
      <c r="U100" s="195"/>
    </row>
    <row r="101" spans="2:21" ht="18" customHeight="1" x14ac:dyDescent="0.35">
      <c r="B101" s="204" t="str">
        <f>IF(Lançamentos!$B96="","",Lançamentos!$B96)</f>
        <v/>
      </c>
      <c r="C101" s="205" t="str">
        <f>IF($B101="","",IFERROR(INDEX(Lançamentos!$J$3:$J$1001,MATCH($B101,Lançamentos!$B$3:$B$1001,0)),""))</f>
        <v/>
      </c>
      <c r="D101" s="411" t="str">
        <f>IF($B101="","",IFERROR(INDEX('E2 — Triagem'!$D$8:$D$507,MATCH($B101,'E2 — Triagem'!$B$8:$B$507,0)),""))</f>
        <v/>
      </c>
      <c r="E101" s="193"/>
      <c r="F101" s="193"/>
      <c r="G101" s="193"/>
      <c r="H101" s="193"/>
      <c r="I101" s="193"/>
      <c r="J101" s="193"/>
      <c r="K101" s="207" t="str">
        <f t="shared" si="4"/>
        <v/>
      </c>
      <c r="L101" s="181"/>
      <c r="M101" s="181"/>
      <c r="N101" s="193"/>
      <c r="O101" s="208" t="str">
        <f>IF(B101="","",IF(Lançamentos!D96="","",Lançamentos!D96))</f>
        <v/>
      </c>
      <c r="P101" s="209">
        <v>7</v>
      </c>
      <c r="Q101" s="208" t="str">
        <f t="shared" si="5"/>
        <v/>
      </c>
      <c r="R101" s="210"/>
      <c r="S101" s="211" t="str">
        <f t="shared" ca="1" si="6"/>
        <v/>
      </c>
      <c r="T101" s="206" t="str">
        <f t="shared" ca="1" si="7"/>
        <v/>
      </c>
      <c r="U101" s="195"/>
    </row>
    <row r="102" spans="2:21" ht="18" customHeight="1" x14ac:dyDescent="0.35">
      <c r="B102" s="204" t="str">
        <f>IF(Lançamentos!$B97="","",Lançamentos!$B97)</f>
        <v/>
      </c>
      <c r="C102" s="205" t="str">
        <f>IF($B102="","",IFERROR(INDEX(Lançamentos!$J$3:$J$1001,MATCH($B102,Lançamentos!$B$3:$B$1001,0)),""))</f>
        <v/>
      </c>
      <c r="D102" s="411" t="str">
        <f>IF($B102="","",IFERROR(INDEX('E2 — Triagem'!$D$8:$D$507,MATCH($B102,'E2 — Triagem'!$B$8:$B$507,0)),""))</f>
        <v/>
      </c>
      <c r="E102" s="193"/>
      <c r="F102" s="193"/>
      <c r="G102" s="193"/>
      <c r="H102" s="193"/>
      <c r="I102" s="193"/>
      <c r="J102" s="193"/>
      <c r="K102" s="207" t="str">
        <f t="shared" si="4"/>
        <v/>
      </c>
      <c r="L102" s="181"/>
      <c r="M102" s="181"/>
      <c r="N102" s="193"/>
      <c r="O102" s="208" t="str">
        <f>IF(B102="","",IF(Lançamentos!D97="","",Lançamentos!D97))</f>
        <v/>
      </c>
      <c r="P102" s="209">
        <v>7</v>
      </c>
      <c r="Q102" s="208" t="str">
        <f t="shared" si="5"/>
        <v/>
      </c>
      <c r="R102" s="210"/>
      <c r="S102" s="211" t="str">
        <f t="shared" ca="1" si="6"/>
        <v/>
      </c>
      <c r="T102" s="206" t="str">
        <f t="shared" ca="1" si="7"/>
        <v/>
      </c>
      <c r="U102" s="195"/>
    </row>
    <row r="103" spans="2:21" ht="18" customHeight="1" x14ac:dyDescent="0.35">
      <c r="B103" s="204" t="str">
        <f>IF(Lançamentos!$B98="","",Lançamentos!$B98)</f>
        <v/>
      </c>
      <c r="C103" s="205" t="str">
        <f>IF($B103="","",IFERROR(INDEX(Lançamentos!$J$3:$J$1001,MATCH($B103,Lançamentos!$B$3:$B$1001,0)),""))</f>
        <v/>
      </c>
      <c r="D103" s="411" t="str">
        <f>IF($B103="","",IFERROR(INDEX('E2 — Triagem'!$D$8:$D$507,MATCH($B103,'E2 — Triagem'!$B$8:$B$507,0)),""))</f>
        <v/>
      </c>
      <c r="E103" s="193"/>
      <c r="F103" s="193"/>
      <c r="G103" s="193"/>
      <c r="H103" s="193"/>
      <c r="I103" s="193"/>
      <c r="J103" s="193"/>
      <c r="K103" s="207" t="str">
        <f t="shared" si="4"/>
        <v/>
      </c>
      <c r="L103" s="181"/>
      <c r="M103" s="181"/>
      <c r="N103" s="193"/>
      <c r="O103" s="208" t="str">
        <f>IF(B103="","",IF(Lançamentos!D98="","",Lançamentos!D98))</f>
        <v/>
      </c>
      <c r="P103" s="209">
        <v>7</v>
      </c>
      <c r="Q103" s="208" t="str">
        <f t="shared" si="5"/>
        <v/>
      </c>
      <c r="R103" s="210"/>
      <c r="S103" s="211" t="str">
        <f t="shared" ca="1" si="6"/>
        <v/>
      </c>
      <c r="T103" s="206" t="str">
        <f t="shared" ca="1" si="7"/>
        <v/>
      </c>
      <c r="U103" s="195"/>
    </row>
    <row r="104" spans="2:21" ht="18" customHeight="1" x14ac:dyDescent="0.35">
      <c r="B104" s="204" t="str">
        <f>IF(Lançamentos!$B99="","",Lançamentos!$B99)</f>
        <v/>
      </c>
      <c r="C104" s="205" t="str">
        <f>IF($B104="","",IFERROR(INDEX(Lançamentos!$J$3:$J$1001,MATCH($B104,Lançamentos!$B$3:$B$1001,0)),""))</f>
        <v/>
      </c>
      <c r="D104" s="411" t="str">
        <f>IF($B104="","",IFERROR(INDEX('E2 — Triagem'!$D$8:$D$507,MATCH($B104,'E2 — Triagem'!$B$8:$B$507,0)),""))</f>
        <v/>
      </c>
      <c r="E104" s="193"/>
      <c r="F104" s="193"/>
      <c r="G104" s="193"/>
      <c r="H104" s="193"/>
      <c r="I104" s="193"/>
      <c r="J104" s="193"/>
      <c r="K104" s="207" t="str">
        <f t="shared" si="4"/>
        <v/>
      </c>
      <c r="L104" s="181"/>
      <c r="M104" s="181"/>
      <c r="N104" s="193"/>
      <c r="O104" s="208" t="str">
        <f>IF(B104="","",IF(Lançamentos!D99="","",Lançamentos!D99))</f>
        <v/>
      </c>
      <c r="P104" s="209">
        <v>7</v>
      </c>
      <c r="Q104" s="208" t="str">
        <f t="shared" si="5"/>
        <v/>
      </c>
      <c r="R104" s="210"/>
      <c r="S104" s="211" t="str">
        <f t="shared" ca="1" si="6"/>
        <v/>
      </c>
      <c r="T104" s="206" t="str">
        <f t="shared" ca="1" si="7"/>
        <v/>
      </c>
      <c r="U104" s="195"/>
    </row>
    <row r="105" spans="2:21" ht="18" customHeight="1" x14ac:dyDescent="0.35">
      <c r="B105" s="204" t="str">
        <f>IF(Lançamentos!$B100="","",Lançamentos!$B100)</f>
        <v/>
      </c>
      <c r="C105" s="205" t="str">
        <f>IF($B105="","",IFERROR(INDEX(Lançamentos!$J$3:$J$1001,MATCH($B105,Lançamentos!$B$3:$B$1001,0)),""))</f>
        <v/>
      </c>
      <c r="D105" s="411" t="str">
        <f>IF($B105="","",IFERROR(INDEX('E2 — Triagem'!$D$8:$D$507,MATCH($B105,'E2 — Triagem'!$B$8:$B$507,0)),""))</f>
        <v/>
      </c>
      <c r="E105" s="193"/>
      <c r="F105" s="193"/>
      <c r="G105" s="193"/>
      <c r="H105" s="193"/>
      <c r="I105" s="193"/>
      <c r="J105" s="193"/>
      <c r="K105" s="207" t="str">
        <f t="shared" si="4"/>
        <v/>
      </c>
      <c r="L105" s="181"/>
      <c r="M105" s="181"/>
      <c r="N105" s="193"/>
      <c r="O105" s="208" t="str">
        <f>IF(B105="","",IF(Lançamentos!D100="","",Lançamentos!D100))</f>
        <v/>
      </c>
      <c r="P105" s="209">
        <v>7</v>
      </c>
      <c r="Q105" s="208" t="str">
        <f t="shared" si="5"/>
        <v/>
      </c>
      <c r="R105" s="210"/>
      <c r="S105" s="211" t="str">
        <f t="shared" ca="1" si="6"/>
        <v/>
      </c>
      <c r="T105" s="206" t="str">
        <f t="shared" ca="1" si="7"/>
        <v/>
      </c>
      <c r="U105" s="195"/>
    </row>
    <row r="106" spans="2:21" ht="18" customHeight="1" x14ac:dyDescent="0.35">
      <c r="B106" s="204" t="str">
        <f>IF(Lançamentos!$B101="","",Lançamentos!$B101)</f>
        <v/>
      </c>
      <c r="C106" s="205" t="str">
        <f>IF($B106="","",IFERROR(INDEX(Lançamentos!$J$3:$J$1001,MATCH($B106,Lançamentos!$B$3:$B$1001,0)),""))</f>
        <v/>
      </c>
      <c r="D106" s="411" t="str">
        <f>IF($B106="","",IFERROR(INDEX('E2 — Triagem'!$D$8:$D$507,MATCH($B106,'E2 — Triagem'!$B$8:$B$507,0)),""))</f>
        <v/>
      </c>
      <c r="E106" s="193"/>
      <c r="F106" s="193"/>
      <c r="G106" s="193"/>
      <c r="H106" s="193"/>
      <c r="I106" s="193"/>
      <c r="J106" s="193"/>
      <c r="K106" s="207" t="str">
        <f t="shared" si="4"/>
        <v/>
      </c>
      <c r="L106" s="181"/>
      <c r="M106" s="181"/>
      <c r="N106" s="193"/>
      <c r="O106" s="208" t="str">
        <f>IF(B106="","",IF(Lançamentos!D101="","",Lançamentos!D101))</f>
        <v/>
      </c>
      <c r="P106" s="209">
        <v>7</v>
      </c>
      <c r="Q106" s="208" t="str">
        <f t="shared" si="5"/>
        <v/>
      </c>
      <c r="R106" s="210"/>
      <c r="S106" s="211" t="str">
        <f t="shared" ca="1" si="6"/>
        <v/>
      </c>
      <c r="T106" s="206" t="str">
        <f t="shared" ca="1" si="7"/>
        <v/>
      </c>
      <c r="U106" s="195"/>
    </row>
    <row r="107" spans="2:21" ht="18" customHeight="1" x14ac:dyDescent="0.35">
      <c r="B107" s="204" t="str">
        <f>IF(Lançamentos!$B102="","",Lançamentos!$B102)</f>
        <v/>
      </c>
      <c r="C107" s="205" t="str">
        <f>IF($B107="","",IFERROR(INDEX(Lançamentos!$J$3:$J$1001,MATCH($B107,Lançamentos!$B$3:$B$1001,0)),""))</f>
        <v/>
      </c>
      <c r="D107" s="411" t="str">
        <f>IF($B107="","",IFERROR(INDEX('E2 — Triagem'!$D$8:$D$507,MATCH($B107,'E2 — Triagem'!$B$8:$B$507,0)),""))</f>
        <v/>
      </c>
      <c r="E107" s="193"/>
      <c r="F107" s="193"/>
      <c r="G107" s="193"/>
      <c r="H107" s="193"/>
      <c r="I107" s="193"/>
      <c r="J107" s="193"/>
      <c r="K107" s="207" t="str">
        <f t="shared" si="4"/>
        <v/>
      </c>
      <c r="L107" s="181"/>
      <c r="M107" s="181"/>
      <c r="N107" s="193"/>
      <c r="O107" s="208" t="str">
        <f>IF(B107="","",IF(Lançamentos!D102="","",Lançamentos!D102))</f>
        <v/>
      </c>
      <c r="P107" s="209">
        <v>7</v>
      </c>
      <c r="Q107" s="208" t="str">
        <f t="shared" si="5"/>
        <v/>
      </c>
      <c r="R107" s="210"/>
      <c r="S107" s="211" t="str">
        <f t="shared" ca="1" si="6"/>
        <v/>
      </c>
      <c r="T107" s="206" t="str">
        <f t="shared" ca="1" si="7"/>
        <v/>
      </c>
      <c r="U107" s="195"/>
    </row>
    <row r="108" spans="2:21" ht="18" customHeight="1" x14ac:dyDescent="0.35">
      <c r="B108" s="204" t="str">
        <f>IF(Lançamentos!$B103="","",Lançamentos!$B103)</f>
        <v/>
      </c>
      <c r="C108" s="205" t="str">
        <f>IF($B108="","",IFERROR(INDEX(Lançamentos!$J$3:$J$1001,MATCH($B108,Lançamentos!$B$3:$B$1001,0)),""))</f>
        <v/>
      </c>
      <c r="D108" s="411" t="str">
        <f>IF($B108="","",IFERROR(INDEX('E2 — Triagem'!$D$8:$D$507,MATCH($B108,'E2 — Triagem'!$B$8:$B$507,0)),""))</f>
        <v/>
      </c>
      <c r="E108" s="193"/>
      <c r="F108" s="193"/>
      <c r="G108" s="193"/>
      <c r="H108" s="193"/>
      <c r="I108" s="193"/>
      <c r="J108" s="193"/>
      <c r="K108" s="207" t="str">
        <f t="shared" si="4"/>
        <v/>
      </c>
      <c r="L108" s="181"/>
      <c r="M108" s="181"/>
      <c r="N108" s="193"/>
      <c r="O108" s="208" t="str">
        <f>IF(B108="","",IF(Lançamentos!D103="","",Lançamentos!D103))</f>
        <v/>
      </c>
      <c r="P108" s="209">
        <v>7</v>
      </c>
      <c r="Q108" s="208" t="str">
        <f t="shared" si="5"/>
        <v/>
      </c>
      <c r="R108" s="210"/>
      <c r="S108" s="211" t="str">
        <f t="shared" ca="1" si="6"/>
        <v/>
      </c>
      <c r="T108" s="206" t="str">
        <f t="shared" ca="1" si="7"/>
        <v/>
      </c>
      <c r="U108" s="195"/>
    </row>
    <row r="109" spans="2:21" ht="18" customHeight="1" x14ac:dyDescent="0.35">
      <c r="B109" s="204" t="str">
        <f>IF(Lançamentos!$B104="","",Lançamentos!$B104)</f>
        <v/>
      </c>
      <c r="C109" s="205" t="str">
        <f>IF($B109="","",IFERROR(INDEX(Lançamentos!$J$3:$J$1001,MATCH($B109,Lançamentos!$B$3:$B$1001,0)),""))</f>
        <v/>
      </c>
      <c r="D109" s="411" t="str">
        <f>IF($B109="","",IFERROR(INDEX('E2 — Triagem'!$D$8:$D$507,MATCH($B109,'E2 — Triagem'!$B$8:$B$507,0)),""))</f>
        <v/>
      </c>
      <c r="E109" s="193"/>
      <c r="F109" s="193"/>
      <c r="G109" s="193"/>
      <c r="H109" s="193"/>
      <c r="I109" s="193"/>
      <c r="J109" s="193"/>
      <c r="K109" s="207" t="str">
        <f t="shared" si="4"/>
        <v/>
      </c>
      <c r="L109" s="181"/>
      <c r="M109" s="181"/>
      <c r="N109" s="193"/>
      <c r="O109" s="208" t="str">
        <f>IF(B109="","",IF(Lançamentos!D104="","",Lançamentos!D104))</f>
        <v/>
      </c>
      <c r="P109" s="209">
        <v>7</v>
      </c>
      <c r="Q109" s="208" t="str">
        <f t="shared" si="5"/>
        <v/>
      </c>
      <c r="R109" s="210"/>
      <c r="S109" s="211" t="str">
        <f t="shared" ca="1" si="6"/>
        <v/>
      </c>
      <c r="T109" s="206" t="str">
        <f t="shared" ca="1" si="7"/>
        <v/>
      </c>
      <c r="U109" s="195"/>
    </row>
    <row r="110" spans="2:21" ht="18" customHeight="1" x14ac:dyDescent="0.35">
      <c r="B110" s="204" t="str">
        <f>IF(Lançamentos!$B105="","",Lançamentos!$B105)</f>
        <v/>
      </c>
      <c r="C110" s="205" t="str">
        <f>IF($B110="","",IFERROR(INDEX(Lançamentos!$J$3:$J$1001,MATCH($B110,Lançamentos!$B$3:$B$1001,0)),""))</f>
        <v/>
      </c>
      <c r="D110" s="411" t="str">
        <f>IF($B110="","",IFERROR(INDEX('E2 — Triagem'!$D$8:$D$507,MATCH($B110,'E2 — Triagem'!$B$8:$B$507,0)),""))</f>
        <v/>
      </c>
      <c r="E110" s="193"/>
      <c r="F110" s="193"/>
      <c r="G110" s="193"/>
      <c r="H110" s="193"/>
      <c r="I110" s="193"/>
      <c r="J110" s="193"/>
      <c r="K110" s="207" t="str">
        <f t="shared" si="4"/>
        <v/>
      </c>
      <c r="L110" s="181"/>
      <c r="M110" s="181"/>
      <c r="N110" s="193"/>
      <c r="O110" s="208" t="str">
        <f>IF(B110="","",IF(Lançamentos!D105="","",Lançamentos!D105))</f>
        <v/>
      </c>
      <c r="P110" s="209">
        <v>7</v>
      </c>
      <c r="Q110" s="208" t="str">
        <f t="shared" si="5"/>
        <v/>
      </c>
      <c r="R110" s="210"/>
      <c r="S110" s="211" t="str">
        <f t="shared" ca="1" si="6"/>
        <v/>
      </c>
      <c r="T110" s="206" t="str">
        <f t="shared" ca="1" si="7"/>
        <v/>
      </c>
      <c r="U110" s="195"/>
    </row>
    <row r="111" spans="2:21" ht="18" customHeight="1" x14ac:dyDescent="0.35">
      <c r="B111" s="204" t="str">
        <f>IF(Lançamentos!$B106="","",Lançamentos!$B106)</f>
        <v/>
      </c>
      <c r="C111" s="205" t="str">
        <f>IF($B111="","",IFERROR(INDEX(Lançamentos!$J$3:$J$1001,MATCH($B111,Lançamentos!$B$3:$B$1001,0)),""))</f>
        <v/>
      </c>
      <c r="D111" s="411" t="str">
        <f>IF($B111="","",IFERROR(INDEX('E2 — Triagem'!$D$8:$D$507,MATCH($B111,'E2 — Triagem'!$B$8:$B$507,0)),""))</f>
        <v/>
      </c>
      <c r="E111" s="193"/>
      <c r="F111" s="193"/>
      <c r="G111" s="193"/>
      <c r="H111" s="193"/>
      <c r="I111" s="193"/>
      <c r="J111" s="193"/>
      <c r="K111" s="207" t="str">
        <f t="shared" si="4"/>
        <v/>
      </c>
      <c r="L111" s="181"/>
      <c r="M111" s="181"/>
      <c r="N111" s="193"/>
      <c r="O111" s="208" t="str">
        <f>IF(B111="","",IF(Lançamentos!D106="","",Lançamentos!D106))</f>
        <v/>
      </c>
      <c r="P111" s="209">
        <v>7</v>
      </c>
      <c r="Q111" s="208" t="str">
        <f t="shared" si="5"/>
        <v/>
      </c>
      <c r="R111" s="210"/>
      <c r="S111" s="211" t="str">
        <f t="shared" ca="1" si="6"/>
        <v/>
      </c>
      <c r="T111" s="206" t="str">
        <f t="shared" ca="1" si="7"/>
        <v/>
      </c>
      <c r="U111" s="195"/>
    </row>
    <row r="112" spans="2:21" ht="18" customHeight="1" x14ac:dyDescent="0.35">
      <c r="B112" s="204" t="str">
        <f>IF(Lançamentos!$B107="","",Lançamentos!$B107)</f>
        <v/>
      </c>
      <c r="C112" s="205" t="str">
        <f>IF($B112="","",IFERROR(INDEX(Lançamentos!$J$3:$J$1001,MATCH($B112,Lançamentos!$B$3:$B$1001,0)),""))</f>
        <v/>
      </c>
      <c r="D112" s="411" t="str">
        <f>IF($B112="","",IFERROR(INDEX('E2 — Triagem'!$D$8:$D$507,MATCH($B112,'E2 — Triagem'!$B$8:$B$507,0)),""))</f>
        <v/>
      </c>
      <c r="E112" s="193"/>
      <c r="F112" s="193"/>
      <c r="G112" s="193"/>
      <c r="H112" s="193"/>
      <c r="I112" s="193"/>
      <c r="J112" s="193"/>
      <c r="K112" s="207" t="str">
        <f t="shared" si="4"/>
        <v/>
      </c>
      <c r="L112" s="181"/>
      <c r="M112" s="181"/>
      <c r="N112" s="193"/>
      <c r="O112" s="208" t="str">
        <f>IF(B112="","",IF(Lançamentos!D107="","",Lançamentos!D107))</f>
        <v/>
      </c>
      <c r="P112" s="209">
        <v>7</v>
      </c>
      <c r="Q112" s="208" t="str">
        <f t="shared" si="5"/>
        <v/>
      </c>
      <c r="R112" s="210"/>
      <c r="S112" s="211" t="str">
        <f t="shared" ca="1" si="6"/>
        <v/>
      </c>
      <c r="T112" s="206" t="str">
        <f t="shared" ca="1" si="7"/>
        <v/>
      </c>
      <c r="U112" s="195"/>
    </row>
    <row r="113" spans="2:21" ht="18" customHeight="1" x14ac:dyDescent="0.35">
      <c r="B113" s="204" t="str">
        <f>IF(Lançamentos!$B108="","",Lançamentos!$B108)</f>
        <v/>
      </c>
      <c r="C113" s="205" t="str">
        <f>IF($B113="","",IFERROR(INDEX(Lançamentos!$J$3:$J$1001,MATCH($B113,Lançamentos!$B$3:$B$1001,0)),""))</f>
        <v/>
      </c>
      <c r="D113" s="411" t="str">
        <f>IF($B113="","",IFERROR(INDEX('E2 — Triagem'!$D$8:$D$507,MATCH($B113,'E2 — Triagem'!$B$8:$B$507,0)),""))</f>
        <v/>
      </c>
      <c r="E113" s="193"/>
      <c r="F113" s="193"/>
      <c r="G113" s="193"/>
      <c r="H113" s="193"/>
      <c r="I113" s="193"/>
      <c r="J113" s="193"/>
      <c r="K113" s="207" t="str">
        <f t="shared" si="4"/>
        <v/>
      </c>
      <c r="L113" s="181"/>
      <c r="M113" s="181"/>
      <c r="N113" s="193"/>
      <c r="O113" s="208" t="str">
        <f>IF(B113="","",IF(Lançamentos!D108="","",Lançamentos!D108))</f>
        <v/>
      </c>
      <c r="P113" s="209">
        <v>7</v>
      </c>
      <c r="Q113" s="208" t="str">
        <f t="shared" si="5"/>
        <v/>
      </c>
      <c r="R113" s="210"/>
      <c r="S113" s="211" t="str">
        <f t="shared" ca="1" si="6"/>
        <v/>
      </c>
      <c r="T113" s="206" t="str">
        <f t="shared" ca="1" si="7"/>
        <v/>
      </c>
      <c r="U113" s="195"/>
    </row>
    <row r="114" spans="2:21" ht="18" customHeight="1" x14ac:dyDescent="0.35">
      <c r="B114" s="204" t="str">
        <f>IF(Lançamentos!$B109="","",Lançamentos!$B109)</f>
        <v/>
      </c>
      <c r="C114" s="205" t="str">
        <f>IF($B114="","",IFERROR(INDEX(Lançamentos!$J$3:$J$1001,MATCH($B114,Lançamentos!$B$3:$B$1001,0)),""))</f>
        <v/>
      </c>
      <c r="D114" s="411" t="str">
        <f>IF($B114="","",IFERROR(INDEX('E2 — Triagem'!$D$8:$D$507,MATCH($B114,'E2 — Triagem'!$B$8:$B$507,0)),""))</f>
        <v/>
      </c>
      <c r="E114" s="193"/>
      <c r="F114" s="193"/>
      <c r="G114" s="193"/>
      <c r="H114" s="193"/>
      <c r="I114" s="193"/>
      <c r="J114" s="193"/>
      <c r="K114" s="207" t="str">
        <f t="shared" si="4"/>
        <v/>
      </c>
      <c r="L114" s="181"/>
      <c r="M114" s="181"/>
      <c r="N114" s="193"/>
      <c r="O114" s="208" t="str">
        <f>IF(B114="","",IF(Lançamentos!D109="","",Lançamentos!D109))</f>
        <v/>
      </c>
      <c r="P114" s="209">
        <v>7</v>
      </c>
      <c r="Q114" s="208" t="str">
        <f t="shared" si="5"/>
        <v/>
      </c>
      <c r="R114" s="210"/>
      <c r="S114" s="211" t="str">
        <f t="shared" ca="1" si="6"/>
        <v/>
      </c>
      <c r="T114" s="206" t="str">
        <f t="shared" ca="1" si="7"/>
        <v/>
      </c>
      <c r="U114" s="195"/>
    </row>
    <row r="115" spans="2:21" ht="18" customHeight="1" x14ac:dyDescent="0.35">
      <c r="B115" s="204" t="str">
        <f>IF(Lançamentos!$B110="","",Lançamentos!$B110)</f>
        <v/>
      </c>
      <c r="C115" s="205" t="str">
        <f>IF($B115="","",IFERROR(INDEX(Lançamentos!$J$3:$J$1001,MATCH($B115,Lançamentos!$B$3:$B$1001,0)),""))</f>
        <v/>
      </c>
      <c r="D115" s="411" t="str">
        <f>IF($B115="","",IFERROR(INDEX('E2 — Triagem'!$D$8:$D$507,MATCH($B115,'E2 — Triagem'!$B$8:$B$507,0)),""))</f>
        <v/>
      </c>
      <c r="E115" s="193"/>
      <c r="F115" s="193"/>
      <c r="G115" s="193"/>
      <c r="H115" s="193"/>
      <c r="I115" s="193"/>
      <c r="J115" s="193"/>
      <c r="K115" s="207" t="str">
        <f t="shared" si="4"/>
        <v/>
      </c>
      <c r="L115" s="181"/>
      <c r="M115" s="181"/>
      <c r="N115" s="193"/>
      <c r="O115" s="208" t="str">
        <f>IF(B115="","",IF(Lançamentos!D110="","",Lançamentos!D110))</f>
        <v/>
      </c>
      <c r="P115" s="209">
        <v>7</v>
      </c>
      <c r="Q115" s="208" t="str">
        <f t="shared" si="5"/>
        <v/>
      </c>
      <c r="R115" s="210"/>
      <c r="S115" s="211" t="str">
        <f t="shared" ca="1" si="6"/>
        <v/>
      </c>
      <c r="T115" s="206" t="str">
        <f t="shared" ca="1" si="7"/>
        <v/>
      </c>
      <c r="U115" s="195"/>
    </row>
    <row r="116" spans="2:21" ht="18" customHeight="1" x14ac:dyDescent="0.35">
      <c r="B116" s="204" t="str">
        <f>IF(Lançamentos!$B111="","",Lançamentos!$B111)</f>
        <v/>
      </c>
      <c r="C116" s="205" t="str">
        <f>IF($B116="","",IFERROR(INDEX(Lançamentos!$J$3:$J$1001,MATCH($B116,Lançamentos!$B$3:$B$1001,0)),""))</f>
        <v/>
      </c>
      <c r="D116" s="411" t="str">
        <f>IF($B116="","",IFERROR(INDEX('E2 — Triagem'!$D$8:$D$507,MATCH($B116,'E2 — Triagem'!$B$8:$B$507,0)),""))</f>
        <v/>
      </c>
      <c r="E116" s="193"/>
      <c r="F116" s="193"/>
      <c r="G116" s="193"/>
      <c r="H116" s="193"/>
      <c r="I116" s="193"/>
      <c r="J116" s="193"/>
      <c r="K116" s="207" t="str">
        <f t="shared" si="4"/>
        <v/>
      </c>
      <c r="L116" s="181"/>
      <c r="M116" s="181"/>
      <c r="N116" s="193"/>
      <c r="O116" s="208" t="str">
        <f>IF(B116="","",IF(Lançamentos!D111="","",Lançamentos!D111))</f>
        <v/>
      </c>
      <c r="P116" s="209">
        <v>7</v>
      </c>
      <c r="Q116" s="208" t="str">
        <f t="shared" si="5"/>
        <v/>
      </c>
      <c r="R116" s="210"/>
      <c r="S116" s="211" t="str">
        <f t="shared" ca="1" si="6"/>
        <v/>
      </c>
      <c r="T116" s="206" t="str">
        <f t="shared" ca="1" si="7"/>
        <v/>
      </c>
      <c r="U116" s="195"/>
    </row>
    <row r="117" spans="2:21" ht="18" customHeight="1" x14ac:dyDescent="0.35">
      <c r="B117" s="204" t="str">
        <f>IF(Lançamentos!$B112="","",Lançamentos!$B112)</f>
        <v/>
      </c>
      <c r="C117" s="205" t="str">
        <f>IF($B117="","",IFERROR(INDEX(Lançamentos!$J$3:$J$1001,MATCH($B117,Lançamentos!$B$3:$B$1001,0)),""))</f>
        <v/>
      </c>
      <c r="D117" s="411" t="str">
        <f>IF($B117="","",IFERROR(INDEX('E2 — Triagem'!$D$8:$D$507,MATCH($B117,'E2 — Triagem'!$B$8:$B$507,0)),""))</f>
        <v/>
      </c>
      <c r="E117" s="193"/>
      <c r="F117" s="193"/>
      <c r="G117" s="193"/>
      <c r="H117" s="193"/>
      <c r="I117" s="193"/>
      <c r="J117" s="193"/>
      <c r="K117" s="207" t="str">
        <f t="shared" si="4"/>
        <v/>
      </c>
      <c r="L117" s="181"/>
      <c r="M117" s="181"/>
      <c r="N117" s="193"/>
      <c r="O117" s="208" t="str">
        <f>IF(B117="","",IF(Lançamentos!D112="","",Lançamentos!D112))</f>
        <v/>
      </c>
      <c r="P117" s="209">
        <v>7</v>
      </c>
      <c r="Q117" s="208" t="str">
        <f t="shared" si="5"/>
        <v/>
      </c>
      <c r="R117" s="210"/>
      <c r="S117" s="211" t="str">
        <f t="shared" ca="1" si="6"/>
        <v/>
      </c>
      <c r="T117" s="206" t="str">
        <f t="shared" ca="1" si="7"/>
        <v/>
      </c>
      <c r="U117" s="195"/>
    </row>
    <row r="118" spans="2:21" ht="18" customHeight="1" x14ac:dyDescent="0.35">
      <c r="B118" s="204" t="str">
        <f>IF(Lançamentos!$B113="","",Lançamentos!$B113)</f>
        <v/>
      </c>
      <c r="C118" s="205" t="str">
        <f>IF($B118="","",IFERROR(INDEX(Lançamentos!$J$3:$J$1001,MATCH($B118,Lançamentos!$B$3:$B$1001,0)),""))</f>
        <v/>
      </c>
      <c r="D118" s="411" t="str">
        <f>IF($B118="","",IFERROR(INDEX('E2 — Triagem'!$D$8:$D$507,MATCH($B118,'E2 — Triagem'!$B$8:$B$507,0)),""))</f>
        <v/>
      </c>
      <c r="E118" s="193"/>
      <c r="F118" s="193"/>
      <c r="G118" s="193"/>
      <c r="H118" s="193"/>
      <c r="I118" s="193"/>
      <c r="J118" s="193"/>
      <c r="K118" s="207" t="str">
        <f t="shared" si="4"/>
        <v/>
      </c>
      <c r="L118" s="181"/>
      <c r="M118" s="181"/>
      <c r="N118" s="193"/>
      <c r="O118" s="208" t="str">
        <f>IF(B118="","",IF(Lançamentos!D113="","",Lançamentos!D113))</f>
        <v/>
      </c>
      <c r="P118" s="209">
        <v>7</v>
      </c>
      <c r="Q118" s="208" t="str">
        <f t="shared" si="5"/>
        <v/>
      </c>
      <c r="R118" s="210"/>
      <c r="S118" s="211" t="str">
        <f t="shared" ca="1" si="6"/>
        <v/>
      </c>
      <c r="T118" s="206" t="str">
        <f t="shared" ca="1" si="7"/>
        <v/>
      </c>
      <c r="U118" s="195"/>
    </row>
    <row r="119" spans="2:21" ht="18" customHeight="1" x14ac:dyDescent="0.35">
      <c r="B119" s="204" t="str">
        <f>IF(Lançamentos!$B114="","",Lançamentos!$B114)</f>
        <v/>
      </c>
      <c r="C119" s="205" t="str">
        <f>IF($B119="","",IFERROR(INDEX(Lançamentos!$J$3:$J$1001,MATCH($B119,Lançamentos!$B$3:$B$1001,0)),""))</f>
        <v/>
      </c>
      <c r="D119" s="411" t="str">
        <f>IF($B119="","",IFERROR(INDEX('E2 — Triagem'!$D$8:$D$507,MATCH($B119,'E2 — Triagem'!$B$8:$B$507,0)),""))</f>
        <v/>
      </c>
      <c r="E119" s="193"/>
      <c r="F119" s="193"/>
      <c r="G119" s="193"/>
      <c r="H119" s="193"/>
      <c r="I119" s="193"/>
      <c r="J119" s="193"/>
      <c r="K119" s="207" t="str">
        <f t="shared" si="4"/>
        <v/>
      </c>
      <c r="L119" s="181"/>
      <c r="M119" s="181"/>
      <c r="N119" s="193"/>
      <c r="O119" s="208" t="str">
        <f>IF(B119="","",IF(Lançamentos!D114="","",Lançamentos!D114))</f>
        <v/>
      </c>
      <c r="P119" s="209">
        <v>7</v>
      </c>
      <c r="Q119" s="208" t="str">
        <f t="shared" si="5"/>
        <v/>
      </c>
      <c r="R119" s="210"/>
      <c r="S119" s="211" t="str">
        <f t="shared" ca="1" si="6"/>
        <v/>
      </c>
      <c r="T119" s="206" t="str">
        <f t="shared" ca="1" si="7"/>
        <v/>
      </c>
      <c r="U119" s="195"/>
    </row>
    <row r="120" spans="2:21" ht="18" customHeight="1" x14ac:dyDescent="0.35">
      <c r="B120" s="204" t="str">
        <f>IF(Lançamentos!$B115="","",Lançamentos!$B115)</f>
        <v/>
      </c>
      <c r="C120" s="205" t="str">
        <f>IF($B120="","",IFERROR(INDEX(Lançamentos!$J$3:$J$1001,MATCH($B120,Lançamentos!$B$3:$B$1001,0)),""))</f>
        <v/>
      </c>
      <c r="D120" s="411" t="str">
        <f>IF($B120="","",IFERROR(INDEX('E2 — Triagem'!$D$8:$D$507,MATCH($B120,'E2 — Triagem'!$B$8:$B$507,0)),""))</f>
        <v/>
      </c>
      <c r="E120" s="193"/>
      <c r="F120" s="193"/>
      <c r="G120" s="193"/>
      <c r="H120" s="193"/>
      <c r="I120" s="193"/>
      <c r="J120" s="193"/>
      <c r="K120" s="207" t="str">
        <f t="shared" si="4"/>
        <v/>
      </c>
      <c r="L120" s="181"/>
      <c r="M120" s="181"/>
      <c r="N120" s="193"/>
      <c r="O120" s="208" t="str">
        <f>IF(B120="","",IF(Lançamentos!D115="","",Lançamentos!D115))</f>
        <v/>
      </c>
      <c r="P120" s="209">
        <v>7</v>
      </c>
      <c r="Q120" s="208" t="str">
        <f t="shared" si="5"/>
        <v/>
      </c>
      <c r="R120" s="210"/>
      <c r="S120" s="211" t="str">
        <f t="shared" ca="1" si="6"/>
        <v/>
      </c>
      <c r="T120" s="206" t="str">
        <f t="shared" ca="1" si="7"/>
        <v/>
      </c>
      <c r="U120" s="195"/>
    </row>
    <row r="121" spans="2:21" ht="18" customHeight="1" x14ac:dyDescent="0.35">
      <c r="B121" s="204" t="str">
        <f>IF(Lançamentos!$B116="","",Lançamentos!$B116)</f>
        <v/>
      </c>
      <c r="C121" s="205" t="str">
        <f>IF($B121="","",IFERROR(INDEX(Lançamentos!$J$3:$J$1001,MATCH($B121,Lançamentos!$B$3:$B$1001,0)),""))</f>
        <v/>
      </c>
      <c r="D121" s="411" t="str">
        <f>IF($B121="","",IFERROR(INDEX('E2 — Triagem'!$D$8:$D$507,MATCH($B121,'E2 — Triagem'!$B$8:$B$507,0)),""))</f>
        <v/>
      </c>
      <c r="E121" s="193"/>
      <c r="F121" s="193"/>
      <c r="G121" s="193"/>
      <c r="H121" s="193"/>
      <c r="I121" s="193"/>
      <c r="J121" s="193"/>
      <c r="K121" s="207" t="str">
        <f t="shared" si="4"/>
        <v/>
      </c>
      <c r="L121" s="181"/>
      <c r="M121" s="181"/>
      <c r="N121" s="193"/>
      <c r="O121" s="208" t="str">
        <f>IF(B121="","",IF(Lançamentos!D116="","",Lançamentos!D116))</f>
        <v/>
      </c>
      <c r="P121" s="209">
        <v>7</v>
      </c>
      <c r="Q121" s="208" t="str">
        <f t="shared" si="5"/>
        <v/>
      </c>
      <c r="R121" s="210"/>
      <c r="S121" s="211" t="str">
        <f t="shared" ca="1" si="6"/>
        <v/>
      </c>
      <c r="T121" s="206" t="str">
        <f t="shared" ca="1" si="7"/>
        <v/>
      </c>
      <c r="U121" s="195"/>
    </row>
    <row r="122" spans="2:21" ht="18" customHeight="1" x14ac:dyDescent="0.35">
      <c r="B122" s="204" t="str">
        <f>IF(Lançamentos!$B117="","",Lançamentos!$B117)</f>
        <v/>
      </c>
      <c r="C122" s="205" t="str">
        <f>IF($B122="","",IFERROR(INDEX(Lançamentos!$J$3:$J$1001,MATCH($B122,Lançamentos!$B$3:$B$1001,0)),""))</f>
        <v/>
      </c>
      <c r="D122" s="411" t="str">
        <f>IF($B122="","",IFERROR(INDEX('E2 — Triagem'!$D$8:$D$507,MATCH($B122,'E2 — Triagem'!$B$8:$B$507,0)),""))</f>
        <v/>
      </c>
      <c r="E122" s="193"/>
      <c r="F122" s="193"/>
      <c r="G122" s="193"/>
      <c r="H122" s="193"/>
      <c r="I122" s="193"/>
      <c r="J122" s="193"/>
      <c r="K122" s="207" t="str">
        <f t="shared" si="4"/>
        <v/>
      </c>
      <c r="L122" s="181"/>
      <c r="M122" s="181"/>
      <c r="N122" s="193"/>
      <c r="O122" s="208" t="str">
        <f>IF(B122="","",IF(Lançamentos!D117="","",Lançamentos!D117))</f>
        <v/>
      </c>
      <c r="P122" s="209">
        <v>7</v>
      </c>
      <c r="Q122" s="208" t="str">
        <f t="shared" si="5"/>
        <v/>
      </c>
      <c r="R122" s="210"/>
      <c r="S122" s="211" t="str">
        <f t="shared" ca="1" si="6"/>
        <v/>
      </c>
      <c r="T122" s="206" t="str">
        <f t="shared" ca="1" si="7"/>
        <v/>
      </c>
      <c r="U122" s="195"/>
    </row>
    <row r="123" spans="2:21" ht="18" customHeight="1" x14ac:dyDescent="0.35">
      <c r="B123" s="204" t="str">
        <f>IF(Lançamentos!$B118="","",Lançamentos!$B118)</f>
        <v/>
      </c>
      <c r="C123" s="205" t="str">
        <f>IF($B123="","",IFERROR(INDEX(Lançamentos!$J$3:$J$1001,MATCH($B123,Lançamentos!$B$3:$B$1001,0)),""))</f>
        <v/>
      </c>
      <c r="D123" s="411" t="str">
        <f>IF($B123="","",IFERROR(INDEX('E2 — Triagem'!$D$8:$D$507,MATCH($B123,'E2 — Triagem'!$B$8:$B$507,0)),""))</f>
        <v/>
      </c>
      <c r="E123" s="193"/>
      <c r="F123" s="193"/>
      <c r="G123" s="193"/>
      <c r="H123" s="193"/>
      <c r="I123" s="193"/>
      <c r="J123" s="193"/>
      <c r="K123" s="207" t="str">
        <f t="shared" si="4"/>
        <v/>
      </c>
      <c r="L123" s="181"/>
      <c r="M123" s="181"/>
      <c r="N123" s="193"/>
      <c r="O123" s="208" t="str">
        <f>IF(B123="","",IF(Lançamentos!D118="","",Lançamentos!D118))</f>
        <v/>
      </c>
      <c r="P123" s="209">
        <v>7</v>
      </c>
      <c r="Q123" s="208" t="str">
        <f t="shared" si="5"/>
        <v/>
      </c>
      <c r="R123" s="210"/>
      <c r="S123" s="211" t="str">
        <f t="shared" ca="1" si="6"/>
        <v/>
      </c>
      <c r="T123" s="206" t="str">
        <f t="shared" ca="1" si="7"/>
        <v/>
      </c>
      <c r="U123" s="195"/>
    </row>
    <row r="124" spans="2:21" ht="18" customHeight="1" x14ac:dyDescent="0.35">
      <c r="B124" s="204" t="str">
        <f>IF(Lançamentos!$B119="","",Lançamentos!$B119)</f>
        <v/>
      </c>
      <c r="C124" s="205" t="str">
        <f>IF($B124="","",IFERROR(INDEX(Lançamentos!$J$3:$J$1001,MATCH($B124,Lançamentos!$B$3:$B$1001,0)),""))</f>
        <v/>
      </c>
      <c r="D124" s="411" t="str">
        <f>IF($B124="","",IFERROR(INDEX('E2 — Triagem'!$D$8:$D$507,MATCH($B124,'E2 — Triagem'!$B$8:$B$507,0)),""))</f>
        <v/>
      </c>
      <c r="E124" s="193"/>
      <c r="F124" s="193"/>
      <c r="G124" s="193"/>
      <c r="H124" s="193"/>
      <c r="I124" s="193"/>
      <c r="J124" s="193"/>
      <c r="K124" s="207" t="str">
        <f t="shared" si="4"/>
        <v/>
      </c>
      <c r="L124" s="181"/>
      <c r="M124" s="181"/>
      <c r="N124" s="193"/>
      <c r="O124" s="208" t="str">
        <f>IF(B124="","",IF(Lançamentos!D119="","",Lançamentos!D119))</f>
        <v/>
      </c>
      <c r="P124" s="209">
        <v>7</v>
      </c>
      <c r="Q124" s="208" t="str">
        <f t="shared" si="5"/>
        <v/>
      </c>
      <c r="R124" s="210"/>
      <c r="S124" s="211" t="str">
        <f t="shared" ca="1" si="6"/>
        <v/>
      </c>
      <c r="T124" s="206" t="str">
        <f t="shared" ca="1" si="7"/>
        <v/>
      </c>
      <c r="U124" s="195"/>
    </row>
    <row r="125" spans="2:21" ht="18" customHeight="1" x14ac:dyDescent="0.35">
      <c r="B125" s="204" t="str">
        <f>IF(Lançamentos!$B120="","",Lançamentos!$B120)</f>
        <v/>
      </c>
      <c r="C125" s="205" t="str">
        <f>IF($B125="","",IFERROR(INDEX(Lançamentos!$J$3:$J$1001,MATCH($B125,Lançamentos!$B$3:$B$1001,0)),""))</f>
        <v/>
      </c>
      <c r="D125" s="411" t="str">
        <f>IF($B125="","",IFERROR(INDEX('E2 — Triagem'!$D$8:$D$507,MATCH($B125,'E2 — Triagem'!$B$8:$B$507,0)),""))</f>
        <v/>
      </c>
      <c r="E125" s="193"/>
      <c r="F125" s="193"/>
      <c r="G125" s="193"/>
      <c r="H125" s="193"/>
      <c r="I125" s="193"/>
      <c r="J125" s="193"/>
      <c r="K125" s="207" t="str">
        <f t="shared" si="4"/>
        <v/>
      </c>
      <c r="L125" s="181"/>
      <c r="M125" s="181"/>
      <c r="N125" s="193"/>
      <c r="O125" s="208" t="str">
        <f>IF(B125="","",IF(Lançamentos!D120="","",Lançamentos!D120))</f>
        <v/>
      </c>
      <c r="P125" s="209">
        <v>7</v>
      </c>
      <c r="Q125" s="208" t="str">
        <f t="shared" si="5"/>
        <v/>
      </c>
      <c r="R125" s="210"/>
      <c r="S125" s="211" t="str">
        <f t="shared" ca="1" si="6"/>
        <v/>
      </c>
      <c r="T125" s="206" t="str">
        <f t="shared" ca="1" si="7"/>
        <v/>
      </c>
      <c r="U125" s="195"/>
    </row>
    <row r="126" spans="2:21" ht="18" customHeight="1" x14ac:dyDescent="0.35">
      <c r="B126" s="204" t="str">
        <f>IF(Lançamentos!$B121="","",Lançamentos!$B121)</f>
        <v/>
      </c>
      <c r="C126" s="205" t="str">
        <f>IF($B126="","",IFERROR(INDEX(Lançamentos!$J$3:$J$1001,MATCH($B126,Lançamentos!$B$3:$B$1001,0)),""))</f>
        <v/>
      </c>
      <c r="D126" s="411" t="str">
        <f>IF($B126="","",IFERROR(INDEX('E2 — Triagem'!$D$8:$D$507,MATCH($B126,'E2 — Triagem'!$B$8:$B$507,0)),""))</f>
        <v/>
      </c>
      <c r="E126" s="193"/>
      <c r="F126" s="193"/>
      <c r="G126" s="193"/>
      <c r="H126" s="193"/>
      <c r="I126" s="193"/>
      <c r="J126" s="193"/>
      <c r="K126" s="207" t="str">
        <f t="shared" si="4"/>
        <v/>
      </c>
      <c r="L126" s="181"/>
      <c r="M126" s="181"/>
      <c r="N126" s="193"/>
      <c r="O126" s="208" t="str">
        <f>IF(B126="","",IF(Lançamentos!D121="","",Lançamentos!D121))</f>
        <v/>
      </c>
      <c r="P126" s="209">
        <v>7</v>
      </c>
      <c r="Q126" s="208" t="str">
        <f t="shared" si="5"/>
        <v/>
      </c>
      <c r="R126" s="210"/>
      <c r="S126" s="211" t="str">
        <f t="shared" ca="1" si="6"/>
        <v/>
      </c>
      <c r="T126" s="206" t="str">
        <f t="shared" ca="1" si="7"/>
        <v/>
      </c>
      <c r="U126" s="195"/>
    </row>
    <row r="127" spans="2:21" ht="18" customHeight="1" x14ac:dyDescent="0.35">
      <c r="B127" s="204" t="str">
        <f>IF(Lançamentos!$B122="","",Lançamentos!$B122)</f>
        <v/>
      </c>
      <c r="C127" s="205" t="str">
        <f>IF($B127="","",IFERROR(INDEX(Lançamentos!$J$3:$J$1001,MATCH($B127,Lançamentos!$B$3:$B$1001,0)),""))</f>
        <v/>
      </c>
      <c r="D127" s="411" t="str">
        <f>IF($B127="","",IFERROR(INDEX('E2 — Triagem'!$D$8:$D$507,MATCH($B127,'E2 — Triagem'!$B$8:$B$507,0)),""))</f>
        <v/>
      </c>
      <c r="E127" s="193"/>
      <c r="F127" s="193"/>
      <c r="G127" s="193"/>
      <c r="H127" s="193"/>
      <c r="I127" s="193"/>
      <c r="J127" s="193"/>
      <c r="K127" s="207" t="str">
        <f t="shared" si="4"/>
        <v/>
      </c>
      <c r="L127" s="181"/>
      <c r="M127" s="181"/>
      <c r="N127" s="193"/>
      <c r="O127" s="208" t="str">
        <f>IF(B127="","",IF(Lançamentos!D122="","",Lançamentos!D122))</f>
        <v/>
      </c>
      <c r="P127" s="209">
        <v>7</v>
      </c>
      <c r="Q127" s="208" t="str">
        <f t="shared" si="5"/>
        <v/>
      </c>
      <c r="R127" s="210"/>
      <c r="S127" s="211" t="str">
        <f t="shared" ca="1" si="6"/>
        <v/>
      </c>
      <c r="T127" s="206" t="str">
        <f t="shared" ca="1" si="7"/>
        <v/>
      </c>
      <c r="U127" s="195"/>
    </row>
    <row r="128" spans="2:21" ht="18" customHeight="1" x14ac:dyDescent="0.35">
      <c r="B128" s="204" t="str">
        <f>IF(Lançamentos!$B123="","",Lançamentos!$B123)</f>
        <v/>
      </c>
      <c r="C128" s="205" t="str">
        <f>IF($B128="","",IFERROR(INDEX(Lançamentos!$J$3:$J$1001,MATCH($B128,Lançamentos!$B$3:$B$1001,0)),""))</f>
        <v/>
      </c>
      <c r="D128" s="411" t="str">
        <f>IF($B128="","",IFERROR(INDEX('E2 — Triagem'!$D$8:$D$507,MATCH($B128,'E2 — Triagem'!$B$8:$B$507,0)),""))</f>
        <v/>
      </c>
      <c r="E128" s="193"/>
      <c r="F128" s="193"/>
      <c r="G128" s="193"/>
      <c r="H128" s="193"/>
      <c r="I128" s="193"/>
      <c r="J128" s="193"/>
      <c r="K128" s="207" t="str">
        <f t="shared" si="4"/>
        <v/>
      </c>
      <c r="L128" s="181"/>
      <c r="M128" s="181"/>
      <c r="N128" s="193"/>
      <c r="O128" s="208" t="str">
        <f>IF(B128="","",IF(Lançamentos!D123="","",Lançamentos!D123))</f>
        <v/>
      </c>
      <c r="P128" s="209">
        <v>7</v>
      </c>
      <c r="Q128" s="208" t="str">
        <f t="shared" si="5"/>
        <v/>
      </c>
      <c r="R128" s="210"/>
      <c r="S128" s="211" t="str">
        <f t="shared" ca="1" si="6"/>
        <v/>
      </c>
      <c r="T128" s="206" t="str">
        <f t="shared" ca="1" si="7"/>
        <v/>
      </c>
      <c r="U128" s="195"/>
    </row>
    <row r="129" spans="2:21" ht="18" customHeight="1" x14ac:dyDescent="0.35">
      <c r="B129" s="204" t="str">
        <f>IF(Lançamentos!$B124="","",Lançamentos!$B124)</f>
        <v/>
      </c>
      <c r="C129" s="205" t="str">
        <f>IF($B129="","",IFERROR(INDEX(Lançamentos!$J$3:$J$1001,MATCH($B129,Lançamentos!$B$3:$B$1001,0)),""))</f>
        <v/>
      </c>
      <c r="D129" s="411" t="str">
        <f>IF($B129="","",IFERROR(INDEX('E2 — Triagem'!$D$8:$D$507,MATCH($B129,'E2 — Triagem'!$B$8:$B$507,0)),""))</f>
        <v/>
      </c>
      <c r="E129" s="193"/>
      <c r="F129" s="193"/>
      <c r="G129" s="193"/>
      <c r="H129" s="193"/>
      <c r="I129" s="193"/>
      <c r="J129" s="193"/>
      <c r="K129" s="207" t="str">
        <f t="shared" si="4"/>
        <v/>
      </c>
      <c r="L129" s="181"/>
      <c r="M129" s="181"/>
      <c r="N129" s="193"/>
      <c r="O129" s="208" t="str">
        <f>IF(B129="","",IF(Lançamentos!D124="","",Lançamentos!D124))</f>
        <v/>
      </c>
      <c r="P129" s="209">
        <v>7</v>
      </c>
      <c r="Q129" s="208" t="str">
        <f t="shared" si="5"/>
        <v/>
      </c>
      <c r="R129" s="210"/>
      <c r="S129" s="211" t="str">
        <f t="shared" ca="1" si="6"/>
        <v/>
      </c>
      <c r="T129" s="206" t="str">
        <f t="shared" ca="1" si="7"/>
        <v/>
      </c>
      <c r="U129" s="195"/>
    </row>
    <row r="130" spans="2:21" ht="18" customHeight="1" x14ac:dyDescent="0.35">
      <c r="B130" s="204" t="str">
        <f>IF(Lançamentos!$B125="","",Lançamentos!$B125)</f>
        <v/>
      </c>
      <c r="C130" s="205" t="str">
        <f>IF($B130="","",IFERROR(INDEX(Lançamentos!$J$3:$J$1001,MATCH($B130,Lançamentos!$B$3:$B$1001,0)),""))</f>
        <v/>
      </c>
      <c r="D130" s="411" t="str">
        <f>IF($B130="","",IFERROR(INDEX('E2 — Triagem'!$D$8:$D$507,MATCH($B130,'E2 — Triagem'!$B$8:$B$507,0)),""))</f>
        <v/>
      </c>
      <c r="E130" s="193"/>
      <c r="F130" s="193"/>
      <c r="G130" s="193"/>
      <c r="H130" s="193"/>
      <c r="I130" s="193"/>
      <c r="J130" s="193"/>
      <c r="K130" s="207" t="str">
        <f t="shared" si="4"/>
        <v/>
      </c>
      <c r="L130" s="181"/>
      <c r="M130" s="181"/>
      <c r="N130" s="193"/>
      <c r="O130" s="208" t="str">
        <f>IF(B130="","",IF(Lançamentos!D125="","",Lançamentos!D125))</f>
        <v/>
      </c>
      <c r="P130" s="209">
        <v>7</v>
      </c>
      <c r="Q130" s="208" t="str">
        <f t="shared" si="5"/>
        <v/>
      </c>
      <c r="R130" s="210"/>
      <c r="S130" s="211" t="str">
        <f t="shared" ca="1" si="6"/>
        <v/>
      </c>
      <c r="T130" s="206" t="str">
        <f t="shared" ca="1" si="7"/>
        <v/>
      </c>
      <c r="U130" s="195"/>
    </row>
    <row r="131" spans="2:21" ht="18" customHeight="1" x14ac:dyDescent="0.35">
      <c r="B131" s="204" t="str">
        <f>IF(Lançamentos!$B126="","",Lançamentos!$B126)</f>
        <v/>
      </c>
      <c r="C131" s="205" t="str">
        <f>IF($B131="","",IFERROR(INDEX(Lançamentos!$J$3:$J$1001,MATCH($B131,Lançamentos!$B$3:$B$1001,0)),""))</f>
        <v/>
      </c>
      <c r="D131" s="411" t="str">
        <f>IF($B131="","",IFERROR(INDEX('E2 — Triagem'!$D$8:$D$507,MATCH($B131,'E2 — Triagem'!$B$8:$B$507,0)),""))</f>
        <v/>
      </c>
      <c r="E131" s="193"/>
      <c r="F131" s="193"/>
      <c r="G131" s="193"/>
      <c r="H131" s="193"/>
      <c r="I131" s="193"/>
      <c r="J131" s="193"/>
      <c r="K131" s="207" t="str">
        <f t="shared" si="4"/>
        <v/>
      </c>
      <c r="L131" s="181"/>
      <c r="M131" s="181"/>
      <c r="N131" s="193"/>
      <c r="O131" s="208" t="str">
        <f>IF(B131="","",IF(Lançamentos!D126="","",Lançamentos!D126))</f>
        <v/>
      </c>
      <c r="P131" s="209">
        <v>7</v>
      </c>
      <c r="Q131" s="208" t="str">
        <f t="shared" si="5"/>
        <v/>
      </c>
      <c r="R131" s="210"/>
      <c r="S131" s="211" t="str">
        <f t="shared" ca="1" si="6"/>
        <v/>
      </c>
      <c r="T131" s="206" t="str">
        <f t="shared" ca="1" si="7"/>
        <v/>
      </c>
      <c r="U131" s="195"/>
    </row>
    <row r="132" spans="2:21" ht="18" customHeight="1" x14ac:dyDescent="0.35">
      <c r="B132" s="204" t="str">
        <f>IF(Lançamentos!$B127="","",Lançamentos!$B127)</f>
        <v/>
      </c>
      <c r="C132" s="205" t="str">
        <f>IF($B132="","",IFERROR(INDEX(Lançamentos!$J$3:$J$1001,MATCH($B132,Lançamentos!$B$3:$B$1001,0)),""))</f>
        <v/>
      </c>
      <c r="D132" s="411" t="str">
        <f>IF($B132="","",IFERROR(INDEX('E2 — Triagem'!$D$8:$D$507,MATCH($B132,'E2 — Triagem'!$B$8:$B$507,0)),""))</f>
        <v/>
      </c>
      <c r="E132" s="193"/>
      <c r="F132" s="193"/>
      <c r="G132" s="193"/>
      <c r="H132" s="193"/>
      <c r="I132" s="193"/>
      <c r="J132" s="193"/>
      <c r="K132" s="207" t="str">
        <f t="shared" si="4"/>
        <v/>
      </c>
      <c r="L132" s="181"/>
      <c r="M132" s="181"/>
      <c r="N132" s="193"/>
      <c r="O132" s="208" t="str">
        <f>IF(B132="","",IF(Lançamentos!D127="","",Lançamentos!D127))</f>
        <v/>
      </c>
      <c r="P132" s="209">
        <v>7</v>
      </c>
      <c r="Q132" s="208" t="str">
        <f t="shared" si="5"/>
        <v/>
      </c>
      <c r="R132" s="210"/>
      <c r="S132" s="211" t="str">
        <f t="shared" ca="1" si="6"/>
        <v/>
      </c>
      <c r="T132" s="206" t="str">
        <f t="shared" ca="1" si="7"/>
        <v/>
      </c>
      <c r="U132" s="195"/>
    </row>
    <row r="133" spans="2:21" ht="18" customHeight="1" x14ac:dyDescent="0.35">
      <c r="B133" s="204" t="str">
        <f>IF(Lançamentos!$B128="","",Lançamentos!$B128)</f>
        <v/>
      </c>
      <c r="C133" s="205" t="str">
        <f>IF($B133="","",IFERROR(INDEX(Lançamentos!$J$3:$J$1001,MATCH($B133,Lançamentos!$B$3:$B$1001,0)),""))</f>
        <v/>
      </c>
      <c r="D133" s="411" t="str">
        <f>IF($B133="","",IFERROR(INDEX('E2 — Triagem'!$D$8:$D$507,MATCH($B133,'E2 — Triagem'!$B$8:$B$507,0)),""))</f>
        <v/>
      </c>
      <c r="E133" s="193"/>
      <c r="F133" s="193"/>
      <c r="G133" s="193"/>
      <c r="H133" s="193"/>
      <c r="I133" s="193"/>
      <c r="J133" s="193"/>
      <c r="K133" s="207" t="str">
        <f t="shared" si="4"/>
        <v/>
      </c>
      <c r="L133" s="181"/>
      <c r="M133" s="181"/>
      <c r="N133" s="193"/>
      <c r="O133" s="208" t="str">
        <f>IF(B133="","",IF(Lançamentos!D128="","",Lançamentos!D128))</f>
        <v/>
      </c>
      <c r="P133" s="209">
        <v>7</v>
      </c>
      <c r="Q133" s="208" t="str">
        <f t="shared" si="5"/>
        <v/>
      </c>
      <c r="R133" s="210"/>
      <c r="S133" s="211" t="str">
        <f t="shared" ca="1" si="6"/>
        <v/>
      </c>
      <c r="T133" s="206" t="str">
        <f t="shared" ca="1" si="7"/>
        <v/>
      </c>
      <c r="U133" s="195"/>
    </row>
    <row r="134" spans="2:21" ht="18" customHeight="1" x14ac:dyDescent="0.35">
      <c r="B134" s="204" t="str">
        <f>IF(Lançamentos!$B129="","",Lançamentos!$B129)</f>
        <v/>
      </c>
      <c r="C134" s="205" t="str">
        <f>IF($B134="","",IFERROR(INDEX(Lançamentos!$J$3:$J$1001,MATCH($B134,Lançamentos!$B$3:$B$1001,0)),""))</f>
        <v/>
      </c>
      <c r="D134" s="411" t="str">
        <f>IF($B134="","",IFERROR(INDEX('E2 — Triagem'!$D$8:$D$507,MATCH($B134,'E2 — Triagem'!$B$8:$B$507,0)),""))</f>
        <v/>
      </c>
      <c r="E134" s="193"/>
      <c r="F134" s="193"/>
      <c r="G134" s="193"/>
      <c r="H134" s="193"/>
      <c r="I134" s="193"/>
      <c r="J134" s="193"/>
      <c r="K134" s="207" t="str">
        <f t="shared" si="4"/>
        <v/>
      </c>
      <c r="L134" s="181"/>
      <c r="M134" s="181"/>
      <c r="N134" s="193"/>
      <c r="O134" s="208" t="str">
        <f>IF(B134="","",IF(Lançamentos!D129="","",Lançamentos!D129))</f>
        <v/>
      </c>
      <c r="P134" s="209">
        <v>7</v>
      </c>
      <c r="Q134" s="208" t="str">
        <f t="shared" si="5"/>
        <v/>
      </c>
      <c r="R134" s="210"/>
      <c r="S134" s="211" t="str">
        <f t="shared" ca="1" si="6"/>
        <v/>
      </c>
      <c r="T134" s="206" t="str">
        <f t="shared" ca="1" si="7"/>
        <v/>
      </c>
      <c r="U134" s="195"/>
    </row>
    <row r="135" spans="2:21" ht="18" customHeight="1" x14ac:dyDescent="0.35">
      <c r="B135" s="204" t="str">
        <f>IF(Lançamentos!$B130="","",Lançamentos!$B130)</f>
        <v/>
      </c>
      <c r="C135" s="205" t="str">
        <f>IF($B135="","",IFERROR(INDEX(Lançamentos!$J$3:$J$1001,MATCH($B135,Lançamentos!$B$3:$B$1001,0)),""))</f>
        <v/>
      </c>
      <c r="D135" s="411" t="str">
        <f>IF($B135="","",IFERROR(INDEX('E2 — Triagem'!$D$8:$D$507,MATCH($B135,'E2 — Triagem'!$B$8:$B$507,0)),""))</f>
        <v/>
      </c>
      <c r="E135" s="193"/>
      <c r="F135" s="193"/>
      <c r="G135" s="193"/>
      <c r="H135" s="193"/>
      <c r="I135" s="193"/>
      <c r="J135" s="193"/>
      <c r="K135" s="207" t="str">
        <f t="shared" si="4"/>
        <v/>
      </c>
      <c r="L135" s="181"/>
      <c r="M135" s="181"/>
      <c r="N135" s="193"/>
      <c r="O135" s="208" t="str">
        <f>IF(B135="","",IF(Lançamentos!D130="","",Lançamentos!D130))</f>
        <v/>
      </c>
      <c r="P135" s="209">
        <v>7</v>
      </c>
      <c r="Q135" s="208" t="str">
        <f t="shared" si="5"/>
        <v/>
      </c>
      <c r="R135" s="210"/>
      <c r="S135" s="211" t="str">
        <f t="shared" ca="1" si="6"/>
        <v/>
      </c>
      <c r="T135" s="206" t="str">
        <f t="shared" ca="1" si="7"/>
        <v/>
      </c>
      <c r="U135" s="195"/>
    </row>
    <row r="136" spans="2:21" ht="18" customHeight="1" x14ac:dyDescent="0.35">
      <c r="B136" s="204" t="str">
        <f>IF(Lançamentos!$B131="","",Lançamentos!$B131)</f>
        <v/>
      </c>
      <c r="C136" s="205" t="str">
        <f>IF($B136="","",IFERROR(INDEX(Lançamentos!$J$3:$J$1001,MATCH($B136,Lançamentos!$B$3:$B$1001,0)),""))</f>
        <v/>
      </c>
      <c r="D136" s="411" t="str">
        <f>IF($B136="","",IFERROR(INDEX('E2 — Triagem'!$D$8:$D$507,MATCH($B136,'E2 — Triagem'!$B$8:$B$507,0)),""))</f>
        <v/>
      </c>
      <c r="E136" s="193"/>
      <c r="F136" s="193"/>
      <c r="G136" s="193"/>
      <c r="H136" s="193"/>
      <c r="I136" s="193"/>
      <c r="J136" s="193"/>
      <c r="K136" s="207" t="str">
        <f t="shared" si="4"/>
        <v/>
      </c>
      <c r="L136" s="181"/>
      <c r="M136" s="181"/>
      <c r="N136" s="193"/>
      <c r="O136" s="208" t="str">
        <f>IF(B136="","",IF(Lançamentos!D131="","",Lançamentos!D131))</f>
        <v/>
      </c>
      <c r="P136" s="209">
        <v>7</v>
      </c>
      <c r="Q136" s="208" t="str">
        <f t="shared" si="5"/>
        <v/>
      </c>
      <c r="R136" s="210"/>
      <c r="S136" s="211" t="str">
        <f t="shared" ca="1" si="6"/>
        <v/>
      </c>
      <c r="T136" s="206" t="str">
        <f t="shared" ca="1" si="7"/>
        <v/>
      </c>
      <c r="U136" s="195"/>
    </row>
    <row r="137" spans="2:21" ht="18" customHeight="1" x14ac:dyDescent="0.35">
      <c r="B137" s="204" t="str">
        <f>IF(Lançamentos!$B132="","",Lançamentos!$B132)</f>
        <v/>
      </c>
      <c r="C137" s="205" t="str">
        <f>IF($B137="","",IFERROR(INDEX(Lançamentos!$J$3:$J$1001,MATCH($B137,Lançamentos!$B$3:$B$1001,0)),""))</f>
        <v/>
      </c>
      <c r="D137" s="411" t="str">
        <f>IF($B137="","",IFERROR(INDEX('E2 — Triagem'!$D$8:$D$507,MATCH($B137,'E2 — Triagem'!$B$8:$B$507,0)),""))</f>
        <v/>
      </c>
      <c r="E137" s="193"/>
      <c r="F137" s="193"/>
      <c r="G137" s="193"/>
      <c r="H137" s="193"/>
      <c r="I137" s="193"/>
      <c r="J137" s="193"/>
      <c r="K137" s="207" t="str">
        <f t="shared" ref="K137:K200" si="8">IF(B137="","",IF(COUNTIF(E137:J137,"N/A")=6,0,COUNTIF(E137:J137,"✔ Concluído")/(6-COUNTIF(E137:J137,"N/A"))))</f>
        <v/>
      </c>
      <c r="L137" s="181"/>
      <c r="M137" s="181"/>
      <c r="N137" s="193"/>
      <c r="O137" s="208" t="str">
        <f>IF(B137="","",IF(Lançamentos!D132="","",Lançamentos!D132))</f>
        <v/>
      </c>
      <c r="P137" s="209">
        <v>7</v>
      </c>
      <c r="Q137" s="208" t="str">
        <f t="shared" ref="Q137:Q200" si="9">IF(OR(O137="",P137=""),"",O137+P137)</f>
        <v/>
      </c>
      <c r="R137" s="210"/>
      <c r="S137" s="211" t="str">
        <f t="shared" ref="S137:S200" ca="1" si="10">IF(O137="","",MAX(0,IF(R137&lt;&gt;"",R137-O137,TODAY()-O137)))</f>
        <v/>
      </c>
      <c r="T137" s="206" t="str">
        <f t="shared" ref="T137:T200" ca="1" si="11">IF(B137="","",IF(R137&lt;&gt;"","✅ Encerrado",IF(O137="","",IF(TODAY()&gt;Q137,"🔴 Hypercare Atrasado",IF(TODAY()&gt;=Q137-2,"🟡 Próximo do Encerramento","🟢 Dentro do Período")))))</f>
        <v/>
      </c>
      <c r="U137" s="195"/>
    </row>
    <row r="138" spans="2:21" ht="18" customHeight="1" x14ac:dyDescent="0.35">
      <c r="B138" s="204" t="str">
        <f>IF(Lançamentos!$B133="","",Lançamentos!$B133)</f>
        <v/>
      </c>
      <c r="C138" s="205" t="str">
        <f>IF($B138="","",IFERROR(INDEX(Lançamentos!$J$3:$J$1001,MATCH($B138,Lançamentos!$B$3:$B$1001,0)),""))</f>
        <v/>
      </c>
      <c r="D138" s="411" t="str">
        <f>IF($B138="","",IFERROR(INDEX('E2 — Triagem'!$D$8:$D$507,MATCH($B138,'E2 — Triagem'!$B$8:$B$507,0)),""))</f>
        <v/>
      </c>
      <c r="E138" s="193"/>
      <c r="F138" s="193"/>
      <c r="G138" s="193"/>
      <c r="H138" s="193"/>
      <c r="I138" s="193"/>
      <c r="J138" s="193"/>
      <c r="K138" s="207" t="str">
        <f t="shared" si="8"/>
        <v/>
      </c>
      <c r="L138" s="181"/>
      <c r="M138" s="181"/>
      <c r="N138" s="193"/>
      <c r="O138" s="208" t="str">
        <f>IF(B138="","",IF(Lançamentos!D133="","",Lançamentos!D133))</f>
        <v/>
      </c>
      <c r="P138" s="209">
        <v>7</v>
      </c>
      <c r="Q138" s="208" t="str">
        <f t="shared" si="9"/>
        <v/>
      </c>
      <c r="R138" s="210"/>
      <c r="S138" s="211" t="str">
        <f t="shared" ca="1" si="10"/>
        <v/>
      </c>
      <c r="T138" s="206" t="str">
        <f t="shared" ca="1" si="11"/>
        <v/>
      </c>
      <c r="U138" s="195"/>
    </row>
    <row r="139" spans="2:21" ht="18" customHeight="1" x14ac:dyDescent="0.35">
      <c r="B139" s="204" t="str">
        <f>IF(Lançamentos!$B134="","",Lançamentos!$B134)</f>
        <v/>
      </c>
      <c r="C139" s="205" t="str">
        <f>IF($B139="","",IFERROR(INDEX(Lançamentos!$J$3:$J$1001,MATCH($B139,Lançamentos!$B$3:$B$1001,0)),""))</f>
        <v/>
      </c>
      <c r="D139" s="411" t="str">
        <f>IF($B139="","",IFERROR(INDEX('E2 — Triagem'!$D$8:$D$507,MATCH($B139,'E2 — Triagem'!$B$8:$B$507,0)),""))</f>
        <v/>
      </c>
      <c r="E139" s="193"/>
      <c r="F139" s="193"/>
      <c r="G139" s="193"/>
      <c r="H139" s="193"/>
      <c r="I139" s="193"/>
      <c r="J139" s="193"/>
      <c r="K139" s="207" t="str">
        <f t="shared" si="8"/>
        <v/>
      </c>
      <c r="L139" s="181"/>
      <c r="M139" s="181"/>
      <c r="N139" s="193"/>
      <c r="O139" s="208" t="str">
        <f>IF(B139="","",IF(Lançamentos!D134="","",Lançamentos!D134))</f>
        <v/>
      </c>
      <c r="P139" s="209">
        <v>7</v>
      </c>
      <c r="Q139" s="208" t="str">
        <f t="shared" si="9"/>
        <v/>
      </c>
      <c r="R139" s="210"/>
      <c r="S139" s="211" t="str">
        <f t="shared" ca="1" si="10"/>
        <v/>
      </c>
      <c r="T139" s="206" t="str">
        <f t="shared" ca="1" si="11"/>
        <v/>
      </c>
      <c r="U139" s="195"/>
    </row>
    <row r="140" spans="2:21" ht="18" customHeight="1" x14ac:dyDescent="0.35">
      <c r="B140" s="204" t="str">
        <f>IF(Lançamentos!$B135="","",Lançamentos!$B135)</f>
        <v/>
      </c>
      <c r="C140" s="205" t="str">
        <f>IF($B140="","",IFERROR(INDEX(Lançamentos!$J$3:$J$1001,MATCH($B140,Lançamentos!$B$3:$B$1001,0)),""))</f>
        <v/>
      </c>
      <c r="D140" s="411" t="str">
        <f>IF($B140="","",IFERROR(INDEX('E2 — Triagem'!$D$8:$D$507,MATCH($B140,'E2 — Triagem'!$B$8:$B$507,0)),""))</f>
        <v/>
      </c>
      <c r="E140" s="193"/>
      <c r="F140" s="193"/>
      <c r="G140" s="193"/>
      <c r="H140" s="193"/>
      <c r="I140" s="193"/>
      <c r="J140" s="193"/>
      <c r="K140" s="207" t="str">
        <f t="shared" si="8"/>
        <v/>
      </c>
      <c r="L140" s="181"/>
      <c r="M140" s="181"/>
      <c r="N140" s="193"/>
      <c r="O140" s="208" t="str">
        <f>IF(B140="","",IF(Lançamentos!D135="","",Lançamentos!D135))</f>
        <v/>
      </c>
      <c r="P140" s="209">
        <v>7</v>
      </c>
      <c r="Q140" s="208" t="str">
        <f t="shared" si="9"/>
        <v/>
      </c>
      <c r="R140" s="210"/>
      <c r="S140" s="211" t="str">
        <f t="shared" ca="1" si="10"/>
        <v/>
      </c>
      <c r="T140" s="206" t="str">
        <f t="shared" ca="1" si="11"/>
        <v/>
      </c>
      <c r="U140" s="195"/>
    </row>
    <row r="141" spans="2:21" ht="18" customHeight="1" x14ac:dyDescent="0.35">
      <c r="B141" s="204" t="str">
        <f>IF(Lançamentos!$B136="","",Lançamentos!$B136)</f>
        <v/>
      </c>
      <c r="C141" s="205" t="str">
        <f>IF($B141="","",IFERROR(INDEX(Lançamentos!$J$3:$J$1001,MATCH($B141,Lançamentos!$B$3:$B$1001,0)),""))</f>
        <v/>
      </c>
      <c r="D141" s="411" t="str">
        <f>IF($B141="","",IFERROR(INDEX('E2 — Triagem'!$D$8:$D$507,MATCH($B141,'E2 — Triagem'!$B$8:$B$507,0)),""))</f>
        <v/>
      </c>
      <c r="E141" s="193"/>
      <c r="F141" s="193"/>
      <c r="G141" s="193"/>
      <c r="H141" s="193"/>
      <c r="I141" s="193"/>
      <c r="J141" s="193"/>
      <c r="K141" s="207" t="str">
        <f t="shared" si="8"/>
        <v/>
      </c>
      <c r="L141" s="181"/>
      <c r="M141" s="181"/>
      <c r="N141" s="193"/>
      <c r="O141" s="208" t="str">
        <f>IF(B141="","",IF(Lançamentos!D136="","",Lançamentos!D136))</f>
        <v/>
      </c>
      <c r="P141" s="209">
        <v>7</v>
      </c>
      <c r="Q141" s="208" t="str">
        <f t="shared" si="9"/>
        <v/>
      </c>
      <c r="R141" s="210"/>
      <c r="S141" s="211" t="str">
        <f t="shared" ca="1" si="10"/>
        <v/>
      </c>
      <c r="T141" s="206" t="str">
        <f t="shared" ca="1" si="11"/>
        <v/>
      </c>
      <c r="U141" s="195"/>
    </row>
    <row r="142" spans="2:21" ht="18" customHeight="1" x14ac:dyDescent="0.35">
      <c r="B142" s="204" t="str">
        <f>IF(Lançamentos!$B137="","",Lançamentos!$B137)</f>
        <v/>
      </c>
      <c r="C142" s="205" t="str">
        <f>IF($B142="","",IFERROR(INDEX(Lançamentos!$J$3:$J$1001,MATCH($B142,Lançamentos!$B$3:$B$1001,0)),""))</f>
        <v/>
      </c>
      <c r="D142" s="411" t="str">
        <f>IF($B142="","",IFERROR(INDEX('E2 — Triagem'!$D$8:$D$507,MATCH($B142,'E2 — Triagem'!$B$8:$B$507,0)),""))</f>
        <v/>
      </c>
      <c r="E142" s="193"/>
      <c r="F142" s="193"/>
      <c r="G142" s="193"/>
      <c r="H142" s="193"/>
      <c r="I142" s="193"/>
      <c r="J142" s="193"/>
      <c r="K142" s="207" t="str">
        <f t="shared" si="8"/>
        <v/>
      </c>
      <c r="L142" s="181"/>
      <c r="M142" s="181"/>
      <c r="N142" s="193"/>
      <c r="O142" s="208" t="str">
        <f>IF(B142="","",IF(Lançamentos!D137="","",Lançamentos!D137))</f>
        <v/>
      </c>
      <c r="P142" s="209">
        <v>7</v>
      </c>
      <c r="Q142" s="208" t="str">
        <f t="shared" si="9"/>
        <v/>
      </c>
      <c r="R142" s="210"/>
      <c r="S142" s="211" t="str">
        <f t="shared" ca="1" si="10"/>
        <v/>
      </c>
      <c r="T142" s="206" t="str">
        <f t="shared" ca="1" si="11"/>
        <v/>
      </c>
      <c r="U142" s="195"/>
    </row>
    <row r="143" spans="2:21" ht="18" customHeight="1" x14ac:dyDescent="0.35">
      <c r="B143" s="204" t="str">
        <f>IF(Lançamentos!$B138="","",Lançamentos!$B138)</f>
        <v/>
      </c>
      <c r="C143" s="205" t="str">
        <f>IF($B143="","",IFERROR(INDEX(Lançamentos!$J$3:$J$1001,MATCH($B143,Lançamentos!$B$3:$B$1001,0)),""))</f>
        <v/>
      </c>
      <c r="D143" s="411" t="str">
        <f>IF($B143="","",IFERROR(INDEX('E2 — Triagem'!$D$8:$D$507,MATCH($B143,'E2 — Triagem'!$B$8:$B$507,0)),""))</f>
        <v/>
      </c>
      <c r="E143" s="193"/>
      <c r="F143" s="193"/>
      <c r="G143" s="193"/>
      <c r="H143" s="193"/>
      <c r="I143" s="193"/>
      <c r="J143" s="193"/>
      <c r="K143" s="207" t="str">
        <f t="shared" si="8"/>
        <v/>
      </c>
      <c r="L143" s="181"/>
      <c r="M143" s="181"/>
      <c r="N143" s="193"/>
      <c r="O143" s="208" t="str">
        <f>IF(B143="","",IF(Lançamentos!D138="","",Lançamentos!D138))</f>
        <v/>
      </c>
      <c r="P143" s="209">
        <v>7</v>
      </c>
      <c r="Q143" s="208" t="str">
        <f t="shared" si="9"/>
        <v/>
      </c>
      <c r="R143" s="210"/>
      <c r="S143" s="211" t="str">
        <f t="shared" ca="1" si="10"/>
        <v/>
      </c>
      <c r="T143" s="206" t="str">
        <f t="shared" ca="1" si="11"/>
        <v/>
      </c>
      <c r="U143" s="195"/>
    </row>
    <row r="144" spans="2:21" ht="18" customHeight="1" x14ac:dyDescent="0.35">
      <c r="B144" s="204" t="str">
        <f>IF(Lançamentos!$B139="","",Lançamentos!$B139)</f>
        <v/>
      </c>
      <c r="C144" s="205" t="str">
        <f>IF($B144="","",IFERROR(INDEX(Lançamentos!$J$3:$J$1001,MATCH($B144,Lançamentos!$B$3:$B$1001,0)),""))</f>
        <v/>
      </c>
      <c r="D144" s="411" t="str">
        <f>IF($B144="","",IFERROR(INDEX('E2 — Triagem'!$D$8:$D$507,MATCH($B144,'E2 — Triagem'!$B$8:$B$507,0)),""))</f>
        <v/>
      </c>
      <c r="E144" s="193"/>
      <c r="F144" s="193"/>
      <c r="G144" s="193"/>
      <c r="H144" s="193"/>
      <c r="I144" s="193"/>
      <c r="J144" s="193"/>
      <c r="K144" s="207" t="str">
        <f t="shared" si="8"/>
        <v/>
      </c>
      <c r="L144" s="181"/>
      <c r="M144" s="181"/>
      <c r="N144" s="193"/>
      <c r="O144" s="208" t="str">
        <f>IF(B144="","",IF(Lançamentos!D139="","",Lançamentos!D139))</f>
        <v/>
      </c>
      <c r="P144" s="209">
        <v>7</v>
      </c>
      <c r="Q144" s="208" t="str">
        <f t="shared" si="9"/>
        <v/>
      </c>
      <c r="R144" s="210"/>
      <c r="S144" s="211" t="str">
        <f t="shared" ca="1" si="10"/>
        <v/>
      </c>
      <c r="T144" s="206" t="str">
        <f t="shared" ca="1" si="11"/>
        <v/>
      </c>
      <c r="U144" s="195"/>
    </row>
    <row r="145" spans="2:21" ht="18" customHeight="1" x14ac:dyDescent="0.35">
      <c r="B145" s="204" t="str">
        <f>IF(Lançamentos!$B140="","",Lançamentos!$B140)</f>
        <v/>
      </c>
      <c r="C145" s="205" t="str">
        <f>IF($B145="","",IFERROR(INDEX(Lançamentos!$J$3:$J$1001,MATCH($B145,Lançamentos!$B$3:$B$1001,0)),""))</f>
        <v/>
      </c>
      <c r="D145" s="411" t="str">
        <f>IF($B145="","",IFERROR(INDEX('E2 — Triagem'!$D$8:$D$507,MATCH($B145,'E2 — Triagem'!$B$8:$B$507,0)),""))</f>
        <v/>
      </c>
      <c r="E145" s="193"/>
      <c r="F145" s="193"/>
      <c r="G145" s="193"/>
      <c r="H145" s="193"/>
      <c r="I145" s="193"/>
      <c r="J145" s="193"/>
      <c r="K145" s="207" t="str">
        <f t="shared" si="8"/>
        <v/>
      </c>
      <c r="L145" s="181"/>
      <c r="M145" s="181"/>
      <c r="N145" s="193"/>
      <c r="O145" s="208" t="str">
        <f>IF(B145="","",IF(Lançamentos!D140="","",Lançamentos!D140))</f>
        <v/>
      </c>
      <c r="P145" s="209">
        <v>7</v>
      </c>
      <c r="Q145" s="208" t="str">
        <f t="shared" si="9"/>
        <v/>
      </c>
      <c r="R145" s="210"/>
      <c r="S145" s="211" t="str">
        <f t="shared" ca="1" si="10"/>
        <v/>
      </c>
      <c r="T145" s="206" t="str">
        <f t="shared" ca="1" si="11"/>
        <v/>
      </c>
      <c r="U145" s="195"/>
    </row>
    <row r="146" spans="2:21" ht="18" customHeight="1" x14ac:dyDescent="0.35">
      <c r="B146" s="204" t="str">
        <f>IF(Lançamentos!$B141="","",Lançamentos!$B141)</f>
        <v/>
      </c>
      <c r="C146" s="205" t="str">
        <f>IF($B146="","",IFERROR(INDEX(Lançamentos!$J$3:$J$1001,MATCH($B146,Lançamentos!$B$3:$B$1001,0)),""))</f>
        <v/>
      </c>
      <c r="D146" s="411" t="str">
        <f>IF($B146="","",IFERROR(INDEX('E2 — Triagem'!$D$8:$D$507,MATCH($B146,'E2 — Triagem'!$B$8:$B$507,0)),""))</f>
        <v/>
      </c>
      <c r="E146" s="193"/>
      <c r="F146" s="193"/>
      <c r="G146" s="193"/>
      <c r="H146" s="193"/>
      <c r="I146" s="193"/>
      <c r="J146" s="193"/>
      <c r="K146" s="207" t="str">
        <f t="shared" si="8"/>
        <v/>
      </c>
      <c r="L146" s="181"/>
      <c r="M146" s="181"/>
      <c r="N146" s="193"/>
      <c r="O146" s="208" t="str">
        <f>IF(B146="","",IF(Lançamentos!D141="","",Lançamentos!D141))</f>
        <v/>
      </c>
      <c r="P146" s="209">
        <v>7</v>
      </c>
      <c r="Q146" s="208" t="str">
        <f t="shared" si="9"/>
        <v/>
      </c>
      <c r="R146" s="210"/>
      <c r="S146" s="211" t="str">
        <f t="shared" ca="1" si="10"/>
        <v/>
      </c>
      <c r="T146" s="206" t="str">
        <f t="shared" ca="1" si="11"/>
        <v/>
      </c>
      <c r="U146" s="195"/>
    </row>
    <row r="147" spans="2:21" ht="18" customHeight="1" x14ac:dyDescent="0.35">
      <c r="B147" s="204" t="str">
        <f>IF(Lançamentos!$B142="","",Lançamentos!$B142)</f>
        <v/>
      </c>
      <c r="C147" s="205" t="str">
        <f>IF($B147="","",IFERROR(INDEX(Lançamentos!$J$3:$J$1001,MATCH($B147,Lançamentos!$B$3:$B$1001,0)),""))</f>
        <v/>
      </c>
      <c r="D147" s="411" t="str">
        <f>IF($B147="","",IFERROR(INDEX('E2 — Triagem'!$D$8:$D$507,MATCH($B147,'E2 — Triagem'!$B$8:$B$507,0)),""))</f>
        <v/>
      </c>
      <c r="E147" s="193"/>
      <c r="F147" s="193"/>
      <c r="G147" s="193"/>
      <c r="H147" s="193"/>
      <c r="I147" s="193"/>
      <c r="J147" s="193"/>
      <c r="K147" s="207" t="str">
        <f t="shared" si="8"/>
        <v/>
      </c>
      <c r="L147" s="181"/>
      <c r="M147" s="181"/>
      <c r="N147" s="193"/>
      <c r="O147" s="208" t="str">
        <f>IF(B147="","",IF(Lançamentos!D142="","",Lançamentos!D142))</f>
        <v/>
      </c>
      <c r="P147" s="209">
        <v>7</v>
      </c>
      <c r="Q147" s="208" t="str">
        <f t="shared" si="9"/>
        <v/>
      </c>
      <c r="R147" s="210"/>
      <c r="S147" s="211" t="str">
        <f t="shared" ca="1" si="10"/>
        <v/>
      </c>
      <c r="T147" s="206" t="str">
        <f t="shared" ca="1" si="11"/>
        <v/>
      </c>
      <c r="U147" s="195"/>
    </row>
    <row r="148" spans="2:21" ht="18" customHeight="1" x14ac:dyDescent="0.35">
      <c r="B148" s="204" t="str">
        <f>IF(Lançamentos!$B143="","",Lançamentos!$B143)</f>
        <v/>
      </c>
      <c r="C148" s="205" t="str">
        <f>IF($B148="","",IFERROR(INDEX(Lançamentos!$J$3:$J$1001,MATCH($B148,Lançamentos!$B$3:$B$1001,0)),""))</f>
        <v/>
      </c>
      <c r="D148" s="411" t="str">
        <f>IF($B148="","",IFERROR(INDEX('E2 — Triagem'!$D$8:$D$507,MATCH($B148,'E2 — Triagem'!$B$8:$B$507,0)),""))</f>
        <v/>
      </c>
      <c r="E148" s="193"/>
      <c r="F148" s="193"/>
      <c r="G148" s="193"/>
      <c r="H148" s="193"/>
      <c r="I148" s="193"/>
      <c r="J148" s="193"/>
      <c r="K148" s="207" t="str">
        <f t="shared" si="8"/>
        <v/>
      </c>
      <c r="L148" s="181"/>
      <c r="M148" s="181"/>
      <c r="N148" s="193"/>
      <c r="O148" s="208" t="str">
        <f>IF(B148="","",IF(Lançamentos!D143="","",Lançamentos!D143))</f>
        <v/>
      </c>
      <c r="P148" s="209">
        <v>7</v>
      </c>
      <c r="Q148" s="208" t="str">
        <f t="shared" si="9"/>
        <v/>
      </c>
      <c r="R148" s="210"/>
      <c r="S148" s="211" t="str">
        <f t="shared" ca="1" si="10"/>
        <v/>
      </c>
      <c r="T148" s="206" t="str">
        <f t="shared" ca="1" si="11"/>
        <v/>
      </c>
      <c r="U148" s="195"/>
    </row>
    <row r="149" spans="2:21" ht="18" customHeight="1" x14ac:dyDescent="0.35">
      <c r="B149" s="204" t="str">
        <f>IF(Lançamentos!$B144="","",Lançamentos!$B144)</f>
        <v/>
      </c>
      <c r="C149" s="205" t="str">
        <f>IF($B149="","",IFERROR(INDEX(Lançamentos!$J$3:$J$1001,MATCH($B149,Lançamentos!$B$3:$B$1001,0)),""))</f>
        <v/>
      </c>
      <c r="D149" s="411" t="str">
        <f>IF($B149="","",IFERROR(INDEX('E2 — Triagem'!$D$8:$D$507,MATCH($B149,'E2 — Triagem'!$B$8:$B$507,0)),""))</f>
        <v/>
      </c>
      <c r="E149" s="193"/>
      <c r="F149" s="193"/>
      <c r="G149" s="193"/>
      <c r="H149" s="193"/>
      <c r="I149" s="193"/>
      <c r="J149" s="193"/>
      <c r="K149" s="207" t="str">
        <f t="shared" si="8"/>
        <v/>
      </c>
      <c r="L149" s="181"/>
      <c r="M149" s="181"/>
      <c r="N149" s="193"/>
      <c r="O149" s="208" t="str">
        <f>IF(B149="","",IF(Lançamentos!D144="","",Lançamentos!D144))</f>
        <v/>
      </c>
      <c r="P149" s="209">
        <v>7</v>
      </c>
      <c r="Q149" s="208" t="str">
        <f t="shared" si="9"/>
        <v/>
      </c>
      <c r="R149" s="210"/>
      <c r="S149" s="211" t="str">
        <f t="shared" ca="1" si="10"/>
        <v/>
      </c>
      <c r="T149" s="206" t="str">
        <f t="shared" ca="1" si="11"/>
        <v/>
      </c>
      <c r="U149" s="195"/>
    </row>
    <row r="150" spans="2:21" ht="18" customHeight="1" x14ac:dyDescent="0.35">
      <c r="B150" s="204" t="str">
        <f>IF(Lançamentos!$B145="","",Lançamentos!$B145)</f>
        <v/>
      </c>
      <c r="C150" s="205" t="str">
        <f>IF($B150="","",IFERROR(INDEX(Lançamentos!$J$3:$J$1001,MATCH($B150,Lançamentos!$B$3:$B$1001,0)),""))</f>
        <v/>
      </c>
      <c r="D150" s="411" t="str">
        <f>IF($B150="","",IFERROR(INDEX('E2 — Triagem'!$D$8:$D$507,MATCH($B150,'E2 — Triagem'!$B$8:$B$507,0)),""))</f>
        <v/>
      </c>
      <c r="E150" s="193"/>
      <c r="F150" s="193"/>
      <c r="G150" s="193"/>
      <c r="H150" s="193"/>
      <c r="I150" s="193"/>
      <c r="J150" s="193"/>
      <c r="K150" s="207" t="str">
        <f t="shared" si="8"/>
        <v/>
      </c>
      <c r="L150" s="181"/>
      <c r="M150" s="181"/>
      <c r="N150" s="193"/>
      <c r="O150" s="208" t="str">
        <f>IF(B150="","",IF(Lançamentos!D145="","",Lançamentos!D145))</f>
        <v/>
      </c>
      <c r="P150" s="209">
        <v>7</v>
      </c>
      <c r="Q150" s="208" t="str">
        <f t="shared" si="9"/>
        <v/>
      </c>
      <c r="R150" s="210"/>
      <c r="S150" s="211" t="str">
        <f t="shared" ca="1" si="10"/>
        <v/>
      </c>
      <c r="T150" s="206" t="str">
        <f t="shared" ca="1" si="11"/>
        <v/>
      </c>
      <c r="U150" s="195"/>
    </row>
    <row r="151" spans="2:21" ht="18" customHeight="1" x14ac:dyDescent="0.35">
      <c r="B151" s="204" t="str">
        <f>IF(Lançamentos!$B146="","",Lançamentos!$B146)</f>
        <v/>
      </c>
      <c r="C151" s="205" t="str">
        <f>IF($B151="","",IFERROR(INDEX(Lançamentos!$J$3:$J$1001,MATCH($B151,Lançamentos!$B$3:$B$1001,0)),""))</f>
        <v/>
      </c>
      <c r="D151" s="411" t="str">
        <f>IF($B151="","",IFERROR(INDEX('E2 — Triagem'!$D$8:$D$507,MATCH($B151,'E2 — Triagem'!$B$8:$B$507,0)),""))</f>
        <v/>
      </c>
      <c r="E151" s="193"/>
      <c r="F151" s="193"/>
      <c r="G151" s="193"/>
      <c r="H151" s="193"/>
      <c r="I151" s="193"/>
      <c r="J151" s="193"/>
      <c r="K151" s="207" t="str">
        <f t="shared" si="8"/>
        <v/>
      </c>
      <c r="L151" s="181"/>
      <c r="M151" s="181"/>
      <c r="N151" s="193"/>
      <c r="O151" s="208" t="str">
        <f>IF(B151="","",IF(Lançamentos!D146="","",Lançamentos!D146))</f>
        <v/>
      </c>
      <c r="P151" s="209">
        <v>7</v>
      </c>
      <c r="Q151" s="208" t="str">
        <f t="shared" si="9"/>
        <v/>
      </c>
      <c r="R151" s="210"/>
      <c r="S151" s="211" t="str">
        <f t="shared" ca="1" si="10"/>
        <v/>
      </c>
      <c r="T151" s="206" t="str">
        <f t="shared" ca="1" si="11"/>
        <v/>
      </c>
      <c r="U151" s="195"/>
    </row>
    <row r="152" spans="2:21" ht="18" customHeight="1" x14ac:dyDescent="0.35">
      <c r="B152" s="204" t="str">
        <f>IF(Lançamentos!$B147="","",Lançamentos!$B147)</f>
        <v/>
      </c>
      <c r="C152" s="205" t="str">
        <f>IF($B152="","",IFERROR(INDEX(Lançamentos!$J$3:$J$1001,MATCH($B152,Lançamentos!$B$3:$B$1001,0)),""))</f>
        <v/>
      </c>
      <c r="D152" s="411" t="str">
        <f>IF($B152="","",IFERROR(INDEX('E2 — Triagem'!$D$8:$D$507,MATCH($B152,'E2 — Triagem'!$B$8:$B$507,0)),""))</f>
        <v/>
      </c>
      <c r="E152" s="193"/>
      <c r="F152" s="193"/>
      <c r="G152" s="193"/>
      <c r="H152" s="193"/>
      <c r="I152" s="193"/>
      <c r="J152" s="193"/>
      <c r="K152" s="207" t="str">
        <f t="shared" si="8"/>
        <v/>
      </c>
      <c r="L152" s="181"/>
      <c r="M152" s="181"/>
      <c r="N152" s="193"/>
      <c r="O152" s="208" t="str">
        <f>IF(B152="","",IF(Lançamentos!D147="","",Lançamentos!D147))</f>
        <v/>
      </c>
      <c r="P152" s="209">
        <v>7</v>
      </c>
      <c r="Q152" s="208" t="str">
        <f t="shared" si="9"/>
        <v/>
      </c>
      <c r="R152" s="210"/>
      <c r="S152" s="211" t="str">
        <f t="shared" ca="1" si="10"/>
        <v/>
      </c>
      <c r="T152" s="206" t="str">
        <f t="shared" ca="1" si="11"/>
        <v/>
      </c>
      <c r="U152" s="195"/>
    </row>
    <row r="153" spans="2:21" ht="18" customHeight="1" x14ac:dyDescent="0.35">
      <c r="B153" s="204" t="str">
        <f>IF(Lançamentos!$B148="","",Lançamentos!$B148)</f>
        <v/>
      </c>
      <c r="C153" s="205" t="str">
        <f>IF($B153="","",IFERROR(INDEX(Lançamentos!$J$3:$J$1001,MATCH($B153,Lançamentos!$B$3:$B$1001,0)),""))</f>
        <v/>
      </c>
      <c r="D153" s="411" t="str">
        <f>IF($B153="","",IFERROR(INDEX('E2 — Triagem'!$D$8:$D$507,MATCH($B153,'E2 — Triagem'!$B$8:$B$507,0)),""))</f>
        <v/>
      </c>
      <c r="E153" s="193"/>
      <c r="F153" s="193"/>
      <c r="G153" s="193"/>
      <c r="H153" s="193"/>
      <c r="I153" s="193"/>
      <c r="J153" s="193"/>
      <c r="K153" s="207" t="str">
        <f t="shared" si="8"/>
        <v/>
      </c>
      <c r="L153" s="181"/>
      <c r="M153" s="181"/>
      <c r="N153" s="193"/>
      <c r="O153" s="208" t="str">
        <f>IF(B153="","",IF(Lançamentos!D148="","",Lançamentos!D148))</f>
        <v/>
      </c>
      <c r="P153" s="209">
        <v>7</v>
      </c>
      <c r="Q153" s="208" t="str">
        <f t="shared" si="9"/>
        <v/>
      </c>
      <c r="R153" s="210"/>
      <c r="S153" s="211" t="str">
        <f t="shared" ca="1" si="10"/>
        <v/>
      </c>
      <c r="T153" s="206" t="str">
        <f t="shared" ca="1" si="11"/>
        <v/>
      </c>
      <c r="U153" s="195"/>
    </row>
    <row r="154" spans="2:21" ht="18" customHeight="1" x14ac:dyDescent="0.35">
      <c r="B154" s="204" t="str">
        <f>IF(Lançamentos!$B149="","",Lançamentos!$B149)</f>
        <v/>
      </c>
      <c r="C154" s="205" t="str">
        <f>IF($B154="","",IFERROR(INDEX(Lançamentos!$J$3:$J$1001,MATCH($B154,Lançamentos!$B$3:$B$1001,0)),""))</f>
        <v/>
      </c>
      <c r="D154" s="411" t="str">
        <f>IF($B154="","",IFERROR(INDEX('E2 — Triagem'!$D$8:$D$507,MATCH($B154,'E2 — Triagem'!$B$8:$B$507,0)),""))</f>
        <v/>
      </c>
      <c r="E154" s="193"/>
      <c r="F154" s="193"/>
      <c r="G154" s="193"/>
      <c r="H154" s="193"/>
      <c r="I154" s="193"/>
      <c r="J154" s="193"/>
      <c r="K154" s="207" t="str">
        <f t="shared" si="8"/>
        <v/>
      </c>
      <c r="L154" s="181"/>
      <c r="M154" s="181"/>
      <c r="N154" s="193"/>
      <c r="O154" s="208" t="str">
        <f>IF(B154="","",IF(Lançamentos!D149="","",Lançamentos!D149))</f>
        <v/>
      </c>
      <c r="P154" s="209">
        <v>7</v>
      </c>
      <c r="Q154" s="208" t="str">
        <f t="shared" si="9"/>
        <v/>
      </c>
      <c r="R154" s="210"/>
      <c r="S154" s="211" t="str">
        <f t="shared" ca="1" si="10"/>
        <v/>
      </c>
      <c r="T154" s="206" t="str">
        <f t="shared" ca="1" si="11"/>
        <v/>
      </c>
      <c r="U154" s="195"/>
    </row>
    <row r="155" spans="2:21" ht="18" customHeight="1" x14ac:dyDescent="0.35">
      <c r="B155" s="204" t="str">
        <f>IF(Lançamentos!$B150="","",Lançamentos!$B150)</f>
        <v/>
      </c>
      <c r="C155" s="205" t="str">
        <f>IF($B155="","",IFERROR(INDEX(Lançamentos!$J$3:$J$1001,MATCH($B155,Lançamentos!$B$3:$B$1001,0)),""))</f>
        <v/>
      </c>
      <c r="D155" s="411" t="str">
        <f>IF($B155="","",IFERROR(INDEX('E2 — Triagem'!$D$8:$D$507,MATCH($B155,'E2 — Triagem'!$B$8:$B$507,0)),""))</f>
        <v/>
      </c>
      <c r="E155" s="193"/>
      <c r="F155" s="193"/>
      <c r="G155" s="193"/>
      <c r="H155" s="193"/>
      <c r="I155" s="193"/>
      <c r="J155" s="193"/>
      <c r="K155" s="207" t="str">
        <f t="shared" si="8"/>
        <v/>
      </c>
      <c r="L155" s="181"/>
      <c r="M155" s="181"/>
      <c r="N155" s="193"/>
      <c r="O155" s="208" t="str">
        <f>IF(B155="","",IF(Lançamentos!D150="","",Lançamentos!D150))</f>
        <v/>
      </c>
      <c r="P155" s="209">
        <v>7</v>
      </c>
      <c r="Q155" s="208" t="str">
        <f t="shared" si="9"/>
        <v/>
      </c>
      <c r="R155" s="210"/>
      <c r="S155" s="211" t="str">
        <f t="shared" ca="1" si="10"/>
        <v/>
      </c>
      <c r="T155" s="206" t="str">
        <f t="shared" ca="1" si="11"/>
        <v/>
      </c>
      <c r="U155" s="195"/>
    </row>
    <row r="156" spans="2:21" ht="18" customHeight="1" x14ac:dyDescent="0.35">
      <c r="B156" s="204" t="str">
        <f>IF(Lançamentos!$B151="","",Lançamentos!$B151)</f>
        <v/>
      </c>
      <c r="C156" s="205" t="str">
        <f>IF($B156="","",IFERROR(INDEX(Lançamentos!$J$3:$J$1001,MATCH($B156,Lançamentos!$B$3:$B$1001,0)),""))</f>
        <v/>
      </c>
      <c r="D156" s="411" t="str">
        <f>IF($B156="","",IFERROR(INDEX('E2 — Triagem'!$D$8:$D$507,MATCH($B156,'E2 — Triagem'!$B$8:$B$507,0)),""))</f>
        <v/>
      </c>
      <c r="E156" s="193"/>
      <c r="F156" s="193"/>
      <c r="G156" s="193"/>
      <c r="H156" s="193"/>
      <c r="I156" s="193"/>
      <c r="J156" s="193"/>
      <c r="K156" s="207" t="str">
        <f t="shared" si="8"/>
        <v/>
      </c>
      <c r="L156" s="181"/>
      <c r="M156" s="181"/>
      <c r="N156" s="193"/>
      <c r="O156" s="208" t="str">
        <f>IF(B156="","",IF(Lançamentos!D151="","",Lançamentos!D151))</f>
        <v/>
      </c>
      <c r="P156" s="209">
        <v>7</v>
      </c>
      <c r="Q156" s="208" t="str">
        <f t="shared" si="9"/>
        <v/>
      </c>
      <c r="R156" s="210"/>
      <c r="S156" s="211" t="str">
        <f t="shared" ca="1" si="10"/>
        <v/>
      </c>
      <c r="T156" s="206" t="str">
        <f t="shared" ca="1" si="11"/>
        <v/>
      </c>
      <c r="U156" s="195"/>
    </row>
    <row r="157" spans="2:21" ht="18" customHeight="1" x14ac:dyDescent="0.35">
      <c r="B157" s="204" t="str">
        <f>IF(Lançamentos!$B152="","",Lançamentos!$B152)</f>
        <v/>
      </c>
      <c r="C157" s="205" t="str">
        <f>IF($B157="","",IFERROR(INDEX(Lançamentos!$J$3:$J$1001,MATCH($B157,Lançamentos!$B$3:$B$1001,0)),""))</f>
        <v/>
      </c>
      <c r="D157" s="411" t="str">
        <f>IF($B157="","",IFERROR(INDEX('E2 — Triagem'!$D$8:$D$507,MATCH($B157,'E2 — Triagem'!$B$8:$B$507,0)),""))</f>
        <v/>
      </c>
      <c r="E157" s="193"/>
      <c r="F157" s="193"/>
      <c r="G157" s="193"/>
      <c r="H157" s="193"/>
      <c r="I157" s="193"/>
      <c r="J157" s="193"/>
      <c r="K157" s="207" t="str">
        <f t="shared" si="8"/>
        <v/>
      </c>
      <c r="L157" s="181"/>
      <c r="M157" s="181"/>
      <c r="N157" s="193"/>
      <c r="O157" s="208" t="str">
        <f>IF(B157="","",IF(Lançamentos!D152="","",Lançamentos!D152))</f>
        <v/>
      </c>
      <c r="P157" s="209">
        <v>7</v>
      </c>
      <c r="Q157" s="208" t="str">
        <f t="shared" si="9"/>
        <v/>
      </c>
      <c r="R157" s="210"/>
      <c r="S157" s="211" t="str">
        <f t="shared" ca="1" si="10"/>
        <v/>
      </c>
      <c r="T157" s="206" t="str">
        <f t="shared" ca="1" si="11"/>
        <v/>
      </c>
      <c r="U157" s="195"/>
    </row>
    <row r="158" spans="2:21" ht="18" customHeight="1" x14ac:dyDescent="0.35">
      <c r="B158" s="204" t="str">
        <f>IF(Lançamentos!$B153="","",Lançamentos!$B153)</f>
        <v/>
      </c>
      <c r="C158" s="205" t="str">
        <f>IF($B158="","",IFERROR(INDEX(Lançamentos!$J$3:$J$1001,MATCH($B158,Lançamentos!$B$3:$B$1001,0)),""))</f>
        <v/>
      </c>
      <c r="D158" s="411" t="str">
        <f>IF($B158="","",IFERROR(INDEX('E2 — Triagem'!$D$8:$D$507,MATCH($B158,'E2 — Triagem'!$B$8:$B$507,0)),""))</f>
        <v/>
      </c>
      <c r="E158" s="193"/>
      <c r="F158" s="193"/>
      <c r="G158" s="193"/>
      <c r="H158" s="193"/>
      <c r="I158" s="193"/>
      <c r="J158" s="193"/>
      <c r="K158" s="207" t="str">
        <f t="shared" si="8"/>
        <v/>
      </c>
      <c r="L158" s="181"/>
      <c r="M158" s="181"/>
      <c r="N158" s="193"/>
      <c r="O158" s="208" t="str">
        <f>IF(B158="","",IF(Lançamentos!D153="","",Lançamentos!D153))</f>
        <v/>
      </c>
      <c r="P158" s="209">
        <v>7</v>
      </c>
      <c r="Q158" s="208" t="str">
        <f t="shared" si="9"/>
        <v/>
      </c>
      <c r="R158" s="210"/>
      <c r="S158" s="211" t="str">
        <f t="shared" ca="1" si="10"/>
        <v/>
      </c>
      <c r="T158" s="206" t="str">
        <f t="shared" ca="1" si="11"/>
        <v/>
      </c>
      <c r="U158" s="195"/>
    </row>
    <row r="159" spans="2:21" ht="18" customHeight="1" x14ac:dyDescent="0.35">
      <c r="B159" s="204" t="str">
        <f>IF(Lançamentos!$B154="","",Lançamentos!$B154)</f>
        <v/>
      </c>
      <c r="C159" s="205" t="str">
        <f>IF($B159="","",IFERROR(INDEX(Lançamentos!$J$3:$J$1001,MATCH($B159,Lançamentos!$B$3:$B$1001,0)),""))</f>
        <v/>
      </c>
      <c r="D159" s="411" t="str">
        <f>IF($B159="","",IFERROR(INDEX('E2 — Triagem'!$D$8:$D$507,MATCH($B159,'E2 — Triagem'!$B$8:$B$507,0)),""))</f>
        <v/>
      </c>
      <c r="E159" s="193"/>
      <c r="F159" s="193"/>
      <c r="G159" s="193"/>
      <c r="H159" s="193"/>
      <c r="I159" s="193"/>
      <c r="J159" s="193"/>
      <c r="K159" s="207" t="str">
        <f t="shared" si="8"/>
        <v/>
      </c>
      <c r="L159" s="181"/>
      <c r="M159" s="181"/>
      <c r="N159" s="193"/>
      <c r="O159" s="208" t="str">
        <f>IF(B159="","",IF(Lançamentos!D154="","",Lançamentos!D154))</f>
        <v/>
      </c>
      <c r="P159" s="209">
        <v>7</v>
      </c>
      <c r="Q159" s="208" t="str">
        <f t="shared" si="9"/>
        <v/>
      </c>
      <c r="R159" s="210"/>
      <c r="S159" s="211" t="str">
        <f t="shared" ca="1" si="10"/>
        <v/>
      </c>
      <c r="T159" s="206" t="str">
        <f t="shared" ca="1" si="11"/>
        <v/>
      </c>
      <c r="U159" s="195"/>
    </row>
    <row r="160" spans="2:21" ht="18" customHeight="1" x14ac:dyDescent="0.35">
      <c r="B160" s="204" t="str">
        <f>IF(Lançamentos!$B155="","",Lançamentos!$B155)</f>
        <v/>
      </c>
      <c r="C160" s="205" t="str">
        <f>IF($B160="","",IFERROR(INDEX(Lançamentos!$J$3:$J$1001,MATCH($B160,Lançamentos!$B$3:$B$1001,0)),""))</f>
        <v/>
      </c>
      <c r="D160" s="411" t="str">
        <f>IF($B160="","",IFERROR(INDEX('E2 — Triagem'!$D$8:$D$507,MATCH($B160,'E2 — Triagem'!$B$8:$B$507,0)),""))</f>
        <v/>
      </c>
      <c r="E160" s="193"/>
      <c r="F160" s="193"/>
      <c r="G160" s="193"/>
      <c r="H160" s="193"/>
      <c r="I160" s="193"/>
      <c r="J160" s="193"/>
      <c r="K160" s="207" t="str">
        <f t="shared" si="8"/>
        <v/>
      </c>
      <c r="L160" s="181"/>
      <c r="M160" s="181"/>
      <c r="N160" s="193"/>
      <c r="O160" s="208" t="str">
        <f>IF(B160="","",IF(Lançamentos!D155="","",Lançamentos!D155))</f>
        <v/>
      </c>
      <c r="P160" s="209">
        <v>7</v>
      </c>
      <c r="Q160" s="208" t="str">
        <f t="shared" si="9"/>
        <v/>
      </c>
      <c r="R160" s="210"/>
      <c r="S160" s="211" t="str">
        <f t="shared" ca="1" si="10"/>
        <v/>
      </c>
      <c r="T160" s="206" t="str">
        <f t="shared" ca="1" si="11"/>
        <v/>
      </c>
      <c r="U160" s="195"/>
    </row>
    <row r="161" spans="2:21" ht="18" customHeight="1" x14ac:dyDescent="0.35">
      <c r="B161" s="204" t="str">
        <f>IF(Lançamentos!$B156="","",Lançamentos!$B156)</f>
        <v/>
      </c>
      <c r="C161" s="205" t="str">
        <f>IF($B161="","",IFERROR(INDEX(Lançamentos!$J$3:$J$1001,MATCH($B161,Lançamentos!$B$3:$B$1001,0)),""))</f>
        <v/>
      </c>
      <c r="D161" s="411" t="str">
        <f>IF($B161="","",IFERROR(INDEX('E2 — Triagem'!$D$8:$D$507,MATCH($B161,'E2 — Triagem'!$B$8:$B$507,0)),""))</f>
        <v/>
      </c>
      <c r="E161" s="193"/>
      <c r="F161" s="193"/>
      <c r="G161" s="193"/>
      <c r="H161" s="193"/>
      <c r="I161" s="193"/>
      <c r="J161" s="193"/>
      <c r="K161" s="207" t="str">
        <f t="shared" si="8"/>
        <v/>
      </c>
      <c r="L161" s="181"/>
      <c r="M161" s="181"/>
      <c r="N161" s="193"/>
      <c r="O161" s="208" t="str">
        <f>IF(B161="","",IF(Lançamentos!D156="","",Lançamentos!D156))</f>
        <v/>
      </c>
      <c r="P161" s="209">
        <v>7</v>
      </c>
      <c r="Q161" s="208" t="str">
        <f t="shared" si="9"/>
        <v/>
      </c>
      <c r="R161" s="210"/>
      <c r="S161" s="211" t="str">
        <f t="shared" ca="1" si="10"/>
        <v/>
      </c>
      <c r="T161" s="206" t="str">
        <f t="shared" ca="1" si="11"/>
        <v/>
      </c>
      <c r="U161" s="195"/>
    </row>
    <row r="162" spans="2:21" ht="18" customHeight="1" x14ac:dyDescent="0.35">
      <c r="B162" s="204" t="str">
        <f>IF(Lançamentos!$B157="","",Lançamentos!$B157)</f>
        <v/>
      </c>
      <c r="C162" s="205" t="str">
        <f>IF($B162="","",IFERROR(INDEX(Lançamentos!$J$3:$J$1001,MATCH($B162,Lançamentos!$B$3:$B$1001,0)),""))</f>
        <v/>
      </c>
      <c r="D162" s="411" t="str">
        <f>IF($B162="","",IFERROR(INDEX('E2 — Triagem'!$D$8:$D$507,MATCH($B162,'E2 — Triagem'!$B$8:$B$507,0)),""))</f>
        <v/>
      </c>
      <c r="E162" s="193"/>
      <c r="F162" s="193"/>
      <c r="G162" s="193"/>
      <c r="H162" s="193"/>
      <c r="I162" s="193"/>
      <c r="J162" s="193"/>
      <c r="K162" s="207" t="str">
        <f t="shared" si="8"/>
        <v/>
      </c>
      <c r="L162" s="181"/>
      <c r="M162" s="181"/>
      <c r="N162" s="193"/>
      <c r="O162" s="208" t="str">
        <f>IF(B162="","",IF(Lançamentos!D157="","",Lançamentos!D157))</f>
        <v/>
      </c>
      <c r="P162" s="209">
        <v>7</v>
      </c>
      <c r="Q162" s="208" t="str">
        <f t="shared" si="9"/>
        <v/>
      </c>
      <c r="R162" s="210"/>
      <c r="S162" s="211" t="str">
        <f t="shared" ca="1" si="10"/>
        <v/>
      </c>
      <c r="T162" s="206" t="str">
        <f t="shared" ca="1" si="11"/>
        <v/>
      </c>
      <c r="U162" s="195"/>
    </row>
    <row r="163" spans="2:21" ht="18" customHeight="1" x14ac:dyDescent="0.35">
      <c r="B163" s="204" t="str">
        <f>IF(Lançamentos!$B158="","",Lançamentos!$B158)</f>
        <v/>
      </c>
      <c r="C163" s="205" t="str">
        <f>IF($B163="","",IFERROR(INDEX(Lançamentos!$J$3:$J$1001,MATCH($B163,Lançamentos!$B$3:$B$1001,0)),""))</f>
        <v/>
      </c>
      <c r="D163" s="411" t="str">
        <f>IF($B163="","",IFERROR(INDEX('E2 — Triagem'!$D$8:$D$507,MATCH($B163,'E2 — Triagem'!$B$8:$B$507,0)),""))</f>
        <v/>
      </c>
      <c r="E163" s="193"/>
      <c r="F163" s="193"/>
      <c r="G163" s="193"/>
      <c r="H163" s="193"/>
      <c r="I163" s="193"/>
      <c r="J163" s="193"/>
      <c r="K163" s="207" t="str">
        <f t="shared" si="8"/>
        <v/>
      </c>
      <c r="L163" s="181"/>
      <c r="M163" s="181"/>
      <c r="N163" s="193"/>
      <c r="O163" s="208" t="str">
        <f>IF(B163="","",IF(Lançamentos!D158="","",Lançamentos!D158))</f>
        <v/>
      </c>
      <c r="P163" s="209">
        <v>7</v>
      </c>
      <c r="Q163" s="208" t="str">
        <f t="shared" si="9"/>
        <v/>
      </c>
      <c r="R163" s="210"/>
      <c r="S163" s="211" t="str">
        <f t="shared" ca="1" si="10"/>
        <v/>
      </c>
      <c r="T163" s="206" t="str">
        <f t="shared" ca="1" si="11"/>
        <v/>
      </c>
      <c r="U163" s="195"/>
    </row>
    <row r="164" spans="2:21" ht="18" customHeight="1" x14ac:dyDescent="0.35">
      <c r="B164" s="204" t="str">
        <f>IF(Lançamentos!$B159="","",Lançamentos!$B159)</f>
        <v/>
      </c>
      <c r="C164" s="205" t="str">
        <f>IF($B164="","",IFERROR(INDEX(Lançamentos!$J$3:$J$1001,MATCH($B164,Lançamentos!$B$3:$B$1001,0)),""))</f>
        <v/>
      </c>
      <c r="D164" s="411" t="str">
        <f>IF($B164="","",IFERROR(INDEX('E2 — Triagem'!$D$8:$D$507,MATCH($B164,'E2 — Triagem'!$B$8:$B$507,0)),""))</f>
        <v/>
      </c>
      <c r="E164" s="193"/>
      <c r="F164" s="193"/>
      <c r="G164" s="193"/>
      <c r="H164" s="193"/>
      <c r="I164" s="193"/>
      <c r="J164" s="193"/>
      <c r="K164" s="207" t="str">
        <f t="shared" si="8"/>
        <v/>
      </c>
      <c r="L164" s="181"/>
      <c r="M164" s="181"/>
      <c r="N164" s="193"/>
      <c r="O164" s="208" t="str">
        <f>IF(B164="","",IF(Lançamentos!D159="","",Lançamentos!D159))</f>
        <v/>
      </c>
      <c r="P164" s="209">
        <v>7</v>
      </c>
      <c r="Q164" s="208" t="str">
        <f t="shared" si="9"/>
        <v/>
      </c>
      <c r="R164" s="210"/>
      <c r="S164" s="211" t="str">
        <f t="shared" ca="1" si="10"/>
        <v/>
      </c>
      <c r="T164" s="206" t="str">
        <f t="shared" ca="1" si="11"/>
        <v/>
      </c>
      <c r="U164" s="195"/>
    </row>
    <row r="165" spans="2:21" ht="18" customHeight="1" x14ac:dyDescent="0.35">
      <c r="B165" s="204" t="str">
        <f>IF(Lançamentos!$B160="","",Lançamentos!$B160)</f>
        <v/>
      </c>
      <c r="C165" s="205" t="str">
        <f>IF($B165="","",IFERROR(INDEX(Lançamentos!$J$3:$J$1001,MATCH($B165,Lançamentos!$B$3:$B$1001,0)),""))</f>
        <v/>
      </c>
      <c r="D165" s="411" t="str">
        <f>IF($B165="","",IFERROR(INDEX('E2 — Triagem'!$D$8:$D$507,MATCH($B165,'E2 — Triagem'!$B$8:$B$507,0)),""))</f>
        <v/>
      </c>
      <c r="E165" s="193"/>
      <c r="F165" s="193"/>
      <c r="G165" s="193"/>
      <c r="H165" s="193"/>
      <c r="I165" s="193"/>
      <c r="J165" s="193"/>
      <c r="K165" s="207" t="str">
        <f t="shared" si="8"/>
        <v/>
      </c>
      <c r="L165" s="181"/>
      <c r="M165" s="181"/>
      <c r="N165" s="193"/>
      <c r="O165" s="208" t="str">
        <f>IF(B165="","",IF(Lançamentos!D160="","",Lançamentos!D160))</f>
        <v/>
      </c>
      <c r="P165" s="209">
        <v>7</v>
      </c>
      <c r="Q165" s="208" t="str">
        <f t="shared" si="9"/>
        <v/>
      </c>
      <c r="R165" s="210"/>
      <c r="S165" s="211" t="str">
        <f t="shared" ca="1" si="10"/>
        <v/>
      </c>
      <c r="T165" s="206" t="str">
        <f t="shared" ca="1" si="11"/>
        <v/>
      </c>
      <c r="U165" s="195"/>
    </row>
    <row r="166" spans="2:21" ht="18" customHeight="1" x14ac:dyDescent="0.35">
      <c r="B166" s="204" t="str">
        <f>IF(Lançamentos!$B161="","",Lançamentos!$B161)</f>
        <v/>
      </c>
      <c r="C166" s="205" t="str">
        <f>IF($B166="","",IFERROR(INDEX(Lançamentos!$J$3:$J$1001,MATCH($B166,Lançamentos!$B$3:$B$1001,0)),""))</f>
        <v/>
      </c>
      <c r="D166" s="411" t="str">
        <f>IF($B166="","",IFERROR(INDEX('E2 — Triagem'!$D$8:$D$507,MATCH($B166,'E2 — Triagem'!$B$8:$B$507,0)),""))</f>
        <v/>
      </c>
      <c r="E166" s="193"/>
      <c r="F166" s="193"/>
      <c r="G166" s="193"/>
      <c r="H166" s="193"/>
      <c r="I166" s="193"/>
      <c r="J166" s="193"/>
      <c r="K166" s="207" t="str">
        <f t="shared" si="8"/>
        <v/>
      </c>
      <c r="L166" s="181"/>
      <c r="M166" s="181"/>
      <c r="N166" s="193"/>
      <c r="O166" s="208" t="str">
        <f>IF(B166="","",IF(Lançamentos!D161="","",Lançamentos!D161))</f>
        <v/>
      </c>
      <c r="P166" s="209">
        <v>7</v>
      </c>
      <c r="Q166" s="208" t="str">
        <f t="shared" si="9"/>
        <v/>
      </c>
      <c r="R166" s="210"/>
      <c r="S166" s="211" t="str">
        <f t="shared" ca="1" si="10"/>
        <v/>
      </c>
      <c r="T166" s="206" t="str">
        <f t="shared" ca="1" si="11"/>
        <v/>
      </c>
      <c r="U166" s="195"/>
    </row>
    <row r="167" spans="2:21" ht="18" customHeight="1" x14ac:dyDescent="0.35">
      <c r="B167" s="204" t="str">
        <f>IF(Lançamentos!$B162="","",Lançamentos!$B162)</f>
        <v/>
      </c>
      <c r="C167" s="205" t="str">
        <f>IF($B167="","",IFERROR(INDEX(Lançamentos!$J$3:$J$1001,MATCH($B167,Lançamentos!$B$3:$B$1001,0)),""))</f>
        <v/>
      </c>
      <c r="D167" s="411" t="str">
        <f>IF($B167="","",IFERROR(INDEX('E2 — Triagem'!$D$8:$D$507,MATCH($B167,'E2 — Triagem'!$B$8:$B$507,0)),""))</f>
        <v/>
      </c>
      <c r="E167" s="193"/>
      <c r="F167" s="193"/>
      <c r="G167" s="193"/>
      <c r="H167" s="193"/>
      <c r="I167" s="193"/>
      <c r="J167" s="193"/>
      <c r="K167" s="207" t="str">
        <f t="shared" si="8"/>
        <v/>
      </c>
      <c r="L167" s="181"/>
      <c r="M167" s="181"/>
      <c r="N167" s="193"/>
      <c r="O167" s="208" t="str">
        <f>IF(B167="","",IF(Lançamentos!D162="","",Lançamentos!D162))</f>
        <v/>
      </c>
      <c r="P167" s="209">
        <v>7</v>
      </c>
      <c r="Q167" s="208" t="str">
        <f t="shared" si="9"/>
        <v/>
      </c>
      <c r="R167" s="210"/>
      <c r="S167" s="211" t="str">
        <f t="shared" ca="1" si="10"/>
        <v/>
      </c>
      <c r="T167" s="206" t="str">
        <f t="shared" ca="1" si="11"/>
        <v/>
      </c>
      <c r="U167" s="195"/>
    </row>
    <row r="168" spans="2:21" ht="18" customHeight="1" x14ac:dyDescent="0.35">
      <c r="B168" s="204" t="str">
        <f>IF(Lançamentos!$B163="","",Lançamentos!$B163)</f>
        <v/>
      </c>
      <c r="C168" s="205" t="str">
        <f>IF($B168="","",IFERROR(INDEX(Lançamentos!$J$3:$J$1001,MATCH($B168,Lançamentos!$B$3:$B$1001,0)),""))</f>
        <v/>
      </c>
      <c r="D168" s="411" t="str">
        <f>IF($B168="","",IFERROR(INDEX('E2 — Triagem'!$D$8:$D$507,MATCH($B168,'E2 — Triagem'!$B$8:$B$507,0)),""))</f>
        <v/>
      </c>
      <c r="E168" s="193"/>
      <c r="F168" s="193"/>
      <c r="G168" s="193"/>
      <c r="H168" s="193"/>
      <c r="I168" s="193"/>
      <c r="J168" s="193"/>
      <c r="K168" s="207" t="str">
        <f t="shared" si="8"/>
        <v/>
      </c>
      <c r="L168" s="181"/>
      <c r="M168" s="181"/>
      <c r="N168" s="193"/>
      <c r="O168" s="208" t="str">
        <f>IF(B168="","",IF(Lançamentos!D163="","",Lançamentos!D163))</f>
        <v/>
      </c>
      <c r="P168" s="209">
        <v>7</v>
      </c>
      <c r="Q168" s="208" t="str">
        <f t="shared" si="9"/>
        <v/>
      </c>
      <c r="R168" s="210"/>
      <c r="S168" s="211" t="str">
        <f t="shared" ca="1" si="10"/>
        <v/>
      </c>
      <c r="T168" s="206" t="str">
        <f t="shared" ca="1" si="11"/>
        <v/>
      </c>
      <c r="U168" s="195"/>
    </row>
    <row r="169" spans="2:21" ht="18" customHeight="1" x14ac:dyDescent="0.35">
      <c r="B169" s="204" t="str">
        <f>IF(Lançamentos!$B164="","",Lançamentos!$B164)</f>
        <v/>
      </c>
      <c r="C169" s="205" t="str">
        <f>IF($B169="","",IFERROR(INDEX(Lançamentos!$J$3:$J$1001,MATCH($B169,Lançamentos!$B$3:$B$1001,0)),""))</f>
        <v/>
      </c>
      <c r="D169" s="411" t="str">
        <f>IF($B169="","",IFERROR(INDEX('E2 — Triagem'!$D$8:$D$507,MATCH($B169,'E2 — Triagem'!$B$8:$B$507,0)),""))</f>
        <v/>
      </c>
      <c r="E169" s="193"/>
      <c r="F169" s="193"/>
      <c r="G169" s="193"/>
      <c r="H169" s="193"/>
      <c r="I169" s="193"/>
      <c r="J169" s="193"/>
      <c r="K169" s="207" t="str">
        <f t="shared" si="8"/>
        <v/>
      </c>
      <c r="L169" s="181"/>
      <c r="M169" s="181"/>
      <c r="N169" s="193"/>
      <c r="O169" s="208" t="str">
        <f>IF(B169="","",IF(Lançamentos!D164="","",Lançamentos!D164))</f>
        <v/>
      </c>
      <c r="P169" s="209">
        <v>7</v>
      </c>
      <c r="Q169" s="208" t="str">
        <f t="shared" si="9"/>
        <v/>
      </c>
      <c r="R169" s="210"/>
      <c r="S169" s="211" t="str">
        <f t="shared" ca="1" si="10"/>
        <v/>
      </c>
      <c r="T169" s="206" t="str">
        <f t="shared" ca="1" si="11"/>
        <v/>
      </c>
      <c r="U169" s="195"/>
    </row>
    <row r="170" spans="2:21" ht="18" customHeight="1" x14ac:dyDescent="0.35">
      <c r="B170" s="204" t="str">
        <f>IF(Lançamentos!$B165="","",Lançamentos!$B165)</f>
        <v/>
      </c>
      <c r="C170" s="205" t="str">
        <f>IF($B170="","",IFERROR(INDEX(Lançamentos!$J$3:$J$1001,MATCH($B170,Lançamentos!$B$3:$B$1001,0)),""))</f>
        <v/>
      </c>
      <c r="D170" s="411" t="str">
        <f>IF($B170="","",IFERROR(INDEX('E2 — Triagem'!$D$8:$D$507,MATCH($B170,'E2 — Triagem'!$B$8:$B$507,0)),""))</f>
        <v/>
      </c>
      <c r="E170" s="193"/>
      <c r="F170" s="193"/>
      <c r="G170" s="193"/>
      <c r="H170" s="193"/>
      <c r="I170" s="193"/>
      <c r="J170" s="193"/>
      <c r="K170" s="207" t="str">
        <f t="shared" si="8"/>
        <v/>
      </c>
      <c r="L170" s="181"/>
      <c r="M170" s="181"/>
      <c r="N170" s="193"/>
      <c r="O170" s="208" t="str">
        <f>IF(B170="","",IF(Lançamentos!D165="","",Lançamentos!D165))</f>
        <v/>
      </c>
      <c r="P170" s="209">
        <v>7</v>
      </c>
      <c r="Q170" s="208" t="str">
        <f t="shared" si="9"/>
        <v/>
      </c>
      <c r="R170" s="210"/>
      <c r="S170" s="211" t="str">
        <f t="shared" ca="1" si="10"/>
        <v/>
      </c>
      <c r="T170" s="206" t="str">
        <f t="shared" ca="1" si="11"/>
        <v/>
      </c>
      <c r="U170" s="195"/>
    </row>
    <row r="171" spans="2:21" ht="18" customHeight="1" x14ac:dyDescent="0.35">
      <c r="B171" s="204" t="str">
        <f>IF(Lançamentos!$B166="","",Lançamentos!$B166)</f>
        <v/>
      </c>
      <c r="C171" s="205" t="str">
        <f>IF($B171="","",IFERROR(INDEX(Lançamentos!$J$3:$J$1001,MATCH($B171,Lançamentos!$B$3:$B$1001,0)),""))</f>
        <v/>
      </c>
      <c r="D171" s="411" t="str">
        <f>IF($B171="","",IFERROR(INDEX('E2 — Triagem'!$D$8:$D$507,MATCH($B171,'E2 — Triagem'!$B$8:$B$507,0)),""))</f>
        <v/>
      </c>
      <c r="E171" s="193"/>
      <c r="F171" s="193"/>
      <c r="G171" s="193"/>
      <c r="H171" s="193"/>
      <c r="I171" s="193"/>
      <c r="J171" s="193"/>
      <c r="K171" s="207" t="str">
        <f t="shared" si="8"/>
        <v/>
      </c>
      <c r="L171" s="181"/>
      <c r="M171" s="181"/>
      <c r="N171" s="193"/>
      <c r="O171" s="208" t="str">
        <f>IF(B171="","",IF(Lançamentos!D166="","",Lançamentos!D166))</f>
        <v/>
      </c>
      <c r="P171" s="209">
        <v>7</v>
      </c>
      <c r="Q171" s="208" t="str">
        <f t="shared" si="9"/>
        <v/>
      </c>
      <c r="R171" s="210"/>
      <c r="S171" s="211" t="str">
        <f t="shared" ca="1" si="10"/>
        <v/>
      </c>
      <c r="T171" s="206" t="str">
        <f t="shared" ca="1" si="11"/>
        <v/>
      </c>
      <c r="U171" s="195"/>
    </row>
    <row r="172" spans="2:21" ht="18" customHeight="1" x14ac:dyDescent="0.35">
      <c r="B172" s="204" t="str">
        <f>IF(Lançamentos!$B167="","",Lançamentos!$B167)</f>
        <v/>
      </c>
      <c r="C172" s="205" t="str">
        <f>IF($B172="","",IFERROR(INDEX(Lançamentos!$J$3:$J$1001,MATCH($B172,Lançamentos!$B$3:$B$1001,0)),""))</f>
        <v/>
      </c>
      <c r="D172" s="411" t="str">
        <f>IF($B172="","",IFERROR(INDEX('E2 — Triagem'!$D$8:$D$507,MATCH($B172,'E2 — Triagem'!$B$8:$B$507,0)),""))</f>
        <v/>
      </c>
      <c r="E172" s="193"/>
      <c r="F172" s="193"/>
      <c r="G172" s="193"/>
      <c r="H172" s="193"/>
      <c r="I172" s="193"/>
      <c r="J172" s="193"/>
      <c r="K172" s="207" t="str">
        <f t="shared" si="8"/>
        <v/>
      </c>
      <c r="L172" s="181"/>
      <c r="M172" s="181"/>
      <c r="N172" s="193"/>
      <c r="O172" s="208" t="str">
        <f>IF(B172="","",IF(Lançamentos!D167="","",Lançamentos!D167))</f>
        <v/>
      </c>
      <c r="P172" s="209">
        <v>7</v>
      </c>
      <c r="Q172" s="208" t="str">
        <f t="shared" si="9"/>
        <v/>
      </c>
      <c r="R172" s="210"/>
      <c r="S172" s="211" t="str">
        <f t="shared" ca="1" si="10"/>
        <v/>
      </c>
      <c r="T172" s="206" t="str">
        <f t="shared" ca="1" si="11"/>
        <v/>
      </c>
      <c r="U172" s="195"/>
    </row>
    <row r="173" spans="2:21" ht="18" customHeight="1" x14ac:dyDescent="0.35">
      <c r="B173" s="204" t="str">
        <f>IF(Lançamentos!$B168="","",Lançamentos!$B168)</f>
        <v/>
      </c>
      <c r="C173" s="205" t="str">
        <f>IF($B173="","",IFERROR(INDEX(Lançamentos!$J$3:$J$1001,MATCH($B173,Lançamentos!$B$3:$B$1001,0)),""))</f>
        <v/>
      </c>
      <c r="D173" s="411" t="str">
        <f>IF($B173="","",IFERROR(INDEX('E2 — Triagem'!$D$8:$D$507,MATCH($B173,'E2 — Triagem'!$B$8:$B$507,0)),""))</f>
        <v/>
      </c>
      <c r="E173" s="193"/>
      <c r="F173" s="193"/>
      <c r="G173" s="193"/>
      <c r="H173" s="193"/>
      <c r="I173" s="193"/>
      <c r="J173" s="193"/>
      <c r="K173" s="207" t="str">
        <f t="shared" si="8"/>
        <v/>
      </c>
      <c r="L173" s="181"/>
      <c r="M173" s="181"/>
      <c r="N173" s="193"/>
      <c r="O173" s="208" t="str">
        <f>IF(B173="","",IF(Lançamentos!D168="","",Lançamentos!D168))</f>
        <v/>
      </c>
      <c r="P173" s="209">
        <v>7</v>
      </c>
      <c r="Q173" s="208" t="str">
        <f t="shared" si="9"/>
        <v/>
      </c>
      <c r="R173" s="210"/>
      <c r="S173" s="211" t="str">
        <f t="shared" ca="1" si="10"/>
        <v/>
      </c>
      <c r="T173" s="206" t="str">
        <f t="shared" ca="1" si="11"/>
        <v/>
      </c>
      <c r="U173" s="195"/>
    </row>
    <row r="174" spans="2:21" ht="18" customHeight="1" x14ac:dyDescent="0.35">
      <c r="B174" s="204" t="str">
        <f>IF(Lançamentos!$B169="","",Lançamentos!$B169)</f>
        <v/>
      </c>
      <c r="C174" s="205" t="str">
        <f>IF($B174="","",IFERROR(INDEX(Lançamentos!$J$3:$J$1001,MATCH($B174,Lançamentos!$B$3:$B$1001,0)),""))</f>
        <v/>
      </c>
      <c r="D174" s="411" t="str">
        <f>IF($B174="","",IFERROR(INDEX('E2 — Triagem'!$D$8:$D$507,MATCH($B174,'E2 — Triagem'!$B$8:$B$507,0)),""))</f>
        <v/>
      </c>
      <c r="E174" s="193"/>
      <c r="F174" s="193"/>
      <c r="G174" s="193"/>
      <c r="H174" s="193"/>
      <c r="I174" s="193"/>
      <c r="J174" s="193"/>
      <c r="K174" s="207" t="str">
        <f t="shared" si="8"/>
        <v/>
      </c>
      <c r="L174" s="181"/>
      <c r="M174" s="181"/>
      <c r="N174" s="193"/>
      <c r="O174" s="208" t="str">
        <f>IF(B174="","",IF(Lançamentos!D169="","",Lançamentos!D169))</f>
        <v/>
      </c>
      <c r="P174" s="209">
        <v>7</v>
      </c>
      <c r="Q174" s="208" t="str">
        <f t="shared" si="9"/>
        <v/>
      </c>
      <c r="R174" s="210"/>
      <c r="S174" s="211" t="str">
        <f t="shared" ca="1" si="10"/>
        <v/>
      </c>
      <c r="T174" s="206" t="str">
        <f t="shared" ca="1" si="11"/>
        <v/>
      </c>
      <c r="U174" s="195"/>
    </row>
    <row r="175" spans="2:21" ht="18" customHeight="1" x14ac:dyDescent="0.35">
      <c r="B175" s="204" t="str">
        <f>IF(Lançamentos!$B170="","",Lançamentos!$B170)</f>
        <v/>
      </c>
      <c r="C175" s="205" t="str">
        <f>IF($B175="","",IFERROR(INDEX(Lançamentos!$J$3:$J$1001,MATCH($B175,Lançamentos!$B$3:$B$1001,0)),""))</f>
        <v/>
      </c>
      <c r="D175" s="411" t="str">
        <f>IF($B175="","",IFERROR(INDEX('E2 — Triagem'!$D$8:$D$507,MATCH($B175,'E2 — Triagem'!$B$8:$B$507,0)),""))</f>
        <v/>
      </c>
      <c r="E175" s="193"/>
      <c r="F175" s="193"/>
      <c r="G175" s="193"/>
      <c r="H175" s="193"/>
      <c r="I175" s="193"/>
      <c r="J175" s="193"/>
      <c r="K175" s="207" t="str">
        <f t="shared" si="8"/>
        <v/>
      </c>
      <c r="L175" s="181"/>
      <c r="M175" s="181"/>
      <c r="N175" s="193"/>
      <c r="O175" s="208" t="str">
        <f>IF(B175="","",IF(Lançamentos!D170="","",Lançamentos!D170))</f>
        <v/>
      </c>
      <c r="P175" s="209">
        <v>7</v>
      </c>
      <c r="Q175" s="208" t="str">
        <f t="shared" si="9"/>
        <v/>
      </c>
      <c r="R175" s="210"/>
      <c r="S175" s="211" t="str">
        <f t="shared" ca="1" si="10"/>
        <v/>
      </c>
      <c r="T175" s="206" t="str">
        <f t="shared" ca="1" si="11"/>
        <v/>
      </c>
      <c r="U175" s="195"/>
    </row>
    <row r="176" spans="2:21" ht="18" customHeight="1" x14ac:dyDescent="0.35">
      <c r="B176" s="204" t="str">
        <f>IF(Lançamentos!$B171="","",Lançamentos!$B171)</f>
        <v/>
      </c>
      <c r="C176" s="205" t="str">
        <f>IF($B176="","",IFERROR(INDEX(Lançamentos!$J$3:$J$1001,MATCH($B176,Lançamentos!$B$3:$B$1001,0)),""))</f>
        <v/>
      </c>
      <c r="D176" s="411" t="str">
        <f>IF($B176="","",IFERROR(INDEX('E2 — Triagem'!$D$8:$D$507,MATCH($B176,'E2 — Triagem'!$B$8:$B$507,0)),""))</f>
        <v/>
      </c>
      <c r="E176" s="193"/>
      <c r="F176" s="193"/>
      <c r="G176" s="193"/>
      <c r="H176" s="193"/>
      <c r="I176" s="193"/>
      <c r="J176" s="193"/>
      <c r="K176" s="207" t="str">
        <f t="shared" si="8"/>
        <v/>
      </c>
      <c r="L176" s="181"/>
      <c r="M176" s="181"/>
      <c r="N176" s="193"/>
      <c r="O176" s="208" t="str">
        <f>IF(B176="","",IF(Lançamentos!D171="","",Lançamentos!D171))</f>
        <v/>
      </c>
      <c r="P176" s="209">
        <v>7</v>
      </c>
      <c r="Q176" s="208" t="str">
        <f t="shared" si="9"/>
        <v/>
      </c>
      <c r="R176" s="210"/>
      <c r="S176" s="211" t="str">
        <f t="shared" ca="1" si="10"/>
        <v/>
      </c>
      <c r="T176" s="206" t="str">
        <f t="shared" ca="1" si="11"/>
        <v/>
      </c>
      <c r="U176" s="195"/>
    </row>
    <row r="177" spans="2:21" ht="18" customHeight="1" x14ac:dyDescent="0.35">
      <c r="B177" s="204" t="str">
        <f>IF(Lançamentos!$B172="","",Lançamentos!$B172)</f>
        <v/>
      </c>
      <c r="C177" s="205" t="str">
        <f>IF($B177="","",IFERROR(INDEX(Lançamentos!$J$3:$J$1001,MATCH($B177,Lançamentos!$B$3:$B$1001,0)),""))</f>
        <v/>
      </c>
      <c r="D177" s="411" t="str">
        <f>IF($B177="","",IFERROR(INDEX('E2 — Triagem'!$D$8:$D$507,MATCH($B177,'E2 — Triagem'!$B$8:$B$507,0)),""))</f>
        <v/>
      </c>
      <c r="E177" s="193"/>
      <c r="F177" s="193"/>
      <c r="G177" s="193"/>
      <c r="H177" s="193"/>
      <c r="I177" s="193"/>
      <c r="J177" s="193"/>
      <c r="K177" s="207" t="str">
        <f t="shared" si="8"/>
        <v/>
      </c>
      <c r="L177" s="181"/>
      <c r="M177" s="181"/>
      <c r="N177" s="193"/>
      <c r="O177" s="208" t="str">
        <f>IF(B177="","",IF(Lançamentos!D172="","",Lançamentos!D172))</f>
        <v/>
      </c>
      <c r="P177" s="209">
        <v>7</v>
      </c>
      <c r="Q177" s="208" t="str">
        <f t="shared" si="9"/>
        <v/>
      </c>
      <c r="R177" s="210"/>
      <c r="S177" s="211" t="str">
        <f t="shared" ca="1" si="10"/>
        <v/>
      </c>
      <c r="T177" s="206" t="str">
        <f t="shared" ca="1" si="11"/>
        <v/>
      </c>
      <c r="U177" s="195"/>
    </row>
    <row r="178" spans="2:21" ht="18" customHeight="1" x14ac:dyDescent="0.35">
      <c r="B178" s="204" t="str">
        <f>IF(Lançamentos!$B173="","",Lançamentos!$B173)</f>
        <v/>
      </c>
      <c r="C178" s="205" t="str">
        <f>IF($B178="","",IFERROR(INDEX(Lançamentos!$J$3:$J$1001,MATCH($B178,Lançamentos!$B$3:$B$1001,0)),""))</f>
        <v/>
      </c>
      <c r="D178" s="411" t="str">
        <f>IF($B178="","",IFERROR(INDEX('E2 — Triagem'!$D$8:$D$507,MATCH($B178,'E2 — Triagem'!$B$8:$B$507,0)),""))</f>
        <v/>
      </c>
      <c r="E178" s="193"/>
      <c r="F178" s="193"/>
      <c r="G178" s="193"/>
      <c r="H178" s="193"/>
      <c r="I178" s="193"/>
      <c r="J178" s="193"/>
      <c r="K178" s="207" t="str">
        <f t="shared" si="8"/>
        <v/>
      </c>
      <c r="L178" s="181"/>
      <c r="M178" s="181"/>
      <c r="N178" s="193"/>
      <c r="O178" s="208" t="str">
        <f>IF(B178="","",IF(Lançamentos!D173="","",Lançamentos!D173))</f>
        <v/>
      </c>
      <c r="P178" s="209">
        <v>7</v>
      </c>
      <c r="Q178" s="208" t="str">
        <f t="shared" si="9"/>
        <v/>
      </c>
      <c r="R178" s="210"/>
      <c r="S178" s="211" t="str">
        <f t="shared" ca="1" si="10"/>
        <v/>
      </c>
      <c r="T178" s="206" t="str">
        <f t="shared" ca="1" si="11"/>
        <v/>
      </c>
      <c r="U178" s="195"/>
    </row>
    <row r="179" spans="2:21" ht="18" customHeight="1" x14ac:dyDescent="0.35">
      <c r="B179" s="204" t="str">
        <f>IF(Lançamentos!$B174="","",Lançamentos!$B174)</f>
        <v/>
      </c>
      <c r="C179" s="205" t="str">
        <f>IF($B179="","",IFERROR(INDEX(Lançamentos!$J$3:$J$1001,MATCH($B179,Lançamentos!$B$3:$B$1001,0)),""))</f>
        <v/>
      </c>
      <c r="D179" s="411" t="str">
        <f>IF($B179="","",IFERROR(INDEX('E2 — Triagem'!$D$8:$D$507,MATCH($B179,'E2 — Triagem'!$B$8:$B$507,0)),""))</f>
        <v/>
      </c>
      <c r="E179" s="193"/>
      <c r="F179" s="193"/>
      <c r="G179" s="193"/>
      <c r="H179" s="193"/>
      <c r="I179" s="193"/>
      <c r="J179" s="193"/>
      <c r="K179" s="207" t="str">
        <f t="shared" si="8"/>
        <v/>
      </c>
      <c r="L179" s="181"/>
      <c r="M179" s="181"/>
      <c r="N179" s="193"/>
      <c r="O179" s="208" t="str">
        <f>IF(B179="","",IF(Lançamentos!D174="","",Lançamentos!D174))</f>
        <v/>
      </c>
      <c r="P179" s="209">
        <v>7</v>
      </c>
      <c r="Q179" s="208" t="str">
        <f t="shared" si="9"/>
        <v/>
      </c>
      <c r="R179" s="210"/>
      <c r="S179" s="211" t="str">
        <f t="shared" ca="1" si="10"/>
        <v/>
      </c>
      <c r="T179" s="206" t="str">
        <f t="shared" ca="1" si="11"/>
        <v/>
      </c>
      <c r="U179" s="195"/>
    </row>
    <row r="180" spans="2:21" ht="18" customHeight="1" x14ac:dyDescent="0.35">
      <c r="B180" s="204" t="str">
        <f>IF(Lançamentos!$B175="","",Lançamentos!$B175)</f>
        <v/>
      </c>
      <c r="C180" s="205" t="str">
        <f>IF($B180="","",IFERROR(INDEX(Lançamentos!$J$3:$J$1001,MATCH($B180,Lançamentos!$B$3:$B$1001,0)),""))</f>
        <v/>
      </c>
      <c r="D180" s="411" t="str">
        <f>IF($B180="","",IFERROR(INDEX('E2 — Triagem'!$D$8:$D$507,MATCH($B180,'E2 — Triagem'!$B$8:$B$507,0)),""))</f>
        <v/>
      </c>
      <c r="E180" s="193"/>
      <c r="F180" s="193"/>
      <c r="G180" s="193"/>
      <c r="H180" s="193"/>
      <c r="I180" s="193"/>
      <c r="J180" s="193"/>
      <c r="K180" s="207" t="str">
        <f t="shared" si="8"/>
        <v/>
      </c>
      <c r="L180" s="181"/>
      <c r="M180" s="181"/>
      <c r="N180" s="193"/>
      <c r="O180" s="208" t="str">
        <f>IF(B180="","",IF(Lançamentos!D175="","",Lançamentos!D175))</f>
        <v/>
      </c>
      <c r="P180" s="209">
        <v>7</v>
      </c>
      <c r="Q180" s="208" t="str">
        <f t="shared" si="9"/>
        <v/>
      </c>
      <c r="R180" s="210"/>
      <c r="S180" s="211" t="str">
        <f t="shared" ca="1" si="10"/>
        <v/>
      </c>
      <c r="T180" s="206" t="str">
        <f t="shared" ca="1" si="11"/>
        <v/>
      </c>
      <c r="U180" s="195"/>
    </row>
    <row r="181" spans="2:21" ht="18" customHeight="1" x14ac:dyDescent="0.35">
      <c r="B181" s="204" t="str">
        <f>IF(Lançamentos!$B176="","",Lançamentos!$B176)</f>
        <v/>
      </c>
      <c r="C181" s="205" t="str">
        <f>IF($B181="","",IFERROR(INDEX(Lançamentos!$J$3:$J$1001,MATCH($B181,Lançamentos!$B$3:$B$1001,0)),""))</f>
        <v/>
      </c>
      <c r="D181" s="411" t="str">
        <f>IF($B181="","",IFERROR(INDEX('E2 — Triagem'!$D$8:$D$507,MATCH($B181,'E2 — Triagem'!$B$8:$B$507,0)),""))</f>
        <v/>
      </c>
      <c r="E181" s="193"/>
      <c r="F181" s="193"/>
      <c r="G181" s="193"/>
      <c r="H181" s="193"/>
      <c r="I181" s="193"/>
      <c r="J181" s="193"/>
      <c r="K181" s="207" t="str">
        <f t="shared" si="8"/>
        <v/>
      </c>
      <c r="L181" s="181"/>
      <c r="M181" s="181"/>
      <c r="N181" s="193"/>
      <c r="O181" s="208" t="str">
        <f>IF(B181="","",IF(Lançamentos!D176="","",Lançamentos!D176))</f>
        <v/>
      </c>
      <c r="P181" s="209">
        <v>7</v>
      </c>
      <c r="Q181" s="208" t="str">
        <f t="shared" si="9"/>
        <v/>
      </c>
      <c r="R181" s="210"/>
      <c r="S181" s="211" t="str">
        <f t="shared" ca="1" si="10"/>
        <v/>
      </c>
      <c r="T181" s="206" t="str">
        <f t="shared" ca="1" si="11"/>
        <v/>
      </c>
      <c r="U181" s="195"/>
    </row>
    <row r="182" spans="2:21" ht="18" customHeight="1" x14ac:dyDescent="0.35">
      <c r="B182" s="204" t="str">
        <f>IF(Lançamentos!$B177="","",Lançamentos!$B177)</f>
        <v/>
      </c>
      <c r="C182" s="205" t="str">
        <f>IF($B182="","",IFERROR(INDEX(Lançamentos!$J$3:$J$1001,MATCH($B182,Lançamentos!$B$3:$B$1001,0)),""))</f>
        <v/>
      </c>
      <c r="D182" s="411" t="str">
        <f>IF($B182="","",IFERROR(INDEX('E2 — Triagem'!$D$8:$D$507,MATCH($B182,'E2 — Triagem'!$B$8:$B$507,0)),""))</f>
        <v/>
      </c>
      <c r="E182" s="193"/>
      <c r="F182" s="193"/>
      <c r="G182" s="193"/>
      <c r="H182" s="193"/>
      <c r="I182" s="193"/>
      <c r="J182" s="193"/>
      <c r="K182" s="207" t="str">
        <f t="shared" si="8"/>
        <v/>
      </c>
      <c r="L182" s="181"/>
      <c r="M182" s="181"/>
      <c r="N182" s="193"/>
      <c r="O182" s="208" t="str">
        <f>IF(B182="","",IF(Lançamentos!D177="","",Lançamentos!D177))</f>
        <v/>
      </c>
      <c r="P182" s="209">
        <v>7</v>
      </c>
      <c r="Q182" s="208" t="str">
        <f t="shared" si="9"/>
        <v/>
      </c>
      <c r="R182" s="210"/>
      <c r="S182" s="211" t="str">
        <f t="shared" ca="1" si="10"/>
        <v/>
      </c>
      <c r="T182" s="206" t="str">
        <f t="shared" ca="1" si="11"/>
        <v/>
      </c>
      <c r="U182" s="195"/>
    </row>
    <row r="183" spans="2:21" ht="18" customHeight="1" x14ac:dyDescent="0.35">
      <c r="B183" s="204" t="str">
        <f>IF(Lançamentos!$B178="","",Lançamentos!$B178)</f>
        <v/>
      </c>
      <c r="C183" s="205" t="str">
        <f>IF($B183="","",IFERROR(INDEX(Lançamentos!$J$3:$J$1001,MATCH($B183,Lançamentos!$B$3:$B$1001,0)),""))</f>
        <v/>
      </c>
      <c r="D183" s="411" t="str">
        <f>IF($B183="","",IFERROR(INDEX('E2 — Triagem'!$D$8:$D$507,MATCH($B183,'E2 — Triagem'!$B$8:$B$507,0)),""))</f>
        <v/>
      </c>
      <c r="E183" s="193"/>
      <c r="F183" s="193"/>
      <c r="G183" s="193"/>
      <c r="H183" s="193"/>
      <c r="I183" s="193"/>
      <c r="J183" s="193"/>
      <c r="K183" s="207" t="str">
        <f t="shared" si="8"/>
        <v/>
      </c>
      <c r="L183" s="181"/>
      <c r="M183" s="181"/>
      <c r="N183" s="193"/>
      <c r="O183" s="208" t="str">
        <f>IF(B183="","",IF(Lançamentos!D178="","",Lançamentos!D178))</f>
        <v/>
      </c>
      <c r="P183" s="209">
        <v>7</v>
      </c>
      <c r="Q183" s="208" t="str">
        <f t="shared" si="9"/>
        <v/>
      </c>
      <c r="R183" s="210"/>
      <c r="S183" s="211" t="str">
        <f t="shared" ca="1" si="10"/>
        <v/>
      </c>
      <c r="T183" s="206" t="str">
        <f t="shared" ca="1" si="11"/>
        <v/>
      </c>
      <c r="U183" s="195"/>
    </row>
    <row r="184" spans="2:21" ht="18" customHeight="1" x14ac:dyDescent="0.35">
      <c r="B184" s="204" t="str">
        <f>IF(Lançamentos!$B179="","",Lançamentos!$B179)</f>
        <v/>
      </c>
      <c r="C184" s="205" t="str">
        <f>IF($B184="","",IFERROR(INDEX(Lançamentos!$J$3:$J$1001,MATCH($B184,Lançamentos!$B$3:$B$1001,0)),""))</f>
        <v/>
      </c>
      <c r="D184" s="411" t="str">
        <f>IF($B184="","",IFERROR(INDEX('E2 — Triagem'!$D$8:$D$507,MATCH($B184,'E2 — Triagem'!$B$8:$B$507,0)),""))</f>
        <v/>
      </c>
      <c r="E184" s="193"/>
      <c r="F184" s="193"/>
      <c r="G184" s="193"/>
      <c r="H184" s="193"/>
      <c r="I184" s="193"/>
      <c r="J184" s="193"/>
      <c r="K184" s="207" t="str">
        <f t="shared" si="8"/>
        <v/>
      </c>
      <c r="L184" s="181"/>
      <c r="M184" s="181"/>
      <c r="N184" s="193"/>
      <c r="O184" s="208" t="str">
        <f>IF(B184="","",IF(Lançamentos!D179="","",Lançamentos!D179))</f>
        <v/>
      </c>
      <c r="P184" s="209">
        <v>7</v>
      </c>
      <c r="Q184" s="208" t="str">
        <f t="shared" si="9"/>
        <v/>
      </c>
      <c r="R184" s="210"/>
      <c r="S184" s="211" t="str">
        <f t="shared" ca="1" si="10"/>
        <v/>
      </c>
      <c r="T184" s="206" t="str">
        <f t="shared" ca="1" si="11"/>
        <v/>
      </c>
      <c r="U184" s="195"/>
    </row>
    <row r="185" spans="2:21" ht="18" customHeight="1" x14ac:dyDescent="0.35">
      <c r="B185" s="204" t="str">
        <f>IF(Lançamentos!$B180="","",Lançamentos!$B180)</f>
        <v/>
      </c>
      <c r="C185" s="205" t="str">
        <f>IF($B185="","",IFERROR(INDEX(Lançamentos!$J$3:$J$1001,MATCH($B185,Lançamentos!$B$3:$B$1001,0)),""))</f>
        <v/>
      </c>
      <c r="D185" s="411" t="str">
        <f>IF($B185="","",IFERROR(INDEX('E2 — Triagem'!$D$8:$D$507,MATCH($B185,'E2 — Triagem'!$B$8:$B$507,0)),""))</f>
        <v/>
      </c>
      <c r="E185" s="193"/>
      <c r="F185" s="193"/>
      <c r="G185" s="193"/>
      <c r="H185" s="193"/>
      <c r="I185" s="193"/>
      <c r="J185" s="193"/>
      <c r="K185" s="207" t="str">
        <f t="shared" si="8"/>
        <v/>
      </c>
      <c r="L185" s="181"/>
      <c r="M185" s="181"/>
      <c r="N185" s="193"/>
      <c r="O185" s="208" t="str">
        <f>IF(B185="","",IF(Lançamentos!D180="","",Lançamentos!D180))</f>
        <v/>
      </c>
      <c r="P185" s="209">
        <v>7</v>
      </c>
      <c r="Q185" s="208" t="str">
        <f t="shared" si="9"/>
        <v/>
      </c>
      <c r="R185" s="210"/>
      <c r="S185" s="211" t="str">
        <f t="shared" ca="1" si="10"/>
        <v/>
      </c>
      <c r="T185" s="206" t="str">
        <f t="shared" ca="1" si="11"/>
        <v/>
      </c>
      <c r="U185" s="195"/>
    </row>
    <row r="186" spans="2:21" ht="18" customHeight="1" x14ac:dyDescent="0.35">
      <c r="B186" s="204" t="str">
        <f>IF(Lançamentos!$B181="","",Lançamentos!$B181)</f>
        <v/>
      </c>
      <c r="C186" s="205" t="str">
        <f>IF($B186="","",IFERROR(INDEX(Lançamentos!$J$3:$J$1001,MATCH($B186,Lançamentos!$B$3:$B$1001,0)),""))</f>
        <v/>
      </c>
      <c r="D186" s="411" t="str">
        <f>IF($B186="","",IFERROR(INDEX('E2 — Triagem'!$D$8:$D$507,MATCH($B186,'E2 — Triagem'!$B$8:$B$507,0)),""))</f>
        <v/>
      </c>
      <c r="E186" s="193"/>
      <c r="F186" s="193"/>
      <c r="G186" s="193"/>
      <c r="H186" s="193"/>
      <c r="I186" s="193"/>
      <c r="J186" s="193"/>
      <c r="K186" s="207" t="str">
        <f t="shared" si="8"/>
        <v/>
      </c>
      <c r="L186" s="181"/>
      <c r="M186" s="181"/>
      <c r="N186" s="193"/>
      <c r="O186" s="208" t="str">
        <f>IF(B186="","",IF(Lançamentos!D181="","",Lançamentos!D181))</f>
        <v/>
      </c>
      <c r="P186" s="209">
        <v>7</v>
      </c>
      <c r="Q186" s="208" t="str">
        <f t="shared" si="9"/>
        <v/>
      </c>
      <c r="R186" s="210"/>
      <c r="S186" s="211" t="str">
        <f t="shared" ca="1" si="10"/>
        <v/>
      </c>
      <c r="T186" s="206" t="str">
        <f t="shared" ca="1" si="11"/>
        <v/>
      </c>
      <c r="U186" s="195"/>
    </row>
    <row r="187" spans="2:21" ht="18" customHeight="1" x14ac:dyDescent="0.35">
      <c r="B187" s="204" t="str">
        <f>IF(Lançamentos!$B182="","",Lançamentos!$B182)</f>
        <v/>
      </c>
      <c r="C187" s="205" t="str">
        <f>IF($B187="","",IFERROR(INDEX(Lançamentos!$J$3:$J$1001,MATCH($B187,Lançamentos!$B$3:$B$1001,0)),""))</f>
        <v/>
      </c>
      <c r="D187" s="411" t="str">
        <f>IF($B187="","",IFERROR(INDEX('E2 — Triagem'!$D$8:$D$507,MATCH($B187,'E2 — Triagem'!$B$8:$B$507,0)),""))</f>
        <v/>
      </c>
      <c r="E187" s="193"/>
      <c r="F187" s="193"/>
      <c r="G187" s="193"/>
      <c r="H187" s="193"/>
      <c r="I187" s="193"/>
      <c r="J187" s="193"/>
      <c r="K187" s="207" t="str">
        <f t="shared" si="8"/>
        <v/>
      </c>
      <c r="L187" s="181"/>
      <c r="M187" s="181"/>
      <c r="N187" s="193"/>
      <c r="O187" s="208" t="str">
        <f>IF(B187="","",IF(Lançamentos!D182="","",Lançamentos!D182))</f>
        <v/>
      </c>
      <c r="P187" s="209">
        <v>7</v>
      </c>
      <c r="Q187" s="208" t="str">
        <f t="shared" si="9"/>
        <v/>
      </c>
      <c r="R187" s="210"/>
      <c r="S187" s="211" t="str">
        <f t="shared" ca="1" si="10"/>
        <v/>
      </c>
      <c r="T187" s="206" t="str">
        <f t="shared" ca="1" si="11"/>
        <v/>
      </c>
      <c r="U187" s="195"/>
    </row>
    <row r="188" spans="2:21" ht="18" customHeight="1" x14ac:dyDescent="0.35">
      <c r="B188" s="204" t="str">
        <f>IF(Lançamentos!$B183="","",Lançamentos!$B183)</f>
        <v/>
      </c>
      <c r="C188" s="205" t="str">
        <f>IF($B188="","",IFERROR(INDEX(Lançamentos!$J$3:$J$1001,MATCH($B188,Lançamentos!$B$3:$B$1001,0)),""))</f>
        <v/>
      </c>
      <c r="D188" s="411" t="str">
        <f>IF($B188="","",IFERROR(INDEX('E2 — Triagem'!$D$8:$D$507,MATCH($B188,'E2 — Triagem'!$B$8:$B$507,0)),""))</f>
        <v/>
      </c>
      <c r="E188" s="193"/>
      <c r="F188" s="193"/>
      <c r="G188" s="193"/>
      <c r="H188" s="193"/>
      <c r="I188" s="193"/>
      <c r="J188" s="193"/>
      <c r="K188" s="207" t="str">
        <f t="shared" si="8"/>
        <v/>
      </c>
      <c r="L188" s="181"/>
      <c r="M188" s="181"/>
      <c r="N188" s="193"/>
      <c r="O188" s="208" t="str">
        <f>IF(B188="","",IF(Lançamentos!D183="","",Lançamentos!D183))</f>
        <v/>
      </c>
      <c r="P188" s="209">
        <v>7</v>
      </c>
      <c r="Q188" s="208" t="str">
        <f t="shared" si="9"/>
        <v/>
      </c>
      <c r="R188" s="210"/>
      <c r="S188" s="211" t="str">
        <f t="shared" ca="1" si="10"/>
        <v/>
      </c>
      <c r="T188" s="206" t="str">
        <f t="shared" ca="1" si="11"/>
        <v/>
      </c>
      <c r="U188" s="195"/>
    </row>
    <row r="189" spans="2:21" ht="18" customHeight="1" x14ac:dyDescent="0.35">
      <c r="B189" s="204" t="str">
        <f>IF(Lançamentos!$B184="","",Lançamentos!$B184)</f>
        <v/>
      </c>
      <c r="C189" s="205" t="str">
        <f>IF($B189="","",IFERROR(INDEX(Lançamentos!$J$3:$J$1001,MATCH($B189,Lançamentos!$B$3:$B$1001,0)),""))</f>
        <v/>
      </c>
      <c r="D189" s="411" t="str">
        <f>IF($B189="","",IFERROR(INDEX('E2 — Triagem'!$D$8:$D$507,MATCH($B189,'E2 — Triagem'!$B$8:$B$507,0)),""))</f>
        <v/>
      </c>
      <c r="E189" s="193"/>
      <c r="F189" s="193"/>
      <c r="G189" s="193"/>
      <c r="H189" s="193"/>
      <c r="I189" s="193"/>
      <c r="J189" s="193"/>
      <c r="K189" s="207" t="str">
        <f t="shared" si="8"/>
        <v/>
      </c>
      <c r="L189" s="181"/>
      <c r="M189" s="181"/>
      <c r="N189" s="193"/>
      <c r="O189" s="208" t="str">
        <f>IF(B189="","",IF(Lançamentos!D184="","",Lançamentos!D184))</f>
        <v/>
      </c>
      <c r="P189" s="209">
        <v>7</v>
      </c>
      <c r="Q189" s="208" t="str">
        <f t="shared" si="9"/>
        <v/>
      </c>
      <c r="R189" s="210"/>
      <c r="S189" s="211" t="str">
        <f t="shared" ca="1" si="10"/>
        <v/>
      </c>
      <c r="T189" s="206" t="str">
        <f t="shared" ca="1" si="11"/>
        <v/>
      </c>
      <c r="U189" s="195"/>
    </row>
    <row r="190" spans="2:21" ht="18" customHeight="1" x14ac:dyDescent="0.35">
      <c r="B190" s="204" t="str">
        <f>IF(Lançamentos!$B185="","",Lançamentos!$B185)</f>
        <v/>
      </c>
      <c r="C190" s="205" t="str">
        <f>IF($B190="","",IFERROR(INDEX(Lançamentos!$J$3:$J$1001,MATCH($B190,Lançamentos!$B$3:$B$1001,0)),""))</f>
        <v/>
      </c>
      <c r="D190" s="411" t="str">
        <f>IF($B190="","",IFERROR(INDEX('E2 — Triagem'!$D$8:$D$507,MATCH($B190,'E2 — Triagem'!$B$8:$B$507,0)),""))</f>
        <v/>
      </c>
      <c r="E190" s="193"/>
      <c r="F190" s="193"/>
      <c r="G190" s="193"/>
      <c r="H190" s="193"/>
      <c r="I190" s="193"/>
      <c r="J190" s="193"/>
      <c r="K190" s="207" t="str">
        <f t="shared" si="8"/>
        <v/>
      </c>
      <c r="L190" s="181"/>
      <c r="M190" s="181"/>
      <c r="N190" s="193"/>
      <c r="O190" s="208" t="str">
        <f>IF(B190="","",IF(Lançamentos!D185="","",Lançamentos!D185))</f>
        <v/>
      </c>
      <c r="P190" s="209">
        <v>7</v>
      </c>
      <c r="Q190" s="208" t="str">
        <f t="shared" si="9"/>
        <v/>
      </c>
      <c r="R190" s="210"/>
      <c r="S190" s="211" t="str">
        <f t="shared" ca="1" si="10"/>
        <v/>
      </c>
      <c r="T190" s="206" t="str">
        <f t="shared" ca="1" si="11"/>
        <v/>
      </c>
      <c r="U190" s="195"/>
    </row>
    <row r="191" spans="2:21" ht="18" customHeight="1" x14ac:dyDescent="0.35">
      <c r="B191" s="204" t="str">
        <f>IF(Lançamentos!$B186="","",Lançamentos!$B186)</f>
        <v/>
      </c>
      <c r="C191" s="205" t="str">
        <f>IF($B191="","",IFERROR(INDEX(Lançamentos!$J$3:$J$1001,MATCH($B191,Lançamentos!$B$3:$B$1001,0)),""))</f>
        <v/>
      </c>
      <c r="D191" s="411" t="str">
        <f>IF($B191="","",IFERROR(INDEX('E2 — Triagem'!$D$8:$D$507,MATCH($B191,'E2 — Triagem'!$B$8:$B$507,0)),""))</f>
        <v/>
      </c>
      <c r="E191" s="193"/>
      <c r="F191" s="193"/>
      <c r="G191" s="193"/>
      <c r="H191" s="193"/>
      <c r="I191" s="193"/>
      <c r="J191" s="193"/>
      <c r="K191" s="207" t="str">
        <f t="shared" si="8"/>
        <v/>
      </c>
      <c r="L191" s="181"/>
      <c r="M191" s="181"/>
      <c r="N191" s="193"/>
      <c r="O191" s="208" t="str">
        <f>IF(B191="","",IF(Lançamentos!D186="","",Lançamentos!D186))</f>
        <v/>
      </c>
      <c r="P191" s="209">
        <v>7</v>
      </c>
      <c r="Q191" s="208" t="str">
        <f t="shared" si="9"/>
        <v/>
      </c>
      <c r="R191" s="210"/>
      <c r="S191" s="211" t="str">
        <f t="shared" ca="1" si="10"/>
        <v/>
      </c>
      <c r="T191" s="206" t="str">
        <f t="shared" ca="1" si="11"/>
        <v/>
      </c>
      <c r="U191" s="195"/>
    </row>
    <row r="192" spans="2:21" ht="18" customHeight="1" x14ac:dyDescent="0.35">
      <c r="B192" s="204" t="str">
        <f>IF(Lançamentos!$B187="","",Lançamentos!$B187)</f>
        <v/>
      </c>
      <c r="C192" s="205" t="str">
        <f>IF($B192="","",IFERROR(INDEX(Lançamentos!$J$3:$J$1001,MATCH($B192,Lançamentos!$B$3:$B$1001,0)),""))</f>
        <v/>
      </c>
      <c r="D192" s="411" t="str">
        <f>IF($B192="","",IFERROR(INDEX('E2 — Triagem'!$D$8:$D$507,MATCH($B192,'E2 — Triagem'!$B$8:$B$507,0)),""))</f>
        <v/>
      </c>
      <c r="E192" s="193"/>
      <c r="F192" s="193"/>
      <c r="G192" s="193"/>
      <c r="H192" s="193"/>
      <c r="I192" s="193"/>
      <c r="J192" s="193"/>
      <c r="K192" s="207" t="str">
        <f t="shared" si="8"/>
        <v/>
      </c>
      <c r="L192" s="181"/>
      <c r="M192" s="181"/>
      <c r="N192" s="193"/>
      <c r="O192" s="208" t="str">
        <f>IF(B192="","",IF(Lançamentos!D187="","",Lançamentos!D187))</f>
        <v/>
      </c>
      <c r="P192" s="209">
        <v>7</v>
      </c>
      <c r="Q192" s="208" t="str">
        <f t="shared" si="9"/>
        <v/>
      </c>
      <c r="R192" s="210"/>
      <c r="S192" s="211" t="str">
        <f t="shared" ca="1" si="10"/>
        <v/>
      </c>
      <c r="T192" s="206" t="str">
        <f t="shared" ca="1" si="11"/>
        <v/>
      </c>
      <c r="U192" s="195"/>
    </row>
    <row r="193" spans="2:21" ht="18" customHeight="1" x14ac:dyDescent="0.35">
      <c r="B193" s="204" t="str">
        <f>IF(Lançamentos!$B188="","",Lançamentos!$B188)</f>
        <v/>
      </c>
      <c r="C193" s="205" t="str">
        <f>IF($B193="","",IFERROR(INDEX(Lançamentos!$J$3:$J$1001,MATCH($B193,Lançamentos!$B$3:$B$1001,0)),""))</f>
        <v/>
      </c>
      <c r="D193" s="411" t="str">
        <f>IF($B193="","",IFERROR(INDEX('E2 — Triagem'!$D$8:$D$507,MATCH($B193,'E2 — Triagem'!$B$8:$B$507,0)),""))</f>
        <v/>
      </c>
      <c r="E193" s="193"/>
      <c r="F193" s="193"/>
      <c r="G193" s="193"/>
      <c r="H193" s="193"/>
      <c r="I193" s="193"/>
      <c r="J193" s="193"/>
      <c r="K193" s="207" t="str">
        <f t="shared" si="8"/>
        <v/>
      </c>
      <c r="L193" s="181"/>
      <c r="M193" s="181"/>
      <c r="N193" s="193"/>
      <c r="O193" s="208" t="str">
        <f>IF(B193="","",IF(Lançamentos!D188="","",Lançamentos!D188))</f>
        <v/>
      </c>
      <c r="P193" s="209">
        <v>7</v>
      </c>
      <c r="Q193" s="208" t="str">
        <f t="shared" si="9"/>
        <v/>
      </c>
      <c r="R193" s="210"/>
      <c r="S193" s="211" t="str">
        <f t="shared" ca="1" si="10"/>
        <v/>
      </c>
      <c r="T193" s="206" t="str">
        <f t="shared" ca="1" si="11"/>
        <v/>
      </c>
      <c r="U193" s="195"/>
    </row>
    <row r="194" spans="2:21" ht="18" customHeight="1" x14ac:dyDescent="0.35">
      <c r="B194" s="204" t="str">
        <f>IF(Lançamentos!$B189="","",Lançamentos!$B189)</f>
        <v/>
      </c>
      <c r="C194" s="205" t="str">
        <f>IF($B194="","",IFERROR(INDEX(Lançamentos!$J$3:$J$1001,MATCH($B194,Lançamentos!$B$3:$B$1001,0)),""))</f>
        <v/>
      </c>
      <c r="D194" s="411" t="str">
        <f>IF($B194="","",IFERROR(INDEX('E2 — Triagem'!$D$8:$D$507,MATCH($B194,'E2 — Triagem'!$B$8:$B$507,0)),""))</f>
        <v/>
      </c>
      <c r="E194" s="193"/>
      <c r="F194" s="193"/>
      <c r="G194" s="193"/>
      <c r="H194" s="193"/>
      <c r="I194" s="193"/>
      <c r="J194" s="193"/>
      <c r="K194" s="207" t="str">
        <f t="shared" si="8"/>
        <v/>
      </c>
      <c r="L194" s="181"/>
      <c r="M194" s="181"/>
      <c r="N194" s="193"/>
      <c r="O194" s="208" t="str">
        <f>IF(B194="","",IF(Lançamentos!D189="","",Lançamentos!D189))</f>
        <v/>
      </c>
      <c r="P194" s="209">
        <v>7</v>
      </c>
      <c r="Q194" s="208" t="str">
        <f t="shared" si="9"/>
        <v/>
      </c>
      <c r="R194" s="210"/>
      <c r="S194" s="211" t="str">
        <f t="shared" ca="1" si="10"/>
        <v/>
      </c>
      <c r="T194" s="206" t="str">
        <f t="shared" ca="1" si="11"/>
        <v/>
      </c>
      <c r="U194" s="195"/>
    </row>
    <row r="195" spans="2:21" ht="18" customHeight="1" x14ac:dyDescent="0.35">
      <c r="B195" s="204" t="str">
        <f>IF(Lançamentos!$B190="","",Lançamentos!$B190)</f>
        <v/>
      </c>
      <c r="C195" s="205" t="str">
        <f>IF($B195="","",IFERROR(INDEX(Lançamentos!$J$3:$J$1001,MATCH($B195,Lançamentos!$B$3:$B$1001,0)),""))</f>
        <v/>
      </c>
      <c r="D195" s="411" t="str">
        <f>IF($B195="","",IFERROR(INDEX('E2 — Triagem'!$D$8:$D$507,MATCH($B195,'E2 — Triagem'!$B$8:$B$507,0)),""))</f>
        <v/>
      </c>
      <c r="E195" s="193"/>
      <c r="F195" s="193"/>
      <c r="G195" s="193"/>
      <c r="H195" s="193"/>
      <c r="I195" s="193"/>
      <c r="J195" s="193"/>
      <c r="K195" s="207" t="str">
        <f t="shared" si="8"/>
        <v/>
      </c>
      <c r="L195" s="181"/>
      <c r="M195" s="181"/>
      <c r="N195" s="193"/>
      <c r="O195" s="208" t="str">
        <f>IF(B195="","",IF(Lançamentos!D190="","",Lançamentos!D190))</f>
        <v/>
      </c>
      <c r="P195" s="209">
        <v>7</v>
      </c>
      <c r="Q195" s="208" t="str">
        <f t="shared" si="9"/>
        <v/>
      </c>
      <c r="R195" s="210"/>
      <c r="S195" s="211" t="str">
        <f t="shared" ca="1" si="10"/>
        <v/>
      </c>
      <c r="T195" s="206" t="str">
        <f t="shared" ca="1" si="11"/>
        <v/>
      </c>
      <c r="U195" s="195"/>
    </row>
    <row r="196" spans="2:21" ht="18" customHeight="1" x14ac:dyDescent="0.35">
      <c r="B196" s="204" t="str">
        <f>IF(Lançamentos!$B191="","",Lançamentos!$B191)</f>
        <v/>
      </c>
      <c r="C196" s="205" t="str">
        <f>IF($B196="","",IFERROR(INDEX(Lançamentos!$J$3:$J$1001,MATCH($B196,Lançamentos!$B$3:$B$1001,0)),""))</f>
        <v/>
      </c>
      <c r="D196" s="411" t="str">
        <f>IF($B196="","",IFERROR(INDEX('E2 — Triagem'!$D$8:$D$507,MATCH($B196,'E2 — Triagem'!$B$8:$B$507,0)),""))</f>
        <v/>
      </c>
      <c r="E196" s="193"/>
      <c r="F196" s="193"/>
      <c r="G196" s="193"/>
      <c r="H196" s="193"/>
      <c r="I196" s="193"/>
      <c r="J196" s="193"/>
      <c r="K196" s="207" t="str">
        <f t="shared" si="8"/>
        <v/>
      </c>
      <c r="L196" s="181"/>
      <c r="M196" s="181"/>
      <c r="N196" s="193"/>
      <c r="O196" s="208" t="str">
        <f>IF(B196="","",IF(Lançamentos!D191="","",Lançamentos!D191))</f>
        <v/>
      </c>
      <c r="P196" s="209">
        <v>7</v>
      </c>
      <c r="Q196" s="208" t="str">
        <f t="shared" si="9"/>
        <v/>
      </c>
      <c r="R196" s="210"/>
      <c r="S196" s="211" t="str">
        <f t="shared" ca="1" si="10"/>
        <v/>
      </c>
      <c r="T196" s="206" t="str">
        <f t="shared" ca="1" si="11"/>
        <v/>
      </c>
      <c r="U196" s="195"/>
    </row>
    <row r="197" spans="2:21" ht="18" customHeight="1" x14ac:dyDescent="0.35">
      <c r="B197" s="204" t="str">
        <f>IF(Lançamentos!$B192="","",Lançamentos!$B192)</f>
        <v/>
      </c>
      <c r="C197" s="205" t="str">
        <f>IF($B197="","",IFERROR(INDEX(Lançamentos!$J$3:$J$1001,MATCH($B197,Lançamentos!$B$3:$B$1001,0)),""))</f>
        <v/>
      </c>
      <c r="D197" s="411" t="str">
        <f>IF($B197="","",IFERROR(INDEX('E2 — Triagem'!$D$8:$D$507,MATCH($B197,'E2 — Triagem'!$B$8:$B$507,0)),""))</f>
        <v/>
      </c>
      <c r="E197" s="193"/>
      <c r="F197" s="193"/>
      <c r="G197" s="193"/>
      <c r="H197" s="193"/>
      <c r="I197" s="193"/>
      <c r="J197" s="193"/>
      <c r="K197" s="207" t="str">
        <f t="shared" si="8"/>
        <v/>
      </c>
      <c r="L197" s="181"/>
      <c r="M197" s="181"/>
      <c r="N197" s="193"/>
      <c r="O197" s="208" t="str">
        <f>IF(B197="","",IF(Lançamentos!D192="","",Lançamentos!D192))</f>
        <v/>
      </c>
      <c r="P197" s="209">
        <v>7</v>
      </c>
      <c r="Q197" s="208" t="str">
        <f t="shared" si="9"/>
        <v/>
      </c>
      <c r="R197" s="210"/>
      <c r="S197" s="211" t="str">
        <f t="shared" ca="1" si="10"/>
        <v/>
      </c>
      <c r="T197" s="206" t="str">
        <f t="shared" ca="1" si="11"/>
        <v/>
      </c>
      <c r="U197" s="195"/>
    </row>
    <row r="198" spans="2:21" ht="18" customHeight="1" x14ac:dyDescent="0.35">
      <c r="B198" s="204" t="str">
        <f>IF(Lançamentos!$B193="","",Lançamentos!$B193)</f>
        <v/>
      </c>
      <c r="C198" s="205" t="str">
        <f>IF($B198="","",IFERROR(INDEX(Lançamentos!$J$3:$J$1001,MATCH($B198,Lançamentos!$B$3:$B$1001,0)),""))</f>
        <v/>
      </c>
      <c r="D198" s="411" t="str">
        <f>IF($B198="","",IFERROR(INDEX('E2 — Triagem'!$D$8:$D$507,MATCH($B198,'E2 — Triagem'!$B$8:$B$507,0)),""))</f>
        <v/>
      </c>
      <c r="E198" s="193"/>
      <c r="F198" s="193"/>
      <c r="G198" s="193"/>
      <c r="H198" s="193"/>
      <c r="I198" s="193"/>
      <c r="J198" s="193"/>
      <c r="K198" s="207" t="str">
        <f t="shared" si="8"/>
        <v/>
      </c>
      <c r="L198" s="181"/>
      <c r="M198" s="181"/>
      <c r="N198" s="193"/>
      <c r="O198" s="208" t="str">
        <f>IF(B198="","",IF(Lançamentos!D193="","",Lançamentos!D193))</f>
        <v/>
      </c>
      <c r="P198" s="209">
        <v>7</v>
      </c>
      <c r="Q198" s="208" t="str">
        <f t="shared" si="9"/>
        <v/>
      </c>
      <c r="R198" s="210"/>
      <c r="S198" s="211" t="str">
        <f t="shared" ca="1" si="10"/>
        <v/>
      </c>
      <c r="T198" s="206" t="str">
        <f t="shared" ca="1" si="11"/>
        <v/>
      </c>
      <c r="U198" s="195"/>
    </row>
    <row r="199" spans="2:21" ht="18" customHeight="1" x14ac:dyDescent="0.35">
      <c r="B199" s="204" t="str">
        <f>IF(Lançamentos!$B194="","",Lançamentos!$B194)</f>
        <v/>
      </c>
      <c r="C199" s="205" t="str">
        <f>IF($B199="","",IFERROR(INDEX(Lançamentos!$J$3:$J$1001,MATCH($B199,Lançamentos!$B$3:$B$1001,0)),""))</f>
        <v/>
      </c>
      <c r="D199" s="411" t="str">
        <f>IF($B199="","",IFERROR(INDEX('E2 — Triagem'!$D$8:$D$507,MATCH($B199,'E2 — Triagem'!$B$8:$B$507,0)),""))</f>
        <v/>
      </c>
      <c r="E199" s="193"/>
      <c r="F199" s="193"/>
      <c r="G199" s="193"/>
      <c r="H199" s="193"/>
      <c r="I199" s="193"/>
      <c r="J199" s="193"/>
      <c r="K199" s="207" t="str">
        <f t="shared" si="8"/>
        <v/>
      </c>
      <c r="L199" s="181"/>
      <c r="M199" s="181"/>
      <c r="N199" s="193"/>
      <c r="O199" s="208" t="str">
        <f>IF(B199="","",IF(Lançamentos!D194="","",Lançamentos!D194))</f>
        <v/>
      </c>
      <c r="P199" s="209">
        <v>7</v>
      </c>
      <c r="Q199" s="208" t="str">
        <f t="shared" si="9"/>
        <v/>
      </c>
      <c r="R199" s="210"/>
      <c r="S199" s="211" t="str">
        <f t="shared" ca="1" si="10"/>
        <v/>
      </c>
      <c r="T199" s="206" t="str">
        <f t="shared" ca="1" si="11"/>
        <v/>
      </c>
      <c r="U199" s="195"/>
    </row>
    <row r="200" spans="2:21" ht="18" customHeight="1" x14ac:dyDescent="0.35">
      <c r="B200" s="204" t="str">
        <f>IF(Lançamentos!$B195="","",Lançamentos!$B195)</f>
        <v/>
      </c>
      <c r="C200" s="205" t="str">
        <f>IF($B200="","",IFERROR(INDEX(Lançamentos!$J$3:$J$1001,MATCH($B200,Lançamentos!$B$3:$B$1001,0)),""))</f>
        <v/>
      </c>
      <c r="D200" s="411" t="str">
        <f>IF($B200="","",IFERROR(INDEX('E2 — Triagem'!$D$8:$D$507,MATCH($B200,'E2 — Triagem'!$B$8:$B$507,0)),""))</f>
        <v/>
      </c>
      <c r="E200" s="193"/>
      <c r="F200" s="193"/>
      <c r="G200" s="193"/>
      <c r="H200" s="193"/>
      <c r="I200" s="193"/>
      <c r="J200" s="193"/>
      <c r="K200" s="207" t="str">
        <f t="shared" si="8"/>
        <v/>
      </c>
      <c r="L200" s="181"/>
      <c r="M200" s="181"/>
      <c r="N200" s="193"/>
      <c r="O200" s="208" t="str">
        <f>IF(B200="","",IF(Lançamentos!D195="","",Lançamentos!D195))</f>
        <v/>
      </c>
      <c r="P200" s="209">
        <v>7</v>
      </c>
      <c r="Q200" s="208" t="str">
        <f t="shared" si="9"/>
        <v/>
      </c>
      <c r="R200" s="210"/>
      <c r="S200" s="211" t="str">
        <f t="shared" ca="1" si="10"/>
        <v/>
      </c>
      <c r="T200" s="206" t="str">
        <f t="shared" ca="1" si="11"/>
        <v/>
      </c>
      <c r="U200" s="195"/>
    </row>
    <row r="201" spans="2:21" ht="18" customHeight="1" x14ac:dyDescent="0.35">
      <c r="B201" s="204" t="str">
        <f>IF(Lançamentos!$B196="","",Lançamentos!$B196)</f>
        <v/>
      </c>
      <c r="C201" s="205" t="str">
        <f>IF($B201="","",IFERROR(INDEX(Lançamentos!$J$3:$J$1001,MATCH($B201,Lançamentos!$B$3:$B$1001,0)),""))</f>
        <v/>
      </c>
      <c r="D201" s="411" t="str">
        <f>IF($B201="","",IFERROR(INDEX('E2 — Triagem'!$D$8:$D$507,MATCH($B201,'E2 — Triagem'!$B$8:$B$507,0)),""))</f>
        <v/>
      </c>
      <c r="E201" s="193"/>
      <c r="F201" s="193"/>
      <c r="G201" s="193"/>
      <c r="H201" s="193"/>
      <c r="I201" s="193"/>
      <c r="J201" s="193"/>
      <c r="K201" s="207" t="str">
        <f t="shared" ref="K201:K207" si="12">IF(B201="","",IF(COUNTIF(E201:J201,"N/A")=6,0,COUNTIF(E201:J201,"✔ Concluído")/(6-COUNTIF(E201:J201,"N/A"))))</f>
        <v/>
      </c>
      <c r="L201" s="181"/>
      <c r="M201" s="181"/>
      <c r="N201" s="193"/>
      <c r="O201" s="208" t="str">
        <f>IF(B201="","",IF(Lançamentos!D196="","",Lançamentos!D196))</f>
        <v/>
      </c>
      <c r="P201" s="209">
        <v>7</v>
      </c>
      <c r="Q201" s="208" t="str">
        <f t="shared" ref="Q201:Q207" si="13">IF(OR(O201="",P201=""),"",O201+P201)</f>
        <v/>
      </c>
      <c r="R201" s="210"/>
      <c r="S201" s="211" t="str">
        <f t="shared" ref="S201:S207" ca="1" si="14">IF(O201="","",MAX(0,IF(R201&lt;&gt;"",R201-O201,TODAY()-O201)))</f>
        <v/>
      </c>
      <c r="T201" s="206" t="str">
        <f t="shared" ref="T201:T207" ca="1" si="15">IF(B201="","",IF(R201&lt;&gt;"","✅ Encerrado",IF(O201="","",IF(TODAY()&gt;Q201,"🔴 Hypercare Atrasado",IF(TODAY()&gt;=Q201-2,"🟡 Próximo do Encerramento","🟢 Dentro do Período")))))</f>
        <v/>
      </c>
      <c r="U201" s="195"/>
    </row>
    <row r="202" spans="2:21" ht="18" customHeight="1" x14ac:dyDescent="0.35">
      <c r="B202" s="204" t="str">
        <f>IF(Lançamentos!$B197="","",Lançamentos!$B197)</f>
        <v/>
      </c>
      <c r="C202" s="205" t="str">
        <f>IF($B202="","",IFERROR(INDEX(Lançamentos!$J$3:$J$1001,MATCH($B202,Lançamentos!$B$3:$B$1001,0)),""))</f>
        <v/>
      </c>
      <c r="D202" s="411" t="str">
        <f>IF($B202="","",IFERROR(INDEX('E2 — Triagem'!$D$8:$D$507,MATCH($B202,'E2 — Triagem'!$B$8:$B$507,0)),""))</f>
        <v/>
      </c>
      <c r="E202" s="193"/>
      <c r="F202" s="193"/>
      <c r="G202" s="193"/>
      <c r="H202" s="193"/>
      <c r="I202" s="193"/>
      <c r="J202" s="193"/>
      <c r="K202" s="207" t="str">
        <f t="shared" si="12"/>
        <v/>
      </c>
      <c r="L202" s="181"/>
      <c r="M202" s="181"/>
      <c r="N202" s="193"/>
      <c r="O202" s="208" t="str">
        <f>IF(B202="","",IF(Lançamentos!D197="","",Lançamentos!D197))</f>
        <v/>
      </c>
      <c r="P202" s="209">
        <v>7</v>
      </c>
      <c r="Q202" s="208" t="str">
        <f t="shared" si="13"/>
        <v/>
      </c>
      <c r="R202" s="210"/>
      <c r="S202" s="211" t="str">
        <f t="shared" ca="1" si="14"/>
        <v/>
      </c>
      <c r="T202" s="206" t="str">
        <f t="shared" ca="1" si="15"/>
        <v/>
      </c>
      <c r="U202" s="195"/>
    </row>
    <row r="203" spans="2:21" ht="18" customHeight="1" x14ac:dyDescent="0.35">
      <c r="B203" s="204" t="str">
        <f>IF(Lançamentos!$B198="","",Lançamentos!$B198)</f>
        <v/>
      </c>
      <c r="C203" s="205" t="str">
        <f>IF($B203="","",IFERROR(INDEX(Lançamentos!$J$3:$J$1001,MATCH($B203,Lançamentos!$B$3:$B$1001,0)),""))</f>
        <v/>
      </c>
      <c r="D203" s="411" t="str">
        <f>IF($B203="","",IFERROR(INDEX('E2 — Triagem'!$D$8:$D$507,MATCH($B203,'E2 — Triagem'!$B$8:$B$507,0)),""))</f>
        <v/>
      </c>
      <c r="E203" s="193"/>
      <c r="F203" s="193"/>
      <c r="G203" s="193"/>
      <c r="H203" s="193"/>
      <c r="I203" s="193"/>
      <c r="J203" s="193"/>
      <c r="K203" s="207" t="str">
        <f t="shared" si="12"/>
        <v/>
      </c>
      <c r="L203" s="181"/>
      <c r="M203" s="181"/>
      <c r="N203" s="193"/>
      <c r="O203" s="208" t="str">
        <f>IF(B203="","",IF(Lançamentos!D198="","",Lançamentos!D198))</f>
        <v/>
      </c>
      <c r="P203" s="209">
        <v>7</v>
      </c>
      <c r="Q203" s="208" t="str">
        <f t="shared" si="13"/>
        <v/>
      </c>
      <c r="R203" s="210"/>
      <c r="S203" s="211" t="str">
        <f t="shared" ca="1" si="14"/>
        <v/>
      </c>
      <c r="T203" s="206" t="str">
        <f t="shared" ca="1" si="15"/>
        <v/>
      </c>
      <c r="U203" s="195"/>
    </row>
    <row r="204" spans="2:21" ht="18" customHeight="1" x14ac:dyDescent="0.35">
      <c r="B204" s="204" t="str">
        <f>IF(Lançamentos!$B199="","",Lançamentos!$B199)</f>
        <v/>
      </c>
      <c r="C204" s="205" t="str">
        <f>IF($B204="","",IFERROR(INDEX(Lançamentos!$J$3:$J$1001,MATCH($B204,Lançamentos!$B$3:$B$1001,0)),""))</f>
        <v/>
      </c>
      <c r="D204" s="411" t="str">
        <f>IF($B204="","",IFERROR(INDEX('E2 — Triagem'!$D$8:$D$507,MATCH($B204,'E2 — Triagem'!$B$8:$B$507,0)),""))</f>
        <v/>
      </c>
      <c r="E204" s="193"/>
      <c r="F204" s="193"/>
      <c r="G204" s="193"/>
      <c r="H204" s="193"/>
      <c r="I204" s="193"/>
      <c r="J204" s="193"/>
      <c r="K204" s="207" t="str">
        <f t="shared" si="12"/>
        <v/>
      </c>
      <c r="L204" s="181"/>
      <c r="M204" s="181"/>
      <c r="N204" s="193"/>
      <c r="O204" s="208" t="str">
        <f>IF(B204="","",IF(Lançamentos!D199="","",Lançamentos!D199))</f>
        <v/>
      </c>
      <c r="P204" s="209">
        <v>7</v>
      </c>
      <c r="Q204" s="208" t="str">
        <f t="shared" si="13"/>
        <v/>
      </c>
      <c r="R204" s="210"/>
      <c r="S204" s="211" t="str">
        <f t="shared" ca="1" si="14"/>
        <v/>
      </c>
      <c r="T204" s="206" t="str">
        <f t="shared" ca="1" si="15"/>
        <v/>
      </c>
      <c r="U204" s="195"/>
    </row>
    <row r="205" spans="2:21" ht="18" customHeight="1" x14ac:dyDescent="0.35">
      <c r="B205" s="204" t="str">
        <f>IF(Lançamentos!$B200="","",Lançamentos!$B200)</f>
        <v/>
      </c>
      <c r="C205" s="205" t="str">
        <f>IF($B205="","",IFERROR(INDEX(Lançamentos!$J$3:$J$1001,MATCH($B205,Lançamentos!$B$3:$B$1001,0)),""))</f>
        <v/>
      </c>
      <c r="D205" s="411" t="str">
        <f>IF($B205="","",IFERROR(INDEX('E2 — Triagem'!$D$8:$D$507,MATCH($B205,'E2 — Triagem'!$B$8:$B$507,0)),""))</f>
        <v/>
      </c>
      <c r="E205" s="193"/>
      <c r="F205" s="193"/>
      <c r="G205" s="193"/>
      <c r="H205" s="193"/>
      <c r="I205" s="193"/>
      <c r="J205" s="193"/>
      <c r="K205" s="207" t="str">
        <f t="shared" si="12"/>
        <v/>
      </c>
      <c r="L205" s="181"/>
      <c r="M205" s="181"/>
      <c r="N205" s="193"/>
      <c r="O205" s="208" t="str">
        <f>IF(B205="","",IF(Lançamentos!D200="","",Lançamentos!D200))</f>
        <v/>
      </c>
      <c r="P205" s="209">
        <v>7</v>
      </c>
      <c r="Q205" s="208" t="str">
        <f t="shared" si="13"/>
        <v/>
      </c>
      <c r="R205" s="210"/>
      <c r="S205" s="211" t="str">
        <f t="shared" ca="1" si="14"/>
        <v/>
      </c>
      <c r="T205" s="206" t="str">
        <f t="shared" ca="1" si="15"/>
        <v/>
      </c>
      <c r="U205" s="195"/>
    </row>
    <row r="206" spans="2:21" ht="18" customHeight="1" x14ac:dyDescent="0.35">
      <c r="B206" s="204" t="str">
        <f>IF(Lançamentos!$B201="","",Lançamentos!$B201)</f>
        <v/>
      </c>
      <c r="C206" s="205" t="str">
        <f>IF($B206="","",IFERROR(INDEX(Lançamentos!$J$3:$J$1001,MATCH($B206,Lançamentos!$B$3:$B$1001,0)),""))</f>
        <v/>
      </c>
      <c r="D206" s="411" t="str">
        <f>IF($B206="","",IFERROR(INDEX('E2 — Triagem'!$D$8:$D$507,MATCH($B206,'E2 — Triagem'!$B$8:$B$507,0)),""))</f>
        <v/>
      </c>
      <c r="E206" s="193"/>
      <c r="F206" s="193"/>
      <c r="G206" s="193"/>
      <c r="H206" s="193"/>
      <c r="I206" s="193"/>
      <c r="J206" s="193"/>
      <c r="K206" s="207" t="str">
        <f t="shared" si="12"/>
        <v/>
      </c>
      <c r="L206" s="181"/>
      <c r="M206" s="181"/>
      <c r="N206" s="193"/>
      <c r="O206" s="208" t="str">
        <f>IF(B206="","",IF(Lançamentos!D201="","",Lançamentos!D201))</f>
        <v/>
      </c>
      <c r="P206" s="209">
        <v>7</v>
      </c>
      <c r="Q206" s="208" t="str">
        <f t="shared" si="13"/>
        <v/>
      </c>
      <c r="R206" s="210"/>
      <c r="S206" s="211" t="str">
        <f t="shared" ca="1" si="14"/>
        <v/>
      </c>
      <c r="T206" s="206" t="str">
        <f t="shared" ca="1" si="15"/>
        <v/>
      </c>
      <c r="U206" s="195"/>
    </row>
    <row r="207" spans="2:21" ht="18" customHeight="1" x14ac:dyDescent="0.35">
      <c r="B207" s="212" t="str">
        <f>IF(Lançamentos!$B202="","",Lançamentos!$B202)</f>
        <v/>
      </c>
      <c r="C207" s="213" t="str">
        <f>IF($B207="","",IFERROR(INDEX(Lançamentos!$J$3:$J$1001,MATCH($B207,Lançamentos!$B$3:$B$1001,0)),""))</f>
        <v/>
      </c>
      <c r="D207" s="412" t="str">
        <f>IF($B207="","",IFERROR(INDEX('E2 — Triagem'!$D$8:$D$507,MATCH($B207,'E2 — Triagem'!$B$8:$B$507,0)),""))</f>
        <v/>
      </c>
      <c r="E207" s="198"/>
      <c r="F207" s="198"/>
      <c r="G207" s="198"/>
      <c r="H207" s="198"/>
      <c r="I207" s="198"/>
      <c r="J207" s="198"/>
      <c r="K207" s="215" t="str">
        <f t="shared" si="12"/>
        <v/>
      </c>
      <c r="L207" s="200"/>
      <c r="M207" s="200"/>
      <c r="N207" s="198"/>
      <c r="O207" s="216" t="str">
        <f>IF(B207="","",IF(Lançamentos!D202="","",Lançamentos!D202))</f>
        <v/>
      </c>
      <c r="P207" s="209">
        <v>7</v>
      </c>
      <c r="Q207" s="216" t="str">
        <f t="shared" si="13"/>
        <v/>
      </c>
      <c r="R207" s="217"/>
      <c r="S207" s="218" t="str">
        <f t="shared" ca="1" si="14"/>
        <v/>
      </c>
      <c r="T207" s="214" t="str">
        <f t="shared" ca="1" si="15"/>
        <v/>
      </c>
      <c r="U207" s="201"/>
    </row>
    <row r="208" spans="2:21" x14ac:dyDescent="0.35">
      <c r="B208" s="459" t="str">
        <f>IF(Lançamentos!$B203="","",Lançamentos!$B203)</f>
        <v/>
      </c>
      <c r="C208" s="460" t="str">
        <f>IF($B208="","",IFERROR(INDEX(Lançamentos!$J$3:$J$1001,MATCH($B208,Lançamentos!$B$3:$B$1001,0)),""))</f>
        <v/>
      </c>
      <c r="D208" s="461" t="str">
        <f>IF($B208="","",IFERROR(INDEX('E2 — Triagem'!$D$8:$D$507,MATCH($B208,'E2 — Triagem'!$B$8:$B$507,0)),""))</f>
        <v/>
      </c>
      <c r="E208" s="447"/>
      <c r="F208" s="447"/>
      <c r="G208" s="447"/>
      <c r="H208" s="447"/>
      <c r="I208" s="447"/>
      <c r="J208" s="447"/>
      <c r="K208" s="462" t="str">
        <f t="shared" ref="K208:K271" si="16">IF(B208="","",IF(COUNTIF(E208:J208,"N/A")=6,0,COUNTIF(E208:J208,"✔ Concluído")/(6-COUNTIF(E208:J208,"N/A"))))</f>
        <v/>
      </c>
      <c r="L208" s="448"/>
      <c r="M208" s="448"/>
      <c r="N208" s="447"/>
      <c r="O208" s="463" t="str">
        <f>IF(B208="","",IF(Lançamentos!D203="","",Lançamentos!D203))</f>
        <v/>
      </c>
      <c r="P208" s="209">
        <v>7</v>
      </c>
      <c r="Q208" s="464" t="str">
        <f t="shared" ref="Q208:Q271" si="17">IF(OR(O208="",P208=""),"",O208+P208)</f>
        <v/>
      </c>
      <c r="R208" s="465"/>
      <c r="S208" s="466" t="str">
        <f t="shared" ref="S208:S271" ca="1" si="18">IF(O208="","",MAX(0,IF(R208&lt;&gt;"",R208-O208,TODAY()-O208)))</f>
        <v/>
      </c>
      <c r="T208" s="461" t="str">
        <f t="shared" ref="T208:T271" ca="1" si="19">IF(B208="","",IF(R208&lt;&gt;"","✅ Encerrado",IF(O208="","",IF(TODAY()&gt;Q208,"🔴 Hypercare Atrasado",IF(TODAY()&gt;=Q208-2,"🟡 Próximo do Encerramento","🟢 Dentro do Período")))))</f>
        <v/>
      </c>
      <c r="U208" s="449"/>
    </row>
    <row r="209" spans="2:21" x14ac:dyDescent="0.35">
      <c r="B209" s="459" t="str">
        <f>IF(Lançamentos!$B204="","",Lançamentos!$B204)</f>
        <v/>
      </c>
      <c r="C209" s="460" t="str">
        <f>IF($B209="","",IFERROR(INDEX(Lançamentos!$J$3:$J$1001,MATCH($B209,Lançamentos!$B$3:$B$1001,0)),""))</f>
        <v/>
      </c>
      <c r="D209" s="461" t="str">
        <f>IF($B209="","",IFERROR(INDEX('E2 — Triagem'!$D$8:$D$507,MATCH($B209,'E2 — Triagem'!$B$8:$B$507,0)),""))</f>
        <v/>
      </c>
      <c r="E209" s="447"/>
      <c r="F209" s="447"/>
      <c r="G209" s="447"/>
      <c r="H209" s="447"/>
      <c r="I209" s="447"/>
      <c r="J209" s="447"/>
      <c r="K209" s="462" t="str">
        <f t="shared" si="16"/>
        <v/>
      </c>
      <c r="L209" s="448"/>
      <c r="M209" s="448"/>
      <c r="N209" s="447"/>
      <c r="O209" s="463" t="str">
        <f>IF(B209="","",IF(Lançamentos!D204="","",Lançamentos!D204))</f>
        <v/>
      </c>
      <c r="P209" s="209">
        <v>7</v>
      </c>
      <c r="Q209" s="464" t="str">
        <f t="shared" si="17"/>
        <v/>
      </c>
      <c r="R209" s="465"/>
      <c r="S209" s="466" t="str">
        <f t="shared" ca="1" si="18"/>
        <v/>
      </c>
      <c r="T209" s="461" t="str">
        <f t="shared" ca="1" si="19"/>
        <v/>
      </c>
      <c r="U209" s="449"/>
    </row>
    <row r="210" spans="2:21" x14ac:dyDescent="0.35">
      <c r="B210" s="459" t="str">
        <f>IF(Lançamentos!$B205="","",Lançamentos!$B205)</f>
        <v/>
      </c>
      <c r="C210" s="460" t="str">
        <f>IF($B210="","",IFERROR(INDEX(Lançamentos!$J$3:$J$1001,MATCH($B210,Lançamentos!$B$3:$B$1001,0)),""))</f>
        <v/>
      </c>
      <c r="D210" s="461" t="str">
        <f>IF($B210="","",IFERROR(INDEX('E2 — Triagem'!$D$8:$D$507,MATCH($B210,'E2 — Triagem'!$B$8:$B$507,0)),""))</f>
        <v/>
      </c>
      <c r="E210" s="447"/>
      <c r="F210" s="447"/>
      <c r="G210" s="447"/>
      <c r="H210" s="447"/>
      <c r="I210" s="447"/>
      <c r="J210" s="447"/>
      <c r="K210" s="462" t="str">
        <f t="shared" si="16"/>
        <v/>
      </c>
      <c r="L210" s="448"/>
      <c r="M210" s="448"/>
      <c r="N210" s="447"/>
      <c r="O210" s="463" t="str">
        <f>IF(B210="","",IF(Lançamentos!D205="","",Lançamentos!D205))</f>
        <v/>
      </c>
      <c r="P210" s="209">
        <v>7</v>
      </c>
      <c r="Q210" s="464" t="str">
        <f t="shared" si="17"/>
        <v/>
      </c>
      <c r="R210" s="465"/>
      <c r="S210" s="466" t="str">
        <f t="shared" ca="1" si="18"/>
        <v/>
      </c>
      <c r="T210" s="461" t="str">
        <f t="shared" ca="1" si="19"/>
        <v/>
      </c>
      <c r="U210" s="449"/>
    </row>
    <row r="211" spans="2:21" x14ac:dyDescent="0.35">
      <c r="B211" s="459" t="str">
        <f>IF(Lançamentos!$B206="","",Lançamentos!$B206)</f>
        <v/>
      </c>
      <c r="C211" s="460" t="str">
        <f>IF($B211="","",IFERROR(INDEX(Lançamentos!$J$3:$J$1001,MATCH($B211,Lançamentos!$B$3:$B$1001,0)),""))</f>
        <v/>
      </c>
      <c r="D211" s="461" t="str">
        <f>IF($B211="","",IFERROR(INDEX('E2 — Triagem'!$D$8:$D$507,MATCH($B211,'E2 — Triagem'!$B$8:$B$507,0)),""))</f>
        <v/>
      </c>
      <c r="E211" s="447"/>
      <c r="F211" s="447"/>
      <c r="G211" s="447"/>
      <c r="H211" s="447"/>
      <c r="I211" s="447"/>
      <c r="J211" s="447"/>
      <c r="K211" s="462" t="str">
        <f t="shared" si="16"/>
        <v/>
      </c>
      <c r="L211" s="448"/>
      <c r="M211" s="448"/>
      <c r="N211" s="447"/>
      <c r="O211" s="463" t="str">
        <f>IF(B211="","",IF(Lançamentos!D206="","",Lançamentos!D206))</f>
        <v/>
      </c>
      <c r="P211" s="209">
        <v>7</v>
      </c>
      <c r="Q211" s="464" t="str">
        <f t="shared" si="17"/>
        <v/>
      </c>
      <c r="R211" s="465"/>
      <c r="S211" s="466" t="str">
        <f t="shared" ca="1" si="18"/>
        <v/>
      </c>
      <c r="T211" s="461" t="str">
        <f t="shared" ca="1" si="19"/>
        <v/>
      </c>
      <c r="U211" s="449"/>
    </row>
    <row r="212" spans="2:21" x14ac:dyDescent="0.35">
      <c r="B212" s="459" t="str">
        <f>IF(Lançamentos!$B207="","",Lançamentos!$B207)</f>
        <v/>
      </c>
      <c r="C212" s="460" t="str">
        <f>IF($B212="","",IFERROR(INDEX(Lançamentos!$J$3:$J$1001,MATCH($B212,Lançamentos!$B$3:$B$1001,0)),""))</f>
        <v/>
      </c>
      <c r="D212" s="461" t="str">
        <f>IF($B212="","",IFERROR(INDEX('E2 — Triagem'!$D$8:$D$507,MATCH($B212,'E2 — Triagem'!$B$8:$B$507,0)),""))</f>
        <v/>
      </c>
      <c r="E212" s="447"/>
      <c r="F212" s="447"/>
      <c r="G212" s="447"/>
      <c r="H212" s="447"/>
      <c r="I212" s="447"/>
      <c r="J212" s="447"/>
      <c r="K212" s="462" t="str">
        <f t="shared" si="16"/>
        <v/>
      </c>
      <c r="L212" s="448"/>
      <c r="M212" s="448"/>
      <c r="N212" s="447"/>
      <c r="O212" s="463" t="str">
        <f>IF(B212="","",IF(Lançamentos!D207="","",Lançamentos!D207))</f>
        <v/>
      </c>
      <c r="P212" s="209">
        <v>7</v>
      </c>
      <c r="Q212" s="464" t="str">
        <f t="shared" si="17"/>
        <v/>
      </c>
      <c r="R212" s="465"/>
      <c r="S212" s="466" t="str">
        <f t="shared" ca="1" si="18"/>
        <v/>
      </c>
      <c r="T212" s="461" t="str">
        <f t="shared" ca="1" si="19"/>
        <v/>
      </c>
      <c r="U212" s="449"/>
    </row>
    <row r="213" spans="2:21" x14ac:dyDescent="0.35">
      <c r="B213" s="459" t="str">
        <f>IF(Lançamentos!$B208="","",Lançamentos!$B208)</f>
        <v/>
      </c>
      <c r="C213" s="460" t="str">
        <f>IF($B213="","",IFERROR(INDEX(Lançamentos!$J$3:$J$1001,MATCH($B213,Lançamentos!$B$3:$B$1001,0)),""))</f>
        <v/>
      </c>
      <c r="D213" s="461" t="str">
        <f>IF($B213="","",IFERROR(INDEX('E2 — Triagem'!$D$8:$D$507,MATCH($B213,'E2 — Triagem'!$B$8:$B$507,0)),""))</f>
        <v/>
      </c>
      <c r="E213" s="447"/>
      <c r="F213" s="447"/>
      <c r="G213" s="447"/>
      <c r="H213" s="447"/>
      <c r="I213" s="447"/>
      <c r="J213" s="447"/>
      <c r="K213" s="462" t="str">
        <f t="shared" si="16"/>
        <v/>
      </c>
      <c r="L213" s="448"/>
      <c r="M213" s="448"/>
      <c r="N213" s="447"/>
      <c r="O213" s="463" t="str">
        <f>IF(B213="","",IF(Lançamentos!D208="","",Lançamentos!D208))</f>
        <v/>
      </c>
      <c r="P213" s="209">
        <v>7</v>
      </c>
      <c r="Q213" s="464" t="str">
        <f t="shared" si="17"/>
        <v/>
      </c>
      <c r="R213" s="465"/>
      <c r="S213" s="466" t="str">
        <f t="shared" ca="1" si="18"/>
        <v/>
      </c>
      <c r="T213" s="461" t="str">
        <f t="shared" ca="1" si="19"/>
        <v/>
      </c>
      <c r="U213" s="449"/>
    </row>
    <row r="214" spans="2:21" x14ac:dyDescent="0.35">
      <c r="B214" s="459" t="str">
        <f>IF(Lançamentos!$B209="","",Lançamentos!$B209)</f>
        <v/>
      </c>
      <c r="C214" s="460" t="str">
        <f>IF($B214="","",IFERROR(INDEX(Lançamentos!$J$3:$J$1001,MATCH($B214,Lançamentos!$B$3:$B$1001,0)),""))</f>
        <v/>
      </c>
      <c r="D214" s="461" t="str">
        <f>IF($B214="","",IFERROR(INDEX('E2 — Triagem'!$D$8:$D$507,MATCH($B214,'E2 — Triagem'!$B$8:$B$507,0)),""))</f>
        <v/>
      </c>
      <c r="E214" s="447"/>
      <c r="F214" s="447"/>
      <c r="G214" s="447"/>
      <c r="H214" s="447"/>
      <c r="I214" s="447"/>
      <c r="J214" s="447"/>
      <c r="K214" s="462" t="str">
        <f t="shared" si="16"/>
        <v/>
      </c>
      <c r="L214" s="448"/>
      <c r="M214" s="448"/>
      <c r="N214" s="447"/>
      <c r="O214" s="463" t="str">
        <f>IF(B214="","",IF(Lançamentos!D209="","",Lançamentos!D209))</f>
        <v/>
      </c>
      <c r="P214" s="209">
        <v>7</v>
      </c>
      <c r="Q214" s="464" t="str">
        <f t="shared" si="17"/>
        <v/>
      </c>
      <c r="R214" s="465"/>
      <c r="S214" s="466" t="str">
        <f t="shared" ca="1" si="18"/>
        <v/>
      </c>
      <c r="T214" s="461" t="str">
        <f t="shared" ca="1" si="19"/>
        <v/>
      </c>
      <c r="U214" s="449"/>
    </row>
    <row r="215" spans="2:21" x14ac:dyDescent="0.35">
      <c r="B215" s="459" t="str">
        <f>IF(Lançamentos!$B210="","",Lançamentos!$B210)</f>
        <v/>
      </c>
      <c r="C215" s="460" t="str">
        <f>IF($B215="","",IFERROR(INDEX(Lançamentos!$J$3:$J$1001,MATCH($B215,Lançamentos!$B$3:$B$1001,0)),""))</f>
        <v/>
      </c>
      <c r="D215" s="461" t="str">
        <f>IF($B215="","",IFERROR(INDEX('E2 — Triagem'!$D$8:$D$507,MATCH($B215,'E2 — Triagem'!$B$8:$B$507,0)),""))</f>
        <v/>
      </c>
      <c r="E215" s="447"/>
      <c r="F215" s="447"/>
      <c r="G215" s="447"/>
      <c r="H215" s="447"/>
      <c r="I215" s="447"/>
      <c r="J215" s="447"/>
      <c r="K215" s="462" t="str">
        <f t="shared" si="16"/>
        <v/>
      </c>
      <c r="L215" s="448"/>
      <c r="M215" s="448"/>
      <c r="N215" s="447"/>
      <c r="O215" s="463" t="str">
        <f>IF(B215="","",IF(Lançamentos!D210="","",Lançamentos!D210))</f>
        <v/>
      </c>
      <c r="P215" s="209">
        <v>7</v>
      </c>
      <c r="Q215" s="464" t="str">
        <f t="shared" si="17"/>
        <v/>
      </c>
      <c r="R215" s="465"/>
      <c r="S215" s="466" t="str">
        <f t="shared" ca="1" si="18"/>
        <v/>
      </c>
      <c r="T215" s="461" t="str">
        <f t="shared" ca="1" si="19"/>
        <v/>
      </c>
      <c r="U215" s="449"/>
    </row>
    <row r="216" spans="2:21" x14ac:dyDescent="0.35">
      <c r="B216" s="459" t="str">
        <f>IF(Lançamentos!$B211="","",Lançamentos!$B211)</f>
        <v/>
      </c>
      <c r="C216" s="460" t="str">
        <f>IF($B216="","",IFERROR(INDEX(Lançamentos!$J$3:$J$1001,MATCH($B216,Lançamentos!$B$3:$B$1001,0)),""))</f>
        <v/>
      </c>
      <c r="D216" s="461" t="str">
        <f>IF($B216="","",IFERROR(INDEX('E2 — Triagem'!$D$8:$D$507,MATCH($B216,'E2 — Triagem'!$B$8:$B$507,0)),""))</f>
        <v/>
      </c>
      <c r="E216" s="447"/>
      <c r="F216" s="447"/>
      <c r="G216" s="447"/>
      <c r="H216" s="447"/>
      <c r="I216" s="447"/>
      <c r="J216" s="447"/>
      <c r="K216" s="462" t="str">
        <f t="shared" si="16"/>
        <v/>
      </c>
      <c r="L216" s="448"/>
      <c r="M216" s="448"/>
      <c r="N216" s="447"/>
      <c r="O216" s="463" t="str">
        <f>IF(B216="","",IF(Lançamentos!D211="","",Lançamentos!D211))</f>
        <v/>
      </c>
      <c r="P216" s="209">
        <v>7</v>
      </c>
      <c r="Q216" s="464" t="str">
        <f t="shared" si="17"/>
        <v/>
      </c>
      <c r="R216" s="465"/>
      <c r="S216" s="466" t="str">
        <f t="shared" ca="1" si="18"/>
        <v/>
      </c>
      <c r="T216" s="461" t="str">
        <f t="shared" ca="1" si="19"/>
        <v/>
      </c>
      <c r="U216" s="449"/>
    </row>
    <row r="217" spans="2:21" x14ac:dyDescent="0.35">
      <c r="B217" s="459" t="str">
        <f>IF(Lançamentos!$B212="","",Lançamentos!$B212)</f>
        <v/>
      </c>
      <c r="C217" s="460" t="str">
        <f>IF($B217="","",IFERROR(INDEX(Lançamentos!$J$3:$J$1001,MATCH($B217,Lançamentos!$B$3:$B$1001,0)),""))</f>
        <v/>
      </c>
      <c r="D217" s="461" t="str">
        <f>IF($B217="","",IFERROR(INDEX('E2 — Triagem'!$D$8:$D$507,MATCH($B217,'E2 — Triagem'!$B$8:$B$507,0)),""))</f>
        <v/>
      </c>
      <c r="E217" s="447"/>
      <c r="F217" s="447"/>
      <c r="G217" s="447"/>
      <c r="H217" s="447"/>
      <c r="I217" s="447"/>
      <c r="J217" s="447"/>
      <c r="K217" s="462" t="str">
        <f t="shared" si="16"/>
        <v/>
      </c>
      <c r="L217" s="448"/>
      <c r="M217" s="448"/>
      <c r="N217" s="447"/>
      <c r="O217" s="463" t="str">
        <f>IF(B217="","",IF(Lançamentos!D212="","",Lançamentos!D212))</f>
        <v/>
      </c>
      <c r="P217" s="209">
        <v>7</v>
      </c>
      <c r="Q217" s="464" t="str">
        <f t="shared" si="17"/>
        <v/>
      </c>
      <c r="R217" s="465"/>
      <c r="S217" s="466" t="str">
        <f t="shared" ca="1" si="18"/>
        <v/>
      </c>
      <c r="T217" s="461" t="str">
        <f t="shared" ca="1" si="19"/>
        <v/>
      </c>
      <c r="U217" s="449"/>
    </row>
    <row r="218" spans="2:21" x14ac:dyDescent="0.35">
      <c r="B218" s="459" t="str">
        <f>IF(Lançamentos!$B213="","",Lançamentos!$B213)</f>
        <v/>
      </c>
      <c r="C218" s="460" t="str">
        <f>IF($B218="","",IFERROR(INDEX(Lançamentos!$J$3:$J$1001,MATCH($B218,Lançamentos!$B$3:$B$1001,0)),""))</f>
        <v/>
      </c>
      <c r="D218" s="461" t="str">
        <f>IF($B218="","",IFERROR(INDEX('E2 — Triagem'!$D$8:$D$507,MATCH($B218,'E2 — Triagem'!$B$8:$B$507,0)),""))</f>
        <v/>
      </c>
      <c r="E218" s="447"/>
      <c r="F218" s="447"/>
      <c r="G218" s="447"/>
      <c r="H218" s="447"/>
      <c r="I218" s="447"/>
      <c r="J218" s="447"/>
      <c r="K218" s="462" t="str">
        <f t="shared" si="16"/>
        <v/>
      </c>
      <c r="L218" s="448"/>
      <c r="M218" s="448"/>
      <c r="N218" s="447"/>
      <c r="O218" s="463" t="str">
        <f>IF(B218="","",IF(Lançamentos!D213="","",Lançamentos!D213))</f>
        <v/>
      </c>
      <c r="P218" s="209">
        <v>7</v>
      </c>
      <c r="Q218" s="464" t="str">
        <f t="shared" si="17"/>
        <v/>
      </c>
      <c r="R218" s="465"/>
      <c r="S218" s="466" t="str">
        <f t="shared" ca="1" si="18"/>
        <v/>
      </c>
      <c r="T218" s="461" t="str">
        <f t="shared" ca="1" si="19"/>
        <v/>
      </c>
      <c r="U218" s="449"/>
    </row>
    <row r="219" spans="2:21" x14ac:dyDescent="0.35">
      <c r="B219" s="459" t="str">
        <f>IF(Lançamentos!$B214="","",Lançamentos!$B214)</f>
        <v/>
      </c>
      <c r="C219" s="460" t="str">
        <f>IF($B219="","",IFERROR(INDEX(Lançamentos!$J$3:$J$1001,MATCH($B219,Lançamentos!$B$3:$B$1001,0)),""))</f>
        <v/>
      </c>
      <c r="D219" s="461" t="str">
        <f>IF($B219="","",IFERROR(INDEX('E2 — Triagem'!$D$8:$D$507,MATCH($B219,'E2 — Triagem'!$B$8:$B$507,0)),""))</f>
        <v/>
      </c>
      <c r="E219" s="447"/>
      <c r="F219" s="447"/>
      <c r="G219" s="447"/>
      <c r="H219" s="447"/>
      <c r="I219" s="447"/>
      <c r="J219" s="447"/>
      <c r="K219" s="462" t="str">
        <f t="shared" si="16"/>
        <v/>
      </c>
      <c r="L219" s="448"/>
      <c r="M219" s="448"/>
      <c r="N219" s="447"/>
      <c r="O219" s="463" t="str">
        <f>IF(B219="","",IF(Lançamentos!D214="","",Lançamentos!D214))</f>
        <v/>
      </c>
      <c r="P219" s="209">
        <v>7</v>
      </c>
      <c r="Q219" s="464" t="str">
        <f t="shared" si="17"/>
        <v/>
      </c>
      <c r="R219" s="465"/>
      <c r="S219" s="466" t="str">
        <f t="shared" ca="1" si="18"/>
        <v/>
      </c>
      <c r="T219" s="461" t="str">
        <f t="shared" ca="1" si="19"/>
        <v/>
      </c>
      <c r="U219" s="449"/>
    </row>
    <row r="220" spans="2:21" x14ac:dyDescent="0.35">
      <c r="B220" s="459" t="str">
        <f>IF(Lançamentos!$B215="","",Lançamentos!$B215)</f>
        <v/>
      </c>
      <c r="C220" s="460" t="str">
        <f>IF($B220="","",IFERROR(INDEX(Lançamentos!$J$3:$J$1001,MATCH($B220,Lançamentos!$B$3:$B$1001,0)),""))</f>
        <v/>
      </c>
      <c r="D220" s="461" t="str">
        <f>IF($B220="","",IFERROR(INDEX('E2 — Triagem'!$D$8:$D$507,MATCH($B220,'E2 — Triagem'!$B$8:$B$507,0)),""))</f>
        <v/>
      </c>
      <c r="E220" s="447"/>
      <c r="F220" s="447"/>
      <c r="G220" s="447"/>
      <c r="H220" s="447"/>
      <c r="I220" s="447"/>
      <c r="J220" s="447"/>
      <c r="K220" s="462" t="str">
        <f t="shared" si="16"/>
        <v/>
      </c>
      <c r="L220" s="448"/>
      <c r="M220" s="448"/>
      <c r="N220" s="447"/>
      <c r="O220" s="463" t="str">
        <f>IF(B220="","",IF(Lançamentos!D215="","",Lançamentos!D215))</f>
        <v/>
      </c>
      <c r="P220" s="209">
        <v>7</v>
      </c>
      <c r="Q220" s="464" t="str">
        <f t="shared" si="17"/>
        <v/>
      </c>
      <c r="R220" s="465"/>
      <c r="S220" s="466" t="str">
        <f t="shared" ca="1" si="18"/>
        <v/>
      </c>
      <c r="T220" s="461" t="str">
        <f t="shared" ca="1" si="19"/>
        <v/>
      </c>
      <c r="U220" s="449"/>
    </row>
    <row r="221" spans="2:21" x14ac:dyDescent="0.35">
      <c r="B221" s="459" t="str">
        <f>IF(Lançamentos!$B216="","",Lançamentos!$B216)</f>
        <v/>
      </c>
      <c r="C221" s="460" t="str">
        <f>IF($B221="","",IFERROR(INDEX(Lançamentos!$J$3:$J$1001,MATCH($B221,Lançamentos!$B$3:$B$1001,0)),""))</f>
        <v/>
      </c>
      <c r="D221" s="461" t="str">
        <f>IF($B221="","",IFERROR(INDEX('E2 — Triagem'!$D$8:$D$507,MATCH($B221,'E2 — Triagem'!$B$8:$B$507,0)),""))</f>
        <v/>
      </c>
      <c r="E221" s="447"/>
      <c r="F221" s="447"/>
      <c r="G221" s="447"/>
      <c r="H221" s="447"/>
      <c r="I221" s="447"/>
      <c r="J221" s="447"/>
      <c r="K221" s="462" t="str">
        <f t="shared" si="16"/>
        <v/>
      </c>
      <c r="L221" s="448"/>
      <c r="M221" s="448"/>
      <c r="N221" s="447"/>
      <c r="O221" s="463" t="str">
        <f>IF(B221="","",IF(Lançamentos!D216="","",Lançamentos!D216))</f>
        <v/>
      </c>
      <c r="P221" s="209">
        <v>7</v>
      </c>
      <c r="Q221" s="464" t="str">
        <f t="shared" si="17"/>
        <v/>
      </c>
      <c r="R221" s="465"/>
      <c r="S221" s="466" t="str">
        <f t="shared" ca="1" si="18"/>
        <v/>
      </c>
      <c r="T221" s="461" t="str">
        <f t="shared" ca="1" si="19"/>
        <v/>
      </c>
      <c r="U221" s="449"/>
    </row>
    <row r="222" spans="2:21" x14ac:dyDescent="0.35">
      <c r="B222" s="459" t="str">
        <f>IF(Lançamentos!$B217="","",Lançamentos!$B217)</f>
        <v/>
      </c>
      <c r="C222" s="460" t="str">
        <f>IF($B222="","",IFERROR(INDEX(Lançamentos!$J$3:$J$1001,MATCH($B222,Lançamentos!$B$3:$B$1001,0)),""))</f>
        <v/>
      </c>
      <c r="D222" s="461" t="str">
        <f>IF($B222="","",IFERROR(INDEX('E2 — Triagem'!$D$8:$D$507,MATCH($B222,'E2 — Triagem'!$B$8:$B$507,0)),""))</f>
        <v/>
      </c>
      <c r="E222" s="447"/>
      <c r="F222" s="447"/>
      <c r="G222" s="447"/>
      <c r="H222" s="447"/>
      <c r="I222" s="447"/>
      <c r="J222" s="447"/>
      <c r="K222" s="462" t="str">
        <f t="shared" si="16"/>
        <v/>
      </c>
      <c r="L222" s="448"/>
      <c r="M222" s="448"/>
      <c r="N222" s="447"/>
      <c r="O222" s="463" t="str">
        <f>IF(B222="","",IF(Lançamentos!D217="","",Lançamentos!D217))</f>
        <v/>
      </c>
      <c r="P222" s="209">
        <v>7</v>
      </c>
      <c r="Q222" s="464" t="str">
        <f t="shared" si="17"/>
        <v/>
      </c>
      <c r="R222" s="465"/>
      <c r="S222" s="466" t="str">
        <f t="shared" ca="1" si="18"/>
        <v/>
      </c>
      <c r="T222" s="461" t="str">
        <f t="shared" ca="1" si="19"/>
        <v/>
      </c>
      <c r="U222" s="449"/>
    </row>
    <row r="223" spans="2:21" x14ac:dyDescent="0.35">
      <c r="B223" s="459" t="str">
        <f>IF(Lançamentos!$B218="","",Lançamentos!$B218)</f>
        <v/>
      </c>
      <c r="C223" s="460" t="str">
        <f>IF($B223="","",IFERROR(INDEX(Lançamentos!$J$3:$J$1001,MATCH($B223,Lançamentos!$B$3:$B$1001,0)),""))</f>
        <v/>
      </c>
      <c r="D223" s="461" t="str">
        <f>IF($B223="","",IFERROR(INDEX('E2 — Triagem'!$D$8:$D$507,MATCH($B223,'E2 — Triagem'!$B$8:$B$507,0)),""))</f>
        <v/>
      </c>
      <c r="E223" s="447"/>
      <c r="F223" s="447"/>
      <c r="G223" s="447"/>
      <c r="H223" s="447"/>
      <c r="I223" s="447"/>
      <c r="J223" s="447"/>
      <c r="K223" s="462" t="str">
        <f t="shared" si="16"/>
        <v/>
      </c>
      <c r="L223" s="448"/>
      <c r="M223" s="448"/>
      <c r="N223" s="447"/>
      <c r="O223" s="463" t="str">
        <f>IF(B223="","",IF(Lançamentos!D218="","",Lançamentos!D218))</f>
        <v/>
      </c>
      <c r="P223" s="209">
        <v>7</v>
      </c>
      <c r="Q223" s="464" t="str">
        <f t="shared" si="17"/>
        <v/>
      </c>
      <c r="R223" s="465"/>
      <c r="S223" s="466" t="str">
        <f t="shared" ca="1" si="18"/>
        <v/>
      </c>
      <c r="T223" s="461" t="str">
        <f t="shared" ca="1" si="19"/>
        <v/>
      </c>
      <c r="U223" s="449"/>
    </row>
    <row r="224" spans="2:21" x14ac:dyDescent="0.35">
      <c r="B224" s="459" t="str">
        <f>IF(Lançamentos!$B219="","",Lançamentos!$B219)</f>
        <v/>
      </c>
      <c r="C224" s="460" t="str">
        <f>IF($B224="","",IFERROR(INDEX(Lançamentos!$J$3:$J$1001,MATCH($B224,Lançamentos!$B$3:$B$1001,0)),""))</f>
        <v/>
      </c>
      <c r="D224" s="461" t="str">
        <f>IF($B224="","",IFERROR(INDEX('E2 — Triagem'!$D$8:$D$507,MATCH($B224,'E2 — Triagem'!$B$8:$B$507,0)),""))</f>
        <v/>
      </c>
      <c r="E224" s="447"/>
      <c r="F224" s="447"/>
      <c r="G224" s="447"/>
      <c r="H224" s="447"/>
      <c r="I224" s="447"/>
      <c r="J224" s="447"/>
      <c r="K224" s="462" t="str">
        <f t="shared" si="16"/>
        <v/>
      </c>
      <c r="L224" s="448"/>
      <c r="M224" s="448"/>
      <c r="N224" s="447"/>
      <c r="O224" s="463" t="str">
        <f>IF(B224="","",IF(Lançamentos!D219="","",Lançamentos!D219))</f>
        <v/>
      </c>
      <c r="P224" s="209">
        <v>7</v>
      </c>
      <c r="Q224" s="464" t="str">
        <f t="shared" si="17"/>
        <v/>
      </c>
      <c r="R224" s="465"/>
      <c r="S224" s="466" t="str">
        <f t="shared" ca="1" si="18"/>
        <v/>
      </c>
      <c r="T224" s="461" t="str">
        <f t="shared" ca="1" si="19"/>
        <v/>
      </c>
      <c r="U224" s="449"/>
    </row>
    <row r="225" spans="2:21" x14ac:dyDescent="0.35">
      <c r="B225" s="459" t="str">
        <f>IF(Lançamentos!$B220="","",Lançamentos!$B220)</f>
        <v/>
      </c>
      <c r="C225" s="460" t="str">
        <f>IF($B225="","",IFERROR(INDEX(Lançamentos!$J$3:$J$1001,MATCH($B225,Lançamentos!$B$3:$B$1001,0)),""))</f>
        <v/>
      </c>
      <c r="D225" s="461" t="str">
        <f>IF($B225="","",IFERROR(INDEX('E2 — Triagem'!$D$8:$D$507,MATCH($B225,'E2 — Triagem'!$B$8:$B$507,0)),""))</f>
        <v/>
      </c>
      <c r="E225" s="447"/>
      <c r="F225" s="447"/>
      <c r="G225" s="447"/>
      <c r="H225" s="447"/>
      <c r="I225" s="447"/>
      <c r="J225" s="447"/>
      <c r="K225" s="462" t="str">
        <f t="shared" si="16"/>
        <v/>
      </c>
      <c r="L225" s="448"/>
      <c r="M225" s="448"/>
      <c r="N225" s="447"/>
      <c r="O225" s="463" t="str">
        <f>IF(B225="","",IF(Lançamentos!D220="","",Lançamentos!D220))</f>
        <v/>
      </c>
      <c r="P225" s="209">
        <v>7</v>
      </c>
      <c r="Q225" s="464" t="str">
        <f t="shared" si="17"/>
        <v/>
      </c>
      <c r="R225" s="465"/>
      <c r="S225" s="466" t="str">
        <f t="shared" ca="1" si="18"/>
        <v/>
      </c>
      <c r="T225" s="461" t="str">
        <f t="shared" ca="1" si="19"/>
        <v/>
      </c>
      <c r="U225" s="449"/>
    </row>
    <row r="226" spans="2:21" x14ac:dyDescent="0.35">
      <c r="B226" s="459" t="str">
        <f>IF(Lançamentos!$B221="","",Lançamentos!$B221)</f>
        <v/>
      </c>
      <c r="C226" s="460" t="str">
        <f>IF($B226="","",IFERROR(INDEX(Lançamentos!$J$3:$J$1001,MATCH($B226,Lançamentos!$B$3:$B$1001,0)),""))</f>
        <v/>
      </c>
      <c r="D226" s="461" t="str">
        <f>IF($B226="","",IFERROR(INDEX('E2 — Triagem'!$D$8:$D$507,MATCH($B226,'E2 — Triagem'!$B$8:$B$507,0)),""))</f>
        <v/>
      </c>
      <c r="E226" s="447"/>
      <c r="F226" s="447"/>
      <c r="G226" s="447"/>
      <c r="H226" s="447"/>
      <c r="I226" s="447"/>
      <c r="J226" s="447"/>
      <c r="K226" s="462" t="str">
        <f t="shared" si="16"/>
        <v/>
      </c>
      <c r="L226" s="448"/>
      <c r="M226" s="448"/>
      <c r="N226" s="447"/>
      <c r="O226" s="463" t="str">
        <f>IF(B226="","",IF(Lançamentos!D221="","",Lançamentos!D221))</f>
        <v/>
      </c>
      <c r="P226" s="209">
        <v>7</v>
      </c>
      <c r="Q226" s="464" t="str">
        <f t="shared" si="17"/>
        <v/>
      </c>
      <c r="R226" s="465"/>
      <c r="S226" s="466" t="str">
        <f t="shared" ca="1" si="18"/>
        <v/>
      </c>
      <c r="T226" s="461" t="str">
        <f t="shared" ca="1" si="19"/>
        <v/>
      </c>
      <c r="U226" s="449"/>
    </row>
    <row r="227" spans="2:21" x14ac:dyDescent="0.35">
      <c r="B227" s="459" t="str">
        <f>IF(Lançamentos!$B222="","",Lançamentos!$B222)</f>
        <v/>
      </c>
      <c r="C227" s="460" t="str">
        <f>IF($B227="","",IFERROR(INDEX(Lançamentos!$J$3:$J$1001,MATCH($B227,Lançamentos!$B$3:$B$1001,0)),""))</f>
        <v/>
      </c>
      <c r="D227" s="461" t="str">
        <f>IF($B227="","",IFERROR(INDEX('E2 — Triagem'!$D$8:$D$507,MATCH($B227,'E2 — Triagem'!$B$8:$B$507,0)),""))</f>
        <v/>
      </c>
      <c r="E227" s="447"/>
      <c r="F227" s="447"/>
      <c r="G227" s="447"/>
      <c r="H227" s="447"/>
      <c r="I227" s="447"/>
      <c r="J227" s="447"/>
      <c r="K227" s="462" t="str">
        <f t="shared" si="16"/>
        <v/>
      </c>
      <c r="L227" s="448"/>
      <c r="M227" s="448"/>
      <c r="N227" s="447"/>
      <c r="O227" s="463" t="str">
        <f>IF(B227="","",IF(Lançamentos!D222="","",Lançamentos!D222))</f>
        <v/>
      </c>
      <c r="P227" s="209">
        <v>7</v>
      </c>
      <c r="Q227" s="464" t="str">
        <f t="shared" si="17"/>
        <v/>
      </c>
      <c r="R227" s="465"/>
      <c r="S227" s="466" t="str">
        <f t="shared" ca="1" si="18"/>
        <v/>
      </c>
      <c r="T227" s="461" t="str">
        <f t="shared" ca="1" si="19"/>
        <v/>
      </c>
      <c r="U227" s="449"/>
    </row>
    <row r="228" spans="2:21" x14ac:dyDescent="0.35">
      <c r="B228" s="459" t="str">
        <f>IF(Lançamentos!$B223="","",Lançamentos!$B223)</f>
        <v/>
      </c>
      <c r="C228" s="460" t="str">
        <f>IF($B228="","",IFERROR(INDEX(Lançamentos!$J$3:$J$1001,MATCH($B228,Lançamentos!$B$3:$B$1001,0)),""))</f>
        <v/>
      </c>
      <c r="D228" s="461" t="str">
        <f>IF($B228="","",IFERROR(INDEX('E2 — Triagem'!$D$8:$D$507,MATCH($B228,'E2 — Triagem'!$B$8:$B$507,0)),""))</f>
        <v/>
      </c>
      <c r="E228" s="447"/>
      <c r="F228" s="447"/>
      <c r="G228" s="447"/>
      <c r="H228" s="447"/>
      <c r="I228" s="447"/>
      <c r="J228" s="447"/>
      <c r="K228" s="462" t="str">
        <f t="shared" si="16"/>
        <v/>
      </c>
      <c r="L228" s="448"/>
      <c r="M228" s="448"/>
      <c r="N228" s="447"/>
      <c r="O228" s="463" t="str">
        <f>IF(B228="","",IF(Lançamentos!D223="","",Lançamentos!D223))</f>
        <v/>
      </c>
      <c r="P228" s="209">
        <v>7</v>
      </c>
      <c r="Q228" s="464" t="str">
        <f t="shared" si="17"/>
        <v/>
      </c>
      <c r="R228" s="465"/>
      <c r="S228" s="466" t="str">
        <f t="shared" ca="1" si="18"/>
        <v/>
      </c>
      <c r="T228" s="461" t="str">
        <f t="shared" ca="1" si="19"/>
        <v/>
      </c>
      <c r="U228" s="449"/>
    </row>
    <row r="229" spans="2:21" x14ac:dyDescent="0.35">
      <c r="B229" s="459" t="str">
        <f>IF(Lançamentos!$B224="","",Lançamentos!$B224)</f>
        <v/>
      </c>
      <c r="C229" s="460" t="str">
        <f>IF($B229="","",IFERROR(INDEX(Lançamentos!$J$3:$J$1001,MATCH($B229,Lançamentos!$B$3:$B$1001,0)),""))</f>
        <v/>
      </c>
      <c r="D229" s="461" t="str">
        <f>IF($B229="","",IFERROR(INDEX('E2 — Triagem'!$D$8:$D$507,MATCH($B229,'E2 — Triagem'!$B$8:$B$507,0)),""))</f>
        <v/>
      </c>
      <c r="E229" s="447"/>
      <c r="F229" s="447"/>
      <c r="G229" s="447"/>
      <c r="H229" s="447"/>
      <c r="I229" s="447"/>
      <c r="J229" s="447"/>
      <c r="K229" s="462" t="str">
        <f t="shared" si="16"/>
        <v/>
      </c>
      <c r="L229" s="448"/>
      <c r="M229" s="448"/>
      <c r="N229" s="447"/>
      <c r="O229" s="463" t="str">
        <f>IF(B229="","",IF(Lançamentos!D224="","",Lançamentos!D224))</f>
        <v/>
      </c>
      <c r="P229" s="209">
        <v>7</v>
      </c>
      <c r="Q229" s="464" t="str">
        <f t="shared" si="17"/>
        <v/>
      </c>
      <c r="R229" s="465"/>
      <c r="S229" s="466" t="str">
        <f t="shared" ca="1" si="18"/>
        <v/>
      </c>
      <c r="T229" s="461" t="str">
        <f t="shared" ca="1" si="19"/>
        <v/>
      </c>
      <c r="U229" s="449"/>
    </row>
    <row r="230" spans="2:21" x14ac:dyDescent="0.35">
      <c r="B230" s="459" t="str">
        <f>IF(Lançamentos!$B225="","",Lançamentos!$B225)</f>
        <v/>
      </c>
      <c r="C230" s="460" t="str">
        <f>IF($B230="","",IFERROR(INDEX(Lançamentos!$J$3:$J$1001,MATCH($B230,Lançamentos!$B$3:$B$1001,0)),""))</f>
        <v/>
      </c>
      <c r="D230" s="461" t="str">
        <f>IF($B230="","",IFERROR(INDEX('E2 — Triagem'!$D$8:$D$507,MATCH($B230,'E2 — Triagem'!$B$8:$B$507,0)),""))</f>
        <v/>
      </c>
      <c r="E230" s="447"/>
      <c r="F230" s="447"/>
      <c r="G230" s="447"/>
      <c r="H230" s="447"/>
      <c r="I230" s="447"/>
      <c r="J230" s="447"/>
      <c r="K230" s="462" t="str">
        <f t="shared" si="16"/>
        <v/>
      </c>
      <c r="L230" s="448"/>
      <c r="M230" s="448"/>
      <c r="N230" s="447"/>
      <c r="O230" s="463" t="str">
        <f>IF(B230="","",IF(Lançamentos!D225="","",Lançamentos!D225))</f>
        <v/>
      </c>
      <c r="P230" s="209">
        <v>7</v>
      </c>
      <c r="Q230" s="464" t="str">
        <f t="shared" si="17"/>
        <v/>
      </c>
      <c r="R230" s="465"/>
      <c r="S230" s="466" t="str">
        <f t="shared" ca="1" si="18"/>
        <v/>
      </c>
      <c r="T230" s="461" t="str">
        <f t="shared" ca="1" si="19"/>
        <v/>
      </c>
      <c r="U230" s="449"/>
    </row>
    <row r="231" spans="2:21" x14ac:dyDescent="0.35">
      <c r="B231" s="459" t="str">
        <f>IF(Lançamentos!$B226="","",Lançamentos!$B226)</f>
        <v/>
      </c>
      <c r="C231" s="460" t="str">
        <f>IF($B231="","",IFERROR(INDEX(Lançamentos!$J$3:$J$1001,MATCH($B231,Lançamentos!$B$3:$B$1001,0)),""))</f>
        <v/>
      </c>
      <c r="D231" s="461" t="str">
        <f>IF($B231="","",IFERROR(INDEX('E2 — Triagem'!$D$8:$D$507,MATCH($B231,'E2 — Triagem'!$B$8:$B$507,0)),""))</f>
        <v/>
      </c>
      <c r="E231" s="447"/>
      <c r="F231" s="447"/>
      <c r="G231" s="447"/>
      <c r="H231" s="447"/>
      <c r="I231" s="447"/>
      <c r="J231" s="447"/>
      <c r="K231" s="462" t="str">
        <f t="shared" si="16"/>
        <v/>
      </c>
      <c r="L231" s="448"/>
      <c r="M231" s="448"/>
      <c r="N231" s="447"/>
      <c r="O231" s="463" t="str">
        <f>IF(B231="","",IF(Lançamentos!D226="","",Lançamentos!D226))</f>
        <v/>
      </c>
      <c r="P231" s="209">
        <v>7</v>
      </c>
      <c r="Q231" s="464" t="str">
        <f t="shared" si="17"/>
        <v/>
      </c>
      <c r="R231" s="465"/>
      <c r="S231" s="466" t="str">
        <f t="shared" ca="1" si="18"/>
        <v/>
      </c>
      <c r="T231" s="461" t="str">
        <f t="shared" ca="1" si="19"/>
        <v/>
      </c>
      <c r="U231" s="449"/>
    </row>
    <row r="232" spans="2:21" x14ac:dyDescent="0.35">
      <c r="B232" s="459" t="str">
        <f>IF(Lançamentos!$B227="","",Lançamentos!$B227)</f>
        <v/>
      </c>
      <c r="C232" s="460" t="str">
        <f>IF($B232="","",IFERROR(INDEX(Lançamentos!$J$3:$J$1001,MATCH($B232,Lançamentos!$B$3:$B$1001,0)),""))</f>
        <v/>
      </c>
      <c r="D232" s="461" t="str">
        <f>IF($B232="","",IFERROR(INDEX('E2 — Triagem'!$D$8:$D$507,MATCH($B232,'E2 — Triagem'!$B$8:$B$507,0)),""))</f>
        <v/>
      </c>
      <c r="E232" s="447"/>
      <c r="F232" s="447"/>
      <c r="G232" s="447"/>
      <c r="H232" s="447"/>
      <c r="I232" s="447"/>
      <c r="J232" s="447"/>
      <c r="K232" s="462" t="str">
        <f t="shared" si="16"/>
        <v/>
      </c>
      <c r="L232" s="448"/>
      <c r="M232" s="448"/>
      <c r="N232" s="447"/>
      <c r="O232" s="463" t="str">
        <f>IF(B232="","",IF(Lançamentos!D227="","",Lançamentos!D227))</f>
        <v/>
      </c>
      <c r="P232" s="209">
        <v>7</v>
      </c>
      <c r="Q232" s="464" t="str">
        <f t="shared" si="17"/>
        <v/>
      </c>
      <c r="R232" s="465"/>
      <c r="S232" s="466" t="str">
        <f t="shared" ca="1" si="18"/>
        <v/>
      </c>
      <c r="T232" s="461" t="str">
        <f t="shared" ca="1" si="19"/>
        <v/>
      </c>
      <c r="U232" s="449"/>
    </row>
    <row r="233" spans="2:21" x14ac:dyDescent="0.35">
      <c r="B233" s="459" t="str">
        <f>IF(Lançamentos!$B228="","",Lançamentos!$B228)</f>
        <v/>
      </c>
      <c r="C233" s="460" t="str">
        <f>IF($B233="","",IFERROR(INDEX(Lançamentos!$J$3:$J$1001,MATCH($B233,Lançamentos!$B$3:$B$1001,0)),""))</f>
        <v/>
      </c>
      <c r="D233" s="461" t="str">
        <f>IF($B233="","",IFERROR(INDEX('E2 — Triagem'!$D$8:$D$507,MATCH($B233,'E2 — Triagem'!$B$8:$B$507,0)),""))</f>
        <v/>
      </c>
      <c r="E233" s="447"/>
      <c r="F233" s="447"/>
      <c r="G233" s="447"/>
      <c r="H233" s="447"/>
      <c r="I233" s="447"/>
      <c r="J233" s="447"/>
      <c r="K233" s="462" t="str">
        <f t="shared" si="16"/>
        <v/>
      </c>
      <c r="L233" s="448"/>
      <c r="M233" s="448"/>
      <c r="N233" s="447"/>
      <c r="O233" s="463" t="str">
        <f>IF(B233="","",IF(Lançamentos!D228="","",Lançamentos!D228))</f>
        <v/>
      </c>
      <c r="P233" s="209">
        <v>7</v>
      </c>
      <c r="Q233" s="464" t="str">
        <f t="shared" si="17"/>
        <v/>
      </c>
      <c r="R233" s="465"/>
      <c r="S233" s="466" t="str">
        <f t="shared" ca="1" si="18"/>
        <v/>
      </c>
      <c r="T233" s="461" t="str">
        <f t="shared" ca="1" si="19"/>
        <v/>
      </c>
      <c r="U233" s="449"/>
    </row>
    <row r="234" spans="2:21" x14ac:dyDescent="0.35">
      <c r="B234" s="459" t="str">
        <f>IF(Lançamentos!$B229="","",Lançamentos!$B229)</f>
        <v/>
      </c>
      <c r="C234" s="460" t="str">
        <f>IF($B234="","",IFERROR(INDEX(Lançamentos!$J$3:$J$1001,MATCH($B234,Lançamentos!$B$3:$B$1001,0)),""))</f>
        <v/>
      </c>
      <c r="D234" s="461" t="str">
        <f>IF($B234="","",IFERROR(INDEX('E2 — Triagem'!$D$8:$D$507,MATCH($B234,'E2 — Triagem'!$B$8:$B$507,0)),""))</f>
        <v/>
      </c>
      <c r="E234" s="447"/>
      <c r="F234" s="447"/>
      <c r="G234" s="447"/>
      <c r="H234" s="447"/>
      <c r="I234" s="447"/>
      <c r="J234" s="447"/>
      <c r="K234" s="462" t="str">
        <f t="shared" si="16"/>
        <v/>
      </c>
      <c r="L234" s="448"/>
      <c r="M234" s="448"/>
      <c r="N234" s="447"/>
      <c r="O234" s="463" t="str">
        <f>IF(B234="","",IF(Lançamentos!D229="","",Lançamentos!D229))</f>
        <v/>
      </c>
      <c r="P234" s="209">
        <v>7</v>
      </c>
      <c r="Q234" s="464" t="str">
        <f t="shared" si="17"/>
        <v/>
      </c>
      <c r="R234" s="465"/>
      <c r="S234" s="466" t="str">
        <f t="shared" ca="1" si="18"/>
        <v/>
      </c>
      <c r="T234" s="461" t="str">
        <f t="shared" ca="1" si="19"/>
        <v/>
      </c>
      <c r="U234" s="449"/>
    </row>
    <row r="235" spans="2:21" x14ac:dyDescent="0.35">
      <c r="B235" s="459" t="str">
        <f>IF(Lançamentos!$B230="","",Lançamentos!$B230)</f>
        <v/>
      </c>
      <c r="C235" s="460" t="str">
        <f>IF($B235="","",IFERROR(INDEX(Lançamentos!$J$3:$J$1001,MATCH($B235,Lançamentos!$B$3:$B$1001,0)),""))</f>
        <v/>
      </c>
      <c r="D235" s="461" t="str">
        <f>IF($B235="","",IFERROR(INDEX('E2 — Triagem'!$D$8:$D$507,MATCH($B235,'E2 — Triagem'!$B$8:$B$507,0)),""))</f>
        <v/>
      </c>
      <c r="E235" s="447"/>
      <c r="F235" s="447"/>
      <c r="G235" s="447"/>
      <c r="H235" s="447"/>
      <c r="I235" s="447"/>
      <c r="J235" s="447"/>
      <c r="K235" s="462" t="str">
        <f t="shared" si="16"/>
        <v/>
      </c>
      <c r="L235" s="448"/>
      <c r="M235" s="448"/>
      <c r="N235" s="447"/>
      <c r="O235" s="463" t="str">
        <f>IF(B235="","",IF(Lançamentos!D230="","",Lançamentos!D230))</f>
        <v/>
      </c>
      <c r="P235" s="209">
        <v>7</v>
      </c>
      <c r="Q235" s="464" t="str">
        <f t="shared" si="17"/>
        <v/>
      </c>
      <c r="R235" s="465"/>
      <c r="S235" s="466" t="str">
        <f t="shared" ca="1" si="18"/>
        <v/>
      </c>
      <c r="T235" s="461" t="str">
        <f t="shared" ca="1" si="19"/>
        <v/>
      </c>
      <c r="U235" s="449"/>
    </row>
    <row r="236" spans="2:21" x14ac:dyDescent="0.35">
      <c r="B236" s="459" t="str">
        <f>IF(Lançamentos!$B231="","",Lançamentos!$B231)</f>
        <v/>
      </c>
      <c r="C236" s="460" t="str">
        <f>IF($B236="","",IFERROR(INDEX(Lançamentos!$J$3:$J$1001,MATCH($B236,Lançamentos!$B$3:$B$1001,0)),""))</f>
        <v/>
      </c>
      <c r="D236" s="461" t="str">
        <f>IF($B236="","",IFERROR(INDEX('E2 — Triagem'!$D$8:$D$507,MATCH($B236,'E2 — Triagem'!$B$8:$B$507,0)),""))</f>
        <v/>
      </c>
      <c r="E236" s="447"/>
      <c r="F236" s="447"/>
      <c r="G236" s="447"/>
      <c r="H236" s="447"/>
      <c r="I236" s="447"/>
      <c r="J236" s="447"/>
      <c r="K236" s="462" t="str">
        <f t="shared" si="16"/>
        <v/>
      </c>
      <c r="L236" s="448"/>
      <c r="M236" s="448"/>
      <c r="N236" s="447"/>
      <c r="O236" s="463" t="str">
        <f>IF(B236="","",IF(Lançamentos!D231="","",Lançamentos!D231))</f>
        <v/>
      </c>
      <c r="P236" s="209">
        <v>7</v>
      </c>
      <c r="Q236" s="464" t="str">
        <f t="shared" si="17"/>
        <v/>
      </c>
      <c r="R236" s="465"/>
      <c r="S236" s="466" t="str">
        <f t="shared" ca="1" si="18"/>
        <v/>
      </c>
      <c r="T236" s="461" t="str">
        <f t="shared" ca="1" si="19"/>
        <v/>
      </c>
      <c r="U236" s="449"/>
    </row>
    <row r="237" spans="2:21" x14ac:dyDescent="0.35">
      <c r="B237" s="459" t="str">
        <f>IF(Lançamentos!$B232="","",Lançamentos!$B232)</f>
        <v/>
      </c>
      <c r="C237" s="460" t="str">
        <f>IF($B237="","",IFERROR(INDEX(Lançamentos!$J$3:$J$1001,MATCH($B237,Lançamentos!$B$3:$B$1001,0)),""))</f>
        <v/>
      </c>
      <c r="D237" s="461" t="str">
        <f>IF($B237="","",IFERROR(INDEX('E2 — Triagem'!$D$8:$D$507,MATCH($B237,'E2 — Triagem'!$B$8:$B$507,0)),""))</f>
        <v/>
      </c>
      <c r="E237" s="447"/>
      <c r="F237" s="447"/>
      <c r="G237" s="447"/>
      <c r="H237" s="447"/>
      <c r="I237" s="447"/>
      <c r="J237" s="447"/>
      <c r="K237" s="462" t="str">
        <f t="shared" si="16"/>
        <v/>
      </c>
      <c r="L237" s="448"/>
      <c r="M237" s="448"/>
      <c r="N237" s="447"/>
      <c r="O237" s="463" t="str">
        <f>IF(B237="","",IF(Lançamentos!D232="","",Lançamentos!D232))</f>
        <v/>
      </c>
      <c r="P237" s="209">
        <v>7</v>
      </c>
      <c r="Q237" s="464" t="str">
        <f t="shared" si="17"/>
        <v/>
      </c>
      <c r="R237" s="465"/>
      <c r="S237" s="466" t="str">
        <f t="shared" ca="1" si="18"/>
        <v/>
      </c>
      <c r="T237" s="461" t="str">
        <f t="shared" ca="1" si="19"/>
        <v/>
      </c>
      <c r="U237" s="449"/>
    </row>
    <row r="238" spans="2:21" x14ac:dyDescent="0.35">
      <c r="B238" s="459" t="str">
        <f>IF(Lançamentos!$B233="","",Lançamentos!$B233)</f>
        <v/>
      </c>
      <c r="C238" s="460" t="str">
        <f>IF($B238="","",IFERROR(INDEX(Lançamentos!$J$3:$J$1001,MATCH($B238,Lançamentos!$B$3:$B$1001,0)),""))</f>
        <v/>
      </c>
      <c r="D238" s="461" t="str">
        <f>IF($B238="","",IFERROR(INDEX('E2 — Triagem'!$D$8:$D$507,MATCH($B238,'E2 — Triagem'!$B$8:$B$507,0)),""))</f>
        <v/>
      </c>
      <c r="E238" s="447"/>
      <c r="F238" s="447"/>
      <c r="G238" s="447"/>
      <c r="H238" s="447"/>
      <c r="I238" s="447"/>
      <c r="J238" s="447"/>
      <c r="K238" s="462" t="str">
        <f t="shared" si="16"/>
        <v/>
      </c>
      <c r="L238" s="448"/>
      <c r="M238" s="448"/>
      <c r="N238" s="447"/>
      <c r="O238" s="463" t="str">
        <f>IF(B238="","",IF(Lançamentos!D233="","",Lançamentos!D233))</f>
        <v/>
      </c>
      <c r="P238" s="209">
        <v>7</v>
      </c>
      <c r="Q238" s="464" t="str">
        <f t="shared" si="17"/>
        <v/>
      </c>
      <c r="R238" s="465"/>
      <c r="S238" s="466" t="str">
        <f t="shared" ca="1" si="18"/>
        <v/>
      </c>
      <c r="T238" s="461" t="str">
        <f t="shared" ca="1" si="19"/>
        <v/>
      </c>
      <c r="U238" s="449"/>
    </row>
    <row r="239" spans="2:21" x14ac:dyDescent="0.35">
      <c r="B239" s="459" t="str">
        <f>IF(Lançamentos!$B234="","",Lançamentos!$B234)</f>
        <v/>
      </c>
      <c r="C239" s="460" t="str">
        <f>IF($B239="","",IFERROR(INDEX(Lançamentos!$J$3:$J$1001,MATCH($B239,Lançamentos!$B$3:$B$1001,0)),""))</f>
        <v/>
      </c>
      <c r="D239" s="461" t="str">
        <f>IF($B239="","",IFERROR(INDEX('E2 — Triagem'!$D$8:$D$507,MATCH($B239,'E2 — Triagem'!$B$8:$B$507,0)),""))</f>
        <v/>
      </c>
      <c r="E239" s="447"/>
      <c r="F239" s="447"/>
      <c r="G239" s="447"/>
      <c r="H239" s="447"/>
      <c r="I239" s="447"/>
      <c r="J239" s="447"/>
      <c r="K239" s="462" t="str">
        <f t="shared" si="16"/>
        <v/>
      </c>
      <c r="L239" s="448"/>
      <c r="M239" s="448"/>
      <c r="N239" s="447"/>
      <c r="O239" s="463" t="str">
        <f>IF(B239="","",IF(Lançamentos!D234="","",Lançamentos!D234))</f>
        <v/>
      </c>
      <c r="P239" s="209">
        <v>7</v>
      </c>
      <c r="Q239" s="464" t="str">
        <f t="shared" si="17"/>
        <v/>
      </c>
      <c r="R239" s="465"/>
      <c r="S239" s="466" t="str">
        <f t="shared" ca="1" si="18"/>
        <v/>
      </c>
      <c r="T239" s="461" t="str">
        <f t="shared" ca="1" si="19"/>
        <v/>
      </c>
      <c r="U239" s="449"/>
    </row>
    <row r="240" spans="2:21" x14ac:dyDescent="0.35">
      <c r="B240" s="459" t="str">
        <f>IF(Lançamentos!$B235="","",Lançamentos!$B235)</f>
        <v/>
      </c>
      <c r="C240" s="460" t="str">
        <f>IF($B240="","",IFERROR(INDEX(Lançamentos!$J$3:$J$1001,MATCH($B240,Lançamentos!$B$3:$B$1001,0)),""))</f>
        <v/>
      </c>
      <c r="D240" s="461" t="str">
        <f>IF($B240="","",IFERROR(INDEX('E2 — Triagem'!$D$8:$D$507,MATCH($B240,'E2 — Triagem'!$B$8:$B$507,0)),""))</f>
        <v/>
      </c>
      <c r="E240" s="447"/>
      <c r="F240" s="447"/>
      <c r="G240" s="447"/>
      <c r="H240" s="447"/>
      <c r="I240" s="447"/>
      <c r="J240" s="447"/>
      <c r="K240" s="462" t="str">
        <f t="shared" si="16"/>
        <v/>
      </c>
      <c r="L240" s="448"/>
      <c r="M240" s="448"/>
      <c r="N240" s="447"/>
      <c r="O240" s="463" t="str">
        <f>IF(B240="","",IF(Lançamentos!D235="","",Lançamentos!D235))</f>
        <v/>
      </c>
      <c r="P240" s="209">
        <v>7</v>
      </c>
      <c r="Q240" s="464" t="str">
        <f t="shared" si="17"/>
        <v/>
      </c>
      <c r="R240" s="465"/>
      <c r="S240" s="466" t="str">
        <f t="shared" ca="1" si="18"/>
        <v/>
      </c>
      <c r="T240" s="461" t="str">
        <f t="shared" ca="1" si="19"/>
        <v/>
      </c>
      <c r="U240" s="449"/>
    </row>
    <row r="241" spans="2:21" x14ac:dyDescent="0.35">
      <c r="B241" s="459" t="str">
        <f>IF(Lançamentos!$B236="","",Lançamentos!$B236)</f>
        <v/>
      </c>
      <c r="C241" s="460" t="str">
        <f>IF($B241="","",IFERROR(INDEX(Lançamentos!$J$3:$J$1001,MATCH($B241,Lançamentos!$B$3:$B$1001,0)),""))</f>
        <v/>
      </c>
      <c r="D241" s="461" t="str">
        <f>IF($B241="","",IFERROR(INDEX('E2 — Triagem'!$D$8:$D$507,MATCH($B241,'E2 — Triagem'!$B$8:$B$507,0)),""))</f>
        <v/>
      </c>
      <c r="E241" s="447"/>
      <c r="F241" s="447"/>
      <c r="G241" s="447"/>
      <c r="H241" s="447"/>
      <c r="I241" s="447"/>
      <c r="J241" s="447"/>
      <c r="K241" s="462" t="str">
        <f t="shared" si="16"/>
        <v/>
      </c>
      <c r="L241" s="448"/>
      <c r="M241" s="448"/>
      <c r="N241" s="447"/>
      <c r="O241" s="463" t="str">
        <f>IF(B241="","",IF(Lançamentos!D236="","",Lançamentos!D236))</f>
        <v/>
      </c>
      <c r="P241" s="209">
        <v>7</v>
      </c>
      <c r="Q241" s="464" t="str">
        <f t="shared" si="17"/>
        <v/>
      </c>
      <c r="R241" s="465"/>
      <c r="S241" s="466" t="str">
        <f t="shared" ca="1" si="18"/>
        <v/>
      </c>
      <c r="T241" s="461" t="str">
        <f t="shared" ca="1" si="19"/>
        <v/>
      </c>
      <c r="U241" s="449"/>
    </row>
    <row r="242" spans="2:21" x14ac:dyDescent="0.35">
      <c r="B242" s="459" t="str">
        <f>IF(Lançamentos!$B237="","",Lançamentos!$B237)</f>
        <v/>
      </c>
      <c r="C242" s="460" t="str">
        <f>IF($B242="","",IFERROR(INDEX(Lançamentos!$J$3:$J$1001,MATCH($B242,Lançamentos!$B$3:$B$1001,0)),""))</f>
        <v/>
      </c>
      <c r="D242" s="461" t="str">
        <f>IF($B242="","",IFERROR(INDEX('E2 — Triagem'!$D$8:$D$507,MATCH($B242,'E2 — Triagem'!$B$8:$B$507,0)),""))</f>
        <v/>
      </c>
      <c r="E242" s="447"/>
      <c r="F242" s="447"/>
      <c r="G242" s="447"/>
      <c r="H242" s="447"/>
      <c r="I242" s="447"/>
      <c r="J242" s="447"/>
      <c r="K242" s="462" t="str">
        <f t="shared" si="16"/>
        <v/>
      </c>
      <c r="L242" s="448"/>
      <c r="M242" s="448"/>
      <c r="N242" s="447"/>
      <c r="O242" s="463" t="str">
        <f>IF(B242="","",IF(Lançamentos!D237="","",Lançamentos!D237))</f>
        <v/>
      </c>
      <c r="P242" s="209">
        <v>7</v>
      </c>
      <c r="Q242" s="464" t="str">
        <f t="shared" si="17"/>
        <v/>
      </c>
      <c r="R242" s="465"/>
      <c r="S242" s="466" t="str">
        <f t="shared" ca="1" si="18"/>
        <v/>
      </c>
      <c r="T242" s="461" t="str">
        <f t="shared" ca="1" si="19"/>
        <v/>
      </c>
      <c r="U242" s="449"/>
    </row>
    <row r="243" spans="2:21" x14ac:dyDescent="0.35">
      <c r="B243" s="459" t="str">
        <f>IF(Lançamentos!$B238="","",Lançamentos!$B238)</f>
        <v/>
      </c>
      <c r="C243" s="460" t="str">
        <f>IF($B243="","",IFERROR(INDEX(Lançamentos!$J$3:$J$1001,MATCH($B243,Lançamentos!$B$3:$B$1001,0)),""))</f>
        <v/>
      </c>
      <c r="D243" s="461" t="str">
        <f>IF($B243="","",IFERROR(INDEX('E2 — Triagem'!$D$8:$D$507,MATCH($B243,'E2 — Triagem'!$B$8:$B$507,0)),""))</f>
        <v/>
      </c>
      <c r="E243" s="447"/>
      <c r="F243" s="447"/>
      <c r="G243" s="447"/>
      <c r="H243" s="447"/>
      <c r="I243" s="447"/>
      <c r="J243" s="447"/>
      <c r="K243" s="462" t="str">
        <f t="shared" si="16"/>
        <v/>
      </c>
      <c r="L243" s="448"/>
      <c r="M243" s="448"/>
      <c r="N243" s="447"/>
      <c r="O243" s="463" t="str">
        <f>IF(B243="","",IF(Lançamentos!D238="","",Lançamentos!D238))</f>
        <v/>
      </c>
      <c r="P243" s="209">
        <v>7</v>
      </c>
      <c r="Q243" s="464" t="str">
        <f t="shared" si="17"/>
        <v/>
      </c>
      <c r="R243" s="465"/>
      <c r="S243" s="466" t="str">
        <f t="shared" ca="1" si="18"/>
        <v/>
      </c>
      <c r="T243" s="461" t="str">
        <f t="shared" ca="1" si="19"/>
        <v/>
      </c>
      <c r="U243" s="449"/>
    </row>
    <row r="244" spans="2:21" x14ac:dyDescent="0.35">
      <c r="B244" s="459" t="str">
        <f>IF(Lançamentos!$B239="","",Lançamentos!$B239)</f>
        <v/>
      </c>
      <c r="C244" s="460" t="str">
        <f>IF($B244="","",IFERROR(INDEX(Lançamentos!$J$3:$J$1001,MATCH($B244,Lançamentos!$B$3:$B$1001,0)),""))</f>
        <v/>
      </c>
      <c r="D244" s="461" t="str">
        <f>IF($B244="","",IFERROR(INDEX('E2 — Triagem'!$D$8:$D$507,MATCH($B244,'E2 — Triagem'!$B$8:$B$507,0)),""))</f>
        <v/>
      </c>
      <c r="E244" s="447"/>
      <c r="F244" s="447"/>
      <c r="G244" s="447"/>
      <c r="H244" s="447"/>
      <c r="I244" s="447"/>
      <c r="J244" s="447"/>
      <c r="K244" s="462" t="str">
        <f t="shared" si="16"/>
        <v/>
      </c>
      <c r="L244" s="448"/>
      <c r="M244" s="448"/>
      <c r="N244" s="447"/>
      <c r="O244" s="463" t="str">
        <f>IF(B244="","",IF(Lançamentos!D239="","",Lançamentos!D239))</f>
        <v/>
      </c>
      <c r="P244" s="209">
        <v>7</v>
      </c>
      <c r="Q244" s="464" t="str">
        <f t="shared" si="17"/>
        <v/>
      </c>
      <c r="R244" s="465"/>
      <c r="S244" s="466" t="str">
        <f t="shared" ca="1" si="18"/>
        <v/>
      </c>
      <c r="T244" s="461" t="str">
        <f t="shared" ca="1" si="19"/>
        <v/>
      </c>
      <c r="U244" s="449"/>
    </row>
    <row r="245" spans="2:21" x14ac:dyDescent="0.35">
      <c r="B245" s="459" t="str">
        <f>IF(Lançamentos!$B240="","",Lançamentos!$B240)</f>
        <v/>
      </c>
      <c r="C245" s="460" t="str">
        <f>IF($B245="","",IFERROR(INDEX(Lançamentos!$J$3:$J$1001,MATCH($B245,Lançamentos!$B$3:$B$1001,0)),""))</f>
        <v/>
      </c>
      <c r="D245" s="461" t="str">
        <f>IF($B245="","",IFERROR(INDEX('E2 — Triagem'!$D$8:$D$507,MATCH($B245,'E2 — Triagem'!$B$8:$B$507,0)),""))</f>
        <v/>
      </c>
      <c r="E245" s="447"/>
      <c r="F245" s="447"/>
      <c r="G245" s="447"/>
      <c r="H245" s="447"/>
      <c r="I245" s="447"/>
      <c r="J245" s="447"/>
      <c r="K245" s="462" t="str">
        <f t="shared" si="16"/>
        <v/>
      </c>
      <c r="L245" s="448"/>
      <c r="M245" s="448"/>
      <c r="N245" s="447"/>
      <c r="O245" s="463" t="str">
        <f>IF(B245="","",IF(Lançamentos!D240="","",Lançamentos!D240))</f>
        <v/>
      </c>
      <c r="P245" s="209">
        <v>7</v>
      </c>
      <c r="Q245" s="464" t="str">
        <f t="shared" si="17"/>
        <v/>
      </c>
      <c r="R245" s="465"/>
      <c r="S245" s="466" t="str">
        <f t="shared" ca="1" si="18"/>
        <v/>
      </c>
      <c r="T245" s="461" t="str">
        <f t="shared" ca="1" si="19"/>
        <v/>
      </c>
      <c r="U245" s="449"/>
    </row>
    <row r="246" spans="2:21" x14ac:dyDescent="0.35">
      <c r="B246" s="459" t="str">
        <f>IF(Lançamentos!$B241="","",Lançamentos!$B241)</f>
        <v/>
      </c>
      <c r="C246" s="460" t="str">
        <f>IF($B246="","",IFERROR(INDEX(Lançamentos!$J$3:$J$1001,MATCH($B246,Lançamentos!$B$3:$B$1001,0)),""))</f>
        <v/>
      </c>
      <c r="D246" s="461" t="str">
        <f>IF($B246="","",IFERROR(INDEX('E2 — Triagem'!$D$8:$D$507,MATCH($B246,'E2 — Triagem'!$B$8:$B$507,0)),""))</f>
        <v/>
      </c>
      <c r="E246" s="447"/>
      <c r="F246" s="447"/>
      <c r="G246" s="447"/>
      <c r="H246" s="447"/>
      <c r="I246" s="447"/>
      <c r="J246" s="447"/>
      <c r="K246" s="462" t="str">
        <f t="shared" si="16"/>
        <v/>
      </c>
      <c r="L246" s="448"/>
      <c r="M246" s="448"/>
      <c r="N246" s="447"/>
      <c r="O246" s="463" t="str">
        <f>IF(B246="","",IF(Lançamentos!D241="","",Lançamentos!D241))</f>
        <v/>
      </c>
      <c r="P246" s="209">
        <v>7</v>
      </c>
      <c r="Q246" s="464" t="str">
        <f t="shared" si="17"/>
        <v/>
      </c>
      <c r="R246" s="465"/>
      <c r="S246" s="466" t="str">
        <f t="shared" ca="1" si="18"/>
        <v/>
      </c>
      <c r="T246" s="461" t="str">
        <f t="shared" ca="1" si="19"/>
        <v/>
      </c>
      <c r="U246" s="449"/>
    </row>
    <row r="247" spans="2:21" x14ac:dyDescent="0.35">
      <c r="B247" s="459" t="str">
        <f>IF(Lançamentos!$B242="","",Lançamentos!$B242)</f>
        <v/>
      </c>
      <c r="C247" s="460" t="str">
        <f>IF($B247="","",IFERROR(INDEX(Lançamentos!$J$3:$J$1001,MATCH($B247,Lançamentos!$B$3:$B$1001,0)),""))</f>
        <v/>
      </c>
      <c r="D247" s="461" t="str">
        <f>IF($B247="","",IFERROR(INDEX('E2 — Triagem'!$D$8:$D$507,MATCH($B247,'E2 — Triagem'!$B$8:$B$507,0)),""))</f>
        <v/>
      </c>
      <c r="E247" s="447"/>
      <c r="F247" s="447"/>
      <c r="G247" s="447"/>
      <c r="H247" s="447"/>
      <c r="I247" s="447"/>
      <c r="J247" s="447"/>
      <c r="K247" s="462" t="str">
        <f t="shared" si="16"/>
        <v/>
      </c>
      <c r="L247" s="448"/>
      <c r="M247" s="448"/>
      <c r="N247" s="447"/>
      <c r="O247" s="463" t="str">
        <f>IF(B247="","",IF(Lançamentos!D242="","",Lançamentos!D242))</f>
        <v/>
      </c>
      <c r="P247" s="209">
        <v>7</v>
      </c>
      <c r="Q247" s="464" t="str">
        <f t="shared" si="17"/>
        <v/>
      </c>
      <c r="R247" s="465"/>
      <c r="S247" s="466" t="str">
        <f t="shared" ca="1" si="18"/>
        <v/>
      </c>
      <c r="T247" s="461" t="str">
        <f t="shared" ca="1" si="19"/>
        <v/>
      </c>
      <c r="U247" s="449"/>
    </row>
    <row r="248" spans="2:21" x14ac:dyDescent="0.35">
      <c r="B248" s="459" t="str">
        <f>IF(Lançamentos!$B243="","",Lançamentos!$B243)</f>
        <v/>
      </c>
      <c r="C248" s="460" t="str">
        <f>IF($B248="","",IFERROR(INDEX(Lançamentos!$J$3:$J$1001,MATCH($B248,Lançamentos!$B$3:$B$1001,0)),""))</f>
        <v/>
      </c>
      <c r="D248" s="461" t="str">
        <f>IF($B248="","",IFERROR(INDEX('E2 — Triagem'!$D$8:$D$507,MATCH($B248,'E2 — Triagem'!$B$8:$B$507,0)),""))</f>
        <v/>
      </c>
      <c r="E248" s="447"/>
      <c r="F248" s="447"/>
      <c r="G248" s="447"/>
      <c r="H248" s="447"/>
      <c r="I248" s="447"/>
      <c r="J248" s="447"/>
      <c r="K248" s="462" t="str">
        <f t="shared" si="16"/>
        <v/>
      </c>
      <c r="L248" s="448"/>
      <c r="M248" s="448"/>
      <c r="N248" s="447"/>
      <c r="O248" s="463" t="str">
        <f>IF(B248="","",IF(Lançamentos!D243="","",Lançamentos!D243))</f>
        <v/>
      </c>
      <c r="P248" s="209">
        <v>7</v>
      </c>
      <c r="Q248" s="464" t="str">
        <f t="shared" si="17"/>
        <v/>
      </c>
      <c r="R248" s="465"/>
      <c r="S248" s="466" t="str">
        <f t="shared" ca="1" si="18"/>
        <v/>
      </c>
      <c r="T248" s="461" t="str">
        <f t="shared" ca="1" si="19"/>
        <v/>
      </c>
      <c r="U248" s="449"/>
    </row>
    <row r="249" spans="2:21" x14ac:dyDescent="0.35">
      <c r="B249" s="459" t="str">
        <f>IF(Lançamentos!$B244="","",Lançamentos!$B244)</f>
        <v/>
      </c>
      <c r="C249" s="460" t="str">
        <f>IF($B249="","",IFERROR(INDEX(Lançamentos!$J$3:$J$1001,MATCH($B249,Lançamentos!$B$3:$B$1001,0)),""))</f>
        <v/>
      </c>
      <c r="D249" s="461" t="str">
        <f>IF($B249="","",IFERROR(INDEX('E2 — Triagem'!$D$8:$D$507,MATCH($B249,'E2 — Triagem'!$B$8:$B$507,0)),""))</f>
        <v/>
      </c>
      <c r="E249" s="447"/>
      <c r="F249" s="447"/>
      <c r="G249" s="447"/>
      <c r="H249" s="447"/>
      <c r="I249" s="447"/>
      <c r="J249" s="447"/>
      <c r="K249" s="462" t="str">
        <f t="shared" si="16"/>
        <v/>
      </c>
      <c r="L249" s="448"/>
      <c r="M249" s="448"/>
      <c r="N249" s="447"/>
      <c r="O249" s="463" t="str">
        <f>IF(B249="","",IF(Lançamentos!D244="","",Lançamentos!D244))</f>
        <v/>
      </c>
      <c r="P249" s="209">
        <v>7</v>
      </c>
      <c r="Q249" s="464" t="str">
        <f t="shared" si="17"/>
        <v/>
      </c>
      <c r="R249" s="465"/>
      <c r="S249" s="466" t="str">
        <f t="shared" ca="1" si="18"/>
        <v/>
      </c>
      <c r="T249" s="461" t="str">
        <f t="shared" ca="1" si="19"/>
        <v/>
      </c>
      <c r="U249" s="449"/>
    </row>
    <row r="250" spans="2:21" x14ac:dyDescent="0.35">
      <c r="B250" s="459" t="str">
        <f>IF(Lançamentos!$B245="","",Lançamentos!$B245)</f>
        <v/>
      </c>
      <c r="C250" s="460" t="str">
        <f>IF($B250="","",IFERROR(INDEX(Lançamentos!$J$3:$J$1001,MATCH($B250,Lançamentos!$B$3:$B$1001,0)),""))</f>
        <v/>
      </c>
      <c r="D250" s="461" t="str">
        <f>IF($B250="","",IFERROR(INDEX('E2 — Triagem'!$D$8:$D$507,MATCH($B250,'E2 — Triagem'!$B$8:$B$507,0)),""))</f>
        <v/>
      </c>
      <c r="E250" s="447"/>
      <c r="F250" s="447"/>
      <c r="G250" s="447"/>
      <c r="H250" s="447"/>
      <c r="I250" s="447"/>
      <c r="J250" s="447"/>
      <c r="K250" s="462" t="str">
        <f t="shared" si="16"/>
        <v/>
      </c>
      <c r="L250" s="448"/>
      <c r="M250" s="448"/>
      <c r="N250" s="447"/>
      <c r="O250" s="463" t="str">
        <f>IF(B250="","",IF(Lançamentos!D245="","",Lançamentos!D245))</f>
        <v/>
      </c>
      <c r="P250" s="209">
        <v>7</v>
      </c>
      <c r="Q250" s="464" t="str">
        <f t="shared" si="17"/>
        <v/>
      </c>
      <c r="R250" s="465"/>
      <c r="S250" s="466" t="str">
        <f t="shared" ca="1" si="18"/>
        <v/>
      </c>
      <c r="T250" s="461" t="str">
        <f t="shared" ca="1" si="19"/>
        <v/>
      </c>
      <c r="U250" s="449"/>
    </row>
    <row r="251" spans="2:21" x14ac:dyDescent="0.35">
      <c r="B251" s="459" t="str">
        <f>IF(Lançamentos!$B246="","",Lançamentos!$B246)</f>
        <v/>
      </c>
      <c r="C251" s="460" t="str">
        <f>IF($B251="","",IFERROR(INDEX(Lançamentos!$J$3:$J$1001,MATCH($B251,Lançamentos!$B$3:$B$1001,0)),""))</f>
        <v/>
      </c>
      <c r="D251" s="461" t="str">
        <f>IF($B251="","",IFERROR(INDEX('E2 — Triagem'!$D$8:$D$507,MATCH($B251,'E2 — Triagem'!$B$8:$B$507,0)),""))</f>
        <v/>
      </c>
      <c r="E251" s="447"/>
      <c r="F251" s="447"/>
      <c r="G251" s="447"/>
      <c r="H251" s="447"/>
      <c r="I251" s="447"/>
      <c r="J251" s="447"/>
      <c r="K251" s="462" t="str">
        <f t="shared" si="16"/>
        <v/>
      </c>
      <c r="L251" s="448"/>
      <c r="M251" s="448"/>
      <c r="N251" s="447"/>
      <c r="O251" s="463" t="str">
        <f>IF(B251="","",IF(Lançamentos!D246="","",Lançamentos!D246))</f>
        <v/>
      </c>
      <c r="P251" s="209">
        <v>7</v>
      </c>
      <c r="Q251" s="464" t="str">
        <f t="shared" si="17"/>
        <v/>
      </c>
      <c r="R251" s="465"/>
      <c r="S251" s="466" t="str">
        <f t="shared" ca="1" si="18"/>
        <v/>
      </c>
      <c r="T251" s="461" t="str">
        <f t="shared" ca="1" si="19"/>
        <v/>
      </c>
      <c r="U251" s="449"/>
    </row>
    <row r="252" spans="2:21" x14ac:dyDescent="0.35">
      <c r="B252" s="459" t="str">
        <f>IF(Lançamentos!$B247="","",Lançamentos!$B247)</f>
        <v/>
      </c>
      <c r="C252" s="460" t="str">
        <f>IF($B252="","",IFERROR(INDEX(Lançamentos!$J$3:$J$1001,MATCH($B252,Lançamentos!$B$3:$B$1001,0)),""))</f>
        <v/>
      </c>
      <c r="D252" s="461" t="str">
        <f>IF($B252="","",IFERROR(INDEX('E2 — Triagem'!$D$8:$D$507,MATCH($B252,'E2 — Triagem'!$B$8:$B$507,0)),""))</f>
        <v/>
      </c>
      <c r="E252" s="447"/>
      <c r="F252" s="447"/>
      <c r="G252" s="447"/>
      <c r="H252" s="447"/>
      <c r="I252" s="447"/>
      <c r="J252" s="447"/>
      <c r="K252" s="462" t="str">
        <f t="shared" si="16"/>
        <v/>
      </c>
      <c r="L252" s="448"/>
      <c r="M252" s="448"/>
      <c r="N252" s="447"/>
      <c r="O252" s="463" t="str">
        <f>IF(B252="","",IF(Lançamentos!D247="","",Lançamentos!D247))</f>
        <v/>
      </c>
      <c r="P252" s="209">
        <v>7</v>
      </c>
      <c r="Q252" s="464" t="str">
        <f t="shared" si="17"/>
        <v/>
      </c>
      <c r="R252" s="465"/>
      <c r="S252" s="466" t="str">
        <f t="shared" ca="1" si="18"/>
        <v/>
      </c>
      <c r="T252" s="461" t="str">
        <f t="shared" ca="1" si="19"/>
        <v/>
      </c>
      <c r="U252" s="449"/>
    </row>
    <row r="253" spans="2:21" x14ac:dyDescent="0.35">
      <c r="B253" s="459" t="str">
        <f>IF(Lançamentos!$B248="","",Lançamentos!$B248)</f>
        <v/>
      </c>
      <c r="C253" s="460" t="str">
        <f>IF($B253="","",IFERROR(INDEX(Lançamentos!$J$3:$J$1001,MATCH($B253,Lançamentos!$B$3:$B$1001,0)),""))</f>
        <v/>
      </c>
      <c r="D253" s="461" t="str">
        <f>IF($B253="","",IFERROR(INDEX('E2 — Triagem'!$D$8:$D$507,MATCH($B253,'E2 — Triagem'!$B$8:$B$507,0)),""))</f>
        <v/>
      </c>
      <c r="E253" s="447"/>
      <c r="F253" s="447"/>
      <c r="G253" s="447"/>
      <c r="H253" s="447"/>
      <c r="I253" s="447"/>
      <c r="J253" s="447"/>
      <c r="K253" s="462" t="str">
        <f t="shared" si="16"/>
        <v/>
      </c>
      <c r="L253" s="448"/>
      <c r="M253" s="448"/>
      <c r="N253" s="447"/>
      <c r="O253" s="463" t="str">
        <f>IF(B253="","",IF(Lançamentos!D248="","",Lançamentos!D248))</f>
        <v/>
      </c>
      <c r="P253" s="209">
        <v>7</v>
      </c>
      <c r="Q253" s="464" t="str">
        <f t="shared" si="17"/>
        <v/>
      </c>
      <c r="R253" s="465"/>
      <c r="S253" s="466" t="str">
        <f t="shared" ca="1" si="18"/>
        <v/>
      </c>
      <c r="T253" s="461" t="str">
        <f t="shared" ca="1" si="19"/>
        <v/>
      </c>
      <c r="U253" s="449"/>
    </row>
    <row r="254" spans="2:21" x14ac:dyDescent="0.35">
      <c r="B254" s="459" t="str">
        <f>IF(Lançamentos!$B249="","",Lançamentos!$B249)</f>
        <v/>
      </c>
      <c r="C254" s="460" t="str">
        <f>IF($B254="","",IFERROR(INDEX(Lançamentos!$J$3:$J$1001,MATCH($B254,Lançamentos!$B$3:$B$1001,0)),""))</f>
        <v/>
      </c>
      <c r="D254" s="461" t="str">
        <f>IF($B254="","",IFERROR(INDEX('E2 — Triagem'!$D$8:$D$507,MATCH($B254,'E2 — Triagem'!$B$8:$B$507,0)),""))</f>
        <v/>
      </c>
      <c r="E254" s="447"/>
      <c r="F254" s="447"/>
      <c r="G254" s="447"/>
      <c r="H254" s="447"/>
      <c r="I254" s="447"/>
      <c r="J254" s="447"/>
      <c r="K254" s="462" t="str">
        <f t="shared" si="16"/>
        <v/>
      </c>
      <c r="L254" s="448"/>
      <c r="M254" s="448"/>
      <c r="N254" s="447"/>
      <c r="O254" s="463" t="str">
        <f>IF(B254="","",IF(Lançamentos!D249="","",Lançamentos!D249))</f>
        <v/>
      </c>
      <c r="P254" s="209">
        <v>7</v>
      </c>
      <c r="Q254" s="464" t="str">
        <f t="shared" si="17"/>
        <v/>
      </c>
      <c r="R254" s="465"/>
      <c r="S254" s="466" t="str">
        <f t="shared" ca="1" si="18"/>
        <v/>
      </c>
      <c r="T254" s="461" t="str">
        <f t="shared" ca="1" si="19"/>
        <v/>
      </c>
      <c r="U254" s="449"/>
    </row>
    <row r="255" spans="2:21" x14ac:dyDescent="0.35">
      <c r="B255" s="459" t="str">
        <f>IF(Lançamentos!$B250="","",Lançamentos!$B250)</f>
        <v/>
      </c>
      <c r="C255" s="460" t="str">
        <f>IF($B255="","",IFERROR(INDEX(Lançamentos!$J$3:$J$1001,MATCH($B255,Lançamentos!$B$3:$B$1001,0)),""))</f>
        <v/>
      </c>
      <c r="D255" s="461" t="str">
        <f>IF($B255="","",IFERROR(INDEX('E2 — Triagem'!$D$8:$D$507,MATCH($B255,'E2 — Triagem'!$B$8:$B$507,0)),""))</f>
        <v/>
      </c>
      <c r="E255" s="447"/>
      <c r="F255" s="447"/>
      <c r="G255" s="447"/>
      <c r="H255" s="447"/>
      <c r="I255" s="447"/>
      <c r="J255" s="447"/>
      <c r="K255" s="462" t="str">
        <f t="shared" si="16"/>
        <v/>
      </c>
      <c r="L255" s="448"/>
      <c r="M255" s="448"/>
      <c r="N255" s="447"/>
      <c r="O255" s="463" t="str">
        <f>IF(B255="","",IF(Lançamentos!D250="","",Lançamentos!D250))</f>
        <v/>
      </c>
      <c r="P255" s="209">
        <v>7</v>
      </c>
      <c r="Q255" s="464" t="str">
        <f t="shared" si="17"/>
        <v/>
      </c>
      <c r="R255" s="465"/>
      <c r="S255" s="466" t="str">
        <f t="shared" ca="1" si="18"/>
        <v/>
      </c>
      <c r="T255" s="461" t="str">
        <f t="shared" ca="1" si="19"/>
        <v/>
      </c>
      <c r="U255" s="449"/>
    </row>
    <row r="256" spans="2:21" x14ac:dyDescent="0.35">
      <c r="B256" s="459" t="str">
        <f>IF(Lançamentos!$B251="","",Lançamentos!$B251)</f>
        <v/>
      </c>
      <c r="C256" s="460" t="str">
        <f>IF($B256="","",IFERROR(INDEX(Lançamentos!$J$3:$J$1001,MATCH($B256,Lançamentos!$B$3:$B$1001,0)),""))</f>
        <v/>
      </c>
      <c r="D256" s="461" t="str">
        <f>IF($B256="","",IFERROR(INDEX('E2 — Triagem'!$D$8:$D$507,MATCH($B256,'E2 — Triagem'!$B$8:$B$507,0)),""))</f>
        <v/>
      </c>
      <c r="E256" s="447"/>
      <c r="F256" s="447"/>
      <c r="G256" s="447"/>
      <c r="H256" s="447"/>
      <c r="I256" s="447"/>
      <c r="J256" s="447"/>
      <c r="K256" s="462" t="str">
        <f t="shared" si="16"/>
        <v/>
      </c>
      <c r="L256" s="448"/>
      <c r="M256" s="448"/>
      <c r="N256" s="447"/>
      <c r="O256" s="463" t="str">
        <f>IF(B256="","",IF(Lançamentos!D251="","",Lançamentos!D251))</f>
        <v/>
      </c>
      <c r="P256" s="209">
        <v>7</v>
      </c>
      <c r="Q256" s="464" t="str">
        <f t="shared" si="17"/>
        <v/>
      </c>
      <c r="R256" s="465"/>
      <c r="S256" s="466" t="str">
        <f t="shared" ca="1" si="18"/>
        <v/>
      </c>
      <c r="T256" s="461" t="str">
        <f t="shared" ca="1" si="19"/>
        <v/>
      </c>
      <c r="U256" s="449"/>
    </row>
    <row r="257" spans="2:21" x14ac:dyDescent="0.35">
      <c r="B257" s="459" t="str">
        <f>IF(Lançamentos!$B252="","",Lançamentos!$B252)</f>
        <v/>
      </c>
      <c r="C257" s="460" t="str">
        <f>IF($B257="","",IFERROR(INDEX(Lançamentos!$J$3:$J$1001,MATCH($B257,Lançamentos!$B$3:$B$1001,0)),""))</f>
        <v/>
      </c>
      <c r="D257" s="461" t="str">
        <f>IF($B257="","",IFERROR(INDEX('E2 — Triagem'!$D$8:$D$507,MATCH($B257,'E2 — Triagem'!$B$8:$B$507,0)),""))</f>
        <v/>
      </c>
      <c r="E257" s="447"/>
      <c r="F257" s="447"/>
      <c r="G257" s="447"/>
      <c r="H257" s="447"/>
      <c r="I257" s="447"/>
      <c r="J257" s="447"/>
      <c r="K257" s="462" t="str">
        <f t="shared" si="16"/>
        <v/>
      </c>
      <c r="L257" s="448"/>
      <c r="M257" s="448"/>
      <c r="N257" s="447"/>
      <c r="O257" s="463" t="str">
        <f>IF(B257="","",IF(Lançamentos!D252="","",Lançamentos!D252))</f>
        <v/>
      </c>
      <c r="P257" s="209">
        <v>7</v>
      </c>
      <c r="Q257" s="464" t="str">
        <f t="shared" si="17"/>
        <v/>
      </c>
      <c r="R257" s="465"/>
      <c r="S257" s="466" t="str">
        <f t="shared" ca="1" si="18"/>
        <v/>
      </c>
      <c r="T257" s="461" t="str">
        <f t="shared" ca="1" si="19"/>
        <v/>
      </c>
      <c r="U257" s="449"/>
    </row>
    <row r="258" spans="2:21" x14ac:dyDescent="0.35">
      <c r="B258" s="459" t="str">
        <f>IF(Lançamentos!$B253="","",Lançamentos!$B253)</f>
        <v/>
      </c>
      <c r="C258" s="460" t="str">
        <f>IF($B258="","",IFERROR(INDEX(Lançamentos!$J$3:$J$1001,MATCH($B258,Lançamentos!$B$3:$B$1001,0)),""))</f>
        <v/>
      </c>
      <c r="D258" s="461" t="str">
        <f>IF($B258="","",IFERROR(INDEX('E2 — Triagem'!$D$8:$D$507,MATCH($B258,'E2 — Triagem'!$B$8:$B$507,0)),""))</f>
        <v/>
      </c>
      <c r="E258" s="447"/>
      <c r="F258" s="447"/>
      <c r="G258" s="447"/>
      <c r="H258" s="447"/>
      <c r="I258" s="447"/>
      <c r="J258" s="447"/>
      <c r="K258" s="462" t="str">
        <f t="shared" si="16"/>
        <v/>
      </c>
      <c r="L258" s="448"/>
      <c r="M258" s="448"/>
      <c r="N258" s="447"/>
      <c r="O258" s="463" t="str">
        <f>IF(B258="","",IF(Lançamentos!D253="","",Lançamentos!D253))</f>
        <v/>
      </c>
      <c r="P258" s="209">
        <v>7</v>
      </c>
      <c r="Q258" s="464" t="str">
        <f t="shared" si="17"/>
        <v/>
      </c>
      <c r="R258" s="465"/>
      <c r="S258" s="466" t="str">
        <f t="shared" ca="1" si="18"/>
        <v/>
      </c>
      <c r="T258" s="461" t="str">
        <f t="shared" ca="1" si="19"/>
        <v/>
      </c>
      <c r="U258" s="449"/>
    </row>
    <row r="259" spans="2:21" x14ac:dyDescent="0.35">
      <c r="B259" s="459" t="str">
        <f>IF(Lançamentos!$B254="","",Lançamentos!$B254)</f>
        <v/>
      </c>
      <c r="C259" s="460" t="str">
        <f>IF($B259="","",IFERROR(INDEX(Lançamentos!$J$3:$J$1001,MATCH($B259,Lançamentos!$B$3:$B$1001,0)),""))</f>
        <v/>
      </c>
      <c r="D259" s="461" t="str">
        <f>IF($B259="","",IFERROR(INDEX('E2 — Triagem'!$D$8:$D$507,MATCH($B259,'E2 — Triagem'!$B$8:$B$507,0)),""))</f>
        <v/>
      </c>
      <c r="E259" s="447"/>
      <c r="F259" s="447"/>
      <c r="G259" s="447"/>
      <c r="H259" s="447"/>
      <c r="I259" s="447"/>
      <c r="J259" s="447"/>
      <c r="K259" s="462" t="str">
        <f t="shared" si="16"/>
        <v/>
      </c>
      <c r="L259" s="448"/>
      <c r="M259" s="448"/>
      <c r="N259" s="447"/>
      <c r="O259" s="463" t="str">
        <f>IF(B259="","",IF(Lançamentos!D254="","",Lançamentos!D254))</f>
        <v/>
      </c>
      <c r="P259" s="209">
        <v>7</v>
      </c>
      <c r="Q259" s="464" t="str">
        <f t="shared" si="17"/>
        <v/>
      </c>
      <c r="R259" s="465"/>
      <c r="S259" s="466" t="str">
        <f t="shared" ca="1" si="18"/>
        <v/>
      </c>
      <c r="T259" s="461" t="str">
        <f t="shared" ca="1" si="19"/>
        <v/>
      </c>
      <c r="U259" s="449"/>
    </row>
    <row r="260" spans="2:21" x14ac:dyDescent="0.35">
      <c r="B260" s="459" t="str">
        <f>IF(Lançamentos!$B255="","",Lançamentos!$B255)</f>
        <v/>
      </c>
      <c r="C260" s="460" t="str">
        <f>IF($B260="","",IFERROR(INDEX(Lançamentos!$J$3:$J$1001,MATCH($B260,Lançamentos!$B$3:$B$1001,0)),""))</f>
        <v/>
      </c>
      <c r="D260" s="461" t="str">
        <f>IF($B260="","",IFERROR(INDEX('E2 — Triagem'!$D$8:$D$507,MATCH($B260,'E2 — Triagem'!$B$8:$B$507,0)),""))</f>
        <v/>
      </c>
      <c r="E260" s="447"/>
      <c r="F260" s="447"/>
      <c r="G260" s="447"/>
      <c r="H260" s="447"/>
      <c r="I260" s="447"/>
      <c r="J260" s="447"/>
      <c r="K260" s="462" t="str">
        <f t="shared" si="16"/>
        <v/>
      </c>
      <c r="L260" s="448"/>
      <c r="M260" s="448"/>
      <c r="N260" s="447"/>
      <c r="O260" s="463" t="str">
        <f>IF(B260="","",IF(Lançamentos!D255="","",Lançamentos!D255))</f>
        <v/>
      </c>
      <c r="P260" s="209">
        <v>7</v>
      </c>
      <c r="Q260" s="464" t="str">
        <f t="shared" si="17"/>
        <v/>
      </c>
      <c r="R260" s="465"/>
      <c r="S260" s="466" t="str">
        <f t="shared" ca="1" si="18"/>
        <v/>
      </c>
      <c r="T260" s="461" t="str">
        <f t="shared" ca="1" si="19"/>
        <v/>
      </c>
      <c r="U260" s="449"/>
    </row>
    <row r="261" spans="2:21" x14ac:dyDescent="0.35">
      <c r="B261" s="459" t="str">
        <f>IF(Lançamentos!$B256="","",Lançamentos!$B256)</f>
        <v/>
      </c>
      <c r="C261" s="460" t="str">
        <f>IF($B261="","",IFERROR(INDEX(Lançamentos!$J$3:$J$1001,MATCH($B261,Lançamentos!$B$3:$B$1001,0)),""))</f>
        <v/>
      </c>
      <c r="D261" s="461" t="str">
        <f>IF($B261="","",IFERROR(INDEX('E2 — Triagem'!$D$8:$D$507,MATCH($B261,'E2 — Triagem'!$B$8:$B$507,0)),""))</f>
        <v/>
      </c>
      <c r="E261" s="447"/>
      <c r="F261" s="447"/>
      <c r="G261" s="447"/>
      <c r="H261" s="447"/>
      <c r="I261" s="447"/>
      <c r="J261" s="447"/>
      <c r="K261" s="462" t="str">
        <f t="shared" si="16"/>
        <v/>
      </c>
      <c r="L261" s="448"/>
      <c r="M261" s="448"/>
      <c r="N261" s="447"/>
      <c r="O261" s="463" t="str">
        <f>IF(B261="","",IF(Lançamentos!D256="","",Lançamentos!D256))</f>
        <v/>
      </c>
      <c r="P261" s="209">
        <v>7</v>
      </c>
      <c r="Q261" s="464" t="str">
        <f t="shared" si="17"/>
        <v/>
      </c>
      <c r="R261" s="465"/>
      <c r="S261" s="466" t="str">
        <f t="shared" ca="1" si="18"/>
        <v/>
      </c>
      <c r="T261" s="461" t="str">
        <f t="shared" ca="1" si="19"/>
        <v/>
      </c>
      <c r="U261" s="449"/>
    </row>
    <row r="262" spans="2:21" x14ac:dyDescent="0.35">
      <c r="B262" s="459" t="str">
        <f>IF(Lançamentos!$B257="","",Lançamentos!$B257)</f>
        <v/>
      </c>
      <c r="C262" s="460" t="str">
        <f>IF($B262="","",IFERROR(INDEX(Lançamentos!$J$3:$J$1001,MATCH($B262,Lançamentos!$B$3:$B$1001,0)),""))</f>
        <v/>
      </c>
      <c r="D262" s="461" t="str">
        <f>IF($B262="","",IFERROR(INDEX('E2 — Triagem'!$D$8:$D$507,MATCH($B262,'E2 — Triagem'!$B$8:$B$507,0)),""))</f>
        <v/>
      </c>
      <c r="E262" s="447"/>
      <c r="F262" s="447"/>
      <c r="G262" s="447"/>
      <c r="H262" s="447"/>
      <c r="I262" s="447"/>
      <c r="J262" s="447"/>
      <c r="K262" s="462" t="str">
        <f t="shared" si="16"/>
        <v/>
      </c>
      <c r="L262" s="448"/>
      <c r="M262" s="448"/>
      <c r="N262" s="447"/>
      <c r="O262" s="463" t="str">
        <f>IF(B262="","",IF(Lançamentos!D257="","",Lançamentos!D257))</f>
        <v/>
      </c>
      <c r="P262" s="209">
        <v>7</v>
      </c>
      <c r="Q262" s="464" t="str">
        <f t="shared" si="17"/>
        <v/>
      </c>
      <c r="R262" s="465"/>
      <c r="S262" s="466" t="str">
        <f t="shared" ca="1" si="18"/>
        <v/>
      </c>
      <c r="T262" s="461" t="str">
        <f t="shared" ca="1" si="19"/>
        <v/>
      </c>
      <c r="U262" s="449"/>
    </row>
    <row r="263" spans="2:21" x14ac:dyDescent="0.35">
      <c r="B263" s="459" t="str">
        <f>IF(Lançamentos!$B258="","",Lançamentos!$B258)</f>
        <v/>
      </c>
      <c r="C263" s="460" t="str">
        <f>IF($B263="","",IFERROR(INDEX(Lançamentos!$J$3:$J$1001,MATCH($B263,Lançamentos!$B$3:$B$1001,0)),""))</f>
        <v/>
      </c>
      <c r="D263" s="461" t="str">
        <f>IF($B263="","",IFERROR(INDEX('E2 — Triagem'!$D$8:$D$507,MATCH($B263,'E2 — Triagem'!$B$8:$B$507,0)),""))</f>
        <v/>
      </c>
      <c r="E263" s="447"/>
      <c r="F263" s="447"/>
      <c r="G263" s="447"/>
      <c r="H263" s="447"/>
      <c r="I263" s="447"/>
      <c r="J263" s="447"/>
      <c r="K263" s="462" t="str">
        <f t="shared" si="16"/>
        <v/>
      </c>
      <c r="L263" s="448"/>
      <c r="M263" s="448"/>
      <c r="N263" s="447"/>
      <c r="O263" s="463" t="str">
        <f>IF(B263="","",IF(Lançamentos!D258="","",Lançamentos!D258))</f>
        <v/>
      </c>
      <c r="P263" s="209">
        <v>7</v>
      </c>
      <c r="Q263" s="464" t="str">
        <f t="shared" si="17"/>
        <v/>
      </c>
      <c r="R263" s="465"/>
      <c r="S263" s="466" t="str">
        <f t="shared" ca="1" si="18"/>
        <v/>
      </c>
      <c r="T263" s="461" t="str">
        <f t="shared" ca="1" si="19"/>
        <v/>
      </c>
      <c r="U263" s="449"/>
    </row>
    <row r="264" spans="2:21" x14ac:dyDescent="0.35">
      <c r="B264" s="459" t="str">
        <f>IF(Lançamentos!$B259="","",Lançamentos!$B259)</f>
        <v/>
      </c>
      <c r="C264" s="460" t="str">
        <f>IF($B264="","",IFERROR(INDEX(Lançamentos!$J$3:$J$1001,MATCH($B264,Lançamentos!$B$3:$B$1001,0)),""))</f>
        <v/>
      </c>
      <c r="D264" s="461" t="str">
        <f>IF($B264="","",IFERROR(INDEX('E2 — Triagem'!$D$8:$D$507,MATCH($B264,'E2 — Triagem'!$B$8:$B$507,0)),""))</f>
        <v/>
      </c>
      <c r="E264" s="447"/>
      <c r="F264" s="447"/>
      <c r="G264" s="447"/>
      <c r="H264" s="447"/>
      <c r="I264" s="447"/>
      <c r="J264" s="447"/>
      <c r="K264" s="462" t="str">
        <f t="shared" si="16"/>
        <v/>
      </c>
      <c r="L264" s="448"/>
      <c r="M264" s="448"/>
      <c r="N264" s="447"/>
      <c r="O264" s="463" t="str">
        <f>IF(B264="","",IF(Lançamentos!D259="","",Lançamentos!D259))</f>
        <v/>
      </c>
      <c r="P264" s="209">
        <v>7</v>
      </c>
      <c r="Q264" s="464" t="str">
        <f t="shared" si="17"/>
        <v/>
      </c>
      <c r="R264" s="465"/>
      <c r="S264" s="466" t="str">
        <f t="shared" ca="1" si="18"/>
        <v/>
      </c>
      <c r="T264" s="461" t="str">
        <f t="shared" ca="1" si="19"/>
        <v/>
      </c>
      <c r="U264" s="449"/>
    </row>
    <row r="265" spans="2:21" x14ac:dyDescent="0.35">
      <c r="B265" s="459" t="str">
        <f>IF(Lançamentos!$B260="","",Lançamentos!$B260)</f>
        <v/>
      </c>
      <c r="C265" s="460" t="str">
        <f>IF($B265="","",IFERROR(INDEX(Lançamentos!$J$3:$J$1001,MATCH($B265,Lançamentos!$B$3:$B$1001,0)),""))</f>
        <v/>
      </c>
      <c r="D265" s="461" t="str">
        <f>IF($B265="","",IFERROR(INDEX('E2 — Triagem'!$D$8:$D$507,MATCH($B265,'E2 — Triagem'!$B$8:$B$507,0)),""))</f>
        <v/>
      </c>
      <c r="E265" s="447"/>
      <c r="F265" s="447"/>
      <c r="G265" s="447"/>
      <c r="H265" s="447"/>
      <c r="I265" s="447"/>
      <c r="J265" s="447"/>
      <c r="K265" s="462" t="str">
        <f t="shared" si="16"/>
        <v/>
      </c>
      <c r="L265" s="448"/>
      <c r="M265" s="448"/>
      <c r="N265" s="447"/>
      <c r="O265" s="463" t="str">
        <f>IF(B265="","",IF(Lançamentos!D260="","",Lançamentos!D260))</f>
        <v/>
      </c>
      <c r="P265" s="209">
        <v>7</v>
      </c>
      <c r="Q265" s="464" t="str">
        <f t="shared" si="17"/>
        <v/>
      </c>
      <c r="R265" s="465"/>
      <c r="S265" s="466" t="str">
        <f t="shared" ca="1" si="18"/>
        <v/>
      </c>
      <c r="T265" s="461" t="str">
        <f t="shared" ca="1" si="19"/>
        <v/>
      </c>
      <c r="U265" s="449"/>
    </row>
    <row r="266" spans="2:21" x14ac:dyDescent="0.35">
      <c r="B266" s="459" t="str">
        <f>IF(Lançamentos!$B261="","",Lançamentos!$B261)</f>
        <v/>
      </c>
      <c r="C266" s="460" t="str">
        <f>IF($B266="","",IFERROR(INDEX(Lançamentos!$J$3:$J$1001,MATCH($B266,Lançamentos!$B$3:$B$1001,0)),""))</f>
        <v/>
      </c>
      <c r="D266" s="461" t="str">
        <f>IF($B266="","",IFERROR(INDEX('E2 — Triagem'!$D$8:$D$507,MATCH($B266,'E2 — Triagem'!$B$8:$B$507,0)),""))</f>
        <v/>
      </c>
      <c r="E266" s="447"/>
      <c r="F266" s="447"/>
      <c r="G266" s="447"/>
      <c r="H266" s="447"/>
      <c r="I266" s="447"/>
      <c r="J266" s="447"/>
      <c r="K266" s="462" t="str">
        <f t="shared" si="16"/>
        <v/>
      </c>
      <c r="L266" s="448"/>
      <c r="M266" s="448"/>
      <c r="N266" s="447"/>
      <c r="O266" s="463" t="str">
        <f>IF(B266="","",IF(Lançamentos!D261="","",Lançamentos!D261))</f>
        <v/>
      </c>
      <c r="P266" s="209">
        <v>7</v>
      </c>
      <c r="Q266" s="464" t="str">
        <f t="shared" si="17"/>
        <v/>
      </c>
      <c r="R266" s="465"/>
      <c r="S266" s="466" t="str">
        <f t="shared" ca="1" si="18"/>
        <v/>
      </c>
      <c r="T266" s="461" t="str">
        <f t="shared" ca="1" si="19"/>
        <v/>
      </c>
      <c r="U266" s="449"/>
    </row>
    <row r="267" spans="2:21" x14ac:dyDescent="0.35">
      <c r="B267" s="459" t="str">
        <f>IF(Lançamentos!$B262="","",Lançamentos!$B262)</f>
        <v/>
      </c>
      <c r="C267" s="460" t="str">
        <f>IF($B267="","",IFERROR(INDEX(Lançamentos!$J$3:$J$1001,MATCH($B267,Lançamentos!$B$3:$B$1001,0)),""))</f>
        <v/>
      </c>
      <c r="D267" s="461" t="str">
        <f>IF($B267="","",IFERROR(INDEX('E2 — Triagem'!$D$8:$D$507,MATCH($B267,'E2 — Triagem'!$B$8:$B$507,0)),""))</f>
        <v/>
      </c>
      <c r="E267" s="447"/>
      <c r="F267" s="447"/>
      <c r="G267" s="447"/>
      <c r="H267" s="447"/>
      <c r="I267" s="447"/>
      <c r="J267" s="447"/>
      <c r="K267" s="462" t="str">
        <f t="shared" si="16"/>
        <v/>
      </c>
      <c r="L267" s="448"/>
      <c r="M267" s="448"/>
      <c r="N267" s="447"/>
      <c r="O267" s="463" t="str">
        <f>IF(B267="","",IF(Lançamentos!D262="","",Lançamentos!D262))</f>
        <v/>
      </c>
      <c r="P267" s="209">
        <v>7</v>
      </c>
      <c r="Q267" s="464" t="str">
        <f t="shared" si="17"/>
        <v/>
      </c>
      <c r="R267" s="465"/>
      <c r="S267" s="466" t="str">
        <f t="shared" ca="1" si="18"/>
        <v/>
      </c>
      <c r="T267" s="461" t="str">
        <f t="shared" ca="1" si="19"/>
        <v/>
      </c>
      <c r="U267" s="449"/>
    </row>
    <row r="268" spans="2:21" x14ac:dyDescent="0.35">
      <c r="B268" s="459" t="str">
        <f>IF(Lançamentos!$B263="","",Lançamentos!$B263)</f>
        <v/>
      </c>
      <c r="C268" s="460" t="str">
        <f>IF($B268="","",IFERROR(INDEX(Lançamentos!$J$3:$J$1001,MATCH($B268,Lançamentos!$B$3:$B$1001,0)),""))</f>
        <v/>
      </c>
      <c r="D268" s="461" t="str">
        <f>IF($B268="","",IFERROR(INDEX('E2 — Triagem'!$D$8:$D$507,MATCH($B268,'E2 — Triagem'!$B$8:$B$507,0)),""))</f>
        <v/>
      </c>
      <c r="E268" s="447"/>
      <c r="F268" s="447"/>
      <c r="G268" s="447"/>
      <c r="H268" s="447"/>
      <c r="I268" s="447"/>
      <c r="J268" s="447"/>
      <c r="K268" s="462" t="str">
        <f t="shared" si="16"/>
        <v/>
      </c>
      <c r="L268" s="448"/>
      <c r="M268" s="448"/>
      <c r="N268" s="447"/>
      <c r="O268" s="463" t="str">
        <f>IF(B268="","",IF(Lançamentos!D263="","",Lançamentos!D263))</f>
        <v/>
      </c>
      <c r="P268" s="209">
        <v>7</v>
      </c>
      <c r="Q268" s="464" t="str">
        <f t="shared" si="17"/>
        <v/>
      </c>
      <c r="R268" s="465"/>
      <c r="S268" s="466" t="str">
        <f t="shared" ca="1" si="18"/>
        <v/>
      </c>
      <c r="T268" s="461" t="str">
        <f t="shared" ca="1" si="19"/>
        <v/>
      </c>
      <c r="U268" s="449"/>
    </row>
    <row r="269" spans="2:21" x14ac:dyDescent="0.35">
      <c r="B269" s="459" t="str">
        <f>IF(Lançamentos!$B264="","",Lançamentos!$B264)</f>
        <v/>
      </c>
      <c r="C269" s="460" t="str">
        <f>IF($B269="","",IFERROR(INDEX(Lançamentos!$J$3:$J$1001,MATCH($B269,Lançamentos!$B$3:$B$1001,0)),""))</f>
        <v/>
      </c>
      <c r="D269" s="461" t="str">
        <f>IF($B269="","",IFERROR(INDEX('E2 — Triagem'!$D$8:$D$507,MATCH($B269,'E2 — Triagem'!$B$8:$B$507,0)),""))</f>
        <v/>
      </c>
      <c r="E269" s="447"/>
      <c r="F269" s="447"/>
      <c r="G269" s="447"/>
      <c r="H269" s="447"/>
      <c r="I269" s="447"/>
      <c r="J269" s="447"/>
      <c r="K269" s="462" t="str">
        <f t="shared" si="16"/>
        <v/>
      </c>
      <c r="L269" s="448"/>
      <c r="M269" s="448"/>
      <c r="N269" s="447"/>
      <c r="O269" s="463" t="str">
        <f>IF(B269="","",IF(Lançamentos!D264="","",Lançamentos!D264))</f>
        <v/>
      </c>
      <c r="P269" s="209">
        <v>7</v>
      </c>
      <c r="Q269" s="464" t="str">
        <f t="shared" si="17"/>
        <v/>
      </c>
      <c r="R269" s="465"/>
      <c r="S269" s="466" t="str">
        <f t="shared" ca="1" si="18"/>
        <v/>
      </c>
      <c r="T269" s="461" t="str">
        <f t="shared" ca="1" si="19"/>
        <v/>
      </c>
      <c r="U269" s="449"/>
    </row>
    <row r="270" spans="2:21" x14ac:dyDescent="0.35">
      <c r="B270" s="459" t="str">
        <f>IF(Lançamentos!$B265="","",Lançamentos!$B265)</f>
        <v/>
      </c>
      <c r="C270" s="460" t="str">
        <f>IF($B270="","",IFERROR(INDEX(Lançamentos!$J$3:$J$1001,MATCH($B270,Lançamentos!$B$3:$B$1001,0)),""))</f>
        <v/>
      </c>
      <c r="D270" s="461" t="str">
        <f>IF($B270="","",IFERROR(INDEX('E2 — Triagem'!$D$8:$D$507,MATCH($B270,'E2 — Triagem'!$B$8:$B$507,0)),""))</f>
        <v/>
      </c>
      <c r="E270" s="447"/>
      <c r="F270" s="447"/>
      <c r="G270" s="447"/>
      <c r="H270" s="447"/>
      <c r="I270" s="447"/>
      <c r="J270" s="447"/>
      <c r="K270" s="462" t="str">
        <f t="shared" si="16"/>
        <v/>
      </c>
      <c r="L270" s="448"/>
      <c r="M270" s="448"/>
      <c r="N270" s="447"/>
      <c r="O270" s="463" t="str">
        <f>IF(B270="","",IF(Lançamentos!D265="","",Lançamentos!D265))</f>
        <v/>
      </c>
      <c r="P270" s="209">
        <v>7</v>
      </c>
      <c r="Q270" s="464" t="str">
        <f t="shared" si="17"/>
        <v/>
      </c>
      <c r="R270" s="465"/>
      <c r="S270" s="466" t="str">
        <f t="shared" ca="1" si="18"/>
        <v/>
      </c>
      <c r="T270" s="461" t="str">
        <f t="shared" ca="1" si="19"/>
        <v/>
      </c>
      <c r="U270" s="449"/>
    </row>
    <row r="271" spans="2:21" x14ac:dyDescent="0.35">
      <c r="B271" s="459" t="str">
        <f>IF(Lançamentos!$B266="","",Lançamentos!$B266)</f>
        <v/>
      </c>
      <c r="C271" s="460" t="str">
        <f>IF($B271="","",IFERROR(INDEX(Lançamentos!$J$3:$J$1001,MATCH($B271,Lançamentos!$B$3:$B$1001,0)),""))</f>
        <v/>
      </c>
      <c r="D271" s="461" t="str">
        <f>IF($B271="","",IFERROR(INDEX('E2 — Triagem'!$D$8:$D$507,MATCH($B271,'E2 — Triagem'!$B$8:$B$507,0)),""))</f>
        <v/>
      </c>
      <c r="E271" s="447"/>
      <c r="F271" s="447"/>
      <c r="G271" s="447"/>
      <c r="H271" s="447"/>
      <c r="I271" s="447"/>
      <c r="J271" s="447"/>
      <c r="K271" s="462" t="str">
        <f t="shared" si="16"/>
        <v/>
      </c>
      <c r="L271" s="448"/>
      <c r="M271" s="448"/>
      <c r="N271" s="447"/>
      <c r="O271" s="463" t="str">
        <f>IF(B271="","",IF(Lançamentos!D266="","",Lançamentos!D266))</f>
        <v/>
      </c>
      <c r="P271" s="209">
        <v>7</v>
      </c>
      <c r="Q271" s="464" t="str">
        <f t="shared" si="17"/>
        <v/>
      </c>
      <c r="R271" s="465"/>
      <c r="S271" s="466" t="str">
        <f t="shared" ca="1" si="18"/>
        <v/>
      </c>
      <c r="T271" s="461" t="str">
        <f t="shared" ca="1" si="19"/>
        <v/>
      </c>
      <c r="U271" s="449"/>
    </row>
    <row r="272" spans="2:21" x14ac:dyDescent="0.35">
      <c r="B272" s="459" t="str">
        <f>IF(Lançamentos!$B267="","",Lançamentos!$B267)</f>
        <v/>
      </c>
      <c r="C272" s="460" t="str">
        <f>IF($B272="","",IFERROR(INDEX(Lançamentos!$J$3:$J$1001,MATCH($B272,Lançamentos!$B$3:$B$1001,0)),""))</f>
        <v/>
      </c>
      <c r="D272" s="461" t="str">
        <f>IF($B272="","",IFERROR(INDEX('E2 — Triagem'!$D$8:$D$507,MATCH($B272,'E2 — Triagem'!$B$8:$B$507,0)),""))</f>
        <v/>
      </c>
      <c r="E272" s="447"/>
      <c r="F272" s="447"/>
      <c r="G272" s="447"/>
      <c r="H272" s="447"/>
      <c r="I272" s="447"/>
      <c r="J272" s="447"/>
      <c r="K272" s="462" t="str">
        <f t="shared" ref="K272:K335" si="20">IF(B272="","",IF(COUNTIF(E272:J272,"N/A")=6,0,COUNTIF(E272:J272,"✔ Concluído")/(6-COUNTIF(E272:J272,"N/A"))))</f>
        <v/>
      </c>
      <c r="L272" s="448"/>
      <c r="M272" s="448"/>
      <c r="N272" s="447"/>
      <c r="O272" s="463" t="str">
        <f>IF(B272="","",IF(Lançamentos!D267="","",Lançamentos!D267))</f>
        <v/>
      </c>
      <c r="P272" s="209">
        <v>7</v>
      </c>
      <c r="Q272" s="464" t="str">
        <f t="shared" ref="Q272:Q335" si="21">IF(OR(O272="",P272=""),"",O272+P272)</f>
        <v/>
      </c>
      <c r="R272" s="465"/>
      <c r="S272" s="466" t="str">
        <f t="shared" ref="S272:S335" ca="1" si="22">IF(O272="","",MAX(0,IF(R272&lt;&gt;"",R272-O272,TODAY()-O272)))</f>
        <v/>
      </c>
      <c r="T272" s="461" t="str">
        <f t="shared" ref="T272:T335" ca="1" si="23">IF(B272="","",IF(R272&lt;&gt;"","✅ Encerrado",IF(O272="","",IF(TODAY()&gt;Q272,"🔴 Hypercare Atrasado",IF(TODAY()&gt;=Q272-2,"🟡 Próximo do Encerramento","🟢 Dentro do Período")))))</f>
        <v/>
      </c>
      <c r="U272" s="449"/>
    </row>
    <row r="273" spans="2:21" x14ac:dyDescent="0.35">
      <c r="B273" s="459" t="str">
        <f>IF(Lançamentos!$B268="","",Lançamentos!$B268)</f>
        <v/>
      </c>
      <c r="C273" s="460" t="str">
        <f>IF($B273="","",IFERROR(INDEX(Lançamentos!$J$3:$J$1001,MATCH($B273,Lançamentos!$B$3:$B$1001,0)),""))</f>
        <v/>
      </c>
      <c r="D273" s="461" t="str">
        <f>IF($B273="","",IFERROR(INDEX('E2 — Triagem'!$D$8:$D$507,MATCH($B273,'E2 — Triagem'!$B$8:$B$507,0)),""))</f>
        <v/>
      </c>
      <c r="E273" s="447"/>
      <c r="F273" s="447"/>
      <c r="G273" s="447"/>
      <c r="H273" s="447"/>
      <c r="I273" s="447"/>
      <c r="J273" s="447"/>
      <c r="K273" s="462" t="str">
        <f t="shared" si="20"/>
        <v/>
      </c>
      <c r="L273" s="448"/>
      <c r="M273" s="448"/>
      <c r="N273" s="447"/>
      <c r="O273" s="463" t="str">
        <f>IF(B273="","",IF(Lançamentos!D268="","",Lançamentos!D268))</f>
        <v/>
      </c>
      <c r="P273" s="209">
        <v>7</v>
      </c>
      <c r="Q273" s="464" t="str">
        <f t="shared" si="21"/>
        <v/>
      </c>
      <c r="R273" s="465"/>
      <c r="S273" s="466" t="str">
        <f t="shared" ca="1" si="22"/>
        <v/>
      </c>
      <c r="T273" s="461" t="str">
        <f t="shared" ca="1" si="23"/>
        <v/>
      </c>
      <c r="U273" s="449"/>
    </row>
    <row r="274" spans="2:21" x14ac:dyDescent="0.35">
      <c r="B274" s="459" t="str">
        <f>IF(Lançamentos!$B269="","",Lançamentos!$B269)</f>
        <v/>
      </c>
      <c r="C274" s="460" t="str">
        <f>IF($B274="","",IFERROR(INDEX(Lançamentos!$J$3:$J$1001,MATCH($B274,Lançamentos!$B$3:$B$1001,0)),""))</f>
        <v/>
      </c>
      <c r="D274" s="461" t="str">
        <f>IF($B274="","",IFERROR(INDEX('E2 — Triagem'!$D$8:$D$507,MATCH($B274,'E2 — Triagem'!$B$8:$B$507,0)),""))</f>
        <v/>
      </c>
      <c r="E274" s="447"/>
      <c r="F274" s="447"/>
      <c r="G274" s="447"/>
      <c r="H274" s="447"/>
      <c r="I274" s="447"/>
      <c r="J274" s="447"/>
      <c r="K274" s="462" t="str">
        <f t="shared" si="20"/>
        <v/>
      </c>
      <c r="L274" s="448"/>
      <c r="M274" s="448"/>
      <c r="N274" s="447"/>
      <c r="O274" s="463" t="str">
        <f>IF(B274="","",IF(Lançamentos!D269="","",Lançamentos!D269))</f>
        <v/>
      </c>
      <c r="P274" s="209">
        <v>7</v>
      </c>
      <c r="Q274" s="464" t="str">
        <f t="shared" si="21"/>
        <v/>
      </c>
      <c r="R274" s="465"/>
      <c r="S274" s="466" t="str">
        <f t="shared" ca="1" si="22"/>
        <v/>
      </c>
      <c r="T274" s="461" t="str">
        <f t="shared" ca="1" si="23"/>
        <v/>
      </c>
      <c r="U274" s="449"/>
    </row>
    <row r="275" spans="2:21" x14ac:dyDescent="0.35">
      <c r="B275" s="459" t="str">
        <f>IF(Lançamentos!$B270="","",Lançamentos!$B270)</f>
        <v/>
      </c>
      <c r="C275" s="460" t="str">
        <f>IF($B275="","",IFERROR(INDEX(Lançamentos!$J$3:$J$1001,MATCH($B275,Lançamentos!$B$3:$B$1001,0)),""))</f>
        <v/>
      </c>
      <c r="D275" s="461" t="str">
        <f>IF($B275="","",IFERROR(INDEX('E2 — Triagem'!$D$8:$D$507,MATCH($B275,'E2 — Triagem'!$B$8:$B$507,0)),""))</f>
        <v/>
      </c>
      <c r="E275" s="447"/>
      <c r="F275" s="447"/>
      <c r="G275" s="447"/>
      <c r="H275" s="447"/>
      <c r="I275" s="447"/>
      <c r="J275" s="447"/>
      <c r="K275" s="462" t="str">
        <f t="shared" si="20"/>
        <v/>
      </c>
      <c r="L275" s="448"/>
      <c r="M275" s="448"/>
      <c r="N275" s="447"/>
      <c r="O275" s="463" t="str">
        <f>IF(B275="","",IF(Lançamentos!D270="","",Lançamentos!D270))</f>
        <v/>
      </c>
      <c r="P275" s="209">
        <v>7</v>
      </c>
      <c r="Q275" s="464" t="str">
        <f t="shared" si="21"/>
        <v/>
      </c>
      <c r="R275" s="465"/>
      <c r="S275" s="466" t="str">
        <f t="shared" ca="1" si="22"/>
        <v/>
      </c>
      <c r="T275" s="461" t="str">
        <f t="shared" ca="1" si="23"/>
        <v/>
      </c>
      <c r="U275" s="449"/>
    </row>
    <row r="276" spans="2:21" x14ac:dyDescent="0.35">
      <c r="B276" s="459" t="str">
        <f>IF(Lançamentos!$B271="","",Lançamentos!$B271)</f>
        <v/>
      </c>
      <c r="C276" s="460" t="str">
        <f>IF($B276="","",IFERROR(INDEX(Lançamentos!$J$3:$J$1001,MATCH($B276,Lançamentos!$B$3:$B$1001,0)),""))</f>
        <v/>
      </c>
      <c r="D276" s="461" t="str">
        <f>IF($B276="","",IFERROR(INDEX('E2 — Triagem'!$D$8:$D$507,MATCH($B276,'E2 — Triagem'!$B$8:$B$507,0)),""))</f>
        <v/>
      </c>
      <c r="E276" s="447"/>
      <c r="F276" s="447"/>
      <c r="G276" s="447"/>
      <c r="H276" s="447"/>
      <c r="I276" s="447"/>
      <c r="J276" s="447"/>
      <c r="K276" s="462" t="str">
        <f t="shared" si="20"/>
        <v/>
      </c>
      <c r="L276" s="448"/>
      <c r="M276" s="448"/>
      <c r="N276" s="447"/>
      <c r="O276" s="463" t="str">
        <f>IF(B276="","",IF(Lançamentos!D271="","",Lançamentos!D271))</f>
        <v/>
      </c>
      <c r="P276" s="209">
        <v>7</v>
      </c>
      <c r="Q276" s="464" t="str">
        <f t="shared" si="21"/>
        <v/>
      </c>
      <c r="R276" s="465"/>
      <c r="S276" s="466" t="str">
        <f t="shared" ca="1" si="22"/>
        <v/>
      </c>
      <c r="T276" s="461" t="str">
        <f t="shared" ca="1" si="23"/>
        <v/>
      </c>
      <c r="U276" s="449"/>
    </row>
    <row r="277" spans="2:21" x14ac:dyDescent="0.35">
      <c r="B277" s="459" t="str">
        <f>IF(Lançamentos!$B272="","",Lançamentos!$B272)</f>
        <v/>
      </c>
      <c r="C277" s="460" t="str">
        <f>IF($B277="","",IFERROR(INDEX(Lançamentos!$J$3:$J$1001,MATCH($B277,Lançamentos!$B$3:$B$1001,0)),""))</f>
        <v/>
      </c>
      <c r="D277" s="461" t="str">
        <f>IF($B277="","",IFERROR(INDEX('E2 — Triagem'!$D$8:$D$507,MATCH($B277,'E2 — Triagem'!$B$8:$B$507,0)),""))</f>
        <v/>
      </c>
      <c r="E277" s="447"/>
      <c r="F277" s="447"/>
      <c r="G277" s="447"/>
      <c r="H277" s="447"/>
      <c r="I277" s="447"/>
      <c r="J277" s="447"/>
      <c r="K277" s="462" t="str">
        <f t="shared" si="20"/>
        <v/>
      </c>
      <c r="L277" s="448"/>
      <c r="M277" s="448"/>
      <c r="N277" s="447"/>
      <c r="O277" s="463" t="str">
        <f>IF(B277="","",IF(Lançamentos!D272="","",Lançamentos!D272))</f>
        <v/>
      </c>
      <c r="P277" s="209">
        <v>7</v>
      </c>
      <c r="Q277" s="464" t="str">
        <f t="shared" si="21"/>
        <v/>
      </c>
      <c r="R277" s="465"/>
      <c r="S277" s="466" t="str">
        <f t="shared" ca="1" si="22"/>
        <v/>
      </c>
      <c r="T277" s="461" t="str">
        <f t="shared" ca="1" si="23"/>
        <v/>
      </c>
      <c r="U277" s="449"/>
    </row>
    <row r="278" spans="2:21" x14ac:dyDescent="0.35">
      <c r="B278" s="459" t="str">
        <f>IF(Lançamentos!$B273="","",Lançamentos!$B273)</f>
        <v/>
      </c>
      <c r="C278" s="460" t="str">
        <f>IF($B278="","",IFERROR(INDEX(Lançamentos!$J$3:$J$1001,MATCH($B278,Lançamentos!$B$3:$B$1001,0)),""))</f>
        <v/>
      </c>
      <c r="D278" s="461" t="str">
        <f>IF($B278="","",IFERROR(INDEX('E2 — Triagem'!$D$8:$D$507,MATCH($B278,'E2 — Triagem'!$B$8:$B$507,0)),""))</f>
        <v/>
      </c>
      <c r="E278" s="447"/>
      <c r="F278" s="447"/>
      <c r="G278" s="447"/>
      <c r="H278" s="447"/>
      <c r="I278" s="447"/>
      <c r="J278" s="447"/>
      <c r="K278" s="462" t="str">
        <f t="shared" si="20"/>
        <v/>
      </c>
      <c r="L278" s="448"/>
      <c r="M278" s="448"/>
      <c r="N278" s="447"/>
      <c r="O278" s="463" t="str">
        <f>IF(B278="","",IF(Lançamentos!D273="","",Lançamentos!D273))</f>
        <v/>
      </c>
      <c r="P278" s="209">
        <v>7</v>
      </c>
      <c r="Q278" s="464" t="str">
        <f t="shared" si="21"/>
        <v/>
      </c>
      <c r="R278" s="465"/>
      <c r="S278" s="466" t="str">
        <f t="shared" ca="1" si="22"/>
        <v/>
      </c>
      <c r="T278" s="461" t="str">
        <f t="shared" ca="1" si="23"/>
        <v/>
      </c>
      <c r="U278" s="449"/>
    </row>
    <row r="279" spans="2:21" x14ac:dyDescent="0.35">
      <c r="B279" s="459" t="str">
        <f>IF(Lançamentos!$B274="","",Lançamentos!$B274)</f>
        <v/>
      </c>
      <c r="C279" s="460" t="str">
        <f>IF($B279="","",IFERROR(INDEX(Lançamentos!$J$3:$J$1001,MATCH($B279,Lançamentos!$B$3:$B$1001,0)),""))</f>
        <v/>
      </c>
      <c r="D279" s="461" t="str">
        <f>IF($B279="","",IFERROR(INDEX('E2 — Triagem'!$D$8:$D$507,MATCH($B279,'E2 — Triagem'!$B$8:$B$507,0)),""))</f>
        <v/>
      </c>
      <c r="E279" s="447"/>
      <c r="F279" s="447"/>
      <c r="G279" s="447"/>
      <c r="H279" s="447"/>
      <c r="I279" s="447"/>
      <c r="J279" s="447"/>
      <c r="K279" s="462" t="str">
        <f t="shared" si="20"/>
        <v/>
      </c>
      <c r="L279" s="448"/>
      <c r="M279" s="448"/>
      <c r="N279" s="447"/>
      <c r="O279" s="463" t="str">
        <f>IF(B279="","",IF(Lançamentos!D274="","",Lançamentos!D274))</f>
        <v/>
      </c>
      <c r="P279" s="209">
        <v>7</v>
      </c>
      <c r="Q279" s="464" t="str">
        <f t="shared" si="21"/>
        <v/>
      </c>
      <c r="R279" s="465"/>
      <c r="S279" s="466" t="str">
        <f t="shared" ca="1" si="22"/>
        <v/>
      </c>
      <c r="T279" s="461" t="str">
        <f t="shared" ca="1" si="23"/>
        <v/>
      </c>
      <c r="U279" s="449"/>
    </row>
    <row r="280" spans="2:21" x14ac:dyDescent="0.35">
      <c r="B280" s="459" t="str">
        <f>IF(Lançamentos!$B275="","",Lançamentos!$B275)</f>
        <v/>
      </c>
      <c r="C280" s="460" t="str">
        <f>IF($B280="","",IFERROR(INDEX(Lançamentos!$J$3:$J$1001,MATCH($B280,Lançamentos!$B$3:$B$1001,0)),""))</f>
        <v/>
      </c>
      <c r="D280" s="461" t="str">
        <f>IF($B280="","",IFERROR(INDEX('E2 — Triagem'!$D$8:$D$507,MATCH($B280,'E2 — Triagem'!$B$8:$B$507,0)),""))</f>
        <v/>
      </c>
      <c r="E280" s="447"/>
      <c r="F280" s="447"/>
      <c r="G280" s="447"/>
      <c r="H280" s="447"/>
      <c r="I280" s="447"/>
      <c r="J280" s="447"/>
      <c r="K280" s="462" t="str">
        <f t="shared" si="20"/>
        <v/>
      </c>
      <c r="L280" s="448"/>
      <c r="M280" s="448"/>
      <c r="N280" s="447"/>
      <c r="O280" s="463" t="str">
        <f>IF(B280="","",IF(Lançamentos!D275="","",Lançamentos!D275))</f>
        <v/>
      </c>
      <c r="P280" s="209">
        <v>7</v>
      </c>
      <c r="Q280" s="464" t="str">
        <f t="shared" si="21"/>
        <v/>
      </c>
      <c r="R280" s="465"/>
      <c r="S280" s="466" t="str">
        <f t="shared" ca="1" si="22"/>
        <v/>
      </c>
      <c r="T280" s="461" t="str">
        <f t="shared" ca="1" si="23"/>
        <v/>
      </c>
      <c r="U280" s="449"/>
    </row>
    <row r="281" spans="2:21" x14ac:dyDescent="0.35">
      <c r="B281" s="459" t="str">
        <f>IF(Lançamentos!$B276="","",Lançamentos!$B276)</f>
        <v/>
      </c>
      <c r="C281" s="460" t="str">
        <f>IF($B281="","",IFERROR(INDEX(Lançamentos!$J$3:$J$1001,MATCH($B281,Lançamentos!$B$3:$B$1001,0)),""))</f>
        <v/>
      </c>
      <c r="D281" s="461" t="str">
        <f>IF($B281="","",IFERROR(INDEX('E2 — Triagem'!$D$8:$D$507,MATCH($B281,'E2 — Triagem'!$B$8:$B$507,0)),""))</f>
        <v/>
      </c>
      <c r="E281" s="447"/>
      <c r="F281" s="447"/>
      <c r="G281" s="447"/>
      <c r="H281" s="447"/>
      <c r="I281" s="447"/>
      <c r="J281" s="447"/>
      <c r="K281" s="462" t="str">
        <f t="shared" si="20"/>
        <v/>
      </c>
      <c r="L281" s="448"/>
      <c r="M281" s="448"/>
      <c r="N281" s="447"/>
      <c r="O281" s="463" t="str">
        <f>IF(B281="","",IF(Lançamentos!D276="","",Lançamentos!D276))</f>
        <v/>
      </c>
      <c r="P281" s="209">
        <v>7</v>
      </c>
      <c r="Q281" s="464" t="str">
        <f t="shared" si="21"/>
        <v/>
      </c>
      <c r="R281" s="465"/>
      <c r="S281" s="466" t="str">
        <f t="shared" ca="1" si="22"/>
        <v/>
      </c>
      <c r="T281" s="461" t="str">
        <f t="shared" ca="1" si="23"/>
        <v/>
      </c>
      <c r="U281" s="449"/>
    </row>
    <row r="282" spans="2:21" x14ac:dyDescent="0.35">
      <c r="B282" s="459" t="str">
        <f>IF(Lançamentos!$B277="","",Lançamentos!$B277)</f>
        <v/>
      </c>
      <c r="C282" s="460" t="str">
        <f>IF($B282="","",IFERROR(INDEX(Lançamentos!$J$3:$J$1001,MATCH($B282,Lançamentos!$B$3:$B$1001,0)),""))</f>
        <v/>
      </c>
      <c r="D282" s="461" t="str">
        <f>IF($B282="","",IFERROR(INDEX('E2 — Triagem'!$D$8:$D$507,MATCH($B282,'E2 — Triagem'!$B$8:$B$507,0)),""))</f>
        <v/>
      </c>
      <c r="E282" s="447"/>
      <c r="F282" s="447"/>
      <c r="G282" s="447"/>
      <c r="H282" s="447"/>
      <c r="I282" s="447"/>
      <c r="J282" s="447"/>
      <c r="K282" s="462" t="str">
        <f t="shared" si="20"/>
        <v/>
      </c>
      <c r="L282" s="448"/>
      <c r="M282" s="448"/>
      <c r="N282" s="447"/>
      <c r="O282" s="463" t="str">
        <f>IF(B282="","",IF(Lançamentos!D277="","",Lançamentos!D277))</f>
        <v/>
      </c>
      <c r="P282" s="209">
        <v>7</v>
      </c>
      <c r="Q282" s="464" t="str">
        <f t="shared" si="21"/>
        <v/>
      </c>
      <c r="R282" s="465"/>
      <c r="S282" s="466" t="str">
        <f t="shared" ca="1" si="22"/>
        <v/>
      </c>
      <c r="T282" s="461" t="str">
        <f t="shared" ca="1" si="23"/>
        <v/>
      </c>
      <c r="U282" s="449"/>
    </row>
    <row r="283" spans="2:21" x14ac:dyDescent="0.35">
      <c r="B283" s="459" t="str">
        <f>IF(Lançamentos!$B278="","",Lançamentos!$B278)</f>
        <v/>
      </c>
      <c r="C283" s="460" t="str">
        <f>IF($B283="","",IFERROR(INDEX(Lançamentos!$J$3:$J$1001,MATCH($B283,Lançamentos!$B$3:$B$1001,0)),""))</f>
        <v/>
      </c>
      <c r="D283" s="461" t="str">
        <f>IF($B283="","",IFERROR(INDEX('E2 — Triagem'!$D$8:$D$507,MATCH($B283,'E2 — Triagem'!$B$8:$B$507,0)),""))</f>
        <v/>
      </c>
      <c r="E283" s="447"/>
      <c r="F283" s="447"/>
      <c r="G283" s="447"/>
      <c r="H283" s="447"/>
      <c r="I283" s="447"/>
      <c r="J283" s="447"/>
      <c r="K283" s="462" t="str">
        <f t="shared" si="20"/>
        <v/>
      </c>
      <c r="L283" s="448"/>
      <c r="M283" s="448"/>
      <c r="N283" s="447"/>
      <c r="O283" s="463" t="str">
        <f>IF(B283="","",IF(Lançamentos!D278="","",Lançamentos!D278))</f>
        <v/>
      </c>
      <c r="P283" s="209">
        <v>7</v>
      </c>
      <c r="Q283" s="464" t="str">
        <f t="shared" si="21"/>
        <v/>
      </c>
      <c r="R283" s="465"/>
      <c r="S283" s="466" t="str">
        <f t="shared" ca="1" si="22"/>
        <v/>
      </c>
      <c r="T283" s="461" t="str">
        <f t="shared" ca="1" si="23"/>
        <v/>
      </c>
      <c r="U283" s="449"/>
    </row>
    <row r="284" spans="2:21" x14ac:dyDescent="0.35">
      <c r="B284" s="459" t="str">
        <f>IF(Lançamentos!$B279="","",Lançamentos!$B279)</f>
        <v/>
      </c>
      <c r="C284" s="460" t="str">
        <f>IF($B284="","",IFERROR(INDEX(Lançamentos!$J$3:$J$1001,MATCH($B284,Lançamentos!$B$3:$B$1001,0)),""))</f>
        <v/>
      </c>
      <c r="D284" s="461" t="str">
        <f>IF($B284="","",IFERROR(INDEX('E2 — Triagem'!$D$8:$D$507,MATCH($B284,'E2 — Triagem'!$B$8:$B$507,0)),""))</f>
        <v/>
      </c>
      <c r="E284" s="447"/>
      <c r="F284" s="447"/>
      <c r="G284" s="447"/>
      <c r="H284" s="447"/>
      <c r="I284" s="447"/>
      <c r="J284" s="447"/>
      <c r="K284" s="462" t="str">
        <f t="shared" si="20"/>
        <v/>
      </c>
      <c r="L284" s="448"/>
      <c r="M284" s="448"/>
      <c r="N284" s="447"/>
      <c r="O284" s="463" t="str">
        <f>IF(B284="","",IF(Lançamentos!D279="","",Lançamentos!D279))</f>
        <v/>
      </c>
      <c r="P284" s="209">
        <v>7</v>
      </c>
      <c r="Q284" s="464" t="str">
        <f t="shared" si="21"/>
        <v/>
      </c>
      <c r="R284" s="465"/>
      <c r="S284" s="466" t="str">
        <f t="shared" ca="1" si="22"/>
        <v/>
      </c>
      <c r="T284" s="461" t="str">
        <f t="shared" ca="1" si="23"/>
        <v/>
      </c>
      <c r="U284" s="449"/>
    </row>
    <row r="285" spans="2:21" x14ac:dyDescent="0.35">
      <c r="B285" s="459" t="str">
        <f>IF(Lançamentos!$B280="","",Lançamentos!$B280)</f>
        <v/>
      </c>
      <c r="C285" s="460" t="str">
        <f>IF($B285="","",IFERROR(INDEX(Lançamentos!$J$3:$J$1001,MATCH($B285,Lançamentos!$B$3:$B$1001,0)),""))</f>
        <v/>
      </c>
      <c r="D285" s="461" t="str">
        <f>IF($B285="","",IFERROR(INDEX('E2 — Triagem'!$D$8:$D$507,MATCH($B285,'E2 — Triagem'!$B$8:$B$507,0)),""))</f>
        <v/>
      </c>
      <c r="E285" s="447"/>
      <c r="F285" s="447"/>
      <c r="G285" s="447"/>
      <c r="H285" s="447"/>
      <c r="I285" s="447"/>
      <c r="J285" s="447"/>
      <c r="K285" s="462" t="str">
        <f t="shared" si="20"/>
        <v/>
      </c>
      <c r="L285" s="448"/>
      <c r="M285" s="448"/>
      <c r="N285" s="447"/>
      <c r="O285" s="463" t="str">
        <f>IF(B285="","",IF(Lançamentos!D280="","",Lançamentos!D280))</f>
        <v/>
      </c>
      <c r="P285" s="209">
        <v>7</v>
      </c>
      <c r="Q285" s="464" t="str">
        <f t="shared" si="21"/>
        <v/>
      </c>
      <c r="R285" s="465"/>
      <c r="S285" s="466" t="str">
        <f t="shared" ca="1" si="22"/>
        <v/>
      </c>
      <c r="T285" s="461" t="str">
        <f t="shared" ca="1" si="23"/>
        <v/>
      </c>
      <c r="U285" s="449"/>
    </row>
    <row r="286" spans="2:21" x14ac:dyDescent="0.35">
      <c r="B286" s="459" t="str">
        <f>IF(Lançamentos!$B281="","",Lançamentos!$B281)</f>
        <v/>
      </c>
      <c r="C286" s="460" t="str">
        <f>IF($B286="","",IFERROR(INDEX(Lançamentos!$J$3:$J$1001,MATCH($B286,Lançamentos!$B$3:$B$1001,0)),""))</f>
        <v/>
      </c>
      <c r="D286" s="461" t="str">
        <f>IF($B286="","",IFERROR(INDEX('E2 — Triagem'!$D$8:$D$507,MATCH($B286,'E2 — Triagem'!$B$8:$B$507,0)),""))</f>
        <v/>
      </c>
      <c r="E286" s="447"/>
      <c r="F286" s="447"/>
      <c r="G286" s="447"/>
      <c r="H286" s="447"/>
      <c r="I286" s="447"/>
      <c r="J286" s="447"/>
      <c r="K286" s="462" t="str">
        <f t="shared" si="20"/>
        <v/>
      </c>
      <c r="L286" s="448"/>
      <c r="M286" s="448"/>
      <c r="N286" s="447"/>
      <c r="O286" s="463" t="str">
        <f>IF(B286="","",IF(Lançamentos!D281="","",Lançamentos!D281))</f>
        <v/>
      </c>
      <c r="P286" s="209">
        <v>7</v>
      </c>
      <c r="Q286" s="464" t="str">
        <f t="shared" si="21"/>
        <v/>
      </c>
      <c r="R286" s="465"/>
      <c r="S286" s="466" t="str">
        <f t="shared" ca="1" si="22"/>
        <v/>
      </c>
      <c r="T286" s="461" t="str">
        <f t="shared" ca="1" si="23"/>
        <v/>
      </c>
      <c r="U286" s="449"/>
    </row>
    <row r="287" spans="2:21" x14ac:dyDescent="0.35">
      <c r="B287" s="459" t="str">
        <f>IF(Lançamentos!$B282="","",Lançamentos!$B282)</f>
        <v/>
      </c>
      <c r="C287" s="460" t="str">
        <f>IF($B287="","",IFERROR(INDEX(Lançamentos!$J$3:$J$1001,MATCH($B287,Lançamentos!$B$3:$B$1001,0)),""))</f>
        <v/>
      </c>
      <c r="D287" s="461" t="str">
        <f>IF($B287="","",IFERROR(INDEX('E2 — Triagem'!$D$8:$D$507,MATCH($B287,'E2 — Triagem'!$B$8:$B$507,0)),""))</f>
        <v/>
      </c>
      <c r="E287" s="447"/>
      <c r="F287" s="447"/>
      <c r="G287" s="447"/>
      <c r="H287" s="447"/>
      <c r="I287" s="447"/>
      <c r="J287" s="447"/>
      <c r="K287" s="462" t="str">
        <f t="shared" si="20"/>
        <v/>
      </c>
      <c r="L287" s="448"/>
      <c r="M287" s="448"/>
      <c r="N287" s="447"/>
      <c r="O287" s="463" t="str">
        <f>IF(B287="","",IF(Lançamentos!D282="","",Lançamentos!D282))</f>
        <v/>
      </c>
      <c r="P287" s="209">
        <v>7</v>
      </c>
      <c r="Q287" s="464" t="str">
        <f t="shared" si="21"/>
        <v/>
      </c>
      <c r="R287" s="465"/>
      <c r="S287" s="466" t="str">
        <f t="shared" ca="1" si="22"/>
        <v/>
      </c>
      <c r="T287" s="461" t="str">
        <f t="shared" ca="1" si="23"/>
        <v/>
      </c>
      <c r="U287" s="449"/>
    </row>
    <row r="288" spans="2:21" x14ac:dyDescent="0.35">
      <c r="B288" s="459" t="str">
        <f>IF(Lançamentos!$B283="","",Lançamentos!$B283)</f>
        <v/>
      </c>
      <c r="C288" s="460" t="str">
        <f>IF($B288="","",IFERROR(INDEX(Lançamentos!$J$3:$J$1001,MATCH($B288,Lançamentos!$B$3:$B$1001,0)),""))</f>
        <v/>
      </c>
      <c r="D288" s="461" t="str">
        <f>IF($B288="","",IFERROR(INDEX('E2 — Triagem'!$D$8:$D$507,MATCH($B288,'E2 — Triagem'!$B$8:$B$507,0)),""))</f>
        <v/>
      </c>
      <c r="E288" s="447"/>
      <c r="F288" s="447"/>
      <c r="G288" s="447"/>
      <c r="H288" s="447"/>
      <c r="I288" s="447"/>
      <c r="J288" s="447"/>
      <c r="K288" s="462" t="str">
        <f t="shared" si="20"/>
        <v/>
      </c>
      <c r="L288" s="448"/>
      <c r="M288" s="448"/>
      <c r="N288" s="447"/>
      <c r="O288" s="463" t="str">
        <f>IF(B288="","",IF(Lançamentos!D283="","",Lançamentos!D283))</f>
        <v/>
      </c>
      <c r="P288" s="209">
        <v>7</v>
      </c>
      <c r="Q288" s="464" t="str">
        <f t="shared" si="21"/>
        <v/>
      </c>
      <c r="R288" s="465"/>
      <c r="S288" s="466" t="str">
        <f t="shared" ca="1" si="22"/>
        <v/>
      </c>
      <c r="T288" s="461" t="str">
        <f t="shared" ca="1" si="23"/>
        <v/>
      </c>
      <c r="U288" s="449"/>
    </row>
    <row r="289" spans="2:21" x14ac:dyDescent="0.35">
      <c r="B289" s="459" t="str">
        <f>IF(Lançamentos!$B284="","",Lançamentos!$B284)</f>
        <v/>
      </c>
      <c r="C289" s="460" t="str">
        <f>IF($B289="","",IFERROR(INDEX(Lançamentos!$J$3:$J$1001,MATCH($B289,Lançamentos!$B$3:$B$1001,0)),""))</f>
        <v/>
      </c>
      <c r="D289" s="461" t="str">
        <f>IF($B289="","",IFERROR(INDEX('E2 — Triagem'!$D$8:$D$507,MATCH($B289,'E2 — Triagem'!$B$8:$B$507,0)),""))</f>
        <v/>
      </c>
      <c r="E289" s="447"/>
      <c r="F289" s="447"/>
      <c r="G289" s="447"/>
      <c r="H289" s="447"/>
      <c r="I289" s="447"/>
      <c r="J289" s="447"/>
      <c r="K289" s="462" t="str">
        <f t="shared" si="20"/>
        <v/>
      </c>
      <c r="L289" s="448"/>
      <c r="M289" s="448"/>
      <c r="N289" s="447"/>
      <c r="O289" s="463" t="str">
        <f>IF(B289="","",IF(Lançamentos!D284="","",Lançamentos!D284))</f>
        <v/>
      </c>
      <c r="P289" s="209">
        <v>7</v>
      </c>
      <c r="Q289" s="464" t="str">
        <f t="shared" si="21"/>
        <v/>
      </c>
      <c r="R289" s="465"/>
      <c r="S289" s="466" t="str">
        <f t="shared" ca="1" si="22"/>
        <v/>
      </c>
      <c r="T289" s="461" t="str">
        <f t="shared" ca="1" si="23"/>
        <v/>
      </c>
      <c r="U289" s="449"/>
    </row>
    <row r="290" spans="2:21" x14ac:dyDescent="0.35">
      <c r="B290" s="459" t="str">
        <f>IF(Lançamentos!$B285="","",Lançamentos!$B285)</f>
        <v/>
      </c>
      <c r="C290" s="460" t="str">
        <f>IF($B290="","",IFERROR(INDEX(Lançamentos!$J$3:$J$1001,MATCH($B290,Lançamentos!$B$3:$B$1001,0)),""))</f>
        <v/>
      </c>
      <c r="D290" s="461" t="str">
        <f>IF($B290="","",IFERROR(INDEX('E2 — Triagem'!$D$8:$D$507,MATCH($B290,'E2 — Triagem'!$B$8:$B$507,0)),""))</f>
        <v/>
      </c>
      <c r="E290" s="447"/>
      <c r="F290" s="447"/>
      <c r="G290" s="447"/>
      <c r="H290" s="447"/>
      <c r="I290" s="447"/>
      <c r="J290" s="447"/>
      <c r="K290" s="462" t="str">
        <f t="shared" si="20"/>
        <v/>
      </c>
      <c r="L290" s="448"/>
      <c r="M290" s="448"/>
      <c r="N290" s="447"/>
      <c r="O290" s="463" t="str">
        <f>IF(B290="","",IF(Lançamentos!D285="","",Lançamentos!D285))</f>
        <v/>
      </c>
      <c r="P290" s="209">
        <v>7</v>
      </c>
      <c r="Q290" s="464" t="str">
        <f t="shared" si="21"/>
        <v/>
      </c>
      <c r="R290" s="465"/>
      <c r="S290" s="466" t="str">
        <f t="shared" ca="1" si="22"/>
        <v/>
      </c>
      <c r="T290" s="461" t="str">
        <f t="shared" ca="1" si="23"/>
        <v/>
      </c>
      <c r="U290" s="449"/>
    </row>
    <row r="291" spans="2:21" x14ac:dyDescent="0.35">
      <c r="B291" s="459" t="str">
        <f>IF(Lançamentos!$B286="","",Lançamentos!$B286)</f>
        <v/>
      </c>
      <c r="C291" s="460" t="str">
        <f>IF($B291="","",IFERROR(INDEX(Lançamentos!$J$3:$J$1001,MATCH($B291,Lançamentos!$B$3:$B$1001,0)),""))</f>
        <v/>
      </c>
      <c r="D291" s="461" t="str">
        <f>IF($B291="","",IFERROR(INDEX('E2 — Triagem'!$D$8:$D$507,MATCH($B291,'E2 — Triagem'!$B$8:$B$507,0)),""))</f>
        <v/>
      </c>
      <c r="E291" s="447"/>
      <c r="F291" s="447"/>
      <c r="G291" s="447"/>
      <c r="H291" s="447"/>
      <c r="I291" s="447"/>
      <c r="J291" s="447"/>
      <c r="K291" s="462" t="str">
        <f t="shared" si="20"/>
        <v/>
      </c>
      <c r="L291" s="448"/>
      <c r="M291" s="448"/>
      <c r="N291" s="447"/>
      <c r="O291" s="463" t="str">
        <f>IF(B291="","",IF(Lançamentos!D286="","",Lançamentos!D286))</f>
        <v/>
      </c>
      <c r="P291" s="209">
        <v>7</v>
      </c>
      <c r="Q291" s="464" t="str">
        <f t="shared" si="21"/>
        <v/>
      </c>
      <c r="R291" s="465"/>
      <c r="S291" s="466" t="str">
        <f t="shared" ca="1" si="22"/>
        <v/>
      </c>
      <c r="T291" s="461" t="str">
        <f t="shared" ca="1" si="23"/>
        <v/>
      </c>
      <c r="U291" s="449"/>
    </row>
    <row r="292" spans="2:21" x14ac:dyDescent="0.35">
      <c r="B292" s="459" t="str">
        <f>IF(Lançamentos!$B287="","",Lançamentos!$B287)</f>
        <v/>
      </c>
      <c r="C292" s="460" t="str">
        <f>IF($B292="","",IFERROR(INDEX(Lançamentos!$J$3:$J$1001,MATCH($B292,Lançamentos!$B$3:$B$1001,0)),""))</f>
        <v/>
      </c>
      <c r="D292" s="461" t="str">
        <f>IF($B292="","",IFERROR(INDEX('E2 — Triagem'!$D$8:$D$507,MATCH($B292,'E2 — Triagem'!$B$8:$B$507,0)),""))</f>
        <v/>
      </c>
      <c r="E292" s="447"/>
      <c r="F292" s="447"/>
      <c r="G292" s="447"/>
      <c r="H292" s="447"/>
      <c r="I292" s="447"/>
      <c r="J292" s="447"/>
      <c r="K292" s="462" t="str">
        <f t="shared" si="20"/>
        <v/>
      </c>
      <c r="L292" s="448"/>
      <c r="M292" s="448"/>
      <c r="N292" s="447"/>
      <c r="O292" s="463" t="str">
        <f>IF(B292="","",IF(Lançamentos!D287="","",Lançamentos!D287))</f>
        <v/>
      </c>
      <c r="P292" s="209">
        <v>7</v>
      </c>
      <c r="Q292" s="464" t="str">
        <f t="shared" si="21"/>
        <v/>
      </c>
      <c r="R292" s="465"/>
      <c r="S292" s="466" t="str">
        <f t="shared" ca="1" si="22"/>
        <v/>
      </c>
      <c r="T292" s="461" t="str">
        <f t="shared" ca="1" si="23"/>
        <v/>
      </c>
      <c r="U292" s="449"/>
    </row>
    <row r="293" spans="2:21" x14ac:dyDescent="0.35">
      <c r="B293" s="459" t="str">
        <f>IF(Lançamentos!$B288="","",Lançamentos!$B288)</f>
        <v/>
      </c>
      <c r="C293" s="460" t="str">
        <f>IF($B293="","",IFERROR(INDEX(Lançamentos!$J$3:$J$1001,MATCH($B293,Lançamentos!$B$3:$B$1001,0)),""))</f>
        <v/>
      </c>
      <c r="D293" s="461" t="str">
        <f>IF($B293="","",IFERROR(INDEX('E2 — Triagem'!$D$8:$D$507,MATCH($B293,'E2 — Triagem'!$B$8:$B$507,0)),""))</f>
        <v/>
      </c>
      <c r="E293" s="447"/>
      <c r="F293" s="447"/>
      <c r="G293" s="447"/>
      <c r="H293" s="447"/>
      <c r="I293" s="447"/>
      <c r="J293" s="447"/>
      <c r="K293" s="462" t="str">
        <f t="shared" si="20"/>
        <v/>
      </c>
      <c r="L293" s="448"/>
      <c r="M293" s="448"/>
      <c r="N293" s="447"/>
      <c r="O293" s="463" t="str">
        <f>IF(B293="","",IF(Lançamentos!D288="","",Lançamentos!D288))</f>
        <v/>
      </c>
      <c r="P293" s="209">
        <v>7</v>
      </c>
      <c r="Q293" s="464" t="str">
        <f t="shared" si="21"/>
        <v/>
      </c>
      <c r="R293" s="465"/>
      <c r="S293" s="466" t="str">
        <f t="shared" ca="1" si="22"/>
        <v/>
      </c>
      <c r="T293" s="461" t="str">
        <f t="shared" ca="1" si="23"/>
        <v/>
      </c>
      <c r="U293" s="449"/>
    </row>
    <row r="294" spans="2:21" x14ac:dyDescent="0.35">
      <c r="B294" s="459" t="str">
        <f>IF(Lançamentos!$B289="","",Lançamentos!$B289)</f>
        <v/>
      </c>
      <c r="C294" s="460" t="str">
        <f>IF($B294="","",IFERROR(INDEX(Lançamentos!$J$3:$J$1001,MATCH($B294,Lançamentos!$B$3:$B$1001,0)),""))</f>
        <v/>
      </c>
      <c r="D294" s="461" t="str">
        <f>IF($B294="","",IFERROR(INDEX('E2 — Triagem'!$D$8:$D$507,MATCH($B294,'E2 — Triagem'!$B$8:$B$507,0)),""))</f>
        <v/>
      </c>
      <c r="E294" s="447"/>
      <c r="F294" s="447"/>
      <c r="G294" s="447"/>
      <c r="H294" s="447"/>
      <c r="I294" s="447"/>
      <c r="J294" s="447"/>
      <c r="K294" s="462" t="str">
        <f t="shared" si="20"/>
        <v/>
      </c>
      <c r="L294" s="448"/>
      <c r="M294" s="448"/>
      <c r="N294" s="447"/>
      <c r="O294" s="463" t="str">
        <f>IF(B294="","",IF(Lançamentos!D289="","",Lançamentos!D289))</f>
        <v/>
      </c>
      <c r="P294" s="209">
        <v>7</v>
      </c>
      <c r="Q294" s="464" t="str">
        <f t="shared" si="21"/>
        <v/>
      </c>
      <c r="R294" s="465"/>
      <c r="S294" s="466" t="str">
        <f t="shared" ca="1" si="22"/>
        <v/>
      </c>
      <c r="T294" s="461" t="str">
        <f t="shared" ca="1" si="23"/>
        <v/>
      </c>
      <c r="U294" s="449"/>
    </row>
    <row r="295" spans="2:21" x14ac:dyDescent="0.35">
      <c r="B295" s="459" t="str">
        <f>IF(Lançamentos!$B290="","",Lançamentos!$B290)</f>
        <v/>
      </c>
      <c r="C295" s="460" t="str">
        <f>IF($B295="","",IFERROR(INDEX(Lançamentos!$J$3:$J$1001,MATCH($B295,Lançamentos!$B$3:$B$1001,0)),""))</f>
        <v/>
      </c>
      <c r="D295" s="461" t="str">
        <f>IF($B295="","",IFERROR(INDEX('E2 — Triagem'!$D$8:$D$507,MATCH($B295,'E2 — Triagem'!$B$8:$B$507,0)),""))</f>
        <v/>
      </c>
      <c r="E295" s="447"/>
      <c r="F295" s="447"/>
      <c r="G295" s="447"/>
      <c r="H295" s="447"/>
      <c r="I295" s="447"/>
      <c r="J295" s="447"/>
      <c r="K295" s="462" t="str">
        <f t="shared" si="20"/>
        <v/>
      </c>
      <c r="L295" s="448"/>
      <c r="M295" s="448"/>
      <c r="N295" s="447"/>
      <c r="O295" s="463" t="str">
        <f>IF(B295="","",IF(Lançamentos!D290="","",Lançamentos!D290))</f>
        <v/>
      </c>
      <c r="P295" s="209">
        <v>7</v>
      </c>
      <c r="Q295" s="464" t="str">
        <f t="shared" si="21"/>
        <v/>
      </c>
      <c r="R295" s="465"/>
      <c r="S295" s="466" t="str">
        <f t="shared" ca="1" si="22"/>
        <v/>
      </c>
      <c r="T295" s="461" t="str">
        <f t="shared" ca="1" si="23"/>
        <v/>
      </c>
      <c r="U295" s="449"/>
    </row>
    <row r="296" spans="2:21" x14ac:dyDescent="0.35">
      <c r="B296" s="459" t="str">
        <f>IF(Lançamentos!$B291="","",Lançamentos!$B291)</f>
        <v/>
      </c>
      <c r="C296" s="460" t="str">
        <f>IF($B296="","",IFERROR(INDEX(Lançamentos!$J$3:$J$1001,MATCH($B296,Lançamentos!$B$3:$B$1001,0)),""))</f>
        <v/>
      </c>
      <c r="D296" s="461" t="str">
        <f>IF($B296="","",IFERROR(INDEX('E2 — Triagem'!$D$8:$D$507,MATCH($B296,'E2 — Triagem'!$B$8:$B$507,0)),""))</f>
        <v/>
      </c>
      <c r="E296" s="447"/>
      <c r="F296" s="447"/>
      <c r="G296" s="447"/>
      <c r="H296" s="447"/>
      <c r="I296" s="447"/>
      <c r="J296" s="447"/>
      <c r="K296" s="462" t="str">
        <f t="shared" si="20"/>
        <v/>
      </c>
      <c r="L296" s="448"/>
      <c r="M296" s="448"/>
      <c r="N296" s="447"/>
      <c r="O296" s="463" t="str">
        <f>IF(B296="","",IF(Lançamentos!D291="","",Lançamentos!D291))</f>
        <v/>
      </c>
      <c r="P296" s="209">
        <v>7</v>
      </c>
      <c r="Q296" s="464" t="str">
        <f t="shared" si="21"/>
        <v/>
      </c>
      <c r="R296" s="465"/>
      <c r="S296" s="466" t="str">
        <f t="shared" ca="1" si="22"/>
        <v/>
      </c>
      <c r="T296" s="461" t="str">
        <f t="shared" ca="1" si="23"/>
        <v/>
      </c>
      <c r="U296" s="449"/>
    </row>
    <row r="297" spans="2:21" x14ac:dyDescent="0.35">
      <c r="B297" s="459" t="str">
        <f>IF(Lançamentos!$B292="","",Lançamentos!$B292)</f>
        <v/>
      </c>
      <c r="C297" s="460" t="str">
        <f>IF($B297="","",IFERROR(INDEX(Lançamentos!$J$3:$J$1001,MATCH($B297,Lançamentos!$B$3:$B$1001,0)),""))</f>
        <v/>
      </c>
      <c r="D297" s="461" t="str">
        <f>IF($B297="","",IFERROR(INDEX('E2 — Triagem'!$D$8:$D$507,MATCH($B297,'E2 — Triagem'!$B$8:$B$507,0)),""))</f>
        <v/>
      </c>
      <c r="E297" s="447"/>
      <c r="F297" s="447"/>
      <c r="G297" s="447"/>
      <c r="H297" s="447"/>
      <c r="I297" s="447"/>
      <c r="J297" s="447"/>
      <c r="K297" s="462" t="str">
        <f t="shared" si="20"/>
        <v/>
      </c>
      <c r="L297" s="448"/>
      <c r="M297" s="448"/>
      <c r="N297" s="447"/>
      <c r="O297" s="463" t="str">
        <f>IF(B297="","",IF(Lançamentos!D292="","",Lançamentos!D292))</f>
        <v/>
      </c>
      <c r="P297" s="209">
        <v>7</v>
      </c>
      <c r="Q297" s="464" t="str">
        <f t="shared" si="21"/>
        <v/>
      </c>
      <c r="R297" s="465"/>
      <c r="S297" s="466" t="str">
        <f t="shared" ca="1" si="22"/>
        <v/>
      </c>
      <c r="T297" s="461" t="str">
        <f t="shared" ca="1" si="23"/>
        <v/>
      </c>
      <c r="U297" s="449"/>
    </row>
    <row r="298" spans="2:21" x14ac:dyDescent="0.35">
      <c r="B298" s="459" t="str">
        <f>IF(Lançamentos!$B293="","",Lançamentos!$B293)</f>
        <v/>
      </c>
      <c r="C298" s="460" t="str">
        <f>IF($B298="","",IFERROR(INDEX(Lançamentos!$J$3:$J$1001,MATCH($B298,Lançamentos!$B$3:$B$1001,0)),""))</f>
        <v/>
      </c>
      <c r="D298" s="461" t="str">
        <f>IF($B298="","",IFERROR(INDEX('E2 — Triagem'!$D$8:$D$507,MATCH($B298,'E2 — Triagem'!$B$8:$B$507,0)),""))</f>
        <v/>
      </c>
      <c r="E298" s="447"/>
      <c r="F298" s="447"/>
      <c r="G298" s="447"/>
      <c r="H298" s="447"/>
      <c r="I298" s="447"/>
      <c r="J298" s="447"/>
      <c r="K298" s="462" t="str">
        <f t="shared" si="20"/>
        <v/>
      </c>
      <c r="L298" s="448"/>
      <c r="M298" s="448"/>
      <c r="N298" s="447"/>
      <c r="O298" s="463" t="str">
        <f>IF(B298="","",IF(Lançamentos!D293="","",Lançamentos!D293))</f>
        <v/>
      </c>
      <c r="P298" s="209">
        <v>7</v>
      </c>
      <c r="Q298" s="464" t="str">
        <f t="shared" si="21"/>
        <v/>
      </c>
      <c r="R298" s="465"/>
      <c r="S298" s="466" t="str">
        <f t="shared" ca="1" si="22"/>
        <v/>
      </c>
      <c r="T298" s="461" t="str">
        <f t="shared" ca="1" si="23"/>
        <v/>
      </c>
      <c r="U298" s="449"/>
    </row>
    <row r="299" spans="2:21" x14ac:dyDescent="0.35">
      <c r="B299" s="459" t="str">
        <f>IF(Lançamentos!$B294="","",Lançamentos!$B294)</f>
        <v/>
      </c>
      <c r="C299" s="460" t="str">
        <f>IF($B299="","",IFERROR(INDEX(Lançamentos!$J$3:$J$1001,MATCH($B299,Lançamentos!$B$3:$B$1001,0)),""))</f>
        <v/>
      </c>
      <c r="D299" s="461" t="str">
        <f>IF($B299="","",IFERROR(INDEX('E2 — Triagem'!$D$8:$D$507,MATCH($B299,'E2 — Triagem'!$B$8:$B$507,0)),""))</f>
        <v/>
      </c>
      <c r="E299" s="447"/>
      <c r="F299" s="447"/>
      <c r="G299" s="447"/>
      <c r="H299" s="447"/>
      <c r="I299" s="447"/>
      <c r="J299" s="447"/>
      <c r="K299" s="462" t="str">
        <f t="shared" si="20"/>
        <v/>
      </c>
      <c r="L299" s="448"/>
      <c r="M299" s="448"/>
      <c r="N299" s="447"/>
      <c r="O299" s="463" t="str">
        <f>IF(B299="","",IF(Lançamentos!D294="","",Lançamentos!D294))</f>
        <v/>
      </c>
      <c r="P299" s="209">
        <v>7</v>
      </c>
      <c r="Q299" s="464" t="str">
        <f t="shared" si="21"/>
        <v/>
      </c>
      <c r="R299" s="465"/>
      <c r="S299" s="466" t="str">
        <f t="shared" ca="1" si="22"/>
        <v/>
      </c>
      <c r="T299" s="461" t="str">
        <f t="shared" ca="1" si="23"/>
        <v/>
      </c>
      <c r="U299" s="449"/>
    </row>
    <row r="300" spans="2:21" x14ac:dyDescent="0.35">
      <c r="B300" s="459" t="str">
        <f>IF(Lançamentos!$B295="","",Lançamentos!$B295)</f>
        <v/>
      </c>
      <c r="C300" s="460" t="str">
        <f>IF($B300="","",IFERROR(INDEX(Lançamentos!$J$3:$J$1001,MATCH($B300,Lançamentos!$B$3:$B$1001,0)),""))</f>
        <v/>
      </c>
      <c r="D300" s="461" t="str">
        <f>IF($B300="","",IFERROR(INDEX('E2 — Triagem'!$D$8:$D$507,MATCH($B300,'E2 — Triagem'!$B$8:$B$507,0)),""))</f>
        <v/>
      </c>
      <c r="E300" s="447"/>
      <c r="F300" s="447"/>
      <c r="G300" s="447"/>
      <c r="H300" s="447"/>
      <c r="I300" s="447"/>
      <c r="J300" s="447"/>
      <c r="K300" s="462" t="str">
        <f t="shared" si="20"/>
        <v/>
      </c>
      <c r="L300" s="448"/>
      <c r="M300" s="448"/>
      <c r="N300" s="447"/>
      <c r="O300" s="463" t="str">
        <f>IF(B300="","",IF(Lançamentos!D295="","",Lançamentos!D295))</f>
        <v/>
      </c>
      <c r="P300" s="209">
        <v>7</v>
      </c>
      <c r="Q300" s="464" t="str">
        <f t="shared" si="21"/>
        <v/>
      </c>
      <c r="R300" s="465"/>
      <c r="S300" s="466" t="str">
        <f t="shared" ca="1" si="22"/>
        <v/>
      </c>
      <c r="T300" s="461" t="str">
        <f t="shared" ca="1" si="23"/>
        <v/>
      </c>
      <c r="U300" s="449"/>
    </row>
    <row r="301" spans="2:21" x14ac:dyDescent="0.35">
      <c r="B301" s="459" t="str">
        <f>IF(Lançamentos!$B296="","",Lançamentos!$B296)</f>
        <v/>
      </c>
      <c r="C301" s="460" t="str">
        <f>IF($B301="","",IFERROR(INDEX(Lançamentos!$J$3:$J$1001,MATCH($B301,Lançamentos!$B$3:$B$1001,0)),""))</f>
        <v/>
      </c>
      <c r="D301" s="461" t="str">
        <f>IF($B301="","",IFERROR(INDEX('E2 — Triagem'!$D$8:$D$507,MATCH($B301,'E2 — Triagem'!$B$8:$B$507,0)),""))</f>
        <v/>
      </c>
      <c r="E301" s="447"/>
      <c r="F301" s="447"/>
      <c r="G301" s="447"/>
      <c r="H301" s="447"/>
      <c r="I301" s="447"/>
      <c r="J301" s="447"/>
      <c r="K301" s="462" t="str">
        <f t="shared" si="20"/>
        <v/>
      </c>
      <c r="L301" s="448"/>
      <c r="M301" s="448"/>
      <c r="N301" s="447"/>
      <c r="O301" s="463" t="str">
        <f>IF(B301="","",IF(Lançamentos!D296="","",Lançamentos!D296))</f>
        <v/>
      </c>
      <c r="P301" s="209">
        <v>7</v>
      </c>
      <c r="Q301" s="464" t="str">
        <f t="shared" si="21"/>
        <v/>
      </c>
      <c r="R301" s="465"/>
      <c r="S301" s="466" t="str">
        <f t="shared" ca="1" si="22"/>
        <v/>
      </c>
      <c r="T301" s="461" t="str">
        <f t="shared" ca="1" si="23"/>
        <v/>
      </c>
      <c r="U301" s="449"/>
    </row>
    <row r="302" spans="2:21" x14ac:dyDescent="0.35">
      <c r="B302" s="459" t="str">
        <f>IF(Lançamentos!$B297="","",Lançamentos!$B297)</f>
        <v/>
      </c>
      <c r="C302" s="460" t="str">
        <f>IF($B302="","",IFERROR(INDEX(Lançamentos!$J$3:$J$1001,MATCH($B302,Lançamentos!$B$3:$B$1001,0)),""))</f>
        <v/>
      </c>
      <c r="D302" s="461" t="str">
        <f>IF($B302="","",IFERROR(INDEX('E2 — Triagem'!$D$8:$D$507,MATCH($B302,'E2 — Triagem'!$B$8:$B$507,0)),""))</f>
        <v/>
      </c>
      <c r="E302" s="447"/>
      <c r="F302" s="447"/>
      <c r="G302" s="447"/>
      <c r="H302" s="447"/>
      <c r="I302" s="447"/>
      <c r="J302" s="447"/>
      <c r="K302" s="462" t="str">
        <f t="shared" si="20"/>
        <v/>
      </c>
      <c r="L302" s="448"/>
      <c r="M302" s="448"/>
      <c r="N302" s="447"/>
      <c r="O302" s="463" t="str">
        <f>IF(B302="","",IF(Lançamentos!D297="","",Lançamentos!D297))</f>
        <v/>
      </c>
      <c r="P302" s="209">
        <v>7</v>
      </c>
      <c r="Q302" s="464" t="str">
        <f t="shared" si="21"/>
        <v/>
      </c>
      <c r="R302" s="465"/>
      <c r="S302" s="466" t="str">
        <f t="shared" ca="1" si="22"/>
        <v/>
      </c>
      <c r="T302" s="461" t="str">
        <f t="shared" ca="1" si="23"/>
        <v/>
      </c>
      <c r="U302" s="449"/>
    </row>
    <row r="303" spans="2:21" x14ac:dyDescent="0.35">
      <c r="B303" s="459" t="str">
        <f>IF(Lançamentos!$B298="","",Lançamentos!$B298)</f>
        <v/>
      </c>
      <c r="C303" s="460" t="str">
        <f>IF($B303="","",IFERROR(INDEX(Lançamentos!$J$3:$J$1001,MATCH($B303,Lançamentos!$B$3:$B$1001,0)),""))</f>
        <v/>
      </c>
      <c r="D303" s="461" t="str">
        <f>IF($B303="","",IFERROR(INDEX('E2 — Triagem'!$D$8:$D$507,MATCH($B303,'E2 — Triagem'!$B$8:$B$507,0)),""))</f>
        <v/>
      </c>
      <c r="E303" s="447"/>
      <c r="F303" s="447"/>
      <c r="G303" s="447"/>
      <c r="H303" s="447"/>
      <c r="I303" s="447"/>
      <c r="J303" s="447"/>
      <c r="K303" s="462" t="str">
        <f t="shared" si="20"/>
        <v/>
      </c>
      <c r="L303" s="448"/>
      <c r="M303" s="448"/>
      <c r="N303" s="447"/>
      <c r="O303" s="463" t="str">
        <f>IF(B303="","",IF(Lançamentos!D298="","",Lançamentos!D298))</f>
        <v/>
      </c>
      <c r="P303" s="209">
        <v>7</v>
      </c>
      <c r="Q303" s="464" t="str">
        <f t="shared" si="21"/>
        <v/>
      </c>
      <c r="R303" s="465"/>
      <c r="S303" s="466" t="str">
        <f t="shared" ca="1" si="22"/>
        <v/>
      </c>
      <c r="T303" s="461" t="str">
        <f t="shared" ca="1" si="23"/>
        <v/>
      </c>
      <c r="U303" s="449"/>
    </row>
    <row r="304" spans="2:21" x14ac:dyDescent="0.35">
      <c r="B304" s="459" t="str">
        <f>IF(Lançamentos!$B299="","",Lançamentos!$B299)</f>
        <v/>
      </c>
      <c r="C304" s="460" t="str">
        <f>IF($B304="","",IFERROR(INDEX(Lançamentos!$J$3:$J$1001,MATCH($B304,Lançamentos!$B$3:$B$1001,0)),""))</f>
        <v/>
      </c>
      <c r="D304" s="461" t="str">
        <f>IF($B304="","",IFERROR(INDEX('E2 — Triagem'!$D$8:$D$507,MATCH($B304,'E2 — Triagem'!$B$8:$B$507,0)),""))</f>
        <v/>
      </c>
      <c r="E304" s="447"/>
      <c r="F304" s="447"/>
      <c r="G304" s="447"/>
      <c r="H304" s="447"/>
      <c r="I304" s="447"/>
      <c r="J304" s="447"/>
      <c r="K304" s="462" t="str">
        <f t="shared" si="20"/>
        <v/>
      </c>
      <c r="L304" s="448"/>
      <c r="M304" s="448"/>
      <c r="N304" s="447"/>
      <c r="O304" s="463" t="str">
        <f>IF(B304="","",IF(Lançamentos!D299="","",Lançamentos!D299))</f>
        <v/>
      </c>
      <c r="P304" s="209">
        <v>7</v>
      </c>
      <c r="Q304" s="464" t="str">
        <f t="shared" si="21"/>
        <v/>
      </c>
      <c r="R304" s="465"/>
      <c r="S304" s="466" t="str">
        <f t="shared" ca="1" si="22"/>
        <v/>
      </c>
      <c r="T304" s="461" t="str">
        <f t="shared" ca="1" si="23"/>
        <v/>
      </c>
      <c r="U304" s="449"/>
    </row>
    <row r="305" spans="2:21" x14ac:dyDescent="0.35">
      <c r="B305" s="459" t="str">
        <f>IF(Lançamentos!$B300="","",Lançamentos!$B300)</f>
        <v/>
      </c>
      <c r="C305" s="460" t="str">
        <f>IF($B305="","",IFERROR(INDEX(Lançamentos!$J$3:$J$1001,MATCH($B305,Lançamentos!$B$3:$B$1001,0)),""))</f>
        <v/>
      </c>
      <c r="D305" s="461" t="str">
        <f>IF($B305="","",IFERROR(INDEX('E2 — Triagem'!$D$8:$D$507,MATCH($B305,'E2 — Triagem'!$B$8:$B$507,0)),""))</f>
        <v/>
      </c>
      <c r="E305" s="447"/>
      <c r="F305" s="447"/>
      <c r="G305" s="447"/>
      <c r="H305" s="447"/>
      <c r="I305" s="447"/>
      <c r="J305" s="447"/>
      <c r="K305" s="462" t="str">
        <f t="shared" si="20"/>
        <v/>
      </c>
      <c r="L305" s="448"/>
      <c r="M305" s="448"/>
      <c r="N305" s="447"/>
      <c r="O305" s="463" t="str">
        <f>IF(B305="","",IF(Lançamentos!D300="","",Lançamentos!D300))</f>
        <v/>
      </c>
      <c r="P305" s="209">
        <v>7</v>
      </c>
      <c r="Q305" s="464" t="str">
        <f t="shared" si="21"/>
        <v/>
      </c>
      <c r="R305" s="465"/>
      <c r="S305" s="466" t="str">
        <f t="shared" ca="1" si="22"/>
        <v/>
      </c>
      <c r="T305" s="461" t="str">
        <f t="shared" ca="1" si="23"/>
        <v/>
      </c>
      <c r="U305" s="449"/>
    </row>
    <row r="306" spans="2:21" x14ac:dyDescent="0.35">
      <c r="B306" s="459" t="str">
        <f>IF(Lançamentos!$B301="","",Lançamentos!$B301)</f>
        <v/>
      </c>
      <c r="C306" s="460" t="str">
        <f>IF($B306="","",IFERROR(INDEX(Lançamentos!$J$3:$J$1001,MATCH($B306,Lançamentos!$B$3:$B$1001,0)),""))</f>
        <v/>
      </c>
      <c r="D306" s="461" t="str">
        <f>IF($B306="","",IFERROR(INDEX('E2 — Triagem'!$D$8:$D$507,MATCH($B306,'E2 — Triagem'!$B$8:$B$507,0)),""))</f>
        <v/>
      </c>
      <c r="E306" s="447"/>
      <c r="F306" s="447"/>
      <c r="G306" s="447"/>
      <c r="H306" s="447"/>
      <c r="I306" s="447"/>
      <c r="J306" s="447"/>
      <c r="K306" s="462" t="str">
        <f t="shared" si="20"/>
        <v/>
      </c>
      <c r="L306" s="448"/>
      <c r="M306" s="448"/>
      <c r="N306" s="447"/>
      <c r="O306" s="463" t="str">
        <f>IF(B306="","",IF(Lançamentos!D301="","",Lançamentos!D301))</f>
        <v/>
      </c>
      <c r="P306" s="209">
        <v>7</v>
      </c>
      <c r="Q306" s="464" t="str">
        <f t="shared" si="21"/>
        <v/>
      </c>
      <c r="R306" s="465"/>
      <c r="S306" s="466" t="str">
        <f t="shared" ca="1" si="22"/>
        <v/>
      </c>
      <c r="T306" s="461" t="str">
        <f t="shared" ca="1" si="23"/>
        <v/>
      </c>
      <c r="U306" s="449"/>
    </row>
    <row r="307" spans="2:21" x14ac:dyDescent="0.35">
      <c r="B307" s="459" t="str">
        <f>IF(Lançamentos!$B302="","",Lançamentos!$B302)</f>
        <v/>
      </c>
      <c r="C307" s="460" t="str">
        <f>IF($B307="","",IFERROR(INDEX(Lançamentos!$J$3:$J$1001,MATCH($B307,Lançamentos!$B$3:$B$1001,0)),""))</f>
        <v/>
      </c>
      <c r="D307" s="461" t="str">
        <f>IF($B307="","",IFERROR(INDEX('E2 — Triagem'!$D$8:$D$507,MATCH($B307,'E2 — Triagem'!$B$8:$B$507,0)),""))</f>
        <v/>
      </c>
      <c r="E307" s="447"/>
      <c r="F307" s="447"/>
      <c r="G307" s="447"/>
      <c r="H307" s="447"/>
      <c r="I307" s="447"/>
      <c r="J307" s="447"/>
      <c r="K307" s="462" t="str">
        <f t="shared" si="20"/>
        <v/>
      </c>
      <c r="L307" s="448"/>
      <c r="M307" s="448"/>
      <c r="N307" s="447"/>
      <c r="O307" s="463" t="str">
        <f>IF(B307="","",IF(Lançamentos!D302="","",Lançamentos!D302))</f>
        <v/>
      </c>
      <c r="P307" s="209">
        <v>7</v>
      </c>
      <c r="Q307" s="464" t="str">
        <f t="shared" si="21"/>
        <v/>
      </c>
      <c r="R307" s="465"/>
      <c r="S307" s="466" t="str">
        <f t="shared" ca="1" si="22"/>
        <v/>
      </c>
      <c r="T307" s="461" t="str">
        <f t="shared" ca="1" si="23"/>
        <v/>
      </c>
      <c r="U307" s="449"/>
    </row>
    <row r="308" spans="2:21" x14ac:dyDescent="0.35">
      <c r="B308" s="459" t="str">
        <f>IF(Lançamentos!$B303="","",Lançamentos!$B303)</f>
        <v/>
      </c>
      <c r="C308" s="460" t="str">
        <f>IF($B308="","",IFERROR(INDEX(Lançamentos!$J$3:$J$1001,MATCH($B308,Lançamentos!$B$3:$B$1001,0)),""))</f>
        <v/>
      </c>
      <c r="D308" s="461" t="str">
        <f>IF($B308="","",IFERROR(INDEX('E2 — Triagem'!$D$8:$D$507,MATCH($B308,'E2 — Triagem'!$B$8:$B$507,0)),""))</f>
        <v/>
      </c>
      <c r="E308" s="447"/>
      <c r="F308" s="447"/>
      <c r="G308" s="447"/>
      <c r="H308" s="447"/>
      <c r="I308" s="447"/>
      <c r="J308" s="447"/>
      <c r="K308" s="462" t="str">
        <f t="shared" si="20"/>
        <v/>
      </c>
      <c r="L308" s="448"/>
      <c r="M308" s="448"/>
      <c r="N308" s="447"/>
      <c r="O308" s="463" t="str">
        <f>IF(B308="","",IF(Lançamentos!D303="","",Lançamentos!D303))</f>
        <v/>
      </c>
      <c r="P308" s="209">
        <v>7</v>
      </c>
      <c r="Q308" s="464" t="str">
        <f t="shared" si="21"/>
        <v/>
      </c>
      <c r="R308" s="465"/>
      <c r="S308" s="466" t="str">
        <f t="shared" ca="1" si="22"/>
        <v/>
      </c>
      <c r="T308" s="461" t="str">
        <f t="shared" ca="1" si="23"/>
        <v/>
      </c>
      <c r="U308" s="449"/>
    </row>
    <row r="309" spans="2:21" x14ac:dyDescent="0.35">
      <c r="B309" s="459" t="str">
        <f>IF(Lançamentos!$B304="","",Lançamentos!$B304)</f>
        <v/>
      </c>
      <c r="C309" s="460" t="str">
        <f>IF($B309="","",IFERROR(INDEX(Lançamentos!$J$3:$J$1001,MATCH($B309,Lançamentos!$B$3:$B$1001,0)),""))</f>
        <v/>
      </c>
      <c r="D309" s="461" t="str">
        <f>IF($B309="","",IFERROR(INDEX('E2 — Triagem'!$D$8:$D$507,MATCH($B309,'E2 — Triagem'!$B$8:$B$507,0)),""))</f>
        <v/>
      </c>
      <c r="E309" s="447"/>
      <c r="F309" s="447"/>
      <c r="G309" s="447"/>
      <c r="H309" s="447"/>
      <c r="I309" s="447"/>
      <c r="J309" s="447"/>
      <c r="K309" s="462" t="str">
        <f t="shared" si="20"/>
        <v/>
      </c>
      <c r="L309" s="448"/>
      <c r="M309" s="448"/>
      <c r="N309" s="447"/>
      <c r="O309" s="463" t="str">
        <f>IF(B309="","",IF(Lançamentos!D304="","",Lançamentos!D304))</f>
        <v/>
      </c>
      <c r="P309" s="209">
        <v>7</v>
      </c>
      <c r="Q309" s="464" t="str">
        <f t="shared" si="21"/>
        <v/>
      </c>
      <c r="R309" s="465"/>
      <c r="S309" s="466" t="str">
        <f t="shared" ca="1" si="22"/>
        <v/>
      </c>
      <c r="T309" s="461" t="str">
        <f t="shared" ca="1" si="23"/>
        <v/>
      </c>
      <c r="U309" s="449"/>
    </row>
    <row r="310" spans="2:21" x14ac:dyDescent="0.35">
      <c r="B310" s="459" t="str">
        <f>IF(Lançamentos!$B305="","",Lançamentos!$B305)</f>
        <v/>
      </c>
      <c r="C310" s="460" t="str">
        <f>IF($B310="","",IFERROR(INDEX(Lançamentos!$J$3:$J$1001,MATCH($B310,Lançamentos!$B$3:$B$1001,0)),""))</f>
        <v/>
      </c>
      <c r="D310" s="461" t="str">
        <f>IF($B310="","",IFERROR(INDEX('E2 — Triagem'!$D$8:$D$507,MATCH($B310,'E2 — Triagem'!$B$8:$B$507,0)),""))</f>
        <v/>
      </c>
      <c r="E310" s="447"/>
      <c r="F310" s="447"/>
      <c r="G310" s="447"/>
      <c r="H310" s="447"/>
      <c r="I310" s="447"/>
      <c r="J310" s="447"/>
      <c r="K310" s="462" t="str">
        <f t="shared" si="20"/>
        <v/>
      </c>
      <c r="L310" s="448"/>
      <c r="M310" s="448"/>
      <c r="N310" s="447"/>
      <c r="O310" s="463" t="str">
        <f>IF(B310="","",IF(Lançamentos!D305="","",Lançamentos!D305))</f>
        <v/>
      </c>
      <c r="P310" s="209">
        <v>7</v>
      </c>
      <c r="Q310" s="464" t="str">
        <f t="shared" si="21"/>
        <v/>
      </c>
      <c r="R310" s="465"/>
      <c r="S310" s="466" t="str">
        <f t="shared" ca="1" si="22"/>
        <v/>
      </c>
      <c r="T310" s="461" t="str">
        <f t="shared" ca="1" si="23"/>
        <v/>
      </c>
      <c r="U310" s="449"/>
    </row>
    <row r="311" spans="2:21" x14ac:dyDescent="0.35">
      <c r="B311" s="459" t="str">
        <f>IF(Lançamentos!$B306="","",Lançamentos!$B306)</f>
        <v/>
      </c>
      <c r="C311" s="460" t="str">
        <f>IF($B311="","",IFERROR(INDEX(Lançamentos!$J$3:$J$1001,MATCH($B311,Lançamentos!$B$3:$B$1001,0)),""))</f>
        <v/>
      </c>
      <c r="D311" s="461" t="str">
        <f>IF($B311="","",IFERROR(INDEX('E2 — Triagem'!$D$8:$D$507,MATCH($B311,'E2 — Triagem'!$B$8:$B$507,0)),""))</f>
        <v/>
      </c>
      <c r="E311" s="447"/>
      <c r="F311" s="447"/>
      <c r="G311" s="447"/>
      <c r="H311" s="447"/>
      <c r="I311" s="447"/>
      <c r="J311" s="447"/>
      <c r="K311" s="462" t="str">
        <f t="shared" si="20"/>
        <v/>
      </c>
      <c r="L311" s="448"/>
      <c r="M311" s="448"/>
      <c r="N311" s="447"/>
      <c r="O311" s="463" t="str">
        <f>IF(B311="","",IF(Lançamentos!D306="","",Lançamentos!D306))</f>
        <v/>
      </c>
      <c r="P311" s="209">
        <v>7</v>
      </c>
      <c r="Q311" s="464" t="str">
        <f t="shared" si="21"/>
        <v/>
      </c>
      <c r="R311" s="465"/>
      <c r="S311" s="466" t="str">
        <f t="shared" ca="1" si="22"/>
        <v/>
      </c>
      <c r="T311" s="461" t="str">
        <f t="shared" ca="1" si="23"/>
        <v/>
      </c>
      <c r="U311" s="449"/>
    </row>
    <row r="312" spans="2:21" x14ac:dyDescent="0.35">
      <c r="B312" s="459" t="str">
        <f>IF(Lançamentos!$B307="","",Lançamentos!$B307)</f>
        <v/>
      </c>
      <c r="C312" s="460" t="str">
        <f>IF($B312="","",IFERROR(INDEX(Lançamentos!$J$3:$J$1001,MATCH($B312,Lançamentos!$B$3:$B$1001,0)),""))</f>
        <v/>
      </c>
      <c r="D312" s="461" t="str">
        <f>IF($B312="","",IFERROR(INDEX('E2 — Triagem'!$D$8:$D$507,MATCH($B312,'E2 — Triagem'!$B$8:$B$507,0)),""))</f>
        <v/>
      </c>
      <c r="E312" s="447"/>
      <c r="F312" s="447"/>
      <c r="G312" s="447"/>
      <c r="H312" s="447"/>
      <c r="I312" s="447"/>
      <c r="J312" s="447"/>
      <c r="K312" s="462" t="str">
        <f t="shared" si="20"/>
        <v/>
      </c>
      <c r="L312" s="448"/>
      <c r="M312" s="448"/>
      <c r="N312" s="447"/>
      <c r="O312" s="463" t="str">
        <f>IF(B312="","",IF(Lançamentos!D307="","",Lançamentos!D307))</f>
        <v/>
      </c>
      <c r="P312" s="209">
        <v>7</v>
      </c>
      <c r="Q312" s="464" t="str">
        <f t="shared" si="21"/>
        <v/>
      </c>
      <c r="R312" s="465"/>
      <c r="S312" s="466" t="str">
        <f t="shared" ca="1" si="22"/>
        <v/>
      </c>
      <c r="T312" s="461" t="str">
        <f t="shared" ca="1" si="23"/>
        <v/>
      </c>
      <c r="U312" s="449"/>
    </row>
    <row r="313" spans="2:21" x14ac:dyDescent="0.35">
      <c r="B313" s="459" t="str">
        <f>IF(Lançamentos!$B308="","",Lançamentos!$B308)</f>
        <v/>
      </c>
      <c r="C313" s="460" t="str">
        <f>IF($B313="","",IFERROR(INDEX(Lançamentos!$J$3:$J$1001,MATCH($B313,Lançamentos!$B$3:$B$1001,0)),""))</f>
        <v/>
      </c>
      <c r="D313" s="461" t="str">
        <f>IF($B313="","",IFERROR(INDEX('E2 — Triagem'!$D$8:$D$507,MATCH($B313,'E2 — Triagem'!$B$8:$B$507,0)),""))</f>
        <v/>
      </c>
      <c r="E313" s="447"/>
      <c r="F313" s="447"/>
      <c r="G313" s="447"/>
      <c r="H313" s="447"/>
      <c r="I313" s="447"/>
      <c r="J313" s="447"/>
      <c r="K313" s="462" t="str">
        <f t="shared" si="20"/>
        <v/>
      </c>
      <c r="L313" s="448"/>
      <c r="M313" s="448"/>
      <c r="N313" s="447"/>
      <c r="O313" s="463" t="str">
        <f>IF(B313="","",IF(Lançamentos!D308="","",Lançamentos!D308))</f>
        <v/>
      </c>
      <c r="P313" s="209">
        <v>7</v>
      </c>
      <c r="Q313" s="464" t="str">
        <f t="shared" si="21"/>
        <v/>
      </c>
      <c r="R313" s="465"/>
      <c r="S313" s="466" t="str">
        <f t="shared" ca="1" si="22"/>
        <v/>
      </c>
      <c r="T313" s="461" t="str">
        <f t="shared" ca="1" si="23"/>
        <v/>
      </c>
      <c r="U313" s="449"/>
    </row>
    <row r="314" spans="2:21" x14ac:dyDescent="0.35">
      <c r="B314" s="459" t="str">
        <f>IF(Lançamentos!$B309="","",Lançamentos!$B309)</f>
        <v/>
      </c>
      <c r="C314" s="460" t="str">
        <f>IF($B314="","",IFERROR(INDEX(Lançamentos!$J$3:$J$1001,MATCH($B314,Lançamentos!$B$3:$B$1001,0)),""))</f>
        <v/>
      </c>
      <c r="D314" s="461" t="str">
        <f>IF($B314="","",IFERROR(INDEX('E2 — Triagem'!$D$8:$D$507,MATCH($B314,'E2 — Triagem'!$B$8:$B$507,0)),""))</f>
        <v/>
      </c>
      <c r="E314" s="447"/>
      <c r="F314" s="447"/>
      <c r="G314" s="447"/>
      <c r="H314" s="447"/>
      <c r="I314" s="447"/>
      <c r="J314" s="447"/>
      <c r="K314" s="462" t="str">
        <f t="shared" si="20"/>
        <v/>
      </c>
      <c r="L314" s="448"/>
      <c r="M314" s="448"/>
      <c r="N314" s="447"/>
      <c r="O314" s="463" t="str">
        <f>IF(B314="","",IF(Lançamentos!D309="","",Lançamentos!D309))</f>
        <v/>
      </c>
      <c r="P314" s="209">
        <v>7</v>
      </c>
      <c r="Q314" s="464" t="str">
        <f t="shared" si="21"/>
        <v/>
      </c>
      <c r="R314" s="465"/>
      <c r="S314" s="466" t="str">
        <f t="shared" ca="1" si="22"/>
        <v/>
      </c>
      <c r="T314" s="461" t="str">
        <f t="shared" ca="1" si="23"/>
        <v/>
      </c>
      <c r="U314" s="449"/>
    </row>
    <row r="315" spans="2:21" x14ac:dyDescent="0.35">
      <c r="B315" s="459" t="str">
        <f>IF(Lançamentos!$B310="","",Lançamentos!$B310)</f>
        <v/>
      </c>
      <c r="C315" s="460" t="str">
        <f>IF($B315="","",IFERROR(INDEX(Lançamentos!$J$3:$J$1001,MATCH($B315,Lançamentos!$B$3:$B$1001,0)),""))</f>
        <v/>
      </c>
      <c r="D315" s="461" t="str">
        <f>IF($B315="","",IFERROR(INDEX('E2 — Triagem'!$D$8:$D$507,MATCH($B315,'E2 — Triagem'!$B$8:$B$507,0)),""))</f>
        <v/>
      </c>
      <c r="E315" s="447"/>
      <c r="F315" s="447"/>
      <c r="G315" s="447"/>
      <c r="H315" s="447"/>
      <c r="I315" s="447"/>
      <c r="J315" s="447"/>
      <c r="K315" s="462" t="str">
        <f t="shared" si="20"/>
        <v/>
      </c>
      <c r="L315" s="448"/>
      <c r="M315" s="448"/>
      <c r="N315" s="447"/>
      <c r="O315" s="463" t="str">
        <f>IF(B315="","",IF(Lançamentos!D310="","",Lançamentos!D310))</f>
        <v/>
      </c>
      <c r="P315" s="209">
        <v>7</v>
      </c>
      <c r="Q315" s="464" t="str">
        <f t="shared" si="21"/>
        <v/>
      </c>
      <c r="R315" s="465"/>
      <c r="S315" s="466" t="str">
        <f t="shared" ca="1" si="22"/>
        <v/>
      </c>
      <c r="T315" s="461" t="str">
        <f t="shared" ca="1" si="23"/>
        <v/>
      </c>
      <c r="U315" s="449"/>
    </row>
    <row r="316" spans="2:21" x14ac:dyDescent="0.35">
      <c r="B316" s="459" t="str">
        <f>IF(Lançamentos!$B311="","",Lançamentos!$B311)</f>
        <v/>
      </c>
      <c r="C316" s="460" t="str">
        <f>IF($B316="","",IFERROR(INDEX(Lançamentos!$J$3:$J$1001,MATCH($B316,Lançamentos!$B$3:$B$1001,0)),""))</f>
        <v/>
      </c>
      <c r="D316" s="461" t="str">
        <f>IF($B316="","",IFERROR(INDEX('E2 — Triagem'!$D$8:$D$507,MATCH($B316,'E2 — Triagem'!$B$8:$B$507,0)),""))</f>
        <v/>
      </c>
      <c r="E316" s="447"/>
      <c r="F316" s="447"/>
      <c r="G316" s="447"/>
      <c r="H316" s="447"/>
      <c r="I316" s="447"/>
      <c r="J316" s="447"/>
      <c r="K316" s="462" t="str">
        <f t="shared" si="20"/>
        <v/>
      </c>
      <c r="L316" s="448"/>
      <c r="M316" s="448"/>
      <c r="N316" s="447"/>
      <c r="O316" s="463" t="str">
        <f>IF(B316="","",IF(Lançamentos!D311="","",Lançamentos!D311))</f>
        <v/>
      </c>
      <c r="P316" s="209">
        <v>7</v>
      </c>
      <c r="Q316" s="464" t="str">
        <f t="shared" si="21"/>
        <v/>
      </c>
      <c r="R316" s="465"/>
      <c r="S316" s="466" t="str">
        <f t="shared" ca="1" si="22"/>
        <v/>
      </c>
      <c r="T316" s="461" t="str">
        <f t="shared" ca="1" si="23"/>
        <v/>
      </c>
      <c r="U316" s="449"/>
    </row>
    <row r="317" spans="2:21" x14ac:dyDescent="0.35">
      <c r="B317" s="459" t="str">
        <f>IF(Lançamentos!$B312="","",Lançamentos!$B312)</f>
        <v/>
      </c>
      <c r="C317" s="460" t="str">
        <f>IF($B317="","",IFERROR(INDEX(Lançamentos!$J$3:$J$1001,MATCH($B317,Lançamentos!$B$3:$B$1001,0)),""))</f>
        <v/>
      </c>
      <c r="D317" s="461" t="str">
        <f>IF($B317="","",IFERROR(INDEX('E2 — Triagem'!$D$8:$D$507,MATCH($B317,'E2 — Triagem'!$B$8:$B$507,0)),""))</f>
        <v/>
      </c>
      <c r="E317" s="447"/>
      <c r="F317" s="447"/>
      <c r="G317" s="447"/>
      <c r="H317" s="447"/>
      <c r="I317" s="447"/>
      <c r="J317" s="447"/>
      <c r="K317" s="462" t="str">
        <f t="shared" si="20"/>
        <v/>
      </c>
      <c r="L317" s="448"/>
      <c r="M317" s="448"/>
      <c r="N317" s="447"/>
      <c r="O317" s="463" t="str">
        <f>IF(B317="","",IF(Lançamentos!D312="","",Lançamentos!D312))</f>
        <v/>
      </c>
      <c r="P317" s="209">
        <v>7</v>
      </c>
      <c r="Q317" s="464" t="str">
        <f t="shared" si="21"/>
        <v/>
      </c>
      <c r="R317" s="465"/>
      <c r="S317" s="466" t="str">
        <f t="shared" ca="1" si="22"/>
        <v/>
      </c>
      <c r="T317" s="461" t="str">
        <f t="shared" ca="1" si="23"/>
        <v/>
      </c>
      <c r="U317" s="449"/>
    </row>
    <row r="318" spans="2:21" x14ac:dyDescent="0.35">
      <c r="B318" s="459" t="str">
        <f>IF(Lançamentos!$B313="","",Lançamentos!$B313)</f>
        <v/>
      </c>
      <c r="C318" s="460" t="str">
        <f>IF($B318="","",IFERROR(INDEX(Lançamentos!$J$3:$J$1001,MATCH($B318,Lançamentos!$B$3:$B$1001,0)),""))</f>
        <v/>
      </c>
      <c r="D318" s="461" t="str">
        <f>IF($B318="","",IFERROR(INDEX('E2 — Triagem'!$D$8:$D$507,MATCH($B318,'E2 — Triagem'!$B$8:$B$507,0)),""))</f>
        <v/>
      </c>
      <c r="E318" s="447"/>
      <c r="F318" s="447"/>
      <c r="G318" s="447"/>
      <c r="H318" s="447"/>
      <c r="I318" s="447"/>
      <c r="J318" s="447"/>
      <c r="K318" s="462" t="str">
        <f t="shared" si="20"/>
        <v/>
      </c>
      <c r="L318" s="448"/>
      <c r="M318" s="448"/>
      <c r="N318" s="447"/>
      <c r="O318" s="463" t="str">
        <f>IF(B318="","",IF(Lançamentos!D313="","",Lançamentos!D313))</f>
        <v/>
      </c>
      <c r="P318" s="209">
        <v>7</v>
      </c>
      <c r="Q318" s="464" t="str">
        <f t="shared" si="21"/>
        <v/>
      </c>
      <c r="R318" s="465"/>
      <c r="S318" s="466" t="str">
        <f t="shared" ca="1" si="22"/>
        <v/>
      </c>
      <c r="T318" s="461" t="str">
        <f t="shared" ca="1" si="23"/>
        <v/>
      </c>
      <c r="U318" s="449"/>
    </row>
    <row r="319" spans="2:21" x14ac:dyDescent="0.35">
      <c r="B319" s="459" t="str">
        <f>IF(Lançamentos!$B314="","",Lançamentos!$B314)</f>
        <v/>
      </c>
      <c r="C319" s="460" t="str">
        <f>IF($B319="","",IFERROR(INDEX(Lançamentos!$J$3:$J$1001,MATCH($B319,Lançamentos!$B$3:$B$1001,0)),""))</f>
        <v/>
      </c>
      <c r="D319" s="461" t="str">
        <f>IF($B319="","",IFERROR(INDEX('E2 — Triagem'!$D$8:$D$507,MATCH($B319,'E2 — Triagem'!$B$8:$B$507,0)),""))</f>
        <v/>
      </c>
      <c r="E319" s="447"/>
      <c r="F319" s="447"/>
      <c r="G319" s="447"/>
      <c r="H319" s="447"/>
      <c r="I319" s="447"/>
      <c r="J319" s="447"/>
      <c r="K319" s="462" t="str">
        <f t="shared" si="20"/>
        <v/>
      </c>
      <c r="L319" s="448"/>
      <c r="M319" s="448"/>
      <c r="N319" s="447"/>
      <c r="O319" s="463" t="str">
        <f>IF(B319="","",IF(Lançamentos!D314="","",Lançamentos!D314))</f>
        <v/>
      </c>
      <c r="P319" s="209">
        <v>7</v>
      </c>
      <c r="Q319" s="464" t="str">
        <f t="shared" si="21"/>
        <v/>
      </c>
      <c r="R319" s="465"/>
      <c r="S319" s="466" t="str">
        <f t="shared" ca="1" si="22"/>
        <v/>
      </c>
      <c r="T319" s="461" t="str">
        <f t="shared" ca="1" si="23"/>
        <v/>
      </c>
      <c r="U319" s="449"/>
    </row>
    <row r="320" spans="2:21" x14ac:dyDescent="0.35">
      <c r="B320" s="459" t="str">
        <f>IF(Lançamentos!$B315="","",Lançamentos!$B315)</f>
        <v/>
      </c>
      <c r="C320" s="460" t="str">
        <f>IF($B320="","",IFERROR(INDEX(Lançamentos!$J$3:$J$1001,MATCH($B320,Lançamentos!$B$3:$B$1001,0)),""))</f>
        <v/>
      </c>
      <c r="D320" s="461" t="str">
        <f>IF($B320="","",IFERROR(INDEX('E2 — Triagem'!$D$8:$D$507,MATCH($B320,'E2 — Triagem'!$B$8:$B$507,0)),""))</f>
        <v/>
      </c>
      <c r="E320" s="447"/>
      <c r="F320" s="447"/>
      <c r="G320" s="447"/>
      <c r="H320" s="447"/>
      <c r="I320" s="447"/>
      <c r="J320" s="447"/>
      <c r="K320" s="462" t="str">
        <f t="shared" si="20"/>
        <v/>
      </c>
      <c r="L320" s="448"/>
      <c r="M320" s="448"/>
      <c r="N320" s="447"/>
      <c r="O320" s="463" t="str">
        <f>IF(B320="","",IF(Lançamentos!D315="","",Lançamentos!D315))</f>
        <v/>
      </c>
      <c r="P320" s="209">
        <v>7</v>
      </c>
      <c r="Q320" s="464" t="str">
        <f t="shared" si="21"/>
        <v/>
      </c>
      <c r="R320" s="465"/>
      <c r="S320" s="466" t="str">
        <f t="shared" ca="1" si="22"/>
        <v/>
      </c>
      <c r="T320" s="461" t="str">
        <f t="shared" ca="1" si="23"/>
        <v/>
      </c>
      <c r="U320" s="449"/>
    </row>
    <row r="321" spans="2:21" x14ac:dyDescent="0.35">
      <c r="B321" s="459" t="str">
        <f>IF(Lançamentos!$B316="","",Lançamentos!$B316)</f>
        <v/>
      </c>
      <c r="C321" s="460" t="str">
        <f>IF($B321="","",IFERROR(INDEX(Lançamentos!$J$3:$J$1001,MATCH($B321,Lançamentos!$B$3:$B$1001,0)),""))</f>
        <v/>
      </c>
      <c r="D321" s="461" t="str">
        <f>IF($B321="","",IFERROR(INDEX('E2 — Triagem'!$D$8:$D$507,MATCH($B321,'E2 — Triagem'!$B$8:$B$507,0)),""))</f>
        <v/>
      </c>
      <c r="E321" s="447"/>
      <c r="F321" s="447"/>
      <c r="G321" s="447"/>
      <c r="H321" s="447"/>
      <c r="I321" s="447"/>
      <c r="J321" s="447"/>
      <c r="K321" s="462" t="str">
        <f t="shared" si="20"/>
        <v/>
      </c>
      <c r="L321" s="448"/>
      <c r="M321" s="448"/>
      <c r="N321" s="447"/>
      <c r="O321" s="463" t="str">
        <f>IF(B321="","",IF(Lançamentos!D316="","",Lançamentos!D316))</f>
        <v/>
      </c>
      <c r="P321" s="209">
        <v>7</v>
      </c>
      <c r="Q321" s="464" t="str">
        <f t="shared" si="21"/>
        <v/>
      </c>
      <c r="R321" s="465"/>
      <c r="S321" s="466" t="str">
        <f t="shared" ca="1" si="22"/>
        <v/>
      </c>
      <c r="T321" s="461" t="str">
        <f t="shared" ca="1" si="23"/>
        <v/>
      </c>
      <c r="U321" s="449"/>
    </row>
    <row r="322" spans="2:21" x14ac:dyDescent="0.35">
      <c r="B322" s="459" t="str">
        <f>IF(Lançamentos!$B317="","",Lançamentos!$B317)</f>
        <v/>
      </c>
      <c r="C322" s="460" t="str">
        <f>IF($B322="","",IFERROR(INDEX(Lançamentos!$J$3:$J$1001,MATCH($B322,Lançamentos!$B$3:$B$1001,0)),""))</f>
        <v/>
      </c>
      <c r="D322" s="461" t="str">
        <f>IF($B322="","",IFERROR(INDEX('E2 — Triagem'!$D$8:$D$507,MATCH($B322,'E2 — Triagem'!$B$8:$B$507,0)),""))</f>
        <v/>
      </c>
      <c r="E322" s="447"/>
      <c r="F322" s="447"/>
      <c r="G322" s="447"/>
      <c r="H322" s="447"/>
      <c r="I322" s="447"/>
      <c r="J322" s="447"/>
      <c r="K322" s="462" t="str">
        <f t="shared" si="20"/>
        <v/>
      </c>
      <c r="L322" s="448"/>
      <c r="M322" s="448"/>
      <c r="N322" s="447"/>
      <c r="O322" s="463" t="str">
        <f>IF(B322="","",IF(Lançamentos!D317="","",Lançamentos!D317))</f>
        <v/>
      </c>
      <c r="P322" s="209">
        <v>7</v>
      </c>
      <c r="Q322" s="464" t="str">
        <f t="shared" si="21"/>
        <v/>
      </c>
      <c r="R322" s="465"/>
      <c r="S322" s="466" t="str">
        <f t="shared" ca="1" si="22"/>
        <v/>
      </c>
      <c r="T322" s="461" t="str">
        <f t="shared" ca="1" si="23"/>
        <v/>
      </c>
      <c r="U322" s="449"/>
    </row>
    <row r="323" spans="2:21" x14ac:dyDescent="0.35">
      <c r="B323" s="459" t="str">
        <f>IF(Lançamentos!$B318="","",Lançamentos!$B318)</f>
        <v/>
      </c>
      <c r="C323" s="460" t="str">
        <f>IF($B323="","",IFERROR(INDEX(Lançamentos!$J$3:$J$1001,MATCH($B323,Lançamentos!$B$3:$B$1001,0)),""))</f>
        <v/>
      </c>
      <c r="D323" s="461" t="str">
        <f>IF($B323="","",IFERROR(INDEX('E2 — Triagem'!$D$8:$D$507,MATCH($B323,'E2 — Triagem'!$B$8:$B$507,0)),""))</f>
        <v/>
      </c>
      <c r="E323" s="447"/>
      <c r="F323" s="447"/>
      <c r="G323" s="447"/>
      <c r="H323" s="447"/>
      <c r="I323" s="447"/>
      <c r="J323" s="447"/>
      <c r="K323" s="462" t="str">
        <f t="shared" si="20"/>
        <v/>
      </c>
      <c r="L323" s="448"/>
      <c r="M323" s="448"/>
      <c r="N323" s="447"/>
      <c r="O323" s="463" t="str">
        <f>IF(B323="","",IF(Lançamentos!D318="","",Lançamentos!D318))</f>
        <v/>
      </c>
      <c r="P323" s="209">
        <v>7</v>
      </c>
      <c r="Q323" s="464" t="str">
        <f t="shared" si="21"/>
        <v/>
      </c>
      <c r="R323" s="465"/>
      <c r="S323" s="466" t="str">
        <f t="shared" ca="1" si="22"/>
        <v/>
      </c>
      <c r="T323" s="461" t="str">
        <f t="shared" ca="1" si="23"/>
        <v/>
      </c>
      <c r="U323" s="449"/>
    </row>
    <row r="324" spans="2:21" x14ac:dyDescent="0.35">
      <c r="B324" s="459" t="str">
        <f>IF(Lançamentos!$B319="","",Lançamentos!$B319)</f>
        <v/>
      </c>
      <c r="C324" s="460" t="str">
        <f>IF($B324="","",IFERROR(INDEX(Lançamentos!$J$3:$J$1001,MATCH($B324,Lançamentos!$B$3:$B$1001,0)),""))</f>
        <v/>
      </c>
      <c r="D324" s="461" t="str">
        <f>IF($B324="","",IFERROR(INDEX('E2 — Triagem'!$D$8:$D$507,MATCH($B324,'E2 — Triagem'!$B$8:$B$507,0)),""))</f>
        <v/>
      </c>
      <c r="E324" s="447"/>
      <c r="F324" s="447"/>
      <c r="G324" s="447"/>
      <c r="H324" s="447"/>
      <c r="I324" s="447"/>
      <c r="J324" s="447"/>
      <c r="K324" s="462" t="str">
        <f t="shared" si="20"/>
        <v/>
      </c>
      <c r="L324" s="448"/>
      <c r="M324" s="448"/>
      <c r="N324" s="447"/>
      <c r="O324" s="463" t="str">
        <f>IF(B324="","",IF(Lançamentos!D319="","",Lançamentos!D319))</f>
        <v/>
      </c>
      <c r="P324" s="209">
        <v>7</v>
      </c>
      <c r="Q324" s="464" t="str">
        <f t="shared" si="21"/>
        <v/>
      </c>
      <c r="R324" s="465"/>
      <c r="S324" s="466" t="str">
        <f t="shared" ca="1" si="22"/>
        <v/>
      </c>
      <c r="T324" s="461" t="str">
        <f t="shared" ca="1" si="23"/>
        <v/>
      </c>
      <c r="U324" s="449"/>
    </row>
    <row r="325" spans="2:21" x14ac:dyDescent="0.35">
      <c r="B325" s="459" t="str">
        <f>IF(Lançamentos!$B320="","",Lançamentos!$B320)</f>
        <v/>
      </c>
      <c r="C325" s="460" t="str">
        <f>IF($B325="","",IFERROR(INDEX(Lançamentos!$J$3:$J$1001,MATCH($B325,Lançamentos!$B$3:$B$1001,0)),""))</f>
        <v/>
      </c>
      <c r="D325" s="461" t="str">
        <f>IF($B325="","",IFERROR(INDEX('E2 — Triagem'!$D$8:$D$507,MATCH($B325,'E2 — Triagem'!$B$8:$B$507,0)),""))</f>
        <v/>
      </c>
      <c r="E325" s="447"/>
      <c r="F325" s="447"/>
      <c r="G325" s="447"/>
      <c r="H325" s="447"/>
      <c r="I325" s="447"/>
      <c r="J325" s="447"/>
      <c r="K325" s="462" t="str">
        <f t="shared" si="20"/>
        <v/>
      </c>
      <c r="L325" s="448"/>
      <c r="M325" s="448"/>
      <c r="N325" s="447"/>
      <c r="O325" s="463" t="str">
        <f>IF(B325="","",IF(Lançamentos!D320="","",Lançamentos!D320))</f>
        <v/>
      </c>
      <c r="P325" s="209">
        <v>7</v>
      </c>
      <c r="Q325" s="464" t="str">
        <f t="shared" si="21"/>
        <v/>
      </c>
      <c r="R325" s="465"/>
      <c r="S325" s="466" t="str">
        <f t="shared" ca="1" si="22"/>
        <v/>
      </c>
      <c r="T325" s="461" t="str">
        <f t="shared" ca="1" si="23"/>
        <v/>
      </c>
      <c r="U325" s="449"/>
    </row>
    <row r="326" spans="2:21" x14ac:dyDescent="0.35">
      <c r="B326" s="459" t="str">
        <f>IF(Lançamentos!$B321="","",Lançamentos!$B321)</f>
        <v/>
      </c>
      <c r="C326" s="460" t="str">
        <f>IF($B326="","",IFERROR(INDEX(Lançamentos!$J$3:$J$1001,MATCH($B326,Lançamentos!$B$3:$B$1001,0)),""))</f>
        <v/>
      </c>
      <c r="D326" s="461" t="str">
        <f>IF($B326="","",IFERROR(INDEX('E2 — Triagem'!$D$8:$D$507,MATCH($B326,'E2 — Triagem'!$B$8:$B$507,0)),""))</f>
        <v/>
      </c>
      <c r="E326" s="447"/>
      <c r="F326" s="447"/>
      <c r="G326" s="447"/>
      <c r="H326" s="447"/>
      <c r="I326" s="447"/>
      <c r="J326" s="447"/>
      <c r="K326" s="462" t="str">
        <f t="shared" si="20"/>
        <v/>
      </c>
      <c r="L326" s="448"/>
      <c r="M326" s="448"/>
      <c r="N326" s="447"/>
      <c r="O326" s="463" t="str">
        <f>IF(B326="","",IF(Lançamentos!D321="","",Lançamentos!D321))</f>
        <v/>
      </c>
      <c r="P326" s="209">
        <v>7</v>
      </c>
      <c r="Q326" s="464" t="str">
        <f t="shared" si="21"/>
        <v/>
      </c>
      <c r="R326" s="465"/>
      <c r="S326" s="466" t="str">
        <f t="shared" ca="1" si="22"/>
        <v/>
      </c>
      <c r="T326" s="461" t="str">
        <f t="shared" ca="1" si="23"/>
        <v/>
      </c>
      <c r="U326" s="449"/>
    </row>
    <row r="327" spans="2:21" x14ac:dyDescent="0.35">
      <c r="B327" s="459" t="str">
        <f>IF(Lançamentos!$B322="","",Lançamentos!$B322)</f>
        <v/>
      </c>
      <c r="C327" s="460" t="str">
        <f>IF($B327="","",IFERROR(INDEX(Lançamentos!$J$3:$J$1001,MATCH($B327,Lançamentos!$B$3:$B$1001,0)),""))</f>
        <v/>
      </c>
      <c r="D327" s="461" t="str">
        <f>IF($B327="","",IFERROR(INDEX('E2 — Triagem'!$D$8:$D$507,MATCH($B327,'E2 — Triagem'!$B$8:$B$507,0)),""))</f>
        <v/>
      </c>
      <c r="E327" s="447"/>
      <c r="F327" s="447"/>
      <c r="G327" s="447"/>
      <c r="H327" s="447"/>
      <c r="I327" s="447"/>
      <c r="J327" s="447"/>
      <c r="K327" s="462" t="str">
        <f t="shared" si="20"/>
        <v/>
      </c>
      <c r="L327" s="448"/>
      <c r="M327" s="448"/>
      <c r="N327" s="447"/>
      <c r="O327" s="463" t="str">
        <f>IF(B327="","",IF(Lançamentos!D322="","",Lançamentos!D322))</f>
        <v/>
      </c>
      <c r="P327" s="209">
        <v>7</v>
      </c>
      <c r="Q327" s="464" t="str">
        <f t="shared" si="21"/>
        <v/>
      </c>
      <c r="R327" s="465"/>
      <c r="S327" s="466" t="str">
        <f t="shared" ca="1" si="22"/>
        <v/>
      </c>
      <c r="T327" s="461" t="str">
        <f t="shared" ca="1" si="23"/>
        <v/>
      </c>
      <c r="U327" s="449"/>
    </row>
    <row r="328" spans="2:21" x14ac:dyDescent="0.35">
      <c r="B328" s="459" t="str">
        <f>IF(Lançamentos!$B323="","",Lançamentos!$B323)</f>
        <v/>
      </c>
      <c r="C328" s="460" t="str">
        <f>IF($B328="","",IFERROR(INDEX(Lançamentos!$J$3:$J$1001,MATCH($B328,Lançamentos!$B$3:$B$1001,0)),""))</f>
        <v/>
      </c>
      <c r="D328" s="461" t="str">
        <f>IF($B328="","",IFERROR(INDEX('E2 — Triagem'!$D$8:$D$507,MATCH($B328,'E2 — Triagem'!$B$8:$B$507,0)),""))</f>
        <v/>
      </c>
      <c r="E328" s="447"/>
      <c r="F328" s="447"/>
      <c r="G328" s="447"/>
      <c r="H328" s="447"/>
      <c r="I328" s="447"/>
      <c r="J328" s="447"/>
      <c r="K328" s="462" t="str">
        <f t="shared" si="20"/>
        <v/>
      </c>
      <c r="L328" s="448"/>
      <c r="M328" s="448"/>
      <c r="N328" s="447"/>
      <c r="O328" s="463" t="str">
        <f>IF(B328="","",IF(Lançamentos!D323="","",Lançamentos!D323))</f>
        <v/>
      </c>
      <c r="P328" s="209">
        <v>7</v>
      </c>
      <c r="Q328" s="464" t="str">
        <f t="shared" si="21"/>
        <v/>
      </c>
      <c r="R328" s="465"/>
      <c r="S328" s="466" t="str">
        <f t="shared" ca="1" si="22"/>
        <v/>
      </c>
      <c r="T328" s="461" t="str">
        <f t="shared" ca="1" si="23"/>
        <v/>
      </c>
      <c r="U328" s="449"/>
    </row>
    <row r="329" spans="2:21" x14ac:dyDescent="0.35">
      <c r="B329" s="459" t="str">
        <f>IF(Lançamentos!$B324="","",Lançamentos!$B324)</f>
        <v/>
      </c>
      <c r="C329" s="460" t="str">
        <f>IF($B329="","",IFERROR(INDEX(Lançamentos!$J$3:$J$1001,MATCH($B329,Lançamentos!$B$3:$B$1001,0)),""))</f>
        <v/>
      </c>
      <c r="D329" s="461" t="str">
        <f>IF($B329="","",IFERROR(INDEX('E2 — Triagem'!$D$8:$D$507,MATCH($B329,'E2 — Triagem'!$B$8:$B$507,0)),""))</f>
        <v/>
      </c>
      <c r="E329" s="447"/>
      <c r="F329" s="447"/>
      <c r="G329" s="447"/>
      <c r="H329" s="447"/>
      <c r="I329" s="447"/>
      <c r="J329" s="447"/>
      <c r="K329" s="462" t="str">
        <f t="shared" si="20"/>
        <v/>
      </c>
      <c r="L329" s="448"/>
      <c r="M329" s="448"/>
      <c r="N329" s="447"/>
      <c r="O329" s="463" t="str">
        <f>IF(B329="","",IF(Lançamentos!D324="","",Lançamentos!D324))</f>
        <v/>
      </c>
      <c r="P329" s="209">
        <v>7</v>
      </c>
      <c r="Q329" s="464" t="str">
        <f t="shared" si="21"/>
        <v/>
      </c>
      <c r="R329" s="465"/>
      <c r="S329" s="466" t="str">
        <f t="shared" ca="1" si="22"/>
        <v/>
      </c>
      <c r="T329" s="461" t="str">
        <f t="shared" ca="1" si="23"/>
        <v/>
      </c>
      <c r="U329" s="449"/>
    </row>
    <row r="330" spans="2:21" x14ac:dyDescent="0.35">
      <c r="B330" s="459" t="str">
        <f>IF(Lançamentos!$B325="","",Lançamentos!$B325)</f>
        <v/>
      </c>
      <c r="C330" s="460" t="str">
        <f>IF($B330="","",IFERROR(INDEX(Lançamentos!$J$3:$J$1001,MATCH($B330,Lançamentos!$B$3:$B$1001,0)),""))</f>
        <v/>
      </c>
      <c r="D330" s="461" t="str">
        <f>IF($B330="","",IFERROR(INDEX('E2 — Triagem'!$D$8:$D$507,MATCH($B330,'E2 — Triagem'!$B$8:$B$507,0)),""))</f>
        <v/>
      </c>
      <c r="E330" s="447"/>
      <c r="F330" s="447"/>
      <c r="G330" s="447"/>
      <c r="H330" s="447"/>
      <c r="I330" s="447"/>
      <c r="J330" s="447"/>
      <c r="K330" s="462" t="str">
        <f t="shared" si="20"/>
        <v/>
      </c>
      <c r="L330" s="448"/>
      <c r="M330" s="448"/>
      <c r="N330" s="447"/>
      <c r="O330" s="463" t="str">
        <f>IF(B330="","",IF(Lançamentos!D325="","",Lançamentos!D325))</f>
        <v/>
      </c>
      <c r="P330" s="209">
        <v>7</v>
      </c>
      <c r="Q330" s="464" t="str">
        <f t="shared" si="21"/>
        <v/>
      </c>
      <c r="R330" s="465"/>
      <c r="S330" s="466" t="str">
        <f t="shared" ca="1" si="22"/>
        <v/>
      </c>
      <c r="T330" s="461" t="str">
        <f t="shared" ca="1" si="23"/>
        <v/>
      </c>
      <c r="U330" s="449"/>
    </row>
    <row r="331" spans="2:21" x14ac:dyDescent="0.35">
      <c r="B331" s="459" t="str">
        <f>IF(Lançamentos!$B326="","",Lançamentos!$B326)</f>
        <v/>
      </c>
      <c r="C331" s="460" t="str">
        <f>IF($B331="","",IFERROR(INDEX(Lançamentos!$J$3:$J$1001,MATCH($B331,Lançamentos!$B$3:$B$1001,0)),""))</f>
        <v/>
      </c>
      <c r="D331" s="461" t="str">
        <f>IF($B331="","",IFERROR(INDEX('E2 — Triagem'!$D$8:$D$507,MATCH($B331,'E2 — Triagem'!$B$8:$B$507,0)),""))</f>
        <v/>
      </c>
      <c r="E331" s="447"/>
      <c r="F331" s="447"/>
      <c r="G331" s="447"/>
      <c r="H331" s="447"/>
      <c r="I331" s="447"/>
      <c r="J331" s="447"/>
      <c r="K331" s="462" t="str">
        <f t="shared" si="20"/>
        <v/>
      </c>
      <c r="L331" s="448"/>
      <c r="M331" s="448"/>
      <c r="N331" s="447"/>
      <c r="O331" s="463" t="str">
        <f>IF(B331="","",IF(Lançamentos!D326="","",Lançamentos!D326))</f>
        <v/>
      </c>
      <c r="P331" s="209">
        <v>7</v>
      </c>
      <c r="Q331" s="464" t="str">
        <f t="shared" si="21"/>
        <v/>
      </c>
      <c r="R331" s="465"/>
      <c r="S331" s="466" t="str">
        <f t="shared" ca="1" si="22"/>
        <v/>
      </c>
      <c r="T331" s="461" t="str">
        <f t="shared" ca="1" si="23"/>
        <v/>
      </c>
      <c r="U331" s="449"/>
    </row>
    <row r="332" spans="2:21" x14ac:dyDescent="0.35">
      <c r="B332" s="459" t="str">
        <f>IF(Lançamentos!$B327="","",Lançamentos!$B327)</f>
        <v/>
      </c>
      <c r="C332" s="460" t="str">
        <f>IF($B332="","",IFERROR(INDEX(Lançamentos!$J$3:$J$1001,MATCH($B332,Lançamentos!$B$3:$B$1001,0)),""))</f>
        <v/>
      </c>
      <c r="D332" s="461" t="str">
        <f>IF($B332="","",IFERROR(INDEX('E2 — Triagem'!$D$8:$D$507,MATCH($B332,'E2 — Triagem'!$B$8:$B$507,0)),""))</f>
        <v/>
      </c>
      <c r="E332" s="447"/>
      <c r="F332" s="447"/>
      <c r="G332" s="447"/>
      <c r="H332" s="447"/>
      <c r="I332" s="447"/>
      <c r="J332" s="447"/>
      <c r="K332" s="462" t="str">
        <f t="shared" si="20"/>
        <v/>
      </c>
      <c r="L332" s="448"/>
      <c r="M332" s="448"/>
      <c r="N332" s="447"/>
      <c r="O332" s="463" t="str">
        <f>IF(B332="","",IF(Lançamentos!D327="","",Lançamentos!D327))</f>
        <v/>
      </c>
      <c r="P332" s="209">
        <v>7</v>
      </c>
      <c r="Q332" s="464" t="str">
        <f t="shared" si="21"/>
        <v/>
      </c>
      <c r="R332" s="465"/>
      <c r="S332" s="466" t="str">
        <f t="shared" ca="1" si="22"/>
        <v/>
      </c>
      <c r="T332" s="461" t="str">
        <f t="shared" ca="1" si="23"/>
        <v/>
      </c>
      <c r="U332" s="449"/>
    </row>
    <row r="333" spans="2:21" x14ac:dyDescent="0.35">
      <c r="B333" s="459" t="str">
        <f>IF(Lançamentos!$B328="","",Lançamentos!$B328)</f>
        <v/>
      </c>
      <c r="C333" s="460" t="str">
        <f>IF($B333="","",IFERROR(INDEX(Lançamentos!$J$3:$J$1001,MATCH($B333,Lançamentos!$B$3:$B$1001,0)),""))</f>
        <v/>
      </c>
      <c r="D333" s="461" t="str">
        <f>IF($B333="","",IFERROR(INDEX('E2 — Triagem'!$D$8:$D$507,MATCH($B333,'E2 — Triagem'!$B$8:$B$507,0)),""))</f>
        <v/>
      </c>
      <c r="E333" s="447"/>
      <c r="F333" s="447"/>
      <c r="G333" s="447"/>
      <c r="H333" s="447"/>
      <c r="I333" s="447"/>
      <c r="J333" s="447"/>
      <c r="K333" s="462" t="str">
        <f t="shared" si="20"/>
        <v/>
      </c>
      <c r="L333" s="448"/>
      <c r="M333" s="448"/>
      <c r="N333" s="447"/>
      <c r="O333" s="463" t="str">
        <f>IF(B333="","",IF(Lançamentos!D328="","",Lançamentos!D328))</f>
        <v/>
      </c>
      <c r="P333" s="209">
        <v>7</v>
      </c>
      <c r="Q333" s="464" t="str">
        <f t="shared" si="21"/>
        <v/>
      </c>
      <c r="R333" s="465"/>
      <c r="S333" s="466" t="str">
        <f t="shared" ca="1" si="22"/>
        <v/>
      </c>
      <c r="T333" s="461" t="str">
        <f t="shared" ca="1" si="23"/>
        <v/>
      </c>
      <c r="U333" s="449"/>
    </row>
    <row r="334" spans="2:21" x14ac:dyDescent="0.35">
      <c r="B334" s="459" t="str">
        <f>IF(Lançamentos!$B329="","",Lançamentos!$B329)</f>
        <v/>
      </c>
      <c r="C334" s="460" t="str">
        <f>IF($B334="","",IFERROR(INDEX(Lançamentos!$J$3:$J$1001,MATCH($B334,Lançamentos!$B$3:$B$1001,0)),""))</f>
        <v/>
      </c>
      <c r="D334" s="461" t="str">
        <f>IF($B334="","",IFERROR(INDEX('E2 — Triagem'!$D$8:$D$507,MATCH($B334,'E2 — Triagem'!$B$8:$B$507,0)),""))</f>
        <v/>
      </c>
      <c r="E334" s="447"/>
      <c r="F334" s="447"/>
      <c r="G334" s="447"/>
      <c r="H334" s="447"/>
      <c r="I334" s="447"/>
      <c r="J334" s="447"/>
      <c r="K334" s="462" t="str">
        <f t="shared" si="20"/>
        <v/>
      </c>
      <c r="L334" s="448"/>
      <c r="M334" s="448"/>
      <c r="N334" s="447"/>
      <c r="O334" s="463" t="str">
        <f>IF(B334="","",IF(Lançamentos!D329="","",Lançamentos!D329))</f>
        <v/>
      </c>
      <c r="P334" s="209">
        <v>7</v>
      </c>
      <c r="Q334" s="464" t="str">
        <f t="shared" si="21"/>
        <v/>
      </c>
      <c r="R334" s="465"/>
      <c r="S334" s="466" t="str">
        <f t="shared" ca="1" si="22"/>
        <v/>
      </c>
      <c r="T334" s="461" t="str">
        <f t="shared" ca="1" si="23"/>
        <v/>
      </c>
      <c r="U334" s="449"/>
    </row>
    <row r="335" spans="2:21" x14ac:dyDescent="0.35">
      <c r="B335" s="459" t="str">
        <f>IF(Lançamentos!$B330="","",Lançamentos!$B330)</f>
        <v/>
      </c>
      <c r="C335" s="460" t="str">
        <f>IF($B335="","",IFERROR(INDEX(Lançamentos!$J$3:$J$1001,MATCH($B335,Lançamentos!$B$3:$B$1001,0)),""))</f>
        <v/>
      </c>
      <c r="D335" s="461" t="str">
        <f>IF($B335="","",IFERROR(INDEX('E2 — Triagem'!$D$8:$D$507,MATCH($B335,'E2 — Triagem'!$B$8:$B$507,0)),""))</f>
        <v/>
      </c>
      <c r="E335" s="447"/>
      <c r="F335" s="447"/>
      <c r="G335" s="447"/>
      <c r="H335" s="447"/>
      <c r="I335" s="447"/>
      <c r="J335" s="447"/>
      <c r="K335" s="462" t="str">
        <f t="shared" si="20"/>
        <v/>
      </c>
      <c r="L335" s="448"/>
      <c r="M335" s="448"/>
      <c r="N335" s="447"/>
      <c r="O335" s="463" t="str">
        <f>IF(B335="","",IF(Lançamentos!D330="","",Lançamentos!D330))</f>
        <v/>
      </c>
      <c r="P335" s="209">
        <v>7</v>
      </c>
      <c r="Q335" s="464" t="str">
        <f t="shared" si="21"/>
        <v/>
      </c>
      <c r="R335" s="465"/>
      <c r="S335" s="466" t="str">
        <f t="shared" ca="1" si="22"/>
        <v/>
      </c>
      <c r="T335" s="461" t="str">
        <f t="shared" ca="1" si="23"/>
        <v/>
      </c>
      <c r="U335" s="449"/>
    </row>
    <row r="336" spans="2:21" x14ac:dyDescent="0.35">
      <c r="B336" s="459" t="str">
        <f>IF(Lançamentos!$B331="","",Lançamentos!$B331)</f>
        <v/>
      </c>
      <c r="C336" s="460" t="str">
        <f>IF($B336="","",IFERROR(INDEX(Lançamentos!$J$3:$J$1001,MATCH($B336,Lançamentos!$B$3:$B$1001,0)),""))</f>
        <v/>
      </c>
      <c r="D336" s="461" t="str">
        <f>IF($B336="","",IFERROR(INDEX('E2 — Triagem'!$D$8:$D$507,MATCH($B336,'E2 — Triagem'!$B$8:$B$507,0)),""))</f>
        <v/>
      </c>
      <c r="E336" s="447"/>
      <c r="F336" s="447"/>
      <c r="G336" s="447"/>
      <c r="H336" s="447"/>
      <c r="I336" s="447"/>
      <c r="J336" s="447"/>
      <c r="K336" s="462" t="str">
        <f t="shared" ref="K336:K399" si="24">IF(B336="","",IF(COUNTIF(E336:J336,"N/A")=6,0,COUNTIF(E336:J336,"✔ Concluído")/(6-COUNTIF(E336:J336,"N/A"))))</f>
        <v/>
      </c>
      <c r="L336" s="448"/>
      <c r="M336" s="448"/>
      <c r="N336" s="447"/>
      <c r="O336" s="463" t="str">
        <f>IF(B336="","",IF(Lançamentos!D331="","",Lançamentos!D331))</f>
        <v/>
      </c>
      <c r="P336" s="209">
        <v>7</v>
      </c>
      <c r="Q336" s="464" t="str">
        <f t="shared" ref="Q336:Q399" si="25">IF(OR(O336="",P336=""),"",O336+P336)</f>
        <v/>
      </c>
      <c r="R336" s="465"/>
      <c r="S336" s="466" t="str">
        <f t="shared" ref="S336:S399" ca="1" si="26">IF(O336="","",MAX(0,IF(R336&lt;&gt;"",R336-O336,TODAY()-O336)))</f>
        <v/>
      </c>
      <c r="T336" s="461" t="str">
        <f t="shared" ref="T336:T399" ca="1" si="27">IF(B336="","",IF(R336&lt;&gt;"","✅ Encerrado",IF(O336="","",IF(TODAY()&gt;Q336,"🔴 Hypercare Atrasado",IF(TODAY()&gt;=Q336-2,"🟡 Próximo do Encerramento","🟢 Dentro do Período")))))</f>
        <v/>
      </c>
      <c r="U336" s="449"/>
    </row>
    <row r="337" spans="2:21" x14ac:dyDescent="0.35">
      <c r="B337" s="459" t="str">
        <f>IF(Lançamentos!$B332="","",Lançamentos!$B332)</f>
        <v/>
      </c>
      <c r="C337" s="460" t="str">
        <f>IF($B337="","",IFERROR(INDEX(Lançamentos!$J$3:$J$1001,MATCH($B337,Lançamentos!$B$3:$B$1001,0)),""))</f>
        <v/>
      </c>
      <c r="D337" s="461" t="str">
        <f>IF($B337="","",IFERROR(INDEX('E2 — Triagem'!$D$8:$D$507,MATCH($B337,'E2 — Triagem'!$B$8:$B$507,0)),""))</f>
        <v/>
      </c>
      <c r="E337" s="447"/>
      <c r="F337" s="447"/>
      <c r="G337" s="447"/>
      <c r="H337" s="447"/>
      <c r="I337" s="447"/>
      <c r="J337" s="447"/>
      <c r="K337" s="462" t="str">
        <f t="shared" si="24"/>
        <v/>
      </c>
      <c r="L337" s="448"/>
      <c r="M337" s="448"/>
      <c r="N337" s="447"/>
      <c r="O337" s="463" t="str">
        <f>IF(B337="","",IF(Lançamentos!D332="","",Lançamentos!D332))</f>
        <v/>
      </c>
      <c r="P337" s="209">
        <v>7</v>
      </c>
      <c r="Q337" s="464" t="str">
        <f t="shared" si="25"/>
        <v/>
      </c>
      <c r="R337" s="465"/>
      <c r="S337" s="466" t="str">
        <f t="shared" ca="1" si="26"/>
        <v/>
      </c>
      <c r="T337" s="461" t="str">
        <f t="shared" ca="1" si="27"/>
        <v/>
      </c>
      <c r="U337" s="449"/>
    </row>
    <row r="338" spans="2:21" x14ac:dyDescent="0.35">
      <c r="B338" s="459" t="str">
        <f>IF(Lançamentos!$B333="","",Lançamentos!$B333)</f>
        <v/>
      </c>
      <c r="C338" s="460" t="str">
        <f>IF($B338="","",IFERROR(INDEX(Lançamentos!$J$3:$J$1001,MATCH($B338,Lançamentos!$B$3:$B$1001,0)),""))</f>
        <v/>
      </c>
      <c r="D338" s="461" t="str">
        <f>IF($B338="","",IFERROR(INDEX('E2 — Triagem'!$D$8:$D$507,MATCH($B338,'E2 — Triagem'!$B$8:$B$507,0)),""))</f>
        <v/>
      </c>
      <c r="E338" s="447"/>
      <c r="F338" s="447"/>
      <c r="G338" s="447"/>
      <c r="H338" s="447"/>
      <c r="I338" s="447"/>
      <c r="J338" s="447"/>
      <c r="K338" s="462" t="str">
        <f t="shared" si="24"/>
        <v/>
      </c>
      <c r="L338" s="448"/>
      <c r="M338" s="448"/>
      <c r="N338" s="447"/>
      <c r="O338" s="463" t="str">
        <f>IF(B338="","",IF(Lançamentos!D333="","",Lançamentos!D333))</f>
        <v/>
      </c>
      <c r="P338" s="209">
        <v>7</v>
      </c>
      <c r="Q338" s="464" t="str">
        <f t="shared" si="25"/>
        <v/>
      </c>
      <c r="R338" s="465"/>
      <c r="S338" s="466" t="str">
        <f t="shared" ca="1" si="26"/>
        <v/>
      </c>
      <c r="T338" s="461" t="str">
        <f t="shared" ca="1" si="27"/>
        <v/>
      </c>
      <c r="U338" s="449"/>
    </row>
    <row r="339" spans="2:21" x14ac:dyDescent="0.35">
      <c r="B339" s="459" t="str">
        <f>IF(Lançamentos!$B334="","",Lançamentos!$B334)</f>
        <v/>
      </c>
      <c r="C339" s="460" t="str">
        <f>IF($B339="","",IFERROR(INDEX(Lançamentos!$J$3:$J$1001,MATCH($B339,Lançamentos!$B$3:$B$1001,0)),""))</f>
        <v/>
      </c>
      <c r="D339" s="461" t="str">
        <f>IF($B339="","",IFERROR(INDEX('E2 — Triagem'!$D$8:$D$507,MATCH($B339,'E2 — Triagem'!$B$8:$B$507,0)),""))</f>
        <v/>
      </c>
      <c r="E339" s="447"/>
      <c r="F339" s="447"/>
      <c r="G339" s="447"/>
      <c r="H339" s="447"/>
      <c r="I339" s="447"/>
      <c r="J339" s="447"/>
      <c r="K339" s="462" t="str">
        <f t="shared" si="24"/>
        <v/>
      </c>
      <c r="L339" s="448"/>
      <c r="M339" s="448"/>
      <c r="N339" s="447"/>
      <c r="O339" s="463" t="str">
        <f>IF(B339="","",IF(Lançamentos!D334="","",Lançamentos!D334))</f>
        <v/>
      </c>
      <c r="P339" s="209">
        <v>7</v>
      </c>
      <c r="Q339" s="464" t="str">
        <f t="shared" si="25"/>
        <v/>
      </c>
      <c r="R339" s="465"/>
      <c r="S339" s="466" t="str">
        <f t="shared" ca="1" si="26"/>
        <v/>
      </c>
      <c r="T339" s="461" t="str">
        <f t="shared" ca="1" si="27"/>
        <v/>
      </c>
      <c r="U339" s="449"/>
    </row>
    <row r="340" spans="2:21" x14ac:dyDescent="0.35">
      <c r="B340" s="459" t="str">
        <f>IF(Lançamentos!$B335="","",Lançamentos!$B335)</f>
        <v/>
      </c>
      <c r="C340" s="460" t="str">
        <f>IF($B340="","",IFERROR(INDEX(Lançamentos!$J$3:$J$1001,MATCH($B340,Lançamentos!$B$3:$B$1001,0)),""))</f>
        <v/>
      </c>
      <c r="D340" s="461" t="str">
        <f>IF($B340="","",IFERROR(INDEX('E2 — Triagem'!$D$8:$D$507,MATCH($B340,'E2 — Triagem'!$B$8:$B$507,0)),""))</f>
        <v/>
      </c>
      <c r="E340" s="447"/>
      <c r="F340" s="447"/>
      <c r="G340" s="447"/>
      <c r="H340" s="447"/>
      <c r="I340" s="447"/>
      <c r="J340" s="447"/>
      <c r="K340" s="462" t="str">
        <f t="shared" si="24"/>
        <v/>
      </c>
      <c r="L340" s="448"/>
      <c r="M340" s="448"/>
      <c r="N340" s="447"/>
      <c r="O340" s="463" t="str">
        <f>IF(B340="","",IF(Lançamentos!D335="","",Lançamentos!D335))</f>
        <v/>
      </c>
      <c r="P340" s="209">
        <v>7</v>
      </c>
      <c r="Q340" s="464" t="str">
        <f t="shared" si="25"/>
        <v/>
      </c>
      <c r="R340" s="465"/>
      <c r="S340" s="466" t="str">
        <f t="shared" ca="1" si="26"/>
        <v/>
      </c>
      <c r="T340" s="461" t="str">
        <f t="shared" ca="1" si="27"/>
        <v/>
      </c>
      <c r="U340" s="449"/>
    </row>
    <row r="341" spans="2:21" x14ac:dyDescent="0.35">
      <c r="B341" s="459" t="str">
        <f>IF(Lançamentos!$B336="","",Lançamentos!$B336)</f>
        <v/>
      </c>
      <c r="C341" s="460" t="str">
        <f>IF($B341="","",IFERROR(INDEX(Lançamentos!$J$3:$J$1001,MATCH($B341,Lançamentos!$B$3:$B$1001,0)),""))</f>
        <v/>
      </c>
      <c r="D341" s="461" t="str">
        <f>IF($B341="","",IFERROR(INDEX('E2 — Triagem'!$D$8:$D$507,MATCH($B341,'E2 — Triagem'!$B$8:$B$507,0)),""))</f>
        <v/>
      </c>
      <c r="E341" s="447"/>
      <c r="F341" s="447"/>
      <c r="G341" s="447"/>
      <c r="H341" s="447"/>
      <c r="I341" s="447"/>
      <c r="J341" s="447"/>
      <c r="K341" s="462" t="str">
        <f t="shared" si="24"/>
        <v/>
      </c>
      <c r="L341" s="448"/>
      <c r="M341" s="448"/>
      <c r="N341" s="447"/>
      <c r="O341" s="463" t="str">
        <f>IF(B341="","",IF(Lançamentos!D336="","",Lançamentos!D336))</f>
        <v/>
      </c>
      <c r="P341" s="209">
        <v>7</v>
      </c>
      <c r="Q341" s="464" t="str">
        <f t="shared" si="25"/>
        <v/>
      </c>
      <c r="R341" s="465"/>
      <c r="S341" s="466" t="str">
        <f t="shared" ca="1" si="26"/>
        <v/>
      </c>
      <c r="T341" s="461" t="str">
        <f t="shared" ca="1" si="27"/>
        <v/>
      </c>
      <c r="U341" s="449"/>
    </row>
    <row r="342" spans="2:21" x14ac:dyDescent="0.35">
      <c r="B342" s="459" t="str">
        <f>IF(Lançamentos!$B337="","",Lançamentos!$B337)</f>
        <v/>
      </c>
      <c r="C342" s="460" t="str">
        <f>IF($B342="","",IFERROR(INDEX(Lançamentos!$J$3:$J$1001,MATCH($B342,Lançamentos!$B$3:$B$1001,0)),""))</f>
        <v/>
      </c>
      <c r="D342" s="461" t="str">
        <f>IF($B342="","",IFERROR(INDEX('E2 — Triagem'!$D$8:$D$507,MATCH($B342,'E2 — Triagem'!$B$8:$B$507,0)),""))</f>
        <v/>
      </c>
      <c r="E342" s="447"/>
      <c r="F342" s="447"/>
      <c r="G342" s="447"/>
      <c r="H342" s="447"/>
      <c r="I342" s="447"/>
      <c r="J342" s="447"/>
      <c r="K342" s="462" t="str">
        <f t="shared" si="24"/>
        <v/>
      </c>
      <c r="L342" s="448"/>
      <c r="M342" s="448"/>
      <c r="N342" s="447"/>
      <c r="O342" s="463" t="str">
        <f>IF(B342="","",IF(Lançamentos!D337="","",Lançamentos!D337))</f>
        <v/>
      </c>
      <c r="P342" s="209">
        <v>7</v>
      </c>
      <c r="Q342" s="464" t="str">
        <f t="shared" si="25"/>
        <v/>
      </c>
      <c r="R342" s="465"/>
      <c r="S342" s="466" t="str">
        <f t="shared" ca="1" si="26"/>
        <v/>
      </c>
      <c r="T342" s="461" t="str">
        <f t="shared" ca="1" si="27"/>
        <v/>
      </c>
      <c r="U342" s="449"/>
    </row>
    <row r="343" spans="2:21" x14ac:dyDescent="0.35">
      <c r="B343" s="459" t="str">
        <f>IF(Lançamentos!$B338="","",Lançamentos!$B338)</f>
        <v/>
      </c>
      <c r="C343" s="460" t="str">
        <f>IF($B343="","",IFERROR(INDEX(Lançamentos!$J$3:$J$1001,MATCH($B343,Lançamentos!$B$3:$B$1001,0)),""))</f>
        <v/>
      </c>
      <c r="D343" s="461" t="str">
        <f>IF($B343="","",IFERROR(INDEX('E2 — Triagem'!$D$8:$D$507,MATCH($B343,'E2 — Triagem'!$B$8:$B$507,0)),""))</f>
        <v/>
      </c>
      <c r="E343" s="447"/>
      <c r="F343" s="447"/>
      <c r="G343" s="447"/>
      <c r="H343" s="447"/>
      <c r="I343" s="447"/>
      <c r="J343" s="447"/>
      <c r="K343" s="462" t="str">
        <f t="shared" si="24"/>
        <v/>
      </c>
      <c r="L343" s="448"/>
      <c r="M343" s="448"/>
      <c r="N343" s="447"/>
      <c r="O343" s="463" t="str">
        <f>IF(B343="","",IF(Lançamentos!D338="","",Lançamentos!D338))</f>
        <v/>
      </c>
      <c r="P343" s="209">
        <v>7</v>
      </c>
      <c r="Q343" s="464" t="str">
        <f t="shared" si="25"/>
        <v/>
      </c>
      <c r="R343" s="465"/>
      <c r="S343" s="466" t="str">
        <f t="shared" ca="1" si="26"/>
        <v/>
      </c>
      <c r="T343" s="461" t="str">
        <f t="shared" ca="1" si="27"/>
        <v/>
      </c>
      <c r="U343" s="449"/>
    </row>
    <row r="344" spans="2:21" x14ac:dyDescent="0.35">
      <c r="B344" s="459" t="str">
        <f>IF(Lançamentos!$B339="","",Lançamentos!$B339)</f>
        <v/>
      </c>
      <c r="C344" s="460" t="str">
        <f>IF($B344="","",IFERROR(INDEX(Lançamentos!$J$3:$J$1001,MATCH($B344,Lançamentos!$B$3:$B$1001,0)),""))</f>
        <v/>
      </c>
      <c r="D344" s="461" t="str">
        <f>IF($B344="","",IFERROR(INDEX('E2 — Triagem'!$D$8:$D$507,MATCH($B344,'E2 — Triagem'!$B$8:$B$507,0)),""))</f>
        <v/>
      </c>
      <c r="E344" s="447"/>
      <c r="F344" s="447"/>
      <c r="G344" s="447"/>
      <c r="H344" s="447"/>
      <c r="I344" s="447"/>
      <c r="J344" s="447"/>
      <c r="K344" s="462" t="str">
        <f t="shared" si="24"/>
        <v/>
      </c>
      <c r="L344" s="448"/>
      <c r="M344" s="448"/>
      <c r="N344" s="447"/>
      <c r="O344" s="463" t="str">
        <f>IF(B344="","",IF(Lançamentos!D339="","",Lançamentos!D339))</f>
        <v/>
      </c>
      <c r="P344" s="209">
        <v>7</v>
      </c>
      <c r="Q344" s="464" t="str">
        <f t="shared" si="25"/>
        <v/>
      </c>
      <c r="R344" s="465"/>
      <c r="S344" s="466" t="str">
        <f t="shared" ca="1" si="26"/>
        <v/>
      </c>
      <c r="T344" s="461" t="str">
        <f t="shared" ca="1" si="27"/>
        <v/>
      </c>
      <c r="U344" s="449"/>
    </row>
    <row r="345" spans="2:21" x14ac:dyDescent="0.35">
      <c r="B345" s="459" t="str">
        <f>IF(Lançamentos!$B340="","",Lançamentos!$B340)</f>
        <v/>
      </c>
      <c r="C345" s="460" t="str">
        <f>IF($B345="","",IFERROR(INDEX(Lançamentos!$J$3:$J$1001,MATCH($B345,Lançamentos!$B$3:$B$1001,0)),""))</f>
        <v/>
      </c>
      <c r="D345" s="461" t="str">
        <f>IF($B345="","",IFERROR(INDEX('E2 — Triagem'!$D$8:$D$507,MATCH($B345,'E2 — Triagem'!$B$8:$B$507,0)),""))</f>
        <v/>
      </c>
      <c r="E345" s="447"/>
      <c r="F345" s="447"/>
      <c r="G345" s="447"/>
      <c r="H345" s="447"/>
      <c r="I345" s="447"/>
      <c r="J345" s="447"/>
      <c r="K345" s="462" t="str">
        <f t="shared" si="24"/>
        <v/>
      </c>
      <c r="L345" s="448"/>
      <c r="M345" s="448"/>
      <c r="N345" s="447"/>
      <c r="O345" s="463" t="str">
        <f>IF(B345="","",IF(Lançamentos!D340="","",Lançamentos!D340))</f>
        <v/>
      </c>
      <c r="P345" s="209">
        <v>7</v>
      </c>
      <c r="Q345" s="464" t="str">
        <f t="shared" si="25"/>
        <v/>
      </c>
      <c r="R345" s="465"/>
      <c r="S345" s="466" t="str">
        <f t="shared" ca="1" si="26"/>
        <v/>
      </c>
      <c r="T345" s="461" t="str">
        <f t="shared" ca="1" si="27"/>
        <v/>
      </c>
      <c r="U345" s="449"/>
    </row>
    <row r="346" spans="2:21" x14ac:dyDescent="0.35">
      <c r="B346" s="459" t="str">
        <f>IF(Lançamentos!$B341="","",Lançamentos!$B341)</f>
        <v/>
      </c>
      <c r="C346" s="460" t="str">
        <f>IF($B346="","",IFERROR(INDEX(Lançamentos!$J$3:$J$1001,MATCH($B346,Lançamentos!$B$3:$B$1001,0)),""))</f>
        <v/>
      </c>
      <c r="D346" s="461" t="str">
        <f>IF($B346="","",IFERROR(INDEX('E2 — Triagem'!$D$8:$D$507,MATCH($B346,'E2 — Triagem'!$B$8:$B$507,0)),""))</f>
        <v/>
      </c>
      <c r="E346" s="447"/>
      <c r="F346" s="447"/>
      <c r="G346" s="447"/>
      <c r="H346" s="447"/>
      <c r="I346" s="447"/>
      <c r="J346" s="447"/>
      <c r="K346" s="462" t="str">
        <f t="shared" si="24"/>
        <v/>
      </c>
      <c r="L346" s="448"/>
      <c r="M346" s="448"/>
      <c r="N346" s="447"/>
      <c r="O346" s="463" t="str">
        <f>IF(B346="","",IF(Lançamentos!D341="","",Lançamentos!D341))</f>
        <v/>
      </c>
      <c r="P346" s="209">
        <v>7</v>
      </c>
      <c r="Q346" s="464" t="str">
        <f t="shared" si="25"/>
        <v/>
      </c>
      <c r="R346" s="465"/>
      <c r="S346" s="466" t="str">
        <f t="shared" ca="1" si="26"/>
        <v/>
      </c>
      <c r="T346" s="461" t="str">
        <f t="shared" ca="1" si="27"/>
        <v/>
      </c>
      <c r="U346" s="449"/>
    </row>
    <row r="347" spans="2:21" x14ac:dyDescent="0.35">
      <c r="B347" s="459" t="str">
        <f>IF(Lançamentos!$B342="","",Lançamentos!$B342)</f>
        <v/>
      </c>
      <c r="C347" s="460" t="str">
        <f>IF($B347="","",IFERROR(INDEX(Lançamentos!$J$3:$J$1001,MATCH($B347,Lançamentos!$B$3:$B$1001,0)),""))</f>
        <v/>
      </c>
      <c r="D347" s="461" t="str">
        <f>IF($B347="","",IFERROR(INDEX('E2 — Triagem'!$D$8:$D$507,MATCH($B347,'E2 — Triagem'!$B$8:$B$507,0)),""))</f>
        <v/>
      </c>
      <c r="E347" s="447"/>
      <c r="F347" s="447"/>
      <c r="G347" s="447"/>
      <c r="H347" s="447"/>
      <c r="I347" s="447"/>
      <c r="J347" s="447"/>
      <c r="K347" s="462" t="str">
        <f t="shared" si="24"/>
        <v/>
      </c>
      <c r="L347" s="448"/>
      <c r="M347" s="448"/>
      <c r="N347" s="447"/>
      <c r="O347" s="463" t="str">
        <f>IF(B347="","",IF(Lançamentos!D342="","",Lançamentos!D342))</f>
        <v/>
      </c>
      <c r="P347" s="209">
        <v>7</v>
      </c>
      <c r="Q347" s="464" t="str">
        <f t="shared" si="25"/>
        <v/>
      </c>
      <c r="R347" s="465"/>
      <c r="S347" s="466" t="str">
        <f t="shared" ca="1" si="26"/>
        <v/>
      </c>
      <c r="T347" s="461" t="str">
        <f t="shared" ca="1" si="27"/>
        <v/>
      </c>
      <c r="U347" s="449"/>
    </row>
    <row r="348" spans="2:21" x14ac:dyDescent="0.35">
      <c r="B348" s="459" t="str">
        <f>IF(Lançamentos!$B343="","",Lançamentos!$B343)</f>
        <v/>
      </c>
      <c r="C348" s="460" t="str">
        <f>IF($B348="","",IFERROR(INDEX(Lançamentos!$J$3:$J$1001,MATCH($B348,Lançamentos!$B$3:$B$1001,0)),""))</f>
        <v/>
      </c>
      <c r="D348" s="461" t="str">
        <f>IF($B348="","",IFERROR(INDEX('E2 — Triagem'!$D$8:$D$507,MATCH($B348,'E2 — Triagem'!$B$8:$B$507,0)),""))</f>
        <v/>
      </c>
      <c r="E348" s="447"/>
      <c r="F348" s="447"/>
      <c r="G348" s="447"/>
      <c r="H348" s="447"/>
      <c r="I348" s="447"/>
      <c r="J348" s="447"/>
      <c r="K348" s="462" t="str">
        <f t="shared" si="24"/>
        <v/>
      </c>
      <c r="L348" s="448"/>
      <c r="M348" s="448"/>
      <c r="N348" s="447"/>
      <c r="O348" s="463" t="str">
        <f>IF(B348="","",IF(Lançamentos!D343="","",Lançamentos!D343))</f>
        <v/>
      </c>
      <c r="P348" s="209">
        <v>7</v>
      </c>
      <c r="Q348" s="464" t="str">
        <f t="shared" si="25"/>
        <v/>
      </c>
      <c r="R348" s="465"/>
      <c r="S348" s="466" t="str">
        <f t="shared" ca="1" si="26"/>
        <v/>
      </c>
      <c r="T348" s="461" t="str">
        <f t="shared" ca="1" si="27"/>
        <v/>
      </c>
      <c r="U348" s="449"/>
    </row>
    <row r="349" spans="2:21" x14ac:dyDescent="0.35">
      <c r="B349" s="459" t="str">
        <f>IF(Lançamentos!$B344="","",Lançamentos!$B344)</f>
        <v/>
      </c>
      <c r="C349" s="460" t="str">
        <f>IF($B349="","",IFERROR(INDEX(Lançamentos!$J$3:$J$1001,MATCH($B349,Lançamentos!$B$3:$B$1001,0)),""))</f>
        <v/>
      </c>
      <c r="D349" s="461" t="str">
        <f>IF($B349="","",IFERROR(INDEX('E2 — Triagem'!$D$8:$D$507,MATCH($B349,'E2 — Triagem'!$B$8:$B$507,0)),""))</f>
        <v/>
      </c>
      <c r="E349" s="447"/>
      <c r="F349" s="447"/>
      <c r="G349" s="447"/>
      <c r="H349" s="447"/>
      <c r="I349" s="447"/>
      <c r="J349" s="447"/>
      <c r="K349" s="462" t="str">
        <f t="shared" si="24"/>
        <v/>
      </c>
      <c r="L349" s="448"/>
      <c r="M349" s="448"/>
      <c r="N349" s="447"/>
      <c r="O349" s="463" t="str">
        <f>IF(B349="","",IF(Lançamentos!D344="","",Lançamentos!D344))</f>
        <v/>
      </c>
      <c r="P349" s="209">
        <v>7</v>
      </c>
      <c r="Q349" s="464" t="str">
        <f t="shared" si="25"/>
        <v/>
      </c>
      <c r="R349" s="465"/>
      <c r="S349" s="466" t="str">
        <f t="shared" ca="1" si="26"/>
        <v/>
      </c>
      <c r="T349" s="461" t="str">
        <f t="shared" ca="1" si="27"/>
        <v/>
      </c>
      <c r="U349" s="449"/>
    </row>
    <row r="350" spans="2:21" x14ac:dyDescent="0.35">
      <c r="B350" s="459" t="str">
        <f>IF(Lançamentos!$B345="","",Lançamentos!$B345)</f>
        <v/>
      </c>
      <c r="C350" s="460" t="str">
        <f>IF($B350="","",IFERROR(INDEX(Lançamentos!$J$3:$J$1001,MATCH($B350,Lançamentos!$B$3:$B$1001,0)),""))</f>
        <v/>
      </c>
      <c r="D350" s="461" t="str">
        <f>IF($B350="","",IFERROR(INDEX('E2 — Triagem'!$D$8:$D$507,MATCH($B350,'E2 — Triagem'!$B$8:$B$507,0)),""))</f>
        <v/>
      </c>
      <c r="E350" s="447"/>
      <c r="F350" s="447"/>
      <c r="G350" s="447"/>
      <c r="H350" s="447"/>
      <c r="I350" s="447"/>
      <c r="J350" s="447"/>
      <c r="K350" s="462" t="str">
        <f t="shared" si="24"/>
        <v/>
      </c>
      <c r="L350" s="448"/>
      <c r="M350" s="448"/>
      <c r="N350" s="447"/>
      <c r="O350" s="463" t="str">
        <f>IF(B350="","",IF(Lançamentos!D345="","",Lançamentos!D345))</f>
        <v/>
      </c>
      <c r="P350" s="209">
        <v>7</v>
      </c>
      <c r="Q350" s="464" t="str">
        <f t="shared" si="25"/>
        <v/>
      </c>
      <c r="R350" s="465"/>
      <c r="S350" s="466" t="str">
        <f t="shared" ca="1" si="26"/>
        <v/>
      </c>
      <c r="T350" s="461" t="str">
        <f t="shared" ca="1" si="27"/>
        <v/>
      </c>
      <c r="U350" s="449"/>
    </row>
    <row r="351" spans="2:21" x14ac:dyDescent="0.35">
      <c r="B351" s="459" t="str">
        <f>IF(Lançamentos!$B346="","",Lançamentos!$B346)</f>
        <v/>
      </c>
      <c r="C351" s="460" t="str">
        <f>IF($B351="","",IFERROR(INDEX(Lançamentos!$J$3:$J$1001,MATCH($B351,Lançamentos!$B$3:$B$1001,0)),""))</f>
        <v/>
      </c>
      <c r="D351" s="461" t="str">
        <f>IF($B351="","",IFERROR(INDEX('E2 — Triagem'!$D$8:$D$507,MATCH($B351,'E2 — Triagem'!$B$8:$B$507,0)),""))</f>
        <v/>
      </c>
      <c r="E351" s="447"/>
      <c r="F351" s="447"/>
      <c r="G351" s="447"/>
      <c r="H351" s="447"/>
      <c r="I351" s="447"/>
      <c r="J351" s="447"/>
      <c r="K351" s="462" t="str">
        <f t="shared" si="24"/>
        <v/>
      </c>
      <c r="L351" s="448"/>
      <c r="M351" s="448"/>
      <c r="N351" s="447"/>
      <c r="O351" s="463" t="str">
        <f>IF(B351="","",IF(Lançamentos!D346="","",Lançamentos!D346))</f>
        <v/>
      </c>
      <c r="P351" s="209">
        <v>7</v>
      </c>
      <c r="Q351" s="464" t="str">
        <f t="shared" si="25"/>
        <v/>
      </c>
      <c r="R351" s="465"/>
      <c r="S351" s="466" t="str">
        <f t="shared" ca="1" si="26"/>
        <v/>
      </c>
      <c r="T351" s="461" t="str">
        <f t="shared" ca="1" si="27"/>
        <v/>
      </c>
      <c r="U351" s="449"/>
    </row>
    <row r="352" spans="2:21" x14ac:dyDescent="0.35">
      <c r="B352" s="459" t="str">
        <f>IF(Lançamentos!$B347="","",Lançamentos!$B347)</f>
        <v/>
      </c>
      <c r="C352" s="460" t="str">
        <f>IF($B352="","",IFERROR(INDEX(Lançamentos!$J$3:$J$1001,MATCH($B352,Lançamentos!$B$3:$B$1001,0)),""))</f>
        <v/>
      </c>
      <c r="D352" s="461" t="str">
        <f>IF($B352="","",IFERROR(INDEX('E2 — Triagem'!$D$8:$D$507,MATCH($B352,'E2 — Triagem'!$B$8:$B$507,0)),""))</f>
        <v/>
      </c>
      <c r="E352" s="447"/>
      <c r="F352" s="447"/>
      <c r="G352" s="447"/>
      <c r="H352" s="447"/>
      <c r="I352" s="447"/>
      <c r="J352" s="447"/>
      <c r="K352" s="462" t="str">
        <f t="shared" si="24"/>
        <v/>
      </c>
      <c r="L352" s="448"/>
      <c r="M352" s="448"/>
      <c r="N352" s="447"/>
      <c r="O352" s="463" t="str">
        <f>IF(B352="","",IF(Lançamentos!D347="","",Lançamentos!D347))</f>
        <v/>
      </c>
      <c r="P352" s="209">
        <v>7</v>
      </c>
      <c r="Q352" s="464" t="str">
        <f t="shared" si="25"/>
        <v/>
      </c>
      <c r="R352" s="465"/>
      <c r="S352" s="466" t="str">
        <f t="shared" ca="1" si="26"/>
        <v/>
      </c>
      <c r="T352" s="461" t="str">
        <f t="shared" ca="1" si="27"/>
        <v/>
      </c>
      <c r="U352" s="449"/>
    </row>
    <row r="353" spans="2:21" x14ac:dyDescent="0.35">
      <c r="B353" s="459" t="str">
        <f>IF(Lançamentos!$B348="","",Lançamentos!$B348)</f>
        <v/>
      </c>
      <c r="C353" s="460" t="str">
        <f>IF($B353="","",IFERROR(INDEX(Lançamentos!$J$3:$J$1001,MATCH($B353,Lançamentos!$B$3:$B$1001,0)),""))</f>
        <v/>
      </c>
      <c r="D353" s="461" t="str">
        <f>IF($B353="","",IFERROR(INDEX('E2 — Triagem'!$D$8:$D$507,MATCH($B353,'E2 — Triagem'!$B$8:$B$507,0)),""))</f>
        <v/>
      </c>
      <c r="E353" s="447"/>
      <c r="F353" s="447"/>
      <c r="G353" s="447"/>
      <c r="H353" s="447"/>
      <c r="I353" s="447"/>
      <c r="J353" s="447"/>
      <c r="K353" s="462" t="str">
        <f t="shared" si="24"/>
        <v/>
      </c>
      <c r="L353" s="448"/>
      <c r="M353" s="448"/>
      <c r="N353" s="447"/>
      <c r="O353" s="463" t="str">
        <f>IF(B353="","",IF(Lançamentos!D348="","",Lançamentos!D348))</f>
        <v/>
      </c>
      <c r="P353" s="209">
        <v>7</v>
      </c>
      <c r="Q353" s="464" t="str">
        <f t="shared" si="25"/>
        <v/>
      </c>
      <c r="R353" s="465"/>
      <c r="S353" s="466" t="str">
        <f t="shared" ca="1" si="26"/>
        <v/>
      </c>
      <c r="T353" s="461" t="str">
        <f t="shared" ca="1" si="27"/>
        <v/>
      </c>
      <c r="U353" s="449"/>
    </row>
    <row r="354" spans="2:21" x14ac:dyDescent="0.35">
      <c r="B354" s="459" t="str">
        <f>IF(Lançamentos!$B349="","",Lançamentos!$B349)</f>
        <v/>
      </c>
      <c r="C354" s="460" t="str">
        <f>IF($B354="","",IFERROR(INDEX(Lançamentos!$J$3:$J$1001,MATCH($B354,Lançamentos!$B$3:$B$1001,0)),""))</f>
        <v/>
      </c>
      <c r="D354" s="461" t="str">
        <f>IF($B354="","",IFERROR(INDEX('E2 — Triagem'!$D$8:$D$507,MATCH($B354,'E2 — Triagem'!$B$8:$B$507,0)),""))</f>
        <v/>
      </c>
      <c r="E354" s="447"/>
      <c r="F354" s="447"/>
      <c r="G354" s="447"/>
      <c r="H354" s="447"/>
      <c r="I354" s="447"/>
      <c r="J354" s="447"/>
      <c r="K354" s="462" t="str">
        <f t="shared" si="24"/>
        <v/>
      </c>
      <c r="L354" s="448"/>
      <c r="M354" s="448"/>
      <c r="N354" s="447"/>
      <c r="O354" s="463" t="str">
        <f>IF(B354="","",IF(Lançamentos!D349="","",Lançamentos!D349))</f>
        <v/>
      </c>
      <c r="P354" s="209">
        <v>7</v>
      </c>
      <c r="Q354" s="464" t="str">
        <f t="shared" si="25"/>
        <v/>
      </c>
      <c r="R354" s="465"/>
      <c r="S354" s="466" t="str">
        <f t="shared" ca="1" si="26"/>
        <v/>
      </c>
      <c r="T354" s="461" t="str">
        <f t="shared" ca="1" si="27"/>
        <v/>
      </c>
      <c r="U354" s="449"/>
    </row>
    <row r="355" spans="2:21" x14ac:dyDescent="0.35">
      <c r="B355" s="459" t="str">
        <f>IF(Lançamentos!$B350="","",Lançamentos!$B350)</f>
        <v/>
      </c>
      <c r="C355" s="460" t="str">
        <f>IF($B355="","",IFERROR(INDEX(Lançamentos!$J$3:$J$1001,MATCH($B355,Lançamentos!$B$3:$B$1001,0)),""))</f>
        <v/>
      </c>
      <c r="D355" s="461" t="str">
        <f>IF($B355="","",IFERROR(INDEX('E2 — Triagem'!$D$8:$D$507,MATCH($B355,'E2 — Triagem'!$B$8:$B$507,0)),""))</f>
        <v/>
      </c>
      <c r="E355" s="447"/>
      <c r="F355" s="447"/>
      <c r="G355" s="447"/>
      <c r="H355" s="447"/>
      <c r="I355" s="447"/>
      <c r="J355" s="447"/>
      <c r="K355" s="462" t="str">
        <f t="shared" si="24"/>
        <v/>
      </c>
      <c r="L355" s="448"/>
      <c r="M355" s="448"/>
      <c r="N355" s="447"/>
      <c r="O355" s="463" t="str">
        <f>IF(B355="","",IF(Lançamentos!D350="","",Lançamentos!D350))</f>
        <v/>
      </c>
      <c r="P355" s="209">
        <v>7</v>
      </c>
      <c r="Q355" s="464" t="str">
        <f t="shared" si="25"/>
        <v/>
      </c>
      <c r="R355" s="465"/>
      <c r="S355" s="466" t="str">
        <f t="shared" ca="1" si="26"/>
        <v/>
      </c>
      <c r="T355" s="461" t="str">
        <f t="shared" ca="1" si="27"/>
        <v/>
      </c>
      <c r="U355" s="449"/>
    </row>
    <row r="356" spans="2:21" x14ac:dyDescent="0.35">
      <c r="B356" s="459" t="str">
        <f>IF(Lançamentos!$B351="","",Lançamentos!$B351)</f>
        <v/>
      </c>
      <c r="C356" s="460" t="str">
        <f>IF($B356="","",IFERROR(INDEX(Lançamentos!$J$3:$J$1001,MATCH($B356,Lançamentos!$B$3:$B$1001,0)),""))</f>
        <v/>
      </c>
      <c r="D356" s="461" t="str">
        <f>IF($B356="","",IFERROR(INDEX('E2 — Triagem'!$D$8:$D$507,MATCH($B356,'E2 — Triagem'!$B$8:$B$507,0)),""))</f>
        <v/>
      </c>
      <c r="E356" s="447"/>
      <c r="F356" s="447"/>
      <c r="G356" s="447"/>
      <c r="H356" s="447"/>
      <c r="I356" s="447"/>
      <c r="J356" s="447"/>
      <c r="K356" s="462" t="str">
        <f t="shared" si="24"/>
        <v/>
      </c>
      <c r="L356" s="448"/>
      <c r="M356" s="448"/>
      <c r="N356" s="447"/>
      <c r="O356" s="463" t="str">
        <f>IF(B356="","",IF(Lançamentos!D351="","",Lançamentos!D351))</f>
        <v/>
      </c>
      <c r="P356" s="209">
        <v>7</v>
      </c>
      <c r="Q356" s="464" t="str">
        <f t="shared" si="25"/>
        <v/>
      </c>
      <c r="R356" s="465"/>
      <c r="S356" s="466" t="str">
        <f t="shared" ca="1" si="26"/>
        <v/>
      </c>
      <c r="T356" s="461" t="str">
        <f t="shared" ca="1" si="27"/>
        <v/>
      </c>
      <c r="U356" s="449"/>
    </row>
    <row r="357" spans="2:21" x14ac:dyDescent="0.35">
      <c r="B357" s="459" t="str">
        <f>IF(Lançamentos!$B352="","",Lançamentos!$B352)</f>
        <v/>
      </c>
      <c r="C357" s="460" t="str">
        <f>IF($B357="","",IFERROR(INDEX(Lançamentos!$J$3:$J$1001,MATCH($B357,Lançamentos!$B$3:$B$1001,0)),""))</f>
        <v/>
      </c>
      <c r="D357" s="461" t="str">
        <f>IF($B357="","",IFERROR(INDEX('E2 — Triagem'!$D$8:$D$507,MATCH($B357,'E2 — Triagem'!$B$8:$B$507,0)),""))</f>
        <v/>
      </c>
      <c r="E357" s="447"/>
      <c r="F357" s="447"/>
      <c r="G357" s="447"/>
      <c r="H357" s="447"/>
      <c r="I357" s="447"/>
      <c r="J357" s="447"/>
      <c r="K357" s="462" t="str">
        <f t="shared" si="24"/>
        <v/>
      </c>
      <c r="L357" s="448"/>
      <c r="M357" s="448"/>
      <c r="N357" s="447"/>
      <c r="O357" s="463" t="str">
        <f>IF(B357="","",IF(Lançamentos!D352="","",Lançamentos!D352))</f>
        <v/>
      </c>
      <c r="P357" s="209">
        <v>7</v>
      </c>
      <c r="Q357" s="464" t="str">
        <f t="shared" si="25"/>
        <v/>
      </c>
      <c r="R357" s="465"/>
      <c r="S357" s="466" t="str">
        <f t="shared" ca="1" si="26"/>
        <v/>
      </c>
      <c r="T357" s="461" t="str">
        <f t="shared" ca="1" si="27"/>
        <v/>
      </c>
      <c r="U357" s="449"/>
    </row>
    <row r="358" spans="2:21" x14ac:dyDescent="0.35">
      <c r="B358" s="459" t="str">
        <f>IF(Lançamentos!$B353="","",Lançamentos!$B353)</f>
        <v/>
      </c>
      <c r="C358" s="460" t="str">
        <f>IF($B358="","",IFERROR(INDEX(Lançamentos!$J$3:$J$1001,MATCH($B358,Lançamentos!$B$3:$B$1001,0)),""))</f>
        <v/>
      </c>
      <c r="D358" s="461" t="str">
        <f>IF($B358="","",IFERROR(INDEX('E2 — Triagem'!$D$8:$D$507,MATCH($B358,'E2 — Triagem'!$B$8:$B$507,0)),""))</f>
        <v/>
      </c>
      <c r="E358" s="447"/>
      <c r="F358" s="447"/>
      <c r="G358" s="447"/>
      <c r="H358" s="447"/>
      <c r="I358" s="447"/>
      <c r="J358" s="447"/>
      <c r="K358" s="462" t="str">
        <f t="shared" si="24"/>
        <v/>
      </c>
      <c r="L358" s="448"/>
      <c r="M358" s="448"/>
      <c r="N358" s="447"/>
      <c r="O358" s="463" t="str">
        <f>IF(B358="","",IF(Lançamentos!D353="","",Lançamentos!D353))</f>
        <v/>
      </c>
      <c r="P358" s="209">
        <v>7</v>
      </c>
      <c r="Q358" s="464" t="str">
        <f t="shared" si="25"/>
        <v/>
      </c>
      <c r="R358" s="465"/>
      <c r="S358" s="466" t="str">
        <f t="shared" ca="1" si="26"/>
        <v/>
      </c>
      <c r="T358" s="461" t="str">
        <f t="shared" ca="1" si="27"/>
        <v/>
      </c>
      <c r="U358" s="449"/>
    </row>
    <row r="359" spans="2:21" x14ac:dyDescent="0.35">
      <c r="B359" s="459" t="str">
        <f>IF(Lançamentos!$B354="","",Lançamentos!$B354)</f>
        <v/>
      </c>
      <c r="C359" s="460" t="str">
        <f>IF($B359="","",IFERROR(INDEX(Lançamentos!$J$3:$J$1001,MATCH($B359,Lançamentos!$B$3:$B$1001,0)),""))</f>
        <v/>
      </c>
      <c r="D359" s="461" t="str">
        <f>IF($B359="","",IFERROR(INDEX('E2 — Triagem'!$D$8:$D$507,MATCH($B359,'E2 — Triagem'!$B$8:$B$507,0)),""))</f>
        <v/>
      </c>
      <c r="E359" s="447"/>
      <c r="F359" s="447"/>
      <c r="G359" s="447"/>
      <c r="H359" s="447"/>
      <c r="I359" s="447"/>
      <c r="J359" s="447"/>
      <c r="K359" s="462" t="str">
        <f t="shared" si="24"/>
        <v/>
      </c>
      <c r="L359" s="448"/>
      <c r="M359" s="448"/>
      <c r="N359" s="447"/>
      <c r="O359" s="463" t="str">
        <f>IF(B359="","",IF(Lançamentos!D354="","",Lançamentos!D354))</f>
        <v/>
      </c>
      <c r="P359" s="209">
        <v>7</v>
      </c>
      <c r="Q359" s="464" t="str">
        <f t="shared" si="25"/>
        <v/>
      </c>
      <c r="R359" s="465"/>
      <c r="S359" s="466" t="str">
        <f t="shared" ca="1" si="26"/>
        <v/>
      </c>
      <c r="T359" s="461" t="str">
        <f t="shared" ca="1" si="27"/>
        <v/>
      </c>
      <c r="U359" s="449"/>
    </row>
    <row r="360" spans="2:21" x14ac:dyDescent="0.35">
      <c r="B360" s="459" t="str">
        <f>IF(Lançamentos!$B355="","",Lançamentos!$B355)</f>
        <v/>
      </c>
      <c r="C360" s="460" t="str">
        <f>IF($B360="","",IFERROR(INDEX(Lançamentos!$J$3:$J$1001,MATCH($B360,Lançamentos!$B$3:$B$1001,0)),""))</f>
        <v/>
      </c>
      <c r="D360" s="461" t="str">
        <f>IF($B360="","",IFERROR(INDEX('E2 — Triagem'!$D$8:$D$507,MATCH($B360,'E2 — Triagem'!$B$8:$B$507,0)),""))</f>
        <v/>
      </c>
      <c r="E360" s="447"/>
      <c r="F360" s="447"/>
      <c r="G360" s="447"/>
      <c r="H360" s="447"/>
      <c r="I360" s="447"/>
      <c r="J360" s="447"/>
      <c r="K360" s="462" t="str">
        <f t="shared" si="24"/>
        <v/>
      </c>
      <c r="L360" s="448"/>
      <c r="M360" s="448"/>
      <c r="N360" s="447"/>
      <c r="O360" s="463" t="str">
        <f>IF(B360="","",IF(Lançamentos!D355="","",Lançamentos!D355))</f>
        <v/>
      </c>
      <c r="P360" s="209">
        <v>7</v>
      </c>
      <c r="Q360" s="464" t="str">
        <f t="shared" si="25"/>
        <v/>
      </c>
      <c r="R360" s="465"/>
      <c r="S360" s="466" t="str">
        <f t="shared" ca="1" si="26"/>
        <v/>
      </c>
      <c r="T360" s="461" t="str">
        <f t="shared" ca="1" si="27"/>
        <v/>
      </c>
      <c r="U360" s="449"/>
    </row>
    <row r="361" spans="2:21" x14ac:dyDescent="0.35">
      <c r="B361" s="459" t="str">
        <f>IF(Lançamentos!$B356="","",Lançamentos!$B356)</f>
        <v/>
      </c>
      <c r="C361" s="460" t="str">
        <f>IF($B361="","",IFERROR(INDEX(Lançamentos!$J$3:$J$1001,MATCH($B361,Lançamentos!$B$3:$B$1001,0)),""))</f>
        <v/>
      </c>
      <c r="D361" s="461" t="str">
        <f>IF($B361="","",IFERROR(INDEX('E2 — Triagem'!$D$8:$D$507,MATCH($B361,'E2 — Triagem'!$B$8:$B$507,0)),""))</f>
        <v/>
      </c>
      <c r="E361" s="447"/>
      <c r="F361" s="447"/>
      <c r="G361" s="447"/>
      <c r="H361" s="447"/>
      <c r="I361" s="447"/>
      <c r="J361" s="447"/>
      <c r="K361" s="462" t="str">
        <f t="shared" si="24"/>
        <v/>
      </c>
      <c r="L361" s="448"/>
      <c r="M361" s="448"/>
      <c r="N361" s="447"/>
      <c r="O361" s="463" t="str">
        <f>IF(B361="","",IF(Lançamentos!D356="","",Lançamentos!D356))</f>
        <v/>
      </c>
      <c r="P361" s="209">
        <v>7</v>
      </c>
      <c r="Q361" s="464" t="str">
        <f t="shared" si="25"/>
        <v/>
      </c>
      <c r="R361" s="465"/>
      <c r="S361" s="466" t="str">
        <f t="shared" ca="1" si="26"/>
        <v/>
      </c>
      <c r="T361" s="461" t="str">
        <f t="shared" ca="1" si="27"/>
        <v/>
      </c>
      <c r="U361" s="449"/>
    </row>
    <row r="362" spans="2:21" x14ac:dyDescent="0.35">
      <c r="B362" s="459" t="str">
        <f>IF(Lançamentos!$B357="","",Lançamentos!$B357)</f>
        <v/>
      </c>
      <c r="C362" s="460" t="str">
        <f>IF($B362="","",IFERROR(INDEX(Lançamentos!$J$3:$J$1001,MATCH($B362,Lançamentos!$B$3:$B$1001,0)),""))</f>
        <v/>
      </c>
      <c r="D362" s="461" t="str">
        <f>IF($B362="","",IFERROR(INDEX('E2 — Triagem'!$D$8:$D$507,MATCH($B362,'E2 — Triagem'!$B$8:$B$507,0)),""))</f>
        <v/>
      </c>
      <c r="E362" s="447"/>
      <c r="F362" s="447"/>
      <c r="G362" s="447"/>
      <c r="H362" s="447"/>
      <c r="I362" s="447"/>
      <c r="J362" s="447"/>
      <c r="K362" s="462" t="str">
        <f t="shared" si="24"/>
        <v/>
      </c>
      <c r="L362" s="448"/>
      <c r="M362" s="448"/>
      <c r="N362" s="447"/>
      <c r="O362" s="463" t="str">
        <f>IF(B362="","",IF(Lançamentos!D357="","",Lançamentos!D357))</f>
        <v/>
      </c>
      <c r="P362" s="209">
        <v>7</v>
      </c>
      <c r="Q362" s="464" t="str">
        <f t="shared" si="25"/>
        <v/>
      </c>
      <c r="R362" s="465"/>
      <c r="S362" s="466" t="str">
        <f t="shared" ca="1" si="26"/>
        <v/>
      </c>
      <c r="T362" s="461" t="str">
        <f t="shared" ca="1" si="27"/>
        <v/>
      </c>
      <c r="U362" s="449"/>
    </row>
    <row r="363" spans="2:21" x14ac:dyDescent="0.35">
      <c r="B363" s="459" t="str">
        <f>IF(Lançamentos!$B358="","",Lançamentos!$B358)</f>
        <v/>
      </c>
      <c r="C363" s="460" t="str">
        <f>IF($B363="","",IFERROR(INDEX(Lançamentos!$J$3:$J$1001,MATCH($B363,Lançamentos!$B$3:$B$1001,0)),""))</f>
        <v/>
      </c>
      <c r="D363" s="461" t="str">
        <f>IF($B363="","",IFERROR(INDEX('E2 — Triagem'!$D$8:$D$507,MATCH($B363,'E2 — Triagem'!$B$8:$B$507,0)),""))</f>
        <v/>
      </c>
      <c r="E363" s="447"/>
      <c r="F363" s="447"/>
      <c r="G363" s="447"/>
      <c r="H363" s="447"/>
      <c r="I363" s="447"/>
      <c r="J363" s="447"/>
      <c r="K363" s="462" t="str">
        <f t="shared" si="24"/>
        <v/>
      </c>
      <c r="L363" s="448"/>
      <c r="M363" s="448"/>
      <c r="N363" s="447"/>
      <c r="O363" s="463" t="str">
        <f>IF(B363="","",IF(Lançamentos!D358="","",Lançamentos!D358))</f>
        <v/>
      </c>
      <c r="P363" s="209">
        <v>7</v>
      </c>
      <c r="Q363" s="464" t="str">
        <f t="shared" si="25"/>
        <v/>
      </c>
      <c r="R363" s="465"/>
      <c r="S363" s="466" t="str">
        <f t="shared" ca="1" si="26"/>
        <v/>
      </c>
      <c r="T363" s="461" t="str">
        <f t="shared" ca="1" si="27"/>
        <v/>
      </c>
      <c r="U363" s="449"/>
    </row>
    <row r="364" spans="2:21" x14ac:dyDescent="0.35">
      <c r="B364" s="459" t="str">
        <f>IF(Lançamentos!$B359="","",Lançamentos!$B359)</f>
        <v/>
      </c>
      <c r="C364" s="460" t="str">
        <f>IF($B364="","",IFERROR(INDEX(Lançamentos!$J$3:$J$1001,MATCH($B364,Lançamentos!$B$3:$B$1001,0)),""))</f>
        <v/>
      </c>
      <c r="D364" s="461" t="str">
        <f>IF($B364="","",IFERROR(INDEX('E2 — Triagem'!$D$8:$D$507,MATCH($B364,'E2 — Triagem'!$B$8:$B$507,0)),""))</f>
        <v/>
      </c>
      <c r="E364" s="447"/>
      <c r="F364" s="447"/>
      <c r="G364" s="447"/>
      <c r="H364" s="447"/>
      <c r="I364" s="447"/>
      <c r="J364" s="447"/>
      <c r="K364" s="462" t="str">
        <f t="shared" si="24"/>
        <v/>
      </c>
      <c r="L364" s="448"/>
      <c r="M364" s="448"/>
      <c r="N364" s="447"/>
      <c r="O364" s="463" t="str">
        <f>IF(B364="","",IF(Lançamentos!D359="","",Lançamentos!D359))</f>
        <v/>
      </c>
      <c r="P364" s="209">
        <v>7</v>
      </c>
      <c r="Q364" s="464" t="str">
        <f t="shared" si="25"/>
        <v/>
      </c>
      <c r="R364" s="465"/>
      <c r="S364" s="466" t="str">
        <f t="shared" ca="1" si="26"/>
        <v/>
      </c>
      <c r="T364" s="461" t="str">
        <f t="shared" ca="1" si="27"/>
        <v/>
      </c>
      <c r="U364" s="449"/>
    </row>
    <row r="365" spans="2:21" x14ac:dyDescent="0.35">
      <c r="B365" s="459" t="str">
        <f>IF(Lançamentos!$B360="","",Lançamentos!$B360)</f>
        <v/>
      </c>
      <c r="C365" s="460" t="str">
        <f>IF($B365="","",IFERROR(INDEX(Lançamentos!$J$3:$J$1001,MATCH($B365,Lançamentos!$B$3:$B$1001,0)),""))</f>
        <v/>
      </c>
      <c r="D365" s="461" t="str">
        <f>IF($B365="","",IFERROR(INDEX('E2 — Triagem'!$D$8:$D$507,MATCH($B365,'E2 — Triagem'!$B$8:$B$507,0)),""))</f>
        <v/>
      </c>
      <c r="E365" s="447"/>
      <c r="F365" s="447"/>
      <c r="G365" s="447"/>
      <c r="H365" s="447"/>
      <c r="I365" s="447"/>
      <c r="J365" s="447"/>
      <c r="K365" s="462" t="str">
        <f t="shared" si="24"/>
        <v/>
      </c>
      <c r="L365" s="448"/>
      <c r="M365" s="448"/>
      <c r="N365" s="447"/>
      <c r="O365" s="463" t="str">
        <f>IF(B365="","",IF(Lançamentos!D360="","",Lançamentos!D360))</f>
        <v/>
      </c>
      <c r="P365" s="209">
        <v>7</v>
      </c>
      <c r="Q365" s="464" t="str">
        <f t="shared" si="25"/>
        <v/>
      </c>
      <c r="R365" s="465"/>
      <c r="S365" s="466" t="str">
        <f t="shared" ca="1" si="26"/>
        <v/>
      </c>
      <c r="T365" s="461" t="str">
        <f t="shared" ca="1" si="27"/>
        <v/>
      </c>
      <c r="U365" s="449"/>
    </row>
    <row r="366" spans="2:21" x14ac:dyDescent="0.35">
      <c r="B366" s="459" t="str">
        <f>IF(Lançamentos!$B361="","",Lançamentos!$B361)</f>
        <v/>
      </c>
      <c r="C366" s="460" t="str">
        <f>IF($B366="","",IFERROR(INDEX(Lançamentos!$J$3:$J$1001,MATCH($B366,Lançamentos!$B$3:$B$1001,0)),""))</f>
        <v/>
      </c>
      <c r="D366" s="461" t="str">
        <f>IF($B366="","",IFERROR(INDEX('E2 — Triagem'!$D$8:$D$507,MATCH($B366,'E2 — Triagem'!$B$8:$B$507,0)),""))</f>
        <v/>
      </c>
      <c r="E366" s="447"/>
      <c r="F366" s="447"/>
      <c r="G366" s="447"/>
      <c r="H366" s="447"/>
      <c r="I366" s="447"/>
      <c r="J366" s="447"/>
      <c r="K366" s="462" t="str">
        <f t="shared" si="24"/>
        <v/>
      </c>
      <c r="L366" s="448"/>
      <c r="M366" s="448"/>
      <c r="N366" s="447"/>
      <c r="O366" s="463" t="str">
        <f>IF(B366="","",IF(Lançamentos!D361="","",Lançamentos!D361))</f>
        <v/>
      </c>
      <c r="P366" s="209">
        <v>7</v>
      </c>
      <c r="Q366" s="464" t="str">
        <f t="shared" si="25"/>
        <v/>
      </c>
      <c r="R366" s="465"/>
      <c r="S366" s="466" t="str">
        <f t="shared" ca="1" si="26"/>
        <v/>
      </c>
      <c r="T366" s="461" t="str">
        <f t="shared" ca="1" si="27"/>
        <v/>
      </c>
      <c r="U366" s="449"/>
    </row>
    <row r="367" spans="2:21" x14ac:dyDescent="0.35">
      <c r="B367" s="459" t="str">
        <f>IF(Lançamentos!$B362="","",Lançamentos!$B362)</f>
        <v/>
      </c>
      <c r="C367" s="460" t="str">
        <f>IF($B367="","",IFERROR(INDEX(Lançamentos!$J$3:$J$1001,MATCH($B367,Lançamentos!$B$3:$B$1001,0)),""))</f>
        <v/>
      </c>
      <c r="D367" s="461" t="str">
        <f>IF($B367="","",IFERROR(INDEX('E2 — Triagem'!$D$8:$D$507,MATCH($B367,'E2 — Triagem'!$B$8:$B$507,0)),""))</f>
        <v/>
      </c>
      <c r="E367" s="447"/>
      <c r="F367" s="447"/>
      <c r="G367" s="447"/>
      <c r="H367" s="447"/>
      <c r="I367" s="447"/>
      <c r="J367" s="447"/>
      <c r="K367" s="462" t="str">
        <f t="shared" si="24"/>
        <v/>
      </c>
      <c r="L367" s="448"/>
      <c r="M367" s="448"/>
      <c r="N367" s="447"/>
      <c r="O367" s="463" t="str">
        <f>IF(B367="","",IF(Lançamentos!D362="","",Lançamentos!D362))</f>
        <v/>
      </c>
      <c r="P367" s="209">
        <v>7</v>
      </c>
      <c r="Q367" s="464" t="str">
        <f t="shared" si="25"/>
        <v/>
      </c>
      <c r="R367" s="465"/>
      <c r="S367" s="466" t="str">
        <f t="shared" ca="1" si="26"/>
        <v/>
      </c>
      <c r="T367" s="461" t="str">
        <f t="shared" ca="1" si="27"/>
        <v/>
      </c>
      <c r="U367" s="449"/>
    </row>
    <row r="368" spans="2:21" x14ac:dyDescent="0.35">
      <c r="B368" s="459" t="str">
        <f>IF(Lançamentos!$B363="","",Lançamentos!$B363)</f>
        <v/>
      </c>
      <c r="C368" s="460" t="str">
        <f>IF($B368="","",IFERROR(INDEX(Lançamentos!$J$3:$J$1001,MATCH($B368,Lançamentos!$B$3:$B$1001,0)),""))</f>
        <v/>
      </c>
      <c r="D368" s="461" t="str">
        <f>IF($B368="","",IFERROR(INDEX('E2 — Triagem'!$D$8:$D$507,MATCH($B368,'E2 — Triagem'!$B$8:$B$507,0)),""))</f>
        <v/>
      </c>
      <c r="E368" s="447"/>
      <c r="F368" s="447"/>
      <c r="G368" s="447"/>
      <c r="H368" s="447"/>
      <c r="I368" s="447"/>
      <c r="J368" s="447"/>
      <c r="K368" s="462" t="str">
        <f t="shared" si="24"/>
        <v/>
      </c>
      <c r="L368" s="448"/>
      <c r="M368" s="448"/>
      <c r="N368" s="447"/>
      <c r="O368" s="463" t="str">
        <f>IF(B368="","",IF(Lançamentos!D363="","",Lançamentos!D363))</f>
        <v/>
      </c>
      <c r="P368" s="209">
        <v>7</v>
      </c>
      <c r="Q368" s="464" t="str">
        <f t="shared" si="25"/>
        <v/>
      </c>
      <c r="R368" s="465"/>
      <c r="S368" s="466" t="str">
        <f t="shared" ca="1" si="26"/>
        <v/>
      </c>
      <c r="T368" s="461" t="str">
        <f t="shared" ca="1" si="27"/>
        <v/>
      </c>
      <c r="U368" s="449"/>
    </row>
    <row r="369" spans="2:21" x14ac:dyDescent="0.35">
      <c r="B369" s="459" t="str">
        <f>IF(Lançamentos!$B364="","",Lançamentos!$B364)</f>
        <v/>
      </c>
      <c r="C369" s="460" t="str">
        <f>IF($B369="","",IFERROR(INDEX(Lançamentos!$J$3:$J$1001,MATCH($B369,Lançamentos!$B$3:$B$1001,0)),""))</f>
        <v/>
      </c>
      <c r="D369" s="461" t="str">
        <f>IF($B369="","",IFERROR(INDEX('E2 — Triagem'!$D$8:$D$507,MATCH($B369,'E2 — Triagem'!$B$8:$B$507,0)),""))</f>
        <v/>
      </c>
      <c r="E369" s="447"/>
      <c r="F369" s="447"/>
      <c r="G369" s="447"/>
      <c r="H369" s="447"/>
      <c r="I369" s="447"/>
      <c r="J369" s="447"/>
      <c r="K369" s="462" t="str">
        <f t="shared" si="24"/>
        <v/>
      </c>
      <c r="L369" s="448"/>
      <c r="M369" s="448"/>
      <c r="N369" s="447"/>
      <c r="O369" s="463" t="str">
        <f>IF(B369="","",IF(Lançamentos!D364="","",Lançamentos!D364))</f>
        <v/>
      </c>
      <c r="P369" s="209">
        <v>7</v>
      </c>
      <c r="Q369" s="464" t="str">
        <f t="shared" si="25"/>
        <v/>
      </c>
      <c r="R369" s="465"/>
      <c r="S369" s="466" t="str">
        <f t="shared" ca="1" si="26"/>
        <v/>
      </c>
      <c r="T369" s="461" t="str">
        <f t="shared" ca="1" si="27"/>
        <v/>
      </c>
      <c r="U369" s="449"/>
    </row>
    <row r="370" spans="2:21" x14ac:dyDescent="0.35">
      <c r="B370" s="459" t="str">
        <f>IF(Lançamentos!$B365="","",Lançamentos!$B365)</f>
        <v/>
      </c>
      <c r="C370" s="460" t="str">
        <f>IF($B370="","",IFERROR(INDEX(Lançamentos!$J$3:$J$1001,MATCH($B370,Lançamentos!$B$3:$B$1001,0)),""))</f>
        <v/>
      </c>
      <c r="D370" s="461" t="str">
        <f>IF($B370="","",IFERROR(INDEX('E2 — Triagem'!$D$8:$D$507,MATCH($B370,'E2 — Triagem'!$B$8:$B$507,0)),""))</f>
        <v/>
      </c>
      <c r="E370" s="447"/>
      <c r="F370" s="447"/>
      <c r="G370" s="447"/>
      <c r="H370" s="447"/>
      <c r="I370" s="447"/>
      <c r="J370" s="447"/>
      <c r="K370" s="462" t="str">
        <f t="shared" si="24"/>
        <v/>
      </c>
      <c r="L370" s="448"/>
      <c r="M370" s="448"/>
      <c r="N370" s="447"/>
      <c r="O370" s="463" t="str">
        <f>IF(B370="","",IF(Lançamentos!D365="","",Lançamentos!D365))</f>
        <v/>
      </c>
      <c r="P370" s="209">
        <v>7</v>
      </c>
      <c r="Q370" s="464" t="str">
        <f t="shared" si="25"/>
        <v/>
      </c>
      <c r="R370" s="465"/>
      <c r="S370" s="466" t="str">
        <f t="shared" ca="1" si="26"/>
        <v/>
      </c>
      <c r="T370" s="461" t="str">
        <f t="shared" ca="1" si="27"/>
        <v/>
      </c>
      <c r="U370" s="449"/>
    </row>
    <row r="371" spans="2:21" x14ac:dyDescent="0.35">
      <c r="B371" s="459" t="str">
        <f>IF(Lançamentos!$B366="","",Lançamentos!$B366)</f>
        <v/>
      </c>
      <c r="C371" s="460" t="str">
        <f>IF($B371="","",IFERROR(INDEX(Lançamentos!$J$3:$J$1001,MATCH($B371,Lançamentos!$B$3:$B$1001,0)),""))</f>
        <v/>
      </c>
      <c r="D371" s="461" t="str">
        <f>IF($B371="","",IFERROR(INDEX('E2 — Triagem'!$D$8:$D$507,MATCH($B371,'E2 — Triagem'!$B$8:$B$507,0)),""))</f>
        <v/>
      </c>
      <c r="E371" s="447"/>
      <c r="F371" s="447"/>
      <c r="G371" s="447"/>
      <c r="H371" s="447"/>
      <c r="I371" s="447"/>
      <c r="J371" s="447"/>
      <c r="K371" s="462" t="str">
        <f t="shared" si="24"/>
        <v/>
      </c>
      <c r="L371" s="448"/>
      <c r="M371" s="448"/>
      <c r="N371" s="447"/>
      <c r="O371" s="463" t="str">
        <f>IF(B371="","",IF(Lançamentos!D366="","",Lançamentos!D366))</f>
        <v/>
      </c>
      <c r="P371" s="209">
        <v>7</v>
      </c>
      <c r="Q371" s="464" t="str">
        <f t="shared" si="25"/>
        <v/>
      </c>
      <c r="R371" s="465"/>
      <c r="S371" s="466" t="str">
        <f t="shared" ca="1" si="26"/>
        <v/>
      </c>
      <c r="T371" s="461" t="str">
        <f t="shared" ca="1" si="27"/>
        <v/>
      </c>
      <c r="U371" s="449"/>
    </row>
    <row r="372" spans="2:21" x14ac:dyDescent="0.35">
      <c r="B372" s="459" t="str">
        <f>IF(Lançamentos!$B367="","",Lançamentos!$B367)</f>
        <v/>
      </c>
      <c r="C372" s="460" t="str">
        <f>IF($B372="","",IFERROR(INDEX(Lançamentos!$J$3:$J$1001,MATCH($B372,Lançamentos!$B$3:$B$1001,0)),""))</f>
        <v/>
      </c>
      <c r="D372" s="461" t="str">
        <f>IF($B372="","",IFERROR(INDEX('E2 — Triagem'!$D$8:$D$507,MATCH($B372,'E2 — Triagem'!$B$8:$B$507,0)),""))</f>
        <v/>
      </c>
      <c r="E372" s="447"/>
      <c r="F372" s="447"/>
      <c r="G372" s="447"/>
      <c r="H372" s="447"/>
      <c r="I372" s="447"/>
      <c r="J372" s="447"/>
      <c r="K372" s="462" t="str">
        <f t="shared" si="24"/>
        <v/>
      </c>
      <c r="L372" s="448"/>
      <c r="M372" s="448"/>
      <c r="N372" s="447"/>
      <c r="O372" s="463" t="str">
        <f>IF(B372="","",IF(Lançamentos!D367="","",Lançamentos!D367))</f>
        <v/>
      </c>
      <c r="P372" s="209">
        <v>7</v>
      </c>
      <c r="Q372" s="464" t="str">
        <f t="shared" si="25"/>
        <v/>
      </c>
      <c r="R372" s="465"/>
      <c r="S372" s="466" t="str">
        <f t="shared" ca="1" si="26"/>
        <v/>
      </c>
      <c r="T372" s="461" t="str">
        <f t="shared" ca="1" si="27"/>
        <v/>
      </c>
      <c r="U372" s="449"/>
    </row>
    <row r="373" spans="2:21" x14ac:dyDescent="0.35">
      <c r="B373" s="459" t="str">
        <f>IF(Lançamentos!$B368="","",Lançamentos!$B368)</f>
        <v/>
      </c>
      <c r="C373" s="460" t="str">
        <f>IF($B373="","",IFERROR(INDEX(Lançamentos!$J$3:$J$1001,MATCH($B373,Lançamentos!$B$3:$B$1001,0)),""))</f>
        <v/>
      </c>
      <c r="D373" s="461" t="str">
        <f>IF($B373="","",IFERROR(INDEX('E2 — Triagem'!$D$8:$D$507,MATCH($B373,'E2 — Triagem'!$B$8:$B$507,0)),""))</f>
        <v/>
      </c>
      <c r="E373" s="447"/>
      <c r="F373" s="447"/>
      <c r="G373" s="447"/>
      <c r="H373" s="447"/>
      <c r="I373" s="447"/>
      <c r="J373" s="447"/>
      <c r="K373" s="462" t="str">
        <f t="shared" si="24"/>
        <v/>
      </c>
      <c r="L373" s="448"/>
      <c r="M373" s="448"/>
      <c r="N373" s="447"/>
      <c r="O373" s="463" t="str">
        <f>IF(B373="","",IF(Lançamentos!D368="","",Lançamentos!D368))</f>
        <v/>
      </c>
      <c r="P373" s="209">
        <v>7</v>
      </c>
      <c r="Q373" s="464" t="str">
        <f t="shared" si="25"/>
        <v/>
      </c>
      <c r="R373" s="465"/>
      <c r="S373" s="466" t="str">
        <f t="shared" ca="1" si="26"/>
        <v/>
      </c>
      <c r="T373" s="461" t="str">
        <f t="shared" ca="1" si="27"/>
        <v/>
      </c>
      <c r="U373" s="449"/>
    </row>
    <row r="374" spans="2:21" x14ac:dyDescent="0.35">
      <c r="B374" s="459" t="str">
        <f>IF(Lançamentos!$B369="","",Lançamentos!$B369)</f>
        <v/>
      </c>
      <c r="C374" s="460" t="str">
        <f>IF($B374="","",IFERROR(INDEX(Lançamentos!$J$3:$J$1001,MATCH($B374,Lançamentos!$B$3:$B$1001,0)),""))</f>
        <v/>
      </c>
      <c r="D374" s="461" t="str">
        <f>IF($B374="","",IFERROR(INDEX('E2 — Triagem'!$D$8:$D$507,MATCH($B374,'E2 — Triagem'!$B$8:$B$507,0)),""))</f>
        <v/>
      </c>
      <c r="E374" s="447"/>
      <c r="F374" s="447"/>
      <c r="G374" s="447"/>
      <c r="H374" s="447"/>
      <c r="I374" s="447"/>
      <c r="J374" s="447"/>
      <c r="K374" s="462" t="str">
        <f t="shared" si="24"/>
        <v/>
      </c>
      <c r="L374" s="448"/>
      <c r="M374" s="448"/>
      <c r="N374" s="447"/>
      <c r="O374" s="463" t="str">
        <f>IF(B374="","",IF(Lançamentos!D369="","",Lançamentos!D369))</f>
        <v/>
      </c>
      <c r="P374" s="209">
        <v>7</v>
      </c>
      <c r="Q374" s="464" t="str">
        <f t="shared" si="25"/>
        <v/>
      </c>
      <c r="R374" s="465"/>
      <c r="S374" s="466" t="str">
        <f t="shared" ca="1" si="26"/>
        <v/>
      </c>
      <c r="T374" s="461" t="str">
        <f t="shared" ca="1" si="27"/>
        <v/>
      </c>
      <c r="U374" s="449"/>
    </row>
    <row r="375" spans="2:21" x14ac:dyDescent="0.35">
      <c r="B375" s="459" t="str">
        <f>IF(Lançamentos!$B370="","",Lançamentos!$B370)</f>
        <v/>
      </c>
      <c r="C375" s="460" t="str">
        <f>IF($B375="","",IFERROR(INDEX(Lançamentos!$J$3:$J$1001,MATCH($B375,Lançamentos!$B$3:$B$1001,0)),""))</f>
        <v/>
      </c>
      <c r="D375" s="461" t="str">
        <f>IF($B375="","",IFERROR(INDEX('E2 — Triagem'!$D$8:$D$507,MATCH($B375,'E2 — Triagem'!$B$8:$B$507,0)),""))</f>
        <v/>
      </c>
      <c r="E375" s="447"/>
      <c r="F375" s="447"/>
      <c r="G375" s="447"/>
      <c r="H375" s="447"/>
      <c r="I375" s="447"/>
      <c r="J375" s="447"/>
      <c r="K375" s="462" t="str">
        <f t="shared" si="24"/>
        <v/>
      </c>
      <c r="L375" s="448"/>
      <c r="M375" s="448"/>
      <c r="N375" s="447"/>
      <c r="O375" s="463" t="str">
        <f>IF(B375="","",IF(Lançamentos!D370="","",Lançamentos!D370))</f>
        <v/>
      </c>
      <c r="P375" s="209">
        <v>7</v>
      </c>
      <c r="Q375" s="464" t="str">
        <f t="shared" si="25"/>
        <v/>
      </c>
      <c r="R375" s="465"/>
      <c r="S375" s="466" t="str">
        <f t="shared" ca="1" si="26"/>
        <v/>
      </c>
      <c r="T375" s="461" t="str">
        <f t="shared" ca="1" si="27"/>
        <v/>
      </c>
      <c r="U375" s="449"/>
    </row>
    <row r="376" spans="2:21" x14ac:dyDescent="0.35">
      <c r="B376" s="459" t="str">
        <f>IF(Lançamentos!$B371="","",Lançamentos!$B371)</f>
        <v/>
      </c>
      <c r="C376" s="460" t="str">
        <f>IF($B376="","",IFERROR(INDEX(Lançamentos!$J$3:$J$1001,MATCH($B376,Lançamentos!$B$3:$B$1001,0)),""))</f>
        <v/>
      </c>
      <c r="D376" s="461" t="str">
        <f>IF($B376="","",IFERROR(INDEX('E2 — Triagem'!$D$8:$D$507,MATCH($B376,'E2 — Triagem'!$B$8:$B$507,0)),""))</f>
        <v/>
      </c>
      <c r="E376" s="447"/>
      <c r="F376" s="447"/>
      <c r="G376" s="447"/>
      <c r="H376" s="447"/>
      <c r="I376" s="447"/>
      <c r="J376" s="447"/>
      <c r="K376" s="462" t="str">
        <f t="shared" si="24"/>
        <v/>
      </c>
      <c r="L376" s="448"/>
      <c r="M376" s="448"/>
      <c r="N376" s="447"/>
      <c r="O376" s="463" t="str">
        <f>IF(B376="","",IF(Lançamentos!D371="","",Lançamentos!D371))</f>
        <v/>
      </c>
      <c r="P376" s="209">
        <v>7</v>
      </c>
      <c r="Q376" s="464" t="str">
        <f t="shared" si="25"/>
        <v/>
      </c>
      <c r="R376" s="465"/>
      <c r="S376" s="466" t="str">
        <f t="shared" ca="1" si="26"/>
        <v/>
      </c>
      <c r="T376" s="461" t="str">
        <f t="shared" ca="1" si="27"/>
        <v/>
      </c>
      <c r="U376" s="449"/>
    </row>
    <row r="377" spans="2:21" x14ac:dyDescent="0.35">
      <c r="B377" s="459" t="str">
        <f>IF(Lançamentos!$B372="","",Lançamentos!$B372)</f>
        <v/>
      </c>
      <c r="C377" s="460" t="str">
        <f>IF($B377="","",IFERROR(INDEX(Lançamentos!$J$3:$J$1001,MATCH($B377,Lançamentos!$B$3:$B$1001,0)),""))</f>
        <v/>
      </c>
      <c r="D377" s="461" t="str">
        <f>IF($B377="","",IFERROR(INDEX('E2 — Triagem'!$D$8:$D$507,MATCH($B377,'E2 — Triagem'!$B$8:$B$507,0)),""))</f>
        <v/>
      </c>
      <c r="E377" s="447"/>
      <c r="F377" s="447"/>
      <c r="G377" s="447"/>
      <c r="H377" s="447"/>
      <c r="I377" s="447"/>
      <c r="J377" s="447"/>
      <c r="K377" s="462" t="str">
        <f t="shared" si="24"/>
        <v/>
      </c>
      <c r="L377" s="448"/>
      <c r="M377" s="448"/>
      <c r="N377" s="447"/>
      <c r="O377" s="463" t="str">
        <f>IF(B377="","",IF(Lançamentos!D372="","",Lançamentos!D372))</f>
        <v/>
      </c>
      <c r="P377" s="209">
        <v>7</v>
      </c>
      <c r="Q377" s="464" t="str">
        <f t="shared" si="25"/>
        <v/>
      </c>
      <c r="R377" s="465"/>
      <c r="S377" s="466" t="str">
        <f t="shared" ca="1" si="26"/>
        <v/>
      </c>
      <c r="T377" s="461" t="str">
        <f t="shared" ca="1" si="27"/>
        <v/>
      </c>
      <c r="U377" s="449"/>
    </row>
    <row r="378" spans="2:21" x14ac:dyDescent="0.35">
      <c r="B378" s="459" t="str">
        <f>IF(Lançamentos!$B373="","",Lançamentos!$B373)</f>
        <v/>
      </c>
      <c r="C378" s="460" t="str">
        <f>IF($B378="","",IFERROR(INDEX(Lançamentos!$J$3:$J$1001,MATCH($B378,Lançamentos!$B$3:$B$1001,0)),""))</f>
        <v/>
      </c>
      <c r="D378" s="461" t="str">
        <f>IF($B378="","",IFERROR(INDEX('E2 — Triagem'!$D$8:$D$507,MATCH($B378,'E2 — Triagem'!$B$8:$B$507,0)),""))</f>
        <v/>
      </c>
      <c r="E378" s="447"/>
      <c r="F378" s="447"/>
      <c r="G378" s="447"/>
      <c r="H378" s="447"/>
      <c r="I378" s="447"/>
      <c r="J378" s="447"/>
      <c r="K378" s="462" t="str">
        <f t="shared" si="24"/>
        <v/>
      </c>
      <c r="L378" s="448"/>
      <c r="M378" s="448"/>
      <c r="N378" s="447"/>
      <c r="O378" s="463" t="str">
        <f>IF(B378="","",IF(Lançamentos!D373="","",Lançamentos!D373))</f>
        <v/>
      </c>
      <c r="P378" s="209">
        <v>7</v>
      </c>
      <c r="Q378" s="464" t="str">
        <f t="shared" si="25"/>
        <v/>
      </c>
      <c r="R378" s="465"/>
      <c r="S378" s="466" t="str">
        <f t="shared" ca="1" si="26"/>
        <v/>
      </c>
      <c r="T378" s="461" t="str">
        <f t="shared" ca="1" si="27"/>
        <v/>
      </c>
      <c r="U378" s="449"/>
    </row>
    <row r="379" spans="2:21" x14ac:dyDescent="0.35">
      <c r="B379" s="459" t="str">
        <f>IF(Lançamentos!$B374="","",Lançamentos!$B374)</f>
        <v/>
      </c>
      <c r="C379" s="460" t="str">
        <f>IF($B379="","",IFERROR(INDEX(Lançamentos!$J$3:$J$1001,MATCH($B379,Lançamentos!$B$3:$B$1001,0)),""))</f>
        <v/>
      </c>
      <c r="D379" s="461" t="str">
        <f>IF($B379="","",IFERROR(INDEX('E2 — Triagem'!$D$8:$D$507,MATCH($B379,'E2 — Triagem'!$B$8:$B$507,0)),""))</f>
        <v/>
      </c>
      <c r="E379" s="447"/>
      <c r="F379" s="447"/>
      <c r="G379" s="447"/>
      <c r="H379" s="447"/>
      <c r="I379" s="447"/>
      <c r="J379" s="447"/>
      <c r="K379" s="462" t="str">
        <f t="shared" si="24"/>
        <v/>
      </c>
      <c r="L379" s="448"/>
      <c r="M379" s="448"/>
      <c r="N379" s="447"/>
      <c r="O379" s="463" t="str">
        <f>IF(B379="","",IF(Lançamentos!D374="","",Lançamentos!D374))</f>
        <v/>
      </c>
      <c r="P379" s="209">
        <v>7</v>
      </c>
      <c r="Q379" s="464" t="str">
        <f t="shared" si="25"/>
        <v/>
      </c>
      <c r="R379" s="465"/>
      <c r="S379" s="466" t="str">
        <f t="shared" ca="1" si="26"/>
        <v/>
      </c>
      <c r="T379" s="461" t="str">
        <f t="shared" ca="1" si="27"/>
        <v/>
      </c>
      <c r="U379" s="449"/>
    </row>
    <row r="380" spans="2:21" x14ac:dyDescent="0.35">
      <c r="B380" s="459" t="str">
        <f>IF(Lançamentos!$B375="","",Lançamentos!$B375)</f>
        <v/>
      </c>
      <c r="C380" s="460" t="str">
        <f>IF($B380="","",IFERROR(INDEX(Lançamentos!$J$3:$J$1001,MATCH($B380,Lançamentos!$B$3:$B$1001,0)),""))</f>
        <v/>
      </c>
      <c r="D380" s="461" t="str">
        <f>IF($B380="","",IFERROR(INDEX('E2 — Triagem'!$D$8:$D$507,MATCH($B380,'E2 — Triagem'!$B$8:$B$507,0)),""))</f>
        <v/>
      </c>
      <c r="E380" s="447"/>
      <c r="F380" s="447"/>
      <c r="G380" s="447"/>
      <c r="H380" s="447"/>
      <c r="I380" s="447"/>
      <c r="J380" s="447"/>
      <c r="K380" s="462" t="str">
        <f t="shared" si="24"/>
        <v/>
      </c>
      <c r="L380" s="448"/>
      <c r="M380" s="448"/>
      <c r="N380" s="447"/>
      <c r="O380" s="463" t="str">
        <f>IF(B380="","",IF(Lançamentos!D375="","",Lançamentos!D375))</f>
        <v/>
      </c>
      <c r="P380" s="209">
        <v>7</v>
      </c>
      <c r="Q380" s="464" t="str">
        <f t="shared" si="25"/>
        <v/>
      </c>
      <c r="R380" s="465"/>
      <c r="S380" s="466" t="str">
        <f t="shared" ca="1" si="26"/>
        <v/>
      </c>
      <c r="T380" s="461" t="str">
        <f t="shared" ca="1" si="27"/>
        <v/>
      </c>
      <c r="U380" s="449"/>
    </row>
    <row r="381" spans="2:21" x14ac:dyDescent="0.35">
      <c r="B381" s="459" t="str">
        <f>IF(Lançamentos!$B376="","",Lançamentos!$B376)</f>
        <v/>
      </c>
      <c r="C381" s="460" t="str">
        <f>IF($B381="","",IFERROR(INDEX(Lançamentos!$J$3:$J$1001,MATCH($B381,Lançamentos!$B$3:$B$1001,0)),""))</f>
        <v/>
      </c>
      <c r="D381" s="461" t="str">
        <f>IF($B381="","",IFERROR(INDEX('E2 — Triagem'!$D$8:$D$507,MATCH($B381,'E2 — Triagem'!$B$8:$B$507,0)),""))</f>
        <v/>
      </c>
      <c r="E381" s="447"/>
      <c r="F381" s="447"/>
      <c r="G381" s="447"/>
      <c r="H381" s="447"/>
      <c r="I381" s="447"/>
      <c r="J381" s="447"/>
      <c r="K381" s="462" t="str">
        <f t="shared" si="24"/>
        <v/>
      </c>
      <c r="L381" s="448"/>
      <c r="M381" s="448"/>
      <c r="N381" s="447"/>
      <c r="O381" s="463" t="str">
        <f>IF(B381="","",IF(Lançamentos!D376="","",Lançamentos!D376))</f>
        <v/>
      </c>
      <c r="P381" s="209">
        <v>7</v>
      </c>
      <c r="Q381" s="464" t="str">
        <f t="shared" si="25"/>
        <v/>
      </c>
      <c r="R381" s="465"/>
      <c r="S381" s="466" t="str">
        <f t="shared" ca="1" si="26"/>
        <v/>
      </c>
      <c r="T381" s="461" t="str">
        <f t="shared" ca="1" si="27"/>
        <v/>
      </c>
      <c r="U381" s="449"/>
    </row>
    <row r="382" spans="2:21" x14ac:dyDescent="0.35">
      <c r="B382" s="459" t="str">
        <f>IF(Lançamentos!$B377="","",Lançamentos!$B377)</f>
        <v/>
      </c>
      <c r="C382" s="460" t="str">
        <f>IF($B382="","",IFERROR(INDEX(Lançamentos!$J$3:$J$1001,MATCH($B382,Lançamentos!$B$3:$B$1001,0)),""))</f>
        <v/>
      </c>
      <c r="D382" s="461" t="str">
        <f>IF($B382="","",IFERROR(INDEX('E2 — Triagem'!$D$8:$D$507,MATCH($B382,'E2 — Triagem'!$B$8:$B$507,0)),""))</f>
        <v/>
      </c>
      <c r="E382" s="447"/>
      <c r="F382" s="447"/>
      <c r="G382" s="447"/>
      <c r="H382" s="447"/>
      <c r="I382" s="447"/>
      <c r="J382" s="447"/>
      <c r="K382" s="462" t="str">
        <f t="shared" si="24"/>
        <v/>
      </c>
      <c r="L382" s="448"/>
      <c r="M382" s="448"/>
      <c r="N382" s="447"/>
      <c r="O382" s="463" t="str">
        <f>IF(B382="","",IF(Lançamentos!D377="","",Lançamentos!D377))</f>
        <v/>
      </c>
      <c r="P382" s="209">
        <v>7</v>
      </c>
      <c r="Q382" s="464" t="str">
        <f t="shared" si="25"/>
        <v/>
      </c>
      <c r="R382" s="465"/>
      <c r="S382" s="466" t="str">
        <f t="shared" ca="1" si="26"/>
        <v/>
      </c>
      <c r="T382" s="461" t="str">
        <f t="shared" ca="1" si="27"/>
        <v/>
      </c>
      <c r="U382" s="449"/>
    </row>
    <row r="383" spans="2:21" x14ac:dyDescent="0.35">
      <c r="B383" s="459" t="str">
        <f>IF(Lançamentos!$B378="","",Lançamentos!$B378)</f>
        <v/>
      </c>
      <c r="C383" s="460" t="str">
        <f>IF($B383="","",IFERROR(INDEX(Lançamentos!$J$3:$J$1001,MATCH($B383,Lançamentos!$B$3:$B$1001,0)),""))</f>
        <v/>
      </c>
      <c r="D383" s="461" t="str">
        <f>IF($B383="","",IFERROR(INDEX('E2 — Triagem'!$D$8:$D$507,MATCH($B383,'E2 — Triagem'!$B$8:$B$507,0)),""))</f>
        <v/>
      </c>
      <c r="E383" s="447"/>
      <c r="F383" s="447"/>
      <c r="G383" s="447"/>
      <c r="H383" s="447"/>
      <c r="I383" s="447"/>
      <c r="J383" s="447"/>
      <c r="K383" s="462" t="str">
        <f t="shared" si="24"/>
        <v/>
      </c>
      <c r="L383" s="448"/>
      <c r="M383" s="448"/>
      <c r="N383" s="447"/>
      <c r="O383" s="463" t="str">
        <f>IF(B383="","",IF(Lançamentos!D378="","",Lançamentos!D378))</f>
        <v/>
      </c>
      <c r="P383" s="209">
        <v>7</v>
      </c>
      <c r="Q383" s="464" t="str">
        <f t="shared" si="25"/>
        <v/>
      </c>
      <c r="R383" s="465"/>
      <c r="S383" s="466" t="str">
        <f t="shared" ca="1" si="26"/>
        <v/>
      </c>
      <c r="T383" s="461" t="str">
        <f t="shared" ca="1" si="27"/>
        <v/>
      </c>
      <c r="U383" s="449"/>
    </row>
    <row r="384" spans="2:21" x14ac:dyDescent="0.35">
      <c r="B384" s="459" t="str">
        <f>IF(Lançamentos!$B379="","",Lançamentos!$B379)</f>
        <v/>
      </c>
      <c r="C384" s="460" t="str">
        <f>IF($B384="","",IFERROR(INDEX(Lançamentos!$J$3:$J$1001,MATCH($B384,Lançamentos!$B$3:$B$1001,0)),""))</f>
        <v/>
      </c>
      <c r="D384" s="461" t="str">
        <f>IF($B384="","",IFERROR(INDEX('E2 — Triagem'!$D$8:$D$507,MATCH($B384,'E2 — Triagem'!$B$8:$B$507,0)),""))</f>
        <v/>
      </c>
      <c r="E384" s="447"/>
      <c r="F384" s="447"/>
      <c r="G384" s="447"/>
      <c r="H384" s="447"/>
      <c r="I384" s="447"/>
      <c r="J384" s="447"/>
      <c r="K384" s="462" t="str">
        <f t="shared" si="24"/>
        <v/>
      </c>
      <c r="L384" s="448"/>
      <c r="M384" s="448"/>
      <c r="N384" s="447"/>
      <c r="O384" s="463" t="str">
        <f>IF(B384="","",IF(Lançamentos!D379="","",Lançamentos!D379))</f>
        <v/>
      </c>
      <c r="P384" s="209">
        <v>7</v>
      </c>
      <c r="Q384" s="464" t="str">
        <f t="shared" si="25"/>
        <v/>
      </c>
      <c r="R384" s="465"/>
      <c r="S384" s="466" t="str">
        <f t="shared" ca="1" si="26"/>
        <v/>
      </c>
      <c r="T384" s="461" t="str">
        <f t="shared" ca="1" si="27"/>
        <v/>
      </c>
      <c r="U384" s="449"/>
    </row>
    <row r="385" spans="2:21" x14ac:dyDescent="0.35">
      <c r="B385" s="459" t="str">
        <f>IF(Lançamentos!$B380="","",Lançamentos!$B380)</f>
        <v/>
      </c>
      <c r="C385" s="460" t="str">
        <f>IF($B385="","",IFERROR(INDEX(Lançamentos!$J$3:$J$1001,MATCH($B385,Lançamentos!$B$3:$B$1001,0)),""))</f>
        <v/>
      </c>
      <c r="D385" s="461" t="str">
        <f>IF($B385="","",IFERROR(INDEX('E2 — Triagem'!$D$8:$D$507,MATCH($B385,'E2 — Triagem'!$B$8:$B$507,0)),""))</f>
        <v/>
      </c>
      <c r="E385" s="447"/>
      <c r="F385" s="447"/>
      <c r="G385" s="447"/>
      <c r="H385" s="447"/>
      <c r="I385" s="447"/>
      <c r="J385" s="447"/>
      <c r="K385" s="462" t="str">
        <f t="shared" si="24"/>
        <v/>
      </c>
      <c r="L385" s="448"/>
      <c r="M385" s="448"/>
      <c r="N385" s="447"/>
      <c r="O385" s="463" t="str">
        <f>IF(B385="","",IF(Lançamentos!D380="","",Lançamentos!D380))</f>
        <v/>
      </c>
      <c r="P385" s="209">
        <v>7</v>
      </c>
      <c r="Q385" s="464" t="str">
        <f t="shared" si="25"/>
        <v/>
      </c>
      <c r="R385" s="465"/>
      <c r="S385" s="466" t="str">
        <f t="shared" ca="1" si="26"/>
        <v/>
      </c>
      <c r="T385" s="461" t="str">
        <f t="shared" ca="1" si="27"/>
        <v/>
      </c>
      <c r="U385" s="449"/>
    </row>
    <row r="386" spans="2:21" x14ac:dyDescent="0.35">
      <c r="B386" s="459" t="str">
        <f>IF(Lançamentos!$B381="","",Lançamentos!$B381)</f>
        <v/>
      </c>
      <c r="C386" s="460" t="str">
        <f>IF($B386="","",IFERROR(INDEX(Lançamentos!$J$3:$J$1001,MATCH($B386,Lançamentos!$B$3:$B$1001,0)),""))</f>
        <v/>
      </c>
      <c r="D386" s="461" t="str">
        <f>IF($B386="","",IFERROR(INDEX('E2 — Triagem'!$D$8:$D$507,MATCH($B386,'E2 — Triagem'!$B$8:$B$507,0)),""))</f>
        <v/>
      </c>
      <c r="E386" s="447"/>
      <c r="F386" s="447"/>
      <c r="G386" s="447"/>
      <c r="H386" s="447"/>
      <c r="I386" s="447"/>
      <c r="J386" s="447"/>
      <c r="K386" s="462" t="str">
        <f t="shared" si="24"/>
        <v/>
      </c>
      <c r="L386" s="448"/>
      <c r="M386" s="448"/>
      <c r="N386" s="447"/>
      <c r="O386" s="463" t="str">
        <f>IF(B386="","",IF(Lançamentos!D381="","",Lançamentos!D381))</f>
        <v/>
      </c>
      <c r="P386" s="209">
        <v>7</v>
      </c>
      <c r="Q386" s="464" t="str">
        <f t="shared" si="25"/>
        <v/>
      </c>
      <c r="R386" s="465"/>
      <c r="S386" s="466" t="str">
        <f t="shared" ca="1" si="26"/>
        <v/>
      </c>
      <c r="T386" s="461" t="str">
        <f t="shared" ca="1" si="27"/>
        <v/>
      </c>
      <c r="U386" s="449"/>
    </row>
    <row r="387" spans="2:21" x14ac:dyDescent="0.35">
      <c r="B387" s="459" t="str">
        <f>IF(Lançamentos!$B382="","",Lançamentos!$B382)</f>
        <v/>
      </c>
      <c r="C387" s="460" t="str">
        <f>IF($B387="","",IFERROR(INDEX(Lançamentos!$J$3:$J$1001,MATCH($B387,Lançamentos!$B$3:$B$1001,0)),""))</f>
        <v/>
      </c>
      <c r="D387" s="461" t="str">
        <f>IF($B387="","",IFERROR(INDEX('E2 — Triagem'!$D$8:$D$507,MATCH($B387,'E2 — Triagem'!$B$8:$B$507,0)),""))</f>
        <v/>
      </c>
      <c r="E387" s="447"/>
      <c r="F387" s="447"/>
      <c r="G387" s="447"/>
      <c r="H387" s="447"/>
      <c r="I387" s="447"/>
      <c r="J387" s="447"/>
      <c r="K387" s="462" t="str">
        <f t="shared" si="24"/>
        <v/>
      </c>
      <c r="L387" s="448"/>
      <c r="M387" s="448"/>
      <c r="N387" s="447"/>
      <c r="O387" s="463" t="str">
        <f>IF(B387="","",IF(Lançamentos!D382="","",Lançamentos!D382))</f>
        <v/>
      </c>
      <c r="P387" s="209">
        <v>7</v>
      </c>
      <c r="Q387" s="464" t="str">
        <f t="shared" si="25"/>
        <v/>
      </c>
      <c r="R387" s="465"/>
      <c r="S387" s="466" t="str">
        <f t="shared" ca="1" si="26"/>
        <v/>
      </c>
      <c r="T387" s="461" t="str">
        <f t="shared" ca="1" si="27"/>
        <v/>
      </c>
      <c r="U387" s="449"/>
    </row>
    <row r="388" spans="2:21" x14ac:dyDescent="0.35">
      <c r="B388" s="459" t="str">
        <f>IF(Lançamentos!$B383="","",Lançamentos!$B383)</f>
        <v/>
      </c>
      <c r="C388" s="460" t="str">
        <f>IF($B388="","",IFERROR(INDEX(Lançamentos!$J$3:$J$1001,MATCH($B388,Lançamentos!$B$3:$B$1001,0)),""))</f>
        <v/>
      </c>
      <c r="D388" s="461" t="str">
        <f>IF($B388="","",IFERROR(INDEX('E2 — Triagem'!$D$8:$D$507,MATCH($B388,'E2 — Triagem'!$B$8:$B$507,0)),""))</f>
        <v/>
      </c>
      <c r="E388" s="447"/>
      <c r="F388" s="447"/>
      <c r="G388" s="447"/>
      <c r="H388" s="447"/>
      <c r="I388" s="447"/>
      <c r="J388" s="447"/>
      <c r="K388" s="462" t="str">
        <f t="shared" si="24"/>
        <v/>
      </c>
      <c r="L388" s="448"/>
      <c r="M388" s="448"/>
      <c r="N388" s="447"/>
      <c r="O388" s="463" t="str">
        <f>IF(B388="","",IF(Lançamentos!D383="","",Lançamentos!D383))</f>
        <v/>
      </c>
      <c r="P388" s="209">
        <v>7</v>
      </c>
      <c r="Q388" s="464" t="str">
        <f t="shared" si="25"/>
        <v/>
      </c>
      <c r="R388" s="465"/>
      <c r="S388" s="466" t="str">
        <f t="shared" ca="1" si="26"/>
        <v/>
      </c>
      <c r="T388" s="461" t="str">
        <f t="shared" ca="1" si="27"/>
        <v/>
      </c>
      <c r="U388" s="449"/>
    </row>
    <row r="389" spans="2:21" x14ac:dyDescent="0.35">
      <c r="B389" s="459" t="str">
        <f>IF(Lançamentos!$B384="","",Lançamentos!$B384)</f>
        <v/>
      </c>
      <c r="C389" s="460" t="str">
        <f>IF($B389="","",IFERROR(INDEX(Lançamentos!$J$3:$J$1001,MATCH($B389,Lançamentos!$B$3:$B$1001,0)),""))</f>
        <v/>
      </c>
      <c r="D389" s="461" t="str">
        <f>IF($B389="","",IFERROR(INDEX('E2 — Triagem'!$D$8:$D$507,MATCH($B389,'E2 — Triagem'!$B$8:$B$507,0)),""))</f>
        <v/>
      </c>
      <c r="E389" s="447"/>
      <c r="F389" s="447"/>
      <c r="G389" s="447"/>
      <c r="H389" s="447"/>
      <c r="I389" s="447"/>
      <c r="J389" s="447"/>
      <c r="K389" s="462" t="str">
        <f t="shared" si="24"/>
        <v/>
      </c>
      <c r="L389" s="448"/>
      <c r="M389" s="448"/>
      <c r="N389" s="447"/>
      <c r="O389" s="463" t="str">
        <f>IF(B389="","",IF(Lançamentos!D384="","",Lançamentos!D384))</f>
        <v/>
      </c>
      <c r="P389" s="209">
        <v>7</v>
      </c>
      <c r="Q389" s="464" t="str">
        <f t="shared" si="25"/>
        <v/>
      </c>
      <c r="R389" s="465"/>
      <c r="S389" s="466" t="str">
        <f t="shared" ca="1" si="26"/>
        <v/>
      </c>
      <c r="T389" s="461" t="str">
        <f t="shared" ca="1" si="27"/>
        <v/>
      </c>
      <c r="U389" s="449"/>
    </row>
    <row r="390" spans="2:21" x14ac:dyDescent="0.35">
      <c r="B390" s="459" t="str">
        <f>IF(Lançamentos!$B385="","",Lançamentos!$B385)</f>
        <v/>
      </c>
      <c r="C390" s="460" t="str">
        <f>IF($B390="","",IFERROR(INDEX(Lançamentos!$J$3:$J$1001,MATCH($B390,Lançamentos!$B$3:$B$1001,0)),""))</f>
        <v/>
      </c>
      <c r="D390" s="461" t="str">
        <f>IF($B390="","",IFERROR(INDEX('E2 — Triagem'!$D$8:$D$507,MATCH($B390,'E2 — Triagem'!$B$8:$B$507,0)),""))</f>
        <v/>
      </c>
      <c r="E390" s="447"/>
      <c r="F390" s="447"/>
      <c r="G390" s="447"/>
      <c r="H390" s="447"/>
      <c r="I390" s="447"/>
      <c r="J390" s="447"/>
      <c r="K390" s="462" t="str">
        <f t="shared" si="24"/>
        <v/>
      </c>
      <c r="L390" s="448"/>
      <c r="M390" s="448"/>
      <c r="N390" s="447"/>
      <c r="O390" s="463" t="str">
        <f>IF(B390="","",IF(Lançamentos!D385="","",Lançamentos!D385))</f>
        <v/>
      </c>
      <c r="P390" s="209">
        <v>7</v>
      </c>
      <c r="Q390" s="464" t="str">
        <f t="shared" si="25"/>
        <v/>
      </c>
      <c r="R390" s="465"/>
      <c r="S390" s="466" t="str">
        <f t="shared" ca="1" si="26"/>
        <v/>
      </c>
      <c r="T390" s="461" t="str">
        <f t="shared" ca="1" si="27"/>
        <v/>
      </c>
      <c r="U390" s="449"/>
    </row>
    <row r="391" spans="2:21" x14ac:dyDescent="0.35">
      <c r="B391" s="459" t="str">
        <f>IF(Lançamentos!$B386="","",Lançamentos!$B386)</f>
        <v/>
      </c>
      <c r="C391" s="460" t="str">
        <f>IF($B391="","",IFERROR(INDEX(Lançamentos!$J$3:$J$1001,MATCH($B391,Lançamentos!$B$3:$B$1001,0)),""))</f>
        <v/>
      </c>
      <c r="D391" s="461" t="str">
        <f>IF($B391="","",IFERROR(INDEX('E2 — Triagem'!$D$8:$D$507,MATCH($B391,'E2 — Triagem'!$B$8:$B$507,0)),""))</f>
        <v/>
      </c>
      <c r="E391" s="447"/>
      <c r="F391" s="447"/>
      <c r="G391" s="447"/>
      <c r="H391" s="447"/>
      <c r="I391" s="447"/>
      <c r="J391" s="447"/>
      <c r="K391" s="462" t="str">
        <f t="shared" si="24"/>
        <v/>
      </c>
      <c r="L391" s="448"/>
      <c r="M391" s="448"/>
      <c r="N391" s="447"/>
      <c r="O391" s="463" t="str">
        <f>IF(B391="","",IF(Lançamentos!D386="","",Lançamentos!D386))</f>
        <v/>
      </c>
      <c r="P391" s="209">
        <v>7</v>
      </c>
      <c r="Q391" s="464" t="str">
        <f t="shared" si="25"/>
        <v/>
      </c>
      <c r="R391" s="465"/>
      <c r="S391" s="466" t="str">
        <f t="shared" ca="1" si="26"/>
        <v/>
      </c>
      <c r="T391" s="461" t="str">
        <f t="shared" ca="1" si="27"/>
        <v/>
      </c>
      <c r="U391" s="449"/>
    </row>
    <row r="392" spans="2:21" x14ac:dyDescent="0.35">
      <c r="B392" s="459" t="str">
        <f>IF(Lançamentos!$B387="","",Lançamentos!$B387)</f>
        <v/>
      </c>
      <c r="C392" s="460" t="str">
        <f>IF($B392="","",IFERROR(INDEX(Lançamentos!$J$3:$J$1001,MATCH($B392,Lançamentos!$B$3:$B$1001,0)),""))</f>
        <v/>
      </c>
      <c r="D392" s="461" t="str">
        <f>IF($B392="","",IFERROR(INDEX('E2 — Triagem'!$D$8:$D$507,MATCH($B392,'E2 — Triagem'!$B$8:$B$507,0)),""))</f>
        <v/>
      </c>
      <c r="E392" s="447"/>
      <c r="F392" s="447"/>
      <c r="G392" s="447"/>
      <c r="H392" s="447"/>
      <c r="I392" s="447"/>
      <c r="J392" s="447"/>
      <c r="K392" s="462" t="str">
        <f t="shared" si="24"/>
        <v/>
      </c>
      <c r="L392" s="448"/>
      <c r="M392" s="448"/>
      <c r="N392" s="447"/>
      <c r="O392" s="463" t="str">
        <f>IF(B392="","",IF(Lançamentos!D387="","",Lançamentos!D387))</f>
        <v/>
      </c>
      <c r="P392" s="209">
        <v>7</v>
      </c>
      <c r="Q392" s="464" t="str">
        <f t="shared" si="25"/>
        <v/>
      </c>
      <c r="R392" s="465"/>
      <c r="S392" s="466" t="str">
        <f t="shared" ca="1" si="26"/>
        <v/>
      </c>
      <c r="T392" s="461" t="str">
        <f t="shared" ca="1" si="27"/>
        <v/>
      </c>
      <c r="U392" s="449"/>
    </row>
    <row r="393" spans="2:21" x14ac:dyDescent="0.35">
      <c r="B393" s="459" t="str">
        <f>IF(Lançamentos!$B388="","",Lançamentos!$B388)</f>
        <v/>
      </c>
      <c r="C393" s="460" t="str">
        <f>IF($B393="","",IFERROR(INDEX(Lançamentos!$J$3:$J$1001,MATCH($B393,Lançamentos!$B$3:$B$1001,0)),""))</f>
        <v/>
      </c>
      <c r="D393" s="461" t="str">
        <f>IF($B393="","",IFERROR(INDEX('E2 — Triagem'!$D$8:$D$507,MATCH($B393,'E2 — Triagem'!$B$8:$B$507,0)),""))</f>
        <v/>
      </c>
      <c r="E393" s="447"/>
      <c r="F393" s="447"/>
      <c r="G393" s="447"/>
      <c r="H393" s="447"/>
      <c r="I393" s="447"/>
      <c r="J393" s="447"/>
      <c r="K393" s="462" t="str">
        <f t="shared" si="24"/>
        <v/>
      </c>
      <c r="L393" s="448"/>
      <c r="M393" s="448"/>
      <c r="N393" s="447"/>
      <c r="O393" s="463" t="str">
        <f>IF(B393="","",IF(Lançamentos!D388="","",Lançamentos!D388))</f>
        <v/>
      </c>
      <c r="P393" s="209">
        <v>7</v>
      </c>
      <c r="Q393" s="464" t="str">
        <f t="shared" si="25"/>
        <v/>
      </c>
      <c r="R393" s="465"/>
      <c r="S393" s="466" t="str">
        <f t="shared" ca="1" si="26"/>
        <v/>
      </c>
      <c r="T393" s="461" t="str">
        <f t="shared" ca="1" si="27"/>
        <v/>
      </c>
      <c r="U393" s="449"/>
    </row>
    <row r="394" spans="2:21" x14ac:dyDescent="0.35">
      <c r="B394" s="459" t="str">
        <f>IF(Lançamentos!$B389="","",Lançamentos!$B389)</f>
        <v/>
      </c>
      <c r="C394" s="460" t="str">
        <f>IF($B394="","",IFERROR(INDEX(Lançamentos!$J$3:$J$1001,MATCH($B394,Lançamentos!$B$3:$B$1001,0)),""))</f>
        <v/>
      </c>
      <c r="D394" s="461" t="str">
        <f>IF($B394="","",IFERROR(INDEX('E2 — Triagem'!$D$8:$D$507,MATCH($B394,'E2 — Triagem'!$B$8:$B$507,0)),""))</f>
        <v/>
      </c>
      <c r="E394" s="447"/>
      <c r="F394" s="447"/>
      <c r="G394" s="447"/>
      <c r="H394" s="447"/>
      <c r="I394" s="447"/>
      <c r="J394" s="447"/>
      <c r="K394" s="462" t="str">
        <f t="shared" si="24"/>
        <v/>
      </c>
      <c r="L394" s="448"/>
      <c r="M394" s="448"/>
      <c r="N394" s="447"/>
      <c r="O394" s="463" t="str">
        <f>IF(B394="","",IF(Lançamentos!D389="","",Lançamentos!D389))</f>
        <v/>
      </c>
      <c r="P394" s="209">
        <v>7</v>
      </c>
      <c r="Q394" s="464" t="str">
        <f t="shared" si="25"/>
        <v/>
      </c>
      <c r="R394" s="465"/>
      <c r="S394" s="466" t="str">
        <f t="shared" ca="1" si="26"/>
        <v/>
      </c>
      <c r="T394" s="461" t="str">
        <f t="shared" ca="1" si="27"/>
        <v/>
      </c>
      <c r="U394" s="449"/>
    </row>
    <row r="395" spans="2:21" x14ac:dyDescent="0.35">
      <c r="B395" s="459" t="str">
        <f>IF(Lançamentos!$B390="","",Lançamentos!$B390)</f>
        <v/>
      </c>
      <c r="C395" s="460" t="str">
        <f>IF($B395="","",IFERROR(INDEX(Lançamentos!$J$3:$J$1001,MATCH($B395,Lançamentos!$B$3:$B$1001,0)),""))</f>
        <v/>
      </c>
      <c r="D395" s="461" t="str">
        <f>IF($B395="","",IFERROR(INDEX('E2 — Triagem'!$D$8:$D$507,MATCH($B395,'E2 — Triagem'!$B$8:$B$507,0)),""))</f>
        <v/>
      </c>
      <c r="E395" s="447"/>
      <c r="F395" s="447"/>
      <c r="G395" s="447"/>
      <c r="H395" s="447"/>
      <c r="I395" s="447"/>
      <c r="J395" s="447"/>
      <c r="K395" s="462" t="str">
        <f t="shared" si="24"/>
        <v/>
      </c>
      <c r="L395" s="448"/>
      <c r="M395" s="448"/>
      <c r="N395" s="447"/>
      <c r="O395" s="463" t="str">
        <f>IF(B395="","",IF(Lançamentos!D390="","",Lançamentos!D390))</f>
        <v/>
      </c>
      <c r="P395" s="209">
        <v>7</v>
      </c>
      <c r="Q395" s="464" t="str">
        <f t="shared" si="25"/>
        <v/>
      </c>
      <c r="R395" s="465"/>
      <c r="S395" s="466" t="str">
        <f t="shared" ca="1" si="26"/>
        <v/>
      </c>
      <c r="T395" s="461" t="str">
        <f t="shared" ca="1" si="27"/>
        <v/>
      </c>
      <c r="U395" s="449"/>
    </row>
    <row r="396" spans="2:21" x14ac:dyDescent="0.35">
      <c r="B396" s="459" t="str">
        <f>IF(Lançamentos!$B391="","",Lançamentos!$B391)</f>
        <v/>
      </c>
      <c r="C396" s="460" t="str">
        <f>IF($B396="","",IFERROR(INDEX(Lançamentos!$J$3:$J$1001,MATCH($B396,Lançamentos!$B$3:$B$1001,0)),""))</f>
        <v/>
      </c>
      <c r="D396" s="461" t="str">
        <f>IF($B396="","",IFERROR(INDEX('E2 — Triagem'!$D$8:$D$507,MATCH($B396,'E2 — Triagem'!$B$8:$B$507,0)),""))</f>
        <v/>
      </c>
      <c r="E396" s="447"/>
      <c r="F396" s="447"/>
      <c r="G396" s="447"/>
      <c r="H396" s="447"/>
      <c r="I396" s="447"/>
      <c r="J396" s="447"/>
      <c r="K396" s="462" t="str">
        <f t="shared" si="24"/>
        <v/>
      </c>
      <c r="L396" s="448"/>
      <c r="M396" s="448"/>
      <c r="N396" s="447"/>
      <c r="O396" s="463" t="str">
        <f>IF(B396="","",IF(Lançamentos!D391="","",Lançamentos!D391))</f>
        <v/>
      </c>
      <c r="P396" s="209">
        <v>7</v>
      </c>
      <c r="Q396" s="464" t="str">
        <f t="shared" si="25"/>
        <v/>
      </c>
      <c r="R396" s="465"/>
      <c r="S396" s="466" t="str">
        <f t="shared" ca="1" si="26"/>
        <v/>
      </c>
      <c r="T396" s="461" t="str">
        <f t="shared" ca="1" si="27"/>
        <v/>
      </c>
      <c r="U396" s="449"/>
    </row>
    <row r="397" spans="2:21" x14ac:dyDescent="0.35">
      <c r="B397" s="459" t="str">
        <f>IF(Lançamentos!$B392="","",Lançamentos!$B392)</f>
        <v/>
      </c>
      <c r="C397" s="460" t="str">
        <f>IF($B397="","",IFERROR(INDEX(Lançamentos!$J$3:$J$1001,MATCH($B397,Lançamentos!$B$3:$B$1001,0)),""))</f>
        <v/>
      </c>
      <c r="D397" s="461" t="str">
        <f>IF($B397="","",IFERROR(INDEX('E2 — Triagem'!$D$8:$D$507,MATCH($B397,'E2 — Triagem'!$B$8:$B$507,0)),""))</f>
        <v/>
      </c>
      <c r="E397" s="447"/>
      <c r="F397" s="447"/>
      <c r="G397" s="447"/>
      <c r="H397" s="447"/>
      <c r="I397" s="447"/>
      <c r="J397" s="447"/>
      <c r="K397" s="462" t="str">
        <f t="shared" si="24"/>
        <v/>
      </c>
      <c r="L397" s="448"/>
      <c r="M397" s="448"/>
      <c r="N397" s="447"/>
      <c r="O397" s="463" t="str">
        <f>IF(B397="","",IF(Lançamentos!D392="","",Lançamentos!D392))</f>
        <v/>
      </c>
      <c r="P397" s="209">
        <v>7</v>
      </c>
      <c r="Q397" s="464" t="str">
        <f t="shared" si="25"/>
        <v/>
      </c>
      <c r="R397" s="465"/>
      <c r="S397" s="466" t="str">
        <f t="shared" ca="1" si="26"/>
        <v/>
      </c>
      <c r="T397" s="461" t="str">
        <f t="shared" ca="1" si="27"/>
        <v/>
      </c>
      <c r="U397" s="449"/>
    </row>
    <row r="398" spans="2:21" x14ac:dyDescent="0.35">
      <c r="B398" s="459" t="str">
        <f>IF(Lançamentos!$B393="","",Lançamentos!$B393)</f>
        <v/>
      </c>
      <c r="C398" s="460" t="str">
        <f>IF($B398="","",IFERROR(INDEX(Lançamentos!$J$3:$J$1001,MATCH($B398,Lançamentos!$B$3:$B$1001,0)),""))</f>
        <v/>
      </c>
      <c r="D398" s="461" t="str">
        <f>IF($B398="","",IFERROR(INDEX('E2 — Triagem'!$D$8:$D$507,MATCH($B398,'E2 — Triagem'!$B$8:$B$507,0)),""))</f>
        <v/>
      </c>
      <c r="E398" s="447"/>
      <c r="F398" s="447"/>
      <c r="G398" s="447"/>
      <c r="H398" s="447"/>
      <c r="I398" s="447"/>
      <c r="J398" s="447"/>
      <c r="K398" s="462" t="str">
        <f t="shared" si="24"/>
        <v/>
      </c>
      <c r="L398" s="448"/>
      <c r="M398" s="448"/>
      <c r="N398" s="447"/>
      <c r="O398" s="463" t="str">
        <f>IF(B398="","",IF(Lançamentos!D393="","",Lançamentos!D393))</f>
        <v/>
      </c>
      <c r="P398" s="209">
        <v>7</v>
      </c>
      <c r="Q398" s="464" t="str">
        <f t="shared" si="25"/>
        <v/>
      </c>
      <c r="R398" s="465"/>
      <c r="S398" s="466" t="str">
        <f t="shared" ca="1" si="26"/>
        <v/>
      </c>
      <c r="T398" s="461" t="str">
        <f t="shared" ca="1" si="27"/>
        <v/>
      </c>
      <c r="U398" s="449"/>
    </row>
    <row r="399" spans="2:21" x14ac:dyDescent="0.35">
      <c r="B399" s="459" t="str">
        <f>IF(Lançamentos!$B394="","",Lançamentos!$B394)</f>
        <v/>
      </c>
      <c r="C399" s="460" t="str">
        <f>IF($B399="","",IFERROR(INDEX(Lançamentos!$J$3:$J$1001,MATCH($B399,Lançamentos!$B$3:$B$1001,0)),""))</f>
        <v/>
      </c>
      <c r="D399" s="461" t="str">
        <f>IF($B399="","",IFERROR(INDEX('E2 — Triagem'!$D$8:$D$507,MATCH($B399,'E2 — Triagem'!$B$8:$B$507,0)),""))</f>
        <v/>
      </c>
      <c r="E399" s="447"/>
      <c r="F399" s="447"/>
      <c r="G399" s="447"/>
      <c r="H399" s="447"/>
      <c r="I399" s="447"/>
      <c r="J399" s="447"/>
      <c r="K399" s="462" t="str">
        <f t="shared" si="24"/>
        <v/>
      </c>
      <c r="L399" s="448"/>
      <c r="M399" s="448"/>
      <c r="N399" s="447"/>
      <c r="O399" s="463" t="str">
        <f>IF(B399="","",IF(Lançamentos!D394="","",Lançamentos!D394))</f>
        <v/>
      </c>
      <c r="P399" s="209">
        <v>7</v>
      </c>
      <c r="Q399" s="464" t="str">
        <f t="shared" si="25"/>
        <v/>
      </c>
      <c r="R399" s="465"/>
      <c r="S399" s="466" t="str">
        <f t="shared" ca="1" si="26"/>
        <v/>
      </c>
      <c r="T399" s="461" t="str">
        <f t="shared" ca="1" si="27"/>
        <v/>
      </c>
      <c r="U399" s="449"/>
    </row>
    <row r="400" spans="2:21" x14ac:dyDescent="0.35">
      <c r="B400" s="459" t="str">
        <f>IF(Lançamentos!$B395="","",Lançamentos!$B395)</f>
        <v/>
      </c>
      <c r="C400" s="460" t="str">
        <f>IF($B400="","",IFERROR(INDEX(Lançamentos!$J$3:$J$1001,MATCH($B400,Lançamentos!$B$3:$B$1001,0)),""))</f>
        <v/>
      </c>
      <c r="D400" s="461" t="str">
        <f>IF($B400="","",IFERROR(INDEX('E2 — Triagem'!$D$8:$D$507,MATCH($B400,'E2 — Triagem'!$B$8:$B$507,0)),""))</f>
        <v/>
      </c>
      <c r="E400" s="447"/>
      <c r="F400" s="447"/>
      <c r="G400" s="447"/>
      <c r="H400" s="447"/>
      <c r="I400" s="447"/>
      <c r="J400" s="447"/>
      <c r="K400" s="462" t="str">
        <f t="shared" ref="K400:K463" si="28">IF(B400="","",IF(COUNTIF(E400:J400,"N/A")=6,0,COUNTIF(E400:J400,"✔ Concluído")/(6-COUNTIF(E400:J400,"N/A"))))</f>
        <v/>
      </c>
      <c r="L400" s="448"/>
      <c r="M400" s="448"/>
      <c r="N400" s="447"/>
      <c r="O400" s="463" t="str">
        <f>IF(B400="","",IF(Lançamentos!D395="","",Lançamentos!D395))</f>
        <v/>
      </c>
      <c r="P400" s="209">
        <v>7</v>
      </c>
      <c r="Q400" s="464" t="str">
        <f t="shared" ref="Q400:Q463" si="29">IF(OR(O400="",P400=""),"",O400+P400)</f>
        <v/>
      </c>
      <c r="R400" s="465"/>
      <c r="S400" s="466" t="str">
        <f t="shared" ref="S400:S463" ca="1" si="30">IF(O400="","",MAX(0,IF(R400&lt;&gt;"",R400-O400,TODAY()-O400)))</f>
        <v/>
      </c>
      <c r="T400" s="461" t="str">
        <f t="shared" ref="T400:T463" ca="1" si="31">IF(B400="","",IF(R400&lt;&gt;"","✅ Encerrado",IF(O400="","",IF(TODAY()&gt;Q400,"🔴 Hypercare Atrasado",IF(TODAY()&gt;=Q400-2,"🟡 Próximo do Encerramento","🟢 Dentro do Período")))))</f>
        <v/>
      </c>
      <c r="U400" s="449"/>
    </row>
    <row r="401" spans="2:21" x14ac:dyDescent="0.35">
      <c r="B401" s="459" t="str">
        <f>IF(Lançamentos!$B396="","",Lançamentos!$B396)</f>
        <v/>
      </c>
      <c r="C401" s="460" t="str">
        <f>IF($B401="","",IFERROR(INDEX(Lançamentos!$J$3:$J$1001,MATCH($B401,Lançamentos!$B$3:$B$1001,0)),""))</f>
        <v/>
      </c>
      <c r="D401" s="461" t="str">
        <f>IF($B401="","",IFERROR(INDEX('E2 — Triagem'!$D$8:$D$507,MATCH($B401,'E2 — Triagem'!$B$8:$B$507,0)),""))</f>
        <v/>
      </c>
      <c r="E401" s="447"/>
      <c r="F401" s="447"/>
      <c r="G401" s="447"/>
      <c r="H401" s="447"/>
      <c r="I401" s="447"/>
      <c r="J401" s="447"/>
      <c r="K401" s="462" t="str">
        <f t="shared" si="28"/>
        <v/>
      </c>
      <c r="L401" s="448"/>
      <c r="M401" s="448"/>
      <c r="N401" s="447"/>
      <c r="O401" s="463" t="str">
        <f>IF(B401="","",IF(Lançamentos!D396="","",Lançamentos!D396))</f>
        <v/>
      </c>
      <c r="P401" s="209">
        <v>7</v>
      </c>
      <c r="Q401" s="464" t="str">
        <f t="shared" si="29"/>
        <v/>
      </c>
      <c r="R401" s="465"/>
      <c r="S401" s="466" t="str">
        <f t="shared" ca="1" si="30"/>
        <v/>
      </c>
      <c r="T401" s="461" t="str">
        <f t="shared" ca="1" si="31"/>
        <v/>
      </c>
      <c r="U401" s="449"/>
    </row>
    <row r="402" spans="2:21" x14ac:dyDescent="0.35">
      <c r="B402" s="459" t="str">
        <f>IF(Lançamentos!$B397="","",Lançamentos!$B397)</f>
        <v/>
      </c>
      <c r="C402" s="460" t="str">
        <f>IF($B402="","",IFERROR(INDEX(Lançamentos!$J$3:$J$1001,MATCH($B402,Lançamentos!$B$3:$B$1001,0)),""))</f>
        <v/>
      </c>
      <c r="D402" s="461" t="str">
        <f>IF($B402="","",IFERROR(INDEX('E2 — Triagem'!$D$8:$D$507,MATCH($B402,'E2 — Triagem'!$B$8:$B$507,0)),""))</f>
        <v/>
      </c>
      <c r="E402" s="447"/>
      <c r="F402" s="447"/>
      <c r="G402" s="447"/>
      <c r="H402" s="447"/>
      <c r="I402" s="447"/>
      <c r="J402" s="447"/>
      <c r="K402" s="462" t="str">
        <f t="shared" si="28"/>
        <v/>
      </c>
      <c r="L402" s="448"/>
      <c r="M402" s="448"/>
      <c r="N402" s="447"/>
      <c r="O402" s="463" t="str">
        <f>IF(B402="","",IF(Lançamentos!D397="","",Lançamentos!D397))</f>
        <v/>
      </c>
      <c r="P402" s="209">
        <v>7</v>
      </c>
      <c r="Q402" s="464" t="str">
        <f t="shared" si="29"/>
        <v/>
      </c>
      <c r="R402" s="465"/>
      <c r="S402" s="466" t="str">
        <f t="shared" ca="1" si="30"/>
        <v/>
      </c>
      <c r="T402" s="461" t="str">
        <f t="shared" ca="1" si="31"/>
        <v/>
      </c>
      <c r="U402" s="449"/>
    </row>
    <row r="403" spans="2:21" x14ac:dyDescent="0.35">
      <c r="B403" s="459" t="str">
        <f>IF(Lançamentos!$B398="","",Lançamentos!$B398)</f>
        <v/>
      </c>
      <c r="C403" s="460" t="str">
        <f>IF($B403="","",IFERROR(INDEX(Lançamentos!$J$3:$J$1001,MATCH($B403,Lançamentos!$B$3:$B$1001,0)),""))</f>
        <v/>
      </c>
      <c r="D403" s="461" t="str">
        <f>IF($B403="","",IFERROR(INDEX('E2 — Triagem'!$D$8:$D$507,MATCH($B403,'E2 — Triagem'!$B$8:$B$507,0)),""))</f>
        <v/>
      </c>
      <c r="E403" s="447"/>
      <c r="F403" s="447"/>
      <c r="G403" s="447"/>
      <c r="H403" s="447"/>
      <c r="I403" s="447"/>
      <c r="J403" s="447"/>
      <c r="K403" s="462" t="str">
        <f t="shared" si="28"/>
        <v/>
      </c>
      <c r="L403" s="448"/>
      <c r="M403" s="448"/>
      <c r="N403" s="447"/>
      <c r="O403" s="463" t="str">
        <f>IF(B403="","",IF(Lançamentos!D398="","",Lançamentos!D398))</f>
        <v/>
      </c>
      <c r="P403" s="209">
        <v>7</v>
      </c>
      <c r="Q403" s="464" t="str">
        <f t="shared" si="29"/>
        <v/>
      </c>
      <c r="R403" s="465"/>
      <c r="S403" s="466" t="str">
        <f t="shared" ca="1" si="30"/>
        <v/>
      </c>
      <c r="T403" s="461" t="str">
        <f t="shared" ca="1" si="31"/>
        <v/>
      </c>
      <c r="U403" s="449"/>
    </row>
    <row r="404" spans="2:21" x14ac:dyDescent="0.35">
      <c r="B404" s="459" t="str">
        <f>IF(Lançamentos!$B399="","",Lançamentos!$B399)</f>
        <v/>
      </c>
      <c r="C404" s="460" t="str">
        <f>IF($B404="","",IFERROR(INDEX(Lançamentos!$J$3:$J$1001,MATCH($B404,Lançamentos!$B$3:$B$1001,0)),""))</f>
        <v/>
      </c>
      <c r="D404" s="461" t="str">
        <f>IF($B404="","",IFERROR(INDEX('E2 — Triagem'!$D$8:$D$507,MATCH($B404,'E2 — Triagem'!$B$8:$B$507,0)),""))</f>
        <v/>
      </c>
      <c r="E404" s="447"/>
      <c r="F404" s="447"/>
      <c r="G404" s="447"/>
      <c r="H404" s="447"/>
      <c r="I404" s="447"/>
      <c r="J404" s="447"/>
      <c r="K404" s="462" t="str">
        <f t="shared" si="28"/>
        <v/>
      </c>
      <c r="L404" s="448"/>
      <c r="M404" s="448"/>
      <c r="N404" s="447"/>
      <c r="O404" s="463" t="str">
        <f>IF(B404="","",IF(Lançamentos!D399="","",Lançamentos!D399))</f>
        <v/>
      </c>
      <c r="P404" s="209">
        <v>7</v>
      </c>
      <c r="Q404" s="464" t="str">
        <f t="shared" si="29"/>
        <v/>
      </c>
      <c r="R404" s="465"/>
      <c r="S404" s="466" t="str">
        <f t="shared" ca="1" si="30"/>
        <v/>
      </c>
      <c r="T404" s="461" t="str">
        <f t="shared" ca="1" si="31"/>
        <v/>
      </c>
      <c r="U404" s="449"/>
    </row>
    <row r="405" spans="2:21" x14ac:dyDescent="0.35">
      <c r="B405" s="459" t="str">
        <f>IF(Lançamentos!$B400="","",Lançamentos!$B400)</f>
        <v/>
      </c>
      <c r="C405" s="460" t="str">
        <f>IF($B405="","",IFERROR(INDEX(Lançamentos!$J$3:$J$1001,MATCH($B405,Lançamentos!$B$3:$B$1001,0)),""))</f>
        <v/>
      </c>
      <c r="D405" s="461" t="str">
        <f>IF($B405="","",IFERROR(INDEX('E2 — Triagem'!$D$8:$D$507,MATCH($B405,'E2 — Triagem'!$B$8:$B$507,0)),""))</f>
        <v/>
      </c>
      <c r="E405" s="447"/>
      <c r="F405" s="447"/>
      <c r="G405" s="447"/>
      <c r="H405" s="447"/>
      <c r="I405" s="447"/>
      <c r="J405" s="447"/>
      <c r="K405" s="462" t="str">
        <f t="shared" si="28"/>
        <v/>
      </c>
      <c r="L405" s="448"/>
      <c r="M405" s="448"/>
      <c r="N405" s="447"/>
      <c r="O405" s="463" t="str">
        <f>IF(B405="","",IF(Lançamentos!D400="","",Lançamentos!D400))</f>
        <v/>
      </c>
      <c r="P405" s="209">
        <v>7</v>
      </c>
      <c r="Q405" s="464" t="str">
        <f t="shared" si="29"/>
        <v/>
      </c>
      <c r="R405" s="465"/>
      <c r="S405" s="466" t="str">
        <f t="shared" ca="1" si="30"/>
        <v/>
      </c>
      <c r="T405" s="461" t="str">
        <f t="shared" ca="1" si="31"/>
        <v/>
      </c>
      <c r="U405" s="449"/>
    </row>
    <row r="406" spans="2:21" x14ac:dyDescent="0.35">
      <c r="B406" s="459" t="str">
        <f>IF(Lançamentos!$B401="","",Lançamentos!$B401)</f>
        <v/>
      </c>
      <c r="C406" s="460" t="str">
        <f>IF($B406="","",IFERROR(INDEX(Lançamentos!$J$3:$J$1001,MATCH($B406,Lançamentos!$B$3:$B$1001,0)),""))</f>
        <v/>
      </c>
      <c r="D406" s="461" t="str">
        <f>IF($B406="","",IFERROR(INDEX('E2 — Triagem'!$D$8:$D$507,MATCH($B406,'E2 — Triagem'!$B$8:$B$507,0)),""))</f>
        <v/>
      </c>
      <c r="E406" s="447"/>
      <c r="F406" s="447"/>
      <c r="G406" s="447"/>
      <c r="H406" s="447"/>
      <c r="I406" s="447"/>
      <c r="J406" s="447"/>
      <c r="K406" s="462" t="str">
        <f t="shared" si="28"/>
        <v/>
      </c>
      <c r="L406" s="448"/>
      <c r="M406" s="448"/>
      <c r="N406" s="447"/>
      <c r="O406" s="463" t="str">
        <f>IF(B406="","",IF(Lançamentos!D401="","",Lançamentos!D401))</f>
        <v/>
      </c>
      <c r="P406" s="209">
        <v>7</v>
      </c>
      <c r="Q406" s="464" t="str">
        <f t="shared" si="29"/>
        <v/>
      </c>
      <c r="R406" s="465"/>
      <c r="S406" s="466" t="str">
        <f t="shared" ca="1" si="30"/>
        <v/>
      </c>
      <c r="T406" s="461" t="str">
        <f t="shared" ca="1" si="31"/>
        <v/>
      </c>
      <c r="U406" s="449"/>
    </row>
    <row r="407" spans="2:21" x14ac:dyDescent="0.35">
      <c r="B407" s="459" t="str">
        <f>IF(Lançamentos!$B402="","",Lançamentos!$B402)</f>
        <v/>
      </c>
      <c r="C407" s="460" t="str">
        <f>IF($B407="","",IFERROR(INDEX(Lançamentos!$J$3:$J$1001,MATCH($B407,Lançamentos!$B$3:$B$1001,0)),""))</f>
        <v/>
      </c>
      <c r="D407" s="461" t="str">
        <f>IF($B407="","",IFERROR(INDEX('E2 — Triagem'!$D$8:$D$507,MATCH($B407,'E2 — Triagem'!$B$8:$B$507,0)),""))</f>
        <v/>
      </c>
      <c r="E407" s="447"/>
      <c r="F407" s="447"/>
      <c r="G407" s="447"/>
      <c r="H407" s="447"/>
      <c r="I407" s="447"/>
      <c r="J407" s="447"/>
      <c r="K407" s="462" t="str">
        <f t="shared" si="28"/>
        <v/>
      </c>
      <c r="L407" s="448"/>
      <c r="M407" s="448"/>
      <c r="N407" s="447"/>
      <c r="O407" s="463" t="str">
        <f>IF(B407="","",IF(Lançamentos!D402="","",Lançamentos!D402))</f>
        <v/>
      </c>
      <c r="P407" s="209">
        <v>7</v>
      </c>
      <c r="Q407" s="464" t="str">
        <f t="shared" si="29"/>
        <v/>
      </c>
      <c r="R407" s="465"/>
      <c r="S407" s="466" t="str">
        <f t="shared" ca="1" si="30"/>
        <v/>
      </c>
      <c r="T407" s="461" t="str">
        <f t="shared" ca="1" si="31"/>
        <v/>
      </c>
      <c r="U407" s="449"/>
    </row>
    <row r="408" spans="2:21" x14ac:dyDescent="0.35">
      <c r="B408" s="459" t="str">
        <f>IF(Lançamentos!$B403="","",Lançamentos!$B403)</f>
        <v/>
      </c>
      <c r="C408" s="460" t="str">
        <f>IF($B408="","",IFERROR(INDEX(Lançamentos!$J$3:$J$1001,MATCH($B408,Lançamentos!$B$3:$B$1001,0)),""))</f>
        <v/>
      </c>
      <c r="D408" s="461" t="str">
        <f>IF($B408="","",IFERROR(INDEX('E2 — Triagem'!$D$8:$D$507,MATCH($B408,'E2 — Triagem'!$B$8:$B$507,0)),""))</f>
        <v/>
      </c>
      <c r="E408" s="447"/>
      <c r="F408" s="447"/>
      <c r="G408" s="447"/>
      <c r="H408" s="447"/>
      <c r="I408" s="447"/>
      <c r="J408" s="447"/>
      <c r="K408" s="462" t="str">
        <f t="shared" si="28"/>
        <v/>
      </c>
      <c r="L408" s="448"/>
      <c r="M408" s="448"/>
      <c r="N408" s="447"/>
      <c r="O408" s="463" t="str">
        <f>IF(B408="","",IF(Lançamentos!D403="","",Lançamentos!D403))</f>
        <v/>
      </c>
      <c r="P408" s="209">
        <v>7</v>
      </c>
      <c r="Q408" s="464" t="str">
        <f t="shared" si="29"/>
        <v/>
      </c>
      <c r="R408" s="465"/>
      <c r="S408" s="466" t="str">
        <f t="shared" ca="1" si="30"/>
        <v/>
      </c>
      <c r="T408" s="461" t="str">
        <f t="shared" ca="1" si="31"/>
        <v/>
      </c>
      <c r="U408" s="449"/>
    </row>
    <row r="409" spans="2:21" x14ac:dyDescent="0.35">
      <c r="B409" s="459" t="str">
        <f>IF(Lançamentos!$B404="","",Lançamentos!$B404)</f>
        <v/>
      </c>
      <c r="C409" s="460" t="str">
        <f>IF($B409="","",IFERROR(INDEX(Lançamentos!$J$3:$J$1001,MATCH($B409,Lançamentos!$B$3:$B$1001,0)),""))</f>
        <v/>
      </c>
      <c r="D409" s="461" t="str">
        <f>IF($B409="","",IFERROR(INDEX('E2 — Triagem'!$D$8:$D$507,MATCH($B409,'E2 — Triagem'!$B$8:$B$507,0)),""))</f>
        <v/>
      </c>
      <c r="E409" s="447"/>
      <c r="F409" s="447"/>
      <c r="G409" s="447"/>
      <c r="H409" s="447"/>
      <c r="I409" s="447"/>
      <c r="J409" s="447"/>
      <c r="K409" s="462" t="str">
        <f t="shared" si="28"/>
        <v/>
      </c>
      <c r="L409" s="448"/>
      <c r="M409" s="448"/>
      <c r="N409" s="447"/>
      <c r="O409" s="463" t="str">
        <f>IF(B409="","",IF(Lançamentos!D404="","",Lançamentos!D404))</f>
        <v/>
      </c>
      <c r="P409" s="209">
        <v>7</v>
      </c>
      <c r="Q409" s="464" t="str">
        <f t="shared" si="29"/>
        <v/>
      </c>
      <c r="R409" s="465"/>
      <c r="S409" s="466" t="str">
        <f t="shared" ca="1" si="30"/>
        <v/>
      </c>
      <c r="T409" s="461" t="str">
        <f t="shared" ca="1" si="31"/>
        <v/>
      </c>
      <c r="U409" s="449"/>
    </row>
    <row r="410" spans="2:21" x14ac:dyDescent="0.35">
      <c r="B410" s="459" t="str">
        <f>IF(Lançamentos!$B405="","",Lançamentos!$B405)</f>
        <v/>
      </c>
      <c r="C410" s="460" t="str">
        <f>IF($B410="","",IFERROR(INDEX(Lançamentos!$J$3:$J$1001,MATCH($B410,Lançamentos!$B$3:$B$1001,0)),""))</f>
        <v/>
      </c>
      <c r="D410" s="461" t="str">
        <f>IF($B410="","",IFERROR(INDEX('E2 — Triagem'!$D$8:$D$507,MATCH($B410,'E2 — Triagem'!$B$8:$B$507,0)),""))</f>
        <v/>
      </c>
      <c r="E410" s="447"/>
      <c r="F410" s="447"/>
      <c r="G410" s="447"/>
      <c r="H410" s="447"/>
      <c r="I410" s="447"/>
      <c r="J410" s="447"/>
      <c r="K410" s="462" t="str">
        <f t="shared" si="28"/>
        <v/>
      </c>
      <c r="L410" s="448"/>
      <c r="M410" s="448"/>
      <c r="N410" s="447"/>
      <c r="O410" s="463" t="str">
        <f>IF(B410="","",IF(Lançamentos!D405="","",Lançamentos!D405))</f>
        <v/>
      </c>
      <c r="P410" s="209">
        <v>7</v>
      </c>
      <c r="Q410" s="464" t="str">
        <f t="shared" si="29"/>
        <v/>
      </c>
      <c r="R410" s="465"/>
      <c r="S410" s="466" t="str">
        <f t="shared" ca="1" si="30"/>
        <v/>
      </c>
      <c r="T410" s="461" t="str">
        <f t="shared" ca="1" si="31"/>
        <v/>
      </c>
      <c r="U410" s="449"/>
    </row>
    <row r="411" spans="2:21" x14ac:dyDescent="0.35">
      <c r="B411" s="459" t="str">
        <f>IF(Lançamentos!$B406="","",Lançamentos!$B406)</f>
        <v/>
      </c>
      <c r="C411" s="460" t="str">
        <f>IF($B411="","",IFERROR(INDEX(Lançamentos!$J$3:$J$1001,MATCH($B411,Lançamentos!$B$3:$B$1001,0)),""))</f>
        <v/>
      </c>
      <c r="D411" s="461" t="str">
        <f>IF($B411="","",IFERROR(INDEX('E2 — Triagem'!$D$8:$D$507,MATCH($B411,'E2 — Triagem'!$B$8:$B$507,0)),""))</f>
        <v/>
      </c>
      <c r="E411" s="447"/>
      <c r="F411" s="447"/>
      <c r="G411" s="447"/>
      <c r="H411" s="447"/>
      <c r="I411" s="447"/>
      <c r="J411" s="447"/>
      <c r="K411" s="462" t="str">
        <f t="shared" si="28"/>
        <v/>
      </c>
      <c r="L411" s="448"/>
      <c r="M411" s="448"/>
      <c r="N411" s="447"/>
      <c r="O411" s="463" t="str">
        <f>IF(B411="","",IF(Lançamentos!D406="","",Lançamentos!D406))</f>
        <v/>
      </c>
      <c r="P411" s="209">
        <v>7</v>
      </c>
      <c r="Q411" s="464" t="str">
        <f t="shared" si="29"/>
        <v/>
      </c>
      <c r="R411" s="465"/>
      <c r="S411" s="466" t="str">
        <f t="shared" ca="1" si="30"/>
        <v/>
      </c>
      <c r="T411" s="461" t="str">
        <f t="shared" ca="1" si="31"/>
        <v/>
      </c>
      <c r="U411" s="449"/>
    </row>
    <row r="412" spans="2:21" x14ac:dyDescent="0.35">
      <c r="B412" s="459" t="str">
        <f>IF(Lançamentos!$B407="","",Lançamentos!$B407)</f>
        <v/>
      </c>
      <c r="C412" s="460" t="str">
        <f>IF($B412="","",IFERROR(INDEX(Lançamentos!$J$3:$J$1001,MATCH($B412,Lançamentos!$B$3:$B$1001,0)),""))</f>
        <v/>
      </c>
      <c r="D412" s="461" t="str">
        <f>IF($B412="","",IFERROR(INDEX('E2 — Triagem'!$D$8:$D$507,MATCH($B412,'E2 — Triagem'!$B$8:$B$507,0)),""))</f>
        <v/>
      </c>
      <c r="E412" s="447"/>
      <c r="F412" s="447"/>
      <c r="G412" s="447"/>
      <c r="H412" s="447"/>
      <c r="I412" s="447"/>
      <c r="J412" s="447"/>
      <c r="K412" s="462" t="str">
        <f t="shared" si="28"/>
        <v/>
      </c>
      <c r="L412" s="448"/>
      <c r="M412" s="448"/>
      <c r="N412" s="447"/>
      <c r="O412" s="463" t="str">
        <f>IF(B412="","",IF(Lançamentos!D407="","",Lançamentos!D407))</f>
        <v/>
      </c>
      <c r="P412" s="209">
        <v>7</v>
      </c>
      <c r="Q412" s="464" t="str">
        <f t="shared" si="29"/>
        <v/>
      </c>
      <c r="R412" s="465"/>
      <c r="S412" s="466" t="str">
        <f t="shared" ca="1" si="30"/>
        <v/>
      </c>
      <c r="T412" s="461" t="str">
        <f t="shared" ca="1" si="31"/>
        <v/>
      </c>
      <c r="U412" s="449"/>
    </row>
    <row r="413" spans="2:21" x14ac:dyDescent="0.35">
      <c r="B413" s="459" t="str">
        <f>IF(Lançamentos!$B408="","",Lançamentos!$B408)</f>
        <v/>
      </c>
      <c r="C413" s="460" t="str">
        <f>IF($B413="","",IFERROR(INDEX(Lançamentos!$J$3:$J$1001,MATCH($B413,Lançamentos!$B$3:$B$1001,0)),""))</f>
        <v/>
      </c>
      <c r="D413" s="461" t="str">
        <f>IF($B413="","",IFERROR(INDEX('E2 — Triagem'!$D$8:$D$507,MATCH($B413,'E2 — Triagem'!$B$8:$B$507,0)),""))</f>
        <v/>
      </c>
      <c r="E413" s="447"/>
      <c r="F413" s="447"/>
      <c r="G413" s="447"/>
      <c r="H413" s="447"/>
      <c r="I413" s="447"/>
      <c r="J413" s="447"/>
      <c r="K413" s="462" t="str">
        <f t="shared" si="28"/>
        <v/>
      </c>
      <c r="L413" s="448"/>
      <c r="M413" s="448"/>
      <c r="N413" s="447"/>
      <c r="O413" s="463" t="str">
        <f>IF(B413="","",IF(Lançamentos!D408="","",Lançamentos!D408))</f>
        <v/>
      </c>
      <c r="P413" s="209">
        <v>7</v>
      </c>
      <c r="Q413" s="464" t="str">
        <f t="shared" si="29"/>
        <v/>
      </c>
      <c r="R413" s="465"/>
      <c r="S413" s="466" t="str">
        <f t="shared" ca="1" si="30"/>
        <v/>
      </c>
      <c r="T413" s="461" t="str">
        <f t="shared" ca="1" si="31"/>
        <v/>
      </c>
      <c r="U413" s="449"/>
    </row>
    <row r="414" spans="2:21" x14ac:dyDescent="0.35">
      <c r="B414" s="459" t="str">
        <f>IF(Lançamentos!$B409="","",Lançamentos!$B409)</f>
        <v/>
      </c>
      <c r="C414" s="460" t="str">
        <f>IF($B414="","",IFERROR(INDEX(Lançamentos!$J$3:$J$1001,MATCH($B414,Lançamentos!$B$3:$B$1001,0)),""))</f>
        <v/>
      </c>
      <c r="D414" s="461" t="str">
        <f>IF($B414="","",IFERROR(INDEX('E2 — Triagem'!$D$8:$D$507,MATCH($B414,'E2 — Triagem'!$B$8:$B$507,0)),""))</f>
        <v/>
      </c>
      <c r="E414" s="447"/>
      <c r="F414" s="447"/>
      <c r="G414" s="447"/>
      <c r="H414" s="447"/>
      <c r="I414" s="447"/>
      <c r="J414" s="447"/>
      <c r="K414" s="462" t="str">
        <f t="shared" si="28"/>
        <v/>
      </c>
      <c r="L414" s="448"/>
      <c r="M414" s="448"/>
      <c r="N414" s="447"/>
      <c r="O414" s="463" t="str">
        <f>IF(B414="","",IF(Lançamentos!D409="","",Lançamentos!D409))</f>
        <v/>
      </c>
      <c r="P414" s="209">
        <v>7</v>
      </c>
      <c r="Q414" s="464" t="str">
        <f t="shared" si="29"/>
        <v/>
      </c>
      <c r="R414" s="465"/>
      <c r="S414" s="466" t="str">
        <f t="shared" ca="1" si="30"/>
        <v/>
      </c>
      <c r="T414" s="461" t="str">
        <f t="shared" ca="1" si="31"/>
        <v/>
      </c>
      <c r="U414" s="449"/>
    </row>
    <row r="415" spans="2:21" x14ac:dyDescent="0.35">
      <c r="B415" s="459" t="str">
        <f>IF(Lançamentos!$B410="","",Lançamentos!$B410)</f>
        <v/>
      </c>
      <c r="C415" s="460" t="str">
        <f>IF($B415="","",IFERROR(INDEX(Lançamentos!$J$3:$J$1001,MATCH($B415,Lançamentos!$B$3:$B$1001,0)),""))</f>
        <v/>
      </c>
      <c r="D415" s="461" t="str">
        <f>IF($B415="","",IFERROR(INDEX('E2 — Triagem'!$D$8:$D$507,MATCH($B415,'E2 — Triagem'!$B$8:$B$507,0)),""))</f>
        <v/>
      </c>
      <c r="E415" s="447"/>
      <c r="F415" s="447"/>
      <c r="G415" s="447"/>
      <c r="H415" s="447"/>
      <c r="I415" s="447"/>
      <c r="J415" s="447"/>
      <c r="K415" s="462" t="str">
        <f t="shared" si="28"/>
        <v/>
      </c>
      <c r="L415" s="448"/>
      <c r="M415" s="448"/>
      <c r="N415" s="447"/>
      <c r="O415" s="463" t="str">
        <f>IF(B415="","",IF(Lançamentos!D410="","",Lançamentos!D410))</f>
        <v/>
      </c>
      <c r="P415" s="209">
        <v>7</v>
      </c>
      <c r="Q415" s="464" t="str">
        <f t="shared" si="29"/>
        <v/>
      </c>
      <c r="R415" s="465"/>
      <c r="S415" s="466" t="str">
        <f t="shared" ca="1" si="30"/>
        <v/>
      </c>
      <c r="T415" s="461" t="str">
        <f t="shared" ca="1" si="31"/>
        <v/>
      </c>
      <c r="U415" s="449"/>
    </row>
    <row r="416" spans="2:21" x14ac:dyDescent="0.35">
      <c r="B416" s="459" t="str">
        <f>IF(Lançamentos!$B411="","",Lançamentos!$B411)</f>
        <v/>
      </c>
      <c r="C416" s="460" t="str">
        <f>IF($B416="","",IFERROR(INDEX(Lançamentos!$J$3:$J$1001,MATCH($B416,Lançamentos!$B$3:$B$1001,0)),""))</f>
        <v/>
      </c>
      <c r="D416" s="461" t="str">
        <f>IF($B416="","",IFERROR(INDEX('E2 — Triagem'!$D$8:$D$507,MATCH($B416,'E2 — Triagem'!$B$8:$B$507,0)),""))</f>
        <v/>
      </c>
      <c r="E416" s="447"/>
      <c r="F416" s="447"/>
      <c r="G416" s="447"/>
      <c r="H416" s="447"/>
      <c r="I416" s="447"/>
      <c r="J416" s="447"/>
      <c r="K416" s="462" t="str">
        <f t="shared" si="28"/>
        <v/>
      </c>
      <c r="L416" s="448"/>
      <c r="M416" s="448"/>
      <c r="N416" s="447"/>
      <c r="O416" s="463" t="str">
        <f>IF(B416="","",IF(Lançamentos!D411="","",Lançamentos!D411))</f>
        <v/>
      </c>
      <c r="P416" s="209">
        <v>7</v>
      </c>
      <c r="Q416" s="464" t="str">
        <f t="shared" si="29"/>
        <v/>
      </c>
      <c r="R416" s="465"/>
      <c r="S416" s="466" t="str">
        <f t="shared" ca="1" si="30"/>
        <v/>
      </c>
      <c r="T416" s="461" t="str">
        <f t="shared" ca="1" si="31"/>
        <v/>
      </c>
      <c r="U416" s="449"/>
    </row>
    <row r="417" spans="2:21" x14ac:dyDescent="0.35">
      <c r="B417" s="459" t="str">
        <f>IF(Lançamentos!$B412="","",Lançamentos!$B412)</f>
        <v/>
      </c>
      <c r="C417" s="460" t="str">
        <f>IF($B417="","",IFERROR(INDEX(Lançamentos!$J$3:$J$1001,MATCH($B417,Lançamentos!$B$3:$B$1001,0)),""))</f>
        <v/>
      </c>
      <c r="D417" s="461" t="str">
        <f>IF($B417="","",IFERROR(INDEX('E2 — Triagem'!$D$8:$D$507,MATCH($B417,'E2 — Triagem'!$B$8:$B$507,0)),""))</f>
        <v/>
      </c>
      <c r="E417" s="447"/>
      <c r="F417" s="447"/>
      <c r="G417" s="447"/>
      <c r="H417" s="447"/>
      <c r="I417" s="447"/>
      <c r="J417" s="447"/>
      <c r="K417" s="462" t="str">
        <f t="shared" si="28"/>
        <v/>
      </c>
      <c r="L417" s="448"/>
      <c r="M417" s="448"/>
      <c r="N417" s="447"/>
      <c r="O417" s="463" t="str">
        <f>IF(B417="","",IF(Lançamentos!D412="","",Lançamentos!D412))</f>
        <v/>
      </c>
      <c r="P417" s="209">
        <v>7</v>
      </c>
      <c r="Q417" s="464" t="str">
        <f t="shared" si="29"/>
        <v/>
      </c>
      <c r="R417" s="465"/>
      <c r="S417" s="466" t="str">
        <f t="shared" ca="1" si="30"/>
        <v/>
      </c>
      <c r="T417" s="461" t="str">
        <f t="shared" ca="1" si="31"/>
        <v/>
      </c>
      <c r="U417" s="449"/>
    </row>
    <row r="418" spans="2:21" x14ac:dyDescent="0.35">
      <c r="B418" s="459" t="str">
        <f>IF(Lançamentos!$B413="","",Lançamentos!$B413)</f>
        <v/>
      </c>
      <c r="C418" s="460" t="str">
        <f>IF($B418="","",IFERROR(INDEX(Lançamentos!$J$3:$J$1001,MATCH($B418,Lançamentos!$B$3:$B$1001,0)),""))</f>
        <v/>
      </c>
      <c r="D418" s="461" t="str">
        <f>IF($B418="","",IFERROR(INDEX('E2 — Triagem'!$D$8:$D$507,MATCH($B418,'E2 — Triagem'!$B$8:$B$507,0)),""))</f>
        <v/>
      </c>
      <c r="E418" s="447"/>
      <c r="F418" s="447"/>
      <c r="G418" s="447"/>
      <c r="H418" s="447"/>
      <c r="I418" s="447"/>
      <c r="J418" s="447"/>
      <c r="K418" s="462" t="str">
        <f t="shared" si="28"/>
        <v/>
      </c>
      <c r="L418" s="448"/>
      <c r="M418" s="448"/>
      <c r="N418" s="447"/>
      <c r="O418" s="463" t="str">
        <f>IF(B418="","",IF(Lançamentos!D413="","",Lançamentos!D413))</f>
        <v/>
      </c>
      <c r="P418" s="209">
        <v>7</v>
      </c>
      <c r="Q418" s="464" t="str">
        <f t="shared" si="29"/>
        <v/>
      </c>
      <c r="R418" s="465"/>
      <c r="S418" s="466" t="str">
        <f t="shared" ca="1" si="30"/>
        <v/>
      </c>
      <c r="T418" s="461" t="str">
        <f t="shared" ca="1" si="31"/>
        <v/>
      </c>
      <c r="U418" s="449"/>
    </row>
    <row r="419" spans="2:21" x14ac:dyDescent="0.35">
      <c r="B419" s="459" t="str">
        <f>IF(Lançamentos!$B414="","",Lançamentos!$B414)</f>
        <v/>
      </c>
      <c r="C419" s="460" t="str">
        <f>IF($B419="","",IFERROR(INDEX(Lançamentos!$J$3:$J$1001,MATCH($B419,Lançamentos!$B$3:$B$1001,0)),""))</f>
        <v/>
      </c>
      <c r="D419" s="461" t="str">
        <f>IF($B419="","",IFERROR(INDEX('E2 — Triagem'!$D$8:$D$507,MATCH($B419,'E2 — Triagem'!$B$8:$B$507,0)),""))</f>
        <v/>
      </c>
      <c r="E419" s="447"/>
      <c r="F419" s="447"/>
      <c r="G419" s="447"/>
      <c r="H419" s="447"/>
      <c r="I419" s="447"/>
      <c r="J419" s="447"/>
      <c r="K419" s="462" t="str">
        <f t="shared" si="28"/>
        <v/>
      </c>
      <c r="L419" s="448"/>
      <c r="M419" s="448"/>
      <c r="N419" s="447"/>
      <c r="O419" s="463" t="str">
        <f>IF(B419="","",IF(Lançamentos!D414="","",Lançamentos!D414))</f>
        <v/>
      </c>
      <c r="P419" s="209">
        <v>7</v>
      </c>
      <c r="Q419" s="464" t="str">
        <f t="shared" si="29"/>
        <v/>
      </c>
      <c r="R419" s="465"/>
      <c r="S419" s="466" t="str">
        <f t="shared" ca="1" si="30"/>
        <v/>
      </c>
      <c r="T419" s="461" t="str">
        <f t="shared" ca="1" si="31"/>
        <v/>
      </c>
      <c r="U419" s="449"/>
    </row>
    <row r="420" spans="2:21" x14ac:dyDescent="0.35">
      <c r="B420" s="459" t="str">
        <f>IF(Lançamentos!$B415="","",Lançamentos!$B415)</f>
        <v/>
      </c>
      <c r="C420" s="460" t="str">
        <f>IF($B420="","",IFERROR(INDEX(Lançamentos!$J$3:$J$1001,MATCH($B420,Lançamentos!$B$3:$B$1001,0)),""))</f>
        <v/>
      </c>
      <c r="D420" s="461" t="str">
        <f>IF($B420="","",IFERROR(INDEX('E2 — Triagem'!$D$8:$D$507,MATCH($B420,'E2 — Triagem'!$B$8:$B$507,0)),""))</f>
        <v/>
      </c>
      <c r="E420" s="447"/>
      <c r="F420" s="447"/>
      <c r="G420" s="447"/>
      <c r="H420" s="447"/>
      <c r="I420" s="447"/>
      <c r="J420" s="447"/>
      <c r="K420" s="462" t="str">
        <f t="shared" si="28"/>
        <v/>
      </c>
      <c r="L420" s="448"/>
      <c r="M420" s="448"/>
      <c r="N420" s="447"/>
      <c r="O420" s="463" t="str">
        <f>IF(B420="","",IF(Lançamentos!D415="","",Lançamentos!D415))</f>
        <v/>
      </c>
      <c r="P420" s="209">
        <v>7</v>
      </c>
      <c r="Q420" s="464" t="str">
        <f t="shared" si="29"/>
        <v/>
      </c>
      <c r="R420" s="465"/>
      <c r="S420" s="466" t="str">
        <f t="shared" ca="1" si="30"/>
        <v/>
      </c>
      <c r="T420" s="461" t="str">
        <f t="shared" ca="1" si="31"/>
        <v/>
      </c>
      <c r="U420" s="449"/>
    </row>
    <row r="421" spans="2:21" x14ac:dyDescent="0.35">
      <c r="B421" s="459" t="str">
        <f>IF(Lançamentos!$B416="","",Lançamentos!$B416)</f>
        <v/>
      </c>
      <c r="C421" s="460" t="str">
        <f>IF($B421="","",IFERROR(INDEX(Lançamentos!$J$3:$J$1001,MATCH($B421,Lançamentos!$B$3:$B$1001,0)),""))</f>
        <v/>
      </c>
      <c r="D421" s="461" t="str">
        <f>IF($B421="","",IFERROR(INDEX('E2 — Triagem'!$D$8:$D$507,MATCH($B421,'E2 — Triagem'!$B$8:$B$507,0)),""))</f>
        <v/>
      </c>
      <c r="E421" s="447"/>
      <c r="F421" s="447"/>
      <c r="G421" s="447"/>
      <c r="H421" s="447"/>
      <c r="I421" s="447"/>
      <c r="J421" s="447"/>
      <c r="K421" s="462" t="str">
        <f t="shared" si="28"/>
        <v/>
      </c>
      <c r="L421" s="448"/>
      <c r="M421" s="448"/>
      <c r="N421" s="447"/>
      <c r="O421" s="463" t="str">
        <f>IF(B421="","",IF(Lançamentos!D416="","",Lançamentos!D416))</f>
        <v/>
      </c>
      <c r="P421" s="209">
        <v>7</v>
      </c>
      <c r="Q421" s="464" t="str">
        <f t="shared" si="29"/>
        <v/>
      </c>
      <c r="R421" s="465"/>
      <c r="S421" s="466" t="str">
        <f t="shared" ca="1" si="30"/>
        <v/>
      </c>
      <c r="T421" s="461" t="str">
        <f t="shared" ca="1" si="31"/>
        <v/>
      </c>
      <c r="U421" s="449"/>
    </row>
    <row r="422" spans="2:21" x14ac:dyDescent="0.35">
      <c r="B422" s="459" t="str">
        <f>IF(Lançamentos!$B417="","",Lançamentos!$B417)</f>
        <v/>
      </c>
      <c r="C422" s="460" t="str">
        <f>IF($B422="","",IFERROR(INDEX(Lançamentos!$J$3:$J$1001,MATCH($B422,Lançamentos!$B$3:$B$1001,0)),""))</f>
        <v/>
      </c>
      <c r="D422" s="461" t="str">
        <f>IF($B422="","",IFERROR(INDEX('E2 — Triagem'!$D$8:$D$507,MATCH($B422,'E2 — Triagem'!$B$8:$B$507,0)),""))</f>
        <v/>
      </c>
      <c r="E422" s="447"/>
      <c r="F422" s="447"/>
      <c r="G422" s="447"/>
      <c r="H422" s="447"/>
      <c r="I422" s="447"/>
      <c r="J422" s="447"/>
      <c r="K422" s="462" t="str">
        <f t="shared" si="28"/>
        <v/>
      </c>
      <c r="L422" s="448"/>
      <c r="M422" s="448"/>
      <c r="N422" s="447"/>
      <c r="O422" s="463" t="str">
        <f>IF(B422="","",IF(Lançamentos!D417="","",Lançamentos!D417))</f>
        <v/>
      </c>
      <c r="P422" s="209">
        <v>7</v>
      </c>
      <c r="Q422" s="464" t="str">
        <f t="shared" si="29"/>
        <v/>
      </c>
      <c r="R422" s="465"/>
      <c r="S422" s="466" t="str">
        <f t="shared" ca="1" si="30"/>
        <v/>
      </c>
      <c r="T422" s="461" t="str">
        <f t="shared" ca="1" si="31"/>
        <v/>
      </c>
      <c r="U422" s="449"/>
    </row>
    <row r="423" spans="2:21" x14ac:dyDescent="0.35">
      <c r="B423" s="459" t="str">
        <f>IF(Lançamentos!$B418="","",Lançamentos!$B418)</f>
        <v/>
      </c>
      <c r="C423" s="460" t="str">
        <f>IF($B423="","",IFERROR(INDEX(Lançamentos!$J$3:$J$1001,MATCH($B423,Lançamentos!$B$3:$B$1001,0)),""))</f>
        <v/>
      </c>
      <c r="D423" s="461" t="str">
        <f>IF($B423="","",IFERROR(INDEX('E2 — Triagem'!$D$8:$D$507,MATCH($B423,'E2 — Triagem'!$B$8:$B$507,0)),""))</f>
        <v/>
      </c>
      <c r="E423" s="447"/>
      <c r="F423" s="447"/>
      <c r="G423" s="447"/>
      <c r="H423" s="447"/>
      <c r="I423" s="447"/>
      <c r="J423" s="447"/>
      <c r="K423" s="462" t="str">
        <f t="shared" si="28"/>
        <v/>
      </c>
      <c r="L423" s="448"/>
      <c r="M423" s="448"/>
      <c r="N423" s="447"/>
      <c r="O423" s="463" t="str">
        <f>IF(B423="","",IF(Lançamentos!D418="","",Lançamentos!D418))</f>
        <v/>
      </c>
      <c r="P423" s="209">
        <v>7</v>
      </c>
      <c r="Q423" s="464" t="str">
        <f t="shared" si="29"/>
        <v/>
      </c>
      <c r="R423" s="465"/>
      <c r="S423" s="466" t="str">
        <f t="shared" ca="1" si="30"/>
        <v/>
      </c>
      <c r="T423" s="461" t="str">
        <f t="shared" ca="1" si="31"/>
        <v/>
      </c>
      <c r="U423" s="449"/>
    </row>
    <row r="424" spans="2:21" x14ac:dyDescent="0.35">
      <c r="B424" s="459" t="str">
        <f>IF(Lançamentos!$B419="","",Lançamentos!$B419)</f>
        <v/>
      </c>
      <c r="C424" s="460" t="str">
        <f>IF($B424="","",IFERROR(INDEX(Lançamentos!$J$3:$J$1001,MATCH($B424,Lançamentos!$B$3:$B$1001,0)),""))</f>
        <v/>
      </c>
      <c r="D424" s="461" t="str">
        <f>IF($B424="","",IFERROR(INDEX('E2 — Triagem'!$D$8:$D$507,MATCH($B424,'E2 — Triagem'!$B$8:$B$507,0)),""))</f>
        <v/>
      </c>
      <c r="E424" s="447"/>
      <c r="F424" s="447"/>
      <c r="G424" s="447"/>
      <c r="H424" s="447"/>
      <c r="I424" s="447"/>
      <c r="J424" s="447"/>
      <c r="K424" s="462" t="str">
        <f t="shared" si="28"/>
        <v/>
      </c>
      <c r="L424" s="448"/>
      <c r="M424" s="448"/>
      <c r="N424" s="447"/>
      <c r="O424" s="463" t="str">
        <f>IF(B424="","",IF(Lançamentos!D419="","",Lançamentos!D419))</f>
        <v/>
      </c>
      <c r="P424" s="209">
        <v>7</v>
      </c>
      <c r="Q424" s="464" t="str">
        <f t="shared" si="29"/>
        <v/>
      </c>
      <c r="R424" s="465"/>
      <c r="S424" s="466" t="str">
        <f t="shared" ca="1" si="30"/>
        <v/>
      </c>
      <c r="T424" s="461" t="str">
        <f t="shared" ca="1" si="31"/>
        <v/>
      </c>
      <c r="U424" s="449"/>
    </row>
    <row r="425" spans="2:21" x14ac:dyDescent="0.35">
      <c r="B425" s="459" t="str">
        <f>IF(Lançamentos!$B420="","",Lançamentos!$B420)</f>
        <v/>
      </c>
      <c r="C425" s="460" t="str">
        <f>IF($B425="","",IFERROR(INDEX(Lançamentos!$J$3:$J$1001,MATCH($B425,Lançamentos!$B$3:$B$1001,0)),""))</f>
        <v/>
      </c>
      <c r="D425" s="461" t="str">
        <f>IF($B425="","",IFERROR(INDEX('E2 — Triagem'!$D$8:$D$507,MATCH($B425,'E2 — Triagem'!$B$8:$B$507,0)),""))</f>
        <v/>
      </c>
      <c r="E425" s="447"/>
      <c r="F425" s="447"/>
      <c r="G425" s="447"/>
      <c r="H425" s="447"/>
      <c r="I425" s="447"/>
      <c r="J425" s="447"/>
      <c r="K425" s="462" t="str">
        <f t="shared" si="28"/>
        <v/>
      </c>
      <c r="L425" s="448"/>
      <c r="M425" s="448"/>
      <c r="N425" s="447"/>
      <c r="O425" s="463" t="str">
        <f>IF(B425="","",IF(Lançamentos!D420="","",Lançamentos!D420))</f>
        <v/>
      </c>
      <c r="P425" s="209">
        <v>7</v>
      </c>
      <c r="Q425" s="464" t="str">
        <f t="shared" si="29"/>
        <v/>
      </c>
      <c r="R425" s="465"/>
      <c r="S425" s="466" t="str">
        <f t="shared" ca="1" si="30"/>
        <v/>
      </c>
      <c r="T425" s="461" t="str">
        <f t="shared" ca="1" si="31"/>
        <v/>
      </c>
      <c r="U425" s="449"/>
    </row>
    <row r="426" spans="2:21" x14ac:dyDescent="0.35">
      <c r="B426" s="459" t="str">
        <f>IF(Lançamentos!$B421="","",Lançamentos!$B421)</f>
        <v/>
      </c>
      <c r="C426" s="460" t="str">
        <f>IF($B426="","",IFERROR(INDEX(Lançamentos!$J$3:$J$1001,MATCH($B426,Lançamentos!$B$3:$B$1001,0)),""))</f>
        <v/>
      </c>
      <c r="D426" s="461" t="str">
        <f>IF($B426="","",IFERROR(INDEX('E2 — Triagem'!$D$8:$D$507,MATCH($B426,'E2 — Triagem'!$B$8:$B$507,0)),""))</f>
        <v/>
      </c>
      <c r="E426" s="447"/>
      <c r="F426" s="447"/>
      <c r="G426" s="447"/>
      <c r="H426" s="447"/>
      <c r="I426" s="447"/>
      <c r="J426" s="447"/>
      <c r="K426" s="462" t="str">
        <f t="shared" si="28"/>
        <v/>
      </c>
      <c r="L426" s="448"/>
      <c r="M426" s="448"/>
      <c r="N426" s="447"/>
      <c r="O426" s="463" t="str">
        <f>IF(B426="","",IF(Lançamentos!D421="","",Lançamentos!D421))</f>
        <v/>
      </c>
      <c r="P426" s="209">
        <v>7</v>
      </c>
      <c r="Q426" s="464" t="str">
        <f t="shared" si="29"/>
        <v/>
      </c>
      <c r="R426" s="465"/>
      <c r="S426" s="466" t="str">
        <f t="shared" ca="1" si="30"/>
        <v/>
      </c>
      <c r="T426" s="461" t="str">
        <f t="shared" ca="1" si="31"/>
        <v/>
      </c>
      <c r="U426" s="449"/>
    </row>
    <row r="427" spans="2:21" x14ac:dyDescent="0.35">
      <c r="B427" s="459" t="str">
        <f>IF(Lançamentos!$B422="","",Lançamentos!$B422)</f>
        <v/>
      </c>
      <c r="C427" s="460" t="str">
        <f>IF($B427="","",IFERROR(INDEX(Lançamentos!$J$3:$J$1001,MATCH($B427,Lançamentos!$B$3:$B$1001,0)),""))</f>
        <v/>
      </c>
      <c r="D427" s="461" t="str">
        <f>IF($B427="","",IFERROR(INDEX('E2 — Triagem'!$D$8:$D$507,MATCH($B427,'E2 — Triagem'!$B$8:$B$507,0)),""))</f>
        <v/>
      </c>
      <c r="E427" s="447"/>
      <c r="F427" s="447"/>
      <c r="G427" s="447"/>
      <c r="H427" s="447"/>
      <c r="I427" s="447"/>
      <c r="J427" s="447"/>
      <c r="K427" s="462" t="str">
        <f t="shared" si="28"/>
        <v/>
      </c>
      <c r="L427" s="448"/>
      <c r="M427" s="448"/>
      <c r="N427" s="447"/>
      <c r="O427" s="463" t="str">
        <f>IF(B427="","",IF(Lançamentos!D422="","",Lançamentos!D422))</f>
        <v/>
      </c>
      <c r="P427" s="209">
        <v>7</v>
      </c>
      <c r="Q427" s="464" t="str">
        <f t="shared" si="29"/>
        <v/>
      </c>
      <c r="R427" s="465"/>
      <c r="S427" s="466" t="str">
        <f t="shared" ca="1" si="30"/>
        <v/>
      </c>
      <c r="T427" s="461" t="str">
        <f t="shared" ca="1" si="31"/>
        <v/>
      </c>
      <c r="U427" s="449"/>
    </row>
    <row r="428" spans="2:21" x14ac:dyDescent="0.35">
      <c r="B428" s="459" t="str">
        <f>IF(Lançamentos!$B423="","",Lançamentos!$B423)</f>
        <v/>
      </c>
      <c r="C428" s="460" t="str">
        <f>IF($B428="","",IFERROR(INDEX(Lançamentos!$J$3:$J$1001,MATCH($B428,Lançamentos!$B$3:$B$1001,0)),""))</f>
        <v/>
      </c>
      <c r="D428" s="461" t="str">
        <f>IF($B428="","",IFERROR(INDEX('E2 — Triagem'!$D$8:$D$507,MATCH($B428,'E2 — Triagem'!$B$8:$B$507,0)),""))</f>
        <v/>
      </c>
      <c r="E428" s="447"/>
      <c r="F428" s="447"/>
      <c r="G428" s="447"/>
      <c r="H428" s="447"/>
      <c r="I428" s="447"/>
      <c r="J428" s="447"/>
      <c r="K428" s="462" t="str">
        <f t="shared" si="28"/>
        <v/>
      </c>
      <c r="L428" s="448"/>
      <c r="M428" s="448"/>
      <c r="N428" s="447"/>
      <c r="O428" s="463" t="str">
        <f>IF(B428="","",IF(Lançamentos!D423="","",Lançamentos!D423))</f>
        <v/>
      </c>
      <c r="P428" s="209">
        <v>7</v>
      </c>
      <c r="Q428" s="464" t="str">
        <f t="shared" si="29"/>
        <v/>
      </c>
      <c r="R428" s="465"/>
      <c r="S428" s="466" t="str">
        <f t="shared" ca="1" si="30"/>
        <v/>
      </c>
      <c r="T428" s="461" t="str">
        <f t="shared" ca="1" si="31"/>
        <v/>
      </c>
      <c r="U428" s="449"/>
    </row>
    <row r="429" spans="2:21" x14ac:dyDescent="0.35">
      <c r="B429" s="459" t="str">
        <f>IF(Lançamentos!$B424="","",Lançamentos!$B424)</f>
        <v/>
      </c>
      <c r="C429" s="460" t="str">
        <f>IF($B429="","",IFERROR(INDEX(Lançamentos!$J$3:$J$1001,MATCH($B429,Lançamentos!$B$3:$B$1001,0)),""))</f>
        <v/>
      </c>
      <c r="D429" s="461" t="str">
        <f>IF($B429="","",IFERROR(INDEX('E2 — Triagem'!$D$8:$D$507,MATCH($B429,'E2 — Triagem'!$B$8:$B$507,0)),""))</f>
        <v/>
      </c>
      <c r="E429" s="447"/>
      <c r="F429" s="447"/>
      <c r="G429" s="447"/>
      <c r="H429" s="447"/>
      <c r="I429" s="447"/>
      <c r="J429" s="447"/>
      <c r="K429" s="462" t="str">
        <f t="shared" si="28"/>
        <v/>
      </c>
      <c r="L429" s="448"/>
      <c r="M429" s="448"/>
      <c r="N429" s="447"/>
      <c r="O429" s="463" t="str">
        <f>IF(B429="","",IF(Lançamentos!D424="","",Lançamentos!D424))</f>
        <v/>
      </c>
      <c r="P429" s="209">
        <v>7</v>
      </c>
      <c r="Q429" s="464" t="str">
        <f t="shared" si="29"/>
        <v/>
      </c>
      <c r="R429" s="465"/>
      <c r="S429" s="466" t="str">
        <f t="shared" ca="1" si="30"/>
        <v/>
      </c>
      <c r="T429" s="461" t="str">
        <f t="shared" ca="1" si="31"/>
        <v/>
      </c>
      <c r="U429" s="449"/>
    </row>
    <row r="430" spans="2:21" x14ac:dyDescent="0.35">
      <c r="B430" s="459" t="str">
        <f>IF(Lançamentos!$B425="","",Lançamentos!$B425)</f>
        <v/>
      </c>
      <c r="C430" s="460" t="str">
        <f>IF($B430="","",IFERROR(INDEX(Lançamentos!$J$3:$J$1001,MATCH($B430,Lançamentos!$B$3:$B$1001,0)),""))</f>
        <v/>
      </c>
      <c r="D430" s="461" t="str">
        <f>IF($B430="","",IFERROR(INDEX('E2 — Triagem'!$D$8:$D$507,MATCH($B430,'E2 — Triagem'!$B$8:$B$507,0)),""))</f>
        <v/>
      </c>
      <c r="E430" s="447"/>
      <c r="F430" s="447"/>
      <c r="G430" s="447"/>
      <c r="H430" s="447"/>
      <c r="I430" s="447"/>
      <c r="J430" s="447"/>
      <c r="K430" s="462" t="str">
        <f t="shared" si="28"/>
        <v/>
      </c>
      <c r="L430" s="448"/>
      <c r="M430" s="448"/>
      <c r="N430" s="447"/>
      <c r="O430" s="463" t="str">
        <f>IF(B430="","",IF(Lançamentos!D425="","",Lançamentos!D425))</f>
        <v/>
      </c>
      <c r="P430" s="209">
        <v>7</v>
      </c>
      <c r="Q430" s="464" t="str">
        <f t="shared" si="29"/>
        <v/>
      </c>
      <c r="R430" s="465"/>
      <c r="S430" s="466" t="str">
        <f t="shared" ca="1" si="30"/>
        <v/>
      </c>
      <c r="T430" s="461" t="str">
        <f t="shared" ca="1" si="31"/>
        <v/>
      </c>
      <c r="U430" s="449"/>
    </row>
    <row r="431" spans="2:21" x14ac:dyDescent="0.35">
      <c r="B431" s="459" t="str">
        <f>IF(Lançamentos!$B426="","",Lançamentos!$B426)</f>
        <v/>
      </c>
      <c r="C431" s="460" t="str">
        <f>IF($B431="","",IFERROR(INDEX(Lançamentos!$J$3:$J$1001,MATCH($B431,Lançamentos!$B$3:$B$1001,0)),""))</f>
        <v/>
      </c>
      <c r="D431" s="461" t="str">
        <f>IF($B431="","",IFERROR(INDEX('E2 — Triagem'!$D$8:$D$507,MATCH($B431,'E2 — Triagem'!$B$8:$B$507,0)),""))</f>
        <v/>
      </c>
      <c r="E431" s="447"/>
      <c r="F431" s="447"/>
      <c r="G431" s="447"/>
      <c r="H431" s="447"/>
      <c r="I431" s="447"/>
      <c r="J431" s="447"/>
      <c r="K431" s="462" t="str">
        <f t="shared" si="28"/>
        <v/>
      </c>
      <c r="L431" s="448"/>
      <c r="M431" s="448"/>
      <c r="N431" s="447"/>
      <c r="O431" s="463" t="str">
        <f>IF(B431="","",IF(Lançamentos!D426="","",Lançamentos!D426))</f>
        <v/>
      </c>
      <c r="P431" s="209">
        <v>7</v>
      </c>
      <c r="Q431" s="464" t="str">
        <f t="shared" si="29"/>
        <v/>
      </c>
      <c r="R431" s="465"/>
      <c r="S431" s="466" t="str">
        <f t="shared" ca="1" si="30"/>
        <v/>
      </c>
      <c r="T431" s="461" t="str">
        <f t="shared" ca="1" si="31"/>
        <v/>
      </c>
      <c r="U431" s="449"/>
    </row>
    <row r="432" spans="2:21" x14ac:dyDescent="0.35">
      <c r="B432" s="459" t="str">
        <f>IF(Lançamentos!$B427="","",Lançamentos!$B427)</f>
        <v/>
      </c>
      <c r="C432" s="460" t="str">
        <f>IF($B432="","",IFERROR(INDEX(Lançamentos!$J$3:$J$1001,MATCH($B432,Lançamentos!$B$3:$B$1001,0)),""))</f>
        <v/>
      </c>
      <c r="D432" s="461" t="str">
        <f>IF($B432="","",IFERROR(INDEX('E2 — Triagem'!$D$8:$D$507,MATCH($B432,'E2 — Triagem'!$B$8:$B$507,0)),""))</f>
        <v/>
      </c>
      <c r="E432" s="447"/>
      <c r="F432" s="447"/>
      <c r="G432" s="447"/>
      <c r="H432" s="447"/>
      <c r="I432" s="447"/>
      <c r="J432" s="447"/>
      <c r="K432" s="462" t="str">
        <f t="shared" si="28"/>
        <v/>
      </c>
      <c r="L432" s="448"/>
      <c r="M432" s="448"/>
      <c r="N432" s="447"/>
      <c r="O432" s="463" t="str">
        <f>IF(B432="","",IF(Lançamentos!D427="","",Lançamentos!D427))</f>
        <v/>
      </c>
      <c r="P432" s="209">
        <v>7</v>
      </c>
      <c r="Q432" s="464" t="str">
        <f t="shared" si="29"/>
        <v/>
      </c>
      <c r="R432" s="465"/>
      <c r="S432" s="466" t="str">
        <f t="shared" ca="1" si="30"/>
        <v/>
      </c>
      <c r="T432" s="461" t="str">
        <f t="shared" ca="1" si="31"/>
        <v/>
      </c>
      <c r="U432" s="449"/>
    </row>
    <row r="433" spans="2:21" x14ac:dyDescent="0.35">
      <c r="B433" s="459" t="str">
        <f>IF(Lançamentos!$B428="","",Lançamentos!$B428)</f>
        <v/>
      </c>
      <c r="C433" s="460" t="str">
        <f>IF($B433="","",IFERROR(INDEX(Lançamentos!$J$3:$J$1001,MATCH($B433,Lançamentos!$B$3:$B$1001,0)),""))</f>
        <v/>
      </c>
      <c r="D433" s="461" t="str">
        <f>IF($B433="","",IFERROR(INDEX('E2 — Triagem'!$D$8:$D$507,MATCH($B433,'E2 — Triagem'!$B$8:$B$507,0)),""))</f>
        <v/>
      </c>
      <c r="E433" s="447"/>
      <c r="F433" s="447"/>
      <c r="G433" s="447"/>
      <c r="H433" s="447"/>
      <c r="I433" s="447"/>
      <c r="J433" s="447"/>
      <c r="K433" s="462" t="str">
        <f t="shared" si="28"/>
        <v/>
      </c>
      <c r="L433" s="448"/>
      <c r="M433" s="448"/>
      <c r="N433" s="447"/>
      <c r="O433" s="463" t="str">
        <f>IF(B433="","",IF(Lançamentos!D428="","",Lançamentos!D428))</f>
        <v/>
      </c>
      <c r="P433" s="209">
        <v>7</v>
      </c>
      <c r="Q433" s="464" t="str">
        <f t="shared" si="29"/>
        <v/>
      </c>
      <c r="R433" s="465"/>
      <c r="S433" s="466" t="str">
        <f t="shared" ca="1" si="30"/>
        <v/>
      </c>
      <c r="T433" s="461" t="str">
        <f t="shared" ca="1" si="31"/>
        <v/>
      </c>
      <c r="U433" s="449"/>
    </row>
    <row r="434" spans="2:21" x14ac:dyDescent="0.35">
      <c r="B434" s="459" t="str">
        <f>IF(Lançamentos!$B429="","",Lançamentos!$B429)</f>
        <v/>
      </c>
      <c r="C434" s="460" t="str">
        <f>IF($B434="","",IFERROR(INDEX(Lançamentos!$J$3:$J$1001,MATCH($B434,Lançamentos!$B$3:$B$1001,0)),""))</f>
        <v/>
      </c>
      <c r="D434" s="461" t="str">
        <f>IF($B434="","",IFERROR(INDEX('E2 — Triagem'!$D$8:$D$507,MATCH($B434,'E2 — Triagem'!$B$8:$B$507,0)),""))</f>
        <v/>
      </c>
      <c r="E434" s="447"/>
      <c r="F434" s="447"/>
      <c r="G434" s="447"/>
      <c r="H434" s="447"/>
      <c r="I434" s="447"/>
      <c r="J434" s="447"/>
      <c r="K434" s="462" t="str">
        <f t="shared" si="28"/>
        <v/>
      </c>
      <c r="L434" s="448"/>
      <c r="M434" s="448"/>
      <c r="N434" s="447"/>
      <c r="O434" s="463" t="str">
        <f>IF(B434="","",IF(Lançamentos!D429="","",Lançamentos!D429))</f>
        <v/>
      </c>
      <c r="P434" s="209">
        <v>7</v>
      </c>
      <c r="Q434" s="464" t="str">
        <f t="shared" si="29"/>
        <v/>
      </c>
      <c r="R434" s="465"/>
      <c r="S434" s="466" t="str">
        <f t="shared" ca="1" si="30"/>
        <v/>
      </c>
      <c r="T434" s="461" t="str">
        <f t="shared" ca="1" si="31"/>
        <v/>
      </c>
      <c r="U434" s="449"/>
    </row>
    <row r="435" spans="2:21" x14ac:dyDescent="0.35">
      <c r="B435" s="459" t="str">
        <f>IF(Lançamentos!$B430="","",Lançamentos!$B430)</f>
        <v/>
      </c>
      <c r="C435" s="460" t="str">
        <f>IF($B435="","",IFERROR(INDEX(Lançamentos!$J$3:$J$1001,MATCH($B435,Lançamentos!$B$3:$B$1001,0)),""))</f>
        <v/>
      </c>
      <c r="D435" s="461" t="str">
        <f>IF($B435="","",IFERROR(INDEX('E2 — Triagem'!$D$8:$D$507,MATCH($B435,'E2 — Triagem'!$B$8:$B$507,0)),""))</f>
        <v/>
      </c>
      <c r="E435" s="447"/>
      <c r="F435" s="447"/>
      <c r="G435" s="447"/>
      <c r="H435" s="447"/>
      <c r="I435" s="447"/>
      <c r="J435" s="447"/>
      <c r="K435" s="462" t="str">
        <f t="shared" si="28"/>
        <v/>
      </c>
      <c r="L435" s="448"/>
      <c r="M435" s="448"/>
      <c r="N435" s="447"/>
      <c r="O435" s="463" t="str">
        <f>IF(B435="","",IF(Lançamentos!D430="","",Lançamentos!D430))</f>
        <v/>
      </c>
      <c r="P435" s="209">
        <v>7</v>
      </c>
      <c r="Q435" s="464" t="str">
        <f t="shared" si="29"/>
        <v/>
      </c>
      <c r="R435" s="465"/>
      <c r="S435" s="466" t="str">
        <f t="shared" ca="1" si="30"/>
        <v/>
      </c>
      <c r="T435" s="461" t="str">
        <f t="shared" ca="1" si="31"/>
        <v/>
      </c>
      <c r="U435" s="449"/>
    </row>
    <row r="436" spans="2:21" x14ac:dyDescent="0.35">
      <c r="B436" s="459" t="str">
        <f>IF(Lançamentos!$B431="","",Lançamentos!$B431)</f>
        <v/>
      </c>
      <c r="C436" s="460" t="str">
        <f>IF($B436="","",IFERROR(INDEX(Lançamentos!$J$3:$J$1001,MATCH($B436,Lançamentos!$B$3:$B$1001,0)),""))</f>
        <v/>
      </c>
      <c r="D436" s="461" t="str">
        <f>IF($B436="","",IFERROR(INDEX('E2 — Triagem'!$D$8:$D$507,MATCH($B436,'E2 — Triagem'!$B$8:$B$507,0)),""))</f>
        <v/>
      </c>
      <c r="E436" s="447"/>
      <c r="F436" s="447"/>
      <c r="G436" s="447"/>
      <c r="H436" s="447"/>
      <c r="I436" s="447"/>
      <c r="J436" s="447"/>
      <c r="K436" s="462" t="str">
        <f t="shared" si="28"/>
        <v/>
      </c>
      <c r="L436" s="448"/>
      <c r="M436" s="448"/>
      <c r="N436" s="447"/>
      <c r="O436" s="463" t="str">
        <f>IF(B436="","",IF(Lançamentos!D431="","",Lançamentos!D431))</f>
        <v/>
      </c>
      <c r="P436" s="209">
        <v>7</v>
      </c>
      <c r="Q436" s="464" t="str">
        <f t="shared" si="29"/>
        <v/>
      </c>
      <c r="R436" s="465"/>
      <c r="S436" s="466" t="str">
        <f t="shared" ca="1" si="30"/>
        <v/>
      </c>
      <c r="T436" s="461" t="str">
        <f t="shared" ca="1" si="31"/>
        <v/>
      </c>
      <c r="U436" s="449"/>
    </row>
    <row r="437" spans="2:21" x14ac:dyDescent="0.35">
      <c r="B437" s="459" t="str">
        <f>IF(Lançamentos!$B432="","",Lançamentos!$B432)</f>
        <v/>
      </c>
      <c r="C437" s="460" t="str">
        <f>IF($B437="","",IFERROR(INDEX(Lançamentos!$J$3:$J$1001,MATCH($B437,Lançamentos!$B$3:$B$1001,0)),""))</f>
        <v/>
      </c>
      <c r="D437" s="461" t="str">
        <f>IF($B437="","",IFERROR(INDEX('E2 — Triagem'!$D$8:$D$507,MATCH($B437,'E2 — Triagem'!$B$8:$B$507,0)),""))</f>
        <v/>
      </c>
      <c r="E437" s="447"/>
      <c r="F437" s="447"/>
      <c r="G437" s="447"/>
      <c r="H437" s="447"/>
      <c r="I437" s="447"/>
      <c r="J437" s="447"/>
      <c r="K437" s="462" t="str">
        <f t="shared" si="28"/>
        <v/>
      </c>
      <c r="L437" s="448"/>
      <c r="M437" s="448"/>
      <c r="N437" s="447"/>
      <c r="O437" s="463" t="str">
        <f>IF(B437="","",IF(Lançamentos!D432="","",Lançamentos!D432))</f>
        <v/>
      </c>
      <c r="P437" s="209">
        <v>7</v>
      </c>
      <c r="Q437" s="464" t="str">
        <f t="shared" si="29"/>
        <v/>
      </c>
      <c r="R437" s="465"/>
      <c r="S437" s="466" t="str">
        <f t="shared" ca="1" si="30"/>
        <v/>
      </c>
      <c r="T437" s="461" t="str">
        <f t="shared" ca="1" si="31"/>
        <v/>
      </c>
      <c r="U437" s="449"/>
    </row>
    <row r="438" spans="2:21" x14ac:dyDescent="0.35">
      <c r="B438" s="459" t="str">
        <f>IF(Lançamentos!$B433="","",Lançamentos!$B433)</f>
        <v/>
      </c>
      <c r="C438" s="460" t="str">
        <f>IF($B438="","",IFERROR(INDEX(Lançamentos!$J$3:$J$1001,MATCH($B438,Lançamentos!$B$3:$B$1001,0)),""))</f>
        <v/>
      </c>
      <c r="D438" s="461" t="str">
        <f>IF($B438="","",IFERROR(INDEX('E2 — Triagem'!$D$8:$D$507,MATCH($B438,'E2 — Triagem'!$B$8:$B$507,0)),""))</f>
        <v/>
      </c>
      <c r="E438" s="447"/>
      <c r="F438" s="447"/>
      <c r="G438" s="447"/>
      <c r="H438" s="447"/>
      <c r="I438" s="447"/>
      <c r="J438" s="447"/>
      <c r="K438" s="462" t="str">
        <f t="shared" si="28"/>
        <v/>
      </c>
      <c r="L438" s="448"/>
      <c r="M438" s="448"/>
      <c r="N438" s="447"/>
      <c r="O438" s="463" t="str">
        <f>IF(B438="","",IF(Lançamentos!D433="","",Lançamentos!D433))</f>
        <v/>
      </c>
      <c r="P438" s="209">
        <v>7</v>
      </c>
      <c r="Q438" s="464" t="str">
        <f t="shared" si="29"/>
        <v/>
      </c>
      <c r="R438" s="465"/>
      <c r="S438" s="466" t="str">
        <f t="shared" ca="1" si="30"/>
        <v/>
      </c>
      <c r="T438" s="461" t="str">
        <f t="shared" ca="1" si="31"/>
        <v/>
      </c>
      <c r="U438" s="449"/>
    </row>
    <row r="439" spans="2:21" x14ac:dyDescent="0.35">
      <c r="B439" s="459" t="str">
        <f>IF(Lançamentos!$B434="","",Lançamentos!$B434)</f>
        <v/>
      </c>
      <c r="C439" s="460" t="str">
        <f>IF($B439="","",IFERROR(INDEX(Lançamentos!$J$3:$J$1001,MATCH($B439,Lançamentos!$B$3:$B$1001,0)),""))</f>
        <v/>
      </c>
      <c r="D439" s="461" t="str">
        <f>IF($B439="","",IFERROR(INDEX('E2 — Triagem'!$D$8:$D$507,MATCH($B439,'E2 — Triagem'!$B$8:$B$507,0)),""))</f>
        <v/>
      </c>
      <c r="E439" s="447"/>
      <c r="F439" s="447"/>
      <c r="G439" s="447"/>
      <c r="H439" s="447"/>
      <c r="I439" s="447"/>
      <c r="J439" s="447"/>
      <c r="K439" s="462" t="str">
        <f t="shared" si="28"/>
        <v/>
      </c>
      <c r="L439" s="448"/>
      <c r="M439" s="448"/>
      <c r="N439" s="447"/>
      <c r="O439" s="463" t="str">
        <f>IF(B439="","",IF(Lançamentos!D434="","",Lançamentos!D434))</f>
        <v/>
      </c>
      <c r="P439" s="209">
        <v>7</v>
      </c>
      <c r="Q439" s="464" t="str">
        <f t="shared" si="29"/>
        <v/>
      </c>
      <c r="R439" s="465"/>
      <c r="S439" s="466" t="str">
        <f t="shared" ca="1" si="30"/>
        <v/>
      </c>
      <c r="T439" s="461" t="str">
        <f t="shared" ca="1" si="31"/>
        <v/>
      </c>
      <c r="U439" s="449"/>
    </row>
    <row r="440" spans="2:21" x14ac:dyDescent="0.35">
      <c r="B440" s="459" t="str">
        <f>IF(Lançamentos!$B435="","",Lançamentos!$B435)</f>
        <v/>
      </c>
      <c r="C440" s="460" t="str">
        <f>IF($B440="","",IFERROR(INDEX(Lançamentos!$J$3:$J$1001,MATCH($B440,Lançamentos!$B$3:$B$1001,0)),""))</f>
        <v/>
      </c>
      <c r="D440" s="461" t="str">
        <f>IF($B440="","",IFERROR(INDEX('E2 — Triagem'!$D$8:$D$507,MATCH($B440,'E2 — Triagem'!$B$8:$B$507,0)),""))</f>
        <v/>
      </c>
      <c r="E440" s="447"/>
      <c r="F440" s="447"/>
      <c r="G440" s="447"/>
      <c r="H440" s="447"/>
      <c r="I440" s="447"/>
      <c r="J440" s="447"/>
      <c r="K440" s="462" t="str">
        <f t="shared" si="28"/>
        <v/>
      </c>
      <c r="L440" s="448"/>
      <c r="M440" s="448"/>
      <c r="N440" s="447"/>
      <c r="O440" s="463" t="str">
        <f>IF(B440="","",IF(Lançamentos!D435="","",Lançamentos!D435))</f>
        <v/>
      </c>
      <c r="P440" s="209">
        <v>7</v>
      </c>
      <c r="Q440" s="464" t="str">
        <f t="shared" si="29"/>
        <v/>
      </c>
      <c r="R440" s="465"/>
      <c r="S440" s="466" t="str">
        <f t="shared" ca="1" si="30"/>
        <v/>
      </c>
      <c r="T440" s="461" t="str">
        <f t="shared" ca="1" si="31"/>
        <v/>
      </c>
      <c r="U440" s="449"/>
    </row>
    <row r="441" spans="2:21" x14ac:dyDescent="0.35">
      <c r="B441" s="459" t="str">
        <f>IF(Lançamentos!$B436="","",Lançamentos!$B436)</f>
        <v/>
      </c>
      <c r="C441" s="460" t="str">
        <f>IF($B441="","",IFERROR(INDEX(Lançamentos!$J$3:$J$1001,MATCH($B441,Lançamentos!$B$3:$B$1001,0)),""))</f>
        <v/>
      </c>
      <c r="D441" s="461" t="str">
        <f>IF($B441="","",IFERROR(INDEX('E2 — Triagem'!$D$8:$D$507,MATCH($B441,'E2 — Triagem'!$B$8:$B$507,0)),""))</f>
        <v/>
      </c>
      <c r="E441" s="447"/>
      <c r="F441" s="447"/>
      <c r="G441" s="447"/>
      <c r="H441" s="447"/>
      <c r="I441" s="447"/>
      <c r="J441" s="447"/>
      <c r="K441" s="462" t="str">
        <f t="shared" si="28"/>
        <v/>
      </c>
      <c r="L441" s="448"/>
      <c r="M441" s="448"/>
      <c r="N441" s="447"/>
      <c r="O441" s="463" t="str">
        <f>IF(B441="","",IF(Lançamentos!D436="","",Lançamentos!D436))</f>
        <v/>
      </c>
      <c r="P441" s="209">
        <v>7</v>
      </c>
      <c r="Q441" s="464" t="str">
        <f t="shared" si="29"/>
        <v/>
      </c>
      <c r="R441" s="465"/>
      <c r="S441" s="466" t="str">
        <f t="shared" ca="1" si="30"/>
        <v/>
      </c>
      <c r="T441" s="461" t="str">
        <f t="shared" ca="1" si="31"/>
        <v/>
      </c>
      <c r="U441" s="449"/>
    </row>
    <row r="442" spans="2:21" x14ac:dyDescent="0.35">
      <c r="B442" s="459" t="str">
        <f>IF(Lançamentos!$B437="","",Lançamentos!$B437)</f>
        <v/>
      </c>
      <c r="C442" s="460" t="str">
        <f>IF($B442="","",IFERROR(INDEX(Lançamentos!$J$3:$J$1001,MATCH($B442,Lançamentos!$B$3:$B$1001,0)),""))</f>
        <v/>
      </c>
      <c r="D442" s="461" t="str">
        <f>IF($B442="","",IFERROR(INDEX('E2 — Triagem'!$D$8:$D$507,MATCH($B442,'E2 — Triagem'!$B$8:$B$507,0)),""))</f>
        <v/>
      </c>
      <c r="E442" s="447"/>
      <c r="F442" s="447"/>
      <c r="G442" s="447"/>
      <c r="H442" s="447"/>
      <c r="I442" s="447"/>
      <c r="J442" s="447"/>
      <c r="K442" s="462" t="str">
        <f t="shared" si="28"/>
        <v/>
      </c>
      <c r="L442" s="448"/>
      <c r="M442" s="448"/>
      <c r="N442" s="447"/>
      <c r="O442" s="463" t="str">
        <f>IF(B442="","",IF(Lançamentos!D437="","",Lançamentos!D437))</f>
        <v/>
      </c>
      <c r="P442" s="209">
        <v>7</v>
      </c>
      <c r="Q442" s="464" t="str">
        <f t="shared" si="29"/>
        <v/>
      </c>
      <c r="R442" s="465"/>
      <c r="S442" s="466" t="str">
        <f t="shared" ca="1" si="30"/>
        <v/>
      </c>
      <c r="T442" s="461" t="str">
        <f t="shared" ca="1" si="31"/>
        <v/>
      </c>
      <c r="U442" s="449"/>
    </row>
    <row r="443" spans="2:21" x14ac:dyDescent="0.35">
      <c r="B443" s="459" t="str">
        <f>IF(Lançamentos!$B438="","",Lançamentos!$B438)</f>
        <v/>
      </c>
      <c r="C443" s="460" t="str">
        <f>IF($B443="","",IFERROR(INDEX(Lançamentos!$J$3:$J$1001,MATCH($B443,Lançamentos!$B$3:$B$1001,0)),""))</f>
        <v/>
      </c>
      <c r="D443" s="461" t="str">
        <f>IF($B443="","",IFERROR(INDEX('E2 — Triagem'!$D$8:$D$507,MATCH($B443,'E2 — Triagem'!$B$8:$B$507,0)),""))</f>
        <v/>
      </c>
      <c r="E443" s="447"/>
      <c r="F443" s="447"/>
      <c r="G443" s="447"/>
      <c r="H443" s="447"/>
      <c r="I443" s="447"/>
      <c r="J443" s="447"/>
      <c r="K443" s="462" t="str">
        <f t="shared" si="28"/>
        <v/>
      </c>
      <c r="L443" s="448"/>
      <c r="M443" s="448"/>
      <c r="N443" s="447"/>
      <c r="O443" s="463" t="str">
        <f>IF(B443="","",IF(Lançamentos!D438="","",Lançamentos!D438))</f>
        <v/>
      </c>
      <c r="P443" s="209">
        <v>7</v>
      </c>
      <c r="Q443" s="464" t="str">
        <f t="shared" si="29"/>
        <v/>
      </c>
      <c r="R443" s="465"/>
      <c r="S443" s="466" t="str">
        <f t="shared" ca="1" si="30"/>
        <v/>
      </c>
      <c r="T443" s="461" t="str">
        <f t="shared" ca="1" si="31"/>
        <v/>
      </c>
      <c r="U443" s="449"/>
    </row>
    <row r="444" spans="2:21" x14ac:dyDescent="0.35">
      <c r="B444" s="459" t="str">
        <f>IF(Lançamentos!$B439="","",Lançamentos!$B439)</f>
        <v/>
      </c>
      <c r="C444" s="460" t="str">
        <f>IF($B444="","",IFERROR(INDEX(Lançamentos!$J$3:$J$1001,MATCH($B444,Lançamentos!$B$3:$B$1001,0)),""))</f>
        <v/>
      </c>
      <c r="D444" s="461" t="str">
        <f>IF($B444="","",IFERROR(INDEX('E2 — Triagem'!$D$8:$D$507,MATCH($B444,'E2 — Triagem'!$B$8:$B$507,0)),""))</f>
        <v/>
      </c>
      <c r="E444" s="447"/>
      <c r="F444" s="447"/>
      <c r="G444" s="447"/>
      <c r="H444" s="447"/>
      <c r="I444" s="447"/>
      <c r="J444" s="447"/>
      <c r="K444" s="462" t="str">
        <f t="shared" si="28"/>
        <v/>
      </c>
      <c r="L444" s="448"/>
      <c r="M444" s="448"/>
      <c r="N444" s="447"/>
      <c r="O444" s="463" t="str">
        <f>IF(B444="","",IF(Lançamentos!D439="","",Lançamentos!D439))</f>
        <v/>
      </c>
      <c r="P444" s="209">
        <v>7</v>
      </c>
      <c r="Q444" s="464" t="str">
        <f t="shared" si="29"/>
        <v/>
      </c>
      <c r="R444" s="465"/>
      <c r="S444" s="466" t="str">
        <f t="shared" ca="1" si="30"/>
        <v/>
      </c>
      <c r="T444" s="461" t="str">
        <f t="shared" ca="1" si="31"/>
        <v/>
      </c>
      <c r="U444" s="449"/>
    </row>
    <row r="445" spans="2:21" x14ac:dyDescent="0.35">
      <c r="B445" s="459" t="str">
        <f>IF(Lançamentos!$B440="","",Lançamentos!$B440)</f>
        <v/>
      </c>
      <c r="C445" s="460" t="str">
        <f>IF($B445="","",IFERROR(INDEX(Lançamentos!$J$3:$J$1001,MATCH($B445,Lançamentos!$B$3:$B$1001,0)),""))</f>
        <v/>
      </c>
      <c r="D445" s="461" t="str">
        <f>IF($B445="","",IFERROR(INDEX('E2 — Triagem'!$D$8:$D$507,MATCH($B445,'E2 — Triagem'!$B$8:$B$507,0)),""))</f>
        <v/>
      </c>
      <c r="E445" s="447"/>
      <c r="F445" s="447"/>
      <c r="G445" s="447"/>
      <c r="H445" s="447"/>
      <c r="I445" s="447"/>
      <c r="J445" s="447"/>
      <c r="K445" s="462" t="str">
        <f t="shared" si="28"/>
        <v/>
      </c>
      <c r="L445" s="448"/>
      <c r="M445" s="448"/>
      <c r="N445" s="447"/>
      <c r="O445" s="463" t="str">
        <f>IF(B445="","",IF(Lançamentos!D440="","",Lançamentos!D440))</f>
        <v/>
      </c>
      <c r="P445" s="209">
        <v>7</v>
      </c>
      <c r="Q445" s="464" t="str">
        <f t="shared" si="29"/>
        <v/>
      </c>
      <c r="R445" s="465"/>
      <c r="S445" s="466" t="str">
        <f t="shared" ca="1" si="30"/>
        <v/>
      </c>
      <c r="T445" s="461" t="str">
        <f t="shared" ca="1" si="31"/>
        <v/>
      </c>
      <c r="U445" s="449"/>
    </row>
    <row r="446" spans="2:21" x14ac:dyDescent="0.35">
      <c r="B446" s="459" t="str">
        <f>IF(Lançamentos!$B441="","",Lançamentos!$B441)</f>
        <v/>
      </c>
      <c r="C446" s="460" t="str">
        <f>IF($B446="","",IFERROR(INDEX(Lançamentos!$J$3:$J$1001,MATCH($B446,Lançamentos!$B$3:$B$1001,0)),""))</f>
        <v/>
      </c>
      <c r="D446" s="461" t="str">
        <f>IF($B446="","",IFERROR(INDEX('E2 — Triagem'!$D$8:$D$507,MATCH($B446,'E2 — Triagem'!$B$8:$B$507,0)),""))</f>
        <v/>
      </c>
      <c r="E446" s="447"/>
      <c r="F446" s="447"/>
      <c r="G446" s="447"/>
      <c r="H446" s="447"/>
      <c r="I446" s="447"/>
      <c r="J446" s="447"/>
      <c r="K446" s="462" t="str">
        <f t="shared" si="28"/>
        <v/>
      </c>
      <c r="L446" s="448"/>
      <c r="M446" s="448"/>
      <c r="N446" s="447"/>
      <c r="O446" s="463" t="str">
        <f>IF(B446="","",IF(Lançamentos!D441="","",Lançamentos!D441))</f>
        <v/>
      </c>
      <c r="P446" s="209">
        <v>7</v>
      </c>
      <c r="Q446" s="464" t="str">
        <f t="shared" si="29"/>
        <v/>
      </c>
      <c r="R446" s="465"/>
      <c r="S446" s="466" t="str">
        <f t="shared" ca="1" si="30"/>
        <v/>
      </c>
      <c r="T446" s="461" t="str">
        <f t="shared" ca="1" si="31"/>
        <v/>
      </c>
      <c r="U446" s="449"/>
    </row>
    <row r="447" spans="2:21" x14ac:dyDescent="0.35">
      <c r="B447" s="459" t="str">
        <f>IF(Lançamentos!$B442="","",Lançamentos!$B442)</f>
        <v/>
      </c>
      <c r="C447" s="460" t="str">
        <f>IF($B447="","",IFERROR(INDEX(Lançamentos!$J$3:$J$1001,MATCH($B447,Lançamentos!$B$3:$B$1001,0)),""))</f>
        <v/>
      </c>
      <c r="D447" s="461" t="str">
        <f>IF($B447="","",IFERROR(INDEX('E2 — Triagem'!$D$8:$D$507,MATCH($B447,'E2 — Triagem'!$B$8:$B$507,0)),""))</f>
        <v/>
      </c>
      <c r="E447" s="447"/>
      <c r="F447" s="447"/>
      <c r="G447" s="447"/>
      <c r="H447" s="447"/>
      <c r="I447" s="447"/>
      <c r="J447" s="447"/>
      <c r="K447" s="462" t="str">
        <f t="shared" si="28"/>
        <v/>
      </c>
      <c r="L447" s="448"/>
      <c r="M447" s="448"/>
      <c r="N447" s="447"/>
      <c r="O447" s="463" t="str">
        <f>IF(B447="","",IF(Lançamentos!D442="","",Lançamentos!D442))</f>
        <v/>
      </c>
      <c r="P447" s="209">
        <v>7</v>
      </c>
      <c r="Q447" s="464" t="str">
        <f t="shared" si="29"/>
        <v/>
      </c>
      <c r="R447" s="465"/>
      <c r="S447" s="466" t="str">
        <f t="shared" ca="1" si="30"/>
        <v/>
      </c>
      <c r="T447" s="461" t="str">
        <f t="shared" ca="1" si="31"/>
        <v/>
      </c>
      <c r="U447" s="449"/>
    </row>
    <row r="448" spans="2:21" x14ac:dyDescent="0.35">
      <c r="B448" s="459" t="str">
        <f>IF(Lançamentos!$B443="","",Lançamentos!$B443)</f>
        <v/>
      </c>
      <c r="C448" s="460" t="str">
        <f>IF($B448="","",IFERROR(INDEX(Lançamentos!$J$3:$J$1001,MATCH($B448,Lançamentos!$B$3:$B$1001,0)),""))</f>
        <v/>
      </c>
      <c r="D448" s="461" t="str">
        <f>IF($B448="","",IFERROR(INDEX('E2 — Triagem'!$D$8:$D$507,MATCH($B448,'E2 — Triagem'!$B$8:$B$507,0)),""))</f>
        <v/>
      </c>
      <c r="E448" s="447"/>
      <c r="F448" s="447"/>
      <c r="G448" s="447"/>
      <c r="H448" s="447"/>
      <c r="I448" s="447"/>
      <c r="J448" s="447"/>
      <c r="K448" s="462" t="str">
        <f t="shared" si="28"/>
        <v/>
      </c>
      <c r="L448" s="448"/>
      <c r="M448" s="448"/>
      <c r="N448" s="447"/>
      <c r="O448" s="463" t="str">
        <f>IF(B448="","",IF(Lançamentos!D443="","",Lançamentos!D443))</f>
        <v/>
      </c>
      <c r="P448" s="209">
        <v>7</v>
      </c>
      <c r="Q448" s="464" t="str">
        <f t="shared" si="29"/>
        <v/>
      </c>
      <c r="R448" s="465"/>
      <c r="S448" s="466" t="str">
        <f t="shared" ca="1" si="30"/>
        <v/>
      </c>
      <c r="T448" s="461" t="str">
        <f t="shared" ca="1" si="31"/>
        <v/>
      </c>
      <c r="U448" s="449"/>
    </row>
    <row r="449" spans="2:21" x14ac:dyDescent="0.35">
      <c r="B449" s="459" t="str">
        <f>IF(Lançamentos!$B444="","",Lançamentos!$B444)</f>
        <v/>
      </c>
      <c r="C449" s="460" t="str">
        <f>IF($B449="","",IFERROR(INDEX(Lançamentos!$J$3:$J$1001,MATCH($B449,Lançamentos!$B$3:$B$1001,0)),""))</f>
        <v/>
      </c>
      <c r="D449" s="461" t="str">
        <f>IF($B449="","",IFERROR(INDEX('E2 — Triagem'!$D$8:$D$507,MATCH($B449,'E2 — Triagem'!$B$8:$B$507,0)),""))</f>
        <v/>
      </c>
      <c r="E449" s="447"/>
      <c r="F449" s="447"/>
      <c r="G449" s="447"/>
      <c r="H449" s="447"/>
      <c r="I449" s="447"/>
      <c r="J449" s="447"/>
      <c r="K449" s="462" t="str">
        <f t="shared" si="28"/>
        <v/>
      </c>
      <c r="L449" s="448"/>
      <c r="M449" s="448"/>
      <c r="N449" s="447"/>
      <c r="O449" s="463" t="str">
        <f>IF(B449="","",IF(Lançamentos!D444="","",Lançamentos!D444))</f>
        <v/>
      </c>
      <c r="P449" s="209">
        <v>7</v>
      </c>
      <c r="Q449" s="464" t="str">
        <f t="shared" si="29"/>
        <v/>
      </c>
      <c r="R449" s="465"/>
      <c r="S449" s="466" t="str">
        <f t="shared" ca="1" si="30"/>
        <v/>
      </c>
      <c r="T449" s="461" t="str">
        <f t="shared" ca="1" si="31"/>
        <v/>
      </c>
      <c r="U449" s="449"/>
    </row>
    <row r="450" spans="2:21" x14ac:dyDescent="0.35">
      <c r="B450" s="459" t="str">
        <f>IF(Lançamentos!$B445="","",Lançamentos!$B445)</f>
        <v/>
      </c>
      <c r="C450" s="460" t="str">
        <f>IF($B450="","",IFERROR(INDEX(Lançamentos!$J$3:$J$1001,MATCH($B450,Lançamentos!$B$3:$B$1001,0)),""))</f>
        <v/>
      </c>
      <c r="D450" s="461" t="str">
        <f>IF($B450="","",IFERROR(INDEX('E2 — Triagem'!$D$8:$D$507,MATCH($B450,'E2 — Triagem'!$B$8:$B$507,0)),""))</f>
        <v/>
      </c>
      <c r="E450" s="447"/>
      <c r="F450" s="447"/>
      <c r="G450" s="447"/>
      <c r="H450" s="447"/>
      <c r="I450" s="447"/>
      <c r="J450" s="447"/>
      <c r="K450" s="462" t="str">
        <f t="shared" si="28"/>
        <v/>
      </c>
      <c r="L450" s="448"/>
      <c r="M450" s="448"/>
      <c r="N450" s="447"/>
      <c r="O450" s="463" t="str">
        <f>IF(B450="","",IF(Lançamentos!D445="","",Lançamentos!D445))</f>
        <v/>
      </c>
      <c r="P450" s="209">
        <v>7</v>
      </c>
      <c r="Q450" s="464" t="str">
        <f t="shared" si="29"/>
        <v/>
      </c>
      <c r="R450" s="465"/>
      <c r="S450" s="466" t="str">
        <f t="shared" ca="1" si="30"/>
        <v/>
      </c>
      <c r="T450" s="461" t="str">
        <f t="shared" ca="1" si="31"/>
        <v/>
      </c>
      <c r="U450" s="449"/>
    </row>
    <row r="451" spans="2:21" x14ac:dyDescent="0.35">
      <c r="B451" s="459" t="str">
        <f>IF(Lançamentos!$B446="","",Lançamentos!$B446)</f>
        <v/>
      </c>
      <c r="C451" s="460" t="str">
        <f>IF($B451="","",IFERROR(INDEX(Lançamentos!$J$3:$J$1001,MATCH($B451,Lançamentos!$B$3:$B$1001,0)),""))</f>
        <v/>
      </c>
      <c r="D451" s="461" t="str">
        <f>IF($B451="","",IFERROR(INDEX('E2 — Triagem'!$D$8:$D$507,MATCH($B451,'E2 — Triagem'!$B$8:$B$507,0)),""))</f>
        <v/>
      </c>
      <c r="E451" s="447"/>
      <c r="F451" s="447"/>
      <c r="G451" s="447"/>
      <c r="H451" s="447"/>
      <c r="I451" s="447"/>
      <c r="J451" s="447"/>
      <c r="K451" s="462" t="str">
        <f t="shared" si="28"/>
        <v/>
      </c>
      <c r="L451" s="448"/>
      <c r="M451" s="448"/>
      <c r="N451" s="447"/>
      <c r="O451" s="463" t="str">
        <f>IF(B451="","",IF(Lançamentos!D446="","",Lançamentos!D446))</f>
        <v/>
      </c>
      <c r="P451" s="209">
        <v>7</v>
      </c>
      <c r="Q451" s="464" t="str">
        <f t="shared" si="29"/>
        <v/>
      </c>
      <c r="R451" s="465"/>
      <c r="S451" s="466" t="str">
        <f t="shared" ca="1" si="30"/>
        <v/>
      </c>
      <c r="T451" s="461" t="str">
        <f t="shared" ca="1" si="31"/>
        <v/>
      </c>
      <c r="U451" s="449"/>
    </row>
    <row r="452" spans="2:21" x14ac:dyDescent="0.35">
      <c r="B452" s="459" t="str">
        <f>IF(Lançamentos!$B447="","",Lançamentos!$B447)</f>
        <v/>
      </c>
      <c r="C452" s="460" t="str">
        <f>IF($B452="","",IFERROR(INDEX(Lançamentos!$J$3:$J$1001,MATCH($B452,Lançamentos!$B$3:$B$1001,0)),""))</f>
        <v/>
      </c>
      <c r="D452" s="461" t="str">
        <f>IF($B452="","",IFERROR(INDEX('E2 — Triagem'!$D$8:$D$507,MATCH($B452,'E2 — Triagem'!$B$8:$B$507,0)),""))</f>
        <v/>
      </c>
      <c r="E452" s="447"/>
      <c r="F452" s="447"/>
      <c r="G452" s="447"/>
      <c r="H452" s="447"/>
      <c r="I452" s="447"/>
      <c r="J452" s="447"/>
      <c r="K452" s="462" t="str">
        <f t="shared" si="28"/>
        <v/>
      </c>
      <c r="L452" s="448"/>
      <c r="M452" s="448"/>
      <c r="N452" s="447"/>
      <c r="O452" s="463" t="str">
        <f>IF(B452="","",IF(Lançamentos!D447="","",Lançamentos!D447))</f>
        <v/>
      </c>
      <c r="P452" s="209">
        <v>7</v>
      </c>
      <c r="Q452" s="464" t="str">
        <f t="shared" si="29"/>
        <v/>
      </c>
      <c r="R452" s="465"/>
      <c r="S452" s="466" t="str">
        <f t="shared" ca="1" si="30"/>
        <v/>
      </c>
      <c r="T452" s="461" t="str">
        <f t="shared" ca="1" si="31"/>
        <v/>
      </c>
      <c r="U452" s="449"/>
    </row>
    <row r="453" spans="2:21" x14ac:dyDescent="0.35">
      <c r="B453" s="459" t="str">
        <f>IF(Lançamentos!$B448="","",Lançamentos!$B448)</f>
        <v/>
      </c>
      <c r="C453" s="460" t="str">
        <f>IF($B453="","",IFERROR(INDEX(Lançamentos!$J$3:$J$1001,MATCH($B453,Lançamentos!$B$3:$B$1001,0)),""))</f>
        <v/>
      </c>
      <c r="D453" s="461" t="str">
        <f>IF($B453="","",IFERROR(INDEX('E2 — Triagem'!$D$8:$D$507,MATCH($B453,'E2 — Triagem'!$B$8:$B$507,0)),""))</f>
        <v/>
      </c>
      <c r="E453" s="447"/>
      <c r="F453" s="447"/>
      <c r="G453" s="447"/>
      <c r="H453" s="447"/>
      <c r="I453" s="447"/>
      <c r="J453" s="447"/>
      <c r="K453" s="462" t="str">
        <f t="shared" si="28"/>
        <v/>
      </c>
      <c r="L453" s="448"/>
      <c r="M453" s="448"/>
      <c r="N453" s="447"/>
      <c r="O453" s="463" t="str">
        <f>IF(B453="","",IF(Lançamentos!D448="","",Lançamentos!D448))</f>
        <v/>
      </c>
      <c r="P453" s="209">
        <v>7</v>
      </c>
      <c r="Q453" s="464" t="str">
        <f t="shared" si="29"/>
        <v/>
      </c>
      <c r="R453" s="465"/>
      <c r="S453" s="466" t="str">
        <f t="shared" ca="1" si="30"/>
        <v/>
      </c>
      <c r="T453" s="461" t="str">
        <f t="shared" ca="1" si="31"/>
        <v/>
      </c>
      <c r="U453" s="449"/>
    </row>
    <row r="454" spans="2:21" x14ac:dyDescent="0.35">
      <c r="B454" s="459" t="str">
        <f>IF(Lançamentos!$B449="","",Lançamentos!$B449)</f>
        <v/>
      </c>
      <c r="C454" s="460" t="str">
        <f>IF($B454="","",IFERROR(INDEX(Lançamentos!$J$3:$J$1001,MATCH($B454,Lançamentos!$B$3:$B$1001,0)),""))</f>
        <v/>
      </c>
      <c r="D454" s="461" t="str">
        <f>IF($B454="","",IFERROR(INDEX('E2 — Triagem'!$D$8:$D$507,MATCH($B454,'E2 — Triagem'!$B$8:$B$507,0)),""))</f>
        <v/>
      </c>
      <c r="E454" s="447"/>
      <c r="F454" s="447"/>
      <c r="G454" s="447"/>
      <c r="H454" s="447"/>
      <c r="I454" s="447"/>
      <c r="J454" s="447"/>
      <c r="K454" s="462" t="str">
        <f t="shared" si="28"/>
        <v/>
      </c>
      <c r="L454" s="448"/>
      <c r="M454" s="448"/>
      <c r="N454" s="447"/>
      <c r="O454" s="463" t="str">
        <f>IF(B454="","",IF(Lançamentos!D449="","",Lançamentos!D449))</f>
        <v/>
      </c>
      <c r="P454" s="209">
        <v>7</v>
      </c>
      <c r="Q454" s="464" t="str">
        <f t="shared" si="29"/>
        <v/>
      </c>
      <c r="R454" s="465"/>
      <c r="S454" s="466" t="str">
        <f t="shared" ca="1" si="30"/>
        <v/>
      </c>
      <c r="T454" s="461" t="str">
        <f t="shared" ca="1" si="31"/>
        <v/>
      </c>
      <c r="U454" s="449"/>
    </row>
    <row r="455" spans="2:21" x14ac:dyDescent="0.35">
      <c r="B455" s="459" t="str">
        <f>IF(Lançamentos!$B450="","",Lançamentos!$B450)</f>
        <v/>
      </c>
      <c r="C455" s="460" t="str">
        <f>IF($B455="","",IFERROR(INDEX(Lançamentos!$J$3:$J$1001,MATCH($B455,Lançamentos!$B$3:$B$1001,0)),""))</f>
        <v/>
      </c>
      <c r="D455" s="461" t="str">
        <f>IF($B455="","",IFERROR(INDEX('E2 — Triagem'!$D$8:$D$507,MATCH($B455,'E2 — Triagem'!$B$8:$B$507,0)),""))</f>
        <v/>
      </c>
      <c r="E455" s="447"/>
      <c r="F455" s="447"/>
      <c r="G455" s="447"/>
      <c r="H455" s="447"/>
      <c r="I455" s="447"/>
      <c r="J455" s="447"/>
      <c r="K455" s="462" t="str">
        <f t="shared" si="28"/>
        <v/>
      </c>
      <c r="L455" s="448"/>
      <c r="M455" s="448"/>
      <c r="N455" s="447"/>
      <c r="O455" s="463" t="str">
        <f>IF(B455="","",IF(Lançamentos!D450="","",Lançamentos!D450))</f>
        <v/>
      </c>
      <c r="P455" s="209">
        <v>7</v>
      </c>
      <c r="Q455" s="464" t="str">
        <f t="shared" si="29"/>
        <v/>
      </c>
      <c r="R455" s="465"/>
      <c r="S455" s="466" t="str">
        <f t="shared" ca="1" si="30"/>
        <v/>
      </c>
      <c r="T455" s="461" t="str">
        <f t="shared" ca="1" si="31"/>
        <v/>
      </c>
      <c r="U455" s="449"/>
    </row>
    <row r="456" spans="2:21" x14ac:dyDescent="0.35">
      <c r="B456" s="459" t="str">
        <f>IF(Lançamentos!$B451="","",Lançamentos!$B451)</f>
        <v/>
      </c>
      <c r="C456" s="460" t="str">
        <f>IF($B456="","",IFERROR(INDEX(Lançamentos!$J$3:$J$1001,MATCH($B456,Lançamentos!$B$3:$B$1001,0)),""))</f>
        <v/>
      </c>
      <c r="D456" s="461" t="str">
        <f>IF($B456="","",IFERROR(INDEX('E2 — Triagem'!$D$8:$D$507,MATCH($B456,'E2 — Triagem'!$B$8:$B$507,0)),""))</f>
        <v/>
      </c>
      <c r="E456" s="447"/>
      <c r="F456" s="447"/>
      <c r="G456" s="447"/>
      <c r="H456" s="447"/>
      <c r="I456" s="447"/>
      <c r="J456" s="447"/>
      <c r="K456" s="462" t="str">
        <f t="shared" si="28"/>
        <v/>
      </c>
      <c r="L456" s="448"/>
      <c r="M456" s="448"/>
      <c r="N456" s="447"/>
      <c r="O456" s="463" t="str">
        <f>IF(B456="","",IF(Lançamentos!D451="","",Lançamentos!D451))</f>
        <v/>
      </c>
      <c r="P456" s="209">
        <v>7</v>
      </c>
      <c r="Q456" s="464" t="str">
        <f t="shared" si="29"/>
        <v/>
      </c>
      <c r="R456" s="465"/>
      <c r="S456" s="466" t="str">
        <f t="shared" ca="1" si="30"/>
        <v/>
      </c>
      <c r="T456" s="461" t="str">
        <f t="shared" ca="1" si="31"/>
        <v/>
      </c>
      <c r="U456" s="449"/>
    </row>
    <row r="457" spans="2:21" x14ac:dyDescent="0.35">
      <c r="B457" s="459" t="str">
        <f>IF(Lançamentos!$B452="","",Lançamentos!$B452)</f>
        <v/>
      </c>
      <c r="C457" s="460" t="str">
        <f>IF($B457="","",IFERROR(INDEX(Lançamentos!$J$3:$J$1001,MATCH($B457,Lançamentos!$B$3:$B$1001,0)),""))</f>
        <v/>
      </c>
      <c r="D457" s="461" t="str">
        <f>IF($B457="","",IFERROR(INDEX('E2 — Triagem'!$D$8:$D$507,MATCH($B457,'E2 — Triagem'!$B$8:$B$507,0)),""))</f>
        <v/>
      </c>
      <c r="E457" s="447"/>
      <c r="F457" s="447"/>
      <c r="G457" s="447"/>
      <c r="H457" s="447"/>
      <c r="I457" s="447"/>
      <c r="J457" s="447"/>
      <c r="K457" s="462" t="str">
        <f t="shared" si="28"/>
        <v/>
      </c>
      <c r="L457" s="448"/>
      <c r="M457" s="448"/>
      <c r="N457" s="447"/>
      <c r="O457" s="463" t="str">
        <f>IF(B457="","",IF(Lançamentos!D452="","",Lançamentos!D452))</f>
        <v/>
      </c>
      <c r="P457" s="209">
        <v>7</v>
      </c>
      <c r="Q457" s="464" t="str">
        <f t="shared" si="29"/>
        <v/>
      </c>
      <c r="R457" s="465"/>
      <c r="S457" s="466" t="str">
        <f t="shared" ca="1" si="30"/>
        <v/>
      </c>
      <c r="T457" s="461" t="str">
        <f t="shared" ca="1" si="31"/>
        <v/>
      </c>
      <c r="U457" s="449"/>
    </row>
    <row r="458" spans="2:21" x14ac:dyDescent="0.35">
      <c r="B458" s="459" t="str">
        <f>IF(Lançamentos!$B453="","",Lançamentos!$B453)</f>
        <v/>
      </c>
      <c r="C458" s="460" t="str">
        <f>IF($B458="","",IFERROR(INDEX(Lançamentos!$J$3:$J$1001,MATCH($B458,Lançamentos!$B$3:$B$1001,0)),""))</f>
        <v/>
      </c>
      <c r="D458" s="461" t="str">
        <f>IF($B458="","",IFERROR(INDEX('E2 — Triagem'!$D$8:$D$507,MATCH($B458,'E2 — Triagem'!$B$8:$B$507,0)),""))</f>
        <v/>
      </c>
      <c r="E458" s="447"/>
      <c r="F458" s="447"/>
      <c r="G458" s="447"/>
      <c r="H458" s="447"/>
      <c r="I458" s="447"/>
      <c r="J458" s="447"/>
      <c r="K458" s="462" t="str">
        <f t="shared" si="28"/>
        <v/>
      </c>
      <c r="L458" s="448"/>
      <c r="M458" s="448"/>
      <c r="N458" s="447"/>
      <c r="O458" s="463" t="str">
        <f>IF(B458="","",IF(Lançamentos!D453="","",Lançamentos!D453))</f>
        <v/>
      </c>
      <c r="P458" s="209">
        <v>7</v>
      </c>
      <c r="Q458" s="464" t="str">
        <f t="shared" si="29"/>
        <v/>
      </c>
      <c r="R458" s="465"/>
      <c r="S458" s="466" t="str">
        <f t="shared" ca="1" si="30"/>
        <v/>
      </c>
      <c r="T458" s="461" t="str">
        <f t="shared" ca="1" si="31"/>
        <v/>
      </c>
      <c r="U458" s="449"/>
    </row>
    <row r="459" spans="2:21" x14ac:dyDescent="0.35">
      <c r="B459" s="459" t="str">
        <f>IF(Lançamentos!$B454="","",Lançamentos!$B454)</f>
        <v/>
      </c>
      <c r="C459" s="460" t="str">
        <f>IF($B459="","",IFERROR(INDEX(Lançamentos!$J$3:$J$1001,MATCH($B459,Lançamentos!$B$3:$B$1001,0)),""))</f>
        <v/>
      </c>
      <c r="D459" s="461" t="str">
        <f>IF($B459="","",IFERROR(INDEX('E2 — Triagem'!$D$8:$D$507,MATCH($B459,'E2 — Triagem'!$B$8:$B$507,0)),""))</f>
        <v/>
      </c>
      <c r="E459" s="447"/>
      <c r="F459" s="447"/>
      <c r="G459" s="447"/>
      <c r="H459" s="447"/>
      <c r="I459" s="447"/>
      <c r="J459" s="447"/>
      <c r="K459" s="462" t="str">
        <f t="shared" si="28"/>
        <v/>
      </c>
      <c r="L459" s="448"/>
      <c r="M459" s="448"/>
      <c r="N459" s="447"/>
      <c r="O459" s="463" t="str">
        <f>IF(B459="","",IF(Lançamentos!D454="","",Lançamentos!D454))</f>
        <v/>
      </c>
      <c r="P459" s="209">
        <v>7</v>
      </c>
      <c r="Q459" s="464" t="str">
        <f t="shared" si="29"/>
        <v/>
      </c>
      <c r="R459" s="465"/>
      <c r="S459" s="466" t="str">
        <f t="shared" ca="1" si="30"/>
        <v/>
      </c>
      <c r="T459" s="461" t="str">
        <f t="shared" ca="1" si="31"/>
        <v/>
      </c>
      <c r="U459" s="449"/>
    </row>
    <row r="460" spans="2:21" x14ac:dyDescent="0.35">
      <c r="B460" s="459" t="str">
        <f>IF(Lançamentos!$B455="","",Lançamentos!$B455)</f>
        <v/>
      </c>
      <c r="C460" s="460" t="str">
        <f>IF($B460="","",IFERROR(INDEX(Lançamentos!$J$3:$J$1001,MATCH($B460,Lançamentos!$B$3:$B$1001,0)),""))</f>
        <v/>
      </c>
      <c r="D460" s="461" t="str">
        <f>IF($B460="","",IFERROR(INDEX('E2 — Triagem'!$D$8:$D$507,MATCH($B460,'E2 — Triagem'!$B$8:$B$507,0)),""))</f>
        <v/>
      </c>
      <c r="E460" s="447"/>
      <c r="F460" s="447"/>
      <c r="G460" s="447"/>
      <c r="H460" s="447"/>
      <c r="I460" s="447"/>
      <c r="J460" s="447"/>
      <c r="K460" s="462" t="str">
        <f t="shared" si="28"/>
        <v/>
      </c>
      <c r="L460" s="448"/>
      <c r="M460" s="448"/>
      <c r="N460" s="447"/>
      <c r="O460" s="463" t="str">
        <f>IF(B460="","",IF(Lançamentos!D455="","",Lançamentos!D455))</f>
        <v/>
      </c>
      <c r="P460" s="209">
        <v>7</v>
      </c>
      <c r="Q460" s="464" t="str">
        <f t="shared" si="29"/>
        <v/>
      </c>
      <c r="R460" s="465"/>
      <c r="S460" s="466" t="str">
        <f t="shared" ca="1" si="30"/>
        <v/>
      </c>
      <c r="T460" s="461" t="str">
        <f t="shared" ca="1" si="31"/>
        <v/>
      </c>
      <c r="U460" s="449"/>
    </row>
    <row r="461" spans="2:21" x14ac:dyDescent="0.35">
      <c r="B461" s="459" t="str">
        <f>IF(Lançamentos!$B456="","",Lançamentos!$B456)</f>
        <v/>
      </c>
      <c r="C461" s="460" t="str">
        <f>IF($B461="","",IFERROR(INDEX(Lançamentos!$J$3:$J$1001,MATCH($B461,Lançamentos!$B$3:$B$1001,0)),""))</f>
        <v/>
      </c>
      <c r="D461" s="461" t="str">
        <f>IF($B461="","",IFERROR(INDEX('E2 — Triagem'!$D$8:$D$507,MATCH($B461,'E2 — Triagem'!$B$8:$B$507,0)),""))</f>
        <v/>
      </c>
      <c r="E461" s="447"/>
      <c r="F461" s="447"/>
      <c r="G461" s="447"/>
      <c r="H461" s="447"/>
      <c r="I461" s="447"/>
      <c r="J461" s="447"/>
      <c r="K461" s="462" t="str">
        <f t="shared" si="28"/>
        <v/>
      </c>
      <c r="L461" s="448"/>
      <c r="M461" s="448"/>
      <c r="N461" s="447"/>
      <c r="O461" s="463" t="str">
        <f>IF(B461="","",IF(Lançamentos!D456="","",Lançamentos!D456))</f>
        <v/>
      </c>
      <c r="P461" s="209">
        <v>7</v>
      </c>
      <c r="Q461" s="464" t="str">
        <f t="shared" si="29"/>
        <v/>
      </c>
      <c r="R461" s="465"/>
      <c r="S461" s="466" t="str">
        <f t="shared" ca="1" si="30"/>
        <v/>
      </c>
      <c r="T461" s="461" t="str">
        <f t="shared" ca="1" si="31"/>
        <v/>
      </c>
      <c r="U461" s="449"/>
    </row>
    <row r="462" spans="2:21" x14ac:dyDescent="0.35">
      <c r="B462" s="459" t="str">
        <f>IF(Lançamentos!$B457="","",Lançamentos!$B457)</f>
        <v/>
      </c>
      <c r="C462" s="460" t="str">
        <f>IF($B462="","",IFERROR(INDEX(Lançamentos!$J$3:$J$1001,MATCH($B462,Lançamentos!$B$3:$B$1001,0)),""))</f>
        <v/>
      </c>
      <c r="D462" s="461" t="str">
        <f>IF($B462="","",IFERROR(INDEX('E2 — Triagem'!$D$8:$D$507,MATCH($B462,'E2 — Triagem'!$B$8:$B$507,0)),""))</f>
        <v/>
      </c>
      <c r="E462" s="447"/>
      <c r="F462" s="447"/>
      <c r="G462" s="447"/>
      <c r="H462" s="447"/>
      <c r="I462" s="447"/>
      <c r="J462" s="447"/>
      <c r="K462" s="462" t="str">
        <f t="shared" si="28"/>
        <v/>
      </c>
      <c r="L462" s="448"/>
      <c r="M462" s="448"/>
      <c r="N462" s="447"/>
      <c r="O462" s="463" t="str">
        <f>IF(B462="","",IF(Lançamentos!D457="","",Lançamentos!D457))</f>
        <v/>
      </c>
      <c r="P462" s="209">
        <v>7</v>
      </c>
      <c r="Q462" s="464" t="str">
        <f t="shared" si="29"/>
        <v/>
      </c>
      <c r="R462" s="465"/>
      <c r="S462" s="466" t="str">
        <f t="shared" ca="1" si="30"/>
        <v/>
      </c>
      <c r="T462" s="461" t="str">
        <f t="shared" ca="1" si="31"/>
        <v/>
      </c>
      <c r="U462" s="449"/>
    </row>
    <row r="463" spans="2:21" x14ac:dyDescent="0.35">
      <c r="B463" s="459" t="str">
        <f>IF(Lançamentos!$B458="","",Lançamentos!$B458)</f>
        <v/>
      </c>
      <c r="C463" s="460" t="str">
        <f>IF($B463="","",IFERROR(INDEX(Lançamentos!$J$3:$J$1001,MATCH($B463,Lançamentos!$B$3:$B$1001,0)),""))</f>
        <v/>
      </c>
      <c r="D463" s="461" t="str">
        <f>IF($B463="","",IFERROR(INDEX('E2 — Triagem'!$D$8:$D$507,MATCH($B463,'E2 — Triagem'!$B$8:$B$507,0)),""))</f>
        <v/>
      </c>
      <c r="E463" s="447"/>
      <c r="F463" s="447"/>
      <c r="G463" s="447"/>
      <c r="H463" s="447"/>
      <c r="I463" s="447"/>
      <c r="J463" s="447"/>
      <c r="K463" s="462" t="str">
        <f t="shared" si="28"/>
        <v/>
      </c>
      <c r="L463" s="448"/>
      <c r="M463" s="448"/>
      <c r="N463" s="447"/>
      <c r="O463" s="463" t="str">
        <f>IF(B463="","",IF(Lançamentos!D458="","",Lançamentos!D458))</f>
        <v/>
      </c>
      <c r="P463" s="209">
        <v>7</v>
      </c>
      <c r="Q463" s="464" t="str">
        <f t="shared" si="29"/>
        <v/>
      </c>
      <c r="R463" s="465"/>
      <c r="S463" s="466" t="str">
        <f t="shared" ca="1" si="30"/>
        <v/>
      </c>
      <c r="T463" s="461" t="str">
        <f t="shared" ca="1" si="31"/>
        <v/>
      </c>
      <c r="U463" s="449"/>
    </row>
    <row r="464" spans="2:21" x14ac:dyDescent="0.35">
      <c r="B464" s="459" t="str">
        <f>IF(Lançamentos!$B459="","",Lançamentos!$B459)</f>
        <v/>
      </c>
      <c r="C464" s="460" t="str">
        <f>IF($B464="","",IFERROR(INDEX(Lançamentos!$J$3:$J$1001,MATCH($B464,Lançamentos!$B$3:$B$1001,0)),""))</f>
        <v/>
      </c>
      <c r="D464" s="461" t="str">
        <f>IF($B464="","",IFERROR(INDEX('E2 — Triagem'!$D$8:$D$507,MATCH($B464,'E2 — Triagem'!$B$8:$B$507,0)),""))</f>
        <v/>
      </c>
      <c r="E464" s="447"/>
      <c r="F464" s="447"/>
      <c r="G464" s="447"/>
      <c r="H464" s="447"/>
      <c r="I464" s="447"/>
      <c r="J464" s="447"/>
      <c r="K464" s="462" t="str">
        <f t="shared" ref="K464:K507" si="32">IF(B464="","",IF(COUNTIF(E464:J464,"N/A")=6,0,COUNTIF(E464:J464,"✔ Concluído")/(6-COUNTIF(E464:J464,"N/A"))))</f>
        <v/>
      </c>
      <c r="L464" s="448"/>
      <c r="M464" s="448"/>
      <c r="N464" s="447"/>
      <c r="O464" s="463" t="str">
        <f>IF(B464="","",IF(Lançamentos!D459="","",Lançamentos!D459))</f>
        <v/>
      </c>
      <c r="P464" s="209">
        <v>7</v>
      </c>
      <c r="Q464" s="464" t="str">
        <f t="shared" ref="Q464:Q507" si="33">IF(OR(O464="",P464=""),"",O464+P464)</f>
        <v/>
      </c>
      <c r="R464" s="465"/>
      <c r="S464" s="466" t="str">
        <f t="shared" ref="S464:S507" ca="1" si="34">IF(O464="","",MAX(0,IF(R464&lt;&gt;"",R464-O464,TODAY()-O464)))</f>
        <v/>
      </c>
      <c r="T464" s="461" t="str">
        <f t="shared" ref="T464:T507" ca="1" si="35">IF(B464="","",IF(R464&lt;&gt;"","✅ Encerrado",IF(O464="","",IF(TODAY()&gt;Q464,"🔴 Hypercare Atrasado",IF(TODAY()&gt;=Q464-2,"🟡 Próximo do Encerramento","🟢 Dentro do Período")))))</f>
        <v/>
      </c>
      <c r="U464" s="449"/>
    </row>
    <row r="465" spans="2:21" x14ac:dyDescent="0.35">
      <c r="B465" s="459" t="str">
        <f>IF(Lançamentos!$B460="","",Lançamentos!$B460)</f>
        <v/>
      </c>
      <c r="C465" s="460" t="str">
        <f>IF($B465="","",IFERROR(INDEX(Lançamentos!$J$3:$J$1001,MATCH($B465,Lançamentos!$B$3:$B$1001,0)),""))</f>
        <v/>
      </c>
      <c r="D465" s="461" t="str">
        <f>IF($B465="","",IFERROR(INDEX('E2 — Triagem'!$D$8:$D$507,MATCH($B465,'E2 — Triagem'!$B$8:$B$507,0)),""))</f>
        <v/>
      </c>
      <c r="E465" s="447"/>
      <c r="F465" s="447"/>
      <c r="G465" s="447"/>
      <c r="H465" s="447"/>
      <c r="I465" s="447"/>
      <c r="J465" s="447"/>
      <c r="K465" s="462" t="str">
        <f t="shared" si="32"/>
        <v/>
      </c>
      <c r="L465" s="448"/>
      <c r="M465" s="448"/>
      <c r="N465" s="447"/>
      <c r="O465" s="463" t="str">
        <f>IF(B465="","",IF(Lançamentos!D460="","",Lançamentos!D460))</f>
        <v/>
      </c>
      <c r="P465" s="209">
        <v>7</v>
      </c>
      <c r="Q465" s="464" t="str">
        <f t="shared" si="33"/>
        <v/>
      </c>
      <c r="R465" s="465"/>
      <c r="S465" s="466" t="str">
        <f t="shared" ca="1" si="34"/>
        <v/>
      </c>
      <c r="T465" s="461" t="str">
        <f t="shared" ca="1" si="35"/>
        <v/>
      </c>
      <c r="U465" s="449"/>
    </row>
    <row r="466" spans="2:21" x14ac:dyDescent="0.35">
      <c r="B466" s="459" t="str">
        <f>IF(Lançamentos!$B461="","",Lançamentos!$B461)</f>
        <v/>
      </c>
      <c r="C466" s="460" t="str">
        <f>IF($B466="","",IFERROR(INDEX(Lançamentos!$J$3:$J$1001,MATCH($B466,Lançamentos!$B$3:$B$1001,0)),""))</f>
        <v/>
      </c>
      <c r="D466" s="461" t="str">
        <f>IF($B466="","",IFERROR(INDEX('E2 — Triagem'!$D$8:$D$507,MATCH($B466,'E2 — Triagem'!$B$8:$B$507,0)),""))</f>
        <v/>
      </c>
      <c r="E466" s="447"/>
      <c r="F466" s="447"/>
      <c r="G466" s="447"/>
      <c r="H466" s="447"/>
      <c r="I466" s="447"/>
      <c r="J466" s="447"/>
      <c r="K466" s="462" t="str">
        <f t="shared" si="32"/>
        <v/>
      </c>
      <c r="L466" s="448"/>
      <c r="M466" s="448"/>
      <c r="N466" s="447"/>
      <c r="O466" s="463" t="str">
        <f>IF(B466="","",IF(Lançamentos!D461="","",Lançamentos!D461))</f>
        <v/>
      </c>
      <c r="P466" s="209">
        <v>7</v>
      </c>
      <c r="Q466" s="464" t="str">
        <f t="shared" si="33"/>
        <v/>
      </c>
      <c r="R466" s="465"/>
      <c r="S466" s="466" t="str">
        <f t="shared" ca="1" si="34"/>
        <v/>
      </c>
      <c r="T466" s="461" t="str">
        <f t="shared" ca="1" si="35"/>
        <v/>
      </c>
      <c r="U466" s="449"/>
    </row>
    <row r="467" spans="2:21" x14ac:dyDescent="0.35">
      <c r="B467" s="459" t="str">
        <f>IF(Lançamentos!$B462="","",Lançamentos!$B462)</f>
        <v/>
      </c>
      <c r="C467" s="460" t="str">
        <f>IF($B467="","",IFERROR(INDEX(Lançamentos!$J$3:$J$1001,MATCH($B467,Lançamentos!$B$3:$B$1001,0)),""))</f>
        <v/>
      </c>
      <c r="D467" s="461" t="str">
        <f>IF($B467="","",IFERROR(INDEX('E2 — Triagem'!$D$8:$D$507,MATCH($B467,'E2 — Triagem'!$B$8:$B$507,0)),""))</f>
        <v/>
      </c>
      <c r="E467" s="447"/>
      <c r="F467" s="447"/>
      <c r="G467" s="447"/>
      <c r="H467" s="447"/>
      <c r="I467" s="447"/>
      <c r="J467" s="447"/>
      <c r="K467" s="462" t="str">
        <f t="shared" si="32"/>
        <v/>
      </c>
      <c r="L467" s="448"/>
      <c r="M467" s="448"/>
      <c r="N467" s="447"/>
      <c r="O467" s="463" t="str">
        <f>IF(B467="","",IF(Lançamentos!D462="","",Lançamentos!D462))</f>
        <v/>
      </c>
      <c r="P467" s="209">
        <v>7</v>
      </c>
      <c r="Q467" s="464" t="str">
        <f t="shared" si="33"/>
        <v/>
      </c>
      <c r="R467" s="465"/>
      <c r="S467" s="466" t="str">
        <f t="shared" ca="1" si="34"/>
        <v/>
      </c>
      <c r="T467" s="461" t="str">
        <f t="shared" ca="1" si="35"/>
        <v/>
      </c>
      <c r="U467" s="449"/>
    </row>
    <row r="468" spans="2:21" x14ac:dyDescent="0.35">
      <c r="B468" s="459" t="str">
        <f>IF(Lançamentos!$B463="","",Lançamentos!$B463)</f>
        <v/>
      </c>
      <c r="C468" s="460" t="str">
        <f>IF($B468="","",IFERROR(INDEX(Lançamentos!$J$3:$J$1001,MATCH($B468,Lançamentos!$B$3:$B$1001,0)),""))</f>
        <v/>
      </c>
      <c r="D468" s="461" t="str">
        <f>IF($B468="","",IFERROR(INDEX('E2 — Triagem'!$D$8:$D$507,MATCH($B468,'E2 — Triagem'!$B$8:$B$507,0)),""))</f>
        <v/>
      </c>
      <c r="E468" s="447"/>
      <c r="F468" s="447"/>
      <c r="G468" s="447"/>
      <c r="H468" s="447"/>
      <c r="I468" s="447"/>
      <c r="J468" s="447"/>
      <c r="K468" s="462" t="str">
        <f t="shared" si="32"/>
        <v/>
      </c>
      <c r="L468" s="448"/>
      <c r="M468" s="448"/>
      <c r="N468" s="447"/>
      <c r="O468" s="463" t="str">
        <f>IF(B468="","",IF(Lançamentos!D463="","",Lançamentos!D463))</f>
        <v/>
      </c>
      <c r="P468" s="209">
        <v>7</v>
      </c>
      <c r="Q468" s="464" t="str">
        <f t="shared" si="33"/>
        <v/>
      </c>
      <c r="R468" s="465"/>
      <c r="S468" s="466" t="str">
        <f t="shared" ca="1" si="34"/>
        <v/>
      </c>
      <c r="T468" s="461" t="str">
        <f t="shared" ca="1" si="35"/>
        <v/>
      </c>
      <c r="U468" s="449"/>
    </row>
    <row r="469" spans="2:21" x14ac:dyDescent="0.35">
      <c r="B469" s="459" t="str">
        <f>IF(Lançamentos!$B464="","",Lançamentos!$B464)</f>
        <v/>
      </c>
      <c r="C469" s="460" t="str">
        <f>IF($B469="","",IFERROR(INDEX(Lançamentos!$J$3:$J$1001,MATCH($B469,Lançamentos!$B$3:$B$1001,0)),""))</f>
        <v/>
      </c>
      <c r="D469" s="461" t="str">
        <f>IF($B469="","",IFERROR(INDEX('E2 — Triagem'!$D$8:$D$507,MATCH($B469,'E2 — Triagem'!$B$8:$B$507,0)),""))</f>
        <v/>
      </c>
      <c r="E469" s="447"/>
      <c r="F469" s="447"/>
      <c r="G469" s="447"/>
      <c r="H469" s="447"/>
      <c r="I469" s="447"/>
      <c r="J469" s="447"/>
      <c r="K469" s="462" t="str">
        <f t="shared" si="32"/>
        <v/>
      </c>
      <c r="L469" s="448"/>
      <c r="M469" s="448"/>
      <c r="N469" s="447"/>
      <c r="O469" s="463" t="str">
        <f>IF(B469="","",IF(Lançamentos!D464="","",Lançamentos!D464))</f>
        <v/>
      </c>
      <c r="P469" s="209">
        <v>7</v>
      </c>
      <c r="Q469" s="464" t="str">
        <f t="shared" si="33"/>
        <v/>
      </c>
      <c r="R469" s="465"/>
      <c r="S469" s="466" t="str">
        <f t="shared" ca="1" si="34"/>
        <v/>
      </c>
      <c r="T469" s="461" t="str">
        <f t="shared" ca="1" si="35"/>
        <v/>
      </c>
      <c r="U469" s="449"/>
    </row>
    <row r="470" spans="2:21" x14ac:dyDescent="0.35">
      <c r="B470" s="459" t="str">
        <f>IF(Lançamentos!$B465="","",Lançamentos!$B465)</f>
        <v/>
      </c>
      <c r="C470" s="460" t="str">
        <f>IF($B470="","",IFERROR(INDEX(Lançamentos!$J$3:$J$1001,MATCH($B470,Lançamentos!$B$3:$B$1001,0)),""))</f>
        <v/>
      </c>
      <c r="D470" s="461" t="str">
        <f>IF($B470="","",IFERROR(INDEX('E2 — Triagem'!$D$8:$D$507,MATCH($B470,'E2 — Triagem'!$B$8:$B$507,0)),""))</f>
        <v/>
      </c>
      <c r="E470" s="447"/>
      <c r="F470" s="447"/>
      <c r="G470" s="447"/>
      <c r="H470" s="447"/>
      <c r="I470" s="447"/>
      <c r="J470" s="447"/>
      <c r="K470" s="462" t="str">
        <f t="shared" si="32"/>
        <v/>
      </c>
      <c r="L470" s="448"/>
      <c r="M470" s="448"/>
      <c r="N470" s="447"/>
      <c r="O470" s="463" t="str">
        <f>IF(B470="","",IF(Lançamentos!D465="","",Lançamentos!D465))</f>
        <v/>
      </c>
      <c r="P470" s="209">
        <v>7</v>
      </c>
      <c r="Q470" s="464" t="str">
        <f t="shared" si="33"/>
        <v/>
      </c>
      <c r="R470" s="465"/>
      <c r="S470" s="466" t="str">
        <f t="shared" ca="1" si="34"/>
        <v/>
      </c>
      <c r="T470" s="461" t="str">
        <f t="shared" ca="1" si="35"/>
        <v/>
      </c>
      <c r="U470" s="449"/>
    </row>
    <row r="471" spans="2:21" x14ac:dyDescent="0.35">
      <c r="B471" s="459" t="str">
        <f>IF(Lançamentos!$B466="","",Lançamentos!$B466)</f>
        <v/>
      </c>
      <c r="C471" s="460" t="str">
        <f>IF($B471="","",IFERROR(INDEX(Lançamentos!$J$3:$J$1001,MATCH($B471,Lançamentos!$B$3:$B$1001,0)),""))</f>
        <v/>
      </c>
      <c r="D471" s="461" t="str">
        <f>IF($B471="","",IFERROR(INDEX('E2 — Triagem'!$D$8:$D$507,MATCH($B471,'E2 — Triagem'!$B$8:$B$507,0)),""))</f>
        <v/>
      </c>
      <c r="E471" s="447"/>
      <c r="F471" s="447"/>
      <c r="G471" s="447"/>
      <c r="H471" s="447"/>
      <c r="I471" s="447"/>
      <c r="J471" s="447"/>
      <c r="K471" s="462" t="str">
        <f t="shared" si="32"/>
        <v/>
      </c>
      <c r="L471" s="448"/>
      <c r="M471" s="448"/>
      <c r="N471" s="447"/>
      <c r="O471" s="463" t="str">
        <f>IF(B471="","",IF(Lançamentos!D466="","",Lançamentos!D466))</f>
        <v/>
      </c>
      <c r="P471" s="209">
        <v>7</v>
      </c>
      <c r="Q471" s="464" t="str">
        <f t="shared" si="33"/>
        <v/>
      </c>
      <c r="R471" s="465"/>
      <c r="S471" s="466" t="str">
        <f t="shared" ca="1" si="34"/>
        <v/>
      </c>
      <c r="T471" s="461" t="str">
        <f t="shared" ca="1" si="35"/>
        <v/>
      </c>
      <c r="U471" s="449"/>
    </row>
    <row r="472" spans="2:21" x14ac:dyDescent="0.35">
      <c r="B472" s="459" t="str">
        <f>IF(Lançamentos!$B467="","",Lançamentos!$B467)</f>
        <v/>
      </c>
      <c r="C472" s="460" t="str">
        <f>IF($B472="","",IFERROR(INDEX(Lançamentos!$J$3:$J$1001,MATCH($B472,Lançamentos!$B$3:$B$1001,0)),""))</f>
        <v/>
      </c>
      <c r="D472" s="461" t="str">
        <f>IF($B472="","",IFERROR(INDEX('E2 — Triagem'!$D$8:$D$507,MATCH($B472,'E2 — Triagem'!$B$8:$B$507,0)),""))</f>
        <v/>
      </c>
      <c r="E472" s="447"/>
      <c r="F472" s="447"/>
      <c r="G472" s="447"/>
      <c r="H472" s="447"/>
      <c r="I472" s="447"/>
      <c r="J472" s="447"/>
      <c r="K472" s="462" t="str">
        <f t="shared" si="32"/>
        <v/>
      </c>
      <c r="L472" s="448"/>
      <c r="M472" s="448"/>
      <c r="N472" s="447"/>
      <c r="O472" s="463" t="str">
        <f>IF(B472="","",IF(Lançamentos!D467="","",Lançamentos!D467))</f>
        <v/>
      </c>
      <c r="P472" s="209">
        <v>7</v>
      </c>
      <c r="Q472" s="464" t="str">
        <f t="shared" si="33"/>
        <v/>
      </c>
      <c r="R472" s="465"/>
      <c r="S472" s="466" t="str">
        <f t="shared" ca="1" si="34"/>
        <v/>
      </c>
      <c r="T472" s="461" t="str">
        <f t="shared" ca="1" si="35"/>
        <v/>
      </c>
      <c r="U472" s="449"/>
    </row>
    <row r="473" spans="2:21" x14ac:dyDescent="0.35">
      <c r="B473" s="459" t="str">
        <f>IF(Lançamentos!$B468="","",Lançamentos!$B468)</f>
        <v/>
      </c>
      <c r="C473" s="460" t="str">
        <f>IF($B473="","",IFERROR(INDEX(Lançamentos!$J$3:$J$1001,MATCH($B473,Lançamentos!$B$3:$B$1001,0)),""))</f>
        <v/>
      </c>
      <c r="D473" s="461" t="str">
        <f>IF($B473="","",IFERROR(INDEX('E2 — Triagem'!$D$8:$D$507,MATCH($B473,'E2 — Triagem'!$B$8:$B$507,0)),""))</f>
        <v/>
      </c>
      <c r="E473" s="447"/>
      <c r="F473" s="447"/>
      <c r="G473" s="447"/>
      <c r="H473" s="447"/>
      <c r="I473" s="447"/>
      <c r="J473" s="447"/>
      <c r="K473" s="462" t="str">
        <f t="shared" si="32"/>
        <v/>
      </c>
      <c r="L473" s="448"/>
      <c r="M473" s="448"/>
      <c r="N473" s="447"/>
      <c r="O473" s="463" t="str">
        <f>IF(B473="","",IF(Lançamentos!D468="","",Lançamentos!D468))</f>
        <v/>
      </c>
      <c r="P473" s="209">
        <v>7</v>
      </c>
      <c r="Q473" s="464" t="str">
        <f t="shared" si="33"/>
        <v/>
      </c>
      <c r="R473" s="465"/>
      <c r="S473" s="466" t="str">
        <f t="shared" ca="1" si="34"/>
        <v/>
      </c>
      <c r="T473" s="461" t="str">
        <f t="shared" ca="1" si="35"/>
        <v/>
      </c>
      <c r="U473" s="449"/>
    </row>
    <row r="474" spans="2:21" x14ac:dyDescent="0.35">
      <c r="B474" s="459" t="str">
        <f>IF(Lançamentos!$B469="","",Lançamentos!$B469)</f>
        <v/>
      </c>
      <c r="C474" s="460" t="str">
        <f>IF($B474="","",IFERROR(INDEX(Lançamentos!$J$3:$J$1001,MATCH($B474,Lançamentos!$B$3:$B$1001,0)),""))</f>
        <v/>
      </c>
      <c r="D474" s="461" t="str">
        <f>IF($B474="","",IFERROR(INDEX('E2 — Triagem'!$D$8:$D$507,MATCH($B474,'E2 — Triagem'!$B$8:$B$507,0)),""))</f>
        <v/>
      </c>
      <c r="E474" s="447"/>
      <c r="F474" s="447"/>
      <c r="G474" s="447"/>
      <c r="H474" s="447"/>
      <c r="I474" s="447"/>
      <c r="J474" s="447"/>
      <c r="K474" s="462" t="str">
        <f t="shared" si="32"/>
        <v/>
      </c>
      <c r="L474" s="448"/>
      <c r="M474" s="448"/>
      <c r="N474" s="447"/>
      <c r="O474" s="463" t="str">
        <f>IF(B474="","",IF(Lançamentos!D469="","",Lançamentos!D469))</f>
        <v/>
      </c>
      <c r="P474" s="209">
        <v>7</v>
      </c>
      <c r="Q474" s="464" t="str">
        <f t="shared" si="33"/>
        <v/>
      </c>
      <c r="R474" s="465"/>
      <c r="S474" s="466" t="str">
        <f t="shared" ca="1" si="34"/>
        <v/>
      </c>
      <c r="T474" s="461" t="str">
        <f t="shared" ca="1" si="35"/>
        <v/>
      </c>
      <c r="U474" s="449"/>
    </row>
    <row r="475" spans="2:21" x14ac:dyDescent="0.35">
      <c r="B475" s="459" t="str">
        <f>IF(Lançamentos!$B470="","",Lançamentos!$B470)</f>
        <v/>
      </c>
      <c r="C475" s="460" t="str">
        <f>IF($B475="","",IFERROR(INDEX(Lançamentos!$J$3:$J$1001,MATCH($B475,Lançamentos!$B$3:$B$1001,0)),""))</f>
        <v/>
      </c>
      <c r="D475" s="461" t="str">
        <f>IF($B475="","",IFERROR(INDEX('E2 — Triagem'!$D$8:$D$507,MATCH($B475,'E2 — Triagem'!$B$8:$B$507,0)),""))</f>
        <v/>
      </c>
      <c r="E475" s="447"/>
      <c r="F475" s="447"/>
      <c r="G475" s="447"/>
      <c r="H475" s="447"/>
      <c r="I475" s="447"/>
      <c r="J475" s="447"/>
      <c r="K475" s="462" t="str">
        <f t="shared" si="32"/>
        <v/>
      </c>
      <c r="L475" s="448"/>
      <c r="M475" s="448"/>
      <c r="N475" s="447"/>
      <c r="O475" s="463" t="str">
        <f>IF(B475="","",IF(Lançamentos!D470="","",Lançamentos!D470))</f>
        <v/>
      </c>
      <c r="P475" s="209">
        <v>7</v>
      </c>
      <c r="Q475" s="464" t="str">
        <f t="shared" si="33"/>
        <v/>
      </c>
      <c r="R475" s="465"/>
      <c r="S475" s="466" t="str">
        <f t="shared" ca="1" si="34"/>
        <v/>
      </c>
      <c r="T475" s="461" t="str">
        <f t="shared" ca="1" si="35"/>
        <v/>
      </c>
      <c r="U475" s="449"/>
    </row>
    <row r="476" spans="2:21" x14ac:dyDescent="0.35">
      <c r="B476" s="459" t="str">
        <f>IF(Lançamentos!$B471="","",Lançamentos!$B471)</f>
        <v/>
      </c>
      <c r="C476" s="460" t="str">
        <f>IF($B476="","",IFERROR(INDEX(Lançamentos!$J$3:$J$1001,MATCH($B476,Lançamentos!$B$3:$B$1001,0)),""))</f>
        <v/>
      </c>
      <c r="D476" s="461" t="str">
        <f>IF($B476="","",IFERROR(INDEX('E2 — Triagem'!$D$8:$D$507,MATCH($B476,'E2 — Triagem'!$B$8:$B$507,0)),""))</f>
        <v/>
      </c>
      <c r="E476" s="447"/>
      <c r="F476" s="447"/>
      <c r="G476" s="447"/>
      <c r="H476" s="447"/>
      <c r="I476" s="447"/>
      <c r="J476" s="447"/>
      <c r="K476" s="462" t="str">
        <f t="shared" si="32"/>
        <v/>
      </c>
      <c r="L476" s="448"/>
      <c r="M476" s="448"/>
      <c r="N476" s="447"/>
      <c r="O476" s="463" t="str">
        <f>IF(B476="","",IF(Lançamentos!D471="","",Lançamentos!D471))</f>
        <v/>
      </c>
      <c r="P476" s="209">
        <v>7</v>
      </c>
      <c r="Q476" s="464" t="str">
        <f t="shared" si="33"/>
        <v/>
      </c>
      <c r="R476" s="465"/>
      <c r="S476" s="466" t="str">
        <f t="shared" ca="1" si="34"/>
        <v/>
      </c>
      <c r="T476" s="461" t="str">
        <f t="shared" ca="1" si="35"/>
        <v/>
      </c>
      <c r="U476" s="449"/>
    </row>
    <row r="477" spans="2:21" x14ac:dyDescent="0.35">
      <c r="B477" s="459" t="str">
        <f>IF(Lançamentos!$B472="","",Lançamentos!$B472)</f>
        <v/>
      </c>
      <c r="C477" s="460" t="str">
        <f>IF($B477="","",IFERROR(INDEX(Lançamentos!$J$3:$J$1001,MATCH($B477,Lançamentos!$B$3:$B$1001,0)),""))</f>
        <v/>
      </c>
      <c r="D477" s="461" t="str">
        <f>IF($B477="","",IFERROR(INDEX('E2 — Triagem'!$D$8:$D$507,MATCH($B477,'E2 — Triagem'!$B$8:$B$507,0)),""))</f>
        <v/>
      </c>
      <c r="E477" s="447"/>
      <c r="F477" s="447"/>
      <c r="G477" s="447"/>
      <c r="H477" s="447"/>
      <c r="I477" s="447"/>
      <c r="J477" s="447"/>
      <c r="K477" s="462" t="str">
        <f t="shared" si="32"/>
        <v/>
      </c>
      <c r="L477" s="448"/>
      <c r="M477" s="448"/>
      <c r="N477" s="447"/>
      <c r="O477" s="463" t="str">
        <f>IF(B477="","",IF(Lançamentos!D472="","",Lançamentos!D472))</f>
        <v/>
      </c>
      <c r="P477" s="209">
        <v>7</v>
      </c>
      <c r="Q477" s="464" t="str">
        <f t="shared" si="33"/>
        <v/>
      </c>
      <c r="R477" s="465"/>
      <c r="S477" s="466" t="str">
        <f t="shared" ca="1" si="34"/>
        <v/>
      </c>
      <c r="T477" s="461" t="str">
        <f t="shared" ca="1" si="35"/>
        <v/>
      </c>
      <c r="U477" s="449"/>
    </row>
    <row r="478" spans="2:21" x14ac:dyDescent="0.35">
      <c r="B478" s="459" t="str">
        <f>IF(Lançamentos!$B473="","",Lançamentos!$B473)</f>
        <v/>
      </c>
      <c r="C478" s="460" t="str">
        <f>IF($B478="","",IFERROR(INDEX(Lançamentos!$J$3:$J$1001,MATCH($B478,Lançamentos!$B$3:$B$1001,0)),""))</f>
        <v/>
      </c>
      <c r="D478" s="461" t="str">
        <f>IF($B478="","",IFERROR(INDEX('E2 — Triagem'!$D$8:$D$507,MATCH($B478,'E2 — Triagem'!$B$8:$B$507,0)),""))</f>
        <v/>
      </c>
      <c r="E478" s="447"/>
      <c r="F478" s="447"/>
      <c r="G478" s="447"/>
      <c r="H478" s="447"/>
      <c r="I478" s="447"/>
      <c r="J478" s="447"/>
      <c r="K478" s="462" t="str">
        <f t="shared" si="32"/>
        <v/>
      </c>
      <c r="L478" s="448"/>
      <c r="M478" s="448"/>
      <c r="N478" s="447"/>
      <c r="O478" s="463" t="str">
        <f>IF(B478="","",IF(Lançamentos!D473="","",Lançamentos!D473))</f>
        <v/>
      </c>
      <c r="P478" s="209">
        <v>7</v>
      </c>
      <c r="Q478" s="464" t="str">
        <f t="shared" si="33"/>
        <v/>
      </c>
      <c r="R478" s="465"/>
      <c r="S478" s="466" t="str">
        <f t="shared" ca="1" si="34"/>
        <v/>
      </c>
      <c r="T478" s="461" t="str">
        <f t="shared" ca="1" si="35"/>
        <v/>
      </c>
      <c r="U478" s="449"/>
    </row>
    <row r="479" spans="2:21" x14ac:dyDescent="0.35">
      <c r="B479" s="459" t="str">
        <f>IF(Lançamentos!$B474="","",Lançamentos!$B474)</f>
        <v/>
      </c>
      <c r="C479" s="460" t="str">
        <f>IF($B479="","",IFERROR(INDEX(Lançamentos!$J$3:$J$1001,MATCH($B479,Lançamentos!$B$3:$B$1001,0)),""))</f>
        <v/>
      </c>
      <c r="D479" s="461" t="str">
        <f>IF($B479="","",IFERROR(INDEX('E2 — Triagem'!$D$8:$D$507,MATCH($B479,'E2 — Triagem'!$B$8:$B$507,0)),""))</f>
        <v/>
      </c>
      <c r="E479" s="447"/>
      <c r="F479" s="447"/>
      <c r="G479" s="447"/>
      <c r="H479" s="447"/>
      <c r="I479" s="447"/>
      <c r="J479" s="447"/>
      <c r="K479" s="462" t="str">
        <f t="shared" si="32"/>
        <v/>
      </c>
      <c r="L479" s="448"/>
      <c r="M479" s="448"/>
      <c r="N479" s="447"/>
      <c r="O479" s="463" t="str">
        <f>IF(B479="","",IF(Lançamentos!D474="","",Lançamentos!D474))</f>
        <v/>
      </c>
      <c r="P479" s="209">
        <v>7</v>
      </c>
      <c r="Q479" s="464" t="str">
        <f t="shared" si="33"/>
        <v/>
      </c>
      <c r="R479" s="465"/>
      <c r="S479" s="466" t="str">
        <f t="shared" ca="1" si="34"/>
        <v/>
      </c>
      <c r="T479" s="461" t="str">
        <f t="shared" ca="1" si="35"/>
        <v/>
      </c>
      <c r="U479" s="449"/>
    </row>
    <row r="480" spans="2:21" x14ac:dyDescent="0.35">
      <c r="B480" s="459" t="str">
        <f>IF(Lançamentos!$B475="","",Lançamentos!$B475)</f>
        <v/>
      </c>
      <c r="C480" s="460" t="str">
        <f>IF($B480="","",IFERROR(INDEX(Lançamentos!$J$3:$J$1001,MATCH($B480,Lançamentos!$B$3:$B$1001,0)),""))</f>
        <v/>
      </c>
      <c r="D480" s="461" t="str">
        <f>IF($B480="","",IFERROR(INDEX('E2 — Triagem'!$D$8:$D$507,MATCH($B480,'E2 — Triagem'!$B$8:$B$507,0)),""))</f>
        <v/>
      </c>
      <c r="E480" s="447"/>
      <c r="F480" s="447"/>
      <c r="G480" s="447"/>
      <c r="H480" s="447"/>
      <c r="I480" s="447"/>
      <c r="J480" s="447"/>
      <c r="K480" s="462" t="str">
        <f t="shared" si="32"/>
        <v/>
      </c>
      <c r="L480" s="448"/>
      <c r="M480" s="448"/>
      <c r="N480" s="447"/>
      <c r="O480" s="463" t="str">
        <f>IF(B480="","",IF(Lançamentos!D475="","",Lançamentos!D475))</f>
        <v/>
      </c>
      <c r="P480" s="209">
        <v>7</v>
      </c>
      <c r="Q480" s="464" t="str">
        <f t="shared" si="33"/>
        <v/>
      </c>
      <c r="R480" s="465"/>
      <c r="S480" s="466" t="str">
        <f t="shared" ca="1" si="34"/>
        <v/>
      </c>
      <c r="T480" s="461" t="str">
        <f t="shared" ca="1" si="35"/>
        <v/>
      </c>
      <c r="U480" s="449"/>
    </row>
    <row r="481" spans="2:21" x14ac:dyDescent="0.35">
      <c r="B481" s="459" t="str">
        <f>IF(Lançamentos!$B476="","",Lançamentos!$B476)</f>
        <v/>
      </c>
      <c r="C481" s="460" t="str">
        <f>IF($B481="","",IFERROR(INDEX(Lançamentos!$J$3:$J$1001,MATCH($B481,Lançamentos!$B$3:$B$1001,0)),""))</f>
        <v/>
      </c>
      <c r="D481" s="461" t="str">
        <f>IF($B481="","",IFERROR(INDEX('E2 — Triagem'!$D$8:$D$507,MATCH($B481,'E2 — Triagem'!$B$8:$B$507,0)),""))</f>
        <v/>
      </c>
      <c r="E481" s="447"/>
      <c r="F481" s="447"/>
      <c r="G481" s="447"/>
      <c r="H481" s="447"/>
      <c r="I481" s="447"/>
      <c r="J481" s="447"/>
      <c r="K481" s="462" t="str">
        <f t="shared" si="32"/>
        <v/>
      </c>
      <c r="L481" s="448"/>
      <c r="M481" s="448"/>
      <c r="N481" s="447"/>
      <c r="O481" s="463" t="str">
        <f>IF(B481="","",IF(Lançamentos!D476="","",Lançamentos!D476))</f>
        <v/>
      </c>
      <c r="P481" s="209">
        <v>7</v>
      </c>
      <c r="Q481" s="464" t="str">
        <f t="shared" si="33"/>
        <v/>
      </c>
      <c r="R481" s="465"/>
      <c r="S481" s="466" t="str">
        <f t="shared" ca="1" si="34"/>
        <v/>
      </c>
      <c r="T481" s="461" t="str">
        <f t="shared" ca="1" si="35"/>
        <v/>
      </c>
      <c r="U481" s="449"/>
    </row>
    <row r="482" spans="2:21" x14ac:dyDescent="0.35">
      <c r="B482" s="459" t="str">
        <f>IF(Lançamentos!$B477="","",Lançamentos!$B477)</f>
        <v/>
      </c>
      <c r="C482" s="460" t="str">
        <f>IF($B482="","",IFERROR(INDEX(Lançamentos!$J$3:$J$1001,MATCH($B482,Lançamentos!$B$3:$B$1001,0)),""))</f>
        <v/>
      </c>
      <c r="D482" s="461" t="str">
        <f>IF($B482="","",IFERROR(INDEX('E2 — Triagem'!$D$8:$D$507,MATCH($B482,'E2 — Triagem'!$B$8:$B$507,0)),""))</f>
        <v/>
      </c>
      <c r="E482" s="447"/>
      <c r="F482" s="447"/>
      <c r="G482" s="447"/>
      <c r="H482" s="447"/>
      <c r="I482" s="447"/>
      <c r="J482" s="447"/>
      <c r="K482" s="462" t="str">
        <f t="shared" si="32"/>
        <v/>
      </c>
      <c r="L482" s="448"/>
      <c r="M482" s="448"/>
      <c r="N482" s="447"/>
      <c r="O482" s="463" t="str">
        <f>IF(B482="","",IF(Lançamentos!D477="","",Lançamentos!D477))</f>
        <v/>
      </c>
      <c r="P482" s="209">
        <v>7</v>
      </c>
      <c r="Q482" s="464" t="str">
        <f t="shared" si="33"/>
        <v/>
      </c>
      <c r="R482" s="465"/>
      <c r="S482" s="466" t="str">
        <f t="shared" ca="1" si="34"/>
        <v/>
      </c>
      <c r="T482" s="461" t="str">
        <f t="shared" ca="1" si="35"/>
        <v/>
      </c>
      <c r="U482" s="449"/>
    </row>
    <row r="483" spans="2:21" x14ac:dyDescent="0.35">
      <c r="B483" s="459" t="str">
        <f>IF(Lançamentos!$B478="","",Lançamentos!$B478)</f>
        <v/>
      </c>
      <c r="C483" s="460" t="str">
        <f>IF($B483="","",IFERROR(INDEX(Lançamentos!$J$3:$J$1001,MATCH($B483,Lançamentos!$B$3:$B$1001,0)),""))</f>
        <v/>
      </c>
      <c r="D483" s="461" t="str">
        <f>IF($B483="","",IFERROR(INDEX('E2 — Triagem'!$D$8:$D$507,MATCH($B483,'E2 — Triagem'!$B$8:$B$507,0)),""))</f>
        <v/>
      </c>
      <c r="E483" s="447"/>
      <c r="F483" s="447"/>
      <c r="G483" s="447"/>
      <c r="H483" s="447"/>
      <c r="I483" s="447"/>
      <c r="J483" s="447"/>
      <c r="K483" s="462" t="str">
        <f t="shared" si="32"/>
        <v/>
      </c>
      <c r="L483" s="448"/>
      <c r="M483" s="448"/>
      <c r="N483" s="447"/>
      <c r="O483" s="463" t="str">
        <f>IF(B483="","",IF(Lançamentos!D478="","",Lançamentos!D478))</f>
        <v/>
      </c>
      <c r="P483" s="209">
        <v>7</v>
      </c>
      <c r="Q483" s="464" t="str">
        <f t="shared" si="33"/>
        <v/>
      </c>
      <c r="R483" s="465"/>
      <c r="S483" s="466" t="str">
        <f t="shared" ca="1" si="34"/>
        <v/>
      </c>
      <c r="T483" s="461" t="str">
        <f t="shared" ca="1" si="35"/>
        <v/>
      </c>
      <c r="U483" s="449"/>
    </row>
    <row r="484" spans="2:21" x14ac:dyDescent="0.35">
      <c r="B484" s="459" t="str">
        <f>IF(Lançamentos!$B479="","",Lançamentos!$B479)</f>
        <v/>
      </c>
      <c r="C484" s="460" t="str">
        <f>IF($B484="","",IFERROR(INDEX(Lançamentos!$J$3:$J$1001,MATCH($B484,Lançamentos!$B$3:$B$1001,0)),""))</f>
        <v/>
      </c>
      <c r="D484" s="461" t="str">
        <f>IF($B484="","",IFERROR(INDEX('E2 — Triagem'!$D$8:$D$507,MATCH($B484,'E2 — Triagem'!$B$8:$B$507,0)),""))</f>
        <v/>
      </c>
      <c r="E484" s="447"/>
      <c r="F484" s="447"/>
      <c r="G484" s="447"/>
      <c r="H484" s="447"/>
      <c r="I484" s="447"/>
      <c r="J484" s="447"/>
      <c r="K484" s="462" t="str">
        <f t="shared" si="32"/>
        <v/>
      </c>
      <c r="L484" s="448"/>
      <c r="M484" s="448"/>
      <c r="N484" s="447"/>
      <c r="O484" s="463" t="str">
        <f>IF(B484="","",IF(Lançamentos!D479="","",Lançamentos!D479))</f>
        <v/>
      </c>
      <c r="P484" s="209">
        <v>7</v>
      </c>
      <c r="Q484" s="464" t="str">
        <f t="shared" si="33"/>
        <v/>
      </c>
      <c r="R484" s="465"/>
      <c r="S484" s="466" t="str">
        <f t="shared" ca="1" si="34"/>
        <v/>
      </c>
      <c r="T484" s="461" t="str">
        <f t="shared" ca="1" si="35"/>
        <v/>
      </c>
      <c r="U484" s="449"/>
    </row>
    <row r="485" spans="2:21" x14ac:dyDescent="0.35">
      <c r="B485" s="459" t="str">
        <f>IF(Lançamentos!$B480="","",Lançamentos!$B480)</f>
        <v/>
      </c>
      <c r="C485" s="460" t="str">
        <f>IF($B485="","",IFERROR(INDEX(Lançamentos!$J$3:$J$1001,MATCH($B485,Lançamentos!$B$3:$B$1001,0)),""))</f>
        <v/>
      </c>
      <c r="D485" s="461" t="str">
        <f>IF($B485="","",IFERROR(INDEX('E2 — Triagem'!$D$8:$D$507,MATCH($B485,'E2 — Triagem'!$B$8:$B$507,0)),""))</f>
        <v/>
      </c>
      <c r="E485" s="447"/>
      <c r="F485" s="447"/>
      <c r="G485" s="447"/>
      <c r="H485" s="447"/>
      <c r="I485" s="447"/>
      <c r="J485" s="447"/>
      <c r="K485" s="462" t="str">
        <f t="shared" si="32"/>
        <v/>
      </c>
      <c r="L485" s="448"/>
      <c r="M485" s="448"/>
      <c r="N485" s="447"/>
      <c r="O485" s="463" t="str">
        <f>IF(B485="","",IF(Lançamentos!D480="","",Lançamentos!D480))</f>
        <v/>
      </c>
      <c r="P485" s="209">
        <v>7</v>
      </c>
      <c r="Q485" s="464" t="str">
        <f t="shared" si="33"/>
        <v/>
      </c>
      <c r="R485" s="465"/>
      <c r="S485" s="466" t="str">
        <f t="shared" ca="1" si="34"/>
        <v/>
      </c>
      <c r="T485" s="461" t="str">
        <f t="shared" ca="1" si="35"/>
        <v/>
      </c>
      <c r="U485" s="449"/>
    </row>
    <row r="486" spans="2:21" x14ac:dyDescent="0.35">
      <c r="B486" s="459" t="str">
        <f>IF(Lançamentos!$B481="","",Lançamentos!$B481)</f>
        <v/>
      </c>
      <c r="C486" s="460" t="str">
        <f>IF($B486="","",IFERROR(INDEX(Lançamentos!$J$3:$J$1001,MATCH($B486,Lançamentos!$B$3:$B$1001,0)),""))</f>
        <v/>
      </c>
      <c r="D486" s="461" t="str">
        <f>IF($B486="","",IFERROR(INDEX('E2 — Triagem'!$D$8:$D$507,MATCH($B486,'E2 — Triagem'!$B$8:$B$507,0)),""))</f>
        <v/>
      </c>
      <c r="E486" s="447"/>
      <c r="F486" s="447"/>
      <c r="G486" s="447"/>
      <c r="H486" s="447"/>
      <c r="I486" s="447"/>
      <c r="J486" s="447"/>
      <c r="K486" s="462" t="str">
        <f t="shared" si="32"/>
        <v/>
      </c>
      <c r="L486" s="448"/>
      <c r="M486" s="448"/>
      <c r="N486" s="447"/>
      <c r="O486" s="463" t="str">
        <f>IF(B486="","",IF(Lançamentos!D481="","",Lançamentos!D481))</f>
        <v/>
      </c>
      <c r="P486" s="209">
        <v>7</v>
      </c>
      <c r="Q486" s="464" t="str">
        <f t="shared" si="33"/>
        <v/>
      </c>
      <c r="R486" s="465"/>
      <c r="S486" s="466" t="str">
        <f t="shared" ca="1" si="34"/>
        <v/>
      </c>
      <c r="T486" s="461" t="str">
        <f t="shared" ca="1" si="35"/>
        <v/>
      </c>
      <c r="U486" s="449"/>
    </row>
    <row r="487" spans="2:21" x14ac:dyDescent="0.35">
      <c r="B487" s="459" t="str">
        <f>IF(Lançamentos!$B482="","",Lançamentos!$B482)</f>
        <v/>
      </c>
      <c r="C487" s="460" t="str">
        <f>IF($B487="","",IFERROR(INDEX(Lançamentos!$J$3:$J$1001,MATCH($B487,Lançamentos!$B$3:$B$1001,0)),""))</f>
        <v/>
      </c>
      <c r="D487" s="461" t="str">
        <f>IF($B487="","",IFERROR(INDEX('E2 — Triagem'!$D$8:$D$507,MATCH($B487,'E2 — Triagem'!$B$8:$B$507,0)),""))</f>
        <v/>
      </c>
      <c r="E487" s="447"/>
      <c r="F487" s="447"/>
      <c r="G487" s="447"/>
      <c r="H487" s="447"/>
      <c r="I487" s="447"/>
      <c r="J487" s="447"/>
      <c r="K487" s="462" t="str">
        <f t="shared" si="32"/>
        <v/>
      </c>
      <c r="L487" s="448"/>
      <c r="M487" s="448"/>
      <c r="N487" s="447"/>
      <c r="O487" s="463" t="str">
        <f>IF(B487="","",IF(Lançamentos!D482="","",Lançamentos!D482))</f>
        <v/>
      </c>
      <c r="P487" s="209">
        <v>7</v>
      </c>
      <c r="Q487" s="464" t="str">
        <f t="shared" si="33"/>
        <v/>
      </c>
      <c r="R487" s="465"/>
      <c r="S487" s="466" t="str">
        <f t="shared" ca="1" si="34"/>
        <v/>
      </c>
      <c r="T487" s="461" t="str">
        <f t="shared" ca="1" si="35"/>
        <v/>
      </c>
      <c r="U487" s="449"/>
    </row>
    <row r="488" spans="2:21" x14ac:dyDescent="0.35">
      <c r="B488" s="459" t="str">
        <f>IF(Lançamentos!$B483="","",Lançamentos!$B483)</f>
        <v/>
      </c>
      <c r="C488" s="460" t="str">
        <f>IF($B488="","",IFERROR(INDEX(Lançamentos!$J$3:$J$1001,MATCH($B488,Lançamentos!$B$3:$B$1001,0)),""))</f>
        <v/>
      </c>
      <c r="D488" s="461" t="str">
        <f>IF($B488="","",IFERROR(INDEX('E2 — Triagem'!$D$8:$D$507,MATCH($B488,'E2 — Triagem'!$B$8:$B$507,0)),""))</f>
        <v/>
      </c>
      <c r="E488" s="447"/>
      <c r="F488" s="447"/>
      <c r="G488" s="447"/>
      <c r="H488" s="447"/>
      <c r="I488" s="447"/>
      <c r="J488" s="447"/>
      <c r="K488" s="462" t="str">
        <f t="shared" si="32"/>
        <v/>
      </c>
      <c r="L488" s="448"/>
      <c r="M488" s="448"/>
      <c r="N488" s="447"/>
      <c r="O488" s="463" t="str">
        <f>IF(B488="","",IF(Lançamentos!D483="","",Lançamentos!D483))</f>
        <v/>
      </c>
      <c r="P488" s="209">
        <v>7</v>
      </c>
      <c r="Q488" s="464" t="str">
        <f t="shared" si="33"/>
        <v/>
      </c>
      <c r="R488" s="465"/>
      <c r="S488" s="466" t="str">
        <f t="shared" ca="1" si="34"/>
        <v/>
      </c>
      <c r="T488" s="461" t="str">
        <f t="shared" ca="1" si="35"/>
        <v/>
      </c>
      <c r="U488" s="449"/>
    </row>
    <row r="489" spans="2:21" x14ac:dyDescent="0.35">
      <c r="B489" s="459" t="str">
        <f>IF(Lançamentos!$B484="","",Lançamentos!$B484)</f>
        <v/>
      </c>
      <c r="C489" s="460" t="str">
        <f>IF($B489="","",IFERROR(INDEX(Lançamentos!$J$3:$J$1001,MATCH($B489,Lançamentos!$B$3:$B$1001,0)),""))</f>
        <v/>
      </c>
      <c r="D489" s="461" t="str">
        <f>IF($B489="","",IFERROR(INDEX('E2 — Triagem'!$D$8:$D$507,MATCH($B489,'E2 — Triagem'!$B$8:$B$507,0)),""))</f>
        <v/>
      </c>
      <c r="E489" s="447"/>
      <c r="F489" s="447"/>
      <c r="G489" s="447"/>
      <c r="H489" s="447"/>
      <c r="I489" s="447"/>
      <c r="J489" s="447"/>
      <c r="K489" s="462" t="str">
        <f t="shared" si="32"/>
        <v/>
      </c>
      <c r="L489" s="448"/>
      <c r="M489" s="448"/>
      <c r="N489" s="447"/>
      <c r="O489" s="463" t="str">
        <f>IF(B489="","",IF(Lançamentos!D484="","",Lançamentos!D484))</f>
        <v/>
      </c>
      <c r="P489" s="209">
        <v>7</v>
      </c>
      <c r="Q489" s="464" t="str">
        <f t="shared" si="33"/>
        <v/>
      </c>
      <c r="R489" s="465"/>
      <c r="S489" s="466" t="str">
        <f t="shared" ca="1" si="34"/>
        <v/>
      </c>
      <c r="T489" s="461" t="str">
        <f t="shared" ca="1" si="35"/>
        <v/>
      </c>
      <c r="U489" s="449"/>
    </row>
    <row r="490" spans="2:21" x14ac:dyDescent="0.35">
      <c r="B490" s="459" t="str">
        <f>IF(Lançamentos!$B485="","",Lançamentos!$B485)</f>
        <v/>
      </c>
      <c r="C490" s="460" t="str">
        <f>IF($B490="","",IFERROR(INDEX(Lançamentos!$J$3:$J$1001,MATCH($B490,Lançamentos!$B$3:$B$1001,0)),""))</f>
        <v/>
      </c>
      <c r="D490" s="461" t="str">
        <f>IF($B490="","",IFERROR(INDEX('E2 — Triagem'!$D$8:$D$507,MATCH($B490,'E2 — Triagem'!$B$8:$B$507,0)),""))</f>
        <v/>
      </c>
      <c r="E490" s="447"/>
      <c r="F490" s="447"/>
      <c r="G490" s="447"/>
      <c r="H490" s="447"/>
      <c r="I490" s="447"/>
      <c r="J490" s="447"/>
      <c r="K490" s="462" t="str">
        <f t="shared" si="32"/>
        <v/>
      </c>
      <c r="L490" s="448"/>
      <c r="M490" s="448"/>
      <c r="N490" s="447"/>
      <c r="O490" s="463" t="str">
        <f>IF(B490="","",IF(Lançamentos!D485="","",Lançamentos!D485))</f>
        <v/>
      </c>
      <c r="P490" s="209">
        <v>7</v>
      </c>
      <c r="Q490" s="464" t="str">
        <f t="shared" si="33"/>
        <v/>
      </c>
      <c r="R490" s="465"/>
      <c r="S490" s="466" t="str">
        <f t="shared" ca="1" si="34"/>
        <v/>
      </c>
      <c r="T490" s="461" t="str">
        <f t="shared" ca="1" si="35"/>
        <v/>
      </c>
      <c r="U490" s="449"/>
    </row>
    <row r="491" spans="2:21" x14ac:dyDescent="0.35">
      <c r="B491" s="459" t="str">
        <f>IF(Lançamentos!$B486="","",Lançamentos!$B486)</f>
        <v/>
      </c>
      <c r="C491" s="460" t="str">
        <f>IF($B491="","",IFERROR(INDEX(Lançamentos!$J$3:$J$1001,MATCH($B491,Lançamentos!$B$3:$B$1001,0)),""))</f>
        <v/>
      </c>
      <c r="D491" s="461" t="str">
        <f>IF($B491="","",IFERROR(INDEX('E2 — Triagem'!$D$8:$D$507,MATCH($B491,'E2 — Triagem'!$B$8:$B$507,0)),""))</f>
        <v/>
      </c>
      <c r="E491" s="447"/>
      <c r="F491" s="447"/>
      <c r="G491" s="447"/>
      <c r="H491" s="447"/>
      <c r="I491" s="447"/>
      <c r="J491" s="447"/>
      <c r="K491" s="462" t="str">
        <f t="shared" si="32"/>
        <v/>
      </c>
      <c r="L491" s="448"/>
      <c r="M491" s="448"/>
      <c r="N491" s="447"/>
      <c r="O491" s="463" t="str">
        <f>IF(B491="","",IF(Lançamentos!D486="","",Lançamentos!D486))</f>
        <v/>
      </c>
      <c r="P491" s="209">
        <v>7</v>
      </c>
      <c r="Q491" s="464" t="str">
        <f t="shared" si="33"/>
        <v/>
      </c>
      <c r="R491" s="465"/>
      <c r="S491" s="466" t="str">
        <f t="shared" ca="1" si="34"/>
        <v/>
      </c>
      <c r="T491" s="461" t="str">
        <f t="shared" ca="1" si="35"/>
        <v/>
      </c>
      <c r="U491" s="449"/>
    </row>
    <row r="492" spans="2:21" x14ac:dyDescent="0.35">
      <c r="B492" s="459" t="str">
        <f>IF(Lançamentos!$B487="","",Lançamentos!$B487)</f>
        <v/>
      </c>
      <c r="C492" s="460" t="str">
        <f>IF($B492="","",IFERROR(INDEX(Lançamentos!$J$3:$J$1001,MATCH($B492,Lançamentos!$B$3:$B$1001,0)),""))</f>
        <v/>
      </c>
      <c r="D492" s="461" t="str">
        <f>IF($B492="","",IFERROR(INDEX('E2 — Triagem'!$D$8:$D$507,MATCH($B492,'E2 — Triagem'!$B$8:$B$507,0)),""))</f>
        <v/>
      </c>
      <c r="E492" s="447"/>
      <c r="F492" s="447"/>
      <c r="G492" s="447"/>
      <c r="H492" s="447"/>
      <c r="I492" s="447"/>
      <c r="J492" s="447"/>
      <c r="K492" s="462" t="str">
        <f t="shared" si="32"/>
        <v/>
      </c>
      <c r="L492" s="448"/>
      <c r="M492" s="448"/>
      <c r="N492" s="447"/>
      <c r="O492" s="463" t="str">
        <f>IF(B492="","",IF(Lançamentos!D487="","",Lançamentos!D487))</f>
        <v/>
      </c>
      <c r="P492" s="209">
        <v>7</v>
      </c>
      <c r="Q492" s="464" t="str">
        <f t="shared" si="33"/>
        <v/>
      </c>
      <c r="R492" s="465"/>
      <c r="S492" s="466" t="str">
        <f t="shared" ca="1" si="34"/>
        <v/>
      </c>
      <c r="T492" s="461" t="str">
        <f t="shared" ca="1" si="35"/>
        <v/>
      </c>
      <c r="U492" s="449"/>
    </row>
    <row r="493" spans="2:21" x14ac:dyDescent="0.35">
      <c r="B493" s="459" t="str">
        <f>IF(Lançamentos!$B488="","",Lançamentos!$B488)</f>
        <v/>
      </c>
      <c r="C493" s="460" t="str">
        <f>IF($B493="","",IFERROR(INDEX(Lançamentos!$J$3:$J$1001,MATCH($B493,Lançamentos!$B$3:$B$1001,0)),""))</f>
        <v/>
      </c>
      <c r="D493" s="461" t="str">
        <f>IF($B493="","",IFERROR(INDEX('E2 — Triagem'!$D$8:$D$507,MATCH($B493,'E2 — Triagem'!$B$8:$B$507,0)),""))</f>
        <v/>
      </c>
      <c r="E493" s="447"/>
      <c r="F493" s="447"/>
      <c r="G493" s="447"/>
      <c r="H493" s="447"/>
      <c r="I493" s="447"/>
      <c r="J493" s="447"/>
      <c r="K493" s="462" t="str">
        <f t="shared" si="32"/>
        <v/>
      </c>
      <c r="L493" s="448"/>
      <c r="M493" s="448"/>
      <c r="N493" s="447"/>
      <c r="O493" s="463" t="str">
        <f>IF(B493="","",IF(Lançamentos!D488="","",Lançamentos!D488))</f>
        <v/>
      </c>
      <c r="P493" s="209">
        <v>7</v>
      </c>
      <c r="Q493" s="464" t="str">
        <f t="shared" si="33"/>
        <v/>
      </c>
      <c r="R493" s="465"/>
      <c r="S493" s="466" t="str">
        <f t="shared" ca="1" si="34"/>
        <v/>
      </c>
      <c r="T493" s="461" t="str">
        <f t="shared" ca="1" si="35"/>
        <v/>
      </c>
      <c r="U493" s="449"/>
    </row>
    <row r="494" spans="2:21" x14ac:dyDescent="0.35">
      <c r="B494" s="459" t="str">
        <f>IF(Lançamentos!$B489="","",Lançamentos!$B489)</f>
        <v/>
      </c>
      <c r="C494" s="460" t="str">
        <f>IF($B494="","",IFERROR(INDEX(Lançamentos!$J$3:$J$1001,MATCH($B494,Lançamentos!$B$3:$B$1001,0)),""))</f>
        <v/>
      </c>
      <c r="D494" s="461" t="str">
        <f>IF($B494="","",IFERROR(INDEX('E2 — Triagem'!$D$8:$D$507,MATCH($B494,'E2 — Triagem'!$B$8:$B$507,0)),""))</f>
        <v/>
      </c>
      <c r="E494" s="447"/>
      <c r="F494" s="447"/>
      <c r="G494" s="447"/>
      <c r="H494" s="447"/>
      <c r="I494" s="447"/>
      <c r="J494" s="447"/>
      <c r="K494" s="462" t="str">
        <f t="shared" si="32"/>
        <v/>
      </c>
      <c r="L494" s="448"/>
      <c r="M494" s="448"/>
      <c r="N494" s="447"/>
      <c r="O494" s="463" t="str">
        <f>IF(B494="","",IF(Lançamentos!D489="","",Lançamentos!D489))</f>
        <v/>
      </c>
      <c r="P494" s="209">
        <v>7</v>
      </c>
      <c r="Q494" s="464" t="str">
        <f t="shared" si="33"/>
        <v/>
      </c>
      <c r="R494" s="465"/>
      <c r="S494" s="466" t="str">
        <f t="shared" ca="1" si="34"/>
        <v/>
      </c>
      <c r="T494" s="461" t="str">
        <f t="shared" ca="1" si="35"/>
        <v/>
      </c>
      <c r="U494" s="449"/>
    </row>
    <row r="495" spans="2:21" x14ac:dyDescent="0.35">
      <c r="B495" s="459" t="str">
        <f>IF(Lançamentos!$B490="","",Lançamentos!$B490)</f>
        <v/>
      </c>
      <c r="C495" s="460" t="str">
        <f>IF($B495="","",IFERROR(INDEX(Lançamentos!$J$3:$J$1001,MATCH($B495,Lançamentos!$B$3:$B$1001,0)),""))</f>
        <v/>
      </c>
      <c r="D495" s="461" t="str">
        <f>IF($B495="","",IFERROR(INDEX('E2 — Triagem'!$D$8:$D$507,MATCH($B495,'E2 — Triagem'!$B$8:$B$507,0)),""))</f>
        <v/>
      </c>
      <c r="E495" s="447"/>
      <c r="F495" s="447"/>
      <c r="G495" s="447"/>
      <c r="H495" s="447"/>
      <c r="I495" s="447"/>
      <c r="J495" s="447"/>
      <c r="K495" s="462" t="str">
        <f t="shared" si="32"/>
        <v/>
      </c>
      <c r="L495" s="448"/>
      <c r="M495" s="448"/>
      <c r="N495" s="447"/>
      <c r="O495" s="463" t="str">
        <f>IF(B495="","",IF(Lançamentos!D490="","",Lançamentos!D490))</f>
        <v/>
      </c>
      <c r="P495" s="209">
        <v>7</v>
      </c>
      <c r="Q495" s="464" t="str">
        <f t="shared" si="33"/>
        <v/>
      </c>
      <c r="R495" s="465"/>
      <c r="S495" s="466" t="str">
        <f t="shared" ca="1" si="34"/>
        <v/>
      </c>
      <c r="T495" s="461" t="str">
        <f t="shared" ca="1" si="35"/>
        <v/>
      </c>
      <c r="U495" s="449"/>
    </row>
    <row r="496" spans="2:21" x14ac:dyDescent="0.35">
      <c r="B496" s="459" t="str">
        <f>IF(Lançamentos!$B491="","",Lançamentos!$B491)</f>
        <v/>
      </c>
      <c r="C496" s="460" t="str">
        <f>IF($B496="","",IFERROR(INDEX(Lançamentos!$J$3:$J$1001,MATCH($B496,Lançamentos!$B$3:$B$1001,0)),""))</f>
        <v/>
      </c>
      <c r="D496" s="461" t="str">
        <f>IF($B496="","",IFERROR(INDEX('E2 — Triagem'!$D$8:$D$507,MATCH($B496,'E2 — Triagem'!$B$8:$B$507,0)),""))</f>
        <v/>
      </c>
      <c r="E496" s="447"/>
      <c r="F496" s="447"/>
      <c r="G496" s="447"/>
      <c r="H496" s="447"/>
      <c r="I496" s="447"/>
      <c r="J496" s="447"/>
      <c r="K496" s="462" t="str">
        <f t="shared" si="32"/>
        <v/>
      </c>
      <c r="L496" s="448"/>
      <c r="M496" s="448"/>
      <c r="N496" s="447"/>
      <c r="O496" s="463" t="str">
        <f>IF(B496="","",IF(Lançamentos!D491="","",Lançamentos!D491))</f>
        <v/>
      </c>
      <c r="P496" s="209">
        <v>7</v>
      </c>
      <c r="Q496" s="464" t="str">
        <f t="shared" si="33"/>
        <v/>
      </c>
      <c r="R496" s="465"/>
      <c r="S496" s="466" t="str">
        <f t="shared" ca="1" si="34"/>
        <v/>
      </c>
      <c r="T496" s="461" t="str">
        <f t="shared" ca="1" si="35"/>
        <v/>
      </c>
      <c r="U496" s="449"/>
    </row>
    <row r="497" spans="2:21" x14ac:dyDescent="0.35">
      <c r="B497" s="459" t="str">
        <f>IF(Lançamentos!$B492="","",Lançamentos!$B492)</f>
        <v/>
      </c>
      <c r="C497" s="460" t="str">
        <f>IF($B497="","",IFERROR(INDEX(Lançamentos!$J$3:$J$1001,MATCH($B497,Lançamentos!$B$3:$B$1001,0)),""))</f>
        <v/>
      </c>
      <c r="D497" s="461" t="str">
        <f>IF($B497="","",IFERROR(INDEX('E2 — Triagem'!$D$8:$D$507,MATCH($B497,'E2 — Triagem'!$B$8:$B$507,0)),""))</f>
        <v/>
      </c>
      <c r="E497" s="447"/>
      <c r="F497" s="447"/>
      <c r="G497" s="447"/>
      <c r="H497" s="447"/>
      <c r="I497" s="447"/>
      <c r="J497" s="447"/>
      <c r="K497" s="462" t="str">
        <f t="shared" si="32"/>
        <v/>
      </c>
      <c r="L497" s="448"/>
      <c r="M497" s="448"/>
      <c r="N497" s="447"/>
      <c r="O497" s="463" t="str">
        <f>IF(B497="","",IF(Lançamentos!D492="","",Lançamentos!D492))</f>
        <v/>
      </c>
      <c r="P497" s="209">
        <v>7</v>
      </c>
      <c r="Q497" s="464" t="str">
        <f t="shared" si="33"/>
        <v/>
      </c>
      <c r="R497" s="465"/>
      <c r="S497" s="466" t="str">
        <f t="shared" ca="1" si="34"/>
        <v/>
      </c>
      <c r="T497" s="461" t="str">
        <f t="shared" ca="1" si="35"/>
        <v/>
      </c>
      <c r="U497" s="449"/>
    </row>
    <row r="498" spans="2:21" x14ac:dyDescent="0.35">
      <c r="B498" s="459" t="str">
        <f>IF(Lançamentos!$B493="","",Lançamentos!$B493)</f>
        <v/>
      </c>
      <c r="C498" s="460" t="str">
        <f>IF($B498="","",IFERROR(INDEX(Lançamentos!$J$3:$J$1001,MATCH($B498,Lançamentos!$B$3:$B$1001,0)),""))</f>
        <v/>
      </c>
      <c r="D498" s="461" t="str">
        <f>IF($B498="","",IFERROR(INDEX('E2 — Triagem'!$D$8:$D$507,MATCH($B498,'E2 — Triagem'!$B$8:$B$507,0)),""))</f>
        <v/>
      </c>
      <c r="E498" s="447"/>
      <c r="F498" s="447"/>
      <c r="G498" s="447"/>
      <c r="H498" s="447"/>
      <c r="I498" s="447"/>
      <c r="J498" s="447"/>
      <c r="K498" s="462" t="str">
        <f t="shared" si="32"/>
        <v/>
      </c>
      <c r="L498" s="448"/>
      <c r="M498" s="448"/>
      <c r="N498" s="447"/>
      <c r="O498" s="463" t="str">
        <f>IF(B498="","",IF(Lançamentos!D493="","",Lançamentos!D493))</f>
        <v/>
      </c>
      <c r="P498" s="209">
        <v>7</v>
      </c>
      <c r="Q498" s="464" t="str">
        <f t="shared" si="33"/>
        <v/>
      </c>
      <c r="R498" s="465"/>
      <c r="S498" s="466" t="str">
        <f t="shared" ca="1" si="34"/>
        <v/>
      </c>
      <c r="T498" s="461" t="str">
        <f t="shared" ca="1" si="35"/>
        <v/>
      </c>
      <c r="U498" s="449"/>
    </row>
    <row r="499" spans="2:21" x14ac:dyDescent="0.35">
      <c r="B499" s="459" t="str">
        <f>IF(Lançamentos!$B494="","",Lançamentos!$B494)</f>
        <v/>
      </c>
      <c r="C499" s="460" t="str">
        <f>IF($B499="","",IFERROR(INDEX(Lançamentos!$J$3:$J$1001,MATCH($B499,Lançamentos!$B$3:$B$1001,0)),""))</f>
        <v/>
      </c>
      <c r="D499" s="461" t="str">
        <f>IF($B499="","",IFERROR(INDEX('E2 — Triagem'!$D$8:$D$507,MATCH($B499,'E2 — Triagem'!$B$8:$B$507,0)),""))</f>
        <v/>
      </c>
      <c r="E499" s="447"/>
      <c r="F499" s="447"/>
      <c r="G499" s="447"/>
      <c r="H499" s="447"/>
      <c r="I499" s="447"/>
      <c r="J499" s="447"/>
      <c r="K499" s="462" t="str">
        <f t="shared" si="32"/>
        <v/>
      </c>
      <c r="L499" s="448"/>
      <c r="M499" s="448"/>
      <c r="N499" s="447"/>
      <c r="O499" s="463" t="str">
        <f>IF(B499="","",IF(Lançamentos!D494="","",Lançamentos!D494))</f>
        <v/>
      </c>
      <c r="P499" s="209">
        <v>7</v>
      </c>
      <c r="Q499" s="464" t="str">
        <f t="shared" si="33"/>
        <v/>
      </c>
      <c r="R499" s="465"/>
      <c r="S499" s="466" t="str">
        <f t="shared" ca="1" si="34"/>
        <v/>
      </c>
      <c r="T499" s="461" t="str">
        <f t="shared" ca="1" si="35"/>
        <v/>
      </c>
      <c r="U499" s="449"/>
    </row>
    <row r="500" spans="2:21" x14ac:dyDescent="0.35">
      <c r="B500" s="459" t="str">
        <f>IF(Lançamentos!$B495="","",Lançamentos!$B495)</f>
        <v/>
      </c>
      <c r="C500" s="460" t="str">
        <f>IF($B500="","",IFERROR(INDEX(Lançamentos!$J$3:$J$1001,MATCH($B500,Lançamentos!$B$3:$B$1001,0)),""))</f>
        <v/>
      </c>
      <c r="D500" s="461" t="str">
        <f>IF($B500="","",IFERROR(INDEX('E2 — Triagem'!$D$8:$D$507,MATCH($B500,'E2 — Triagem'!$B$8:$B$507,0)),""))</f>
        <v/>
      </c>
      <c r="E500" s="447"/>
      <c r="F500" s="447"/>
      <c r="G500" s="447"/>
      <c r="H500" s="447"/>
      <c r="I500" s="447"/>
      <c r="J500" s="447"/>
      <c r="K500" s="462" t="str">
        <f t="shared" si="32"/>
        <v/>
      </c>
      <c r="L500" s="448"/>
      <c r="M500" s="448"/>
      <c r="N500" s="447"/>
      <c r="O500" s="463" t="str">
        <f>IF(B500="","",IF(Lançamentos!D495="","",Lançamentos!D495))</f>
        <v/>
      </c>
      <c r="P500" s="209">
        <v>7</v>
      </c>
      <c r="Q500" s="464" t="str">
        <f t="shared" si="33"/>
        <v/>
      </c>
      <c r="R500" s="465"/>
      <c r="S500" s="466" t="str">
        <f t="shared" ca="1" si="34"/>
        <v/>
      </c>
      <c r="T500" s="461" t="str">
        <f t="shared" ca="1" si="35"/>
        <v/>
      </c>
      <c r="U500" s="449"/>
    </row>
    <row r="501" spans="2:21" x14ac:dyDescent="0.35">
      <c r="B501" s="459" t="str">
        <f>IF(Lançamentos!$B496="","",Lançamentos!$B496)</f>
        <v/>
      </c>
      <c r="C501" s="460" t="str">
        <f>IF($B501="","",IFERROR(INDEX(Lançamentos!$J$3:$J$1001,MATCH($B501,Lançamentos!$B$3:$B$1001,0)),""))</f>
        <v/>
      </c>
      <c r="D501" s="461" t="str">
        <f>IF($B501="","",IFERROR(INDEX('E2 — Triagem'!$D$8:$D$507,MATCH($B501,'E2 — Triagem'!$B$8:$B$507,0)),""))</f>
        <v/>
      </c>
      <c r="E501" s="447"/>
      <c r="F501" s="447"/>
      <c r="G501" s="447"/>
      <c r="H501" s="447"/>
      <c r="I501" s="447"/>
      <c r="J501" s="447"/>
      <c r="K501" s="462" t="str">
        <f t="shared" si="32"/>
        <v/>
      </c>
      <c r="L501" s="448"/>
      <c r="M501" s="448"/>
      <c r="N501" s="447"/>
      <c r="O501" s="463" t="str">
        <f>IF(B501="","",IF(Lançamentos!D496="","",Lançamentos!D496))</f>
        <v/>
      </c>
      <c r="P501" s="209">
        <v>7</v>
      </c>
      <c r="Q501" s="464" t="str">
        <f t="shared" si="33"/>
        <v/>
      </c>
      <c r="R501" s="465"/>
      <c r="S501" s="466" t="str">
        <f t="shared" ca="1" si="34"/>
        <v/>
      </c>
      <c r="T501" s="461" t="str">
        <f t="shared" ca="1" si="35"/>
        <v/>
      </c>
      <c r="U501" s="449"/>
    </row>
    <row r="502" spans="2:21" x14ac:dyDescent="0.35">
      <c r="B502" s="459" t="str">
        <f>IF(Lançamentos!$B497="","",Lançamentos!$B497)</f>
        <v/>
      </c>
      <c r="C502" s="460" t="str">
        <f>IF($B502="","",IFERROR(INDEX(Lançamentos!$J$3:$J$1001,MATCH($B502,Lançamentos!$B$3:$B$1001,0)),""))</f>
        <v/>
      </c>
      <c r="D502" s="461" t="str">
        <f>IF($B502="","",IFERROR(INDEX('E2 — Triagem'!$D$8:$D$507,MATCH($B502,'E2 — Triagem'!$B$8:$B$507,0)),""))</f>
        <v/>
      </c>
      <c r="E502" s="447"/>
      <c r="F502" s="447"/>
      <c r="G502" s="447"/>
      <c r="H502" s="447"/>
      <c r="I502" s="447"/>
      <c r="J502" s="447"/>
      <c r="K502" s="462" t="str">
        <f t="shared" si="32"/>
        <v/>
      </c>
      <c r="L502" s="448"/>
      <c r="M502" s="448"/>
      <c r="N502" s="447"/>
      <c r="O502" s="463" t="str">
        <f>IF(B502="","",IF(Lançamentos!D497="","",Lançamentos!D497))</f>
        <v/>
      </c>
      <c r="P502" s="209">
        <v>7</v>
      </c>
      <c r="Q502" s="464" t="str">
        <f t="shared" si="33"/>
        <v/>
      </c>
      <c r="R502" s="465"/>
      <c r="S502" s="466" t="str">
        <f t="shared" ca="1" si="34"/>
        <v/>
      </c>
      <c r="T502" s="461" t="str">
        <f t="shared" ca="1" si="35"/>
        <v/>
      </c>
      <c r="U502" s="449"/>
    </row>
    <row r="503" spans="2:21" x14ac:dyDescent="0.35">
      <c r="B503" s="459" t="str">
        <f>IF(Lançamentos!$B498="","",Lançamentos!$B498)</f>
        <v/>
      </c>
      <c r="C503" s="460" t="str">
        <f>IF($B503="","",IFERROR(INDEX(Lançamentos!$J$3:$J$1001,MATCH($B503,Lançamentos!$B$3:$B$1001,0)),""))</f>
        <v/>
      </c>
      <c r="D503" s="461" t="str">
        <f>IF($B503="","",IFERROR(INDEX('E2 — Triagem'!$D$8:$D$507,MATCH($B503,'E2 — Triagem'!$B$8:$B$507,0)),""))</f>
        <v/>
      </c>
      <c r="E503" s="447"/>
      <c r="F503" s="447"/>
      <c r="G503" s="447"/>
      <c r="H503" s="447"/>
      <c r="I503" s="447"/>
      <c r="J503" s="447"/>
      <c r="K503" s="462" t="str">
        <f t="shared" si="32"/>
        <v/>
      </c>
      <c r="L503" s="448"/>
      <c r="M503" s="448"/>
      <c r="N503" s="447"/>
      <c r="O503" s="463" t="str">
        <f>IF(B503="","",IF(Lançamentos!D498="","",Lançamentos!D498))</f>
        <v/>
      </c>
      <c r="P503" s="209">
        <v>7</v>
      </c>
      <c r="Q503" s="464" t="str">
        <f t="shared" si="33"/>
        <v/>
      </c>
      <c r="R503" s="465"/>
      <c r="S503" s="466" t="str">
        <f t="shared" ca="1" si="34"/>
        <v/>
      </c>
      <c r="T503" s="461" t="str">
        <f t="shared" ca="1" si="35"/>
        <v/>
      </c>
      <c r="U503" s="449"/>
    </row>
    <row r="504" spans="2:21" x14ac:dyDescent="0.35">
      <c r="B504" s="459" t="str">
        <f>IF(Lançamentos!$B499="","",Lançamentos!$B499)</f>
        <v/>
      </c>
      <c r="C504" s="460" t="str">
        <f>IF($B504="","",IFERROR(INDEX(Lançamentos!$J$3:$J$1001,MATCH($B504,Lançamentos!$B$3:$B$1001,0)),""))</f>
        <v/>
      </c>
      <c r="D504" s="461" t="str">
        <f>IF($B504="","",IFERROR(INDEX('E2 — Triagem'!$D$8:$D$507,MATCH($B504,'E2 — Triagem'!$B$8:$B$507,0)),""))</f>
        <v/>
      </c>
      <c r="E504" s="447"/>
      <c r="F504" s="447"/>
      <c r="G504" s="447"/>
      <c r="H504" s="447"/>
      <c r="I504" s="447"/>
      <c r="J504" s="447"/>
      <c r="K504" s="462" t="str">
        <f t="shared" si="32"/>
        <v/>
      </c>
      <c r="L504" s="448"/>
      <c r="M504" s="448"/>
      <c r="N504" s="447"/>
      <c r="O504" s="463" t="str">
        <f>IF(B504="","",IF(Lançamentos!D499="","",Lançamentos!D499))</f>
        <v/>
      </c>
      <c r="P504" s="209">
        <v>7</v>
      </c>
      <c r="Q504" s="464" t="str">
        <f t="shared" si="33"/>
        <v/>
      </c>
      <c r="R504" s="465"/>
      <c r="S504" s="466" t="str">
        <f t="shared" ca="1" si="34"/>
        <v/>
      </c>
      <c r="T504" s="461" t="str">
        <f t="shared" ca="1" si="35"/>
        <v/>
      </c>
      <c r="U504" s="449"/>
    </row>
    <row r="505" spans="2:21" x14ac:dyDescent="0.35">
      <c r="B505" s="459" t="str">
        <f>IF(Lançamentos!$B500="","",Lançamentos!$B500)</f>
        <v/>
      </c>
      <c r="C505" s="460" t="str">
        <f>IF($B505="","",IFERROR(INDEX(Lançamentos!$J$3:$J$1001,MATCH($B505,Lançamentos!$B$3:$B$1001,0)),""))</f>
        <v/>
      </c>
      <c r="D505" s="461" t="str">
        <f>IF($B505="","",IFERROR(INDEX('E2 — Triagem'!$D$8:$D$507,MATCH($B505,'E2 — Triagem'!$B$8:$B$507,0)),""))</f>
        <v/>
      </c>
      <c r="E505" s="447"/>
      <c r="F505" s="447"/>
      <c r="G505" s="447"/>
      <c r="H505" s="447"/>
      <c r="I505" s="447"/>
      <c r="J505" s="447"/>
      <c r="K505" s="462" t="str">
        <f t="shared" si="32"/>
        <v/>
      </c>
      <c r="L505" s="448"/>
      <c r="M505" s="448"/>
      <c r="N505" s="447"/>
      <c r="O505" s="463" t="str">
        <f>IF(B505="","",IF(Lançamentos!D500="","",Lançamentos!D500))</f>
        <v/>
      </c>
      <c r="P505" s="209">
        <v>7</v>
      </c>
      <c r="Q505" s="464" t="str">
        <f t="shared" si="33"/>
        <v/>
      </c>
      <c r="R505" s="465"/>
      <c r="S505" s="466" t="str">
        <f t="shared" ca="1" si="34"/>
        <v/>
      </c>
      <c r="T505" s="461" t="str">
        <f t="shared" ca="1" si="35"/>
        <v/>
      </c>
      <c r="U505" s="449"/>
    </row>
    <row r="506" spans="2:21" x14ac:dyDescent="0.35">
      <c r="B506" s="459" t="str">
        <f>IF(Lançamentos!$B501="","",Lançamentos!$B501)</f>
        <v/>
      </c>
      <c r="C506" s="460" t="str">
        <f>IF($B506="","",IFERROR(INDEX(Lançamentos!$J$3:$J$1001,MATCH($B506,Lançamentos!$B$3:$B$1001,0)),""))</f>
        <v/>
      </c>
      <c r="D506" s="461" t="str">
        <f>IF($B506="","",IFERROR(INDEX('E2 — Triagem'!$D$8:$D$507,MATCH($B506,'E2 — Triagem'!$B$8:$B$507,0)),""))</f>
        <v/>
      </c>
      <c r="E506" s="447"/>
      <c r="F506" s="447"/>
      <c r="G506" s="447"/>
      <c r="H506" s="447"/>
      <c r="I506" s="447"/>
      <c r="J506" s="447"/>
      <c r="K506" s="462" t="str">
        <f t="shared" si="32"/>
        <v/>
      </c>
      <c r="L506" s="448"/>
      <c r="M506" s="448"/>
      <c r="N506" s="447"/>
      <c r="O506" s="463" t="str">
        <f>IF(B506="","",IF(Lançamentos!D501="","",Lançamentos!D501))</f>
        <v/>
      </c>
      <c r="P506" s="209">
        <v>7</v>
      </c>
      <c r="Q506" s="464" t="str">
        <f t="shared" si="33"/>
        <v/>
      </c>
      <c r="R506" s="465"/>
      <c r="S506" s="466" t="str">
        <f t="shared" ca="1" si="34"/>
        <v/>
      </c>
      <c r="T506" s="461" t="str">
        <f t="shared" ca="1" si="35"/>
        <v/>
      </c>
      <c r="U506" s="449"/>
    </row>
    <row r="507" spans="2:21" x14ac:dyDescent="0.35">
      <c r="B507" s="467" t="str">
        <f>IF(Lançamentos!$B502="","",Lançamentos!$B502)</f>
        <v/>
      </c>
      <c r="C507" s="468" t="str">
        <f>IF($B507="","",IFERROR(INDEX(Lançamentos!$J$3:$J$1001,MATCH($B507,Lançamentos!$B$3:$B$1001,0)),""))</f>
        <v/>
      </c>
      <c r="D507" s="469" t="str">
        <f>IF($B507="","",IFERROR(INDEX('E2 — Triagem'!$D$8:$D$507,MATCH($B507,'E2 — Triagem'!$B$8:$B$507,0)),""))</f>
        <v/>
      </c>
      <c r="E507" s="452"/>
      <c r="F507" s="452"/>
      <c r="G507" s="452"/>
      <c r="H507" s="452"/>
      <c r="I507" s="452"/>
      <c r="J507" s="452"/>
      <c r="K507" s="470" t="str">
        <f t="shared" si="32"/>
        <v/>
      </c>
      <c r="L507" s="453"/>
      <c r="M507" s="453"/>
      <c r="N507" s="452"/>
      <c r="O507" s="471" t="str">
        <f>IF(B507="","",IF(Lançamentos!D502="","",Lançamentos!D502))</f>
        <v/>
      </c>
      <c r="P507" s="209">
        <v>7</v>
      </c>
      <c r="Q507" s="472" t="str">
        <f t="shared" si="33"/>
        <v/>
      </c>
      <c r="R507" s="473"/>
      <c r="S507" s="474" t="str">
        <f t="shared" ca="1" si="34"/>
        <v/>
      </c>
      <c r="T507" s="469" t="str">
        <f t="shared" ca="1" si="35"/>
        <v/>
      </c>
      <c r="U507" s="454"/>
    </row>
  </sheetData>
  <sheetProtection formatCells="0" formatColumns="0" formatRows="0" sort="0" autoFilter="0"/>
  <conditionalFormatting sqref="B8:M507">
    <cfRule type="expression" dxfId="65" priority="10">
      <formula>AND($B8&lt;&gt;"",OR(COUNTIF($E8:$J8,"⛔ Bloqueado")&gt;0,$N8="⛔ Incidente Crítico — Encerramento Bloqueado"))</formula>
    </cfRule>
    <cfRule type="expression" dxfId="64" priority="11">
      <formula>AND($B8&lt;&gt;"",COUNTIF($E8:$J8,"⛔ Bloqueado")=0,$N8&lt;&gt;"⛔ Incidente Crítico — Encerramento Bloqueado",OR(COUNTIF($E8:$J8,"🔄 Em andamento")&gt;0,$N8="🔄 Em Estabilização"))</formula>
    </cfRule>
    <cfRule type="expression" dxfId="63" priority="12">
      <formula>AND($B8&lt;&gt;"",COUNTIF($E8:$J8,"⛔ Bloqueado")=0,COUNTIF($E8:$J8,"🔄 Em andamento")=0,$N8&lt;&gt;"⛔ Incidente Crítico — Encerramento Bloqueado",$N8&lt;&gt;"🔄 Em Estabilização",COUNTIF($E8:$J8,"⏳ Pendente")&gt;0)</formula>
    </cfRule>
    <cfRule type="expression" dxfId="62" priority="13">
      <formula>AND($B8&lt;&gt;"",$K8=1,COUNTIF($E8:$J8,"⛔ Bloqueado")=0,$N8&lt;&gt;"⛔ Incidente Crítico — Encerramento Bloqueado")</formula>
    </cfRule>
  </conditionalFormatting>
  <conditionalFormatting sqref="E8:J507">
    <cfRule type="expression" dxfId="61" priority="14">
      <formula>E8="⛔ Bloqueado"</formula>
    </cfRule>
    <cfRule type="expression" dxfId="60" priority="15">
      <formula>E8="✔ Concluído"</formula>
    </cfRule>
    <cfRule type="expression" dxfId="59" priority="16">
      <formula>E8="⏳ Pendente"</formula>
    </cfRule>
    <cfRule type="expression" dxfId="58" priority="17">
      <formula>E8="🔄 Em andamento"</formula>
    </cfRule>
    <cfRule type="expression" dxfId="57" priority="18">
      <formula>E8="N/A"</formula>
    </cfRule>
  </conditionalFormatting>
  <conditionalFormatting sqref="H8:H507">
    <cfRule type="expression" dxfId="56" priority="19">
      <formula>AND(H8="N/A",$L8="",$M8="")</formula>
    </cfRule>
  </conditionalFormatting>
  <conditionalFormatting sqref="N8:N507">
    <cfRule type="expression" dxfId="55" priority="20">
      <formula>N8="✅ Estável — Demanda Encerrada"</formula>
    </cfRule>
    <cfRule type="expression" dxfId="54" priority="21">
      <formula>N8="🆕 Evolução Identificada — Nova Demanda Aberta"</formula>
    </cfRule>
    <cfRule type="expression" dxfId="53" priority="22">
      <formula>N8="⛔ Incidente Crítico — Encerramento Bloqueado"</formula>
    </cfRule>
    <cfRule type="expression" dxfId="52" priority="23">
      <formula>N8="🔄 Em Estabilização"</formula>
    </cfRule>
  </conditionalFormatting>
  <conditionalFormatting sqref="T8:T507">
    <cfRule type="expression" dxfId="51" priority="24">
      <formula>T8="🟢 Dentro do Período"</formula>
    </cfRule>
    <cfRule type="expression" dxfId="50" priority="25">
      <formula>T8="🟡 Próximo do Encerramento"</formula>
    </cfRule>
    <cfRule type="expression" dxfId="49" priority="26">
      <formula>T8="🔴 Hypercare Atrasado"</formula>
    </cfRule>
    <cfRule type="expression" dxfId="48" priority="27">
      <formula>T8="✅ Encerrado"</formula>
    </cfRule>
  </conditionalFormatting>
  <conditionalFormatting sqref="U8:U507">
    <cfRule type="expression" dxfId="47" priority="28">
      <formula>AND($N8="🆕 Evolução Identificada — Nova Demanda Aberta",U8&lt;&gt;"")</formula>
    </cfRule>
  </conditionalFormatting>
  <conditionalFormatting sqref="B208:M507">
    <cfRule type="expression" dxfId="46" priority="1">
      <formula>AND($B208&lt;&gt;"",OR(COUNTIF($E208:$J208,"⛔ Bloqueado")&gt;0,$N208="⛔ Incidente Crítico — Encerramento Bloqueado"))</formula>
    </cfRule>
    <cfRule type="expression" dxfId="45" priority="2">
      <formula>AND($B208&lt;&gt;"",COUNTIF($E208:$J208,"⛔ Bloqueado")=0,$N208&lt;&gt;"⛔ Incidente Crítico — Encerramento Bloqueado",OR(COUNTIF($E208:$J208,"🔄 Em andamento")&gt;0,$N208="🔄 Em Estabilização"))</formula>
    </cfRule>
    <cfRule type="expression" dxfId="44" priority="3">
      <formula>AND($B208&lt;&gt;"",COUNTIF($E208:$J208,"⛔ Bloqueado")=0,COUNTIF($E208:$J208,"🔄 Em andamento")=0,$N208&lt;&gt;"⛔ Incidente Crítico — Encerramento Bloqueado",$N208&lt;&gt;"🔄 Em Estabilização",COUNTIF($E208:$J208,"⏳ Pendente")&gt;0)</formula>
    </cfRule>
    <cfRule type="expression" dxfId="43" priority="4">
      <formula>AND($B208&lt;&gt;"",$K208=1,COUNTIF($E208:$J208,"⛔ Bloqueado")=0,$N208&lt;&gt;"⛔ Incidente Crítico — Encerramento Bloqueado")</formula>
    </cfRule>
  </conditionalFormatting>
  <conditionalFormatting sqref="E208:J507">
    <cfRule type="expression" dxfId="42" priority="5">
      <formula>E208="⛔ Bloqueado"</formula>
    </cfRule>
    <cfRule type="expression" dxfId="41" priority="6">
      <formula>E208="✔ Concluído"</formula>
    </cfRule>
    <cfRule type="expression" dxfId="40" priority="7">
      <formula>E208="⏳ Pendente"</formula>
    </cfRule>
    <cfRule type="expression" dxfId="39" priority="8">
      <formula>E208="🔄 Em andamento"</formula>
    </cfRule>
    <cfRule type="expression" dxfId="38" priority="9">
      <formula>E208="N/A"</formula>
    </cfRule>
  </conditionalFormatting>
  <dataValidations count="6">
    <dataValidation type="list" allowBlank="1" showErrorMessage="1" errorTitle="Status inválido" error="Este critério não aceita N/A. Selecione um status da lista." sqref="E8:G507" xr:uid="{BBF30D50-7639-4BDD-8A14-DF291E01463A}">
      <formula1>"⏳ Pendente,🔄 Em andamento,✔ Concluído,⛔ Bloqueado"</formula1>
    </dataValidation>
    <dataValidation type="list" allowBlank="1" showErrorMessage="1" errorTitle="Status inválido" error="Utilize N/A somente quando não houver correção emergencial e registre a justificativa." sqref="H8:H507" xr:uid="{C58B2F96-164E-40C4-B51E-EF2172BCC7BA}">
      <formula1>"⏳ Pendente,🔄 Em andamento,✔ Concluído,⛔ Bloqueado,N/A"</formula1>
    </dataValidation>
    <dataValidation type="list" allowBlank="1" showErrorMessage="1" errorTitle="Status inválido" error="Estabilização e encerramento não aceitam N/A." sqref="I8:J507" xr:uid="{BDDA190A-587B-4125-8EE3-566FA25B3BAF}">
      <formula1>"⏳ Pendente,🔄 Em andamento,✔ Concluído,⛔ Bloqueado"</formula1>
    </dataValidation>
    <dataValidation type="list" allowBlank="1" showErrorMessage="1" errorTitle="Resultado inválido" error="Selecione um resultado padronizado do Hypercare." sqref="N8:N507" xr:uid="{B54BB163-E7AB-48D2-A4D6-332A3F5EDF47}">
      <formula1>"✅ Estável — Demanda Encerrada,🆕 Evolução Identificada — Nova Demanda Aberta,⛔ Incidente Crítico — Encerramento Bloqueado,🔄 Em Estabilização"</formula1>
    </dataValidation>
    <dataValidation type="whole" allowBlank="1" showErrorMessage="1" errorTitle="Prazo inválido" error="Informe um prazo entre 1 e 90 dias." sqref="P8:P507" xr:uid="{EB0B90DC-1F1B-4833-ADC0-0DCC4D6EE052}">
      <formula1>1</formula1>
      <formula2>90</formula2>
    </dataValidation>
    <dataValidation type="date" allowBlank="1" showInputMessage="1" showErrorMessage="1" errorTitle="Data inválida" error="Informe uma data válida de encerramento do Hypercare." sqref="R8:R507" xr:uid="{437BCA92-BBE7-46FF-8620-D63CE2ADCF02}">
      <formula1>43831</formula1>
      <formula2>73415</formula2>
    </dataValidation>
  </dataValidations>
  <pageMargins left="0.75" right="0.75" top="1" bottom="1" header="0.511811023622047" footer="0.511811023622047"/>
  <pageSetup paperSize="9" orientation="portrait" horizontalDpi="300" verticalDpi="300"/>
  <legacyDrawing r:id="rId1"/>
  <tableParts count="1"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XFD138"/>
  <sheetViews>
    <sheetView showGridLines="0" zoomScale="80" zoomScaleNormal="80" workbookViewId="0">
      <pane ySplit="4" topLeftCell="A101" activePane="bottomLeft" state="frozen"/>
      <selection pane="bottomLeft" activeCell="B113" sqref="B113"/>
    </sheetView>
  </sheetViews>
  <sheetFormatPr defaultColWidth="8.7265625" defaultRowHeight="14.5" x14ac:dyDescent="0.35"/>
  <cols>
    <col min="1" max="1" width="1.54296875" bestFit="1" customWidth="1"/>
    <col min="2" max="2" width="71.1796875" bestFit="1" customWidth="1"/>
    <col min="3" max="3" width="22" customWidth="1"/>
    <col min="4" max="4" width="40.81640625" customWidth="1"/>
    <col min="5" max="5" width="38.453125" customWidth="1"/>
    <col min="6" max="6" width="23.1796875" customWidth="1"/>
    <col min="7" max="7" width="15.81640625" customWidth="1"/>
    <col min="8" max="8" width="19.26953125" customWidth="1"/>
    <col min="9" max="9" width="25.1796875" bestFit="1" customWidth="1"/>
    <col min="10" max="11" width="15" customWidth="1"/>
    <col min="12" max="12" width="12" customWidth="1"/>
    <col min="13" max="14" width="11" customWidth="1"/>
    <col min="15" max="15" width="1.54296875" bestFit="1" customWidth="1"/>
    <col min="16384" max="16384" width="8.7265625" customWidth="1"/>
  </cols>
  <sheetData>
    <row r="1" spans="1:23" x14ac:dyDescent="0.35">
      <c r="A1" s="261"/>
      <c r="B1" s="261"/>
      <c r="C1" s="261"/>
      <c r="D1" s="261"/>
      <c r="E1" s="261"/>
      <c r="F1" s="261"/>
      <c r="G1" s="261"/>
      <c r="H1" s="261"/>
      <c r="I1" s="261"/>
      <c r="J1" s="261"/>
      <c r="K1" s="261"/>
      <c r="L1" s="261"/>
      <c r="M1" s="261"/>
      <c r="N1" s="261"/>
      <c r="O1" s="261"/>
      <c r="P1" s="261"/>
      <c r="Q1" s="261"/>
      <c r="R1" s="261"/>
      <c r="S1" s="261"/>
      <c r="T1" s="261"/>
      <c r="U1" s="261"/>
      <c r="V1" s="261"/>
    </row>
    <row r="2" spans="1:23" ht="27.75" customHeight="1" x14ac:dyDescent="0.35">
      <c r="A2" s="261"/>
      <c r="B2" s="317" t="s">
        <v>114</v>
      </c>
      <c r="C2" s="318"/>
      <c r="D2" s="318"/>
      <c r="E2" s="318"/>
      <c r="F2" s="318"/>
      <c r="G2" s="318"/>
      <c r="H2" s="318"/>
      <c r="I2" s="318"/>
      <c r="J2" s="318"/>
      <c r="K2" s="318"/>
      <c r="L2" s="318"/>
      <c r="M2" s="318"/>
      <c r="N2" s="318"/>
      <c r="O2" s="261"/>
      <c r="P2" s="261"/>
      <c r="Q2" s="261"/>
      <c r="R2" s="261"/>
      <c r="S2" s="261"/>
      <c r="T2" s="261"/>
      <c r="U2" s="261"/>
      <c r="V2" s="261"/>
    </row>
    <row r="3" spans="1:23" ht="14.25" customHeight="1" x14ac:dyDescent="0.35">
      <c r="A3" s="261"/>
      <c r="B3" s="319" t="s">
        <v>809</v>
      </c>
      <c r="C3" s="319"/>
      <c r="D3" s="319"/>
      <c r="E3" s="319"/>
      <c r="F3" s="319"/>
      <c r="G3" s="319"/>
      <c r="H3" s="319"/>
      <c r="I3" s="319"/>
      <c r="J3" s="319"/>
      <c r="K3" s="319"/>
      <c r="L3" s="319"/>
      <c r="M3" s="319"/>
      <c r="N3" s="319"/>
      <c r="O3" s="261"/>
      <c r="P3" s="261"/>
      <c r="Q3" s="261"/>
      <c r="R3" s="261"/>
      <c r="S3" s="261"/>
      <c r="T3" s="261"/>
      <c r="U3" s="261"/>
      <c r="V3" s="261"/>
    </row>
    <row r="4" spans="1:23" x14ac:dyDescent="0.35">
      <c r="A4" s="261"/>
      <c r="B4" s="320"/>
      <c r="C4" s="320"/>
      <c r="D4" s="320"/>
      <c r="E4" s="320"/>
      <c r="F4" s="320"/>
      <c r="G4" s="320"/>
      <c r="H4" s="320"/>
      <c r="I4" s="320"/>
      <c r="J4" s="320"/>
      <c r="K4" s="320"/>
      <c r="L4" s="320"/>
      <c r="M4" s="320"/>
      <c r="N4" s="320"/>
      <c r="O4" s="261"/>
      <c r="P4" s="261"/>
      <c r="Q4" s="261"/>
      <c r="R4" s="261"/>
      <c r="S4" s="261"/>
      <c r="T4" s="261"/>
      <c r="U4" s="261"/>
      <c r="V4" s="261"/>
    </row>
    <row r="5" spans="1:23" ht="19.5" customHeight="1" x14ac:dyDescent="0.35">
      <c r="A5" s="261"/>
      <c r="B5" s="321" t="s">
        <v>626</v>
      </c>
      <c r="C5" s="321"/>
      <c r="D5" s="321"/>
      <c r="E5" s="321"/>
      <c r="F5" s="398" t="s">
        <v>791</v>
      </c>
      <c r="G5" s="398"/>
      <c r="H5" s="398"/>
      <c r="I5" s="398"/>
      <c r="J5" s="321"/>
      <c r="K5" s="321"/>
      <c r="L5" s="321"/>
      <c r="M5" s="321"/>
      <c r="N5" s="321"/>
      <c r="O5" s="261"/>
      <c r="P5" s="261"/>
      <c r="Q5" s="261"/>
      <c r="R5" s="261"/>
      <c r="S5" s="261"/>
      <c r="T5" s="261"/>
      <c r="U5" s="261"/>
      <c r="V5" s="261"/>
      <c r="W5" t="s">
        <v>790</v>
      </c>
    </row>
    <row r="6" spans="1:23" ht="14.25" customHeight="1" x14ac:dyDescent="0.35">
      <c r="A6" s="261"/>
      <c r="B6" s="322" t="s">
        <v>804</v>
      </c>
      <c r="C6" s="316" t="str">
        <f>$W$6</f>
        <v>De: 27/07/26 | Até: 31/07/26</v>
      </c>
      <c r="D6" s="316"/>
      <c r="E6" s="316"/>
      <c r="F6" s="397" t="s">
        <v>792</v>
      </c>
      <c r="G6" s="397"/>
      <c r="H6" s="397"/>
      <c r="I6" s="323">
        <f>COUNTIFS(Lançamentos!$D$3:$D$1001,"&gt;="&amp;$C$7,Lançamentos!$D$3:$D$1001,"&lt;="&amp;$E$7)</f>
        <v>0</v>
      </c>
      <c r="J6" s="320"/>
      <c r="K6" s="320"/>
      <c r="L6" s="320"/>
      <c r="M6" s="320"/>
      <c r="N6" s="320"/>
      <c r="O6" s="261"/>
      <c r="P6" s="261"/>
      <c r="Q6" s="261"/>
      <c r="R6" s="261"/>
      <c r="S6" s="261"/>
      <c r="T6" s="261"/>
      <c r="U6" s="261"/>
      <c r="V6" s="261"/>
      <c r="W6" t="str">
        <f>"De: "&amp;TEXT($C$7-0,"dd/mm/aa")&amp;" | Até: "&amp;TEXT($E$7-0,"dd/mm/aa")</f>
        <v>De: 27/07/26 | Até: 31/07/26</v>
      </c>
    </row>
    <row r="7" spans="1:23" ht="14.25" customHeight="1" x14ac:dyDescent="0.35">
      <c r="A7" s="261"/>
      <c r="B7" s="322" t="s">
        <v>115</v>
      </c>
      <c r="C7" s="324">
        <v>46230</v>
      </c>
      <c r="D7" s="325" t="s">
        <v>116</v>
      </c>
      <c r="E7" s="324">
        <v>46234</v>
      </c>
      <c r="F7" s="397" t="s">
        <v>793</v>
      </c>
      <c r="G7" s="397"/>
      <c r="H7" s="397"/>
      <c r="I7" s="323">
        <f>SUMIFS(Lançamentos!$T$3:$T$1001,Lançamentos!$D$3:$D$1001,"&gt;="&amp;$C$7,Lançamentos!$D$3:$D$1001,"&lt;="&amp;$E$7)</f>
        <v>0</v>
      </c>
      <c r="J7" s="320"/>
      <c r="K7" s="320"/>
      <c r="L7" s="320"/>
      <c r="M7" s="320"/>
      <c r="N7" s="320"/>
      <c r="O7" s="261"/>
      <c r="P7" s="261"/>
      <c r="Q7" s="261"/>
      <c r="R7" s="261"/>
      <c r="S7" s="261"/>
      <c r="T7" s="261"/>
      <c r="U7" s="261"/>
      <c r="V7" s="261"/>
      <c r="W7" t="str">
        <f>"De: "&amp;TEXT($C$7-7,"dd/mm/aa")&amp;" | Até: "&amp;TEXT($E$7-7,"dd/mm/aa")</f>
        <v>De: 20/07/26 | Até: 24/07/26</v>
      </c>
    </row>
    <row r="8" spans="1:23" ht="14.25" customHeight="1" x14ac:dyDescent="0.35">
      <c r="A8" s="261"/>
      <c r="B8" s="322" t="s">
        <v>117</v>
      </c>
      <c r="C8" s="326" t="s">
        <v>52</v>
      </c>
      <c r="D8" s="326"/>
      <c r="E8" s="326"/>
      <c r="F8" s="397" t="s">
        <v>794</v>
      </c>
      <c r="G8" s="397"/>
      <c r="H8" s="397"/>
      <c r="I8" s="323">
        <f>COUNTIFS(Lançamentos!$J$3:$J$1001,"&lt;&gt;",Lançamentos!$S$3:$S$1001,"&lt;&gt;Concluído",Lançamentos!$S$3:$S$1001,"&lt;&gt;Cancelado")</f>
        <v>0</v>
      </c>
      <c r="J8" s="320"/>
      <c r="K8" s="320"/>
      <c r="L8" s="320"/>
      <c r="M8" s="320"/>
      <c r="N8" s="320"/>
      <c r="O8" s="261"/>
      <c r="P8" s="261"/>
      <c r="Q8" s="261"/>
      <c r="R8" s="261"/>
      <c r="S8" s="261"/>
      <c r="T8" s="261"/>
      <c r="U8" s="261"/>
      <c r="V8" s="261"/>
      <c r="W8" t="str">
        <f>"De: "&amp;TEXT($C$7-14,"dd/mm/aa")&amp;" | Até: "&amp;TEXT($E$7-14,"dd/mm/aa")</f>
        <v>De: 13/07/26 | Até: 17/07/26</v>
      </c>
    </row>
    <row r="9" spans="1:23" ht="14.25" customHeight="1" x14ac:dyDescent="0.35">
      <c r="A9" s="261"/>
      <c r="B9" s="322" t="s">
        <v>118</v>
      </c>
      <c r="C9" s="326" t="s">
        <v>7</v>
      </c>
      <c r="D9" s="326"/>
      <c r="E9" s="326"/>
      <c r="F9" s="397" t="s">
        <v>810</v>
      </c>
      <c r="G9" s="397"/>
      <c r="H9" s="397"/>
      <c r="I9" s="323">
        <f>COUNTIF(Lançamentos!$AH$3:$AH$1001,"🟢 Dentro do Período")</f>
        <v>0</v>
      </c>
      <c r="J9" s="320"/>
      <c r="K9" s="320"/>
      <c r="L9" s="320"/>
      <c r="M9" s="320"/>
      <c r="N9" s="320"/>
      <c r="O9" s="261"/>
      <c r="P9" s="261"/>
      <c r="Q9" s="261"/>
      <c r="R9" s="261"/>
      <c r="S9" s="261"/>
      <c r="T9" s="261"/>
      <c r="U9" s="261"/>
      <c r="V9" s="261"/>
      <c r="W9" t="str">
        <f>"De: "&amp;TEXT($C$7-21,"dd/mm/aa")&amp;" | Até: "&amp;TEXT($E$7-21,"dd/mm/aa")</f>
        <v>De: 06/07/26 | Até: 10/07/26</v>
      </c>
    </row>
    <row r="10" spans="1:23" ht="14.25" customHeight="1" x14ac:dyDescent="0.35">
      <c r="A10" s="261"/>
      <c r="B10" s="322" t="s">
        <v>4</v>
      </c>
      <c r="C10" s="326" t="s">
        <v>5</v>
      </c>
      <c r="D10" s="326"/>
      <c r="E10" s="326"/>
      <c r="F10" s="397" t="s">
        <v>795</v>
      </c>
      <c r="G10" s="397"/>
      <c r="H10" s="397"/>
      <c r="I10" s="323">
        <f>COUNTIFS($B$46:$B$84,$C$6,$F$46:$F$84,"⏸ Aguardando Terceiros")</f>
        <v>0</v>
      </c>
      <c r="J10" s="320"/>
      <c r="K10" s="320"/>
      <c r="L10" s="320"/>
      <c r="M10" s="320"/>
      <c r="N10" s="320"/>
      <c r="O10" s="261"/>
      <c r="P10" s="261"/>
      <c r="Q10" s="261"/>
      <c r="R10" s="261"/>
      <c r="S10" s="261"/>
      <c r="T10" s="261"/>
      <c r="U10" s="261"/>
      <c r="V10" s="261"/>
      <c r="W10" t="str">
        <f>"De: "&amp;TEXT($C$7-28,"dd/mm/aa")&amp;" | Até: "&amp;TEXT($E$7-28,"dd/mm/aa")</f>
        <v>De: 29/06/26 | Até: 03/07/26</v>
      </c>
    </row>
    <row r="11" spans="1:23" ht="14.25" customHeight="1" x14ac:dyDescent="0.35">
      <c r="A11" s="261"/>
      <c r="B11" s="322" t="s">
        <v>119</v>
      </c>
      <c r="C11" s="324">
        <f ca="1">TODAY()</f>
        <v>46233</v>
      </c>
      <c r="D11" s="327"/>
      <c r="E11" s="328"/>
      <c r="F11" s="397" t="s">
        <v>796</v>
      </c>
      <c r="G11" s="397"/>
      <c r="H11" s="397"/>
      <c r="I11" s="323" cm="1">
        <f t="array" aca="1" ref="I11" ca="1">IFERROR(TODAY()-_xlfn.AGGREGATE(15,6,Lançamentos!$C$3:$C$1001/((Lançamentos!$S$3:$S$1001&lt;&gt;"Concluído")*(Lançamentos!$S$3:$S$1001&lt;&gt;"Cancelado")*(Lançamentos!$B$3:$B$1001&lt;&gt;"")),1),0)</f>
        <v>0</v>
      </c>
      <c r="J11" s="320"/>
      <c r="K11" s="320"/>
      <c r="L11" s="320"/>
      <c r="M11" s="320"/>
      <c r="N11" s="320"/>
      <c r="O11" s="261"/>
      <c r="P11" s="261"/>
      <c r="Q11" s="261"/>
      <c r="R11" s="261"/>
      <c r="S11" s="261"/>
      <c r="T11" s="261"/>
      <c r="U11" s="261"/>
      <c r="V11" s="261"/>
      <c r="W11" t="str">
        <f>"De: "&amp;TEXT($C$7-35,"dd/mm/aa")&amp;" | Até: "&amp;TEXT($E$7-35,"dd/mm/aa")</f>
        <v>De: 22/06/26 | Até: 26/06/26</v>
      </c>
    </row>
    <row r="12" spans="1:23" x14ac:dyDescent="0.35">
      <c r="A12" s="261"/>
      <c r="B12" s="320"/>
      <c r="C12" s="328"/>
      <c r="D12" s="320"/>
      <c r="E12" s="320"/>
      <c r="F12" s="320"/>
      <c r="G12" s="320"/>
      <c r="H12" s="320"/>
      <c r="I12" s="320"/>
      <c r="J12" s="320"/>
      <c r="K12" s="320"/>
      <c r="L12" s="320"/>
      <c r="M12" s="320"/>
      <c r="N12" s="320"/>
      <c r="O12" s="261"/>
      <c r="P12" s="261"/>
      <c r="Q12" s="261"/>
      <c r="R12" s="261"/>
      <c r="S12" s="261"/>
      <c r="T12" s="261"/>
      <c r="U12" s="261"/>
      <c r="V12" s="261"/>
      <c r="W12" t="str">
        <f>"De: "&amp;TEXT($C$7-42,"dd/mm/aa")&amp;" | Até: "&amp;TEXT($E$7-42,"dd/mm/aa")</f>
        <v>De: 15/06/26 | Até: 19/06/26</v>
      </c>
    </row>
    <row r="13" spans="1:23" ht="22" customHeight="1" x14ac:dyDescent="0.35">
      <c r="A13" s="261"/>
      <c r="B13" s="321" t="s">
        <v>627</v>
      </c>
      <c r="C13" s="321"/>
      <c r="D13" s="321"/>
      <c r="E13" s="321"/>
      <c r="F13" s="321"/>
      <c r="G13" s="321"/>
      <c r="H13" s="321"/>
      <c r="I13" s="321"/>
      <c r="J13" s="320"/>
      <c r="K13" s="320"/>
      <c r="L13" s="320"/>
      <c r="M13" s="320"/>
      <c r="N13" s="320"/>
      <c r="O13" s="261"/>
      <c r="P13" s="261"/>
      <c r="Q13" s="261"/>
      <c r="R13" s="261"/>
      <c r="S13" s="261"/>
      <c r="T13" s="261"/>
      <c r="U13" s="261"/>
      <c r="V13" s="261"/>
      <c r="W13" t="str">
        <f>"De: "&amp;TEXT($C$7-49,"dd/mm/aa")&amp;" | Até: "&amp;TEXT($E$7-49,"dd/mm/aa")</f>
        <v>De: 08/06/26 | Até: 12/06/26</v>
      </c>
    </row>
    <row r="14" spans="1:23" ht="14.25" customHeight="1" x14ac:dyDescent="0.35">
      <c r="A14" s="261"/>
      <c r="B14" s="329" t="s">
        <v>120</v>
      </c>
      <c r="C14" s="330"/>
      <c r="D14" s="330"/>
      <c r="E14" s="330"/>
      <c r="F14" s="330"/>
      <c r="G14" s="330"/>
      <c r="H14" s="330"/>
      <c r="I14" s="330"/>
      <c r="J14" s="331"/>
      <c r="K14" s="320"/>
      <c r="L14" s="320"/>
      <c r="M14" s="320"/>
      <c r="N14" s="320"/>
      <c r="O14" s="261"/>
      <c r="P14" s="261"/>
      <c r="Q14" s="261"/>
      <c r="R14" s="261"/>
      <c r="S14" s="261"/>
      <c r="T14" s="261"/>
      <c r="U14" s="261"/>
      <c r="V14" s="261"/>
      <c r="W14" t="str">
        <f>"De: "&amp;TEXT($C$7-56,"dd/mm/aa")&amp;" | Até: "&amp;TEXT($E$7-56,"dd/mm/aa")</f>
        <v>De: 01/06/26 | Até: 05/06/26</v>
      </c>
    </row>
    <row r="15" spans="1:23" ht="14.25" customHeight="1" x14ac:dyDescent="0.35">
      <c r="A15" s="261"/>
      <c r="B15" s="329" t="s">
        <v>121</v>
      </c>
      <c r="C15" s="330"/>
      <c r="D15" s="330"/>
      <c r="E15" s="330"/>
      <c r="F15" s="330"/>
      <c r="G15" s="330"/>
      <c r="H15" s="330"/>
      <c r="I15" s="330"/>
      <c r="J15" s="331"/>
      <c r="K15" s="320"/>
      <c r="L15" s="320"/>
      <c r="M15" s="320"/>
      <c r="N15" s="320"/>
      <c r="O15" s="261"/>
      <c r="P15" s="261"/>
      <c r="Q15" s="261"/>
      <c r="R15" s="261"/>
      <c r="S15" s="261"/>
      <c r="T15" s="261"/>
      <c r="U15" s="261"/>
      <c r="V15" s="261"/>
      <c r="W15" t="str">
        <f>"De: "&amp;TEXT($C$7-63,"dd/mm/aa")&amp;" | Até: "&amp;TEXT($E$7-63,"dd/mm/aa")</f>
        <v>De: 25/05/26 | Até: 29/05/26</v>
      </c>
    </row>
    <row r="16" spans="1:23" ht="14.25" customHeight="1" x14ac:dyDescent="0.35">
      <c r="A16" s="261"/>
      <c r="B16" s="329" t="s">
        <v>122</v>
      </c>
      <c r="C16" s="330"/>
      <c r="D16" s="330"/>
      <c r="E16" s="330"/>
      <c r="F16" s="330"/>
      <c r="G16" s="330"/>
      <c r="H16" s="330"/>
      <c r="I16" s="330"/>
      <c r="J16" s="331"/>
      <c r="K16" s="320"/>
      <c r="L16" s="320"/>
      <c r="M16" s="320"/>
      <c r="N16" s="320"/>
      <c r="O16" s="261"/>
      <c r="P16" s="261"/>
      <c r="Q16" s="261"/>
      <c r="R16" s="261"/>
      <c r="S16" s="261"/>
      <c r="T16" s="261"/>
      <c r="U16" s="261"/>
      <c r="V16" s="261"/>
      <c r="W16" t="str">
        <f>"De: "&amp;TEXT($C$7-70,"dd/mm/aa")&amp;" | Até: "&amp;TEXT($E$7-70,"dd/mm/aa")</f>
        <v>De: 18/05/26 | Até: 22/05/26</v>
      </c>
    </row>
    <row r="17" spans="1:26" ht="14.25" customHeight="1" x14ac:dyDescent="0.35">
      <c r="A17" s="261"/>
      <c r="B17" s="329" t="s">
        <v>123</v>
      </c>
      <c r="C17" s="330"/>
      <c r="D17" s="330"/>
      <c r="E17" s="330"/>
      <c r="F17" s="330"/>
      <c r="G17" s="330"/>
      <c r="H17" s="330"/>
      <c r="I17" s="330"/>
      <c r="J17" s="331"/>
      <c r="K17" s="320"/>
      <c r="L17" s="320"/>
      <c r="M17" s="320"/>
      <c r="N17" s="320"/>
      <c r="O17" s="261"/>
      <c r="P17" s="261"/>
      <c r="Q17" s="261"/>
      <c r="R17" s="261"/>
      <c r="S17" s="261"/>
      <c r="T17" s="261"/>
      <c r="U17" s="261"/>
      <c r="V17" s="261"/>
      <c r="W17" t="str">
        <f>"De: "&amp;TEXT($C$7-77,"dd/mm/aa")&amp;" | Até: "&amp;TEXT($E$7-77,"dd/mm/aa")</f>
        <v>De: 11/05/26 | Até: 15/05/26</v>
      </c>
    </row>
    <row r="18" spans="1:26" ht="14.25" customHeight="1" x14ac:dyDescent="0.35">
      <c r="A18" s="261"/>
      <c r="B18" s="329" t="s">
        <v>124</v>
      </c>
      <c r="C18" s="330"/>
      <c r="D18" s="330"/>
      <c r="E18" s="330"/>
      <c r="F18" s="330"/>
      <c r="G18" s="330"/>
      <c r="H18" s="330"/>
      <c r="I18" s="330"/>
      <c r="J18" s="331"/>
      <c r="K18" s="320"/>
      <c r="L18" s="320"/>
      <c r="M18" s="320"/>
      <c r="N18" s="320"/>
      <c r="O18" s="261"/>
      <c r="P18" s="261"/>
      <c r="Q18" s="261"/>
      <c r="R18" s="261"/>
      <c r="S18" s="261"/>
      <c r="T18" s="261"/>
      <c r="U18" s="261"/>
      <c r="V18" s="261"/>
      <c r="W18" t="str">
        <f>"De: "&amp;TEXT($C$7-84,"dd/mm/aa")&amp;" | Até: "&amp;TEXT($E$7-84,"dd/mm/aa")</f>
        <v>De: 04/05/26 | Até: 08/05/26</v>
      </c>
    </row>
    <row r="19" spans="1:26" ht="14.25" customHeight="1" x14ac:dyDescent="0.35">
      <c r="A19" s="261"/>
      <c r="B19" s="329" t="s">
        <v>125</v>
      </c>
      <c r="C19" s="330"/>
      <c r="D19" s="330"/>
      <c r="E19" s="330"/>
      <c r="F19" s="330"/>
      <c r="G19" s="330"/>
      <c r="H19" s="330"/>
      <c r="I19" s="330"/>
      <c r="J19" s="331"/>
      <c r="K19" s="320"/>
      <c r="L19" s="320"/>
      <c r="M19" s="320"/>
      <c r="N19" s="320"/>
      <c r="O19" s="261"/>
      <c r="P19" s="261"/>
      <c r="Q19" s="261"/>
      <c r="R19" s="261"/>
      <c r="S19" s="261"/>
      <c r="T19" s="261"/>
      <c r="U19" s="261"/>
      <c r="V19" s="261"/>
    </row>
    <row r="20" spans="1:26" x14ac:dyDescent="0.35">
      <c r="A20" s="261"/>
      <c r="B20" s="328"/>
      <c r="C20" s="328"/>
      <c r="D20" s="328"/>
      <c r="E20" s="328"/>
      <c r="F20" s="328"/>
      <c r="G20" s="328"/>
      <c r="H20" s="328"/>
      <c r="I20" s="328"/>
      <c r="J20" s="320"/>
      <c r="K20" s="320"/>
      <c r="L20" s="320"/>
      <c r="M20" s="320"/>
      <c r="N20" s="320"/>
      <c r="O20" s="261"/>
      <c r="P20" s="261"/>
      <c r="Q20" s="261"/>
      <c r="R20" s="261"/>
      <c r="S20" s="261"/>
      <c r="T20" s="261"/>
      <c r="U20" s="261"/>
      <c r="V20" s="261"/>
    </row>
    <row r="21" spans="1:26" ht="19.5" customHeight="1" x14ac:dyDescent="0.35">
      <c r="A21" s="261"/>
      <c r="B21" s="321" t="s">
        <v>628</v>
      </c>
      <c r="C21" s="321"/>
      <c r="D21" s="321"/>
      <c r="E21" s="321"/>
      <c r="F21" s="321"/>
      <c r="G21" s="321"/>
      <c r="H21" s="321"/>
      <c r="I21" s="321"/>
      <c r="J21" s="320"/>
      <c r="K21" s="320"/>
      <c r="L21" s="320"/>
      <c r="M21" s="320"/>
      <c r="N21" s="320"/>
      <c r="O21" s="261"/>
      <c r="P21" s="261"/>
      <c r="Q21" s="261"/>
      <c r="R21" s="261"/>
      <c r="S21" s="261"/>
      <c r="T21" s="261"/>
      <c r="U21" s="261"/>
      <c r="V21" s="261"/>
    </row>
    <row r="22" spans="1:26" ht="39" customHeight="1" x14ac:dyDescent="0.35">
      <c r="A22" s="261"/>
      <c r="B22" s="353" t="s">
        <v>126</v>
      </c>
      <c r="C22" s="353" t="s">
        <v>12</v>
      </c>
      <c r="D22" s="353" t="s">
        <v>13</v>
      </c>
      <c r="E22" s="353" t="s">
        <v>127</v>
      </c>
      <c r="F22" s="353" t="s">
        <v>128</v>
      </c>
      <c r="G22" s="353" t="s">
        <v>129</v>
      </c>
      <c r="H22" s="354" t="s">
        <v>130</v>
      </c>
      <c r="I22" s="355" t="s">
        <v>32</v>
      </c>
      <c r="J22" s="331"/>
      <c r="K22" s="320"/>
      <c r="L22" s="320"/>
      <c r="M22" s="320"/>
      <c r="N22" s="320"/>
      <c r="O22" s="261"/>
      <c r="P22" s="261"/>
      <c r="Q22" s="261"/>
      <c r="R22" s="261"/>
      <c r="S22" s="261"/>
      <c r="T22" s="261"/>
      <c r="U22" s="261"/>
      <c r="V22" s="261"/>
    </row>
    <row r="23" spans="1:26" ht="14.25" customHeight="1" x14ac:dyDescent="0.35">
      <c r="A23" s="261"/>
      <c r="B23" s="332" t="str" cm="1">
        <f t="array" ref="B23">IF($Z23="","",INDEX(Lançamentos!$B:$B,$Z23))</f>
        <v/>
      </c>
      <c r="C23" s="333" t="str">
        <f>IF($Z23="","",INDEX(Lançamentos!$F:$F,$Z23))</f>
        <v/>
      </c>
      <c r="D23" s="333" t="str">
        <f>IF($Z23="","",INDEX(Lançamentos!$G:$G,$Z23))</f>
        <v/>
      </c>
      <c r="E23" s="333" t="str">
        <f>IF($Z23="","",INDEX(Lançamentos!$J:$J,$Z23))</f>
        <v/>
      </c>
      <c r="F23" s="333" t="str">
        <f>IF($Z23="","",INDEX(Lançamentos!$AL:$AL,$Z23))</f>
        <v/>
      </c>
      <c r="G23" s="333" t="str">
        <f t="shared" ref="G23:G42" si="0">IF($Z23="","",IF($F23="Em andamento","🟡 Em andamento",IF($F23="Aguardando terceiros","⏸ Aguardando Terceiros",IF($F23="Não iniciado","⚪ Não iniciado","🟡 Em andamento"))))</f>
        <v/>
      </c>
      <c r="H23" s="334" t="str">
        <f ca="1">IF($Z23="","",TODAY()-INDEX(Lançamentos!$C:$C,$Z23))</f>
        <v/>
      </c>
      <c r="I23" s="335" t="str">
        <f>IF($Z23="","",INDEX(Lançamentos!$Z:$Z,$Z23))</f>
        <v/>
      </c>
      <c r="J23" s="331"/>
      <c r="K23" s="320"/>
      <c r="L23" s="320"/>
      <c r="M23" s="320"/>
      <c r="N23" s="320"/>
      <c r="O23" s="261"/>
      <c r="P23" s="261"/>
      <c r="Q23" s="261"/>
      <c r="R23" s="261"/>
      <c r="S23" s="261"/>
      <c r="T23" s="261"/>
      <c r="U23" s="261"/>
      <c r="V23" s="261"/>
      <c r="Z23" t="str" cm="1">
        <f t="array" ref="Z23">IFERROR(_xlfn.AGGREGATE(15,6,ROW(Lançamentos!$J$3:$J$1001)/((Lançamentos!$AL$3:$AL$1001&lt;&gt;"Encerrado")*(Lançamentos!$S$3:$S$1001&lt;&gt;"Cancelado")*(Lançamentos!$J$3:$J$1001&lt;&gt;"")),1),"")</f>
        <v/>
      </c>
    </row>
    <row r="24" spans="1:26" ht="14.25" customHeight="1" x14ac:dyDescent="0.35">
      <c r="A24" s="261"/>
      <c r="B24" s="332" t="str" cm="1">
        <f t="array" ref="B24">IF($Z24="","",INDEX(Lançamentos!$B:$B,$Z24))</f>
        <v/>
      </c>
      <c r="C24" s="333" t="str">
        <f>IF($Z24="","",INDEX(Lançamentos!$F:$F,$Z24))</f>
        <v/>
      </c>
      <c r="D24" s="333" t="str">
        <f>IF($Z24="","",INDEX(Lançamentos!$G:$G,$Z24))</f>
        <v/>
      </c>
      <c r="E24" s="333" t="str">
        <f>IF($Z24="","",INDEX(Lançamentos!$J:$J,$Z24))</f>
        <v/>
      </c>
      <c r="F24" s="333" t="str">
        <f>IF($Z24="","",INDEX(Lançamentos!$AL:$AL,$Z24))</f>
        <v/>
      </c>
      <c r="G24" s="333" t="str">
        <f t="shared" si="0"/>
        <v/>
      </c>
      <c r="H24" s="336" t="str">
        <f ca="1">IF($Z24="","",TODAY()-INDEX(Lançamentos!$C:$C,$Z24))</f>
        <v/>
      </c>
      <c r="I24" s="335" t="str">
        <f>IF($Z24="","",INDEX(Lançamentos!$Z:$Z,$Z24))</f>
        <v/>
      </c>
      <c r="J24" s="331"/>
      <c r="K24" s="320"/>
      <c r="L24" s="320"/>
      <c r="M24" s="320"/>
      <c r="N24" s="320"/>
      <c r="O24" s="261"/>
      <c r="P24" s="261"/>
      <c r="Q24" s="261"/>
      <c r="R24" s="261"/>
      <c r="S24" s="261"/>
      <c r="T24" s="261"/>
      <c r="U24" s="261"/>
      <c r="V24" s="261"/>
      <c r="Z24" t="str" cm="1">
        <f t="array" ref="Z24">IFERROR(_xlfn.AGGREGATE(15,6,ROW(Lançamentos!$J$3:$J$1001)/((Lançamentos!$AL$3:$AL$1001&lt;&gt;"Encerrado")*(Lançamentos!$S$3:$S$1001&lt;&gt;"Cancelado")*(Lançamentos!$J$3:$J$1001&lt;&gt;"")),2),"")</f>
        <v/>
      </c>
    </row>
    <row r="25" spans="1:26" ht="14.25" customHeight="1" x14ac:dyDescent="0.35">
      <c r="A25" s="261"/>
      <c r="B25" s="332" t="str" cm="1">
        <f t="array" ref="B25">IF($Z25="","",INDEX(Lançamentos!$B:$B,$Z25))</f>
        <v/>
      </c>
      <c r="C25" s="333" t="str">
        <f>IF($Z25="","",INDEX(Lançamentos!$F:$F,$Z25))</f>
        <v/>
      </c>
      <c r="D25" s="333" t="str">
        <f>IF($Z25="","",INDEX(Lançamentos!$G:$G,$Z25))</f>
        <v/>
      </c>
      <c r="E25" s="333" t="str">
        <f>IF($Z25="","",INDEX(Lançamentos!$J:$J,$Z25))</f>
        <v/>
      </c>
      <c r="F25" s="333" t="str">
        <f>IF($Z25="","",INDEX(Lançamentos!$AL:$AL,$Z25))</f>
        <v/>
      </c>
      <c r="G25" s="333" t="str">
        <f t="shared" si="0"/>
        <v/>
      </c>
      <c r="H25" s="336" t="str">
        <f ca="1">IF($Z25="","",TODAY()-INDEX(Lançamentos!$C:$C,$Z25))</f>
        <v/>
      </c>
      <c r="I25" s="335" t="str">
        <f>IF($Z25="","",INDEX(Lançamentos!$Z:$Z,$Z25))</f>
        <v/>
      </c>
      <c r="J25" s="331"/>
      <c r="K25" s="320"/>
      <c r="L25" s="320"/>
      <c r="M25" s="320"/>
      <c r="N25" s="320"/>
      <c r="O25" s="261"/>
      <c r="P25" s="261"/>
      <c r="Q25" s="261"/>
      <c r="R25" s="261"/>
      <c r="S25" s="261"/>
      <c r="T25" s="261"/>
      <c r="U25" s="261"/>
      <c r="V25" s="261"/>
      <c r="Z25" t="str" cm="1">
        <f t="array" ref="Z25">IFERROR(_xlfn.AGGREGATE(15,6,ROW(Lançamentos!$J$3:$J$1001)/((Lançamentos!$AL$3:$AL$1001&lt;&gt;"Encerrado")*(Lançamentos!$S$3:$S$1001&lt;&gt;"Cancelado")*(Lançamentos!$J$3:$J$1001&lt;&gt;"")),3),"")</f>
        <v/>
      </c>
    </row>
    <row r="26" spans="1:26" ht="14.25" customHeight="1" x14ac:dyDescent="0.35">
      <c r="A26" s="261"/>
      <c r="B26" s="332" t="str" cm="1">
        <f t="array" ref="B26">IF($Z26="","",INDEX(Lançamentos!$B:$B,$Z26))</f>
        <v/>
      </c>
      <c r="C26" s="333" t="str">
        <f>IF($Z26="","",INDEX(Lançamentos!$F:$F,$Z26))</f>
        <v/>
      </c>
      <c r="D26" s="333" t="str">
        <f>IF($Z26="","",INDEX(Lançamentos!$G:$G,$Z26))</f>
        <v/>
      </c>
      <c r="E26" s="333" t="str">
        <f>IF($Z26="","",INDEX(Lançamentos!$J:$J,$Z26))</f>
        <v/>
      </c>
      <c r="F26" s="333" t="str">
        <f>IF($Z26="","",INDEX(Lançamentos!$AL:$AL,$Z26))</f>
        <v/>
      </c>
      <c r="G26" s="333" t="str">
        <f t="shared" si="0"/>
        <v/>
      </c>
      <c r="H26" s="336" t="str">
        <f ca="1">IF($Z26="","",TODAY()-INDEX(Lançamentos!$C:$C,$Z26))</f>
        <v/>
      </c>
      <c r="I26" s="335" t="str">
        <f>IF($Z26="","",INDEX(Lançamentos!$Z:$Z,$Z26))</f>
        <v/>
      </c>
      <c r="J26" s="331"/>
      <c r="K26" s="320"/>
      <c r="L26" s="320"/>
      <c r="M26" s="320"/>
      <c r="N26" s="320"/>
      <c r="O26" s="261"/>
      <c r="P26" s="261"/>
      <c r="Q26" s="261"/>
      <c r="R26" s="261"/>
      <c r="S26" s="261"/>
      <c r="T26" s="261"/>
      <c r="U26" s="261"/>
      <c r="V26" s="261"/>
      <c r="Z26" t="str" cm="1">
        <f t="array" ref="Z26">IFERROR(_xlfn.AGGREGATE(15,6,ROW(Lançamentos!$J$3:$J$1001)/((Lançamentos!$AL$3:$AL$1001&lt;&gt;"Encerrado")*(Lançamentos!$S$3:$S$1001&lt;&gt;"Cancelado")*(Lançamentos!$J$3:$J$1001&lt;&gt;"")),4),"")</f>
        <v/>
      </c>
    </row>
    <row r="27" spans="1:26" ht="14.25" customHeight="1" x14ac:dyDescent="0.35">
      <c r="A27" s="261"/>
      <c r="B27" s="332" t="str" cm="1">
        <f t="array" ref="B27">IF($Z27="","",INDEX(Lançamentos!$B:$B,$Z27))</f>
        <v/>
      </c>
      <c r="C27" s="333" t="str">
        <f>IF($Z27="","",INDEX(Lançamentos!$F:$F,$Z27))</f>
        <v/>
      </c>
      <c r="D27" s="333" t="str">
        <f>IF($Z27="","",INDEX(Lançamentos!$G:$G,$Z27))</f>
        <v/>
      </c>
      <c r="E27" s="333" t="str">
        <f>IF($Z27="","",INDEX(Lançamentos!$J:$J,$Z27))</f>
        <v/>
      </c>
      <c r="F27" s="333" t="str">
        <f>IF($Z27="","",INDEX(Lançamentos!$AL:$AL,$Z27))</f>
        <v/>
      </c>
      <c r="G27" s="333" t="str">
        <f t="shared" si="0"/>
        <v/>
      </c>
      <c r="H27" s="336" t="str">
        <f ca="1">IF($Z27="","",TODAY()-INDEX(Lançamentos!$C:$C,$Z27))</f>
        <v/>
      </c>
      <c r="I27" s="335" t="str">
        <f>IF($Z27="","",INDEX(Lançamentos!$Z:$Z,$Z27))</f>
        <v/>
      </c>
      <c r="J27" s="331"/>
      <c r="K27" s="320"/>
      <c r="L27" s="320"/>
      <c r="M27" s="320"/>
      <c r="N27" s="320"/>
      <c r="O27" s="261"/>
      <c r="P27" s="261"/>
      <c r="Q27" s="261"/>
      <c r="R27" s="261"/>
      <c r="S27" s="261"/>
      <c r="T27" s="261"/>
      <c r="U27" s="261"/>
      <c r="V27" s="261"/>
      <c r="Z27" t="str" cm="1">
        <f t="array" ref="Z27">IFERROR(_xlfn.AGGREGATE(15,6,ROW(Lançamentos!$J$3:$J$1001)/((Lançamentos!$AL$3:$AL$1001&lt;&gt;"Encerrado")*(Lançamentos!$S$3:$S$1001&lt;&gt;"Cancelado")*(Lançamentos!$J$3:$J$1001&lt;&gt;"")),5),"")</f>
        <v/>
      </c>
    </row>
    <row r="28" spans="1:26" ht="14.25" customHeight="1" x14ac:dyDescent="0.35">
      <c r="A28" s="261"/>
      <c r="B28" s="332" t="str" cm="1">
        <f t="array" ref="B28">IF($Z28="","",INDEX(Lançamentos!$B:$B,$Z28))</f>
        <v/>
      </c>
      <c r="C28" s="333" t="str">
        <f>IF($Z28="","",INDEX(Lançamentos!$F:$F,$Z28))</f>
        <v/>
      </c>
      <c r="D28" s="333" t="str">
        <f>IF($Z28="","",INDEX(Lançamentos!$G:$G,$Z28))</f>
        <v/>
      </c>
      <c r="E28" s="333" t="str">
        <f>IF($Z28="","",INDEX(Lançamentos!$J:$J,$Z28))</f>
        <v/>
      </c>
      <c r="F28" s="333" t="str">
        <f>IF($Z28="","",INDEX(Lançamentos!$AL:$AL,$Z28))</f>
        <v/>
      </c>
      <c r="G28" s="333" t="str">
        <f t="shared" si="0"/>
        <v/>
      </c>
      <c r="H28" s="336" t="str">
        <f ca="1">IF($Z28="","",TODAY()-INDEX(Lançamentos!$C:$C,$Z28))</f>
        <v/>
      </c>
      <c r="I28" s="335" t="str">
        <f>IF($Z28="","",INDEX(Lançamentos!$Z:$Z,$Z28))</f>
        <v/>
      </c>
      <c r="J28" s="331"/>
      <c r="K28" s="320"/>
      <c r="L28" s="320"/>
      <c r="M28" s="320"/>
      <c r="N28" s="320"/>
      <c r="O28" s="261"/>
      <c r="P28" s="261"/>
      <c r="Q28" s="261"/>
      <c r="R28" s="261"/>
      <c r="S28" s="261"/>
      <c r="T28" s="261"/>
      <c r="U28" s="261"/>
      <c r="V28" s="261"/>
      <c r="Z28" t="str" cm="1">
        <f t="array" ref="Z28">IFERROR(_xlfn.AGGREGATE(15,6,ROW(Lançamentos!$J$3:$J$1001)/((Lançamentos!$AL$3:$AL$1001&lt;&gt;"Encerrado")*(Lançamentos!$S$3:$S$1001&lt;&gt;"Cancelado")*(Lançamentos!$J$3:$J$1001&lt;&gt;"")),6),"")</f>
        <v/>
      </c>
    </row>
    <row r="29" spans="1:26" ht="14.25" customHeight="1" x14ac:dyDescent="0.35">
      <c r="A29" s="261"/>
      <c r="B29" s="332" t="str" cm="1">
        <f t="array" ref="B29">IF($Z29="","",INDEX(Lançamentos!$B:$B,$Z29))</f>
        <v/>
      </c>
      <c r="C29" s="333" t="str">
        <f>IF($Z29="","",INDEX(Lançamentos!$F:$F,$Z29))</f>
        <v/>
      </c>
      <c r="D29" s="333" t="str">
        <f>IF($Z29="","",INDEX(Lançamentos!$G:$G,$Z29))</f>
        <v/>
      </c>
      <c r="E29" s="333" t="str">
        <f>IF($Z29="","",INDEX(Lançamentos!$J:$J,$Z29))</f>
        <v/>
      </c>
      <c r="F29" s="333" t="str">
        <f>IF($Z29="","",INDEX(Lançamentos!$AL:$AL,$Z29))</f>
        <v/>
      </c>
      <c r="G29" s="333" t="str">
        <f t="shared" si="0"/>
        <v/>
      </c>
      <c r="H29" s="336" t="str">
        <f ca="1">IF($Z29="","",TODAY()-INDEX(Lançamentos!$C:$C,$Z29))</f>
        <v/>
      </c>
      <c r="I29" s="335" t="str">
        <f>IF($Z29="","",INDEX(Lançamentos!$Z:$Z,$Z29))</f>
        <v/>
      </c>
      <c r="J29" s="331"/>
      <c r="K29" s="320"/>
      <c r="L29" s="320"/>
      <c r="M29" s="320"/>
      <c r="N29" s="320"/>
      <c r="O29" s="261"/>
      <c r="P29" s="261"/>
      <c r="Q29" s="261"/>
      <c r="R29" s="261"/>
      <c r="S29" s="261"/>
      <c r="T29" s="261"/>
      <c r="U29" s="261"/>
      <c r="V29" s="261"/>
      <c r="Z29" t="str" cm="1">
        <f t="array" ref="Z29">IFERROR(_xlfn.AGGREGATE(15,6,ROW(Lançamentos!$J$3:$J$1001)/((Lançamentos!$AL$3:$AL$1001&lt;&gt;"Encerrado")*(Lançamentos!$S$3:$S$1001&lt;&gt;"Cancelado")*(Lançamentos!$J$3:$J$1001&lt;&gt;"")),7),"")</f>
        <v/>
      </c>
    </row>
    <row r="30" spans="1:26" ht="14.25" customHeight="1" x14ac:dyDescent="0.35">
      <c r="A30" s="261"/>
      <c r="B30" s="332" t="str" cm="1">
        <f t="array" ref="B30">IF($Z30="","",INDEX(Lançamentos!$B:$B,$Z30))</f>
        <v/>
      </c>
      <c r="C30" s="333" t="str">
        <f>IF($Z30="","",INDEX(Lançamentos!$F:$F,$Z30))</f>
        <v/>
      </c>
      <c r="D30" s="333" t="str">
        <f>IF($Z30="","",INDEX(Lançamentos!$G:$G,$Z30))</f>
        <v/>
      </c>
      <c r="E30" s="333" t="str">
        <f>IF($Z30="","",INDEX(Lançamentos!$J:$J,$Z30))</f>
        <v/>
      </c>
      <c r="F30" s="333" t="str">
        <f>IF($Z30="","",INDEX(Lançamentos!$AL:$AL,$Z30))</f>
        <v/>
      </c>
      <c r="G30" s="333" t="str">
        <f t="shared" si="0"/>
        <v/>
      </c>
      <c r="H30" s="336" t="str">
        <f ca="1">IF($Z30="","",TODAY()-INDEX(Lançamentos!$C:$C,$Z30))</f>
        <v/>
      </c>
      <c r="I30" s="335" t="str">
        <f>IF($Z30="","",INDEX(Lançamentos!$Z:$Z,$Z30))</f>
        <v/>
      </c>
      <c r="J30" s="331"/>
      <c r="K30" s="320"/>
      <c r="L30" s="320"/>
      <c r="M30" s="320"/>
      <c r="N30" s="320"/>
      <c r="O30" s="261"/>
      <c r="P30" s="261"/>
      <c r="Q30" s="261"/>
      <c r="R30" s="261"/>
      <c r="S30" s="261"/>
      <c r="T30" s="261"/>
      <c r="U30" s="261"/>
      <c r="V30" s="261"/>
      <c r="Z30" t="str" cm="1">
        <f t="array" ref="Z30">IFERROR(_xlfn.AGGREGATE(15,6,ROW(Lançamentos!$J$3:$J$1001)/((Lançamentos!$AL$3:$AL$1001&lt;&gt;"Encerrado")*(Lançamentos!$S$3:$S$1001&lt;&gt;"Cancelado")*(Lançamentos!$J$3:$J$1001&lt;&gt;"")),8),"")</f>
        <v/>
      </c>
    </row>
    <row r="31" spans="1:26" ht="14.25" customHeight="1" x14ac:dyDescent="0.35">
      <c r="A31" s="261"/>
      <c r="B31" s="332" t="str" cm="1">
        <f t="array" ref="B31">IF($Z31="","",INDEX(Lançamentos!$B:$B,$Z31))</f>
        <v/>
      </c>
      <c r="C31" s="333" t="str">
        <f>IF($Z31="","",INDEX(Lançamentos!$F:$F,$Z31))</f>
        <v/>
      </c>
      <c r="D31" s="333" t="str">
        <f>IF($Z31="","",INDEX(Lançamentos!$G:$G,$Z31))</f>
        <v/>
      </c>
      <c r="E31" s="333" t="str">
        <f>IF($Z31="","",INDEX(Lançamentos!$J:$J,$Z31))</f>
        <v/>
      </c>
      <c r="F31" s="333" t="str">
        <f>IF($Z31="","",INDEX(Lançamentos!$AL:$AL,$Z31))</f>
        <v/>
      </c>
      <c r="G31" s="333" t="str">
        <f t="shared" si="0"/>
        <v/>
      </c>
      <c r="H31" s="336" t="str">
        <f ca="1">IF($Z31="","",TODAY()-INDEX(Lançamentos!$C:$C,$Z31))</f>
        <v/>
      </c>
      <c r="I31" s="335" t="str">
        <f>IF($Z31="","",INDEX(Lançamentos!$Z:$Z,$Z31))</f>
        <v/>
      </c>
      <c r="J31" s="331"/>
      <c r="K31" s="320"/>
      <c r="L31" s="320"/>
      <c r="M31" s="320"/>
      <c r="N31" s="320"/>
      <c r="O31" s="261"/>
      <c r="P31" s="261"/>
      <c r="Q31" s="261"/>
      <c r="R31" s="261"/>
      <c r="S31" s="261"/>
      <c r="T31" s="261"/>
      <c r="U31" s="261"/>
      <c r="V31" s="261"/>
      <c r="Z31" t="str" cm="1">
        <f t="array" ref="Z31">IFERROR(_xlfn.AGGREGATE(15,6,ROW(Lançamentos!$J$3:$J$1001)/((Lançamentos!$AL$3:$AL$1001&lt;&gt;"Encerrado")*(Lançamentos!$S$3:$S$1001&lt;&gt;"Cancelado")*(Lançamentos!$J$3:$J$1001&lt;&gt;"")),9),"")</f>
        <v/>
      </c>
    </row>
    <row r="32" spans="1:26" ht="14.25" customHeight="1" x14ac:dyDescent="0.35">
      <c r="A32" s="261"/>
      <c r="B32" s="332" t="str" cm="1">
        <f t="array" ref="B32">IF($Z32="","",INDEX(Lançamentos!$B:$B,$Z32))</f>
        <v/>
      </c>
      <c r="C32" s="333" t="str">
        <f>IF($Z32="","",INDEX(Lançamentos!$F:$F,$Z32))</f>
        <v/>
      </c>
      <c r="D32" s="333" t="str">
        <f>IF($Z32="","",INDEX(Lançamentos!$G:$G,$Z32))</f>
        <v/>
      </c>
      <c r="E32" s="333" t="str">
        <f>IF($Z32="","",INDEX(Lançamentos!$J:$J,$Z32))</f>
        <v/>
      </c>
      <c r="F32" s="333" t="str">
        <f>IF($Z32="","",INDEX(Lançamentos!$AL:$AL,$Z32))</f>
        <v/>
      </c>
      <c r="G32" s="333" t="str">
        <f t="shared" si="0"/>
        <v/>
      </c>
      <c r="H32" s="336" t="str">
        <f ca="1">IF($Z32="","",TODAY()-INDEX(Lançamentos!$C:$C,$Z32))</f>
        <v/>
      </c>
      <c r="I32" s="335" t="str">
        <f>IF($Z32="","",INDEX(Lançamentos!$Z:$Z,$Z32))</f>
        <v/>
      </c>
      <c r="J32" s="331"/>
      <c r="K32" s="320"/>
      <c r="L32" s="320"/>
      <c r="M32" s="320"/>
      <c r="N32" s="320"/>
      <c r="O32" s="261"/>
      <c r="P32" s="261"/>
      <c r="Q32" s="261"/>
      <c r="R32" s="261"/>
      <c r="S32" s="261"/>
      <c r="T32" s="261"/>
      <c r="U32" s="261"/>
      <c r="V32" s="261"/>
      <c r="Z32" t="str" cm="1">
        <f t="array" ref="Z32">IFERROR(_xlfn.AGGREGATE(15,6,ROW(Lançamentos!$J$3:$J$1001)/((Lançamentos!$AL$3:$AL$1001&lt;&gt;"Encerrado")*(Lançamentos!$S$3:$S$1001&lt;&gt;"Cancelado")*(Lançamentos!$J$3:$J$1001&lt;&gt;"")),10),"")</f>
        <v/>
      </c>
    </row>
    <row r="33" spans="1:26 16381:16384" ht="14.25" customHeight="1" x14ac:dyDescent="0.35">
      <c r="A33" s="261"/>
      <c r="B33" s="332" t="str" cm="1">
        <f t="array" ref="B33">IF($Z33="","",INDEX(Lançamentos!$B:$B,$Z33))</f>
        <v/>
      </c>
      <c r="C33" s="333" t="str">
        <f>IF($Z33="","",INDEX(Lançamentos!$F:$F,$Z33))</f>
        <v/>
      </c>
      <c r="D33" s="333" t="str">
        <f>IF($Z33="","",INDEX(Lançamentos!$G:$G,$Z33))</f>
        <v/>
      </c>
      <c r="E33" s="333" t="str">
        <f>IF($Z33="","",INDEX(Lançamentos!$J:$J,$Z33))</f>
        <v/>
      </c>
      <c r="F33" s="333" t="str">
        <f>IF($Z33="","",INDEX(Lançamentos!$AL:$AL,$Z33))</f>
        <v/>
      </c>
      <c r="G33" s="333" t="str">
        <f t="shared" si="0"/>
        <v/>
      </c>
      <c r="H33" s="336" t="str">
        <f ca="1">IF($Z33="","",TODAY()-INDEX(Lançamentos!$C:$C,$Z33))</f>
        <v/>
      </c>
      <c r="I33" s="335" t="str">
        <f>IF($Z33="","",INDEX(Lançamentos!$Z:$Z,$Z33))</f>
        <v/>
      </c>
      <c r="J33" s="331"/>
      <c r="K33" s="320"/>
      <c r="L33" s="320"/>
      <c r="M33" s="320"/>
      <c r="N33" s="320"/>
      <c r="O33" s="261"/>
      <c r="P33" s="261"/>
      <c r="Q33" s="261"/>
      <c r="R33" s="261"/>
      <c r="S33" s="261"/>
      <c r="T33" s="261"/>
      <c r="U33" s="261"/>
      <c r="V33" s="261"/>
      <c r="Z33" t="str" cm="1">
        <f t="array" ref="Z33">IFERROR(_xlfn.AGGREGATE(15,6,ROW(Lançamentos!$J$3:$J$1001)/((Lançamentos!$AL$3:$AL$1001&lt;&gt;"Encerrado")*(Lançamentos!$S$3:$S$1001&lt;&gt;"Cancelado")*(Lançamentos!$J$3:$J$1001&lt;&gt;"")),11),"")</f>
        <v/>
      </c>
    </row>
    <row r="34" spans="1:26 16381:16384" ht="14.25" customHeight="1" x14ac:dyDescent="0.35">
      <c r="A34" s="261"/>
      <c r="B34" s="332" t="str" cm="1">
        <f t="array" ref="B34">IF($Z34="","",INDEX(Lançamentos!$B:$B,$Z34))</f>
        <v/>
      </c>
      <c r="C34" s="333" t="str">
        <f>IF($Z34="","",INDEX(Lançamentos!$F:$F,$Z34))</f>
        <v/>
      </c>
      <c r="D34" s="333" t="str">
        <f>IF($Z34="","",INDEX(Lançamentos!$G:$G,$Z34))</f>
        <v/>
      </c>
      <c r="E34" s="333" t="str">
        <f>IF($Z34="","",INDEX(Lançamentos!$J:$J,$Z34))</f>
        <v/>
      </c>
      <c r="F34" s="333" t="str">
        <f>IF($Z34="","",INDEX(Lançamentos!$AL:$AL,$Z34))</f>
        <v/>
      </c>
      <c r="G34" s="333" t="str">
        <f t="shared" si="0"/>
        <v/>
      </c>
      <c r="H34" s="336" t="str">
        <f ca="1">IF($Z34="","",TODAY()-INDEX(Lançamentos!$C:$C,$Z34))</f>
        <v/>
      </c>
      <c r="I34" s="335" t="str">
        <f>IF($Z34="","",INDEX(Lançamentos!$Z:$Z,$Z34))</f>
        <v/>
      </c>
      <c r="J34" s="331"/>
      <c r="K34" s="320"/>
      <c r="L34" s="320"/>
      <c r="M34" s="320"/>
      <c r="N34" s="320"/>
      <c r="O34" s="261"/>
      <c r="P34" s="261"/>
      <c r="Q34" s="261"/>
      <c r="R34" s="261"/>
      <c r="S34" s="261"/>
      <c r="T34" s="261"/>
      <c r="U34" s="261"/>
      <c r="V34" s="261"/>
      <c r="Z34" t="str" cm="1">
        <f t="array" ref="Z34">IFERROR(_xlfn.AGGREGATE(15,6,ROW(Lançamentos!$J$3:$J$1001)/((Lançamentos!$AL$3:$AL$1001&lt;&gt;"Encerrado")*(Lançamentos!$S$3:$S$1001&lt;&gt;"Cancelado")*(Lançamentos!$J$3:$J$1001&lt;&gt;"")),12),"")</f>
        <v/>
      </c>
    </row>
    <row r="35" spans="1:26 16381:16384" ht="14.25" customHeight="1" x14ac:dyDescent="0.35">
      <c r="A35" s="261"/>
      <c r="B35" s="332" t="str" cm="1">
        <f t="array" ref="B35">IF($Z35="","",INDEX(Lançamentos!$B:$B,$Z35))</f>
        <v/>
      </c>
      <c r="C35" s="333" t="str">
        <f>IF($Z35="","",INDEX(Lançamentos!$F:$F,$Z35))</f>
        <v/>
      </c>
      <c r="D35" s="333" t="str">
        <f>IF($Z35="","",INDEX(Lançamentos!$G:$G,$Z35))</f>
        <v/>
      </c>
      <c r="E35" s="333" t="str">
        <f>IF($Z35="","",INDEX(Lançamentos!$J:$J,$Z35))</f>
        <v/>
      </c>
      <c r="F35" s="333" t="str">
        <f>IF($Z35="","",INDEX(Lançamentos!$AL:$AL,$Z35))</f>
        <v/>
      </c>
      <c r="G35" s="333" t="str">
        <f t="shared" si="0"/>
        <v/>
      </c>
      <c r="H35" s="336" t="str">
        <f ca="1">IF($Z35="","",TODAY()-INDEX(Lançamentos!$C:$C,$Z35))</f>
        <v/>
      </c>
      <c r="I35" s="335" t="str">
        <f>IF($Z35="","",INDEX(Lançamentos!$Z:$Z,$Z35))</f>
        <v/>
      </c>
      <c r="J35" s="331"/>
      <c r="K35" s="320"/>
      <c r="L35" s="320"/>
      <c r="M35" s="320"/>
      <c r="N35" s="320"/>
      <c r="O35" s="261"/>
      <c r="P35" s="261"/>
      <c r="Q35" s="261"/>
      <c r="R35" s="261"/>
      <c r="S35" s="261"/>
      <c r="T35" s="261"/>
      <c r="U35" s="261"/>
      <c r="V35" s="261"/>
      <c r="Z35" t="str" cm="1">
        <f t="array" ref="Z35">IFERROR(_xlfn.AGGREGATE(15,6,ROW(Lançamentos!$J$3:$J$1001)/((Lançamentos!$AL$3:$AL$1001&lt;&gt;"Encerrado")*(Lançamentos!$S$3:$S$1001&lt;&gt;"Cancelado")*(Lançamentos!$J$3:$J$1001&lt;&gt;"")),13),"")</f>
        <v/>
      </c>
    </row>
    <row r="36" spans="1:26 16381:16384" ht="14.25" customHeight="1" x14ac:dyDescent="0.35">
      <c r="A36" s="261"/>
      <c r="B36" s="332" t="str" cm="1">
        <f t="array" ref="B36">IF($Z36="","",INDEX(Lançamentos!$B:$B,$Z36))</f>
        <v/>
      </c>
      <c r="C36" s="333" t="str">
        <f>IF($Z36="","",INDEX(Lançamentos!$F:$F,$Z36))</f>
        <v/>
      </c>
      <c r="D36" s="333" t="str">
        <f>IF($Z36="","",INDEX(Lançamentos!$G:$G,$Z36))</f>
        <v/>
      </c>
      <c r="E36" s="333" t="str">
        <f>IF($Z36="","",INDEX(Lançamentos!$J:$J,$Z36))</f>
        <v/>
      </c>
      <c r="F36" s="333" t="str">
        <f>IF($Z36="","",INDEX(Lançamentos!$AL:$AL,$Z36))</f>
        <v/>
      </c>
      <c r="G36" s="333" t="str">
        <f t="shared" si="0"/>
        <v/>
      </c>
      <c r="H36" s="336" t="str">
        <f ca="1">IF($Z36="","",TODAY()-INDEX(Lançamentos!$C:$C,$Z36))</f>
        <v/>
      </c>
      <c r="I36" s="335" t="str">
        <f>IF($Z36="","",INDEX(Lançamentos!$Z:$Z,$Z36))</f>
        <v/>
      </c>
      <c r="J36" s="331"/>
      <c r="K36" s="320"/>
      <c r="L36" s="320"/>
      <c r="M36" s="320"/>
      <c r="N36" s="320"/>
      <c r="O36" s="261"/>
      <c r="P36" s="261"/>
      <c r="Q36" s="261"/>
      <c r="R36" s="261"/>
      <c r="S36" s="261"/>
      <c r="T36" s="261"/>
      <c r="U36" s="261"/>
      <c r="V36" s="261"/>
      <c r="Z36" t="str" cm="1">
        <f t="array" ref="Z36">IFERROR(_xlfn.AGGREGATE(15,6,ROW(Lançamentos!$J$3:$J$1001)/((Lançamentos!$AL$3:$AL$1001&lt;&gt;"Encerrado")*(Lançamentos!$S$3:$S$1001&lt;&gt;"Cancelado")*(Lançamentos!$J$3:$J$1001&lt;&gt;"")),14),"")</f>
        <v/>
      </c>
    </row>
    <row r="37" spans="1:26 16381:16384" ht="14.25" customHeight="1" x14ac:dyDescent="0.35">
      <c r="A37" s="261"/>
      <c r="B37" s="332" t="str" cm="1">
        <f t="array" ref="B37">IF($Z37="","",INDEX(Lançamentos!$B:$B,$Z37))</f>
        <v/>
      </c>
      <c r="C37" s="333" t="str">
        <f>IF($Z37="","",INDEX(Lançamentos!$F:$F,$Z37))</f>
        <v/>
      </c>
      <c r="D37" s="333" t="str">
        <f>IF($Z37="","",INDEX(Lançamentos!$G:$G,$Z37))</f>
        <v/>
      </c>
      <c r="E37" s="333" t="str">
        <f>IF($Z37="","",INDEX(Lançamentos!$J:$J,$Z37))</f>
        <v/>
      </c>
      <c r="F37" s="333" t="str">
        <f>IF($Z37="","",INDEX(Lançamentos!$AL:$AL,$Z37))</f>
        <v/>
      </c>
      <c r="G37" s="333" t="str">
        <f t="shared" si="0"/>
        <v/>
      </c>
      <c r="H37" s="336" t="str">
        <f ca="1">IF($Z37="","",TODAY()-INDEX(Lançamentos!$C:$C,$Z37))</f>
        <v/>
      </c>
      <c r="I37" s="335" t="str">
        <f>IF($Z37="","",INDEX(Lançamentos!$Z:$Z,$Z37))</f>
        <v/>
      </c>
      <c r="J37" s="331"/>
      <c r="K37" s="320"/>
      <c r="L37" s="320"/>
      <c r="M37" s="320"/>
      <c r="N37" s="320"/>
      <c r="O37" s="261"/>
      <c r="P37" s="261"/>
      <c r="Q37" s="261"/>
      <c r="R37" s="261"/>
      <c r="S37" s="261"/>
      <c r="T37" s="261"/>
      <c r="U37" s="261"/>
      <c r="V37" s="261"/>
      <c r="Z37" t="str" cm="1">
        <f t="array" ref="Z37">IFERROR(_xlfn.AGGREGATE(15,6,ROW(Lançamentos!$J$3:$J$1001)/((Lançamentos!$AL$3:$AL$1001&lt;&gt;"Encerrado")*(Lançamentos!$S$3:$S$1001&lt;&gt;"Cancelado")*(Lançamentos!$J$3:$J$1001&lt;&gt;"")),15),"")</f>
        <v/>
      </c>
    </row>
    <row r="38" spans="1:26 16381:16384" ht="14.25" customHeight="1" x14ac:dyDescent="0.35">
      <c r="A38" s="261"/>
      <c r="B38" s="332" t="str" cm="1">
        <f t="array" ref="B38">IF($Z38="","",INDEX(Lançamentos!$B:$B,$Z38))</f>
        <v/>
      </c>
      <c r="C38" s="333" t="str">
        <f>IF($Z38="","",INDEX(Lançamentos!$F:$F,$Z38))</f>
        <v/>
      </c>
      <c r="D38" s="333" t="str">
        <f>IF($Z38="","",INDEX(Lançamentos!$G:$G,$Z38))</f>
        <v/>
      </c>
      <c r="E38" s="333" t="str">
        <f>IF($Z38="","",INDEX(Lançamentos!$J:$J,$Z38))</f>
        <v/>
      </c>
      <c r="F38" s="333" t="str">
        <f>IF($Z38="","",INDEX(Lançamentos!$AL:$AL,$Z38))</f>
        <v/>
      </c>
      <c r="G38" s="333" t="str">
        <f t="shared" si="0"/>
        <v/>
      </c>
      <c r="H38" s="336" t="str">
        <f ca="1">IF($Z38="","",TODAY()-INDEX(Lançamentos!$C:$C,$Z38))</f>
        <v/>
      </c>
      <c r="I38" s="335" t="str">
        <f>IF($Z38="","",INDEX(Lançamentos!$Z:$Z,$Z38))</f>
        <v/>
      </c>
      <c r="J38" s="331"/>
      <c r="K38" s="320"/>
      <c r="L38" s="320"/>
      <c r="M38" s="320"/>
      <c r="N38" s="320"/>
      <c r="O38" s="261"/>
      <c r="P38" s="261"/>
      <c r="Q38" s="261"/>
      <c r="R38" s="261"/>
      <c r="S38" s="261"/>
      <c r="T38" s="261"/>
      <c r="U38" s="261"/>
      <c r="V38" s="261"/>
      <c r="Z38" t="str" cm="1">
        <f t="array" ref="Z38">IFERROR(_xlfn.AGGREGATE(15,6,ROW(Lançamentos!$J$3:$J$1001)/((Lançamentos!$AL$3:$AL$1001&lt;&gt;"Encerrado")*(Lançamentos!$S$3:$S$1001&lt;&gt;"Cancelado")*(Lançamentos!$J$3:$J$1001&lt;&gt;"")),16),"")</f>
        <v/>
      </c>
    </row>
    <row r="39" spans="1:26 16381:16384" ht="14.25" customHeight="1" x14ac:dyDescent="0.35">
      <c r="A39" s="261"/>
      <c r="B39" s="332" t="str" cm="1">
        <f t="array" ref="B39">IF($Z39="","",INDEX(Lançamentos!$B:$B,$Z39))</f>
        <v/>
      </c>
      <c r="C39" s="333" t="str">
        <f>IF($Z39="","",INDEX(Lançamentos!$F:$F,$Z39))</f>
        <v/>
      </c>
      <c r="D39" s="333" t="str">
        <f>IF($Z39="","",INDEX(Lançamentos!$G:$G,$Z39))</f>
        <v/>
      </c>
      <c r="E39" s="333" t="str">
        <f>IF($Z39="","",INDEX(Lançamentos!$J:$J,$Z39))</f>
        <v/>
      </c>
      <c r="F39" s="333" t="str">
        <f>IF($Z39="","",INDEX(Lançamentos!$AL:$AL,$Z39))</f>
        <v/>
      </c>
      <c r="G39" s="333" t="str">
        <f t="shared" si="0"/>
        <v/>
      </c>
      <c r="H39" s="336" t="str">
        <f ca="1">IF($Z39="","",TODAY()-INDEX(Lançamentos!$C:$C,$Z39))</f>
        <v/>
      </c>
      <c r="I39" s="335" t="str">
        <f>IF($Z39="","",INDEX(Lançamentos!$Z:$Z,$Z39))</f>
        <v/>
      </c>
      <c r="J39" s="331"/>
      <c r="K39" s="320"/>
      <c r="L39" s="320"/>
      <c r="M39" s="320"/>
      <c r="N39" s="320"/>
      <c r="O39" s="261"/>
      <c r="P39" s="261"/>
      <c r="Q39" s="261"/>
      <c r="R39" s="261"/>
      <c r="S39" s="261"/>
      <c r="T39" s="261"/>
      <c r="U39" s="261"/>
      <c r="V39" s="261"/>
      <c r="Z39" t="str" cm="1">
        <f t="array" ref="Z39">IFERROR(_xlfn.AGGREGATE(15,6,ROW(Lançamentos!$J$3:$J$1001)/((Lançamentos!$AL$3:$AL$1001&lt;&gt;"Encerrado")*(Lançamentos!$S$3:$S$1001&lt;&gt;"Cancelado")*(Lançamentos!$J$3:$J$1001&lt;&gt;"")),17),"")</f>
        <v/>
      </c>
    </row>
    <row r="40" spans="1:26 16381:16384" ht="14.25" customHeight="1" x14ac:dyDescent="0.35">
      <c r="A40" s="261"/>
      <c r="B40" s="332" t="str" cm="1">
        <f t="array" ref="B40">IF($Z40="","",INDEX(Lançamentos!$B:$B,$Z40))</f>
        <v/>
      </c>
      <c r="C40" s="333" t="str">
        <f>IF($Z40="","",INDEX(Lançamentos!$F:$F,$Z40))</f>
        <v/>
      </c>
      <c r="D40" s="333" t="str">
        <f>IF($Z40="","",INDEX(Lançamentos!$G:$G,$Z40))</f>
        <v/>
      </c>
      <c r="E40" s="333" t="str">
        <f>IF($Z40="","",INDEX(Lançamentos!$J:$J,$Z40))</f>
        <v/>
      </c>
      <c r="F40" s="333" t="str">
        <f>IF($Z40="","",INDEX(Lançamentos!$AL:$AL,$Z40))</f>
        <v/>
      </c>
      <c r="G40" s="333" t="str">
        <f t="shared" si="0"/>
        <v/>
      </c>
      <c r="H40" s="336" t="str">
        <f ca="1">IF($Z40="","",TODAY()-INDEX(Lançamentos!$C:$C,$Z40))</f>
        <v/>
      </c>
      <c r="I40" s="335" t="str">
        <f>IF($Z40="","",INDEX(Lançamentos!$Z:$Z,$Z40))</f>
        <v/>
      </c>
      <c r="J40" s="331"/>
      <c r="K40" s="320"/>
      <c r="L40" s="320"/>
      <c r="M40" s="320"/>
      <c r="N40" s="320"/>
      <c r="O40" s="261"/>
      <c r="P40" s="261"/>
      <c r="Q40" s="261"/>
      <c r="R40" s="261"/>
      <c r="S40" s="261"/>
      <c r="T40" s="261"/>
      <c r="U40" s="261"/>
      <c r="V40" s="261"/>
      <c r="Z40" t="str" cm="1">
        <f t="array" ref="Z40">IFERROR(_xlfn.AGGREGATE(15,6,ROW(Lançamentos!$J$3:$J$1001)/((Lançamentos!$AL$3:$AL$1001&lt;&gt;"Encerrado")*(Lançamentos!$S$3:$S$1001&lt;&gt;"Cancelado")*(Lançamentos!$J$3:$J$1001&lt;&gt;"")),18),"")</f>
        <v/>
      </c>
    </row>
    <row r="41" spans="1:26 16381:16384" ht="14.25" customHeight="1" x14ac:dyDescent="0.35">
      <c r="A41" s="261"/>
      <c r="B41" s="332" t="str" cm="1">
        <f t="array" ref="B41">IF($Z41="","",INDEX(Lançamentos!$B:$B,$Z41))</f>
        <v/>
      </c>
      <c r="C41" s="333" t="str">
        <f>IF($Z41="","",INDEX(Lançamentos!$F:$F,$Z41))</f>
        <v/>
      </c>
      <c r="D41" s="333" t="str">
        <f>IF($Z41="","",INDEX(Lançamentos!$G:$G,$Z41))</f>
        <v/>
      </c>
      <c r="E41" s="333" t="str">
        <f>IF($Z41="","",INDEX(Lançamentos!$J:$J,$Z41))</f>
        <v/>
      </c>
      <c r="F41" s="333" t="str">
        <f>IF($Z41="","",INDEX(Lançamentos!$AL:$AL,$Z41))</f>
        <v/>
      </c>
      <c r="G41" s="333" t="str">
        <f t="shared" si="0"/>
        <v/>
      </c>
      <c r="H41" s="336" t="str">
        <f ca="1">IF($Z41="","",TODAY()-INDEX(Lançamentos!$C:$C,$Z41))</f>
        <v/>
      </c>
      <c r="I41" s="335" t="str">
        <f>IF($Z41="","",INDEX(Lançamentos!$Z:$Z,$Z41))</f>
        <v/>
      </c>
      <c r="J41" s="331"/>
      <c r="K41" s="320"/>
      <c r="L41" s="320"/>
      <c r="M41" s="320"/>
      <c r="N41" s="320"/>
      <c r="O41" s="261"/>
      <c r="P41" s="261"/>
      <c r="Q41" s="261"/>
      <c r="R41" s="261"/>
      <c r="S41" s="261"/>
      <c r="T41" s="261"/>
      <c r="U41" s="261"/>
      <c r="V41" s="261"/>
      <c r="Z41" t="str" cm="1">
        <f t="array" ref="Z41">IFERROR(_xlfn.AGGREGATE(15,6,ROW(Lançamentos!$J$3:$J$1001)/((Lançamentos!$AL$3:$AL$1001&lt;&gt;"Encerrado")*(Lançamentos!$S$3:$S$1001&lt;&gt;"Cancelado")*(Lançamentos!$J$3:$J$1001&lt;&gt;"")),19),"")</f>
        <v/>
      </c>
    </row>
    <row r="42" spans="1:26 16381:16384" ht="14.25" customHeight="1" x14ac:dyDescent="0.35">
      <c r="A42" s="261"/>
      <c r="B42" s="332" t="str" cm="1">
        <f t="array" ref="B42">IF($Z42="","",INDEX(Lançamentos!$B:$B,$Z42))</f>
        <v/>
      </c>
      <c r="C42" s="333" t="str">
        <f>IF($Z42="","",INDEX(Lançamentos!$F:$F,$Z42))</f>
        <v/>
      </c>
      <c r="D42" s="333" t="str">
        <f>IF($Z42="","",INDEX(Lançamentos!$G:$G,$Z42))</f>
        <v/>
      </c>
      <c r="E42" s="333" t="str">
        <f>IF($Z42="","",INDEX(Lançamentos!$J:$J,$Z42))</f>
        <v/>
      </c>
      <c r="F42" s="333" t="str">
        <f>IF($Z42="","",INDEX(Lançamentos!$AL:$AL,$Z42))</f>
        <v/>
      </c>
      <c r="G42" s="333" t="str">
        <f t="shared" si="0"/>
        <v/>
      </c>
      <c r="H42" s="336" t="str">
        <f ca="1">IF($Z42="","",TODAY()-INDEX(Lançamentos!$C:$C,$Z42))</f>
        <v/>
      </c>
      <c r="I42" s="335" t="str">
        <f>IF($Z42="","",INDEX(Lançamentos!$Z:$Z,$Z42))</f>
        <v/>
      </c>
      <c r="J42" s="331"/>
      <c r="K42" s="320"/>
      <c r="L42" s="320"/>
      <c r="M42" s="320"/>
      <c r="N42" s="320"/>
      <c r="O42" s="261"/>
      <c r="P42" s="261"/>
      <c r="Q42" s="261"/>
      <c r="R42" s="261"/>
      <c r="S42" s="261"/>
      <c r="T42" s="261"/>
      <c r="U42" s="261"/>
      <c r="V42" s="261"/>
      <c r="Z42" t="str" cm="1">
        <f t="array" ref="Z42">IFERROR(_xlfn.AGGREGATE(15,6,ROW(Lançamentos!$J$3:$J$1001)/((Lançamentos!$AL$3:$AL$1001&lt;&gt;"Encerrado")*(Lançamentos!$S$3:$S$1001&lt;&gt;"Cancelado")*(Lançamentos!$J$3:$J$1001&lt;&gt;"")),20),"")</f>
        <v/>
      </c>
    </row>
    <row r="43" spans="1:26 16381:16384" x14ac:dyDescent="0.35">
      <c r="A43" s="261"/>
      <c r="B43" s="328"/>
      <c r="C43" s="328"/>
      <c r="D43" s="328"/>
      <c r="E43" s="328"/>
      <c r="F43" s="328"/>
      <c r="G43" s="328"/>
      <c r="H43" s="328"/>
      <c r="I43" s="328"/>
      <c r="J43" s="320"/>
      <c r="K43" s="320"/>
      <c r="L43" s="320"/>
      <c r="M43" s="320"/>
      <c r="N43" s="320"/>
      <c r="O43" s="261"/>
      <c r="P43" s="261"/>
      <c r="Q43" s="261"/>
      <c r="R43" s="261"/>
      <c r="S43" s="261"/>
      <c r="T43" s="261"/>
      <c r="U43" s="261"/>
      <c r="V43" s="261"/>
      <c r="Z43" t="str" cm="1">
        <f t="array" ref="Z43">IFERROR(_xlfn.AGGREGATE(15,6,ROW(Lançamentos!$J$3:$J$1001)/((Lançamentos!$AL$3:$AL$1001&lt;&gt;"Encerrado")*(Lançamentos!$S$3:$S$1001&lt;&gt;"Cancelado")*(Lançamentos!$J$3:$J$1001&lt;&gt;"")),21),"")</f>
        <v/>
      </c>
    </row>
    <row r="44" spans="1:26 16381:16384" ht="19.5" customHeight="1" x14ac:dyDescent="0.35">
      <c r="A44" s="261"/>
      <c r="B44" s="321" t="s">
        <v>807</v>
      </c>
      <c r="C44" s="321"/>
      <c r="D44" s="321"/>
      <c r="E44" s="321"/>
      <c r="F44" s="321"/>
      <c r="G44" s="321"/>
      <c r="H44" s="321"/>
      <c r="I44" s="321"/>
      <c r="J44" s="321"/>
      <c r="K44" s="321"/>
      <c r="L44" s="321"/>
      <c r="M44" s="321"/>
      <c r="N44" s="321"/>
      <c r="O44" s="261"/>
      <c r="P44" s="261"/>
      <c r="Q44" s="261"/>
      <c r="R44" s="261"/>
      <c r="S44" s="261"/>
      <c r="T44" s="261"/>
      <c r="U44" s="261"/>
      <c r="V44" s="261"/>
      <c r="Z44" t="str" cm="1">
        <f t="array" ref="Z44">IFERROR(_xlfn.AGGREGATE(15,6,ROW(Lançamentos!$J$3:$J$1001)/((Lançamentos!$AL$3:$AL$1001&lt;&gt;"Encerrado")*(Lançamentos!$S$3:$S$1001&lt;&gt;"Cancelado")*(Lançamentos!$J$3:$J$1001&lt;&gt;"")),22),"")</f>
        <v/>
      </c>
    </row>
    <row r="45" spans="1:26 16381:16384" s="1" customFormat="1" ht="39" x14ac:dyDescent="0.35">
      <c r="A45" s="337"/>
      <c r="B45" s="353" t="s">
        <v>808</v>
      </c>
      <c r="C45" s="353" t="s">
        <v>126</v>
      </c>
      <c r="D45" s="353" t="s">
        <v>131</v>
      </c>
      <c r="E45" s="353" t="s">
        <v>97</v>
      </c>
      <c r="F45" s="353" t="s">
        <v>569</v>
      </c>
      <c r="G45" s="353" t="s">
        <v>132</v>
      </c>
      <c r="H45" s="353" t="s">
        <v>133</v>
      </c>
      <c r="I45" s="353" t="s">
        <v>134</v>
      </c>
      <c r="J45" s="353" t="s">
        <v>135</v>
      </c>
      <c r="K45" s="353" t="s">
        <v>136</v>
      </c>
      <c r="L45" s="353" t="s">
        <v>137</v>
      </c>
      <c r="M45" s="353" t="s">
        <v>138</v>
      </c>
      <c r="N45" s="353" t="s">
        <v>139</v>
      </c>
      <c r="O45" s="338"/>
      <c r="P45" s="337"/>
      <c r="Q45" s="337"/>
      <c r="R45" s="337"/>
      <c r="S45" s="337"/>
      <c r="T45" s="337"/>
      <c r="U45" s="337"/>
      <c r="V45" s="337"/>
      <c r="Z45" s="1" t="str" cm="1">
        <f t="array" ref="Z45">IFERROR(_xlfn.AGGREGATE(15,6,ROW(Lançamentos!$J$3:$J$1001)/((Lançamentos!$AL$3:$AL$1001&lt;&gt;"Encerrado")*(Lançamentos!$S$3:$S$1001&lt;&gt;"Cancelado")*(Lançamentos!$J$3:$J$1001&lt;&gt;"")),23),"")</f>
        <v/>
      </c>
      <c r="XFA45"/>
      <c r="XFB45"/>
      <c r="XFC45"/>
      <c r="XFD45"/>
    </row>
    <row r="46" spans="1:26 16381:16384" ht="14.25" customHeight="1" x14ac:dyDescent="0.35">
      <c r="A46" s="261"/>
      <c r="B46" s="333"/>
      <c r="C46" s="333"/>
      <c r="D46" s="333" t="str">
        <f>IF($C46="","",IFERROR(VLOOKUP($C46,Lançamentos!$B$3:$J$1001,5,0),""))</f>
        <v/>
      </c>
      <c r="E46" s="333" t="str">
        <f>IF($C46="","",IFERROR(VLOOKUP($C46,Lançamentos!$B$3:$J$1001,9,0),""))</f>
        <v/>
      </c>
      <c r="F46" s="333"/>
      <c r="G46" s="333"/>
      <c r="H46" s="333"/>
      <c r="I46" s="333" t="str">
        <f>IF($C46="","",IFERROR(VLOOKUP($C46,Lançamentos!$B$3:$Z$1001,25,0),""))</f>
        <v/>
      </c>
      <c r="J46" s="333"/>
      <c r="K46" s="333"/>
      <c r="L46" s="339"/>
      <c r="M46" s="340"/>
      <c r="N46" s="325" t="str">
        <f>IF($C46="","",COUNTIF($C$46:$C$84,$C46))</f>
        <v/>
      </c>
      <c r="O46" s="341"/>
      <c r="P46" s="261"/>
      <c r="Q46" s="261"/>
      <c r="R46" s="261"/>
      <c r="S46" s="261"/>
      <c r="T46" s="261"/>
      <c r="U46" s="261"/>
      <c r="V46" s="261"/>
      <c r="Z46" t="str" cm="1">
        <f t="array" ref="Z46">IFERROR(_xlfn.AGGREGATE(15,6,ROW(Lançamentos!$J$3:$J$1001)/((Lançamentos!$AL$3:$AL$1001&lt;&gt;"Encerrado")*(Lançamentos!$S$3:$S$1001&lt;&gt;"Cancelado")*(Lançamentos!$J$3:$J$1001&lt;&gt;"")),24),"")</f>
        <v/>
      </c>
    </row>
    <row r="47" spans="1:26 16381:16384" ht="14.25" customHeight="1" x14ac:dyDescent="0.35">
      <c r="A47" s="261"/>
      <c r="B47" s="333"/>
      <c r="C47" s="333"/>
      <c r="D47" s="333" t="str">
        <f>IF($C47="","",IFERROR(VLOOKUP($C47,Lançamentos!$B$3:$J$1001,5,0),""))</f>
        <v/>
      </c>
      <c r="E47" s="333" t="str">
        <f>IF($C47="","",IFERROR(VLOOKUP($C47,Lançamentos!$B$3:$J$1001,9,0),""))</f>
        <v/>
      </c>
      <c r="F47" s="333"/>
      <c r="G47" s="333"/>
      <c r="H47" s="333"/>
      <c r="I47" s="333" t="str">
        <f>IF($C47="","",IFERROR(VLOOKUP($C47,Lançamentos!$B$3:$Z$1001,25,0),""))</f>
        <v/>
      </c>
      <c r="J47" s="333"/>
      <c r="K47" s="333"/>
      <c r="L47" s="339"/>
      <c r="M47" s="340"/>
      <c r="N47" s="325" t="str">
        <f>IF($C47="","",COUNTIF($C$46:$C$84,$C47))</f>
        <v/>
      </c>
      <c r="O47" s="341"/>
      <c r="P47" s="261"/>
      <c r="Q47" s="261"/>
      <c r="R47" s="261"/>
      <c r="S47" s="261"/>
      <c r="T47" s="261"/>
      <c r="U47" s="261"/>
      <c r="V47" s="261"/>
      <c r="Z47" t="str" cm="1">
        <f t="array" ref="Z47">IFERROR(_xlfn.AGGREGATE(15,6,ROW(Lançamentos!$J$3:$J$1001)/((Lançamentos!$AL$3:$AL$1001&lt;&gt;"Encerrado")*(Lançamentos!$S$3:$S$1001&lt;&gt;"Cancelado")*(Lançamentos!$J$3:$J$1001&lt;&gt;"")),25),"")</f>
        <v/>
      </c>
    </row>
    <row r="48" spans="1:26 16381:16384" ht="14.25" customHeight="1" x14ac:dyDescent="0.35">
      <c r="A48" s="261"/>
      <c r="B48" s="333"/>
      <c r="C48" s="333"/>
      <c r="D48" s="333" t="str">
        <f>IF($C48="","",IFERROR(VLOOKUP($C48,Lançamentos!$B$3:$J$1001,5,0),""))</f>
        <v/>
      </c>
      <c r="E48" s="333" t="str">
        <f>IF($C48="","",IFERROR(VLOOKUP($C48,Lançamentos!$B$3:$J$1001,9,0),""))</f>
        <v/>
      </c>
      <c r="F48" s="333"/>
      <c r="G48" s="333"/>
      <c r="H48" s="333"/>
      <c r="I48" s="333" t="str">
        <f>IF($C48="","",IFERROR(VLOOKUP($C48,Lançamentos!$B$3:$Z$1001,25,0),""))</f>
        <v/>
      </c>
      <c r="J48" s="333"/>
      <c r="K48" s="333"/>
      <c r="L48" s="339"/>
      <c r="M48" s="340"/>
      <c r="N48" s="325" t="str">
        <f>IF($C48="","",COUNTIF($C$46:$C$84,$C48))</f>
        <v/>
      </c>
      <c r="O48" s="341"/>
      <c r="P48" s="261"/>
      <c r="Q48" s="261"/>
      <c r="R48" s="261"/>
      <c r="S48" s="261"/>
      <c r="T48" s="261"/>
      <c r="U48" s="261"/>
      <c r="V48" s="261"/>
      <c r="Z48" t="str" cm="1">
        <f t="array" ref="Z48">IFERROR(_xlfn.AGGREGATE(15,6,ROW(Lançamentos!$J$3:$J$1001)/((Lançamentos!$AL$3:$AL$1001&lt;&gt;"Encerrado")*(Lançamentos!$S$3:$S$1001&lt;&gt;"Cancelado")*(Lançamentos!$J$3:$J$1001&lt;&gt;"")),26),"")</f>
        <v/>
      </c>
    </row>
    <row r="49" spans="1:26" ht="14.25" customHeight="1" x14ac:dyDescent="0.35">
      <c r="A49" s="261"/>
      <c r="B49" s="333"/>
      <c r="C49" s="333"/>
      <c r="D49" s="333" t="str">
        <f>IF($C49="","",IFERROR(VLOOKUP($C49,Lançamentos!$B$3:$J$1001,5,0),""))</f>
        <v/>
      </c>
      <c r="E49" s="333" t="str">
        <f>IF($C49="","",IFERROR(VLOOKUP($C49,Lançamentos!$B$3:$J$1001,9,0),""))</f>
        <v/>
      </c>
      <c r="F49" s="333"/>
      <c r="G49" s="333"/>
      <c r="H49" s="333"/>
      <c r="I49" s="333" t="str">
        <f>IF($C49="","",IFERROR(VLOOKUP($C49,Lançamentos!$B$3:$Z$1001,25,0),""))</f>
        <v/>
      </c>
      <c r="J49" s="333"/>
      <c r="K49" s="333"/>
      <c r="L49" s="339"/>
      <c r="M49" s="340"/>
      <c r="N49" s="325" t="str">
        <f t="shared" ref="N49:N84" si="1">IF($C49="","",COUNTIF($C$46:$C$84,$C49))</f>
        <v/>
      </c>
      <c r="O49" s="341"/>
      <c r="P49" s="261"/>
      <c r="Q49" s="261"/>
      <c r="R49" s="261"/>
      <c r="S49" s="261"/>
      <c r="T49" s="261"/>
      <c r="U49" s="261"/>
      <c r="V49" s="261"/>
      <c r="Z49" t="str" cm="1">
        <f t="array" ref="Z49">IFERROR(_xlfn.AGGREGATE(15,6,ROW(Lançamentos!$J$3:$J$1001)/((Lançamentos!$AL$3:$AL$1001&lt;&gt;"Encerrado")*(Lançamentos!$S$3:$S$1001&lt;&gt;"Cancelado")*(Lançamentos!$J$3:$J$1001&lt;&gt;"")),27),"")</f>
        <v/>
      </c>
    </row>
    <row r="50" spans="1:26" ht="14.25" customHeight="1" x14ac:dyDescent="0.35">
      <c r="A50" s="261"/>
      <c r="B50" s="333"/>
      <c r="C50" s="333"/>
      <c r="D50" s="333" t="str">
        <f>IF($C50="","",IFERROR(VLOOKUP($C50,Lançamentos!$B$3:$J$1001,5,0),""))</f>
        <v/>
      </c>
      <c r="E50" s="333" t="str">
        <f>IF($C50="","",IFERROR(VLOOKUP($C50,Lançamentos!$B$3:$J$1001,9,0),""))</f>
        <v/>
      </c>
      <c r="F50" s="333"/>
      <c r="G50" s="333"/>
      <c r="H50" s="333"/>
      <c r="I50" s="333" t="str">
        <f>IF($C50="","",IFERROR(VLOOKUP($C50,Lançamentos!$B$3:$Z$1001,25,0),""))</f>
        <v/>
      </c>
      <c r="J50" s="333"/>
      <c r="K50" s="333"/>
      <c r="L50" s="339"/>
      <c r="M50" s="340"/>
      <c r="N50" s="325" t="str">
        <f t="shared" si="1"/>
        <v/>
      </c>
      <c r="O50" s="341"/>
      <c r="P50" s="261"/>
      <c r="Q50" s="261"/>
      <c r="R50" s="261"/>
      <c r="S50" s="261"/>
      <c r="T50" s="261"/>
      <c r="U50" s="261"/>
      <c r="V50" s="261"/>
      <c r="Z50" t="str" cm="1">
        <f t="array" ref="Z50">IFERROR(_xlfn.AGGREGATE(15,6,ROW(Lançamentos!$J$3:$J$1001)/((Lançamentos!$AL$3:$AL$1001&lt;&gt;"Encerrado")*(Lançamentos!$S$3:$S$1001&lt;&gt;"Cancelado")*(Lançamentos!$J$3:$J$1001&lt;&gt;"")),28),"")</f>
        <v/>
      </c>
    </row>
    <row r="51" spans="1:26" ht="14.25" customHeight="1" x14ac:dyDescent="0.35">
      <c r="A51" s="261"/>
      <c r="B51" s="333"/>
      <c r="C51" s="333"/>
      <c r="D51" s="333" t="str">
        <f>IF($C51="","",IFERROR(VLOOKUP($C51,Lançamentos!$B$3:$J$1001,5,0),""))</f>
        <v/>
      </c>
      <c r="E51" s="333" t="str">
        <f>IF($C51="","",IFERROR(VLOOKUP($C51,Lançamentos!$B$3:$J$1001,9,0),""))</f>
        <v/>
      </c>
      <c r="F51" s="333"/>
      <c r="G51" s="333"/>
      <c r="H51" s="333"/>
      <c r="I51" s="333" t="str">
        <f>IF($C51="","",IFERROR(VLOOKUP($C51,Lançamentos!$B$3:$Z$1001,25,0),""))</f>
        <v/>
      </c>
      <c r="J51" s="333"/>
      <c r="K51" s="333"/>
      <c r="L51" s="339"/>
      <c r="M51" s="340"/>
      <c r="N51" s="325" t="str">
        <f t="shared" si="1"/>
        <v/>
      </c>
      <c r="O51" s="341"/>
      <c r="P51" s="261"/>
      <c r="Q51" s="261"/>
      <c r="R51" s="261"/>
      <c r="S51" s="261"/>
      <c r="T51" s="261"/>
      <c r="U51" s="261"/>
      <c r="V51" s="261"/>
      <c r="Z51" t="str" cm="1">
        <f t="array" ref="Z51">IFERROR(_xlfn.AGGREGATE(15,6,ROW(Lançamentos!$J$3:$J$1001)/((Lançamentos!$AL$3:$AL$1001&lt;&gt;"Encerrado")*(Lançamentos!$S$3:$S$1001&lt;&gt;"Cancelado")*(Lançamentos!$J$3:$J$1001&lt;&gt;"")),29),"")</f>
        <v/>
      </c>
    </row>
    <row r="52" spans="1:26" ht="14.25" customHeight="1" x14ac:dyDescent="0.35">
      <c r="A52" s="261"/>
      <c r="B52" s="333"/>
      <c r="C52" s="333"/>
      <c r="D52" s="333" t="str">
        <f>IF($C52="","",IFERROR(VLOOKUP($C52,Lançamentos!$B$3:$J$1001,5,0),""))</f>
        <v/>
      </c>
      <c r="E52" s="333" t="str">
        <f>IF($C52="","",IFERROR(VLOOKUP($C52,Lançamentos!$B$3:$J$1001,9,0),""))</f>
        <v/>
      </c>
      <c r="F52" s="333"/>
      <c r="G52" s="333"/>
      <c r="H52" s="333"/>
      <c r="I52" s="333" t="str">
        <f>IF($C52="","",IFERROR(VLOOKUP($C52,Lançamentos!$B$3:$Z$1001,25,0),""))</f>
        <v/>
      </c>
      <c r="J52" s="333"/>
      <c r="K52" s="333"/>
      <c r="L52" s="339"/>
      <c r="M52" s="340"/>
      <c r="N52" s="325" t="str">
        <f t="shared" si="1"/>
        <v/>
      </c>
      <c r="O52" s="341"/>
      <c r="P52" s="261"/>
      <c r="Q52" s="261"/>
      <c r="R52" s="261"/>
      <c r="S52" s="261"/>
      <c r="T52" s="261"/>
      <c r="U52" s="261"/>
      <c r="V52" s="261"/>
      <c r="Z52" t="str" cm="1">
        <f t="array" ref="Z52">IFERROR(_xlfn.AGGREGATE(15,6,ROW(Lançamentos!$J$3:$J$1001)/((Lançamentos!$AL$3:$AL$1001&lt;&gt;"Encerrado")*(Lançamentos!$S$3:$S$1001&lt;&gt;"Cancelado")*(Lançamentos!$J$3:$J$1001&lt;&gt;"")),30),"")</f>
        <v/>
      </c>
    </row>
    <row r="53" spans="1:26" ht="14.25" customHeight="1" x14ac:dyDescent="0.35">
      <c r="A53" s="261"/>
      <c r="B53" s="333"/>
      <c r="C53" s="333"/>
      <c r="D53" s="333" t="str">
        <f>IF($C53="","",IFERROR(VLOOKUP($C53,Lançamentos!$B$3:$J$1001,5,0),""))</f>
        <v/>
      </c>
      <c r="E53" s="333" t="str">
        <f>IF($C53="","",IFERROR(VLOOKUP($C53,Lançamentos!$B$3:$J$1001,9,0),""))</f>
        <v/>
      </c>
      <c r="F53" s="333"/>
      <c r="G53" s="333"/>
      <c r="H53" s="333"/>
      <c r="I53" s="333" t="str">
        <f>IF($C53="","",IFERROR(VLOOKUP($C53,Lançamentos!$B$3:$Z$1001,25,0),""))</f>
        <v/>
      </c>
      <c r="J53" s="333"/>
      <c r="K53" s="333"/>
      <c r="L53" s="339"/>
      <c r="M53" s="340"/>
      <c r="N53" s="325" t="str">
        <f t="shared" si="1"/>
        <v/>
      </c>
      <c r="O53" s="341"/>
      <c r="P53" s="261"/>
      <c r="Q53" s="261"/>
      <c r="R53" s="261"/>
      <c r="S53" s="261"/>
      <c r="T53" s="261"/>
      <c r="U53" s="261"/>
      <c r="V53" s="261"/>
      <c r="Z53" t="str" cm="1">
        <f t="array" ref="Z53">IFERROR(_xlfn.AGGREGATE(15,6,ROW(Lançamentos!$J$3:$J$1001)/((Lançamentos!$AL$3:$AL$1001&lt;&gt;"Encerrado")*(Lançamentos!$S$3:$S$1001&lt;&gt;"Cancelado")*(Lançamentos!$J$3:$J$1001&lt;&gt;"")),31),"")</f>
        <v/>
      </c>
    </row>
    <row r="54" spans="1:26" ht="14.25" customHeight="1" x14ac:dyDescent="0.35">
      <c r="A54" s="261"/>
      <c r="B54" s="333"/>
      <c r="C54" s="333"/>
      <c r="D54" s="333" t="str">
        <f>IF($C54="","",IFERROR(VLOOKUP($C54,Lançamentos!$B$3:$J$1001,5,0),""))</f>
        <v/>
      </c>
      <c r="E54" s="333" t="str">
        <f>IF($C54="","",IFERROR(VLOOKUP($C54,Lançamentos!$B$3:$J$1001,9,0),""))</f>
        <v/>
      </c>
      <c r="F54" s="333"/>
      <c r="G54" s="333"/>
      <c r="H54" s="333"/>
      <c r="I54" s="333" t="str">
        <f>IF($C54="","",IFERROR(VLOOKUP($C54,Lançamentos!$B$3:$Z$1001,25,0),""))</f>
        <v/>
      </c>
      <c r="J54" s="333"/>
      <c r="K54" s="333"/>
      <c r="L54" s="339"/>
      <c r="M54" s="340"/>
      <c r="N54" s="325" t="str">
        <f t="shared" si="1"/>
        <v/>
      </c>
      <c r="O54" s="341"/>
      <c r="P54" s="261"/>
      <c r="Q54" s="261"/>
      <c r="R54" s="261"/>
      <c r="S54" s="261"/>
      <c r="T54" s="261"/>
      <c r="U54" s="261"/>
      <c r="V54" s="261"/>
      <c r="Z54" t="str" cm="1">
        <f t="array" ref="Z54">IFERROR(_xlfn.AGGREGATE(15,6,ROW(Lançamentos!$J$3:$J$1001)/((Lançamentos!$AL$3:$AL$1001&lt;&gt;"Encerrado")*(Lançamentos!$S$3:$S$1001&lt;&gt;"Cancelado")*(Lançamentos!$J$3:$J$1001&lt;&gt;"")),32),"")</f>
        <v/>
      </c>
    </row>
    <row r="55" spans="1:26" ht="14.25" customHeight="1" x14ac:dyDescent="0.35">
      <c r="A55" s="261"/>
      <c r="B55" s="333"/>
      <c r="C55" s="333"/>
      <c r="D55" s="333" t="str">
        <f>IF($C55="","",IFERROR(VLOOKUP($C55,Lançamentos!$B$3:$J$1001,5,0),""))</f>
        <v/>
      </c>
      <c r="E55" s="333" t="str">
        <f>IF($C55="","",IFERROR(VLOOKUP($C55,Lançamentos!$B$3:$J$1001,9,0),""))</f>
        <v/>
      </c>
      <c r="F55" s="333"/>
      <c r="G55" s="333"/>
      <c r="H55" s="333"/>
      <c r="I55" s="333" t="str">
        <f>IF($C55="","",IFERROR(VLOOKUP($C55,Lançamentos!$B$3:$Z$1001,25,0),""))</f>
        <v/>
      </c>
      <c r="J55" s="333"/>
      <c r="K55" s="333"/>
      <c r="L55" s="339"/>
      <c r="M55" s="340"/>
      <c r="N55" s="325" t="str">
        <f t="shared" si="1"/>
        <v/>
      </c>
      <c r="O55" s="341"/>
      <c r="P55" s="261"/>
      <c r="Q55" s="261"/>
      <c r="R55" s="261"/>
      <c r="S55" s="261"/>
      <c r="T55" s="261"/>
      <c r="U55" s="261"/>
      <c r="V55" s="261"/>
      <c r="Z55" t="str" cm="1">
        <f t="array" ref="Z55">IFERROR(_xlfn.AGGREGATE(15,6,ROW(Lançamentos!$J$3:$J$1001)/((Lançamentos!$AL$3:$AL$1001&lt;&gt;"Encerrado")*(Lançamentos!$S$3:$S$1001&lt;&gt;"Cancelado")*(Lançamentos!$J$3:$J$1001&lt;&gt;"")),33),"")</f>
        <v/>
      </c>
    </row>
    <row r="56" spans="1:26" ht="14.25" customHeight="1" x14ac:dyDescent="0.35">
      <c r="A56" s="261"/>
      <c r="B56" s="333"/>
      <c r="C56" s="333"/>
      <c r="D56" s="333" t="str">
        <f>IF($C56="","",IFERROR(VLOOKUP($C56,Lançamentos!$B$3:$J$1001,5,0),""))</f>
        <v/>
      </c>
      <c r="E56" s="333" t="str">
        <f>IF($C56="","",IFERROR(VLOOKUP($C56,Lançamentos!$B$3:$J$1001,9,0),""))</f>
        <v/>
      </c>
      <c r="F56" s="333"/>
      <c r="G56" s="333"/>
      <c r="H56" s="333"/>
      <c r="I56" s="333" t="str">
        <f>IF($C56="","",IFERROR(VLOOKUP($C56,Lançamentos!$B$3:$Z$1001,25,0),""))</f>
        <v/>
      </c>
      <c r="J56" s="333"/>
      <c r="K56" s="333"/>
      <c r="L56" s="339"/>
      <c r="M56" s="340"/>
      <c r="N56" s="325" t="str">
        <f t="shared" si="1"/>
        <v/>
      </c>
      <c r="O56" s="341"/>
      <c r="P56" s="261"/>
      <c r="Q56" s="261"/>
      <c r="R56" s="261"/>
      <c r="S56" s="261"/>
      <c r="T56" s="261"/>
      <c r="U56" s="261"/>
      <c r="V56" s="261"/>
      <c r="Z56" t="str" cm="1">
        <f t="array" ref="Z56">IFERROR(_xlfn.AGGREGATE(15,6,ROW(Lançamentos!$J$3:$J$1001)/((Lançamentos!$AL$3:$AL$1001&lt;&gt;"Encerrado")*(Lançamentos!$S$3:$S$1001&lt;&gt;"Cancelado")*(Lançamentos!$J$3:$J$1001&lt;&gt;"")),34),"")</f>
        <v/>
      </c>
    </row>
    <row r="57" spans="1:26" ht="14.25" customHeight="1" x14ac:dyDescent="0.35">
      <c r="A57" s="261"/>
      <c r="B57" s="333"/>
      <c r="C57" s="333"/>
      <c r="D57" s="333" t="str">
        <f>IF($C57="","",IFERROR(VLOOKUP($C57,Lançamentos!$B$3:$J$1001,5,0),""))</f>
        <v/>
      </c>
      <c r="E57" s="333" t="str">
        <f>IF($C57="","",IFERROR(VLOOKUP($C57,Lançamentos!$B$3:$J$1001,9,0),""))</f>
        <v/>
      </c>
      <c r="F57" s="333"/>
      <c r="G57" s="333"/>
      <c r="H57" s="333"/>
      <c r="I57" s="333" t="str">
        <f>IF($C57="","",IFERROR(VLOOKUP($C57,Lançamentos!$B$3:$Z$1001,25,0),""))</f>
        <v/>
      </c>
      <c r="J57" s="333"/>
      <c r="K57" s="333"/>
      <c r="L57" s="339"/>
      <c r="M57" s="340"/>
      <c r="N57" s="325" t="str">
        <f t="shared" si="1"/>
        <v/>
      </c>
      <c r="O57" s="341"/>
      <c r="P57" s="261"/>
      <c r="Q57" s="261"/>
      <c r="R57" s="261"/>
      <c r="S57" s="261"/>
      <c r="T57" s="261"/>
      <c r="U57" s="261"/>
      <c r="V57" s="261"/>
      <c r="Z57" t="str" cm="1">
        <f t="array" ref="Z57">IFERROR(_xlfn.AGGREGATE(15,6,ROW(Lançamentos!$J$3:$J$1001)/((Lançamentos!$AL$3:$AL$1001&lt;&gt;"Encerrado")*(Lançamentos!$S$3:$S$1001&lt;&gt;"Cancelado")*(Lançamentos!$J$3:$J$1001&lt;&gt;"")),35),"")</f>
        <v/>
      </c>
    </row>
    <row r="58" spans="1:26" ht="14.25" customHeight="1" x14ac:dyDescent="0.35">
      <c r="A58" s="261"/>
      <c r="B58" s="333"/>
      <c r="C58" s="333"/>
      <c r="D58" s="333" t="str">
        <f>IF($C58="","",IFERROR(VLOOKUP($C58,Lançamentos!$B$3:$J$1001,5,0),""))</f>
        <v/>
      </c>
      <c r="E58" s="333" t="str">
        <f>IF($C58="","",IFERROR(VLOOKUP($C58,Lançamentos!$B$3:$J$1001,9,0),""))</f>
        <v/>
      </c>
      <c r="F58" s="333"/>
      <c r="G58" s="333"/>
      <c r="H58" s="333"/>
      <c r="I58" s="333" t="str">
        <f>IF($C58="","",IFERROR(VLOOKUP($C58,Lançamentos!$B$3:$Z$1001,25,0),""))</f>
        <v/>
      </c>
      <c r="J58" s="333"/>
      <c r="K58" s="333"/>
      <c r="L58" s="339"/>
      <c r="M58" s="340"/>
      <c r="N58" s="325" t="str">
        <f t="shared" si="1"/>
        <v/>
      </c>
      <c r="O58" s="341"/>
      <c r="P58" s="261"/>
      <c r="Q58" s="261"/>
      <c r="R58" s="261"/>
      <c r="S58" s="261"/>
      <c r="T58" s="261"/>
      <c r="U58" s="261"/>
      <c r="V58" s="261"/>
      <c r="Z58" t="str" cm="1">
        <f t="array" ref="Z58">IFERROR(_xlfn.AGGREGATE(15,6,ROW(Lançamentos!$J$3:$J$1001)/((Lançamentos!$AL$3:$AL$1001&lt;&gt;"Encerrado")*(Lançamentos!$S$3:$S$1001&lt;&gt;"Cancelado")*(Lançamentos!$J$3:$J$1001&lt;&gt;"")),36),"")</f>
        <v/>
      </c>
    </row>
    <row r="59" spans="1:26" ht="14.25" customHeight="1" x14ac:dyDescent="0.35">
      <c r="A59" s="261"/>
      <c r="B59" s="333"/>
      <c r="C59" s="333"/>
      <c r="D59" s="333" t="str">
        <f>IF($C59="","",IFERROR(VLOOKUP($C59,Lançamentos!$B$3:$J$1001,5,0),""))</f>
        <v/>
      </c>
      <c r="E59" s="333" t="str">
        <f>IF($C59="","",IFERROR(VLOOKUP($C59,Lançamentos!$B$3:$J$1001,9,0),""))</f>
        <v/>
      </c>
      <c r="F59" s="333"/>
      <c r="G59" s="333"/>
      <c r="H59" s="333"/>
      <c r="I59" s="333" t="str">
        <f>IF($C59="","",IFERROR(VLOOKUP($C59,Lançamentos!$B$3:$Z$1001,25,0),""))</f>
        <v/>
      </c>
      <c r="J59" s="333"/>
      <c r="K59" s="333"/>
      <c r="L59" s="339"/>
      <c r="M59" s="340"/>
      <c r="N59" s="325" t="str">
        <f t="shared" si="1"/>
        <v/>
      </c>
      <c r="O59" s="341"/>
      <c r="P59" s="261"/>
      <c r="Q59" s="261"/>
      <c r="R59" s="261"/>
      <c r="S59" s="261"/>
      <c r="T59" s="261"/>
      <c r="U59" s="261"/>
      <c r="V59" s="261"/>
      <c r="Z59" t="str" cm="1">
        <f t="array" ref="Z59">IFERROR(_xlfn.AGGREGATE(15,6,ROW(Lançamentos!$J$3:$J$1001)/((Lançamentos!$AL$3:$AL$1001&lt;&gt;"Encerrado")*(Lançamentos!$S$3:$S$1001&lt;&gt;"Cancelado")*(Lançamentos!$J$3:$J$1001&lt;&gt;"")),37),"")</f>
        <v/>
      </c>
    </row>
    <row r="60" spans="1:26" ht="14.25" customHeight="1" x14ac:dyDescent="0.35">
      <c r="A60" s="261"/>
      <c r="B60" s="333"/>
      <c r="C60" s="333"/>
      <c r="D60" s="333" t="str">
        <f>IF($C60="","",IFERROR(VLOOKUP($C60,Lançamentos!$B$3:$J$1001,5,0),""))</f>
        <v/>
      </c>
      <c r="E60" s="333" t="str">
        <f>IF($C60="","",IFERROR(VLOOKUP($C60,Lançamentos!$B$3:$J$1001,9,0),""))</f>
        <v/>
      </c>
      <c r="F60" s="333"/>
      <c r="G60" s="333"/>
      <c r="H60" s="333"/>
      <c r="I60" s="333" t="str">
        <f>IF($C60="","",IFERROR(VLOOKUP($C60,Lançamentos!$B$3:$Z$1001,25,0),""))</f>
        <v/>
      </c>
      <c r="J60" s="333"/>
      <c r="K60" s="333"/>
      <c r="L60" s="339"/>
      <c r="M60" s="340"/>
      <c r="N60" s="325" t="str">
        <f t="shared" si="1"/>
        <v/>
      </c>
      <c r="O60" s="341"/>
      <c r="P60" s="261"/>
      <c r="Q60" s="261"/>
      <c r="R60" s="261"/>
      <c r="S60" s="261"/>
      <c r="T60" s="261"/>
      <c r="U60" s="261"/>
      <c r="V60" s="261"/>
      <c r="Z60" t="str" cm="1">
        <f t="array" ref="Z60">IFERROR(_xlfn.AGGREGATE(15,6,ROW(Lançamentos!$J$3:$J$1001)/((Lançamentos!$AL$3:$AL$1001&lt;&gt;"Encerrado")*(Lançamentos!$S$3:$S$1001&lt;&gt;"Cancelado")*(Lançamentos!$J$3:$J$1001&lt;&gt;"")),38),"")</f>
        <v/>
      </c>
    </row>
    <row r="61" spans="1:26" ht="14.25" customHeight="1" x14ac:dyDescent="0.35">
      <c r="A61" s="261"/>
      <c r="B61" s="333"/>
      <c r="C61" s="333"/>
      <c r="D61" s="333" t="str">
        <f>IF($C61="","",IFERROR(VLOOKUP($C61,Lançamentos!$B$3:$J$1001,5,0),""))</f>
        <v/>
      </c>
      <c r="E61" s="333" t="str">
        <f>IF($C61="","",IFERROR(VLOOKUP($C61,Lançamentos!$B$3:$J$1001,9,0),""))</f>
        <v/>
      </c>
      <c r="F61" s="333"/>
      <c r="G61" s="333"/>
      <c r="H61" s="333"/>
      <c r="I61" s="333" t="str">
        <f>IF($C61="","",IFERROR(VLOOKUP($C61,Lançamentos!$B$3:$Z$1001,25,0),""))</f>
        <v/>
      </c>
      <c r="J61" s="333"/>
      <c r="K61" s="333"/>
      <c r="L61" s="339"/>
      <c r="M61" s="340"/>
      <c r="N61" s="325" t="str">
        <f t="shared" si="1"/>
        <v/>
      </c>
      <c r="O61" s="341"/>
      <c r="P61" s="261"/>
      <c r="Q61" s="261"/>
      <c r="R61" s="261"/>
      <c r="S61" s="261"/>
      <c r="T61" s="261"/>
      <c r="U61" s="261"/>
      <c r="V61" s="261"/>
      <c r="Z61" t="str" cm="1">
        <f t="array" ref="Z61">IFERROR(_xlfn.AGGREGATE(15,6,ROW(Lançamentos!$J$3:$J$1001)/((Lançamentos!$AL$3:$AL$1001&lt;&gt;"Encerrado")*(Lançamentos!$S$3:$S$1001&lt;&gt;"Cancelado")*(Lançamentos!$J$3:$J$1001&lt;&gt;"")),39),"")</f>
        <v/>
      </c>
    </row>
    <row r="62" spans="1:26" ht="14.25" customHeight="1" x14ac:dyDescent="0.35">
      <c r="A62" s="261"/>
      <c r="B62" s="333"/>
      <c r="C62" s="333"/>
      <c r="D62" s="333" t="str">
        <f>IF($C62="","",IFERROR(VLOOKUP($C62,Lançamentos!$B$3:$J$1001,5,0),""))</f>
        <v/>
      </c>
      <c r="E62" s="333" t="str">
        <f>IF($C62="","",IFERROR(VLOOKUP($C62,Lançamentos!$B$3:$J$1001,9,0),""))</f>
        <v/>
      </c>
      <c r="F62" s="333"/>
      <c r="G62" s="333"/>
      <c r="H62" s="333"/>
      <c r="I62" s="333" t="str">
        <f>IF($C62="","",IFERROR(VLOOKUP($C62,Lançamentos!$B$3:$Z$1001,25,0),""))</f>
        <v/>
      </c>
      <c r="J62" s="333"/>
      <c r="K62" s="333"/>
      <c r="L62" s="339"/>
      <c r="M62" s="340"/>
      <c r="N62" s="325" t="str">
        <f t="shared" si="1"/>
        <v/>
      </c>
      <c r="O62" s="341"/>
      <c r="P62" s="261"/>
      <c r="Q62" s="261"/>
      <c r="R62" s="261"/>
      <c r="S62" s="261"/>
      <c r="T62" s="261"/>
      <c r="U62" s="261"/>
      <c r="V62" s="261"/>
      <c r="Z62" t="str" cm="1">
        <f t="array" ref="Z62">IFERROR(_xlfn.AGGREGATE(15,6,ROW(Lançamentos!$J$3:$J$1001)/((Lançamentos!$AL$3:$AL$1001&lt;&gt;"Encerrado")*(Lançamentos!$S$3:$S$1001&lt;&gt;"Cancelado")*(Lançamentos!$J$3:$J$1001&lt;&gt;"")),40),"")</f>
        <v/>
      </c>
    </row>
    <row r="63" spans="1:26" ht="14.25" customHeight="1" x14ac:dyDescent="0.35">
      <c r="A63" s="261"/>
      <c r="B63" s="333"/>
      <c r="C63" s="333"/>
      <c r="D63" s="333" t="str">
        <f>IF($C63="","",IFERROR(VLOOKUP($C63,Lançamentos!$B$3:$J$1001,5,0),""))</f>
        <v/>
      </c>
      <c r="E63" s="333" t="str">
        <f>IF($C63="","",IFERROR(VLOOKUP($C63,Lançamentos!$B$3:$J$1001,9,0),""))</f>
        <v/>
      </c>
      <c r="F63" s="333"/>
      <c r="G63" s="333"/>
      <c r="H63" s="333"/>
      <c r="I63" s="333" t="str">
        <f>IF($C63="","",IFERROR(VLOOKUP($C63,Lançamentos!$B$3:$Z$1001,25,0),""))</f>
        <v/>
      </c>
      <c r="J63" s="333"/>
      <c r="K63" s="333"/>
      <c r="L63" s="339"/>
      <c r="M63" s="340"/>
      <c r="N63" s="325" t="str">
        <f t="shared" si="1"/>
        <v/>
      </c>
      <c r="O63" s="341"/>
      <c r="P63" s="261"/>
      <c r="Q63" s="261"/>
      <c r="R63" s="261"/>
      <c r="S63" s="261"/>
      <c r="T63" s="261"/>
      <c r="U63" s="261"/>
      <c r="V63" s="261"/>
      <c r="Z63" t="str" cm="1">
        <f t="array" ref="Z63">IFERROR(_xlfn.AGGREGATE(15,6,ROW(Lançamentos!$J$3:$J$1001)/((Lançamentos!$AL$3:$AL$1001&lt;&gt;"Encerrado")*(Lançamentos!$S$3:$S$1001&lt;&gt;"Cancelado")*(Lançamentos!$J$3:$J$1001&lt;&gt;"")),41),"")</f>
        <v/>
      </c>
    </row>
    <row r="64" spans="1:26" ht="14.25" customHeight="1" x14ac:dyDescent="0.35">
      <c r="A64" s="261"/>
      <c r="B64" s="333"/>
      <c r="C64" s="333"/>
      <c r="D64" s="333" t="str">
        <f>IF($C64="","",IFERROR(VLOOKUP($C64,Lançamentos!$B$3:$J$1001,5,0),""))</f>
        <v/>
      </c>
      <c r="E64" s="333" t="str">
        <f>IF($C64="","",IFERROR(VLOOKUP($C64,Lançamentos!$B$3:$J$1001,9,0),""))</f>
        <v/>
      </c>
      <c r="F64" s="333"/>
      <c r="G64" s="333"/>
      <c r="H64" s="333"/>
      <c r="I64" s="333" t="str">
        <f>IF($C64="","",IFERROR(VLOOKUP($C64,Lançamentos!$B$3:$Z$1001,25,0),""))</f>
        <v/>
      </c>
      <c r="J64" s="333"/>
      <c r="K64" s="333"/>
      <c r="L64" s="339"/>
      <c r="M64" s="340"/>
      <c r="N64" s="325" t="str">
        <f t="shared" si="1"/>
        <v/>
      </c>
      <c r="O64" s="341"/>
      <c r="P64" s="261"/>
      <c r="Q64" s="261"/>
      <c r="R64" s="261"/>
      <c r="S64" s="261"/>
      <c r="T64" s="261"/>
      <c r="U64" s="261"/>
      <c r="V64" s="261"/>
      <c r="Z64" t="str" cm="1">
        <f t="array" ref="Z64">IFERROR(_xlfn.AGGREGATE(15,6,ROW(Lançamentos!$J$3:$J$1001)/((Lançamentos!$AL$3:$AL$1001&lt;&gt;"Encerrado")*(Lançamentos!$S$3:$S$1001&lt;&gt;"Cancelado")*(Lançamentos!$J$3:$J$1001&lt;&gt;"")),42),"")</f>
        <v/>
      </c>
    </row>
    <row r="65" spans="1:26" ht="14.25" customHeight="1" x14ac:dyDescent="0.35">
      <c r="A65" s="261"/>
      <c r="B65" s="333"/>
      <c r="C65" s="333"/>
      <c r="D65" s="333" t="str">
        <f>IF($C65="","",IFERROR(VLOOKUP($C65,Lançamentos!$B$3:$J$1001,5,0),""))</f>
        <v/>
      </c>
      <c r="E65" s="333" t="str">
        <f>IF($C65="","",IFERROR(VLOOKUP($C65,Lançamentos!$B$3:$J$1001,9,0),""))</f>
        <v/>
      </c>
      <c r="F65" s="333"/>
      <c r="G65" s="333"/>
      <c r="H65" s="333"/>
      <c r="I65" s="333" t="str">
        <f>IF($C65="","",IFERROR(VLOOKUP($C65,Lançamentos!$B$3:$Z$1001,25,0),""))</f>
        <v/>
      </c>
      <c r="J65" s="333"/>
      <c r="K65" s="333"/>
      <c r="L65" s="339"/>
      <c r="M65" s="340"/>
      <c r="N65" s="325" t="str">
        <f t="shared" si="1"/>
        <v/>
      </c>
      <c r="O65" s="341"/>
      <c r="P65" s="261"/>
      <c r="Q65" s="261"/>
      <c r="R65" s="261"/>
      <c r="S65" s="261"/>
      <c r="T65" s="261"/>
      <c r="U65" s="261"/>
      <c r="V65" s="261"/>
      <c r="Z65" t="str" cm="1">
        <f t="array" ref="Z65">IFERROR(_xlfn.AGGREGATE(15,6,ROW(Lançamentos!$J$3:$J$1001)/((Lançamentos!$AL$3:$AL$1001&lt;&gt;"Encerrado")*(Lançamentos!$S$3:$S$1001&lt;&gt;"Cancelado")*(Lançamentos!$J$3:$J$1001&lt;&gt;"")),43),"")</f>
        <v/>
      </c>
    </row>
    <row r="66" spans="1:26" ht="14.25" customHeight="1" x14ac:dyDescent="0.35">
      <c r="A66" s="261"/>
      <c r="B66" s="333"/>
      <c r="C66" s="333"/>
      <c r="D66" s="333" t="str">
        <f>IF($C66="","",IFERROR(VLOOKUP($C66,Lançamentos!$B$3:$J$1001,5,0),""))</f>
        <v/>
      </c>
      <c r="E66" s="333" t="str">
        <f>IF($C66="","",IFERROR(VLOOKUP($C66,Lançamentos!$B$3:$J$1001,9,0),""))</f>
        <v/>
      </c>
      <c r="F66" s="333"/>
      <c r="G66" s="333"/>
      <c r="H66" s="333"/>
      <c r="I66" s="333" t="str">
        <f>IF($C66="","",IFERROR(VLOOKUP($C66,Lançamentos!$B$3:$Z$1001,25,0),""))</f>
        <v/>
      </c>
      <c r="J66" s="333"/>
      <c r="K66" s="333"/>
      <c r="L66" s="339"/>
      <c r="M66" s="340"/>
      <c r="N66" s="325" t="str">
        <f t="shared" si="1"/>
        <v/>
      </c>
      <c r="O66" s="341"/>
      <c r="P66" s="261"/>
      <c r="Q66" s="261"/>
      <c r="R66" s="261"/>
      <c r="S66" s="261"/>
      <c r="T66" s="261"/>
      <c r="U66" s="261"/>
      <c r="V66" s="261"/>
      <c r="Z66" t="str" cm="1">
        <f t="array" ref="Z66">IFERROR(_xlfn.AGGREGATE(15,6,ROW(Lançamentos!$J$3:$J$1001)/((Lançamentos!$AL$3:$AL$1001&lt;&gt;"Encerrado")*(Lançamentos!$S$3:$S$1001&lt;&gt;"Cancelado")*(Lançamentos!$J$3:$J$1001&lt;&gt;"")),44),"")</f>
        <v/>
      </c>
    </row>
    <row r="67" spans="1:26" ht="14.25" customHeight="1" x14ac:dyDescent="0.35">
      <c r="A67" s="261"/>
      <c r="B67" s="333"/>
      <c r="C67" s="333"/>
      <c r="D67" s="333" t="str">
        <f>IF($C67="","",IFERROR(VLOOKUP($C67,Lançamentos!$B$3:$J$1001,5,0),""))</f>
        <v/>
      </c>
      <c r="E67" s="333" t="str">
        <f>IF($C67="","",IFERROR(VLOOKUP($C67,Lançamentos!$B$3:$J$1001,9,0),""))</f>
        <v/>
      </c>
      <c r="F67" s="333"/>
      <c r="G67" s="333"/>
      <c r="H67" s="333"/>
      <c r="I67" s="333" t="str">
        <f>IF($C67="","",IFERROR(VLOOKUP($C67,Lançamentos!$B$3:$Z$1001,25,0),""))</f>
        <v/>
      </c>
      <c r="J67" s="333"/>
      <c r="K67" s="333"/>
      <c r="L67" s="339"/>
      <c r="M67" s="340"/>
      <c r="N67" s="325" t="str">
        <f t="shared" si="1"/>
        <v/>
      </c>
      <c r="O67" s="341"/>
      <c r="P67" s="261"/>
      <c r="Q67" s="261"/>
      <c r="R67" s="261"/>
      <c r="S67" s="261"/>
      <c r="T67" s="261"/>
      <c r="U67" s="261"/>
      <c r="V67" s="261"/>
      <c r="Z67" t="str" cm="1">
        <f t="array" ref="Z67">IFERROR(_xlfn.AGGREGATE(15,6,ROW(Lançamentos!$J$3:$J$1001)/((Lançamentos!$AL$3:$AL$1001&lt;&gt;"Encerrado")*(Lançamentos!$S$3:$S$1001&lt;&gt;"Cancelado")*(Lançamentos!$J$3:$J$1001&lt;&gt;"")),45),"")</f>
        <v/>
      </c>
    </row>
    <row r="68" spans="1:26" ht="14.25" customHeight="1" x14ac:dyDescent="0.35">
      <c r="A68" s="261"/>
      <c r="B68" s="333"/>
      <c r="C68" s="333"/>
      <c r="D68" s="333" t="str">
        <f>IF($C68="","",IFERROR(VLOOKUP($C68,Lançamentos!$B$3:$J$1001,5,0),""))</f>
        <v/>
      </c>
      <c r="E68" s="333" t="str">
        <f>IF($C68="","",IFERROR(VLOOKUP($C68,Lançamentos!$B$3:$J$1001,9,0),""))</f>
        <v/>
      </c>
      <c r="F68" s="333"/>
      <c r="G68" s="333"/>
      <c r="H68" s="333"/>
      <c r="I68" s="333" t="str">
        <f>IF($C68="","",IFERROR(VLOOKUP($C68,Lançamentos!$B$3:$Z$1001,25,0),""))</f>
        <v/>
      </c>
      <c r="J68" s="333"/>
      <c r="K68" s="333"/>
      <c r="L68" s="339"/>
      <c r="M68" s="340"/>
      <c r="N68" s="325" t="str">
        <f t="shared" si="1"/>
        <v/>
      </c>
      <c r="O68" s="341"/>
      <c r="P68" s="261"/>
      <c r="Q68" s="261"/>
      <c r="R68" s="261"/>
      <c r="S68" s="261"/>
      <c r="T68" s="261"/>
      <c r="U68" s="261"/>
      <c r="V68" s="261"/>
      <c r="Z68" t="str" cm="1">
        <f t="array" ref="Z68">IFERROR(_xlfn.AGGREGATE(15,6,ROW(Lançamentos!$J$3:$J$1001)/((Lançamentos!$AL$3:$AL$1001&lt;&gt;"Encerrado")*(Lançamentos!$S$3:$S$1001&lt;&gt;"Cancelado")*(Lançamentos!$J$3:$J$1001&lt;&gt;"")),46),"")</f>
        <v/>
      </c>
    </row>
    <row r="69" spans="1:26" ht="14.25" customHeight="1" x14ac:dyDescent="0.35">
      <c r="A69" s="261"/>
      <c r="B69" s="333"/>
      <c r="C69" s="333"/>
      <c r="D69" s="333" t="str">
        <f>IF($C69="","",IFERROR(VLOOKUP($C69,Lançamentos!$B$3:$J$1001,5,0),""))</f>
        <v/>
      </c>
      <c r="E69" s="333" t="str">
        <f>IF($C69="","",IFERROR(VLOOKUP($C69,Lançamentos!$B$3:$J$1001,9,0),""))</f>
        <v/>
      </c>
      <c r="F69" s="333"/>
      <c r="G69" s="333"/>
      <c r="H69" s="333"/>
      <c r="I69" s="333" t="str">
        <f>IF($C69="","",IFERROR(VLOOKUP($C69,Lançamentos!$B$3:$Z$1001,25,0),""))</f>
        <v/>
      </c>
      <c r="J69" s="333"/>
      <c r="K69" s="333"/>
      <c r="L69" s="339"/>
      <c r="M69" s="340"/>
      <c r="N69" s="325" t="str">
        <f t="shared" si="1"/>
        <v/>
      </c>
      <c r="O69" s="341"/>
      <c r="P69" s="261"/>
      <c r="Q69" s="261"/>
      <c r="R69" s="261"/>
      <c r="S69" s="261"/>
      <c r="T69" s="261"/>
      <c r="U69" s="261"/>
      <c r="V69" s="261"/>
      <c r="Z69" t="str" cm="1">
        <f t="array" ref="Z69">IFERROR(_xlfn.AGGREGATE(15,6,ROW(Lançamentos!$J$3:$J$1001)/((Lançamentos!$AL$3:$AL$1001&lt;&gt;"Encerrado")*(Lançamentos!$S$3:$S$1001&lt;&gt;"Cancelado")*(Lançamentos!$J$3:$J$1001&lt;&gt;"")),47),"")</f>
        <v/>
      </c>
    </row>
    <row r="70" spans="1:26" ht="14.25" customHeight="1" x14ac:dyDescent="0.35">
      <c r="A70" s="261"/>
      <c r="B70" s="333"/>
      <c r="C70" s="333"/>
      <c r="D70" s="333" t="str">
        <f>IF($C70="","",IFERROR(VLOOKUP($C70,Lançamentos!$B$3:$J$1001,5,0),""))</f>
        <v/>
      </c>
      <c r="E70" s="333" t="str">
        <f>IF($C70="","",IFERROR(VLOOKUP($C70,Lançamentos!$B$3:$J$1001,9,0),""))</f>
        <v/>
      </c>
      <c r="F70" s="333"/>
      <c r="G70" s="333"/>
      <c r="H70" s="333"/>
      <c r="I70" s="333" t="str">
        <f>IF($C70="","",IFERROR(VLOOKUP($C70,Lançamentos!$B$3:$Z$1001,25,0),""))</f>
        <v/>
      </c>
      <c r="J70" s="333"/>
      <c r="K70" s="333"/>
      <c r="L70" s="339"/>
      <c r="M70" s="340"/>
      <c r="N70" s="325" t="str">
        <f t="shared" si="1"/>
        <v/>
      </c>
      <c r="O70" s="341"/>
      <c r="P70" s="261"/>
      <c r="Q70" s="261"/>
      <c r="R70" s="261"/>
      <c r="S70" s="261"/>
      <c r="T70" s="261"/>
      <c r="U70" s="261"/>
      <c r="V70" s="261"/>
      <c r="Z70" t="str" cm="1">
        <f t="array" ref="Z70">IFERROR(_xlfn.AGGREGATE(15,6,ROW(Lançamentos!$J$3:$J$1001)/((Lançamentos!$AL$3:$AL$1001&lt;&gt;"Encerrado")*(Lançamentos!$S$3:$S$1001&lt;&gt;"Cancelado")*(Lançamentos!$J$3:$J$1001&lt;&gt;"")),48),"")</f>
        <v/>
      </c>
    </row>
    <row r="71" spans="1:26" ht="14.25" customHeight="1" x14ac:dyDescent="0.35">
      <c r="A71" s="261"/>
      <c r="B71" s="333"/>
      <c r="C71" s="333"/>
      <c r="D71" s="333" t="str">
        <f>IF($C71="","",IFERROR(VLOOKUP($C71,Lançamentos!$B$3:$J$1001,5,0),""))</f>
        <v/>
      </c>
      <c r="E71" s="333" t="str">
        <f>IF($C71="","",IFERROR(VLOOKUP($C71,Lançamentos!$B$3:$J$1001,9,0),""))</f>
        <v/>
      </c>
      <c r="F71" s="333"/>
      <c r="G71" s="333"/>
      <c r="H71" s="333"/>
      <c r="I71" s="333" t="str">
        <f>IF($C71="","",IFERROR(VLOOKUP($C71,Lançamentos!$B$3:$Z$1001,25,0),""))</f>
        <v/>
      </c>
      <c r="J71" s="333"/>
      <c r="K71" s="333"/>
      <c r="L71" s="339"/>
      <c r="M71" s="340"/>
      <c r="N71" s="325" t="str">
        <f t="shared" si="1"/>
        <v/>
      </c>
      <c r="O71" s="341"/>
      <c r="P71" s="261"/>
      <c r="Q71" s="261"/>
      <c r="R71" s="261"/>
      <c r="S71" s="261"/>
      <c r="T71" s="261"/>
      <c r="U71" s="261"/>
      <c r="V71" s="261"/>
      <c r="Z71" t="str" cm="1">
        <f t="array" ref="Z71">IFERROR(_xlfn.AGGREGATE(15,6,ROW(Lançamentos!$J$3:$J$1001)/((Lançamentos!$AL$3:$AL$1001&lt;&gt;"Encerrado")*(Lançamentos!$S$3:$S$1001&lt;&gt;"Cancelado")*(Lançamentos!$J$3:$J$1001&lt;&gt;"")),49),"")</f>
        <v/>
      </c>
    </row>
    <row r="72" spans="1:26" ht="14.25" customHeight="1" x14ac:dyDescent="0.35">
      <c r="A72" s="261"/>
      <c r="B72" s="333"/>
      <c r="C72" s="333"/>
      <c r="D72" s="333" t="str">
        <f>IF($C72="","",IFERROR(VLOOKUP($C72,Lançamentos!$B$3:$J$1001,5,0),""))</f>
        <v/>
      </c>
      <c r="E72" s="333" t="str">
        <f>IF($C72="","",IFERROR(VLOOKUP($C72,Lançamentos!$B$3:$J$1001,9,0),""))</f>
        <v/>
      </c>
      <c r="F72" s="333"/>
      <c r="G72" s="333"/>
      <c r="H72" s="333"/>
      <c r="I72" s="333" t="str">
        <f>IF($C72="","",IFERROR(VLOOKUP($C72,Lançamentos!$B$3:$Z$1001,25,0),""))</f>
        <v/>
      </c>
      <c r="J72" s="333"/>
      <c r="K72" s="333"/>
      <c r="L72" s="339"/>
      <c r="M72" s="340"/>
      <c r="N72" s="325" t="str">
        <f t="shared" si="1"/>
        <v/>
      </c>
      <c r="O72" s="341"/>
      <c r="P72" s="261"/>
      <c r="Q72" s="261"/>
      <c r="R72" s="261"/>
      <c r="S72" s="261"/>
      <c r="T72" s="261"/>
      <c r="U72" s="261"/>
      <c r="V72" s="261"/>
      <c r="Z72" t="str" cm="1">
        <f t="array" ref="Z72">IFERROR(_xlfn.AGGREGATE(15,6,ROW(Lançamentos!$J$3:$J$1001)/((Lançamentos!$AL$3:$AL$1001&lt;&gt;"Encerrado")*(Lançamentos!$S$3:$S$1001&lt;&gt;"Cancelado")*(Lançamentos!$J$3:$J$1001&lt;&gt;"")),50),"")</f>
        <v/>
      </c>
    </row>
    <row r="73" spans="1:26" ht="14.25" customHeight="1" x14ac:dyDescent="0.35">
      <c r="A73" s="261"/>
      <c r="B73" s="333"/>
      <c r="C73" s="333"/>
      <c r="D73" s="333" t="str">
        <f>IF($C73="","",IFERROR(VLOOKUP($C73,Lançamentos!$B$3:$J$1001,5,0),""))</f>
        <v/>
      </c>
      <c r="E73" s="333" t="str">
        <f>IF($C73="","",IFERROR(VLOOKUP($C73,Lançamentos!$B$3:$J$1001,9,0),""))</f>
        <v/>
      </c>
      <c r="F73" s="333"/>
      <c r="G73" s="333"/>
      <c r="H73" s="333"/>
      <c r="I73" s="333" t="str">
        <f>IF($C73="","",IFERROR(VLOOKUP($C73,Lançamentos!$B$3:$Z$1001,25,0),""))</f>
        <v/>
      </c>
      <c r="J73" s="333"/>
      <c r="K73" s="333"/>
      <c r="L73" s="339"/>
      <c r="M73" s="340"/>
      <c r="N73" s="325" t="str">
        <f t="shared" si="1"/>
        <v/>
      </c>
      <c r="O73" s="341"/>
      <c r="P73" s="261"/>
      <c r="Q73" s="261"/>
      <c r="R73" s="261"/>
      <c r="S73" s="261"/>
      <c r="T73" s="261"/>
      <c r="U73" s="261"/>
      <c r="V73" s="261"/>
      <c r="Z73" t="str" cm="1">
        <f t="array" ref="Z73">IFERROR(_xlfn.AGGREGATE(15,6,ROW(Lançamentos!$J$3:$J$1001)/((Lançamentos!$AL$3:$AL$1001&lt;&gt;"Encerrado")*(Lançamentos!$S$3:$S$1001&lt;&gt;"Cancelado")*(Lançamentos!$J$3:$J$1001&lt;&gt;"")),51),"")</f>
        <v/>
      </c>
    </row>
    <row r="74" spans="1:26" ht="14.25" customHeight="1" x14ac:dyDescent="0.35">
      <c r="A74" s="261"/>
      <c r="B74" s="333"/>
      <c r="C74" s="333"/>
      <c r="D74" s="333" t="str">
        <f>IF($C74="","",IFERROR(VLOOKUP($C74,Lançamentos!$B$3:$J$1001,5,0),""))</f>
        <v/>
      </c>
      <c r="E74" s="333" t="str">
        <f>IF($C74="","",IFERROR(VLOOKUP($C74,Lançamentos!$B$3:$J$1001,9,0),""))</f>
        <v/>
      </c>
      <c r="F74" s="333"/>
      <c r="G74" s="333"/>
      <c r="H74" s="333"/>
      <c r="I74" s="333" t="str">
        <f>IF($C74="","",IFERROR(VLOOKUP($C74,Lançamentos!$B$3:$Z$1001,25,0),""))</f>
        <v/>
      </c>
      <c r="J74" s="333"/>
      <c r="K74" s="333"/>
      <c r="L74" s="339"/>
      <c r="M74" s="340"/>
      <c r="N74" s="325" t="str">
        <f t="shared" si="1"/>
        <v/>
      </c>
      <c r="O74" s="341"/>
      <c r="P74" s="261"/>
      <c r="Q74" s="261"/>
      <c r="R74" s="261"/>
      <c r="S74" s="261"/>
      <c r="T74" s="261"/>
      <c r="U74" s="261"/>
      <c r="V74" s="261"/>
      <c r="Z74" t="str" cm="1">
        <f t="array" ref="Z74">IFERROR(_xlfn.AGGREGATE(15,6,ROW(Lançamentos!$J$3:$J$1001)/((Lançamentos!$AL$3:$AL$1001&lt;&gt;"Encerrado")*(Lançamentos!$S$3:$S$1001&lt;&gt;"Cancelado")*(Lançamentos!$J$3:$J$1001&lt;&gt;"")),52),"")</f>
        <v/>
      </c>
    </row>
    <row r="75" spans="1:26" ht="14.25" customHeight="1" x14ac:dyDescent="0.35">
      <c r="A75" s="261"/>
      <c r="B75" s="333"/>
      <c r="C75" s="333"/>
      <c r="D75" s="333" t="str">
        <f>IF($C75="","",IFERROR(VLOOKUP($C75,Lançamentos!$B$3:$J$1001,5,0),""))</f>
        <v/>
      </c>
      <c r="E75" s="333" t="str">
        <f>IF($C75="","",IFERROR(VLOOKUP($C75,Lançamentos!$B$3:$J$1001,9,0),""))</f>
        <v/>
      </c>
      <c r="F75" s="333"/>
      <c r="G75" s="333"/>
      <c r="H75" s="333"/>
      <c r="I75" s="333" t="str">
        <f>IF($C75="","",IFERROR(VLOOKUP($C75,Lançamentos!$B$3:$Z$1001,25,0),""))</f>
        <v/>
      </c>
      <c r="J75" s="333"/>
      <c r="K75" s="333"/>
      <c r="L75" s="339"/>
      <c r="M75" s="340"/>
      <c r="N75" s="325" t="str">
        <f t="shared" si="1"/>
        <v/>
      </c>
      <c r="O75" s="341"/>
      <c r="P75" s="261"/>
      <c r="Q75" s="261"/>
      <c r="R75" s="261"/>
      <c r="S75" s="261"/>
      <c r="T75" s="261"/>
      <c r="U75" s="261"/>
      <c r="V75" s="261"/>
      <c r="Z75" t="str" cm="1">
        <f t="array" ref="Z75">IFERROR(_xlfn.AGGREGATE(15,6,ROW(Lançamentos!$J$3:$J$1001)/((Lançamentos!$AL$3:$AL$1001&lt;&gt;"Encerrado")*(Lançamentos!$S$3:$S$1001&lt;&gt;"Cancelado")*(Lançamentos!$J$3:$J$1001&lt;&gt;"")),53),"")</f>
        <v/>
      </c>
    </row>
    <row r="76" spans="1:26" ht="14.25" customHeight="1" x14ac:dyDescent="0.35">
      <c r="A76" s="261"/>
      <c r="B76" s="333"/>
      <c r="C76" s="333"/>
      <c r="D76" s="333" t="str">
        <f>IF($C76="","",IFERROR(VLOOKUP($C76,Lançamentos!$B$3:$J$1001,5,0),""))</f>
        <v/>
      </c>
      <c r="E76" s="333" t="str">
        <f>IF($C76="","",IFERROR(VLOOKUP($C76,Lançamentos!$B$3:$J$1001,9,0),""))</f>
        <v/>
      </c>
      <c r="F76" s="333"/>
      <c r="G76" s="333"/>
      <c r="H76" s="333"/>
      <c r="I76" s="333" t="str">
        <f>IF($C76="","",IFERROR(VLOOKUP($C76,Lançamentos!$B$3:$Z$1001,25,0),""))</f>
        <v/>
      </c>
      <c r="J76" s="333"/>
      <c r="K76" s="333"/>
      <c r="L76" s="339"/>
      <c r="M76" s="340"/>
      <c r="N76" s="325" t="str">
        <f t="shared" si="1"/>
        <v/>
      </c>
      <c r="O76" s="341"/>
      <c r="P76" s="261"/>
      <c r="Q76" s="261"/>
      <c r="R76" s="261"/>
      <c r="S76" s="261"/>
      <c r="T76" s="261"/>
      <c r="U76" s="261"/>
      <c r="V76" s="261"/>
      <c r="Z76" t="str" cm="1">
        <f t="array" ref="Z76">IFERROR(_xlfn.AGGREGATE(15,6,ROW(Lançamentos!$J$3:$J$1001)/((Lançamentos!$AL$3:$AL$1001&lt;&gt;"Encerrado")*(Lançamentos!$S$3:$S$1001&lt;&gt;"Cancelado")*(Lançamentos!$J$3:$J$1001&lt;&gt;"")),54),"")</f>
        <v/>
      </c>
    </row>
    <row r="77" spans="1:26" ht="14.25" customHeight="1" x14ac:dyDescent="0.35">
      <c r="A77" s="261"/>
      <c r="B77" s="333"/>
      <c r="C77" s="333"/>
      <c r="D77" s="333" t="str">
        <f>IF($C77="","",IFERROR(VLOOKUP($C77,Lançamentos!$B$3:$J$1001,5,0),""))</f>
        <v/>
      </c>
      <c r="E77" s="333" t="str">
        <f>IF($C77="","",IFERROR(VLOOKUP($C77,Lançamentos!$B$3:$J$1001,9,0),""))</f>
        <v/>
      </c>
      <c r="F77" s="333"/>
      <c r="G77" s="333"/>
      <c r="H77" s="333"/>
      <c r="I77" s="333" t="str">
        <f>IF($C77="","",IFERROR(VLOOKUP($C77,Lançamentos!$B$3:$Z$1001,25,0),""))</f>
        <v/>
      </c>
      <c r="J77" s="333"/>
      <c r="K77" s="333"/>
      <c r="L77" s="339"/>
      <c r="M77" s="340"/>
      <c r="N77" s="325" t="str">
        <f t="shared" si="1"/>
        <v/>
      </c>
      <c r="O77" s="341"/>
      <c r="P77" s="261"/>
      <c r="Q77" s="261"/>
      <c r="R77" s="261"/>
      <c r="S77" s="261"/>
      <c r="T77" s="261"/>
      <c r="U77" s="261"/>
      <c r="V77" s="261"/>
      <c r="Z77" t="str" cm="1">
        <f t="array" ref="Z77">IFERROR(_xlfn.AGGREGATE(15,6,ROW(Lançamentos!$J$3:$J$1001)/((Lançamentos!$AL$3:$AL$1001&lt;&gt;"Encerrado")*(Lançamentos!$S$3:$S$1001&lt;&gt;"Cancelado")*(Lançamentos!$J$3:$J$1001&lt;&gt;"")),55),"")</f>
        <v/>
      </c>
    </row>
    <row r="78" spans="1:26" ht="14.25" customHeight="1" x14ac:dyDescent="0.35">
      <c r="A78" s="261"/>
      <c r="B78" s="333"/>
      <c r="C78" s="333"/>
      <c r="D78" s="333" t="str">
        <f>IF($C78="","",IFERROR(VLOOKUP($C78,Lançamentos!$B$3:$J$1001,5,0),""))</f>
        <v/>
      </c>
      <c r="E78" s="333" t="str">
        <f>IF($C78="","",IFERROR(VLOOKUP($C78,Lançamentos!$B$3:$J$1001,9,0),""))</f>
        <v/>
      </c>
      <c r="F78" s="333"/>
      <c r="G78" s="333"/>
      <c r="H78" s="333"/>
      <c r="I78" s="333" t="str">
        <f>IF($C78="","",IFERROR(VLOOKUP($C78,Lançamentos!$B$3:$Z$1001,25,0),""))</f>
        <v/>
      </c>
      <c r="J78" s="333"/>
      <c r="K78" s="333"/>
      <c r="L78" s="339"/>
      <c r="M78" s="340"/>
      <c r="N78" s="325" t="str">
        <f t="shared" si="1"/>
        <v/>
      </c>
      <c r="O78" s="341"/>
      <c r="P78" s="261"/>
      <c r="Q78" s="261"/>
      <c r="R78" s="261"/>
      <c r="S78" s="261"/>
      <c r="T78" s="261"/>
      <c r="U78" s="261"/>
      <c r="V78" s="261"/>
      <c r="Z78" t="str" cm="1">
        <f t="array" ref="Z78">IFERROR(_xlfn.AGGREGATE(15,6,ROW(Lançamentos!$J$3:$J$1001)/((Lançamentos!$AL$3:$AL$1001&lt;&gt;"Encerrado")*(Lançamentos!$S$3:$S$1001&lt;&gt;"Cancelado")*(Lançamentos!$J$3:$J$1001&lt;&gt;"")),56),"")</f>
        <v/>
      </c>
    </row>
    <row r="79" spans="1:26" ht="14.25" customHeight="1" x14ac:dyDescent="0.35">
      <c r="A79" s="261"/>
      <c r="B79" s="333"/>
      <c r="C79" s="333"/>
      <c r="D79" s="333" t="str">
        <f>IF($C79="","",IFERROR(VLOOKUP($C79,Lançamentos!$B$3:$J$1001,5,0),""))</f>
        <v/>
      </c>
      <c r="E79" s="333" t="str">
        <f>IF($C79="","",IFERROR(VLOOKUP($C79,Lançamentos!$B$3:$J$1001,9,0),""))</f>
        <v/>
      </c>
      <c r="F79" s="333"/>
      <c r="G79" s="333"/>
      <c r="H79" s="333"/>
      <c r="I79" s="333" t="str">
        <f>IF($C79="","",IFERROR(VLOOKUP($C79,Lançamentos!$B$3:$Z$1001,25,0),""))</f>
        <v/>
      </c>
      <c r="J79" s="333"/>
      <c r="K79" s="333"/>
      <c r="L79" s="339"/>
      <c r="M79" s="340"/>
      <c r="N79" s="325" t="str">
        <f t="shared" si="1"/>
        <v/>
      </c>
      <c r="O79" s="341"/>
      <c r="P79" s="261"/>
      <c r="Q79" s="261"/>
      <c r="R79" s="261"/>
      <c r="S79" s="261"/>
      <c r="T79" s="261"/>
      <c r="U79" s="261"/>
      <c r="V79" s="261"/>
      <c r="Z79" t="str" cm="1">
        <f t="array" ref="Z79">IFERROR(_xlfn.AGGREGATE(15,6,ROW(Lançamentos!$J$3:$J$1001)/((Lançamentos!$AL$3:$AL$1001&lt;&gt;"Encerrado")*(Lançamentos!$S$3:$S$1001&lt;&gt;"Cancelado")*(Lançamentos!$J$3:$J$1001&lt;&gt;"")),57),"")</f>
        <v/>
      </c>
    </row>
    <row r="80" spans="1:26" ht="14.25" customHeight="1" x14ac:dyDescent="0.35">
      <c r="A80" s="261"/>
      <c r="B80" s="333"/>
      <c r="C80" s="333"/>
      <c r="D80" s="333" t="str">
        <f>IF($C80="","",IFERROR(VLOOKUP($C80,Lançamentos!$B$3:$J$1001,5,0),""))</f>
        <v/>
      </c>
      <c r="E80" s="333" t="str">
        <f>IF($C80="","",IFERROR(VLOOKUP($C80,Lançamentos!$B$3:$J$1001,9,0),""))</f>
        <v/>
      </c>
      <c r="F80" s="333"/>
      <c r="G80" s="333"/>
      <c r="H80" s="333"/>
      <c r="I80" s="333" t="str">
        <f>IF($C80="","",IFERROR(VLOOKUP($C80,Lançamentos!$B$3:$Z$1001,25,0),""))</f>
        <v/>
      </c>
      <c r="J80" s="333"/>
      <c r="K80" s="333"/>
      <c r="L80" s="339"/>
      <c r="M80" s="340"/>
      <c r="N80" s="325" t="str">
        <f t="shared" si="1"/>
        <v/>
      </c>
      <c r="O80" s="341"/>
      <c r="P80" s="261"/>
      <c r="Q80" s="261"/>
      <c r="R80" s="261"/>
      <c r="S80" s="261"/>
      <c r="T80" s="261"/>
      <c r="U80" s="261"/>
      <c r="V80" s="261"/>
      <c r="Z80" t="str" cm="1">
        <f t="array" ref="Z80">IFERROR(_xlfn.AGGREGATE(15,6,ROW(Lançamentos!$J$3:$J$1001)/((Lançamentos!$AL$3:$AL$1001&lt;&gt;"Encerrado")*(Lançamentos!$S$3:$S$1001&lt;&gt;"Cancelado")*(Lançamentos!$J$3:$J$1001&lt;&gt;"")),58),"")</f>
        <v/>
      </c>
    </row>
    <row r="81" spans="1:26" ht="14.25" customHeight="1" x14ac:dyDescent="0.35">
      <c r="A81" s="261"/>
      <c r="B81" s="333"/>
      <c r="C81" s="333"/>
      <c r="D81" s="333" t="str">
        <f>IF($C81="","",IFERROR(VLOOKUP($C81,Lançamentos!$B$3:$J$1001,5,0),""))</f>
        <v/>
      </c>
      <c r="E81" s="333" t="str">
        <f>IF($C81="","",IFERROR(VLOOKUP($C81,Lançamentos!$B$3:$J$1001,9,0),""))</f>
        <v/>
      </c>
      <c r="F81" s="333"/>
      <c r="G81" s="333"/>
      <c r="H81" s="333"/>
      <c r="I81" s="333" t="str">
        <f>IF($C81="","",IFERROR(VLOOKUP($C81,Lançamentos!$B$3:$Z$1001,25,0),""))</f>
        <v/>
      </c>
      <c r="J81" s="333"/>
      <c r="K81" s="333"/>
      <c r="L81" s="339"/>
      <c r="M81" s="340"/>
      <c r="N81" s="325" t="str">
        <f t="shared" si="1"/>
        <v/>
      </c>
      <c r="O81" s="341"/>
      <c r="P81" s="261"/>
      <c r="Q81" s="261"/>
      <c r="R81" s="261"/>
      <c r="S81" s="261"/>
      <c r="T81" s="261"/>
      <c r="U81" s="261"/>
      <c r="V81" s="261"/>
      <c r="Z81" t="str" cm="1">
        <f t="array" ref="Z81">IFERROR(_xlfn.AGGREGATE(15,6,ROW(Lançamentos!$J$3:$J$1001)/((Lançamentos!$AL$3:$AL$1001&lt;&gt;"Encerrado")*(Lançamentos!$S$3:$S$1001&lt;&gt;"Cancelado")*(Lançamentos!$J$3:$J$1001&lt;&gt;"")),59),"")</f>
        <v/>
      </c>
    </row>
    <row r="82" spans="1:26" ht="14.25" customHeight="1" x14ac:dyDescent="0.35">
      <c r="A82" s="261"/>
      <c r="B82" s="333"/>
      <c r="C82" s="333"/>
      <c r="D82" s="333" t="str">
        <f>IF($C82="","",IFERROR(VLOOKUP($C82,Lançamentos!$B$3:$J$1001,5,0),""))</f>
        <v/>
      </c>
      <c r="E82" s="333" t="str">
        <f>IF($C82="","",IFERROR(VLOOKUP($C82,Lançamentos!$B$3:$J$1001,9,0),""))</f>
        <v/>
      </c>
      <c r="F82" s="333"/>
      <c r="G82" s="333"/>
      <c r="H82" s="333"/>
      <c r="I82" s="333" t="str">
        <f>IF($C82="","",IFERROR(VLOOKUP($C82,Lançamentos!$B$3:$Z$1001,25,0),""))</f>
        <v/>
      </c>
      <c r="J82" s="333"/>
      <c r="K82" s="333"/>
      <c r="L82" s="339"/>
      <c r="M82" s="340"/>
      <c r="N82" s="325" t="str">
        <f t="shared" si="1"/>
        <v/>
      </c>
      <c r="O82" s="341"/>
      <c r="P82" s="261"/>
      <c r="Q82" s="261"/>
      <c r="R82" s="261"/>
      <c r="S82" s="261"/>
      <c r="T82" s="261"/>
      <c r="U82" s="261"/>
      <c r="V82" s="261"/>
      <c r="Z82" t="str" cm="1">
        <f t="array" ref="Z82">IFERROR(_xlfn.AGGREGATE(15,6,ROW(Lançamentos!$J$3:$J$1001)/((Lançamentos!$AL$3:$AL$1001&lt;&gt;"Encerrado")*(Lançamentos!$S$3:$S$1001&lt;&gt;"Cancelado")*(Lançamentos!$J$3:$J$1001&lt;&gt;"")),60),"")</f>
        <v/>
      </c>
    </row>
    <row r="83" spans="1:26" ht="14.25" customHeight="1" x14ac:dyDescent="0.35">
      <c r="A83" s="261"/>
      <c r="B83" s="333"/>
      <c r="C83" s="333"/>
      <c r="D83" s="333" t="str">
        <f>IF($C83="","",IFERROR(VLOOKUP($C83,Lançamentos!$B$3:$J$1001,5,0),""))</f>
        <v/>
      </c>
      <c r="E83" s="333" t="str">
        <f>IF($C83="","",IFERROR(VLOOKUP($C83,Lançamentos!$B$3:$J$1001,9,0),""))</f>
        <v/>
      </c>
      <c r="F83" s="333"/>
      <c r="G83" s="333"/>
      <c r="H83" s="333"/>
      <c r="I83" s="333" t="str">
        <f>IF($C83="","",IFERROR(VLOOKUP($C83,Lançamentos!$B$3:$Z$1001,25,0),""))</f>
        <v/>
      </c>
      <c r="J83" s="333"/>
      <c r="K83" s="333"/>
      <c r="L83" s="339"/>
      <c r="M83" s="340"/>
      <c r="N83" s="325" t="str">
        <f t="shared" si="1"/>
        <v/>
      </c>
      <c r="O83" s="341"/>
      <c r="P83" s="261"/>
      <c r="Q83" s="261"/>
      <c r="R83" s="261"/>
      <c r="S83" s="261"/>
      <c r="T83" s="261"/>
      <c r="U83" s="261"/>
      <c r="V83" s="261"/>
      <c r="Z83" t="str" cm="1">
        <f t="array" ref="Z83">IFERROR(_xlfn.AGGREGATE(15,6,ROW(Lançamentos!$J$3:$J$1001)/((Lançamentos!$AL$3:$AL$1001&lt;&gt;"Encerrado")*(Lançamentos!$S$3:$S$1001&lt;&gt;"Cancelado")*(Lançamentos!$J$3:$J$1001&lt;&gt;"")),61),"")</f>
        <v/>
      </c>
    </row>
    <row r="84" spans="1:26" ht="14.25" customHeight="1" x14ac:dyDescent="0.35">
      <c r="A84" s="261"/>
      <c r="B84" s="333"/>
      <c r="C84" s="333"/>
      <c r="D84" s="333" t="str">
        <f>IF($C84="","",IFERROR(VLOOKUP($C84,Lançamentos!$B$3:$J$1001,5,0),""))</f>
        <v/>
      </c>
      <c r="E84" s="333" t="str">
        <f>IF($C84="","",IFERROR(VLOOKUP($C84,Lançamentos!$B$3:$J$1001,9,0),""))</f>
        <v/>
      </c>
      <c r="F84" s="333"/>
      <c r="G84" s="333"/>
      <c r="H84" s="333"/>
      <c r="I84" s="333" t="str">
        <f>IF($C84="","",IFERROR(VLOOKUP($C84,Lançamentos!$B$3:$Z$1001,25,0),""))</f>
        <v/>
      </c>
      <c r="J84" s="333"/>
      <c r="K84" s="333"/>
      <c r="L84" s="339"/>
      <c r="M84" s="340"/>
      <c r="N84" s="325" t="str">
        <f t="shared" si="1"/>
        <v/>
      </c>
      <c r="O84" s="341"/>
      <c r="P84" s="261"/>
      <c r="Q84" s="261"/>
      <c r="R84" s="261"/>
      <c r="S84" s="261"/>
      <c r="T84" s="261"/>
      <c r="U84" s="261"/>
      <c r="V84" s="261"/>
      <c r="Z84" t="str" cm="1">
        <f t="array" ref="Z84">IFERROR(_xlfn.AGGREGATE(15,6,ROW(Lançamentos!$J$3:$J$1001)/((Lançamentos!$AL$3:$AL$1001&lt;&gt;"Encerrado")*(Lançamentos!$S$3:$S$1001&lt;&gt;"Cancelado")*(Lançamentos!$J$3:$J$1001&lt;&gt;"")),62),"")</f>
        <v/>
      </c>
    </row>
    <row r="85" spans="1:26" x14ac:dyDescent="0.35">
      <c r="A85" s="261"/>
      <c r="B85" s="328"/>
      <c r="C85" s="328"/>
      <c r="D85" s="328"/>
      <c r="E85" s="328"/>
      <c r="F85" s="333"/>
      <c r="G85" s="327"/>
      <c r="H85" s="328"/>
      <c r="I85" s="328"/>
      <c r="J85" s="328"/>
      <c r="K85" s="328"/>
      <c r="L85" s="328"/>
      <c r="M85" s="328"/>
      <c r="N85" s="328"/>
      <c r="O85" s="261"/>
      <c r="P85" s="261"/>
      <c r="Q85" s="261"/>
      <c r="R85" s="261"/>
      <c r="S85" s="261"/>
      <c r="T85" s="261"/>
      <c r="U85" s="261"/>
      <c r="V85" s="261"/>
      <c r="Z85" t="str" cm="1">
        <f t="array" ref="Z85">IFERROR(_xlfn.AGGREGATE(15,6,ROW(Lançamentos!$J$3:$J$1001)/((Lançamentos!$AL$3:$AL$1001&lt;&gt;"Encerrado")*(Lançamentos!$S$3:$S$1001&lt;&gt;"Cancelado")*(Lançamentos!$J$3:$J$1001&lt;&gt;"")),63),"")</f>
        <v/>
      </c>
    </row>
    <row r="86" spans="1:26" ht="19.5" customHeight="1" x14ac:dyDescent="0.35">
      <c r="A86" s="261"/>
      <c r="B86" s="321" t="s">
        <v>629</v>
      </c>
      <c r="C86" s="321"/>
      <c r="D86" s="321"/>
      <c r="E86" s="321"/>
      <c r="F86" s="342"/>
      <c r="G86" s="320"/>
      <c r="H86" s="320"/>
      <c r="I86" s="320"/>
      <c r="J86" s="320"/>
      <c r="K86" s="320"/>
      <c r="L86" s="320"/>
      <c r="M86" s="320"/>
      <c r="N86" s="320"/>
      <c r="O86" s="261"/>
      <c r="P86" s="261"/>
      <c r="Q86" s="261"/>
      <c r="R86" s="261"/>
      <c r="S86" s="261"/>
      <c r="T86" s="261"/>
      <c r="U86" s="261"/>
      <c r="V86" s="261"/>
      <c r="Z86" t="str" cm="1">
        <f t="array" ref="Z86">IFERROR(_xlfn.AGGREGATE(15,6,ROW(Lançamentos!$J$3:$J$1001)/((Lançamentos!$AL$3:$AL$1001&lt;&gt;"Encerrado")*(Lançamentos!$S$3:$S$1001&lt;&gt;"Cancelado")*(Lançamentos!$J$3:$J$1001&lt;&gt;"")),64),"")</f>
        <v/>
      </c>
    </row>
    <row r="87" spans="1:26" ht="14.25" customHeight="1" x14ac:dyDescent="0.35">
      <c r="A87" s="261"/>
      <c r="B87" s="354" t="s">
        <v>126</v>
      </c>
      <c r="C87" s="354" t="s">
        <v>12</v>
      </c>
      <c r="D87" s="354" t="s">
        <v>127</v>
      </c>
      <c r="E87" s="354" t="s">
        <v>142</v>
      </c>
      <c r="F87" s="354" t="s">
        <v>570</v>
      </c>
      <c r="G87" s="331"/>
      <c r="H87" s="320"/>
      <c r="I87" s="320"/>
      <c r="J87" s="320"/>
      <c r="K87" s="320"/>
      <c r="L87" s="320"/>
      <c r="M87" s="320"/>
      <c r="N87" s="320"/>
      <c r="O87" s="261"/>
      <c r="P87" s="261"/>
      <c r="Q87" s="261"/>
      <c r="R87" s="261"/>
      <c r="S87" s="261"/>
      <c r="T87" s="261"/>
      <c r="U87" s="261"/>
      <c r="V87" s="261"/>
      <c r="Z87" t="str" cm="1">
        <f t="array" ref="Z87">IFERROR(_xlfn.AGGREGATE(15,6,ROW(Lançamentos!$J$3:$J$1001)/((Lançamentos!$AL$3:$AL$1001&lt;&gt;"Encerrado")*(Lançamentos!$S$3:$S$1001&lt;&gt;"Cancelado")*(Lançamentos!$J$3:$J$1001&lt;&gt;"")),65),"")</f>
        <v/>
      </c>
    </row>
    <row r="88" spans="1:26" ht="23.25" customHeight="1" x14ac:dyDescent="0.35">
      <c r="A88" s="261"/>
      <c r="B88" s="333" t="str" cm="1">
        <f t="array" ref="B88">IF($Y88="","",INDEX($C$46:$C$84,$Y88))</f>
        <v/>
      </c>
      <c r="C88" s="333" t="str" cm="1">
        <f t="array" ref="C88">IF($Y88="","",INDEX($D$46:$D$84,$Y88))</f>
        <v/>
      </c>
      <c r="D88" s="333" t="str" cm="1">
        <f t="array" ref="D88">IF($Y88="","",INDEX($E$46:$E$84,$Y88))</f>
        <v/>
      </c>
      <c r="E88" s="343" t="str" cm="1">
        <f t="array" ref="E88">IF($Y88="","",IFERROR(VLOOKUP(INDEX($C$46:$C$84,$Y88),Lançamentos!$B$3:$T$1001,19,0),""))</f>
        <v/>
      </c>
      <c r="F88" s="333" t="str" cm="1">
        <f t="array" ref="F88">IF($Y88="","",INDEX($H$46:$H$84,$Y88))</f>
        <v/>
      </c>
      <c r="G88" s="331"/>
      <c r="H88" s="320"/>
      <c r="I88" s="320"/>
      <c r="J88" s="320"/>
      <c r="K88" s="320"/>
      <c r="L88" s="320"/>
      <c r="M88" s="320"/>
      <c r="N88" s="320"/>
      <c r="O88" s="261"/>
      <c r="P88" s="261"/>
      <c r="Q88" s="261"/>
      <c r="R88" s="261"/>
      <c r="S88" s="261"/>
      <c r="T88" s="261"/>
      <c r="U88" s="261"/>
      <c r="V88" s="261"/>
      <c r="Y88" t="str" cm="1">
        <f t="array" ref="Y88">IFERROR(_xlfn.AGGREGATE(15,6,(ROW($F$46:$F$84)-45)/(ISNUMBER(SEARCH("Concluído",$F$46:$F$84))*($B$46:$B$84=$C$6)),ROWS($Y$88:$Y88)),"")</f>
        <v/>
      </c>
    </row>
    <row r="89" spans="1:26" ht="23.25" customHeight="1" x14ac:dyDescent="0.35">
      <c r="A89" s="261"/>
      <c r="B89" s="333" t="str" cm="1">
        <f t="array" ref="B89">IF($Y89="","",INDEX($C$46:$C$84,$Y89))</f>
        <v/>
      </c>
      <c r="C89" s="333" t="str" cm="1">
        <f t="array" ref="C89">IF($Y89="","",INDEX($D$46:$D$84,$Y89))</f>
        <v/>
      </c>
      <c r="D89" s="333" t="str" cm="1">
        <f t="array" ref="D89">IF($Y89="","",INDEX($E$46:$E$84,$Y89))</f>
        <v/>
      </c>
      <c r="E89" s="343" t="str" cm="1">
        <f t="array" ref="E89">IF($Y89="","",IFERROR(VLOOKUP(INDEX($C$46:$C$84,$Y89),Lançamentos!$B$3:$T$1001,19,0),""))</f>
        <v/>
      </c>
      <c r="F89" s="333" t="str" cm="1">
        <f t="array" ref="F89">IF($Y89="","",INDEX($H$46:$H$84,$Y89))</f>
        <v/>
      </c>
      <c r="G89" s="331"/>
      <c r="H89" s="320"/>
      <c r="I89" s="320"/>
      <c r="J89" s="320"/>
      <c r="K89" s="320"/>
      <c r="L89" s="320"/>
      <c r="M89" s="320"/>
      <c r="N89" s="320"/>
      <c r="O89" s="261"/>
      <c r="P89" s="261"/>
      <c r="Q89" s="261"/>
      <c r="R89" s="261"/>
      <c r="S89" s="261"/>
      <c r="T89" s="261"/>
      <c r="U89" s="261"/>
      <c r="V89" s="261"/>
      <c r="Y89" t="str" cm="1">
        <f t="array" ref="Y89">IFERROR(_xlfn.AGGREGATE(15,6,(ROW($F$46:$F$84)-45)/(ISNUMBER(SEARCH("Concluído",$F$46:$F$84))*($B$46:$B$84=$C$6)),ROWS($Y$88:$Y89)),"")</f>
        <v/>
      </c>
    </row>
    <row r="90" spans="1:26" ht="14.25" customHeight="1" x14ac:dyDescent="0.35">
      <c r="A90" s="261"/>
      <c r="B90" s="333" t="str" cm="1">
        <f t="array" ref="B90">IF($Y90="","",INDEX($C$46:$C$84,$Y90))</f>
        <v/>
      </c>
      <c r="C90" s="333" t="str" cm="1">
        <f t="array" ref="C90">IF($Y90="","",INDEX($D$46:$D$84,$Y90))</f>
        <v/>
      </c>
      <c r="D90" s="333" t="str" cm="1">
        <f t="array" ref="D90">IF($Y90="","",INDEX($E$46:$E$84,$Y90))</f>
        <v/>
      </c>
      <c r="E90" s="343" t="str" cm="1">
        <f t="array" ref="E90">IF($Y90="","",IFERROR(VLOOKUP(INDEX($C$46:$C$84,$Y90),Lançamentos!$B$3:$T$1001,19,0),""))</f>
        <v/>
      </c>
      <c r="F90" s="333" t="str" cm="1">
        <f t="array" ref="F90">IF($Y90="","",INDEX($H$46:$H$84,$Y90))</f>
        <v/>
      </c>
      <c r="G90" s="331"/>
      <c r="H90" s="320"/>
      <c r="I90" s="320"/>
      <c r="J90" s="320"/>
      <c r="K90" s="320"/>
      <c r="L90" s="320"/>
      <c r="M90" s="320"/>
      <c r="N90" s="320"/>
      <c r="O90" s="261"/>
      <c r="P90" s="261"/>
      <c r="Q90" s="261"/>
      <c r="R90" s="261"/>
      <c r="S90" s="261"/>
      <c r="T90" s="261"/>
      <c r="U90" s="261"/>
      <c r="V90" s="261"/>
      <c r="Y90" t="str" cm="1">
        <f t="array" ref="Y90">IFERROR(_xlfn.AGGREGATE(15,6,(ROW($F$46:$F$84)-45)/(ISNUMBER(SEARCH("Concluído",$F$46:$F$84))*($B$46:$B$84=$C$6)),ROWS($Y$88:$Y90)),"")</f>
        <v/>
      </c>
    </row>
    <row r="91" spans="1:26" ht="14.25" customHeight="1" x14ac:dyDescent="0.35">
      <c r="A91" s="261"/>
      <c r="B91" s="333" t="str" cm="1">
        <f t="array" ref="B91">IF($Y91="","",INDEX($C$46:$C$84,$Y91))</f>
        <v/>
      </c>
      <c r="C91" s="333" t="str" cm="1">
        <f t="array" ref="C91">IF($Y91="","",INDEX($D$46:$D$84,$Y91))</f>
        <v/>
      </c>
      <c r="D91" s="333" t="str" cm="1">
        <f t="array" ref="D91">IF($Y91="","",INDEX($E$46:$E$84,$Y91))</f>
        <v/>
      </c>
      <c r="E91" s="343" t="str" cm="1">
        <f t="array" ref="E91">IF($Y91="","",IFERROR(VLOOKUP(INDEX($C$46:$C$84,$Y91),Lançamentos!$B$3:$T$1001,19,0),""))</f>
        <v/>
      </c>
      <c r="F91" s="333" t="str" cm="1">
        <f t="array" ref="F91">IF($Y91="","",INDEX($H$46:$H$84,$Y91))</f>
        <v/>
      </c>
      <c r="G91" s="331"/>
      <c r="H91" s="320"/>
      <c r="I91" s="320"/>
      <c r="J91" s="320"/>
      <c r="K91" s="320"/>
      <c r="L91" s="320"/>
      <c r="M91" s="320"/>
      <c r="N91" s="320"/>
      <c r="O91" s="261"/>
      <c r="P91" s="261"/>
      <c r="Q91" s="261"/>
      <c r="R91" s="261"/>
      <c r="S91" s="261"/>
      <c r="T91" s="261"/>
      <c r="U91" s="261"/>
      <c r="V91" s="261"/>
      <c r="Y91" t="str" cm="1">
        <f t="array" ref="Y91">IFERROR(_xlfn.AGGREGATE(15,6,(ROW($F$46:$F$84)-45)/(ISNUMBER(SEARCH("Concluído",$F$46:$F$84))*($B$46:$B$84=$C$6)),ROWS($Y$88:$Y91)),"")</f>
        <v/>
      </c>
    </row>
    <row r="92" spans="1:26" ht="14.25" customHeight="1" x14ac:dyDescent="0.35">
      <c r="A92" s="261"/>
      <c r="B92" s="333" t="str" cm="1">
        <f t="array" ref="B92">IF($Y92="","",INDEX($C$46:$C$84,$Y92))</f>
        <v/>
      </c>
      <c r="C92" s="333" t="str" cm="1">
        <f t="array" ref="C92">IF($Y92="","",INDEX($D$46:$D$84,$Y92))</f>
        <v/>
      </c>
      <c r="D92" s="333" t="str" cm="1">
        <f t="array" ref="D92">IF($Y92="","",INDEX($E$46:$E$84,$Y92))</f>
        <v/>
      </c>
      <c r="E92" s="343" t="str" cm="1">
        <f t="array" ref="E92">IF($Y92="","",IFERROR(VLOOKUP(INDEX($C$46:$C$84,$Y92),Lançamentos!$B$3:$T$1001,19,0),""))</f>
        <v/>
      </c>
      <c r="F92" s="333" t="str" cm="1">
        <f t="array" ref="F92">IF($Y92="","",INDEX($H$46:$H$84,$Y92))</f>
        <v/>
      </c>
      <c r="G92" s="331"/>
      <c r="H92" s="320"/>
      <c r="I92" s="320"/>
      <c r="J92" s="320"/>
      <c r="K92" s="320"/>
      <c r="L92" s="320"/>
      <c r="M92" s="320"/>
      <c r="N92" s="320"/>
      <c r="O92" s="261"/>
      <c r="P92" s="261"/>
      <c r="Q92" s="261"/>
      <c r="R92" s="261"/>
      <c r="S92" s="261"/>
      <c r="T92" s="261"/>
      <c r="U92" s="261"/>
      <c r="V92" s="261"/>
      <c r="Y92" t="str" cm="1">
        <f t="array" ref="Y92">IFERROR(_xlfn.AGGREGATE(15,6,(ROW($F$46:$F$84)-45)/(ISNUMBER(SEARCH("Concluído",$F$46:$F$84))*($B$46:$B$84=$C$6)),ROWS($Y$88:$Y92)),"")</f>
        <v/>
      </c>
    </row>
    <row r="93" spans="1:26" ht="14.25" customHeight="1" x14ac:dyDescent="0.35">
      <c r="A93" s="261"/>
      <c r="B93" s="333" t="str" cm="1">
        <f t="array" ref="B93">IF($Y93="","",INDEX($C$46:$C$84,$Y93))</f>
        <v/>
      </c>
      <c r="C93" s="333" t="str" cm="1">
        <f t="array" ref="C93">IF($Y93="","",INDEX($D$46:$D$84,$Y93))</f>
        <v/>
      </c>
      <c r="D93" s="333" t="str" cm="1">
        <f t="array" ref="D93">IF($Y93="","",INDEX($E$46:$E$84,$Y93))</f>
        <v/>
      </c>
      <c r="E93" s="343" t="str" cm="1">
        <f t="array" ref="E93">IF($Y93="","",IFERROR(VLOOKUP(INDEX($C$46:$C$84,$Y93),Lançamentos!$B$3:$T$1001,19,0),""))</f>
        <v/>
      </c>
      <c r="F93" s="333" t="str" cm="1">
        <f t="array" ref="F93">IF($Y93="","",INDEX($H$46:$H$84,$Y93))</f>
        <v/>
      </c>
      <c r="G93" s="331"/>
      <c r="H93" s="320"/>
      <c r="I93" s="320"/>
      <c r="J93" s="320"/>
      <c r="K93" s="320"/>
      <c r="L93" s="320"/>
      <c r="M93" s="320"/>
      <c r="N93" s="320"/>
      <c r="O93" s="261"/>
      <c r="P93" s="261"/>
      <c r="Q93" s="261"/>
      <c r="R93" s="261"/>
      <c r="S93" s="261"/>
      <c r="T93" s="261"/>
      <c r="U93" s="261"/>
      <c r="V93" s="261"/>
      <c r="Y93" t="str" cm="1">
        <f t="array" ref="Y93">IFERROR(_xlfn.AGGREGATE(15,6,(ROW($F$46:$F$84)-45)/(ISNUMBER(SEARCH("Concluído",$F$46:$F$84))*($B$46:$B$84=$C$6)),ROWS($Y$88:$Y93)),"")</f>
        <v/>
      </c>
    </row>
    <row r="94" spans="1:26" ht="14.25" customHeight="1" x14ac:dyDescent="0.35">
      <c r="A94" s="261"/>
      <c r="B94" s="333" t="str" cm="1">
        <f t="array" ref="B94">IF($Y94="","",INDEX($C$46:$C$84,$Y94))</f>
        <v/>
      </c>
      <c r="C94" s="333" t="str" cm="1">
        <f t="array" ref="C94">IF($Y94="","",INDEX($D$46:$D$84,$Y94))</f>
        <v/>
      </c>
      <c r="D94" s="333" t="str" cm="1">
        <f t="array" ref="D94">IF($Y94="","",INDEX($E$46:$E$84,$Y94))</f>
        <v/>
      </c>
      <c r="E94" s="343" t="str" cm="1">
        <f t="array" ref="E94">IF($Y94="","",IFERROR(VLOOKUP(INDEX($C$46:$C$84,$Y94),Lançamentos!$B$3:$T$1001,19,0),""))</f>
        <v/>
      </c>
      <c r="F94" s="333" t="str" cm="1">
        <f t="array" ref="F94">IF($Y94="","",INDEX($H$46:$H$84,$Y94))</f>
        <v/>
      </c>
      <c r="G94" s="331"/>
      <c r="H94" s="320"/>
      <c r="I94" s="320"/>
      <c r="J94" s="320"/>
      <c r="K94" s="320"/>
      <c r="L94" s="320"/>
      <c r="M94" s="320"/>
      <c r="N94" s="320"/>
      <c r="O94" s="261"/>
      <c r="P94" s="261"/>
      <c r="Q94" s="261"/>
      <c r="R94" s="261"/>
      <c r="S94" s="261"/>
      <c r="T94" s="261"/>
      <c r="U94" s="261"/>
      <c r="V94" s="261"/>
      <c r="Y94" t="str" cm="1">
        <f t="array" ref="Y94">IFERROR(_xlfn.AGGREGATE(15,6,(ROW($F$46:$F$84)-45)/(ISNUMBER(SEARCH("Concluído",$F$46:$F$84))*($B$46:$B$84=$C$6)),ROWS($Y$88:$Y94)),"")</f>
        <v/>
      </c>
    </row>
    <row r="95" spans="1:26" ht="14.25" customHeight="1" x14ac:dyDescent="0.35">
      <c r="A95" s="261"/>
      <c r="B95" s="333" t="str" cm="1">
        <f t="array" ref="B95">IF($Y95="","",INDEX($C$46:$C$84,$Y95))</f>
        <v/>
      </c>
      <c r="C95" s="333" t="str" cm="1">
        <f t="array" ref="C95">IF($Y95="","",INDEX($D$46:$D$84,$Y95))</f>
        <v/>
      </c>
      <c r="D95" s="333" t="str" cm="1">
        <f t="array" ref="D95">IF($Y95="","",INDEX($E$46:$E$84,$Y95))</f>
        <v/>
      </c>
      <c r="E95" s="343" t="str" cm="1">
        <f t="array" ref="E95">IF($Y95="","",IFERROR(VLOOKUP(INDEX($C$46:$C$84,$Y95),Lançamentos!$B$3:$T$1001,19,0),""))</f>
        <v/>
      </c>
      <c r="F95" s="333" t="str" cm="1">
        <f t="array" ref="F95">IF($Y95="","",INDEX($H$46:$H$84,$Y95))</f>
        <v/>
      </c>
      <c r="G95" s="331"/>
      <c r="H95" s="320"/>
      <c r="I95" s="320"/>
      <c r="J95" s="320"/>
      <c r="K95" s="320"/>
      <c r="L95" s="320"/>
      <c r="M95" s="320"/>
      <c r="N95" s="320"/>
      <c r="O95" s="261"/>
      <c r="P95" s="261"/>
      <c r="Q95" s="261"/>
      <c r="R95" s="261"/>
      <c r="S95" s="261"/>
      <c r="T95" s="261"/>
      <c r="U95" s="261"/>
      <c r="V95" s="261"/>
      <c r="Y95" t="str" cm="1">
        <f t="array" ref="Y95">IFERROR(_xlfn.AGGREGATE(15,6,(ROW($F$46:$F$84)-45)/(ISNUMBER(SEARCH("Concluído",$F$46:$F$84))*($B$46:$B$84=$C$6)),ROWS($Y$88:$Y95)),"")</f>
        <v/>
      </c>
    </row>
    <row r="96" spans="1:26" ht="14.25" customHeight="1" x14ac:dyDescent="0.35">
      <c r="A96" s="261"/>
      <c r="B96" s="333" t="str" cm="1">
        <f t="array" ref="B96">IF($Y96="","",INDEX($C$46:$C$84,$Y96))</f>
        <v/>
      </c>
      <c r="C96" s="333" t="str" cm="1">
        <f t="array" ref="C96">IF($Y96="","",INDEX($D$46:$D$84,$Y96))</f>
        <v/>
      </c>
      <c r="D96" s="333" t="str" cm="1">
        <f t="array" ref="D96">IF($Y96="","",INDEX($E$46:$E$84,$Y96))</f>
        <v/>
      </c>
      <c r="E96" s="343" t="str" cm="1">
        <f t="array" ref="E96">IF($Y96="","",IFERROR(VLOOKUP(INDEX($C$46:$C$84,$Y96),Lançamentos!$B$3:$T$1001,19,0),""))</f>
        <v/>
      </c>
      <c r="F96" s="333" t="str" cm="1">
        <f t="array" ref="F96">IF($Y96="","",INDEX($H$46:$H$84,$Y96))</f>
        <v/>
      </c>
      <c r="G96" s="331"/>
      <c r="H96" s="320"/>
      <c r="I96" s="320"/>
      <c r="J96" s="320"/>
      <c r="K96" s="320"/>
      <c r="L96" s="320"/>
      <c r="M96" s="320"/>
      <c r="N96" s="320"/>
      <c r="O96" s="261"/>
      <c r="P96" s="261"/>
      <c r="Q96" s="261"/>
      <c r="R96" s="261"/>
      <c r="S96" s="261"/>
      <c r="T96" s="261"/>
      <c r="U96" s="261"/>
      <c r="V96" s="261"/>
      <c r="Y96" t="str" cm="1">
        <f t="array" ref="Y96">IFERROR(_xlfn.AGGREGATE(15,6,(ROW($F$46:$F$84)-45)/(ISNUMBER(SEARCH("Concluído",$F$46:$F$84))*($B$46:$B$84=$C$6)),ROWS($Y$88:$Y96)),"")</f>
        <v/>
      </c>
    </row>
    <row r="97" spans="1:26" ht="14.25" customHeight="1" x14ac:dyDescent="0.35">
      <c r="A97" s="261"/>
      <c r="B97" s="333" t="str" cm="1">
        <f t="array" ref="B97">IF($Y97="","",INDEX($C$46:$C$84,$Y97))</f>
        <v/>
      </c>
      <c r="C97" s="333" t="str" cm="1">
        <f t="array" ref="C97">IF($Y97="","",INDEX($D$46:$D$84,$Y97))</f>
        <v/>
      </c>
      <c r="D97" s="333" t="str" cm="1">
        <f t="array" ref="D97">IF($Y97="","",INDEX($E$46:$E$84,$Y97))</f>
        <v/>
      </c>
      <c r="E97" s="343" t="str" cm="1">
        <f t="array" ref="E97">IF($Y97="","",IFERROR(VLOOKUP(INDEX($C$46:$C$84,$Y97),Lançamentos!$B$3:$T$1001,19,0),""))</f>
        <v/>
      </c>
      <c r="F97" s="333" t="str" cm="1">
        <f t="array" ref="F97">IF($Y97="","",INDEX($H$46:$H$84,$Y97))</f>
        <v/>
      </c>
      <c r="G97" s="331"/>
      <c r="H97" s="320"/>
      <c r="I97" s="320"/>
      <c r="J97" s="320"/>
      <c r="K97" s="320"/>
      <c r="L97" s="320"/>
      <c r="M97" s="320"/>
      <c r="N97" s="320"/>
      <c r="O97" s="261"/>
      <c r="P97" s="261"/>
      <c r="Q97" s="261"/>
      <c r="R97" s="261"/>
      <c r="S97" s="261"/>
      <c r="T97" s="261"/>
      <c r="U97" s="261"/>
      <c r="V97" s="261"/>
      <c r="Y97" t="str" cm="1">
        <f t="array" ref="Y97">IFERROR(_xlfn.AGGREGATE(15,6,(ROW($F$46:$F$84)-45)/(ISNUMBER(SEARCH("Concluído",$F$46:$F$84))*($B$46:$B$84=$C$6)),ROWS($Y$88:$Y97)),"")</f>
        <v/>
      </c>
    </row>
    <row r="98" spans="1:26" x14ac:dyDescent="0.35">
      <c r="A98" s="261"/>
      <c r="B98" s="344"/>
      <c r="C98" s="344"/>
      <c r="D98" s="344"/>
      <c r="E98" s="344"/>
      <c r="F98" s="344"/>
      <c r="G98" s="261"/>
      <c r="H98" s="261"/>
      <c r="I98" s="261"/>
      <c r="J98" s="261"/>
      <c r="K98" s="261"/>
      <c r="L98" s="261"/>
      <c r="M98" s="261"/>
      <c r="N98" s="261"/>
      <c r="O98" s="261"/>
      <c r="P98" s="261"/>
      <c r="Q98" s="261"/>
      <c r="R98" s="261"/>
      <c r="S98" s="261"/>
      <c r="T98" s="261"/>
      <c r="U98" s="261"/>
      <c r="V98" s="261"/>
      <c r="Z98" t="str" cm="1">
        <f t="array" ref="Z98">IFERROR(_xlfn.AGGREGATE(15,6,ROW(Lançamentos!$J$3:$J$1001)/((Lançamentos!$AL$3:$AL$1001&lt;&gt;"Encerrado")*(Lançamentos!$S$3:$S$1001&lt;&gt;"Cancelado")*(Lançamentos!$J$3:$J$1001&lt;&gt;"")),76),"")</f>
        <v/>
      </c>
    </row>
    <row r="99" spans="1:26" ht="19.5" customHeight="1" x14ac:dyDescent="0.35">
      <c r="A99" s="261"/>
      <c r="B99" s="321" t="s">
        <v>630</v>
      </c>
      <c r="C99" s="321"/>
      <c r="D99" s="321"/>
      <c r="E99" s="261"/>
      <c r="F99" s="261"/>
      <c r="G99" s="261"/>
      <c r="H99" s="261"/>
      <c r="I99" s="261"/>
      <c r="J99" s="261"/>
      <c r="K99" s="261"/>
      <c r="L99" s="261"/>
      <c r="M99" s="261"/>
      <c r="N99" s="261"/>
      <c r="O99" s="261"/>
      <c r="P99" s="261"/>
      <c r="Q99" s="261"/>
      <c r="R99" s="261"/>
      <c r="S99" s="261"/>
      <c r="T99" s="261"/>
      <c r="U99" s="261"/>
      <c r="V99" s="261"/>
      <c r="Z99" t="str" cm="1">
        <f t="array" ref="Z99">IFERROR(_xlfn.AGGREGATE(15,6,ROW(Lançamentos!$J$3:$J$1001)/((Lançamentos!$AL$3:$AL$1001&lt;&gt;"Encerrado")*(Lançamentos!$S$3:$S$1001&lt;&gt;"Cancelado")*(Lançamentos!$J$3:$J$1001&lt;&gt;"")),77),"")</f>
        <v/>
      </c>
    </row>
    <row r="100" spans="1:26" ht="14.25" customHeight="1" x14ac:dyDescent="0.35">
      <c r="A100" s="261"/>
      <c r="B100" s="355" t="s">
        <v>127</v>
      </c>
      <c r="C100" s="355" t="s">
        <v>126</v>
      </c>
      <c r="D100" s="354" t="s">
        <v>134</v>
      </c>
      <c r="E100" s="341"/>
      <c r="F100" s="261"/>
      <c r="G100" s="261"/>
      <c r="H100" s="261"/>
      <c r="I100" s="261"/>
      <c r="J100" s="261"/>
      <c r="K100" s="261"/>
      <c r="L100" s="261"/>
      <c r="M100" s="261"/>
      <c r="N100" s="261"/>
      <c r="O100" s="261"/>
      <c r="P100" s="261"/>
      <c r="Q100" s="261"/>
      <c r="R100" s="261"/>
      <c r="S100" s="261"/>
      <c r="T100" s="261"/>
      <c r="U100" s="261"/>
      <c r="V100" s="261"/>
      <c r="Z100" t="str" cm="1">
        <f t="array" ref="Z100">IFERROR(_xlfn.AGGREGATE(15,6,ROW(Lançamentos!$J$3:$J$1001)/((Lançamentos!$AL$3:$AL$1001&lt;&gt;"Encerrado")*(Lançamentos!$S$3:$S$1001&lt;&gt;"Cancelado")*(Lançamentos!$J$3:$J$1001&lt;&gt;"")),78),"")</f>
        <v/>
      </c>
    </row>
    <row r="101" spans="1:26" ht="14.25" customHeight="1" x14ac:dyDescent="0.35">
      <c r="A101" s="261"/>
      <c r="B101" s="345" t="str" cm="1">
        <f t="array" ref="B101">IF($T101="","",INDEX($E$46:$E$84,$T101))</f>
        <v/>
      </c>
      <c r="C101" s="356" t="str" cm="1">
        <f t="array" ref="C101">IF($T101="","",INDEX($C$46:$C$84,$T101))</f>
        <v/>
      </c>
      <c r="D101" s="347" t="str" cm="1">
        <f t="array" ref="D101">IF($T101="","",INDEX($I$46:$I$84,$T101))</f>
        <v/>
      </c>
      <c r="E101" s="341"/>
      <c r="F101" s="261"/>
      <c r="G101" s="261"/>
      <c r="H101" s="261"/>
      <c r="I101" s="261"/>
      <c r="J101" s="261"/>
      <c r="K101" s="261"/>
      <c r="L101" s="261"/>
      <c r="M101" s="261"/>
      <c r="N101" s="261"/>
      <c r="O101" s="261"/>
      <c r="P101" s="261"/>
      <c r="Q101" s="261"/>
      <c r="R101" s="261"/>
      <c r="S101" s="261"/>
      <c r="T101" s="261" t="str" cm="1">
        <f t="array" ref="T101">IFERROR(_xlfn.AGGREGATE(15,6,(ROW($F$46:$F$84)-45)/(($B$46:$B$84=$C$6)*($F$46:$F$84&lt;&gt;"🟢 Concluído")*($F$46:$F$84&lt;&gt;"")*($I$46:$I$84&lt;&gt;"")*($I$46:$I$84&lt;&gt;"Sem pendências")),ROWS($T$101:$T101)),"")</f>
        <v/>
      </c>
      <c r="U101" s="261"/>
      <c r="V101" s="261"/>
      <c r="Y101" t="str" cm="1">
        <f t="array" ref="Y101">IFERROR(_xlfn.AGGREGATE(15,6,(ROW($K$46:$K$84)-45)/(($K$46:$K$84&lt;&gt;"")*($B$46:$B$84=$C$6)),ROWS($Y$101:$Y101)),"")</f>
        <v/>
      </c>
      <c r="Z101" t="str" cm="1">
        <f t="array" ref="Z101">IFERROR(_xlfn.AGGREGATE(15,6,ROW(Lançamentos!$J$3:$J$1001)/((Lançamentos!$AL$3:$AL$1001&lt;&gt;"Encerrado")*(Lançamentos!$S$3:$S$1001&lt;&gt;"Cancelado")*(Lançamentos!$J$3:$J$1001&lt;&gt;"")),79),"")</f>
        <v/>
      </c>
    </row>
    <row r="102" spans="1:26" ht="14.25" customHeight="1" x14ac:dyDescent="0.35">
      <c r="A102" s="261"/>
      <c r="B102" s="345" t="str" cm="1">
        <f t="array" ref="B102">IF($T102="","",INDEX($E$46:$E$84,$T102))</f>
        <v/>
      </c>
      <c r="C102" s="356" t="str" cm="1">
        <f t="array" ref="C102">IF($T102="","",INDEX($C$46:$C$84,$T102))</f>
        <v/>
      </c>
      <c r="D102" s="347" t="str" cm="1">
        <f t="array" ref="D102">IF($T102="","",INDEX($I$46:$I$84,$T102))</f>
        <v/>
      </c>
      <c r="E102" s="341"/>
      <c r="F102" s="261"/>
      <c r="G102" s="261"/>
      <c r="H102" s="261"/>
      <c r="I102" s="261"/>
      <c r="J102" s="261"/>
      <c r="K102" s="261"/>
      <c r="L102" s="261"/>
      <c r="M102" s="261"/>
      <c r="N102" s="261"/>
      <c r="O102" s="261"/>
      <c r="P102" s="261"/>
      <c r="Q102" s="261"/>
      <c r="R102" s="261"/>
      <c r="S102" s="261"/>
      <c r="T102" s="261" t="str" cm="1">
        <f t="array" ref="T102">IFERROR(_xlfn.AGGREGATE(15,6,(ROW($F$46:$F$84)-45)/(($B$46:$B$84=$C$6)*($F$46:$F$84&lt;&gt;"🟢 Concluído")*($F$46:$F$84&lt;&gt;"")*($I$46:$I$84&lt;&gt;"")*($I$46:$I$84&lt;&gt;"Sem pendências")),ROWS($T$101:$T102)),"")</f>
        <v/>
      </c>
      <c r="U102" s="261"/>
      <c r="V102" s="261"/>
      <c r="Y102" t="str" cm="1">
        <f t="array" ref="Y102">IFERROR(_xlfn.AGGREGATE(15,6,(ROW($K$46:$K$84)-45)/(($K$46:$K$84&lt;&gt;"")*($B$46:$B$84=$C$6)),ROWS($Y$101:$Y102)),"")</f>
        <v/>
      </c>
      <c r="Z102" t="str" cm="1">
        <f t="array" ref="Z102">IFERROR(_xlfn.AGGREGATE(15,6,ROW(Lançamentos!$J$3:$J$1001)/((Lançamentos!$AL$3:$AL$1001&lt;&gt;"Encerrado")*(Lançamentos!$S$3:$S$1001&lt;&gt;"Cancelado")*(Lançamentos!$J$3:$J$1001&lt;&gt;"")),80),"")</f>
        <v/>
      </c>
    </row>
    <row r="103" spans="1:26" ht="14.25" customHeight="1" x14ac:dyDescent="0.35">
      <c r="A103" s="261"/>
      <c r="B103" s="346" t="str" cm="1">
        <f t="array" ref="B103">IF($T103="","",INDEX($E$46:$E$84,$T103))</f>
        <v/>
      </c>
      <c r="C103" s="356" t="str" cm="1">
        <f t="array" ref="C103">IF($T103="","",INDEX($C$46:$C$84,$T103))</f>
        <v/>
      </c>
      <c r="D103" s="347" t="str" cm="1">
        <f t="array" ref="D103">IF($T103="","",INDEX($I$46:$I$84,$T103))</f>
        <v/>
      </c>
      <c r="E103" s="341"/>
      <c r="F103" s="261"/>
      <c r="G103" s="261"/>
      <c r="H103" s="261"/>
      <c r="I103" s="261"/>
      <c r="J103" s="261"/>
      <c r="K103" s="261"/>
      <c r="L103" s="261"/>
      <c r="M103" s="261"/>
      <c r="N103" s="261"/>
      <c r="O103" s="261"/>
      <c r="P103" s="261"/>
      <c r="Q103" s="261"/>
      <c r="R103" s="261"/>
      <c r="S103" s="261"/>
      <c r="T103" s="261" t="str" cm="1">
        <f t="array" ref="T103">IFERROR(_xlfn.AGGREGATE(15,6,(ROW($F$46:$F$84)-45)/(($B$46:$B$84=$C$6)*($F$46:$F$84&lt;&gt;"🟢 Concluído")*($F$46:$F$84&lt;&gt;"")*($I$46:$I$84&lt;&gt;"")*($I$46:$I$84&lt;&gt;"Sem pendências")),ROWS($T$101:$T103)),"")</f>
        <v/>
      </c>
      <c r="U103" s="261"/>
      <c r="V103" s="261"/>
      <c r="Y103" t="str" cm="1">
        <f t="array" ref="Y103">IFERROR(_xlfn.AGGREGATE(15,6,(ROW($K$46:$K$84)-45)/(($K$46:$K$84&lt;&gt;"")*($B$46:$B$84=$C$6)),ROWS($Y$101:$Y103)),"")</f>
        <v/>
      </c>
      <c r="Z103" t="str" cm="1">
        <f t="array" ref="Z103">IFERROR(_xlfn.AGGREGATE(15,6,ROW(Lançamentos!$J$3:$J$1001)/((Lançamentos!$AL$3:$AL$1001&lt;&gt;"Encerrado")*(Lançamentos!$S$3:$S$1001&lt;&gt;"Cancelado")*(Lançamentos!$J$3:$J$1001&lt;&gt;"")),81),"")</f>
        <v/>
      </c>
    </row>
    <row r="104" spans="1:26" ht="14.25" customHeight="1" x14ac:dyDescent="0.35">
      <c r="A104" s="261"/>
      <c r="B104" s="346" t="str" cm="1">
        <f t="array" ref="B104">IF($T104="","",INDEX($E$46:$E$84,$T104))</f>
        <v/>
      </c>
      <c r="C104" s="356" t="str" cm="1">
        <f t="array" ref="C104">IF($T104="","",INDEX($C$46:$C$84,$T104))</f>
        <v/>
      </c>
      <c r="D104" s="347" t="str" cm="1">
        <f t="array" ref="D104">IF($T104="","",INDEX($I$46:$I$84,$T104))</f>
        <v/>
      </c>
      <c r="E104" s="341"/>
      <c r="F104" s="261"/>
      <c r="G104" s="261"/>
      <c r="H104" s="261"/>
      <c r="I104" s="261"/>
      <c r="J104" s="261"/>
      <c r="K104" s="261"/>
      <c r="L104" s="261"/>
      <c r="M104" s="261"/>
      <c r="N104" s="261"/>
      <c r="O104" s="261"/>
      <c r="P104" s="261"/>
      <c r="Q104" s="261"/>
      <c r="R104" s="261"/>
      <c r="S104" s="261"/>
      <c r="T104" s="261" t="str" cm="1">
        <f t="array" ref="T104">IFERROR(_xlfn.AGGREGATE(15,6,(ROW($F$46:$F$84)-45)/(($B$46:$B$84=$C$6)*($F$46:$F$84&lt;&gt;"🟢 Concluído")*($F$46:$F$84&lt;&gt;"")*($I$46:$I$84&lt;&gt;"")*($I$46:$I$84&lt;&gt;"Sem pendências")),ROWS($T$101:$T104)),"")</f>
        <v/>
      </c>
      <c r="U104" s="261"/>
      <c r="V104" s="261"/>
      <c r="Y104" t="str" cm="1">
        <f t="array" ref="Y104">IFERROR(_xlfn.AGGREGATE(15,6,(ROW($K$46:$K$84)-45)/(($K$46:$K$84&lt;&gt;"")*($B$46:$B$84=$C$6)),ROWS($Y$101:$Y104)),"")</f>
        <v/>
      </c>
      <c r="Z104" t="str" cm="1">
        <f t="array" ref="Z104">IFERROR(_xlfn.AGGREGATE(15,6,ROW(Lançamentos!$J$3:$J$1001)/((Lançamentos!$AL$3:$AL$1001&lt;&gt;"Encerrado")*(Lançamentos!$S$3:$S$1001&lt;&gt;"Cancelado")*(Lançamentos!$J$3:$J$1001&lt;&gt;"")),82),"")</f>
        <v/>
      </c>
    </row>
    <row r="105" spans="1:26" ht="14.25" customHeight="1" x14ac:dyDescent="0.35">
      <c r="A105" s="261"/>
      <c r="B105" s="346" t="str" cm="1">
        <f t="array" ref="B105">IF($T105="","",INDEX($E$46:$E$84,$T105))</f>
        <v/>
      </c>
      <c r="C105" s="356" t="str" cm="1">
        <f t="array" ref="C105">IF($T105="","",INDEX($C$46:$C$84,$T105))</f>
        <v/>
      </c>
      <c r="D105" s="347" t="str" cm="1">
        <f t="array" ref="D105">IF($T105="","",INDEX($I$46:$I$84,$T105))</f>
        <v/>
      </c>
      <c r="E105" s="341"/>
      <c r="F105" s="261"/>
      <c r="G105" s="261"/>
      <c r="H105" s="261"/>
      <c r="I105" s="261"/>
      <c r="J105" s="261"/>
      <c r="K105" s="261"/>
      <c r="L105" s="261"/>
      <c r="M105" s="261"/>
      <c r="N105" s="261"/>
      <c r="O105" s="261"/>
      <c r="P105" s="261"/>
      <c r="Q105" s="261"/>
      <c r="R105" s="261"/>
      <c r="S105" s="261"/>
      <c r="T105" s="261" t="str" cm="1">
        <f t="array" ref="T105">IFERROR(_xlfn.AGGREGATE(15,6,(ROW($F$46:$F$84)-45)/(($B$46:$B$84=$C$6)*($F$46:$F$84&lt;&gt;"🟢 Concluído")*($F$46:$F$84&lt;&gt;"")*($I$46:$I$84&lt;&gt;"")*($I$46:$I$84&lt;&gt;"Sem pendências")),ROWS($T$101:$T105)),"")</f>
        <v/>
      </c>
      <c r="U105" s="261"/>
      <c r="V105" s="261"/>
      <c r="Y105" t="str" cm="1">
        <f t="array" ref="Y105">IFERROR(_xlfn.AGGREGATE(15,6,(ROW($K$46:$K$84)-45)/(($K$46:$K$84&lt;&gt;"")*($B$46:$B$84=$C$6)),ROWS($Y$101:$Y105)),"")</f>
        <v/>
      </c>
      <c r="Z105" t="str" cm="1">
        <f t="array" ref="Z105">IFERROR(_xlfn.AGGREGATE(15,6,ROW(Lançamentos!$J$3:$J$1001)/((Lançamentos!$AL$3:$AL$1001&lt;&gt;"Encerrado")*(Lançamentos!$S$3:$S$1001&lt;&gt;"Cancelado")*(Lançamentos!$J$3:$J$1001&lt;&gt;"")),83),"")</f>
        <v/>
      </c>
    </row>
    <row r="106" spans="1:26" x14ac:dyDescent="0.35">
      <c r="A106" s="261"/>
      <c r="B106" s="328"/>
      <c r="C106" s="328"/>
      <c r="D106" s="328"/>
      <c r="E106" s="320"/>
      <c r="F106" s="261"/>
      <c r="G106" s="320"/>
      <c r="H106" s="320"/>
      <c r="I106" s="320"/>
      <c r="J106" s="320"/>
      <c r="K106" s="320"/>
      <c r="L106" s="320"/>
      <c r="M106" s="320"/>
      <c r="N106" s="320"/>
      <c r="O106" s="261"/>
      <c r="P106" s="261"/>
      <c r="Q106" s="261"/>
      <c r="R106" s="261"/>
      <c r="S106" s="261"/>
      <c r="T106" s="261"/>
      <c r="U106" s="261"/>
      <c r="V106" s="261"/>
      <c r="Z106" t="str" cm="1">
        <f t="array" ref="Z106">IFERROR(_xlfn.AGGREGATE(15,6,ROW(Lançamentos!$J$3:$J$1001)/((Lançamentos!$AL$3:$AL$1001&lt;&gt;"Encerrado")*(Lançamentos!$S$3:$S$1001&lt;&gt;"Cancelado")*(Lançamentos!$J$3:$J$1001&lt;&gt;"")),84),"")</f>
        <v/>
      </c>
    </row>
    <row r="107" spans="1:26" ht="19.5" customHeight="1" x14ac:dyDescent="0.35">
      <c r="A107" s="261"/>
      <c r="B107" s="321" t="s">
        <v>631</v>
      </c>
      <c r="C107" s="321"/>
      <c r="D107" s="321"/>
      <c r="E107" s="320"/>
      <c r="F107" s="261"/>
      <c r="G107" s="261"/>
      <c r="H107" s="261"/>
      <c r="I107" s="261"/>
      <c r="J107" s="261"/>
      <c r="K107" s="261"/>
      <c r="L107" s="261"/>
      <c r="M107" s="261"/>
      <c r="N107" s="261"/>
      <c r="O107" s="261"/>
      <c r="P107" s="261"/>
      <c r="Q107" s="261"/>
      <c r="R107" s="261"/>
      <c r="S107" s="261"/>
      <c r="T107" s="261"/>
      <c r="U107" s="261"/>
      <c r="V107" s="261"/>
      <c r="Z107" t="str" cm="1">
        <f t="array" ref="Z107">IFERROR(_xlfn.AGGREGATE(15,6,ROW(Lançamentos!$J$3:$J$1001)/((Lançamentos!$AL$3:$AL$1001&lt;&gt;"Encerrado")*(Lançamentos!$S$3:$S$1001&lt;&gt;"Cancelado")*(Lançamentos!$J$3:$J$1001&lt;&gt;"")),85),"")</f>
        <v/>
      </c>
    </row>
    <row r="108" spans="1:26" ht="14.25" customHeight="1" x14ac:dyDescent="0.35">
      <c r="A108" s="261"/>
      <c r="B108" s="355" t="s">
        <v>127</v>
      </c>
      <c r="C108" s="354" t="s">
        <v>126</v>
      </c>
      <c r="D108" s="354" t="s">
        <v>805</v>
      </c>
      <c r="E108" s="331"/>
      <c r="F108" s="261"/>
      <c r="G108" s="261"/>
      <c r="H108" s="261"/>
      <c r="I108" s="320"/>
      <c r="J108" s="320"/>
      <c r="K108" s="320"/>
      <c r="L108" s="320"/>
      <c r="M108" s="320"/>
      <c r="N108" s="320"/>
      <c r="O108" s="261"/>
      <c r="P108" s="261"/>
      <c r="Q108" s="261"/>
      <c r="R108" s="261"/>
      <c r="S108" s="261"/>
      <c r="T108" s="261"/>
      <c r="U108" s="261"/>
      <c r="V108" s="261"/>
      <c r="Z108" t="str" cm="1">
        <f t="array" ref="Z108">IFERROR(_xlfn.AGGREGATE(15,6,ROW(Lançamentos!$J$3:$J$1001)/((Lançamentos!$AL$3:$AL$1001&lt;&gt;"Encerrado")*(Lançamentos!$S$3:$S$1001&lt;&gt;"Cancelado")*(Lançamentos!$J$3:$J$1001&lt;&gt;"")),86),"")</f>
        <v/>
      </c>
    </row>
    <row r="109" spans="1:26" ht="14.25" customHeight="1" x14ac:dyDescent="0.35">
      <c r="A109" s="261"/>
      <c r="B109" s="346" t="str" cm="1">
        <f t="array" ref="B109">IF($U109="","",INDEX($E$46:$E$84,$U109))</f>
        <v/>
      </c>
      <c r="C109" s="356" t="str" cm="1">
        <f t="array" ref="C109">IF($U109="","",INDEX($C$46:$C$84,$U109))</f>
        <v/>
      </c>
      <c r="D109" s="347" t="str" cm="1">
        <f t="array" ref="D109">IF($U109="","",INDEX($G$46:$G$84,$U109))</f>
        <v/>
      </c>
      <c r="E109" s="331"/>
      <c r="F109" s="261"/>
      <c r="G109" s="261"/>
      <c r="H109" s="261"/>
      <c r="I109" s="320"/>
      <c r="J109" s="320"/>
      <c r="K109" s="320"/>
      <c r="L109" s="320"/>
      <c r="M109" s="320"/>
      <c r="N109" s="320"/>
      <c r="O109" s="261"/>
      <c r="P109" s="261"/>
      <c r="Q109" s="261"/>
      <c r="R109" s="261"/>
      <c r="S109" s="261"/>
      <c r="T109" s="261"/>
      <c r="U109" s="261" t="str" cm="1">
        <f t="array" ref="U109">IFERROR(_xlfn.AGGREGATE(15,6,(ROW($F$46:$F$84)-45)/(($B$46:$B$84=$C$6)*($F$46:$F$84="🔴 Bloqueado")),ROWS($U$109:$U109)),"")</f>
        <v/>
      </c>
      <c r="V109" s="261"/>
      <c r="Y109" t="str" cm="1">
        <f t="array" ref="Y109">IFERROR(_xlfn.AGGREGATE(15,6,(ROW($F$46:$F$84)-45)/(ISNUMBER(SEARCH("🔴",$F$46:$F$84))*($B$46:$B$84=$C$6)),ROWS($Y$109:$Y109)),"")</f>
        <v/>
      </c>
      <c r="Z109" t="str" cm="1">
        <f t="array" ref="Z109">IFERROR(_xlfn.AGGREGATE(15,6,ROW(Lançamentos!$J$3:$J$1001)/((Lançamentos!$AL$3:$AL$1001&lt;&gt;"Encerrado")*(Lançamentos!$S$3:$S$1001&lt;&gt;"Cancelado")*(Lançamentos!$J$3:$J$1001&lt;&gt;"")),87),"")</f>
        <v/>
      </c>
    </row>
    <row r="110" spans="1:26" ht="14.25" customHeight="1" x14ac:dyDescent="0.35">
      <c r="A110" s="261"/>
      <c r="B110" s="346" t="str" cm="1">
        <f t="array" ref="B110">IF($U110="","",INDEX($E$46:$E$84,$U110))</f>
        <v/>
      </c>
      <c r="C110" s="356" t="str" cm="1">
        <f t="array" ref="C110">IF($U110="","",INDEX($C$46:$C$84,$U110))</f>
        <v/>
      </c>
      <c r="D110" s="347" t="str" cm="1">
        <f t="array" ref="D110">IF($U110="","",INDEX($G$46:$G$84,$U110))</f>
        <v/>
      </c>
      <c r="E110" s="331"/>
      <c r="F110" s="261"/>
      <c r="G110" s="261"/>
      <c r="H110" s="261"/>
      <c r="I110" s="320"/>
      <c r="J110" s="320"/>
      <c r="K110" s="320"/>
      <c r="L110" s="320"/>
      <c r="M110" s="320"/>
      <c r="N110" s="320"/>
      <c r="O110" s="261"/>
      <c r="P110" s="261"/>
      <c r="Q110" s="261"/>
      <c r="R110" s="261"/>
      <c r="S110" s="261"/>
      <c r="T110" s="261"/>
      <c r="U110" s="261" t="str" cm="1">
        <f t="array" ref="U110">IFERROR(_xlfn.AGGREGATE(15,6,(ROW($F$46:$F$84)-45)/(($B$46:$B$84=$C$6)*($F$46:$F$84="🔴 Bloqueado")),ROWS($U$109:$U110)),"")</f>
        <v/>
      </c>
      <c r="V110" s="261"/>
      <c r="Y110" t="str" cm="1">
        <f t="array" ref="Y110">IFERROR(_xlfn.AGGREGATE(15,6,(ROW($F$46:$F$84)-45)/(ISNUMBER(SEARCH("🔴",$F$46:$F$84))*($B$46:$B$84=$C$6)),ROWS($Y$109:$Y110)),"")</f>
        <v/>
      </c>
      <c r="Z110" t="str" cm="1">
        <f t="array" ref="Z110">IFERROR(_xlfn.AGGREGATE(15,6,ROW(Lançamentos!$J$3:$J$1001)/((Lançamentos!$AL$3:$AL$1001&lt;&gt;"Encerrado")*(Lançamentos!$S$3:$S$1001&lt;&gt;"Cancelado")*(Lançamentos!$J$3:$J$1001&lt;&gt;"")),88),"")</f>
        <v/>
      </c>
    </row>
    <row r="111" spans="1:26" ht="14.25" customHeight="1" x14ac:dyDescent="0.35">
      <c r="A111" s="261"/>
      <c r="B111" s="346" t="str" cm="1">
        <f t="array" ref="B111">IF($U111="","",INDEX($E$46:$E$84,$U111))</f>
        <v/>
      </c>
      <c r="C111" s="356" t="str" cm="1">
        <f t="array" ref="C111">IF($U111="","",INDEX($C$46:$C$84,$U111))</f>
        <v/>
      </c>
      <c r="D111" s="347" t="str" cm="1">
        <f t="array" ref="D111">IF($U111="","",INDEX($G$46:$G$84,$U111))</f>
        <v/>
      </c>
      <c r="E111" s="331"/>
      <c r="F111" s="261"/>
      <c r="G111" s="261"/>
      <c r="H111" s="261"/>
      <c r="I111" s="320"/>
      <c r="J111" s="320"/>
      <c r="K111" s="320"/>
      <c r="L111" s="320"/>
      <c r="M111" s="320"/>
      <c r="N111" s="320"/>
      <c r="O111" s="261"/>
      <c r="P111" s="261"/>
      <c r="Q111" s="261"/>
      <c r="R111" s="261"/>
      <c r="S111" s="261"/>
      <c r="T111" s="261"/>
      <c r="U111" s="261" t="str" cm="1">
        <f t="array" ref="U111">IFERROR(_xlfn.AGGREGATE(15,6,(ROW($F$46:$F$84)-45)/(($B$46:$B$84=$C$6)*($F$46:$F$84="🔴 Bloqueado")),ROWS($U$109:$U111)),"")</f>
        <v/>
      </c>
      <c r="V111" s="261"/>
      <c r="Y111" t="str" cm="1">
        <f t="array" ref="Y111">IFERROR(_xlfn.AGGREGATE(15,6,(ROW($F$46:$F$84)-45)/(ISNUMBER(SEARCH("🔴",$F$46:$F$84))*($B$46:$B$84=$C$6)),ROWS($Y$109:$Y111)),"")</f>
        <v/>
      </c>
      <c r="Z111" t="str" cm="1">
        <f t="array" ref="Z111">IFERROR(_xlfn.AGGREGATE(15,6,ROW(Lançamentos!$J$3:$J$1001)/((Lançamentos!$AL$3:$AL$1001&lt;&gt;"Encerrado")*(Lançamentos!$S$3:$S$1001&lt;&gt;"Cancelado")*(Lançamentos!$J$3:$J$1001&lt;&gt;"")),89),"")</f>
        <v/>
      </c>
    </row>
    <row r="112" spans="1:26" ht="14.25" customHeight="1" x14ac:dyDescent="0.35">
      <c r="A112" s="261"/>
      <c r="B112" s="346" t="str" cm="1">
        <f t="array" ref="B112">IF($U112="","",INDEX($E$46:$E$84,$U112))</f>
        <v/>
      </c>
      <c r="C112" s="356" t="str" cm="1">
        <f t="array" ref="C112">IF($U112="","",INDEX($C$46:$C$84,$U112))</f>
        <v/>
      </c>
      <c r="D112" s="347" t="str" cm="1">
        <f t="array" ref="D112">IF($U112="","",INDEX($G$46:$G$84,$U112))</f>
        <v/>
      </c>
      <c r="E112" s="331"/>
      <c r="F112" s="261"/>
      <c r="G112" s="261"/>
      <c r="H112" s="261"/>
      <c r="I112" s="320"/>
      <c r="J112" s="320"/>
      <c r="K112" s="320"/>
      <c r="L112" s="320"/>
      <c r="M112" s="320"/>
      <c r="N112" s="320"/>
      <c r="O112" s="261"/>
      <c r="P112" s="261"/>
      <c r="Q112" s="261"/>
      <c r="R112" s="261"/>
      <c r="S112" s="261"/>
      <c r="T112" s="261"/>
      <c r="U112" s="261" t="str" cm="1">
        <f t="array" ref="U112">IFERROR(_xlfn.AGGREGATE(15,6,(ROW($F$46:$F$84)-45)/(($B$46:$B$84=$C$6)*($F$46:$F$84="🔴 Bloqueado")),ROWS($U$109:$U112)),"")</f>
        <v/>
      </c>
      <c r="V112" s="261"/>
      <c r="Y112" t="str" cm="1">
        <f t="array" ref="Y112">IFERROR(_xlfn.AGGREGATE(15,6,(ROW($F$46:$F$84)-45)/(ISNUMBER(SEARCH("🔴",$F$46:$F$84))*($B$46:$B$84=$C$6)),ROWS($Y$109:$Y112)),"")</f>
        <v/>
      </c>
      <c r="Z112" t="str" cm="1">
        <f t="array" ref="Z112">IFERROR(_xlfn.AGGREGATE(15,6,ROW(Lançamentos!$J$3:$J$1001)/((Lançamentos!$AL$3:$AL$1001&lt;&gt;"Encerrado")*(Lançamentos!$S$3:$S$1001&lt;&gt;"Cancelado")*(Lançamentos!$J$3:$J$1001&lt;&gt;"")),90),"")</f>
        <v/>
      </c>
    </row>
    <row r="113" spans="1:26" ht="14.25" customHeight="1" x14ac:dyDescent="0.35">
      <c r="A113" s="261"/>
      <c r="B113" s="346" t="str" cm="1">
        <f t="array" ref="B113">IF($U113="","",INDEX($E$46:$E$84,$U113))</f>
        <v/>
      </c>
      <c r="C113" s="356" t="str" cm="1">
        <f t="array" ref="C113">IF($U113="","",INDEX($C$46:$C$84,$U113))</f>
        <v/>
      </c>
      <c r="D113" s="347" t="str" cm="1">
        <f t="array" ref="D113">IF($U113="","",INDEX($G$46:$G$84,$U113))</f>
        <v/>
      </c>
      <c r="E113" s="331"/>
      <c r="F113" s="261"/>
      <c r="G113" s="261"/>
      <c r="H113" s="261"/>
      <c r="I113" s="320"/>
      <c r="J113" s="320"/>
      <c r="K113" s="320"/>
      <c r="L113" s="320"/>
      <c r="M113" s="320"/>
      <c r="N113" s="320"/>
      <c r="O113" s="261"/>
      <c r="P113" s="261"/>
      <c r="Q113" s="261"/>
      <c r="R113" s="261"/>
      <c r="S113" s="261"/>
      <c r="T113" s="261"/>
      <c r="U113" s="261" t="str" cm="1">
        <f t="array" ref="U113">IFERROR(_xlfn.AGGREGATE(15,6,(ROW($F$46:$F$84)-45)/(($B$46:$B$84=$C$6)*($F$46:$F$84="🔴 Bloqueado")),ROWS($U$109:$U113)),"")</f>
        <v/>
      </c>
      <c r="V113" s="261"/>
      <c r="Y113" t="str" cm="1">
        <f t="array" ref="Y113">IFERROR(_xlfn.AGGREGATE(15,6,(ROW($F$46:$F$84)-45)/(ISNUMBER(SEARCH("🔴",$F$46:$F$84))*($B$46:$B$84=$C$6)),ROWS($Y$109:$Y113)),"")</f>
        <v/>
      </c>
      <c r="Z113" t="str" cm="1">
        <f t="array" ref="Z113">IFERROR(_xlfn.AGGREGATE(15,6,ROW(Lançamentos!$J$3:$J$1001)/((Lançamentos!$AL$3:$AL$1001&lt;&gt;"Encerrado")*(Lançamentos!$S$3:$S$1001&lt;&gt;"Cancelado")*(Lançamentos!$J$3:$J$1001&lt;&gt;"")),91),"")</f>
        <v/>
      </c>
    </row>
    <row r="114" spans="1:26" x14ac:dyDescent="0.35">
      <c r="A114" s="261"/>
      <c r="B114" s="328"/>
      <c r="C114" s="328"/>
      <c r="D114" s="328"/>
      <c r="E114" s="320"/>
      <c r="F114" s="320"/>
      <c r="G114" s="320"/>
      <c r="H114" s="320"/>
      <c r="I114" s="320"/>
      <c r="J114" s="320"/>
      <c r="K114" s="320"/>
      <c r="L114" s="320"/>
      <c r="M114" s="320"/>
      <c r="N114" s="320"/>
      <c r="O114" s="320"/>
      <c r="P114" s="261"/>
      <c r="Q114" s="261"/>
      <c r="R114" s="261"/>
      <c r="S114" s="261"/>
      <c r="T114" s="261"/>
      <c r="U114" s="261"/>
      <c r="V114" s="261"/>
      <c r="Z114" t="str" cm="1">
        <f t="array" ref="Z114">IFERROR(_xlfn.AGGREGATE(15,6,ROW(Lançamentos!$J$3:$J$1001)/((Lançamentos!$AL$3:$AL$1001&lt;&gt;"Encerrado")*(Lançamentos!$S$3:$S$1001&lt;&gt;"Cancelado")*(Lançamentos!$J$3:$J$1001&lt;&gt;"")),92),"")</f>
        <v/>
      </c>
    </row>
    <row r="115" spans="1:26" ht="19.5" customHeight="1" x14ac:dyDescent="0.35">
      <c r="A115" s="261"/>
      <c r="B115" s="321" t="s">
        <v>632</v>
      </c>
      <c r="C115" s="321"/>
      <c r="D115" s="321"/>
      <c r="E115" s="320"/>
      <c r="F115" s="320"/>
      <c r="G115" s="320"/>
      <c r="H115" s="320"/>
      <c r="I115" s="320"/>
      <c r="J115" s="320"/>
      <c r="K115" s="320"/>
      <c r="L115" s="320"/>
      <c r="M115" s="320"/>
      <c r="N115" s="320"/>
      <c r="O115" s="320"/>
      <c r="P115" s="261"/>
      <c r="Q115" s="261"/>
      <c r="R115" s="261"/>
      <c r="S115" s="261"/>
      <c r="T115" s="261"/>
      <c r="U115" s="261"/>
      <c r="V115" s="261"/>
      <c r="Z115" t="str" cm="1">
        <f t="array" ref="Z115">IFERROR(_xlfn.AGGREGATE(15,6,ROW(Lançamentos!$J$3:$J$1001)/((Lançamentos!$AL$3:$AL$1001&lt;&gt;"Encerrado")*(Lançamentos!$S$3:$S$1001&lt;&gt;"Cancelado")*(Lançamentos!$J$3:$J$1001&lt;&gt;"")),93),"")</f>
        <v/>
      </c>
    </row>
    <row r="116" spans="1:26" ht="14.25" customHeight="1" x14ac:dyDescent="0.35">
      <c r="A116" s="261"/>
      <c r="B116" s="355" t="s">
        <v>127</v>
      </c>
      <c r="C116" s="354" t="s">
        <v>126</v>
      </c>
      <c r="D116" s="354" t="s">
        <v>806</v>
      </c>
      <c r="E116" s="331"/>
      <c r="F116" s="320"/>
      <c r="G116" s="320"/>
      <c r="H116" s="320"/>
      <c r="I116" s="320"/>
      <c r="J116" s="320"/>
      <c r="K116" s="320"/>
      <c r="L116" s="320"/>
      <c r="M116" s="320"/>
      <c r="N116" s="320"/>
      <c r="O116" s="320"/>
      <c r="P116" s="261"/>
      <c r="Q116" s="261"/>
      <c r="R116" s="261"/>
      <c r="S116" s="261"/>
      <c r="T116" s="261"/>
      <c r="U116" s="261"/>
      <c r="V116" s="261"/>
      <c r="Z116" t="str" cm="1">
        <f t="array" ref="Z116">IFERROR(_xlfn.AGGREGATE(15,6,ROW(Lançamentos!$J$3:$J$1001)/((Lançamentos!$AL$3:$AL$1001&lt;&gt;"Encerrado")*(Lançamentos!$S$3:$S$1001&lt;&gt;"Cancelado")*(Lançamentos!$J$3:$J$1001&lt;&gt;"")),94),"")</f>
        <v/>
      </c>
    </row>
    <row r="117" spans="1:26" ht="14.25" customHeight="1" x14ac:dyDescent="0.35">
      <c r="A117" s="261"/>
      <c r="B117" s="345" t="str" cm="1">
        <f t="array" ref="B117">IF($V117="","",INDEX($E$46:$E$84,$V117))</f>
        <v/>
      </c>
      <c r="C117" s="356" t="str" cm="1">
        <f t="array" ref="C117">IF($V117="","",INDEX($C$46:$C$84,$V117))</f>
        <v/>
      </c>
      <c r="D117" s="346" t="str" cm="1">
        <f t="array" ref="D117">IF($V117="","",INDEX($G$46:$G$84,$V117))</f>
        <v/>
      </c>
      <c r="E117" s="331"/>
      <c r="F117" s="320"/>
      <c r="G117" s="320"/>
      <c r="H117" s="320"/>
      <c r="I117" s="320"/>
      <c r="J117" s="320"/>
      <c r="K117" s="320"/>
      <c r="L117" s="320"/>
      <c r="M117" s="320"/>
      <c r="N117" s="320"/>
      <c r="O117" s="320"/>
      <c r="P117" s="261"/>
      <c r="Q117" s="261"/>
      <c r="R117" s="261"/>
      <c r="S117" s="261"/>
      <c r="T117" s="261"/>
      <c r="U117" s="261"/>
      <c r="V117" s="261" t="str" cm="1">
        <f t="array" ref="V117">IFERROR(_xlfn.AGGREGATE(15,6,(ROW($F$46:$F$84)-45)/(($B$46:$B$84=$C$6)*(LEFT($G$46:$G$84,10)="Aguardando")),ROWS($V$117:$V117)),"")</f>
        <v/>
      </c>
      <c r="Y117" t="str" cm="1">
        <f t="array" ref="Y117">IFERROR(_xlfn.AGGREGATE(15,6,(ROW($J$46:$J$84)-45)/(($J$46:$J$84="Sim")*($B$46:$B$84=$C$6)),ROWS($Y$117:$Y117)),"")</f>
        <v/>
      </c>
      <c r="Z117" t="str" cm="1">
        <f t="array" ref="Z117">IFERROR(_xlfn.AGGREGATE(15,6,ROW(Lançamentos!$J$3:$J$1001)/((Lançamentos!$AL$3:$AL$1001&lt;&gt;"Encerrado")*(Lançamentos!$S$3:$S$1001&lt;&gt;"Cancelado")*(Lançamentos!$J$3:$J$1001&lt;&gt;"")),95),"")</f>
        <v/>
      </c>
    </row>
    <row r="118" spans="1:26" ht="14.25" customHeight="1" x14ac:dyDescent="0.35">
      <c r="A118" s="261"/>
      <c r="B118" s="345" t="str" cm="1">
        <f t="array" ref="B118">IF($V118="","",INDEX($E$46:$E$84,$V118))</f>
        <v/>
      </c>
      <c r="C118" s="356" t="str" cm="1">
        <f t="array" ref="C118">IF($V118="","",INDEX($C$46:$C$84,$V118))</f>
        <v/>
      </c>
      <c r="D118" s="346" t="str" cm="1">
        <f t="array" ref="D118">IF($V118="","",INDEX($G$46:$G$84,$V118))</f>
        <v/>
      </c>
      <c r="E118" s="331"/>
      <c r="F118" s="320"/>
      <c r="G118" s="320"/>
      <c r="H118" s="320"/>
      <c r="I118" s="320"/>
      <c r="J118" s="320"/>
      <c r="K118" s="320"/>
      <c r="L118" s="320"/>
      <c r="M118" s="320"/>
      <c r="N118" s="320"/>
      <c r="O118" s="320"/>
      <c r="P118" s="261"/>
      <c r="Q118" s="261"/>
      <c r="R118" s="261"/>
      <c r="S118" s="261"/>
      <c r="T118" s="261"/>
      <c r="U118" s="261"/>
      <c r="V118" s="261" t="str" cm="1">
        <f t="array" ref="V118">IFERROR(_xlfn.AGGREGATE(15,6,(ROW($F$46:$F$84)-45)/(($B$46:$B$84=$C$6)*(LEFT($G$46:$G$84,10)="Aguardando")),ROWS($V$117:$V118)),"")</f>
        <v/>
      </c>
      <c r="Y118" t="str" cm="1">
        <f t="array" ref="Y118">IFERROR(_xlfn.AGGREGATE(15,6,(ROW($J$46:$J$84)-45)/(($J$46:$J$84="Sim")*($B$46:$B$84=$C$6)),ROWS($Y$117:$Y118)),"")</f>
        <v/>
      </c>
      <c r="Z118" t="str" cm="1">
        <f t="array" ref="Z118">IFERROR(_xlfn.AGGREGATE(15,6,ROW(Lançamentos!$J$3:$J$1001)/((Lançamentos!$AL$3:$AL$1001&lt;&gt;"Encerrado")*(Lançamentos!$S$3:$S$1001&lt;&gt;"Cancelado")*(Lançamentos!$J$3:$J$1001&lt;&gt;"")),96),"")</f>
        <v/>
      </c>
    </row>
    <row r="119" spans="1:26" ht="14.25" customHeight="1" x14ac:dyDescent="0.35">
      <c r="A119" s="261"/>
      <c r="B119" s="346" t="str" cm="1">
        <f t="array" ref="B119">IF($V119="","",INDEX($E$46:$E$84,$V119))</f>
        <v/>
      </c>
      <c r="C119" s="356" t="str" cm="1">
        <f t="array" ref="C119">IF($V119="","",INDEX($C$46:$C$84,$V119))</f>
        <v/>
      </c>
      <c r="D119" s="346" t="str" cm="1">
        <f t="array" ref="D119">IF($V119="","",INDEX($G$46:$G$84,$V119))</f>
        <v/>
      </c>
      <c r="E119" s="331"/>
      <c r="F119" s="320"/>
      <c r="G119" s="320"/>
      <c r="H119" s="320"/>
      <c r="I119" s="320"/>
      <c r="J119" s="320"/>
      <c r="K119" s="320"/>
      <c r="L119" s="320"/>
      <c r="M119" s="320"/>
      <c r="N119" s="320"/>
      <c r="O119" s="320"/>
      <c r="P119" s="261"/>
      <c r="Q119" s="261"/>
      <c r="R119" s="261"/>
      <c r="S119" s="261"/>
      <c r="T119" s="261"/>
      <c r="U119" s="261"/>
      <c r="V119" s="261" t="str" cm="1">
        <f t="array" ref="V119">IFERROR(_xlfn.AGGREGATE(15,6,(ROW($F$46:$F$84)-45)/(($B$46:$B$84=$C$6)*(LEFT($G$46:$G$84,10)="Aguardando")),ROWS($V$117:$V119)),"")</f>
        <v/>
      </c>
      <c r="Y119" t="str" cm="1">
        <f t="array" ref="Y119">IFERROR(_xlfn.AGGREGATE(15,6,(ROW($J$46:$J$84)-45)/(($J$46:$J$84="Sim")*($B$46:$B$84=$C$6)),ROWS($Y$117:$Y119)),"")</f>
        <v/>
      </c>
      <c r="Z119" t="str" cm="1">
        <f t="array" ref="Z119">IFERROR(_xlfn.AGGREGATE(15,6,ROW(Lançamentos!$J$3:$J$1001)/((Lançamentos!$AL$3:$AL$1001&lt;&gt;"Encerrado")*(Lançamentos!$S$3:$S$1001&lt;&gt;"Cancelado")*(Lançamentos!$J$3:$J$1001&lt;&gt;"")),97),"")</f>
        <v/>
      </c>
    </row>
    <row r="120" spans="1:26" ht="14.25" customHeight="1" x14ac:dyDescent="0.35">
      <c r="A120" s="261"/>
      <c r="B120" s="346" t="str" cm="1">
        <f t="array" ref="B120">IF($V120="","",INDEX($E$46:$E$84,$V120))</f>
        <v/>
      </c>
      <c r="C120" s="356" t="str" cm="1">
        <f t="array" ref="C120">IF($V120="","",INDEX($C$46:$C$84,$V120))</f>
        <v/>
      </c>
      <c r="D120" s="346" t="str" cm="1">
        <f t="array" ref="D120">IF($V120="","",INDEX($G$46:$G$84,$V120))</f>
        <v/>
      </c>
      <c r="E120" s="331"/>
      <c r="F120" s="320"/>
      <c r="G120" s="320"/>
      <c r="H120" s="320"/>
      <c r="I120" s="320"/>
      <c r="J120" s="320"/>
      <c r="K120" s="320"/>
      <c r="L120" s="320"/>
      <c r="M120" s="320"/>
      <c r="N120" s="320"/>
      <c r="O120" s="320"/>
      <c r="P120" s="261"/>
      <c r="Q120" s="261"/>
      <c r="R120" s="261"/>
      <c r="S120" s="261"/>
      <c r="T120" s="261"/>
      <c r="U120" s="261"/>
      <c r="V120" s="261" t="str" cm="1">
        <f t="array" ref="V120">IFERROR(_xlfn.AGGREGATE(15,6,(ROW($F$46:$F$84)-45)/(($B$46:$B$84=$C$6)*(LEFT($G$46:$G$84,10)="Aguardando")),ROWS($V$117:$V120)),"")</f>
        <v/>
      </c>
      <c r="Y120" t="str" cm="1">
        <f t="array" ref="Y120">IFERROR(_xlfn.AGGREGATE(15,6,(ROW($J$46:$J$84)-45)/(($J$46:$J$84="Sim")*($B$46:$B$84=$C$6)),ROWS($Y$117:$Y120)),"")</f>
        <v/>
      </c>
      <c r="Z120" t="str" cm="1">
        <f t="array" ref="Z120">IFERROR(_xlfn.AGGREGATE(15,6,ROW(Lançamentos!$J$3:$J$1001)/((Lançamentos!$AL$3:$AL$1001&lt;&gt;"Encerrado")*(Lançamentos!$S$3:$S$1001&lt;&gt;"Cancelado")*(Lançamentos!$J$3:$J$1001&lt;&gt;"")),98),"")</f>
        <v/>
      </c>
    </row>
    <row r="121" spans="1:26" x14ac:dyDescent="0.35">
      <c r="A121" s="261"/>
      <c r="B121" s="328"/>
      <c r="C121" s="328"/>
      <c r="D121" s="328"/>
      <c r="E121" s="320"/>
      <c r="F121" s="320"/>
      <c r="G121" s="320"/>
      <c r="H121" s="320"/>
      <c r="I121" s="320"/>
      <c r="J121" s="320"/>
      <c r="K121" s="320"/>
      <c r="L121" s="320"/>
      <c r="M121" s="320"/>
      <c r="N121" s="320"/>
      <c r="O121" s="320"/>
      <c r="P121" s="261"/>
      <c r="Q121" s="261"/>
      <c r="R121" s="261"/>
      <c r="S121" s="261"/>
      <c r="T121" s="261"/>
      <c r="U121" s="261"/>
      <c r="V121" s="261"/>
      <c r="Z121" t="str" cm="1">
        <f t="array" ref="Z121">IFERROR(_xlfn.AGGREGATE(15,6,ROW(Lançamentos!$J$3:$J$1001)/((Lançamentos!$AL$3:$AL$1001&lt;&gt;"Encerrado")*(Lançamentos!$S$3:$S$1001&lt;&gt;"Cancelado")*(Lançamentos!$J$3:$J$1001&lt;&gt;"")),99),"")</f>
        <v/>
      </c>
    </row>
    <row r="122" spans="1:26" ht="19.5" customHeight="1" x14ac:dyDescent="0.35">
      <c r="A122" s="261"/>
      <c r="B122" s="321" t="s">
        <v>634</v>
      </c>
      <c r="C122" s="321"/>
      <c r="D122" s="321"/>
      <c r="E122" s="320"/>
      <c r="F122" s="261"/>
      <c r="G122" s="320"/>
      <c r="H122" s="320"/>
      <c r="I122" s="320"/>
      <c r="J122" s="320"/>
      <c r="K122" s="320"/>
      <c r="L122" s="320"/>
      <c r="M122" s="320"/>
      <c r="N122" s="320"/>
      <c r="O122" s="261"/>
      <c r="P122" s="261"/>
      <c r="Q122" s="261"/>
      <c r="R122" s="261"/>
      <c r="S122" s="261"/>
      <c r="T122" s="261"/>
      <c r="U122" s="261"/>
      <c r="V122" s="261"/>
      <c r="Z122" t="str" cm="1">
        <f t="array" ref="Z122">IFERROR(_xlfn.AGGREGATE(15,6,ROW(Lançamentos!$J$3:$J$1001)/((Lançamentos!$AL$3:$AL$1001&lt;&gt;"Encerrado")*(Lançamentos!$S$3:$S$1001&lt;&gt;"Cancelado")*(Lançamentos!$J$3:$J$1001&lt;&gt;"")),128),"")</f>
        <v/>
      </c>
    </row>
    <row r="123" spans="1:26" ht="15" customHeight="1" x14ac:dyDescent="0.35">
      <c r="A123" s="261"/>
      <c r="B123" s="348" t="s">
        <v>147</v>
      </c>
      <c r="C123" s="330"/>
      <c r="D123" s="330"/>
      <c r="E123" s="331"/>
      <c r="F123" s="261"/>
      <c r="G123" s="320"/>
      <c r="H123" s="320"/>
      <c r="I123" s="320"/>
      <c r="J123" s="320"/>
      <c r="K123" s="320"/>
      <c r="L123" s="320"/>
      <c r="M123" s="320"/>
      <c r="N123" s="320"/>
      <c r="O123" s="261"/>
      <c r="P123" s="261"/>
      <c r="Q123" s="261"/>
      <c r="R123" s="261"/>
      <c r="S123" s="261"/>
      <c r="T123" s="261"/>
      <c r="U123" s="261"/>
      <c r="V123" s="261"/>
      <c r="Z123" t="str" cm="1">
        <f t="array" ref="Z123">IFERROR(_xlfn.AGGREGATE(15,6,ROW(Lançamentos!$J$3:$J$1001)/((Lançamentos!$AL$3:$AL$1001&lt;&gt;"Encerrado")*(Lançamentos!$S$3:$S$1001&lt;&gt;"Cancelado")*(Lançamentos!$J$3:$J$1001&lt;&gt;"")),129),"")</f>
        <v/>
      </c>
    </row>
    <row r="124" spans="1:26" ht="14.25" customHeight="1" x14ac:dyDescent="0.35">
      <c r="A124" s="261"/>
      <c r="B124" s="348"/>
      <c r="C124" s="330"/>
      <c r="D124" s="330"/>
      <c r="E124" s="331"/>
      <c r="F124" s="261"/>
      <c r="G124" s="320"/>
      <c r="H124" s="320"/>
      <c r="I124" s="320"/>
      <c r="J124" s="320"/>
      <c r="K124" s="320"/>
      <c r="L124" s="320"/>
      <c r="M124" s="320"/>
      <c r="N124" s="320"/>
      <c r="O124" s="261"/>
      <c r="P124" s="261"/>
      <c r="Q124" s="261"/>
      <c r="R124" s="261"/>
      <c r="S124" s="261"/>
      <c r="T124" s="261"/>
      <c r="U124" s="261"/>
      <c r="V124" s="261"/>
      <c r="Z124" t="str" cm="1">
        <f t="array" ref="Z124">IFERROR(_xlfn.AGGREGATE(15,6,ROW(Lançamentos!$J$3:$J$1001)/((Lançamentos!$AL$3:$AL$1001&lt;&gt;"Encerrado")*(Lançamentos!$S$3:$S$1001&lt;&gt;"Cancelado")*(Lançamentos!$J$3:$J$1001&lt;&gt;"")),130),"")</f>
        <v/>
      </c>
    </row>
    <row r="125" spans="1:26" ht="15" customHeight="1" x14ac:dyDescent="0.35">
      <c r="A125" s="261"/>
      <c r="B125" s="348" t="s">
        <v>148</v>
      </c>
      <c r="C125" s="349"/>
      <c r="D125" s="349"/>
      <c r="E125" s="331"/>
      <c r="F125" s="261"/>
      <c r="G125" s="320"/>
      <c r="H125" s="320"/>
      <c r="I125" s="320"/>
      <c r="J125" s="320"/>
      <c r="K125" s="320"/>
      <c r="L125" s="320"/>
      <c r="M125" s="320"/>
      <c r="N125" s="320"/>
      <c r="O125" s="261"/>
      <c r="P125" s="261"/>
      <c r="Q125" s="261"/>
      <c r="R125" s="261"/>
      <c r="S125" s="261"/>
      <c r="T125" s="261"/>
      <c r="U125" s="261"/>
      <c r="V125" s="261"/>
      <c r="Z125" t="str" cm="1">
        <f t="array" ref="Z125">IFERROR(_xlfn.AGGREGATE(15,6,ROW(Lançamentos!$J$3:$J$1001)/((Lançamentos!$AL$3:$AL$1001&lt;&gt;"Encerrado")*(Lançamentos!$S$3:$S$1001&lt;&gt;"Cancelado")*(Lançamentos!$J$3:$J$1001&lt;&gt;"")),131),"")</f>
        <v/>
      </c>
    </row>
    <row r="126" spans="1:26" ht="14.25" customHeight="1" x14ac:dyDescent="0.35">
      <c r="A126" s="261"/>
      <c r="B126" s="348"/>
      <c r="C126" s="349"/>
      <c r="D126" s="349"/>
      <c r="E126" s="331"/>
      <c r="F126" s="261"/>
      <c r="G126" s="320"/>
      <c r="H126" s="320"/>
      <c r="I126" s="320"/>
      <c r="J126" s="320"/>
      <c r="K126" s="320"/>
      <c r="L126" s="320"/>
      <c r="M126" s="320"/>
      <c r="N126" s="320"/>
      <c r="O126" s="261"/>
      <c r="P126" s="261"/>
      <c r="Q126" s="261"/>
      <c r="R126" s="261"/>
      <c r="S126" s="261"/>
      <c r="T126" s="261"/>
      <c r="U126" s="261"/>
      <c r="V126" s="261"/>
      <c r="Z126" t="str" cm="1">
        <f t="array" ref="Z126">IFERROR(_xlfn.AGGREGATE(15,6,ROW(Lançamentos!$J$3:$J$1001)/((Lançamentos!$AL$3:$AL$1001&lt;&gt;"Encerrado")*(Lançamentos!$S$3:$S$1001&lt;&gt;"Cancelado")*(Lançamentos!$J$3:$J$1001&lt;&gt;"")),132),"")</f>
        <v/>
      </c>
    </row>
    <row r="127" spans="1:26" ht="14.25" customHeight="1" x14ac:dyDescent="0.35">
      <c r="A127" s="261"/>
      <c r="B127" s="326" t="s">
        <v>149</v>
      </c>
      <c r="C127" s="350"/>
      <c r="D127" s="350"/>
      <c r="E127" s="331"/>
      <c r="F127" s="261"/>
      <c r="G127" s="320"/>
      <c r="H127" s="320"/>
      <c r="I127" s="320"/>
      <c r="J127" s="320"/>
      <c r="K127" s="320"/>
      <c r="L127" s="320"/>
      <c r="M127" s="261"/>
      <c r="N127" s="261"/>
      <c r="O127" s="261"/>
      <c r="P127" s="261"/>
      <c r="Q127" s="261"/>
      <c r="R127" s="261"/>
      <c r="S127" s="261"/>
      <c r="T127" s="261"/>
      <c r="U127" s="261"/>
      <c r="V127" s="261"/>
      <c r="Z127" t="str" cm="1">
        <f t="array" ref="Z127">IFERROR(_xlfn.AGGREGATE(15,6,ROW(Lançamentos!$J$3:$J$1001)/((Lançamentos!$AL$3:$AL$1001&lt;&gt;"Encerrado")*(Lançamentos!$S$3:$S$1001&lt;&gt;"Cancelado")*(Lançamentos!$J$3:$J$1001&lt;&gt;"")),135),"")</f>
        <v/>
      </c>
    </row>
    <row r="128" spans="1:26" ht="14.25" customHeight="1" x14ac:dyDescent="0.35">
      <c r="A128" s="261"/>
      <c r="B128" s="326" t="s">
        <v>150</v>
      </c>
      <c r="C128" s="350"/>
      <c r="D128" s="350"/>
      <c r="E128" s="331"/>
      <c r="F128" s="261"/>
      <c r="G128" s="320"/>
      <c r="H128" s="320"/>
      <c r="I128" s="320"/>
      <c r="J128" s="320"/>
      <c r="K128" s="320"/>
      <c r="L128" s="320"/>
      <c r="M128" s="261"/>
      <c r="N128" s="261"/>
      <c r="O128" s="261"/>
      <c r="P128" s="261"/>
      <c r="Q128" s="261"/>
      <c r="R128" s="261"/>
      <c r="S128" s="261"/>
      <c r="T128" s="261"/>
      <c r="U128" s="261"/>
      <c r="V128" s="261"/>
      <c r="Z128" t="str" cm="1">
        <f t="array" ref="Z128">IFERROR(_xlfn.AGGREGATE(15,6,ROW(Lançamentos!$J$3:$J$1001)/((Lançamentos!$AL$3:$AL$1001&lt;&gt;"Encerrado")*(Lançamentos!$S$3:$S$1001&lt;&gt;"Cancelado")*(Lançamentos!$J$3:$J$1001&lt;&gt;"")),136),"")</f>
        <v/>
      </c>
    </row>
    <row r="129" spans="1:26" ht="14.25" customHeight="1" x14ac:dyDescent="0.35">
      <c r="A129" s="261"/>
      <c r="B129" s="326" t="s">
        <v>144</v>
      </c>
      <c r="C129" s="350"/>
      <c r="D129" s="350"/>
      <c r="E129" s="331"/>
      <c r="F129" s="261"/>
      <c r="G129" s="261"/>
      <c r="H129" s="261"/>
      <c r="I129" s="261"/>
      <c r="J129" s="261"/>
      <c r="K129" s="261"/>
      <c r="L129" s="261"/>
      <c r="M129" s="261"/>
      <c r="N129" s="261"/>
      <c r="O129" s="261"/>
      <c r="P129" s="261"/>
      <c r="Q129" s="261"/>
      <c r="R129" s="261"/>
      <c r="S129" s="261"/>
      <c r="T129" s="261"/>
      <c r="U129" s="261"/>
      <c r="V129" s="261"/>
      <c r="Z129" t="str" cm="1">
        <f t="array" ref="Z129">IFERROR(_xlfn.AGGREGATE(15,6,ROW(Lançamentos!$J$3:$J$1001)/((Lançamentos!$AL$3:$AL$1001&lt;&gt;"Encerrado")*(Lançamentos!$S$3:$S$1001&lt;&gt;"Cancelado")*(Lançamentos!$J$3:$J$1001&lt;&gt;"")),137),"")</f>
        <v/>
      </c>
    </row>
    <row r="130" spans="1:26" ht="14.25" customHeight="1" x14ac:dyDescent="0.35">
      <c r="A130" s="261"/>
      <c r="B130" s="326" t="s">
        <v>151</v>
      </c>
      <c r="C130" s="349"/>
      <c r="D130" s="349"/>
      <c r="E130" s="331"/>
      <c r="F130" s="261"/>
      <c r="G130" s="261"/>
      <c r="H130" s="261"/>
      <c r="I130" s="261"/>
      <c r="J130" s="261"/>
      <c r="K130" s="261"/>
      <c r="L130" s="261"/>
      <c r="M130" s="261"/>
      <c r="N130" s="261"/>
      <c r="O130" s="261"/>
      <c r="P130" s="261"/>
      <c r="Q130" s="261"/>
      <c r="R130" s="261"/>
      <c r="S130" s="261"/>
      <c r="T130" s="261"/>
      <c r="U130" s="261"/>
      <c r="V130" s="261"/>
      <c r="Z130" t="str" cm="1">
        <f t="array" ref="Z130">IFERROR(_xlfn.AGGREGATE(15,6,ROW(Lançamentos!$J$3:$J$1001)/((Lançamentos!$AL$3:$AL$1001&lt;&gt;"Encerrado")*(Lançamentos!$S$3:$S$1001&lt;&gt;"Cancelado")*(Lançamentos!$J$3:$J$1001&lt;&gt;"")),138),"")</f>
        <v/>
      </c>
    </row>
    <row r="131" spans="1:26" ht="14.25" customHeight="1" x14ac:dyDescent="0.35">
      <c r="A131" s="261"/>
      <c r="B131" s="351" t="s">
        <v>152</v>
      </c>
      <c r="C131" s="352"/>
      <c r="D131" s="352"/>
      <c r="E131" s="331"/>
      <c r="F131" s="261"/>
      <c r="G131" s="261"/>
      <c r="H131" s="261"/>
      <c r="I131" s="261"/>
      <c r="J131" s="261"/>
      <c r="K131" s="261"/>
      <c r="L131" s="261"/>
      <c r="M131" s="261"/>
      <c r="N131" s="261"/>
      <c r="O131" s="261"/>
      <c r="P131" s="261"/>
      <c r="Q131" s="261"/>
      <c r="R131" s="261"/>
      <c r="S131" s="261"/>
      <c r="T131" s="261"/>
      <c r="U131" s="261"/>
      <c r="V131" s="261"/>
      <c r="Z131" t="str" cm="1">
        <f t="array" ref="Z131">IFERROR(_xlfn.AGGREGATE(15,6,ROW(Lançamentos!$J$3:$J$1001)/((Lançamentos!$AL$3:$AL$1001&lt;&gt;"Encerrado")*(Lançamentos!$S$3:$S$1001&lt;&gt;"Cancelado")*(Lançamentos!$J$3:$J$1001&lt;&gt;"")),139),"")</f>
        <v/>
      </c>
    </row>
    <row r="132" spans="1:26" x14ac:dyDescent="0.35">
      <c r="E132" s="7"/>
    </row>
    <row r="133" spans="1:26" x14ac:dyDescent="0.35">
      <c r="E133" s="7"/>
    </row>
    <row r="134" spans="1:26" x14ac:dyDescent="0.35">
      <c r="E134" s="7"/>
    </row>
    <row r="135" spans="1:26" x14ac:dyDescent="0.35">
      <c r="E135" s="7"/>
    </row>
    <row r="136" spans="1:26" x14ac:dyDescent="0.35">
      <c r="E136" s="7"/>
    </row>
    <row r="137" spans="1:26" x14ac:dyDescent="0.35">
      <c r="E137" s="7"/>
    </row>
    <row r="138" spans="1:26" x14ac:dyDescent="0.35">
      <c r="E138" s="7"/>
    </row>
  </sheetData>
  <mergeCells count="7">
    <mergeCell ref="F11:H11"/>
    <mergeCell ref="F5:I5"/>
    <mergeCell ref="F6:H6"/>
    <mergeCell ref="F7:H7"/>
    <mergeCell ref="F8:H8"/>
    <mergeCell ref="F9:H9"/>
    <mergeCell ref="F10:H10"/>
  </mergeCells>
  <conditionalFormatting sqref="C127:C129">
    <cfRule type="expression" dxfId="37" priority="37">
      <formula>ISNUMBER(SEARCH("🔴",C127))</formula>
    </cfRule>
    <cfRule type="expression" dxfId="36" priority="38">
      <formula>ISNUMBER(SEARCH("🟡",C127))</formula>
    </cfRule>
    <cfRule type="expression" dxfId="35" priority="39">
      <formula>ISNUMBER(SEARCH("🟢",C127))</formula>
    </cfRule>
    <cfRule type="expression" dxfId="34" priority="40">
      <formula>ISNUMBER(SEARCH("⏸",C127))</formula>
    </cfRule>
  </conditionalFormatting>
  <conditionalFormatting sqref="D117:D120">
    <cfRule type="expression" dxfId="33" priority="29">
      <formula>ISNUMBER(SEARCH("🔴",D117))</formula>
    </cfRule>
    <cfRule type="expression" dxfId="32" priority="30">
      <formula>ISNUMBER(SEARCH("🟡",D117))</formula>
    </cfRule>
    <cfRule type="expression" dxfId="31" priority="31">
      <formula>ISNUMBER(SEARCH("🟢",D117))</formula>
    </cfRule>
    <cfRule type="expression" dxfId="30" priority="32">
      <formula>ISNUMBER(SEARCH("⏸",D117))</formula>
    </cfRule>
  </conditionalFormatting>
  <conditionalFormatting sqref="F46:F84">
    <cfRule type="cellIs" dxfId="29" priority="1" operator="equal">
      <formula>"🟢 Concluído"</formula>
    </cfRule>
    <cfRule type="cellIs" dxfId="28" priority="2" operator="equal">
      <formula>"🟡 Em andamento"</formula>
    </cfRule>
    <cfRule type="cellIs" dxfId="27" priority="3" operator="equal">
      <formula>"🔴 Bloqueado"</formula>
    </cfRule>
    <cfRule type="expression" dxfId="26" priority="25">
      <formula>ISNUMBER(SEARCH("🔴",F46))</formula>
    </cfRule>
    <cfRule type="expression" dxfId="25" priority="26">
      <formula>ISNUMBER(SEARCH("🟡",F46))</formula>
    </cfRule>
    <cfRule type="expression" dxfId="24" priority="27">
      <formula>ISNUMBER(SEARCH("🟢",F46))</formula>
    </cfRule>
    <cfRule type="expression" dxfId="23" priority="28">
      <formula>ISNUMBER(SEARCH("⏸",F46))</formula>
    </cfRule>
  </conditionalFormatting>
  <conditionalFormatting sqref="G23:G42">
    <cfRule type="expression" dxfId="22" priority="21">
      <formula>ISNUMBER(SEARCH("🔴",G23))</formula>
    </cfRule>
    <cfRule type="expression" dxfId="21" priority="22">
      <formula>ISNUMBER(SEARCH("🟡",G23))</formula>
    </cfRule>
    <cfRule type="expression" dxfId="20" priority="23">
      <formula>ISNUMBER(SEARCH("🟢",G23))</formula>
    </cfRule>
    <cfRule type="expression" dxfId="19" priority="24">
      <formula>ISNUMBER(SEARCH("⏸",G23))</formula>
    </cfRule>
  </conditionalFormatting>
  <conditionalFormatting sqref="H23:H42">
    <cfRule type="expression" dxfId="18" priority="5">
      <formula>AND($H23&lt;&gt;"",$H23&gt;=15)</formula>
    </cfRule>
    <cfRule type="expression" dxfId="17" priority="6">
      <formula>AND($H23&lt;&gt;"",$H23&gt;=8)</formula>
    </cfRule>
    <cfRule type="expression" dxfId="16" priority="44">
      <formula>AND($H23&lt;&gt;"",$H23&gt;$M$28)</formula>
    </cfRule>
  </conditionalFormatting>
  <conditionalFormatting sqref="H23:H43">
    <cfRule type="expression" dxfId="15" priority="19">
      <formula>AND($H23&lt;&gt;"",$H23&gt;$M$28)</formula>
    </cfRule>
  </conditionalFormatting>
  <conditionalFormatting sqref="L46:L84">
    <cfRule type="expression" dxfId="14" priority="46">
      <formula>AND($L46&lt;&gt;"",$L46&lt;TODAY(),ISERROR(SEARCH("Concluído",$F46)))</formula>
    </cfRule>
  </conditionalFormatting>
  <conditionalFormatting sqref="M26">
    <cfRule type="containsText" dxfId="13" priority="16" operator="containsText" text="🔴">
      <formula>NOT(ISERROR(SEARCH("🔴",M26)))</formula>
    </cfRule>
    <cfRule type="containsText" dxfId="12" priority="17" operator="containsText" text="🟡">
      <formula>NOT(ISERROR(SEARCH("🟡",M26)))</formula>
    </cfRule>
    <cfRule type="containsText" dxfId="11" priority="18" operator="containsText" text="🟢">
      <formula>NOT(ISERROR(SEARCH("🟢",M26)))</formula>
    </cfRule>
  </conditionalFormatting>
  <conditionalFormatting sqref="M46:M84">
    <cfRule type="dataBar" priority="48">
      <dataBar>
        <cfvo type="min"/>
        <cfvo type="max"/>
        <color rgb="FF0022F4"/>
      </dataBar>
      <extLst>
        <ext xmlns:x14="http://schemas.microsoft.com/office/spreadsheetml/2009/9/main" uri="{B025F937-C7B1-47D3-B67F-A62EFF666E3E}">
          <x14:id>{2A2DB772-5EC0-48CC-B174-2A24B63B44BA}</x14:id>
        </ext>
      </extLst>
    </cfRule>
  </conditionalFormatting>
  <conditionalFormatting sqref="N22">
    <cfRule type="cellIs" dxfId="10" priority="14" operator="greaterThan">
      <formula>0</formula>
    </cfRule>
  </conditionalFormatting>
  <conditionalFormatting sqref="N23">
    <cfRule type="cellIs" dxfId="9" priority="15" operator="greaterThanOrEqual">
      <formula>3</formula>
    </cfRule>
  </conditionalFormatting>
  <conditionalFormatting sqref="N46:N84">
    <cfRule type="expression" dxfId="8" priority="10">
      <formula>AND($C46&lt;&gt;"",$N46&gt;=3)</formula>
    </cfRule>
    <cfRule type="expression" dxfId="7" priority="45">
      <formula>AND($N46&lt;&gt;"",$N46&gt;=3)</formula>
    </cfRule>
  </conditionalFormatting>
  <dataValidations count="5">
    <dataValidation type="list" errorStyle="warning" allowBlank="1" showInputMessage="1" showErrorMessage="1" errorTitle="Valor fora da lista" error="Use uma das opções do dropdown." promptTitle="Necessita Apoio?" prompt="Sim = o gestor precisa agir." sqref="J46:J84" xr:uid="{126125D2-9A8F-4D13-8B0C-5F3A00490ED7}">
      <formula1>"Sim,Não"</formula1>
    </dataValidation>
    <dataValidation type="list" errorStyle="warning" allowBlank="1" showInputMessage="1" showErrorMessage="1" errorTitle="Valor fora da lista" error="Use uma das opções do dropdown." promptTitle="Avaliação" prompt="Avaliação da semana." sqref="C127:C129" xr:uid="{3B96D040-4BE5-49B4-8D47-714806A0AA46}">
      <formula1>"⭐ Excelente,✔ Bom,➖ Regular,⚠ Abaixo do esperado"</formula1>
    </dataValidation>
    <dataValidation type="list" allowBlank="1" showErrorMessage="1" errorTitle="Valor inválido" error="Use apenas valores da lista." prompt="Selecione na lista." sqref="B46:B84" xr:uid="{A4427EEC-E75A-4F7A-A1C3-62D4D960180B}">
      <formula1>$W$6:$W$18</formula1>
    </dataValidation>
    <dataValidation type="list" allowBlank="1" showErrorMessage="1" errorTitle="Valor inválido" error="Use apenas valores da lista." prompt="Selecione na lista." sqref="F46:F84" xr:uid="{F4171D14-389A-4271-B46F-D7D30902CC58}">
      <formula1>StatusSemana</formula1>
    </dataValidation>
    <dataValidation type="list" allowBlank="1" showErrorMessage="1" errorTitle="Valor inválido" error="Use apenas valores da lista." prompt="Selecione na lista." sqref="G46:G84" xr:uid="{7C0E33A4-C62A-45AC-B474-AD62C7C68E47}">
      <formula1>MotivoStatus</formula1>
    </dataValidation>
  </dataValidations>
  <hyperlinks>
    <hyperlink ref="B23" location="Lançamentos!B6" tooltip="Abrir atividade nos Lançamentos" display="Lançamentos!B6" xr:uid="{AB9FA779-D546-4BEB-8E86-D23517271546}"/>
    <hyperlink ref="B24:B42" location="Lançamentos!B6" tooltip="Abrir atividade nos Lançamentos" display="Lançamentos!B6" xr:uid="{6AF8D4BC-1BF6-4A29-B6A3-E6138E86A8E9}"/>
  </hyperlinks>
  <pageMargins left="0.75" right="0.75" top="1" bottom="1" header="0.511811023622047" footer="0.51180555555555596"/>
  <pageSetup paperSize="9" orientation="portrait" horizontalDpi="300" verticalDpi="300" r:id="rId1"/>
  <headerFooter>
    <oddFooter>&amp;C&amp;"Aptos,Regular"&amp;10 &amp;K008000_x005F_x000d_# Classificação: Pública</oddFooter>
  </headerFooter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A2DB772-5EC0-48CC-B174-2A24B63B44BA}">
            <x14:dataBar minLength="0" maxLength="100" border="1" direction="leftToRight" negativeBarBorderColorSameAsPositive="0" axisPosition="none">
              <x14:cfvo type="min"/>
              <x14:cfvo type="max"/>
              <x14:borderColor rgb="FF0022F4"/>
              <x14:negativeFillColor rgb="FFDC2626"/>
              <x14:negativeBorderColor rgb="FFDC2626"/>
            </x14:dataBar>
          </x14:cfRule>
          <xm:sqref>M46:M84</xm:sqref>
        </x14:conditionalFormatting>
      </x14:conditionalFormatting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BK49"/>
  <sheetViews>
    <sheetView showGridLines="0" zoomScale="80" zoomScaleNormal="80" workbookViewId="0"/>
  </sheetViews>
  <sheetFormatPr defaultColWidth="0" defaultRowHeight="14.5" x14ac:dyDescent="0.35"/>
  <cols>
    <col min="1" max="1" width="1.54296875" bestFit="1" customWidth="1"/>
    <col min="2" max="2" width="22.7265625" customWidth="1"/>
    <col min="3" max="3" width="21.26953125" bestFit="1" customWidth="1"/>
    <col min="4" max="4" width="20.54296875" bestFit="1" customWidth="1"/>
    <col min="5" max="5" width="10" bestFit="1" customWidth="1"/>
    <col min="6" max="6" width="11.453125" bestFit="1" customWidth="1"/>
    <col min="7" max="7" width="15.54296875" bestFit="1" customWidth="1"/>
    <col min="8" max="8" width="9.1796875" bestFit="1" customWidth="1"/>
    <col min="9" max="9" width="23.81640625" bestFit="1" customWidth="1"/>
    <col min="10" max="10" width="9.1796875" bestFit="1" customWidth="1"/>
    <col min="11" max="11" width="22.7265625" bestFit="1" customWidth="1"/>
    <col min="12" max="12" width="23.1796875" bestFit="1" customWidth="1"/>
    <col min="13" max="13" width="19.453125" bestFit="1" customWidth="1"/>
    <col min="14" max="14" width="26.54296875" bestFit="1" customWidth="1"/>
    <col min="15" max="15" width="23.7265625" bestFit="1" customWidth="1"/>
    <col min="16" max="16" width="22.453125" bestFit="1" customWidth="1"/>
    <col min="17" max="17" width="28.1796875" bestFit="1" customWidth="1"/>
    <col min="18" max="18" width="26" bestFit="1" customWidth="1"/>
    <col min="19" max="19" width="18" bestFit="1" customWidth="1"/>
    <col min="20" max="20" width="11.7265625" bestFit="1" customWidth="1"/>
    <col min="21" max="21" width="1.453125" bestFit="1" customWidth="1"/>
    <col min="22" max="22" width="24.81640625" bestFit="1" customWidth="1"/>
    <col min="23" max="23" width="16.7265625" bestFit="1" customWidth="1"/>
    <col min="24" max="24" width="1.453125" bestFit="1" customWidth="1"/>
    <col min="25" max="25" width="20.26953125" bestFit="1" customWidth="1"/>
    <col min="26" max="26" width="13.453125" bestFit="1" customWidth="1"/>
    <col min="27" max="27" width="1.453125" bestFit="1" customWidth="1"/>
    <col min="28" max="28" width="23.1796875" bestFit="1" customWidth="1"/>
    <col min="29" max="29" width="16.54296875" bestFit="1" customWidth="1"/>
    <col min="30" max="30" width="1.453125" bestFit="1" customWidth="1"/>
    <col min="31" max="31" width="56.26953125" bestFit="1" customWidth="1"/>
    <col min="32" max="32" width="41.453125" bestFit="1" customWidth="1"/>
    <col min="33" max="33" width="37.453125" bestFit="1" customWidth="1"/>
    <col min="34" max="34" width="45.81640625" bestFit="1" customWidth="1"/>
    <col min="35" max="35" width="22.26953125" bestFit="1" customWidth="1"/>
    <col min="36" max="36" width="33" bestFit="1" customWidth="1"/>
    <col min="37" max="37" width="22.1796875" bestFit="1" customWidth="1"/>
    <col min="38" max="38" width="25.7265625" bestFit="1" customWidth="1"/>
    <col min="39" max="39" width="21.54296875" bestFit="1" customWidth="1"/>
    <col min="40" max="40" width="1.453125" bestFit="1" customWidth="1"/>
    <col min="41" max="41" width="27.1796875" bestFit="1" customWidth="1"/>
    <col min="42" max="42" width="28.7265625" bestFit="1" customWidth="1"/>
    <col min="43" max="43" width="33.81640625" bestFit="1" customWidth="1"/>
    <col min="44" max="44" width="25.54296875" bestFit="1" customWidth="1"/>
    <col min="45" max="45" width="23.453125" bestFit="1" customWidth="1"/>
    <col min="46" max="46" width="20.81640625" bestFit="1" customWidth="1"/>
    <col min="47" max="47" width="1.453125" bestFit="1" customWidth="1"/>
    <col min="48" max="48" width="28.7265625" bestFit="1" customWidth="1"/>
    <col min="49" max="49" width="28.54296875" bestFit="1" customWidth="1"/>
    <col min="50" max="50" width="31" bestFit="1" customWidth="1"/>
    <col min="51" max="51" width="33" bestFit="1" customWidth="1"/>
    <col min="52" max="52" width="26.54296875" bestFit="1" customWidth="1"/>
    <col min="53" max="53" width="25.26953125" bestFit="1" customWidth="1"/>
    <col min="54" max="54" width="27.1796875" bestFit="1" customWidth="1"/>
    <col min="55" max="55" width="22.453125" bestFit="1" customWidth="1"/>
    <col min="56" max="56" width="25.54296875" bestFit="1" customWidth="1"/>
    <col min="57" max="57" width="24.453125" bestFit="1" customWidth="1"/>
    <col min="58" max="58" width="18.7265625" bestFit="1" customWidth="1"/>
    <col min="59" max="59" width="34.1796875" bestFit="1" customWidth="1"/>
    <col min="60" max="60" width="23.26953125" bestFit="1" customWidth="1"/>
    <col min="61" max="61" width="28.1796875" bestFit="1" customWidth="1"/>
    <col min="62" max="62" width="30.7265625" bestFit="1" customWidth="1"/>
    <col min="63" max="63" width="1.54296875" bestFit="1" customWidth="1"/>
    <col min="64" max="16384" width="8.54296875" hidden="1"/>
  </cols>
  <sheetData>
    <row r="2" spans="1:62" ht="27.75" customHeight="1" x14ac:dyDescent="0.35">
      <c r="A2" s="7"/>
      <c r="B2" s="314" t="s">
        <v>571</v>
      </c>
      <c r="C2" s="114"/>
      <c r="D2" s="313"/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4"/>
      <c r="R2" s="114"/>
      <c r="S2" s="114"/>
      <c r="T2" s="114"/>
      <c r="U2" s="114"/>
      <c r="V2" s="114"/>
      <c r="W2" s="114"/>
      <c r="X2" s="114"/>
      <c r="Y2" s="114"/>
      <c r="Z2" s="114"/>
      <c r="AA2" s="114"/>
      <c r="AB2" s="114"/>
      <c r="AC2" s="114"/>
      <c r="AD2" s="114"/>
      <c r="AE2" s="114"/>
      <c r="AF2" s="114"/>
      <c r="AG2" s="114"/>
      <c r="AH2" s="114"/>
      <c r="AI2" s="114"/>
      <c r="AJ2" s="114"/>
      <c r="AK2" s="114"/>
      <c r="AL2" s="114"/>
      <c r="AM2" s="114"/>
      <c r="AN2" s="114"/>
      <c r="AO2" s="114"/>
      <c r="AP2" s="114"/>
      <c r="AQ2" s="114"/>
      <c r="AR2" s="114"/>
      <c r="AS2" s="114"/>
      <c r="AT2" s="114"/>
      <c r="AU2" s="114"/>
      <c r="AV2" s="114"/>
      <c r="AW2" s="114"/>
      <c r="AX2" s="114"/>
      <c r="AY2" s="114"/>
      <c r="AZ2" s="114"/>
      <c r="BA2" s="114"/>
      <c r="BB2" s="114"/>
      <c r="BC2" s="114"/>
      <c r="BD2" s="114"/>
      <c r="BE2" s="114"/>
      <c r="BF2" s="114"/>
      <c r="BG2" s="114"/>
      <c r="BH2" s="114"/>
      <c r="BI2" s="114"/>
      <c r="BJ2" s="114"/>
    </row>
    <row r="3" spans="1:62" ht="14.25" customHeight="1" x14ac:dyDescent="0.35">
      <c r="A3" s="7"/>
      <c r="B3" s="115" t="s">
        <v>167</v>
      </c>
      <c r="C3" s="115"/>
      <c r="D3" s="115"/>
      <c r="E3" s="115"/>
      <c r="F3" s="115"/>
      <c r="G3" s="115"/>
      <c r="H3" s="115"/>
      <c r="I3" s="115"/>
      <c r="J3" s="115"/>
      <c r="K3" s="115"/>
      <c r="L3" s="115"/>
      <c r="M3" s="115"/>
      <c r="N3" s="115"/>
      <c r="O3" s="115"/>
      <c r="P3" s="115"/>
      <c r="Q3" s="115"/>
      <c r="R3" s="115"/>
      <c r="S3" s="115"/>
      <c r="T3" s="115"/>
      <c r="U3" s="115"/>
      <c r="V3" s="115"/>
      <c r="W3" s="115"/>
      <c r="X3" s="115"/>
      <c r="Y3" s="115"/>
      <c r="Z3" s="115"/>
      <c r="AA3" s="115"/>
      <c r="AB3" s="115"/>
      <c r="AC3" s="115"/>
      <c r="AD3" s="115"/>
      <c r="AE3" s="115"/>
      <c r="AF3" s="115"/>
      <c r="AG3" s="115"/>
      <c r="AH3" s="115"/>
      <c r="AI3" s="115"/>
      <c r="AJ3" s="115"/>
      <c r="AK3" s="115"/>
      <c r="AL3" s="115"/>
      <c r="AM3" s="115"/>
      <c r="AN3" s="115"/>
      <c r="AO3" s="115"/>
      <c r="AP3" s="115"/>
      <c r="AQ3" s="115"/>
      <c r="AR3" s="115"/>
      <c r="AS3" s="115"/>
      <c r="AT3" s="115"/>
      <c r="AU3" s="115"/>
      <c r="AV3" s="115"/>
      <c r="AW3" s="115"/>
      <c r="AX3" s="115"/>
      <c r="AY3" s="115"/>
      <c r="AZ3" s="115"/>
      <c r="BA3" s="115"/>
      <c r="BB3" s="115"/>
      <c r="BC3" s="115"/>
      <c r="BD3" s="115"/>
      <c r="BE3" s="115"/>
      <c r="BF3" s="115"/>
      <c r="BG3" s="115"/>
      <c r="BH3" s="115"/>
      <c r="BI3" s="115"/>
      <c r="BJ3" s="115"/>
    </row>
    <row r="4" spans="1:62" x14ac:dyDescent="0.35">
      <c r="A4" s="7"/>
      <c r="B4" s="115" t="s">
        <v>797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</row>
    <row r="5" spans="1:62" ht="25.5" customHeight="1" x14ac:dyDescent="0.35">
      <c r="A5" s="7"/>
      <c r="B5" s="240" t="s">
        <v>168</v>
      </c>
      <c r="C5" s="240" t="s">
        <v>169</v>
      </c>
      <c r="D5" s="240" t="s">
        <v>25</v>
      </c>
      <c r="E5" s="240" t="s">
        <v>24</v>
      </c>
      <c r="F5" s="240" t="s">
        <v>145</v>
      </c>
      <c r="G5" s="240" t="s">
        <v>170</v>
      </c>
      <c r="H5" s="240" t="s">
        <v>143</v>
      </c>
      <c r="I5" s="240" t="s">
        <v>171</v>
      </c>
      <c r="J5" s="240" t="s">
        <v>172</v>
      </c>
      <c r="K5" s="240" t="s">
        <v>14</v>
      </c>
      <c r="L5" s="240" t="s">
        <v>173</v>
      </c>
      <c r="M5" s="240" t="s">
        <v>21</v>
      </c>
      <c r="N5" s="240" t="s">
        <v>174</v>
      </c>
      <c r="O5" s="240" t="s">
        <v>146</v>
      </c>
      <c r="P5" s="240" t="s">
        <v>132</v>
      </c>
      <c r="Q5" s="240" t="s">
        <v>175</v>
      </c>
      <c r="R5" s="240" t="s">
        <v>176</v>
      </c>
      <c r="S5" s="240" t="s">
        <v>177</v>
      </c>
      <c r="T5" s="240" t="s">
        <v>178</v>
      </c>
      <c r="U5" s="222" t="s">
        <v>799</v>
      </c>
      <c r="V5" s="240" t="s">
        <v>179</v>
      </c>
      <c r="W5" s="240" t="s">
        <v>180</v>
      </c>
      <c r="X5" s="220"/>
      <c r="Y5" s="240" t="s">
        <v>181</v>
      </c>
      <c r="Z5" s="240" t="s">
        <v>182</v>
      </c>
      <c r="AA5" s="220"/>
      <c r="AB5" s="240" t="s">
        <v>183</v>
      </c>
      <c r="AC5" s="240" t="s">
        <v>184</v>
      </c>
      <c r="AD5" s="220"/>
      <c r="AE5" s="222" t="s">
        <v>35</v>
      </c>
      <c r="AF5" s="222" t="s">
        <v>65</v>
      </c>
      <c r="AG5" s="222" t="s">
        <v>46</v>
      </c>
      <c r="AH5" s="222" t="s">
        <v>58</v>
      </c>
      <c r="AI5" s="222" t="s">
        <v>71</v>
      </c>
      <c r="AJ5" s="222" t="s">
        <v>54</v>
      </c>
      <c r="AK5" s="222" t="s">
        <v>155</v>
      </c>
      <c r="AL5" s="222" t="s">
        <v>156</v>
      </c>
      <c r="AM5" s="222" t="s">
        <v>157</v>
      </c>
      <c r="AN5" s="220"/>
      <c r="AO5" s="222" t="s">
        <v>60</v>
      </c>
      <c r="AP5" s="222" t="s">
        <v>67</v>
      </c>
      <c r="AQ5" s="222" t="s">
        <v>37</v>
      </c>
      <c r="AR5" s="222" t="s">
        <v>76</v>
      </c>
      <c r="AS5" s="222" t="s">
        <v>158</v>
      </c>
      <c r="AT5" s="222" t="s">
        <v>159</v>
      </c>
      <c r="AU5" s="220"/>
      <c r="AV5" s="222" t="s">
        <v>160</v>
      </c>
      <c r="AW5" s="222" t="s">
        <v>49</v>
      </c>
      <c r="AX5" s="222" t="s">
        <v>161</v>
      </c>
      <c r="AY5" s="222" t="s">
        <v>69</v>
      </c>
      <c r="AZ5" s="222" t="s">
        <v>5</v>
      </c>
      <c r="BA5" s="222" t="s">
        <v>162</v>
      </c>
      <c r="BB5" s="222" t="s">
        <v>39</v>
      </c>
      <c r="BC5" s="222" t="s">
        <v>163</v>
      </c>
      <c r="BD5" s="222" t="s">
        <v>164</v>
      </c>
      <c r="BE5" s="222" t="s">
        <v>165</v>
      </c>
      <c r="BF5" s="222" t="s">
        <v>166</v>
      </c>
      <c r="BG5" s="222" t="s">
        <v>62</v>
      </c>
      <c r="BH5" s="222" t="s">
        <v>800</v>
      </c>
      <c r="BI5" s="222" t="s">
        <v>185</v>
      </c>
      <c r="BJ5" s="223" t="s">
        <v>186</v>
      </c>
    </row>
    <row r="6" spans="1:62" ht="14.25" customHeight="1" x14ac:dyDescent="0.35">
      <c r="A6" s="241"/>
      <c r="B6" s="224" t="s">
        <v>35</v>
      </c>
      <c r="C6" s="224" t="s">
        <v>57</v>
      </c>
      <c r="D6" s="224" t="s">
        <v>64</v>
      </c>
      <c r="E6" s="224" t="s">
        <v>53</v>
      </c>
      <c r="F6" s="224" t="s">
        <v>187</v>
      </c>
      <c r="G6" s="224" t="s">
        <v>187</v>
      </c>
      <c r="H6" s="224" t="s">
        <v>188</v>
      </c>
      <c r="I6" s="224" t="s">
        <v>189</v>
      </c>
      <c r="J6" s="224" t="s">
        <v>51</v>
      </c>
      <c r="K6" s="224" t="s">
        <v>60</v>
      </c>
      <c r="L6" s="224" t="s">
        <v>160</v>
      </c>
      <c r="M6" s="224" t="s">
        <v>42</v>
      </c>
      <c r="N6" s="224" t="s">
        <v>52</v>
      </c>
      <c r="O6" s="224" t="s">
        <v>190</v>
      </c>
      <c r="P6" s="224" t="s">
        <v>191</v>
      </c>
      <c r="Q6" s="224" t="s">
        <v>192</v>
      </c>
      <c r="R6" s="224" t="s">
        <v>193</v>
      </c>
      <c r="S6" s="224" t="s">
        <v>194</v>
      </c>
      <c r="T6" s="224" t="s">
        <v>195</v>
      </c>
      <c r="U6" s="224" t="s">
        <v>84</v>
      </c>
      <c r="V6" s="224" t="s">
        <v>35</v>
      </c>
      <c r="W6" s="224" t="s">
        <v>196</v>
      </c>
      <c r="X6" s="242"/>
      <c r="Y6" s="224" t="s">
        <v>60</v>
      </c>
      <c r="Z6" s="224" t="s">
        <v>197</v>
      </c>
      <c r="AA6" s="242"/>
      <c r="AB6" s="224" t="s">
        <v>160</v>
      </c>
      <c r="AC6" s="224" t="s">
        <v>198</v>
      </c>
      <c r="AD6" s="242"/>
      <c r="AE6" s="224" t="s">
        <v>36</v>
      </c>
      <c r="AF6" s="224" t="s">
        <v>199</v>
      </c>
      <c r="AG6" s="224" t="s">
        <v>47</v>
      </c>
      <c r="AH6" s="224" t="s">
        <v>59</v>
      </c>
      <c r="AI6" s="224" t="s">
        <v>200</v>
      </c>
      <c r="AJ6" s="224" t="s">
        <v>201</v>
      </c>
      <c r="AK6" s="224" t="s">
        <v>202</v>
      </c>
      <c r="AL6" s="224" t="s">
        <v>202</v>
      </c>
      <c r="AM6" s="224" t="s">
        <v>202</v>
      </c>
      <c r="AN6" s="242"/>
      <c r="AO6" s="224" t="s">
        <v>203</v>
      </c>
      <c r="AP6" s="224" t="s">
        <v>68</v>
      </c>
      <c r="AQ6" s="224" t="s">
        <v>48</v>
      </c>
      <c r="AR6" s="224" t="s">
        <v>204</v>
      </c>
      <c r="AS6" s="224" t="s">
        <v>205</v>
      </c>
      <c r="AT6" s="224" t="s">
        <v>38</v>
      </c>
      <c r="AU6" s="242"/>
      <c r="AV6" s="224" t="s">
        <v>206</v>
      </c>
      <c r="AW6" s="224" t="s">
        <v>50</v>
      </c>
      <c r="AX6" s="224" t="s">
        <v>207</v>
      </c>
      <c r="AY6" s="224" t="s">
        <v>208</v>
      </c>
      <c r="AZ6" s="224" t="s">
        <v>209</v>
      </c>
      <c r="BA6" s="224" t="s">
        <v>210</v>
      </c>
      <c r="BB6" s="224" t="s">
        <v>211</v>
      </c>
      <c r="BC6" s="224" t="s">
        <v>212</v>
      </c>
      <c r="BD6" s="224" t="s">
        <v>213</v>
      </c>
      <c r="BE6" s="224" t="s">
        <v>214</v>
      </c>
      <c r="BF6" s="224" t="s">
        <v>215</v>
      </c>
      <c r="BG6" s="224" t="s">
        <v>216</v>
      </c>
      <c r="BH6" s="224" t="s">
        <v>153</v>
      </c>
      <c r="BI6" s="224" t="s">
        <v>64</v>
      </c>
      <c r="BJ6" s="243" t="s">
        <v>111</v>
      </c>
    </row>
    <row r="7" spans="1:62" ht="14.25" customHeight="1" x14ac:dyDescent="0.35">
      <c r="A7" s="7"/>
      <c r="B7" s="224" t="s">
        <v>65</v>
      </c>
      <c r="C7" s="224" t="s">
        <v>34</v>
      </c>
      <c r="D7" s="224" t="s">
        <v>153</v>
      </c>
      <c r="E7" s="224" t="s">
        <v>73</v>
      </c>
      <c r="F7" s="224" t="s">
        <v>217</v>
      </c>
      <c r="G7" s="224" t="s">
        <v>217</v>
      </c>
      <c r="H7" s="224" t="s">
        <v>218</v>
      </c>
      <c r="I7" s="224" t="s">
        <v>45</v>
      </c>
      <c r="J7" s="224" t="s">
        <v>41</v>
      </c>
      <c r="K7" s="224" t="s">
        <v>67</v>
      </c>
      <c r="L7" s="224" t="s">
        <v>49</v>
      </c>
      <c r="M7" s="224" t="s">
        <v>219</v>
      </c>
      <c r="N7" s="224" t="s">
        <v>220</v>
      </c>
      <c r="O7" s="224" t="s">
        <v>221</v>
      </c>
      <c r="P7" s="224" t="s">
        <v>222</v>
      </c>
      <c r="Q7" s="224" t="s">
        <v>223</v>
      </c>
      <c r="R7" s="224" t="s">
        <v>224</v>
      </c>
      <c r="S7" s="224" t="s">
        <v>225</v>
      </c>
      <c r="T7" s="224" t="s">
        <v>226</v>
      </c>
      <c r="U7" s="224" t="s">
        <v>85</v>
      </c>
      <c r="V7" s="224" t="s">
        <v>65</v>
      </c>
      <c r="W7" s="224" t="s">
        <v>227</v>
      </c>
      <c r="X7" s="220"/>
      <c r="Y7" s="224" t="s">
        <v>67</v>
      </c>
      <c r="Z7" s="224" t="s">
        <v>228</v>
      </c>
      <c r="AA7" s="220"/>
      <c r="AB7" s="224" t="s">
        <v>49</v>
      </c>
      <c r="AC7" s="224" t="s">
        <v>229</v>
      </c>
      <c r="AD7" s="220"/>
      <c r="AE7" s="224" t="s">
        <v>230</v>
      </c>
      <c r="AF7" s="224" t="s">
        <v>75</v>
      </c>
      <c r="AG7" s="224" t="s">
        <v>231</v>
      </c>
      <c r="AH7" s="224" t="s">
        <v>232</v>
      </c>
      <c r="AI7" s="224" t="s">
        <v>233</v>
      </c>
      <c r="AJ7" s="224" t="s">
        <v>55</v>
      </c>
      <c r="AK7" s="224" t="s">
        <v>234</v>
      </c>
      <c r="AL7" s="224" t="s">
        <v>235</v>
      </c>
      <c r="AM7" s="224" t="s">
        <v>236</v>
      </c>
      <c r="AN7" s="220"/>
      <c r="AO7" s="224" t="s">
        <v>237</v>
      </c>
      <c r="AP7" s="224" t="s">
        <v>238</v>
      </c>
      <c r="AQ7" s="224" t="s">
        <v>239</v>
      </c>
      <c r="AR7" s="224" t="s">
        <v>77</v>
      </c>
      <c r="AS7" s="224" t="s">
        <v>240</v>
      </c>
      <c r="AT7" s="224" t="s">
        <v>241</v>
      </c>
      <c r="AU7" s="220"/>
      <c r="AV7" s="224" t="s">
        <v>242</v>
      </c>
      <c r="AW7" s="224" t="s">
        <v>243</v>
      </c>
      <c r="AX7" s="224" t="s">
        <v>244</v>
      </c>
      <c r="AY7" s="224" t="s">
        <v>245</v>
      </c>
      <c r="AZ7" s="224" t="s">
        <v>52</v>
      </c>
      <c r="BA7" s="224" t="s">
        <v>246</v>
      </c>
      <c r="BB7" s="224" t="s">
        <v>247</v>
      </c>
      <c r="BC7" s="224" t="s">
        <v>248</v>
      </c>
      <c r="BD7" s="224" t="s">
        <v>249</v>
      </c>
      <c r="BE7" s="224" t="s">
        <v>250</v>
      </c>
      <c r="BF7" s="224" t="s">
        <v>251</v>
      </c>
      <c r="BG7" s="224" t="s">
        <v>63</v>
      </c>
      <c r="BH7" s="224" t="s">
        <v>801</v>
      </c>
      <c r="BI7" s="224" t="s">
        <v>153</v>
      </c>
      <c r="BJ7" s="243" t="s">
        <v>112</v>
      </c>
    </row>
    <row r="8" spans="1:62" ht="14.25" customHeight="1" x14ac:dyDescent="0.35">
      <c r="A8" s="7"/>
      <c r="B8" s="224" t="s">
        <v>46</v>
      </c>
      <c r="C8" s="224" t="s">
        <v>45</v>
      </c>
      <c r="D8" s="224" t="s">
        <v>70</v>
      </c>
      <c r="E8" s="224" t="s">
        <v>252</v>
      </c>
      <c r="F8" s="224" t="s">
        <v>253</v>
      </c>
      <c r="G8" s="224" t="s">
        <v>253</v>
      </c>
      <c r="H8" s="224" t="s">
        <v>254</v>
      </c>
      <c r="I8" s="224" t="s">
        <v>150</v>
      </c>
      <c r="J8" s="239"/>
      <c r="K8" s="224" t="s">
        <v>37</v>
      </c>
      <c r="L8" s="224" t="s">
        <v>161</v>
      </c>
      <c r="M8" s="239"/>
      <c r="N8" s="224" t="s">
        <v>255</v>
      </c>
      <c r="O8" s="224" t="s">
        <v>256</v>
      </c>
      <c r="P8" s="224" t="s">
        <v>257</v>
      </c>
      <c r="Q8" s="224" t="s">
        <v>258</v>
      </c>
      <c r="R8" s="224" t="s">
        <v>259</v>
      </c>
      <c r="S8" s="224" t="s">
        <v>260</v>
      </c>
      <c r="T8" s="224" t="s">
        <v>261</v>
      </c>
      <c r="U8" s="224" t="s">
        <v>86</v>
      </c>
      <c r="V8" s="224" t="s">
        <v>46</v>
      </c>
      <c r="W8" s="224" t="s">
        <v>262</v>
      </c>
      <c r="X8" s="220"/>
      <c r="Y8" s="224" t="s">
        <v>37</v>
      </c>
      <c r="Z8" s="224" t="s">
        <v>263</v>
      </c>
      <c r="AA8" s="220"/>
      <c r="AB8" s="224" t="s">
        <v>161</v>
      </c>
      <c r="AC8" s="224" t="s">
        <v>264</v>
      </c>
      <c r="AD8" s="220"/>
      <c r="AE8" s="224" t="s">
        <v>265</v>
      </c>
      <c r="AF8" s="224" t="s">
        <v>66</v>
      </c>
      <c r="AG8" s="224" t="s">
        <v>266</v>
      </c>
      <c r="AH8" s="224" t="s">
        <v>267</v>
      </c>
      <c r="AI8" s="224" t="s">
        <v>268</v>
      </c>
      <c r="AJ8" s="224" t="s">
        <v>269</v>
      </c>
      <c r="AK8" s="224" t="s">
        <v>74</v>
      </c>
      <c r="AL8" s="224" t="s">
        <v>270</v>
      </c>
      <c r="AM8" s="224" t="s">
        <v>271</v>
      </c>
      <c r="AN8" s="220"/>
      <c r="AO8" s="224" t="s">
        <v>272</v>
      </c>
      <c r="AP8" s="224" t="s">
        <v>273</v>
      </c>
      <c r="AQ8" s="224" t="s">
        <v>274</v>
      </c>
      <c r="AR8" s="224" t="s">
        <v>275</v>
      </c>
      <c r="AS8" s="224" t="s">
        <v>276</v>
      </c>
      <c r="AT8" s="224" t="s">
        <v>277</v>
      </c>
      <c r="AU8" s="220"/>
      <c r="AV8" s="224" t="s">
        <v>278</v>
      </c>
      <c r="AW8" s="224" t="s">
        <v>279</v>
      </c>
      <c r="AX8" s="224" t="s">
        <v>280</v>
      </c>
      <c r="AY8" s="224" t="s">
        <v>281</v>
      </c>
      <c r="AZ8" s="224" t="s">
        <v>220</v>
      </c>
      <c r="BA8" s="224" t="s">
        <v>282</v>
      </c>
      <c r="BB8" s="224" t="s">
        <v>283</v>
      </c>
      <c r="BC8" s="224" t="s">
        <v>284</v>
      </c>
      <c r="BD8" s="224" t="s">
        <v>285</v>
      </c>
      <c r="BE8" s="224" t="s">
        <v>286</v>
      </c>
      <c r="BF8" s="224" t="s">
        <v>287</v>
      </c>
      <c r="BG8" s="224" t="s">
        <v>288</v>
      </c>
      <c r="BH8" s="224" t="s">
        <v>802</v>
      </c>
      <c r="BI8" s="224" t="s">
        <v>289</v>
      </c>
      <c r="BJ8" s="243" t="s">
        <v>110</v>
      </c>
    </row>
    <row r="9" spans="1:62" ht="14.25" customHeight="1" x14ac:dyDescent="0.35">
      <c r="A9" s="7"/>
      <c r="B9" s="224" t="s">
        <v>58</v>
      </c>
      <c r="C9" s="239"/>
      <c r="D9" s="224" t="s">
        <v>44</v>
      </c>
      <c r="E9" s="224" t="s">
        <v>290</v>
      </c>
      <c r="F9" s="239"/>
      <c r="G9" s="221"/>
      <c r="H9" s="221"/>
      <c r="I9" s="224" t="s">
        <v>291</v>
      </c>
      <c r="J9" s="220"/>
      <c r="K9" s="224" t="s">
        <v>76</v>
      </c>
      <c r="L9" s="224" t="s">
        <v>69</v>
      </c>
      <c r="M9" s="220"/>
      <c r="N9" s="224" t="s">
        <v>2</v>
      </c>
      <c r="O9" s="224" t="s">
        <v>292</v>
      </c>
      <c r="P9" s="224" t="s">
        <v>293</v>
      </c>
      <c r="Q9" s="224" t="s">
        <v>294</v>
      </c>
      <c r="R9" s="224" t="s">
        <v>295</v>
      </c>
      <c r="S9" s="239"/>
      <c r="T9" s="221"/>
      <c r="U9" s="224" t="s">
        <v>87</v>
      </c>
      <c r="V9" s="224" t="s">
        <v>58</v>
      </c>
      <c r="W9" s="224" t="s">
        <v>296</v>
      </c>
      <c r="X9" s="220"/>
      <c r="Y9" s="224" t="s">
        <v>76</v>
      </c>
      <c r="Z9" s="224" t="s">
        <v>297</v>
      </c>
      <c r="AA9" s="220"/>
      <c r="AB9" s="224" t="s">
        <v>69</v>
      </c>
      <c r="AC9" s="224" t="s">
        <v>298</v>
      </c>
      <c r="AD9" s="220"/>
      <c r="AE9" s="224" t="s">
        <v>299</v>
      </c>
      <c r="AF9" s="239"/>
      <c r="AG9" s="221" t="s">
        <v>625</v>
      </c>
      <c r="AH9" s="224" t="s">
        <v>300</v>
      </c>
      <c r="AI9" s="224" t="s">
        <v>301</v>
      </c>
      <c r="AJ9" s="224" t="s">
        <v>302</v>
      </c>
      <c r="AK9" s="224" t="s">
        <v>303</v>
      </c>
      <c r="AL9" s="224" t="s">
        <v>304</v>
      </c>
      <c r="AM9" s="224" t="s">
        <v>204</v>
      </c>
      <c r="AN9" s="220"/>
      <c r="AO9" s="224" t="s">
        <v>305</v>
      </c>
      <c r="AP9" s="224" t="s">
        <v>306</v>
      </c>
      <c r="AQ9" s="224" t="s">
        <v>307</v>
      </c>
      <c r="AR9" s="224" t="s">
        <v>308</v>
      </c>
      <c r="AS9" s="224" t="s">
        <v>309</v>
      </c>
      <c r="AT9" s="224" t="s">
        <v>310</v>
      </c>
      <c r="AU9" s="220"/>
      <c r="AV9" s="224" t="s">
        <v>311</v>
      </c>
      <c r="AW9" s="224" t="s">
        <v>312</v>
      </c>
      <c r="AX9" s="224" t="s">
        <v>313</v>
      </c>
      <c r="AY9" s="224" t="s">
        <v>314</v>
      </c>
      <c r="AZ9" s="224" t="s">
        <v>255</v>
      </c>
      <c r="BA9" s="224" t="s">
        <v>315</v>
      </c>
      <c r="BB9" s="224" t="s">
        <v>40</v>
      </c>
      <c r="BC9" s="224" t="s">
        <v>316</v>
      </c>
      <c r="BD9" s="224" t="s">
        <v>317</v>
      </c>
      <c r="BE9" s="224" t="s">
        <v>318</v>
      </c>
      <c r="BF9" s="224" t="s">
        <v>319</v>
      </c>
      <c r="BG9" s="224" t="s">
        <v>320</v>
      </c>
      <c r="BH9" s="220"/>
      <c r="BI9" s="224" t="s">
        <v>321</v>
      </c>
      <c r="BJ9" s="243" t="s">
        <v>113</v>
      </c>
    </row>
    <row r="10" spans="1:62" ht="14.25" customHeight="1" x14ac:dyDescent="0.35">
      <c r="A10" s="7"/>
      <c r="B10" s="224" t="s">
        <v>71</v>
      </c>
      <c r="C10" s="220"/>
      <c r="D10" s="224" t="s">
        <v>321</v>
      </c>
      <c r="E10" s="224" t="s">
        <v>43</v>
      </c>
      <c r="F10" s="220"/>
      <c r="G10" s="7"/>
      <c r="H10" s="7"/>
      <c r="I10" s="224" t="s">
        <v>322</v>
      </c>
      <c r="J10" s="220"/>
      <c r="K10" s="224" t="s">
        <v>158</v>
      </c>
      <c r="L10" s="224" t="s">
        <v>5</v>
      </c>
      <c r="M10" s="220"/>
      <c r="N10" s="224" t="s">
        <v>209</v>
      </c>
      <c r="O10" s="224" t="s">
        <v>323</v>
      </c>
      <c r="P10" s="224" t="s">
        <v>324</v>
      </c>
      <c r="Q10" s="224" t="s">
        <v>325</v>
      </c>
      <c r="R10" s="239"/>
      <c r="S10" s="7"/>
      <c r="T10" s="7"/>
      <c r="U10" s="224" t="s">
        <v>88</v>
      </c>
      <c r="V10" s="224" t="s">
        <v>71</v>
      </c>
      <c r="W10" s="224" t="s">
        <v>326</v>
      </c>
      <c r="X10" s="220"/>
      <c r="Y10" s="224" t="s">
        <v>158</v>
      </c>
      <c r="Z10" s="224" t="s">
        <v>327</v>
      </c>
      <c r="AA10" s="220"/>
      <c r="AB10" s="224" t="s">
        <v>5</v>
      </c>
      <c r="AC10" s="224" t="s">
        <v>328</v>
      </c>
      <c r="AD10" s="220"/>
      <c r="AE10" s="224" t="s">
        <v>329</v>
      </c>
      <c r="AF10" s="220"/>
      <c r="AG10" s="7"/>
      <c r="AH10" s="224" t="s">
        <v>330</v>
      </c>
      <c r="AI10" s="224" t="s">
        <v>331</v>
      </c>
      <c r="AJ10" s="224" t="s">
        <v>332</v>
      </c>
      <c r="AK10" s="224" t="s">
        <v>333</v>
      </c>
      <c r="AL10" s="224" t="s">
        <v>334</v>
      </c>
      <c r="AM10" s="224" t="s">
        <v>335</v>
      </c>
      <c r="AN10" s="220"/>
      <c r="AO10" s="224" t="s">
        <v>336</v>
      </c>
      <c r="AP10" s="224" t="s">
        <v>337</v>
      </c>
      <c r="AQ10" s="224" t="s">
        <v>72</v>
      </c>
      <c r="AR10" s="239"/>
      <c r="AS10" s="221"/>
      <c r="AT10" s="224" t="s">
        <v>338</v>
      </c>
      <c r="AU10" s="220"/>
      <c r="AV10" s="224" t="s">
        <v>339</v>
      </c>
      <c r="AW10" s="224" t="s">
        <v>340</v>
      </c>
      <c r="AX10" s="224" t="s">
        <v>341</v>
      </c>
      <c r="AY10" s="224" t="s">
        <v>342</v>
      </c>
      <c r="AZ10" s="224" t="s">
        <v>2</v>
      </c>
      <c r="BA10" s="224" t="s">
        <v>343</v>
      </c>
      <c r="BB10" s="224" t="s">
        <v>344</v>
      </c>
      <c r="BC10" s="224" t="s">
        <v>345</v>
      </c>
      <c r="BD10" s="224" t="s">
        <v>346</v>
      </c>
      <c r="BE10" s="224" t="s">
        <v>347</v>
      </c>
      <c r="BF10" s="239"/>
      <c r="BG10" s="221"/>
      <c r="BH10" s="7"/>
      <c r="BI10" s="224" t="s">
        <v>70</v>
      </c>
      <c r="BJ10" s="243" t="s">
        <v>348</v>
      </c>
    </row>
    <row r="11" spans="1:62" ht="14.25" customHeight="1" x14ac:dyDescent="0.35">
      <c r="A11" s="7"/>
      <c r="B11" s="224" t="s">
        <v>54</v>
      </c>
      <c r="C11" s="220"/>
      <c r="D11" s="224" t="s">
        <v>349</v>
      </c>
      <c r="E11" s="224" t="s">
        <v>350</v>
      </c>
      <c r="F11" s="220"/>
      <c r="G11" s="7"/>
      <c r="H11" s="7"/>
      <c r="I11" s="224" t="s">
        <v>351</v>
      </c>
      <c r="J11" s="220"/>
      <c r="K11" s="224" t="s">
        <v>159</v>
      </c>
      <c r="L11" s="224" t="s">
        <v>162</v>
      </c>
      <c r="M11" s="220"/>
      <c r="N11" s="221"/>
      <c r="O11" s="221"/>
      <c r="P11" s="224" t="s">
        <v>140</v>
      </c>
      <c r="Q11" s="224" t="s">
        <v>352</v>
      </c>
      <c r="R11" s="220"/>
      <c r="S11" s="7"/>
      <c r="T11" s="7"/>
      <c r="U11" s="224" t="s">
        <v>89</v>
      </c>
      <c r="V11" s="224" t="s">
        <v>54</v>
      </c>
      <c r="W11" s="224" t="s">
        <v>353</v>
      </c>
      <c r="X11" s="220"/>
      <c r="Y11" s="224" t="s">
        <v>159</v>
      </c>
      <c r="Z11" s="224" t="s">
        <v>354</v>
      </c>
      <c r="AA11" s="220"/>
      <c r="AB11" s="224" t="s">
        <v>162</v>
      </c>
      <c r="AC11" s="224" t="s">
        <v>355</v>
      </c>
      <c r="AD11" s="220"/>
      <c r="AE11" s="224" t="s">
        <v>356</v>
      </c>
      <c r="AF11" s="220"/>
      <c r="AG11" s="7"/>
      <c r="AH11" s="224" t="s">
        <v>357</v>
      </c>
      <c r="AI11" s="224" t="s">
        <v>358</v>
      </c>
      <c r="AJ11" s="224" t="s">
        <v>359</v>
      </c>
      <c r="AK11" s="224" t="s">
        <v>360</v>
      </c>
      <c r="AL11" s="224" t="s">
        <v>360</v>
      </c>
      <c r="AM11" s="224" t="s">
        <v>360</v>
      </c>
      <c r="AN11" s="220"/>
      <c r="AO11" s="224" t="s">
        <v>61</v>
      </c>
      <c r="AP11" s="239"/>
      <c r="AQ11" s="224" t="s">
        <v>361</v>
      </c>
      <c r="AR11" s="220"/>
      <c r="AS11" s="7"/>
      <c r="AT11" s="224" t="s">
        <v>362</v>
      </c>
      <c r="AU11" s="220"/>
      <c r="AV11" s="224" t="s">
        <v>363</v>
      </c>
      <c r="AW11" s="224" t="s">
        <v>364</v>
      </c>
      <c r="AX11" s="224" t="s">
        <v>365</v>
      </c>
      <c r="AY11" s="224" t="s">
        <v>366</v>
      </c>
      <c r="AZ11" s="239"/>
      <c r="BA11" s="224" t="s">
        <v>367</v>
      </c>
      <c r="BB11" s="224" t="s">
        <v>368</v>
      </c>
      <c r="BC11" s="224" t="s">
        <v>369</v>
      </c>
      <c r="BD11" s="224" t="s">
        <v>370</v>
      </c>
      <c r="BE11" s="224" t="s">
        <v>371</v>
      </c>
      <c r="BF11" s="220"/>
      <c r="BG11" s="7"/>
      <c r="BH11" s="7"/>
      <c r="BI11" s="224" t="s">
        <v>372</v>
      </c>
      <c r="BJ11" s="239"/>
    </row>
    <row r="12" spans="1:62" ht="14.25" customHeight="1" x14ac:dyDescent="0.35">
      <c r="A12" s="7"/>
      <c r="B12" s="224" t="s">
        <v>155</v>
      </c>
      <c r="C12" s="220"/>
      <c r="D12" s="221"/>
      <c r="E12" s="224" t="s">
        <v>348</v>
      </c>
      <c r="F12" s="220"/>
      <c r="G12" s="7"/>
      <c r="H12" s="7"/>
      <c r="I12" s="224" t="s">
        <v>373</v>
      </c>
      <c r="J12" s="220"/>
      <c r="K12" s="221"/>
      <c r="L12" s="224" t="s">
        <v>39</v>
      </c>
      <c r="M12" s="220"/>
      <c r="N12" s="7"/>
      <c r="O12" s="7"/>
      <c r="P12" s="224" t="s">
        <v>141</v>
      </c>
      <c r="Q12" s="224" t="s">
        <v>374</v>
      </c>
      <c r="R12" s="220"/>
      <c r="S12" s="7"/>
      <c r="T12" s="7"/>
      <c r="U12" s="224" t="s">
        <v>90</v>
      </c>
      <c r="V12" s="224" t="s">
        <v>155</v>
      </c>
      <c r="W12" s="224" t="s">
        <v>375</v>
      </c>
      <c r="X12" s="220"/>
      <c r="Y12" s="221"/>
      <c r="Z12" s="221"/>
      <c r="AA12" s="7"/>
      <c r="AB12" s="224" t="s">
        <v>39</v>
      </c>
      <c r="AC12" s="224" t="s">
        <v>376</v>
      </c>
      <c r="AD12" s="220"/>
      <c r="AE12" s="224" t="s">
        <v>377</v>
      </c>
      <c r="AF12" s="220"/>
      <c r="AG12" s="7"/>
      <c r="AH12" s="224" t="s">
        <v>378</v>
      </c>
      <c r="AI12" s="224" t="s">
        <v>379</v>
      </c>
      <c r="AJ12" s="224" t="s">
        <v>360</v>
      </c>
      <c r="AK12" s="239"/>
      <c r="AL12" s="221"/>
      <c r="AM12" s="221"/>
      <c r="AN12" s="7"/>
      <c r="AO12" s="221"/>
      <c r="AP12" s="7"/>
      <c r="AQ12" s="221"/>
      <c r="AR12" s="7"/>
      <c r="AS12" s="7"/>
      <c r="AT12" s="224" t="s">
        <v>380</v>
      </c>
      <c r="AU12" s="220"/>
      <c r="AV12" s="224" t="s">
        <v>381</v>
      </c>
      <c r="AW12" s="224" t="s">
        <v>382</v>
      </c>
      <c r="AX12" s="224" t="s">
        <v>383</v>
      </c>
      <c r="AY12" s="224" t="s">
        <v>384</v>
      </c>
      <c r="AZ12" s="220"/>
      <c r="BA12" s="224" t="s">
        <v>385</v>
      </c>
      <c r="BB12" s="224" t="s">
        <v>386</v>
      </c>
      <c r="BC12" s="224" t="s">
        <v>387</v>
      </c>
      <c r="BD12" s="224" t="s">
        <v>388</v>
      </c>
      <c r="BE12" s="224" t="s">
        <v>389</v>
      </c>
      <c r="BF12" s="220"/>
      <c r="BG12" s="7"/>
      <c r="BH12" s="7"/>
      <c r="BI12" s="224" t="s">
        <v>44</v>
      </c>
      <c r="BJ12" s="220"/>
    </row>
    <row r="13" spans="1:62" ht="14.25" customHeight="1" x14ac:dyDescent="0.35">
      <c r="A13" s="7"/>
      <c r="B13" s="224" t="s">
        <v>156</v>
      </c>
      <c r="C13" s="220"/>
      <c r="D13" s="7"/>
      <c r="E13" s="221"/>
      <c r="F13" s="7"/>
      <c r="G13" s="7"/>
      <c r="H13" s="7"/>
      <c r="I13" s="221"/>
      <c r="J13" s="7"/>
      <c r="K13" s="7"/>
      <c r="L13" s="224" t="s">
        <v>163</v>
      </c>
      <c r="M13" s="220"/>
      <c r="N13" s="7"/>
      <c r="O13" s="7"/>
      <c r="P13" s="224" t="s">
        <v>70</v>
      </c>
      <c r="Q13" s="239"/>
      <c r="R13" s="7"/>
      <c r="S13" s="7"/>
      <c r="T13" s="7"/>
      <c r="U13" s="224" t="s">
        <v>554</v>
      </c>
      <c r="V13" s="224" t="s">
        <v>156</v>
      </c>
      <c r="W13" s="224" t="s">
        <v>798</v>
      </c>
      <c r="X13" s="220"/>
      <c r="Y13" s="7"/>
      <c r="Z13" s="7"/>
      <c r="AA13" s="7"/>
      <c r="AB13" s="224" t="s">
        <v>163</v>
      </c>
      <c r="AC13" s="224" t="s">
        <v>390</v>
      </c>
      <c r="AD13" s="220"/>
      <c r="AE13" s="224" t="s">
        <v>391</v>
      </c>
      <c r="AF13" s="220"/>
      <c r="AG13" s="7"/>
      <c r="AH13" s="224" t="s">
        <v>392</v>
      </c>
      <c r="AI13" s="224" t="s">
        <v>393</v>
      </c>
      <c r="AJ13" s="239"/>
      <c r="AK13" s="7"/>
      <c r="AL13" s="7"/>
      <c r="AM13" s="7"/>
      <c r="AN13" s="7"/>
      <c r="AO13" s="7"/>
      <c r="AP13" s="7"/>
      <c r="AQ13" s="7"/>
      <c r="AR13" s="7"/>
      <c r="AS13" s="7"/>
      <c r="AT13" s="221"/>
      <c r="AU13" s="7"/>
      <c r="AV13" s="224" t="s">
        <v>394</v>
      </c>
      <c r="AW13" s="224" t="s">
        <v>395</v>
      </c>
      <c r="AX13" s="239"/>
      <c r="AY13" s="224" t="s">
        <v>396</v>
      </c>
      <c r="AZ13" s="220"/>
      <c r="BA13" s="224" t="s">
        <v>397</v>
      </c>
      <c r="BB13" s="224" t="s">
        <v>398</v>
      </c>
      <c r="BC13" s="224" t="s">
        <v>399</v>
      </c>
      <c r="BD13" s="224" t="s">
        <v>400</v>
      </c>
      <c r="BE13" s="224" t="s">
        <v>401</v>
      </c>
      <c r="BF13" s="220"/>
      <c r="BG13" s="7"/>
      <c r="BH13" s="7"/>
      <c r="BI13" s="224" t="s">
        <v>349</v>
      </c>
      <c r="BJ13" s="220"/>
    </row>
    <row r="14" spans="1:62" ht="14.25" customHeight="1" x14ac:dyDescent="0.35">
      <c r="A14" s="7"/>
      <c r="B14" s="221"/>
      <c r="C14" s="220"/>
      <c r="D14" s="7"/>
      <c r="E14" s="7"/>
      <c r="F14" s="7"/>
      <c r="G14" s="7"/>
      <c r="H14" s="7"/>
      <c r="I14" s="7"/>
      <c r="J14" s="7"/>
      <c r="K14" s="7"/>
      <c r="L14" s="224" t="s">
        <v>164</v>
      </c>
      <c r="M14" s="220"/>
      <c r="N14" s="7"/>
      <c r="O14" s="7"/>
      <c r="P14" s="224" t="s">
        <v>402</v>
      </c>
      <c r="Q14" s="220"/>
      <c r="R14" s="7"/>
      <c r="S14" s="7"/>
      <c r="T14" s="7"/>
      <c r="U14" s="221" t="s">
        <v>91</v>
      </c>
      <c r="V14" s="224" t="s">
        <v>157</v>
      </c>
      <c r="W14" s="224" t="s">
        <v>403</v>
      </c>
      <c r="X14" s="7"/>
      <c r="Y14" s="7"/>
      <c r="Z14" s="7"/>
      <c r="AA14" s="7"/>
      <c r="AB14" s="224" t="s">
        <v>164</v>
      </c>
      <c r="AC14" s="224" t="s">
        <v>404</v>
      </c>
      <c r="AD14" s="220"/>
      <c r="AE14" s="224" t="s">
        <v>405</v>
      </c>
      <c r="AF14" s="220"/>
      <c r="AG14" s="7"/>
      <c r="AH14" s="224" t="s">
        <v>406</v>
      </c>
      <c r="AI14" s="224" t="s">
        <v>74</v>
      </c>
      <c r="AJ14" s="220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224" t="s">
        <v>407</v>
      </c>
      <c r="AW14" s="224" t="s">
        <v>408</v>
      </c>
      <c r="AX14" s="220"/>
      <c r="AY14" s="224" t="s">
        <v>409</v>
      </c>
      <c r="AZ14" s="220"/>
      <c r="BA14" s="221"/>
      <c r="BB14" s="224" t="s">
        <v>410</v>
      </c>
      <c r="BC14" s="224" t="s">
        <v>411</v>
      </c>
      <c r="BD14" s="224" t="s">
        <v>412</v>
      </c>
      <c r="BE14" s="239"/>
      <c r="BF14" s="7"/>
      <c r="BG14" s="7"/>
      <c r="BH14" s="7"/>
      <c r="BI14" s="221"/>
      <c r="BJ14" s="7"/>
    </row>
    <row r="15" spans="1:62" ht="14.25" customHeight="1" x14ac:dyDescent="0.35">
      <c r="A15" s="7"/>
      <c r="B15" s="221"/>
      <c r="C15" s="7"/>
      <c r="D15" s="7"/>
      <c r="E15" s="7"/>
      <c r="F15" s="7"/>
      <c r="G15" s="7"/>
      <c r="H15" s="7"/>
      <c r="I15" s="7"/>
      <c r="J15" s="7"/>
      <c r="K15" s="7"/>
      <c r="L15" s="224" t="s">
        <v>165</v>
      </c>
      <c r="M15" s="220"/>
      <c r="N15" s="7"/>
      <c r="O15" s="7"/>
      <c r="P15" s="224" t="s">
        <v>44</v>
      </c>
      <c r="Q15" s="220"/>
      <c r="R15" s="7"/>
      <c r="S15" s="7"/>
      <c r="T15" s="7"/>
      <c r="U15" s="7"/>
      <c r="V15" s="7"/>
      <c r="W15" s="7"/>
      <c r="X15" s="7"/>
      <c r="Y15" s="7"/>
      <c r="Z15" s="7"/>
      <c r="AA15" s="7"/>
      <c r="AB15" s="224" t="s">
        <v>165</v>
      </c>
      <c r="AC15" s="224" t="s">
        <v>413</v>
      </c>
      <c r="AD15" s="220"/>
      <c r="AE15" s="224" t="s">
        <v>414</v>
      </c>
      <c r="AF15" s="220"/>
      <c r="AG15" s="7"/>
      <c r="AH15" s="224" t="s">
        <v>415</v>
      </c>
      <c r="AI15" s="224" t="s">
        <v>416</v>
      </c>
      <c r="AJ15" s="220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224" t="s">
        <v>417</v>
      </c>
      <c r="AW15" s="224" t="s">
        <v>418</v>
      </c>
      <c r="AX15" s="220"/>
      <c r="AY15" s="224" t="s">
        <v>419</v>
      </c>
      <c r="AZ15" s="220"/>
      <c r="BA15" s="7"/>
      <c r="BB15" s="224" t="s">
        <v>420</v>
      </c>
      <c r="BC15" s="224" t="s">
        <v>421</v>
      </c>
      <c r="BD15" s="224" t="s">
        <v>422</v>
      </c>
      <c r="BE15" s="220"/>
      <c r="BF15" s="7"/>
      <c r="BG15" s="7"/>
      <c r="BH15" s="7"/>
      <c r="BI15" s="7"/>
      <c r="BJ15" s="7"/>
    </row>
    <row r="16" spans="1:62" ht="14.25" customHeight="1" x14ac:dyDescent="0.35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224" t="s">
        <v>166</v>
      </c>
      <c r="M16" s="220"/>
      <c r="N16" s="7"/>
      <c r="O16" s="7"/>
      <c r="P16" s="221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224" t="s">
        <v>166</v>
      </c>
      <c r="AC16" s="224" t="s">
        <v>423</v>
      </c>
      <c r="AD16" s="220"/>
      <c r="AE16" s="224" t="s">
        <v>424</v>
      </c>
      <c r="AF16" s="220"/>
      <c r="AG16" s="7"/>
      <c r="AH16" s="224" t="s">
        <v>425</v>
      </c>
      <c r="AI16" s="224" t="s">
        <v>360</v>
      </c>
      <c r="AJ16" s="220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224" t="s">
        <v>426</v>
      </c>
      <c r="AW16" s="224" t="s">
        <v>427</v>
      </c>
      <c r="AX16" s="220"/>
      <c r="AY16" s="224" t="s">
        <v>428</v>
      </c>
      <c r="AZ16" s="220"/>
      <c r="BA16" s="7"/>
      <c r="BB16" s="224" t="s">
        <v>429</v>
      </c>
      <c r="BC16" s="224" t="s">
        <v>430</v>
      </c>
      <c r="BD16" s="224" t="s">
        <v>431</v>
      </c>
      <c r="BE16" s="220"/>
      <c r="BF16" s="7"/>
      <c r="BG16" s="7"/>
      <c r="BH16" s="7"/>
      <c r="BI16" s="7"/>
      <c r="BJ16" s="7"/>
    </row>
    <row r="17" spans="1:62" ht="14.25" customHeight="1" x14ac:dyDescent="0.35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224" t="s">
        <v>62</v>
      </c>
      <c r="M17" s="220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224" t="s">
        <v>62</v>
      </c>
      <c r="AC17" s="224" t="s">
        <v>432</v>
      </c>
      <c r="AD17" s="220"/>
      <c r="AE17" s="224" t="s">
        <v>433</v>
      </c>
      <c r="AF17" s="220"/>
      <c r="AG17" s="7"/>
      <c r="AH17" s="224" t="s">
        <v>434</v>
      </c>
      <c r="AI17" s="239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221"/>
      <c r="AW17" s="224" t="s">
        <v>435</v>
      </c>
      <c r="AX17" s="220"/>
      <c r="AY17" s="224" t="s">
        <v>436</v>
      </c>
      <c r="AZ17" s="220"/>
      <c r="BA17" s="7"/>
      <c r="BB17" s="224" t="s">
        <v>437</v>
      </c>
      <c r="BC17" s="239"/>
      <c r="BD17" s="224" t="s">
        <v>438</v>
      </c>
      <c r="BE17" s="220"/>
      <c r="BF17" s="7"/>
      <c r="BG17" s="7"/>
      <c r="BH17" s="7"/>
      <c r="BI17" s="7"/>
      <c r="BJ17" s="7"/>
    </row>
    <row r="18" spans="1:62" ht="14.25" customHeight="1" x14ac:dyDescent="0.35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221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221"/>
      <c r="AC18" s="221"/>
      <c r="AD18" s="7"/>
      <c r="AE18" s="224" t="s">
        <v>439</v>
      </c>
      <c r="AF18" s="220"/>
      <c r="AG18" s="7"/>
      <c r="AH18" s="224" t="s">
        <v>440</v>
      </c>
      <c r="AI18" s="220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224" t="s">
        <v>441</v>
      </c>
      <c r="AX18" s="220"/>
      <c r="AY18" s="224" t="s">
        <v>442</v>
      </c>
      <c r="AZ18" s="220"/>
      <c r="BA18" s="7"/>
      <c r="BB18" s="224" t="s">
        <v>56</v>
      </c>
      <c r="BC18" s="220"/>
      <c r="BD18" s="221"/>
      <c r="BE18" s="7"/>
      <c r="BF18" s="7"/>
      <c r="BG18" s="7"/>
      <c r="BH18" s="7"/>
      <c r="BI18" s="7"/>
      <c r="BJ18" s="7"/>
    </row>
    <row r="19" spans="1:62" ht="14.25" customHeight="1" x14ac:dyDescent="0.35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224" t="s">
        <v>443</v>
      </c>
      <c r="AF19" s="220"/>
      <c r="AG19" s="7"/>
      <c r="AH19" s="224" t="s">
        <v>444</v>
      </c>
      <c r="AI19" s="220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224" t="s">
        <v>445</v>
      </c>
      <c r="AX19" s="220"/>
      <c r="AY19" s="224" t="s">
        <v>446</v>
      </c>
      <c r="AZ19" s="220"/>
      <c r="BA19" s="7"/>
      <c r="BB19" s="224" t="s">
        <v>447</v>
      </c>
      <c r="BC19" s="220"/>
      <c r="BD19" s="7"/>
      <c r="BE19" s="7"/>
      <c r="BF19" s="7"/>
      <c r="BG19" s="7"/>
      <c r="BH19" s="7"/>
      <c r="BI19" s="7"/>
      <c r="BJ19" s="7"/>
    </row>
    <row r="20" spans="1:62" ht="14.25" customHeight="1" x14ac:dyDescent="0.35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221"/>
      <c r="AF20" s="7"/>
      <c r="AG20" s="7"/>
      <c r="AH20" s="224" t="s">
        <v>448</v>
      </c>
      <c r="AI20" s="220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221"/>
      <c r="AX20" s="7"/>
      <c r="AY20" s="224" t="s">
        <v>449</v>
      </c>
      <c r="AZ20" s="220"/>
      <c r="BA20" s="7"/>
      <c r="BB20" s="221"/>
      <c r="BC20" s="7"/>
      <c r="BD20" s="7"/>
      <c r="BE20" s="7"/>
      <c r="BF20" s="7"/>
      <c r="BG20" s="7"/>
      <c r="BH20" s="7"/>
      <c r="BI20" s="7"/>
      <c r="BJ20" s="7"/>
    </row>
    <row r="21" spans="1:62" ht="14.25" customHeight="1" x14ac:dyDescent="0.35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224" t="s">
        <v>450</v>
      </c>
      <c r="AI21" s="220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224" t="s">
        <v>451</v>
      </c>
      <c r="AZ21" s="220"/>
      <c r="BA21" s="7"/>
      <c r="BB21" s="7"/>
      <c r="BC21" s="7"/>
      <c r="BD21" s="7"/>
      <c r="BE21" s="7"/>
      <c r="BF21" s="7"/>
      <c r="BG21" s="7"/>
      <c r="BH21" s="7"/>
      <c r="BI21" s="7"/>
      <c r="BJ21" s="7"/>
    </row>
    <row r="22" spans="1:62" ht="14.25" customHeight="1" x14ac:dyDescent="0.35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224" t="s">
        <v>452</v>
      </c>
      <c r="AI22" s="220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224" t="s">
        <v>453</v>
      </c>
      <c r="AZ22" s="220"/>
      <c r="BA22" s="7"/>
      <c r="BB22" s="7"/>
      <c r="BC22" s="7"/>
      <c r="BD22" s="7"/>
      <c r="BE22" s="7"/>
      <c r="BF22" s="7"/>
      <c r="BG22" s="7"/>
      <c r="BH22" s="7"/>
      <c r="BI22" s="7"/>
      <c r="BJ22" s="7"/>
    </row>
    <row r="23" spans="1:62" ht="14.25" customHeight="1" x14ac:dyDescent="0.35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224" t="s">
        <v>454</v>
      </c>
      <c r="AI23" s="220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224" t="s">
        <v>455</v>
      </c>
      <c r="AZ23" s="220"/>
      <c r="BA23" s="7"/>
      <c r="BB23" s="7"/>
      <c r="BC23" s="7"/>
      <c r="BD23" s="7"/>
      <c r="BE23" s="7"/>
      <c r="BF23" s="7"/>
      <c r="BG23" s="7"/>
      <c r="BH23" s="7"/>
      <c r="BI23" s="7"/>
      <c r="BJ23" s="7"/>
    </row>
    <row r="24" spans="1:62" ht="14.25" customHeight="1" x14ac:dyDescent="0.35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221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224" t="s">
        <v>456</v>
      </c>
      <c r="AZ24" s="220"/>
      <c r="BA24" s="7"/>
      <c r="BB24" s="7"/>
      <c r="BC24" s="7"/>
      <c r="BD24" s="7"/>
      <c r="BE24" s="7"/>
      <c r="BF24" s="7"/>
      <c r="BG24" s="7"/>
      <c r="BH24" s="7"/>
      <c r="BI24" s="7"/>
      <c r="BJ24" s="7"/>
    </row>
    <row r="25" spans="1:62" ht="14.25" customHeight="1" x14ac:dyDescent="0.3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224" t="s">
        <v>457</v>
      </c>
      <c r="AZ25" s="220"/>
      <c r="BA25" s="7"/>
      <c r="BB25" s="7"/>
      <c r="BC25" s="7"/>
      <c r="BD25" s="7"/>
      <c r="BE25" s="7"/>
      <c r="BF25" s="7"/>
      <c r="BG25" s="7"/>
      <c r="BH25" s="7"/>
      <c r="BI25" s="7"/>
      <c r="BJ25" s="7"/>
    </row>
    <row r="26" spans="1:62" ht="14.25" customHeight="1" x14ac:dyDescent="0.35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224" t="s">
        <v>458</v>
      </c>
      <c r="AZ26" s="220"/>
      <c r="BA26" s="7"/>
      <c r="BB26" s="7"/>
      <c r="BC26" s="7"/>
      <c r="BD26" s="7"/>
      <c r="BE26" s="7"/>
      <c r="BF26" s="7"/>
      <c r="BG26" s="7"/>
      <c r="BH26" s="7"/>
      <c r="BI26" s="7"/>
      <c r="BJ26" s="7"/>
    </row>
    <row r="27" spans="1:62" x14ac:dyDescent="0.35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221"/>
      <c r="AZ27" s="7"/>
      <c r="BA27" s="7"/>
      <c r="BB27" s="7"/>
      <c r="BC27" s="7"/>
      <c r="BD27" s="7"/>
      <c r="BE27" s="7"/>
      <c r="BF27" s="7"/>
      <c r="BG27" s="7"/>
      <c r="BH27" s="7"/>
      <c r="BI27" s="7"/>
      <c r="BJ27" s="7"/>
    </row>
    <row r="28" spans="1:62" x14ac:dyDescent="0.35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7"/>
      <c r="BI28" s="7"/>
      <c r="BJ28" s="7"/>
    </row>
    <row r="29" spans="1:62" x14ac:dyDescent="0.35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 s="7"/>
      <c r="BH29" s="7"/>
      <c r="BI29" s="7"/>
      <c r="BJ29" s="7"/>
    </row>
    <row r="30" spans="1:62" x14ac:dyDescent="0.35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  <c r="BI30" s="7"/>
      <c r="BJ30" s="7"/>
    </row>
    <row r="31" spans="1:62" x14ac:dyDescent="0.35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 s="7"/>
      <c r="BH31" s="7"/>
      <c r="BI31" s="7"/>
      <c r="BJ31" s="7"/>
    </row>
    <row r="32" spans="1:62" x14ac:dyDescent="0.35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 s="7"/>
      <c r="BH32" s="7"/>
      <c r="BI32" s="7"/>
      <c r="BJ32" s="7"/>
    </row>
    <row r="33" spans="1:63" x14ac:dyDescent="0.35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 s="7"/>
      <c r="BH33" s="7"/>
      <c r="BI33" s="7"/>
      <c r="BJ33" s="7"/>
    </row>
    <row r="34" spans="1:63" x14ac:dyDescent="0.35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  <c r="BJ34" s="7"/>
    </row>
    <row r="35" spans="1:63" x14ac:dyDescent="0.3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  <c r="BI35" s="7"/>
      <c r="BJ35" s="7"/>
    </row>
    <row r="36" spans="1:63" x14ac:dyDescent="0.35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  <c r="BJ36" s="7"/>
    </row>
    <row r="37" spans="1:63" x14ac:dyDescent="0.35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  <c r="BI37" s="7"/>
      <c r="BJ37" s="7"/>
    </row>
    <row r="38" spans="1:63" x14ac:dyDescent="0.35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  <c r="BJ38" s="7"/>
    </row>
    <row r="39" spans="1:63" x14ac:dyDescent="0.35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  <c r="BI39" s="7"/>
      <c r="BJ39" s="7"/>
    </row>
    <row r="40" spans="1:63" x14ac:dyDescent="0.35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7"/>
      <c r="BI40" s="7"/>
      <c r="BJ40" s="7"/>
    </row>
    <row r="41" spans="1:63" ht="14.25" customHeight="1" x14ac:dyDescent="0.35">
      <c r="A41" s="7"/>
      <c r="B41" s="119" t="s">
        <v>459</v>
      </c>
      <c r="C41" s="119"/>
      <c r="D41" s="119"/>
      <c r="E41" s="119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/>
      <c r="BF41" s="7"/>
      <c r="BG41" s="7"/>
      <c r="BH41" s="7"/>
      <c r="BI41" s="7"/>
      <c r="BJ41" s="7"/>
    </row>
    <row r="42" spans="1:63" ht="14.25" customHeight="1" x14ac:dyDescent="0.35">
      <c r="A42" s="7"/>
      <c r="B42" s="244" t="s">
        <v>460</v>
      </c>
      <c r="C42" s="244" t="s">
        <v>461</v>
      </c>
      <c r="D42" s="220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  <c r="BD42" s="7"/>
      <c r="BE42" s="7"/>
      <c r="BF42" s="7"/>
      <c r="BG42" s="7"/>
      <c r="BH42" s="7"/>
      <c r="BI42" s="7"/>
      <c r="BJ42" s="7"/>
    </row>
    <row r="43" spans="1:63" ht="14.25" customHeight="1" x14ac:dyDescent="0.35">
      <c r="A43" s="7"/>
      <c r="B43" s="224" t="s">
        <v>52</v>
      </c>
      <c r="C43" s="224" t="s">
        <v>462</v>
      </c>
      <c r="D43" s="220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7"/>
      <c r="BC43" s="7"/>
      <c r="BD43" s="7"/>
      <c r="BE43" s="7"/>
      <c r="BF43" s="7"/>
      <c r="BG43" s="7"/>
      <c r="BH43" s="7"/>
      <c r="BI43" s="7"/>
      <c r="BJ43" s="7"/>
    </row>
    <row r="44" spans="1:63" ht="14.25" customHeight="1" x14ac:dyDescent="0.35">
      <c r="A44" s="7"/>
      <c r="B44" s="224" t="s">
        <v>220</v>
      </c>
      <c r="C44" s="224" t="s">
        <v>463</v>
      </c>
      <c r="D44" s="220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7"/>
      <c r="BD44" s="7"/>
      <c r="BE44" s="7"/>
      <c r="BF44" s="7"/>
      <c r="BG44" s="7"/>
      <c r="BH44" s="7"/>
      <c r="BI44" s="7"/>
      <c r="BJ44" s="7"/>
    </row>
    <row r="45" spans="1:63" ht="14.25" customHeight="1" x14ac:dyDescent="0.35">
      <c r="A45" s="8"/>
      <c r="B45" s="224" t="s">
        <v>255</v>
      </c>
      <c r="C45" s="224" t="s">
        <v>464</v>
      </c>
      <c r="D45" s="220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7"/>
      <c r="BC45" s="7"/>
      <c r="BD45" s="7"/>
      <c r="BE45" s="7"/>
      <c r="BF45" s="7"/>
      <c r="BG45" s="7"/>
      <c r="BH45" s="8"/>
      <c r="BI45" s="7"/>
      <c r="BJ45" s="7"/>
      <c r="BK45" s="1"/>
    </row>
    <row r="46" spans="1:63" ht="14.25" customHeight="1" x14ac:dyDescent="0.35">
      <c r="A46" s="7"/>
      <c r="B46" s="224" t="s">
        <v>2</v>
      </c>
      <c r="C46" s="224" t="s">
        <v>3</v>
      </c>
      <c r="D46" s="220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7"/>
      <c r="BC46" s="7"/>
      <c r="BD46" s="7"/>
      <c r="BE46" s="7"/>
      <c r="BF46" s="7"/>
      <c r="BG46" s="7"/>
      <c r="BH46" s="7"/>
      <c r="BI46" s="7"/>
      <c r="BJ46" s="7"/>
    </row>
    <row r="47" spans="1:63" ht="14.25" customHeight="1" x14ac:dyDescent="0.35">
      <c r="A47" s="7"/>
      <c r="B47" s="224" t="s">
        <v>209</v>
      </c>
      <c r="C47" s="224" t="s">
        <v>465</v>
      </c>
      <c r="D47" s="220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/>
      <c r="BA47" s="7"/>
      <c r="BB47" s="7"/>
      <c r="BC47" s="7"/>
      <c r="BD47" s="7"/>
      <c r="BE47" s="7"/>
      <c r="BF47" s="7"/>
      <c r="BG47" s="7"/>
      <c r="BH47" s="7"/>
      <c r="BI47" s="7"/>
      <c r="BJ47" s="7"/>
    </row>
    <row r="48" spans="1:63" ht="15" customHeight="1" x14ac:dyDescent="0.35">
      <c r="A48" s="7"/>
      <c r="B48" s="307" t="s">
        <v>466</v>
      </c>
      <c r="C48" s="245"/>
      <c r="D48" s="120"/>
      <c r="E48" s="120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  <c r="BJ48" s="7"/>
    </row>
    <row r="49" spans="2:5" ht="14.25" customHeight="1" x14ac:dyDescent="0.35">
      <c r="B49" s="3"/>
      <c r="C49" s="3"/>
      <c r="D49" s="3"/>
      <c r="E49" s="3"/>
    </row>
  </sheetData>
  <pageMargins left="0.75" right="0.75" top="1" bottom="1" header="0.511811023622047" footer="0.51180555555555596"/>
  <pageSetup paperSize="9" orientation="portrait" horizontalDpi="300" verticalDpi="300"/>
  <headerFooter>
    <oddFooter>&amp;C&amp;"Aptos,Regular"&amp;10 &amp;K008000_x005F_x000d_# Classificação: Pública</oddFooter>
  </headerFooter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509F1-5E66-4388-8DD2-EE2639E3D3ED}">
  <dimension ref="A1:C102"/>
  <sheetViews>
    <sheetView workbookViewId="0"/>
  </sheetViews>
  <sheetFormatPr defaultRowHeight="14.5" x14ac:dyDescent="0.35"/>
  <cols>
    <col min="1" max="1" width="2.26953125" customWidth="1"/>
    <col min="2" max="2" width="118.1796875" style="1" customWidth="1"/>
  </cols>
  <sheetData>
    <row r="1" spans="1:3" x14ac:dyDescent="0.35">
      <c r="A1" s="261"/>
      <c r="B1" s="337"/>
      <c r="C1" s="261"/>
    </row>
    <row r="2" spans="1:3" ht="74" x14ac:dyDescent="0.35">
      <c r="A2" s="261"/>
      <c r="B2" s="357" t="str">
        <f>"# PROMPT MESTRE — SISTEMA DE CONTROLE DE ATIVIDADES E GOVERNANÇA DE ENTREGAS (réplica funcional da planilha "&amp;NomeArquivo&amp;") · v2 — revisada em 29/07/2026: paleta oficial SGPI, semana identificada por período de datas, prefixo de ID com fonte única, seções 5 a 7 do report derivadas por agregação, Resumo com indicadores gerenciais e ranking de impacto."</f>
        <v># PROMPT MESTRE — SISTEMA DE CONTROLE DE ATIVIDADES E GOVERNANÇA DE ENTREGAS (réplica funcional da planilha base-atividades-viviane_lima) · v2 — revisada em 29/07/2026: paleta oficial SGPI, semana identificada por período de datas, prefixo de ID com fonte única, seções 5 a 7 do report derivadas por agregação, Resumo com indicadores gerenciais e ranking de impacto.</v>
      </c>
      <c r="C2" s="261"/>
    </row>
    <row r="3" spans="1:3" x14ac:dyDescent="0.35">
      <c r="A3" s="261"/>
      <c r="B3" s="358"/>
      <c r="C3" s="261"/>
    </row>
    <row r="4" spans="1:3" x14ac:dyDescent="0.35">
      <c r="A4" s="261"/>
      <c r="B4" s="359" t="s">
        <v>635</v>
      </c>
      <c r="C4" s="261"/>
    </row>
    <row r="5" spans="1:3" ht="58" x14ac:dyDescent="0.35">
      <c r="A5" s="261"/>
      <c r="B5" s="358" t="str">
        <f>_xlfn._LONGTEXT("Você é um **arquiteto de software sênior e engenheiro full-stack sênior**, especialista em sistemas de gestão de portfólio/PMO, workflows human-in-the-loop com gates de governança e dashboards executivos. Sua missão é **construir/adaptar o Sistema de Cont","role de Atividades da equipe de Processos Integrados**, replicando 100% da funcionalidade, das regras de negócio e da identidade visual da planilha Excel """)&amp;NomeArquivo&amp;""" descrita neste prompt — a versão homologada que serve de gabarito."</f>
        <v>Você é um **arquiteto de software sênior e engenheiro full-stack sênior**, especialista em sistemas de gestão de portfólio/PMO, workflows human-in-the-loop com gates de governança e dashboards executivos. Sua missão é **construir/adaptar o Sistema de Controle de Atividades da equipe de Processos Integrados**, replicando 100% da funcionalidade, das regras de negócio e da identidade visual da planilha Excel "base-atividades-viviane_lima" descrita neste prompt — a versão homologada que serve de gabarito.</v>
      </c>
      <c r="C5" s="261"/>
    </row>
    <row r="6" spans="1:3" ht="58" x14ac:dyDescent="0.35">
      <c r="A6" s="261"/>
      <c r="B6" s="358" t="s">
        <v>636</v>
      </c>
      <c r="C6" s="261"/>
    </row>
    <row r="7" spans="1:3" x14ac:dyDescent="0.35">
      <c r="A7" s="261"/>
      <c r="B7" s="358" t="s">
        <v>637</v>
      </c>
      <c r="C7" s="261"/>
    </row>
    <row r="8" spans="1:3" ht="29" x14ac:dyDescent="0.35">
      <c r="A8" s="261"/>
      <c r="B8" s="358" t="s">
        <v>638</v>
      </c>
      <c r="C8" s="261"/>
    </row>
    <row r="9" spans="1:3" x14ac:dyDescent="0.35">
      <c r="A9" s="261"/>
      <c r="B9" s="358" t="s">
        <v>639</v>
      </c>
      <c r="C9" s="261"/>
    </row>
    <row r="10" spans="1:3" ht="29" x14ac:dyDescent="0.35">
      <c r="A10" s="261"/>
      <c r="B10" s="358" t="s">
        <v>843</v>
      </c>
      <c r="C10" s="261"/>
    </row>
    <row r="11" spans="1:3" ht="29" x14ac:dyDescent="0.35">
      <c r="A11" s="261"/>
      <c r="B11" s="358" t="s">
        <v>640</v>
      </c>
      <c r="C11" s="261"/>
    </row>
    <row r="12" spans="1:3" ht="29" x14ac:dyDescent="0.35">
      <c r="A12" s="261"/>
      <c r="B12" s="358" t="s">
        <v>641</v>
      </c>
      <c r="C12" s="261"/>
    </row>
    <row r="13" spans="1:3" ht="29" x14ac:dyDescent="0.35">
      <c r="A13" s="261"/>
      <c r="B13" s="358" t="s">
        <v>642</v>
      </c>
      <c r="C13" s="261"/>
    </row>
    <row r="14" spans="1:3" ht="29" x14ac:dyDescent="0.35">
      <c r="A14" s="261"/>
      <c r="B14" s="358" t="s">
        <v>643</v>
      </c>
      <c r="C14" s="261"/>
    </row>
    <row r="15" spans="1:3" ht="29" x14ac:dyDescent="0.35">
      <c r="A15" s="261"/>
      <c r="B15" s="358" t="s">
        <v>644</v>
      </c>
      <c r="C15" s="261"/>
    </row>
    <row r="16" spans="1:3" x14ac:dyDescent="0.35">
      <c r="A16" s="261"/>
      <c r="B16" s="358" t="s">
        <v>645</v>
      </c>
      <c r="C16" s="261"/>
    </row>
    <row r="17" spans="1:3" x14ac:dyDescent="0.35">
      <c r="A17" s="261"/>
      <c r="B17" s="358"/>
      <c r="C17" s="261"/>
    </row>
    <row r="18" spans="1:3" x14ac:dyDescent="0.35">
      <c r="A18" s="261"/>
      <c r="B18" s="359" t="s">
        <v>646</v>
      </c>
      <c r="C18" s="261"/>
    </row>
    <row r="19" spans="1:3" ht="43.5" x14ac:dyDescent="0.35">
      <c r="A19" s="261"/>
      <c r="B19" s="358" t="s">
        <v>939</v>
      </c>
      <c r="C19" s="261"/>
    </row>
    <row r="20" spans="1:3" ht="29" x14ac:dyDescent="0.35">
      <c r="A20" s="261"/>
      <c r="B20" s="360" t="s">
        <v>647</v>
      </c>
      <c r="C20" s="261"/>
    </row>
    <row r="21" spans="1:3" ht="29" x14ac:dyDescent="0.35">
      <c r="A21" s="261"/>
      <c r="B21" s="360" t="s">
        <v>648</v>
      </c>
      <c r="C21" s="261"/>
    </row>
    <row r="22" spans="1:3" ht="29" x14ac:dyDescent="0.35">
      <c r="A22" s="261"/>
      <c r="B22" s="360" t="s">
        <v>649</v>
      </c>
      <c r="C22" s="261"/>
    </row>
    <row r="23" spans="1:3" x14ac:dyDescent="0.35">
      <c r="A23" s="261"/>
      <c r="B23" s="360" t="s">
        <v>650</v>
      </c>
      <c r="C23" s="261"/>
    </row>
    <row r="24" spans="1:3" ht="58" x14ac:dyDescent="0.35">
      <c r="A24" s="261"/>
      <c r="B24" s="360" t="s">
        <v>815</v>
      </c>
      <c r="C24" s="261"/>
    </row>
    <row r="25" spans="1:3" x14ac:dyDescent="0.35">
      <c r="A25" s="261"/>
      <c r="B25" s="361" t="s">
        <v>651</v>
      </c>
      <c r="C25" s="261"/>
    </row>
    <row r="26" spans="1:3" x14ac:dyDescent="0.35">
      <c r="A26" s="261"/>
      <c r="B26" s="360" t="s">
        <v>652</v>
      </c>
      <c r="C26" s="261"/>
    </row>
    <row r="27" spans="1:3" ht="43.5" x14ac:dyDescent="0.35">
      <c r="A27" s="261"/>
      <c r="B27" s="360" t="s">
        <v>811</v>
      </c>
      <c r="C27" s="261"/>
    </row>
    <row r="28" spans="1:3" ht="29" x14ac:dyDescent="0.35">
      <c r="A28" s="261"/>
      <c r="B28" s="360" t="s">
        <v>653</v>
      </c>
      <c r="C28" s="261"/>
    </row>
    <row r="29" spans="1:3" ht="29" x14ac:dyDescent="0.35">
      <c r="A29" s="261"/>
      <c r="B29" s="360" t="s">
        <v>812</v>
      </c>
      <c r="C29" s="261"/>
    </row>
    <row r="30" spans="1:3" ht="43.5" x14ac:dyDescent="0.35">
      <c r="A30" s="261"/>
      <c r="B30" s="360" t="s">
        <v>844</v>
      </c>
      <c r="C30" s="261"/>
    </row>
    <row r="31" spans="1:3" x14ac:dyDescent="0.35">
      <c r="A31" s="261"/>
      <c r="B31" s="361" t="s">
        <v>654</v>
      </c>
      <c r="C31" s="261"/>
    </row>
    <row r="32" spans="1:3" x14ac:dyDescent="0.35">
      <c r="A32" s="261"/>
      <c r="B32" s="362" t="s">
        <v>655</v>
      </c>
      <c r="C32" s="261"/>
    </row>
    <row r="33" spans="1:3" ht="87" x14ac:dyDescent="0.35">
      <c r="A33" s="261"/>
      <c r="B33" s="360" t="s">
        <v>656</v>
      </c>
      <c r="C33" s="261"/>
    </row>
    <row r="34" spans="1:3" ht="159.5" x14ac:dyDescent="0.35">
      <c r="A34" s="261"/>
      <c r="B34" s="362" t="s">
        <v>816</v>
      </c>
      <c r="C34" s="261"/>
    </row>
    <row r="35" spans="1:3" ht="116" x14ac:dyDescent="0.35">
      <c r="A35" s="261"/>
      <c r="B35" s="360" t="s">
        <v>657</v>
      </c>
      <c r="C35" s="261"/>
    </row>
    <row r="36" spans="1:3" x14ac:dyDescent="0.35">
      <c r="A36" s="261"/>
      <c r="B36" s="360"/>
      <c r="C36" s="261"/>
    </row>
    <row r="37" spans="1:3" x14ac:dyDescent="0.35">
      <c r="A37" s="261"/>
      <c r="B37" s="361" t="s">
        <v>658</v>
      </c>
      <c r="C37" s="261"/>
    </row>
    <row r="38" spans="1:3" x14ac:dyDescent="0.35">
      <c r="A38" s="261"/>
      <c r="B38" s="360" t="s">
        <v>659</v>
      </c>
      <c r="C38" s="261"/>
    </row>
    <row r="39" spans="1:3" ht="29" x14ac:dyDescent="0.35">
      <c r="A39" s="261"/>
      <c r="B39" s="360" t="s">
        <v>660</v>
      </c>
      <c r="C39" s="261"/>
    </row>
    <row r="40" spans="1:3" ht="29" x14ac:dyDescent="0.35">
      <c r="A40" s="261"/>
      <c r="B40" s="360" t="s">
        <v>661</v>
      </c>
      <c r="C40" s="261"/>
    </row>
    <row r="41" spans="1:3" ht="29" x14ac:dyDescent="0.35">
      <c r="A41" s="261"/>
      <c r="B41" s="360" t="s">
        <v>662</v>
      </c>
      <c r="C41" s="261"/>
    </row>
    <row r="42" spans="1:3" ht="29" x14ac:dyDescent="0.35">
      <c r="A42" s="261"/>
      <c r="B42" s="360" t="s">
        <v>663</v>
      </c>
      <c r="C42" s="261"/>
    </row>
    <row r="43" spans="1:3" x14ac:dyDescent="0.35">
      <c r="A43" s="261"/>
      <c r="B43" s="360" t="s">
        <v>664</v>
      </c>
      <c r="C43" s="261"/>
    </row>
    <row r="44" spans="1:3" x14ac:dyDescent="0.35">
      <c r="A44" s="261"/>
      <c r="B44" s="360"/>
      <c r="C44" s="261"/>
    </row>
    <row r="45" spans="1:3" x14ac:dyDescent="0.35">
      <c r="A45" s="261"/>
      <c r="B45" s="361" t="s">
        <v>665</v>
      </c>
      <c r="C45" s="261"/>
    </row>
    <row r="46" spans="1:3" ht="29" x14ac:dyDescent="0.35">
      <c r="A46" s="261"/>
      <c r="B46" s="360" t="s">
        <v>666</v>
      </c>
      <c r="C46" s="261"/>
    </row>
    <row r="47" spans="1:3" ht="29" x14ac:dyDescent="0.35">
      <c r="A47" s="261"/>
      <c r="B47" s="360" t="s">
        <v>667</v>
      </c>
      <c r="C47" s="261"/>
    </row>
    <row r="48" spans="1:3" ht="29" x14ac:dyDescent="0.35">
      <c r="A48" s="261"/>
      <c r="B48" s="360" t="s">
        <v>668</v>
      </c>
      <c r="C48" s="261"/>
    </row>
    <row r="49" spans="1:3" ht="29" x14ac:dyDescent="0.35">
      <c r="A49" s="261"/>
      <c r="B49" s="360" t="s">
        <v>669</v>
      </c>
      <c r="C49" s="261"/>
    </row>
    <row r="50" spans="1:3" ht="29" x14ac:dyDescent="0.35">
      <c r="A50" s="261"/>
      <c r="B50" s="360" t="s">
        <v>670</v>
      </c>
      <c r="C50" s="261"/>
    </row>
    <row r="51" spans="1:3" ht="29" x14ac:dyDescent="0.35">
      <c r="A51" s="261"/>
      <c r="B51" s="360" t="s">
        <v>671</v>
      </c>
      <c r="C51" s="261"/>
    </row>
    <row r="52" spans="1:3" x14ac:dyDescent="0.35">
      <c r="A52" s="261"/>
      <c r="B52" s="360" t="s">
        <v>672</v>
      </c>
      <c r="C52" s="261"/>
    </row>
    <row r="53" spans="1:3" ht="58" x14ac:dyDescent="0.35">
      <c r="A53" s="261"/>
      <c r="B53" s="360" t="s">
        <v>673</v>
      </c>
      <c r="C53" s="261"/>
    </row>
    <row r="54" spans="1:3" ht="29" x14ac:dyDescent="0.35">
      <c r="A54" s="261"/>
      <c r="B54" s="360" t="s">
        <v>674</v>
      </c>
      <c r="C54" s="261"/>
    </row>
    <row r="55" spans="1:3" x14ac:dyDescent="0.35">
      <c r="A55" s="261"/>
      <c r="B55" s="360"/>
      <c r="C55" s="261"/>
    </row>
    <row r="56" spans="1:3" x14ac:dyDescent="0.35">
      <c r="A56" s="261"/>
      <c r="B56" s="361" t="s">
        <v>675</v>
      </c>
      <c r="C56" s="261"/>
    </row>
    <row r="57" spans="1:3" ht="29" x14ac:dyDescent="0.35">
      <c r="A57" s="261"/>
      <c r="B57" s="360" t="s">
        <v>813</v>
      </c>
      <c r="C57" s="261"/>
    </row>
    <row r="58" spans="1:3" ht="29" x14ac:dyDescent="0.35">
      <c r="A58" s="261"/>
      <c r="B58" s="360" t="s">
        <v>676</v>
      </c>
      <c r="C58" s="261"/>
    </row>
    <row r="59" spans="1:3" ht="43.5" x14ac:dyDescent="0.35">
      <c r="A59" s="261"/>
      <c r="B59" s="360" t="s">
        <v>814</v>
      </c>
      <c r="C59" s="261"/>
    </row>
    <row r="60" spans="1:3" x14ac:dyDescent="0.35">
      <c r="A60" s="261"/>
      <c r="B60" s="360" t="s">
        <v>677</v>
      </c>
      <c r="C60" s="261"/>
    </row>
    <row r="61" spans="1:3" ht="29" x14ac:dyDescent="0.35">
      <c r="A61" s="261"/>
      <c r="B61" s="358" t="s">
        <v>678</v>
      </c>
      <c r="C61" s="261"/>
    </row>
    <row r="62" spans="1:3" ht="72.5" x14ac:dyDescent="0.35">
      <c r="A62" s="261"/>
      <c r="B62" s="358" t="s">
        <v>817</v>
      </c>
      <c r="C62" s="261"/>
    </row>
    <row r="63" spans="1:3" x14ac:dyDescent="0.35">
      <c r="A63" s="261"/>
      <c r="B63" s="358" t="s">
        <v>679</v>
      </c>
      <c r="C63" s="261"/>
    </row>
    <row r="64" spans="1:3" ht="29" x14ac:dyDescent="0.35">
      <c r="A64" s="261"/>
      <c r="B64" s="358" t="s">
        <v>818</v>
      </c>
      <c r="C64" s="261"/>
    </row>
    <row r="65" spans="1:3" ht="29" x14ac:dyDescent="0.35">
      <c r="A65" s="261"/>
      <c r="B65" s="358" t="s">
        <v>819</v>
      </c>
      <c r="C65" s="261"/>
    </row>
    <row r="66" spans="1:3" ht="29" x14ac:dyDescent="0.35">
      <c r="A66" s="261"/>
      <c r="B66" s="358" t="s">
        <v>820</v>
      </c>
      <c r="C66" s="261"/>
    </row>
    <row r="67" spans="1:3" ht="43.5" x14ac:dyDescent="0.35">
      <c r="A67" s="261"/>
      <c r="B67" s="358" t="s">
        <v>680</v>
      </c>
      <c r="C67" s="261"/>
    </row>
    <row r="68" spans="1:3" ht="29" x14ac:dyDescent="0.35">
      <c r="A68" s="261"/>
      <c r="B68" s="358" t="s">
        <v>681</v>
      </c>
      <c r="C68" s="261"/>
    </row>
    <row r="69" spans="1:3" x14ac:dyDescent="0.35">
      <c r="A69" s="261"/>
      <c r="B69" s="358"/>
      <c r="C69" s="261"/>
    </row>
    <row r="70" spans="1:3" x14ac:dyDescent="0.35">
      <c r="A70" s="261"/>
      <c r="B70" s="359" t="s">
        <v>845</v>
      </c>
      <c r="C70" s="261"/>
    </row>
    <row r="71" spans="1:3" ht="58" x14ac:dyDescent="0.35">
      <c r="A71" s="261"/>
      <c r="B71" s="358" t="s">
        <v>821</v>
      </c>
      <c r="C71" s="261"/>
    </row>
    <row r="72" spans="1:3" ht="43.5" x14ac:dyDescent="0.35">
      <c r="A72" s="261"/>
      <c r="B72" s="358" t="s">
        <v>822</v>
      </c>
      <c r="C72" s="261"/>
    </row>
    <row r="73" spans="1:3" ht="29" x14ac:dyDescent="0.35">
      <c r="A73" s="261"/>
      <c r="B73" s="358" t="s">
        <v>682</v>
      </c>
      <c r="C73" s="261"/>
    </row>
    <row r="74" spans="1:3" ht="58" x14ac:dyDescent="0.35">
      <c r="A74" s="261"/>
      <c r="B74" s="358" t="s">
        <v>823</v>
      </c>
      <c r="C74" s="261"/>
    </row>
    <row r="75" spans="1:3" x14ac:dyDescent="0.35">
      <c r="A75" s="261"/>
      <c r="B75" s="358"/>
      <c r="C75" s="261"/>
    </row>
    <row r="76" spans="1:3" x14ac:dyDescent="0.35">
      <c r="A76" s="261"/>
      <c r="B76" s="359" t="s">
        <v>683</v>
      </c>
      <c r="C76" s="261"/>
    </row>
    <row r="77" spans="1:3" ht="101.5" x14ac:dyDescent="0.35">
      <c r="A77" s="261"/>
      <c r="B77" s="358" t="s">
        <v>825</v>
      </c>
      <c r="C77" s="261"/>
    </row>
    <row r="78" spans="1:3" ht="101.5" x14ac:dyDescent="0.35">
      <c r="A78" s="261"/>
      <c r="B78" s="358" t="s">
        <v>826</v>
      </c>
      <c r="C78" s="261"/>
    </row>
    <row r="79" spans="1:3" ht="29" x14ac:dyDescent="0.35">
      <c r="A79" s="261"/>
      <c r="B79" s="358" t="s">
        <v>684</v>
      </c>
      <c r="C79" s="261"/>
    </row>
    <row r="80" spans="1:3" ht="58" x14ac:dyDescent="0.35">
      <c r="A80" s="261"/>
      <c r="B80" s="358" t="s">
        <v>846</v>
      </c>
      <c r="C80" s="261"/>
    </row>
    <row r="81" spans="1:3" ht="29" x14ac:dyDescent="0.35">
      <c r="A81" s="261"/>
      <c r="B81" s="358" t="s">
        <v>685</v>
      </c>
      <c r="C81" s="261"/>
    </row>
    <row r="82" spans="1:3" x14ac:dyDescent="0.35">
      <c r="A82" s="261"/>
      <c r="B82" s="358"/>
      <c r="C82" s="261"/>
    </row>
    <row r="83" spans="1:3" x14ac:dyDescent="0.35">
      <c r="A83" s="261"/>
      <c r="B83" s="359" t="s">
        <v>686</v>
      </c>
      <c r="C83" s="261"/>
    </row>
    <row r="84" spans="1:3" x14ac:dyDescent="0.35">
      <c r="A84" s="261"/>
      <c r="B84" s="358" t="s">
        <v>687</v>
      </c>
      <c r="C84" s="261"/>
    </row>
    <row r="85" spans="1:3" ht="29" x14ac:dyDescent="0.35">
      <c r="A85" s="261"/>
      <c r="B85" s="358" t="s">
        <v>688</v>
      </c>
      <c r="C85" s="261"/>
    </row>
    <row r="86" spans="1:3" x14ac:dyDescent="0.35">
      <c r="A86" s="261"/>
      <c r="B86" s="358" t="s">
        <v>689</v>
      </c>
      <c r="C86" s="261"/>
    </row>
    <row r="87" spans="1:3" ht="43.5" x14ac:dyDescent="0.35">
      <c r="A87" s="261"/>
      <c r="B87" s="358" t="s">
        <v>824</v>
      </c>
      <c r="C87" s="261"/>
    </row>
    <row r="88" spans="1:3" x14ac:dyDescent="0.35">
      <c r="A88" s="261"/>
      <c r="B88" s="358"/>
      <c r="C88" s="261"/>
    </row>
    <row r="89" spans="1:3" x14ac:dyDescent="0.35">
      <c r="A89" s="261"/>
      <c r="B89" s="359" t="s">
        <v>690</v>
      </c>
      <c r="C89" s="261"/>
    </row>
    <row r="90" spans="1:3" ht="29" x14ac:dyDescent="0.35">
      <c r="A90" s="261"/>
      <c r="B90" s="358" t="s">
        <v>940</v>
      </c>
      <c r="C90" s="261"/>
    </row>
    <row r="91" spans="1:3" ht="43.5" x14ac:dyDescent="0.35">
      <c r="A91" s="261"/>
      <c r="B91" s="358" t="s">
        <v>827</v>
      </c>
      <c r="C91" s="261"/>
    </row>
    <row r="92" spans="1:3" ht="43.5" x14ac:dyDescent="0.35">
      <c r="A92" s="261"/>
      <c r="B92" s="358" t="s">
        <v>828</v>
      </c>
      <c r="C92" s="261"/>
    </row>
    <row r="93" spans="1:3" ht="43.5" x14ac:dyDescent="0.35">
      <c r="A93" s="261"/>
      <c r="B93" s="358" t="s">
        <v>829</v>
      </c>
      <c r="C93" s="261"/>
    </row>
    <row r="94" spans="1:3" ht="58" x14ac:dyDescent="0.35">
      <c r="A94" s="261"/>
      <c r="B94" s="358" t="s">
        <v>830</v>
      </c>
      <c r="C94" s="261"/>
    </row>
    <row r="95" spans="1:3" ht="29" x14ac:dyDescent="0.35">
      <c r="A95" s="261"/>
      <c r="B95" s="358" t="s">
        <v>941</v>
      </c>
      <c r="C95" s="261"/>
    </row>
    <row r="96" spans="1:3" ht="43.5" x14ac:dyDescent="0.35">
      <c r="A96" s="261"/>
      <c r="B96" s="358" t="s">
        <v>691</v>
      </c>
      <c r="C96" s="261"/>
    </row>
    <row r="97" spans="1:3" x14ac:dyDescent="0.35">
      <c r="A97" s="261"/>
      <c r="B97" s="358"/>
      <c r="C97" s="261"/>
    </row>
    <row r="98" spans="1:3" x14ac:dyDescent="0.35">
      <c r="A98" s="261"/>
      <c r="B98" s="363" t="s">
        <v>692</v>
      </c>
      <c r="C98" s="261"/>
    </row>
    <row r="99" spans="1:3" ht="145" x14ac:dyDescent="0.35">
      <c r="A99" s="261"/>
      <c r="B99" s="358" t="s">
        <v>831</v>
      </c>
      <c r="C99" s="261"/>
    </row>
    <row r="100" spans="1:3" x14ac:dyDescent="0.35">
      <c r="A100" s="261"/>
      <c r="B100" s="358"/>
      <c r="C100" s="261"/>
    </row>
    <row r="101" spans="1:3" x14ac:dyDescent="0.35">
      <c r="A101" s="261"/>
      <c r="B101" s="359" t="s">
        <v>693</v>
      </c>
      <c r="C101" s="261"/>
    </row>
    <row r="102" spans="1:3" ht="58" x14ac:dyDescent="0.35">
      <c r="B102" s="63" t="s">
        <v>694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16</vt:i4>
      </vt:variant>
      <vt:variant>
        <vt:lpstr>Intervalos Nomeados</vt:lpstr>
      </vt:variant>
      <vt:variant>
        <vt:i4>57</vt:i4>
      </vt:variant>
    </vt:vector>
  </HeadingPairs>
  <TitlesOfParts>
    <vt:vector size="73" baseType="lpstr">
      <vt:lpstr>Capa</vt:lpstr>
      <vt:lpstr>Dashboard</vt:lpstr>
      <vt:lpstr>Leia-me</vt:lpstr>
      <vt:lpstr>Lançamentos</vt:lpstr>
      <vt:lpstr>Workflow (Tracker)</vt:lpstr>
      <vt:lpstr>E1 — Solicitação</vt:lpstr>
      <vt:lpstr>E2 — Triagem</vt:lpstr>
      <vt:lpstr>E3 — Levantamento</vt:lpstr>
      <vt:lpstr>E4 — Execução</vt:lpstr>
      <vt:lpstr>E5 — Validação</vt:lpstr>
      <vt:lpstr>E6 — Ajustes</vt:lpstr>
      <vt:lpstr>E7 — Entrega</vt:lpstr>
      <vt:lpstr>E08 — Estabilização Hypercare</vt:lpstr>
      <vt:lpstr>Acompanhamento Semanal</vt:lpstr>
      <vt:lpstr>Cadastros</vt:lpstr>
      <vt:lpstr>PROMPT</vt:lpstr>
      <vt:lpstr>Dashboard!Area_de_impressao</vt:lpstr>
      <vt:lpstr>AvalDesemp</vt:lpstr>
      <vt:lpstr>AvalPrazo</vt:lpstr>
      <vt:lpstr>Beneficios</vt:lpstr>
      <vt:lpstr>CategoriasImped</vt:lpstr>
      <vt:lpstr>Complexidades</vt:lpstr>
      <vt:lpstr>Departamentos</vt:lpstr>
      <vt:lpstr>DeptosCSC</vt:lpstr>
      <vt:lpstr>Empresas</vt:lpstr>
      <vt:lpstr>EntBI</vt:lpstr>
      <vt:lpstr>EntGov</vt:lpstr>
      <vt:lpstr>EntMC</vt:lpstr>
      <vt:lpstr>EntOper</vt:lpstr>
      <vt:lpstr>EntPMO</vt:lpstr>
      <vt:lpstr>EntTD</vt:lpstr>
      <vt:lpstr>EquipePI</vt:lpstr>
      <vt:lpstr>EtapasWorkflow</vt:lpstr>
      <vt:lpstr>Impactos</vt:lpstr>
      <vt:lpstr>Lista_Pilares_E2</vt:lpstr>
      <vt:lpstr>MapaEnt</vt:lpstr>
      <vt:lpstr>MapaPessoas</vt:lpstr>
      <vt:lpstr>MapaTemas</vt:lpstr>
      <vt:lpstr>MotivoStatus</vt:lpstr>
      <vt:lpstr>NomeArquivo</vt:lpstr>
      <vt:lpstr>Papeis</vt:lpstr>
      <vt:lpstr>Pes01</vt:lpstr>
      <vt:lpstr>Pes02</vt:lpstr>
      <vt:lpstr>Pes03</vt:lpstr>
      <vt:lpstr>Pes04</vt:lpstr>
      <vt:lpstr>Pes05</vt:lpstr>
      <vt:lpstr>Pes06</vt:lpstr>
      <vt:lpstr>Pes07</vt:lpstr>
      <vt:lpstr>Pes08</vt:lpstr>
      <vt:lpstr>Pes09</vt:lpstr>
      <vt:lpstr>Pes10</vt:lpstr>
      <vt:lpstr>Pes11</vt:lpstr>
      <vt:lpstr>Pes12</vt:lpstr>
      <vt:lpstr>Pilares</vt:lpstr>
      <vt:lpstr>Prefixo</vt:lpstr>
      <vt:lpstr>Prioridades</vt:lpstr>
      <vt:lpstr>Projetos</vt:lpstr>
      <vt:lpstr>RadarCor</vt:lpstr>
      <vt:lpstr>SimNao</vt:lpstr>
      <vt:lpstr>StatusCriterio</vt:lpstr>
      <vt:lpstr>StatusEtapa</vt:lpstr>
      <vt:lpstr>StatusGeralProjeto</vt:lpstr>
      <vt:lpstr>StatusList</vt:lpstr>
      <vt:lpstr>StatusSemana</vt:lpstr>
      <vt:lpstr>TemaActio</vt:lpstr>
      <vt:lpstr>TemaIndMetas</vt:lpstr>
      <vt:lpstr>TemaInvestidas</vt:lpstr>
      <vt:lpstr>TemaLumen</vt:lpstr>
      <vt:lpstr>TemaNewsletter</vt:lpstr>
      <vt:lpstr>TemaRotinaFC</vt:lpstr>
      <vt:lpstr>TemaRotinaFin</vt:lpstr>
      <vt:lpstr>TemaSaneamento</vt:lpstr>
      <vt:lpstr>TemaV360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Filipe Messias Pereira Da Silva</cp:lastModifiedBy>
  <cp:revision>0</cp:revision>
  <dcterms:created xsi:type="dcterms:W3CDTF">2026-07-10T10:27:16Z</dcterms:created>
  <dcterms:modified xsi:type="dcterms:W3CDTF">2026-07-30T17:50:06Z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0a83aed-4ff2-443d-a0cb-a0188107753d_ActionId">
    <vt:lpwstr>25b0f7f4-12ae-4410-b8ab-931c285d98a3</vt:lpwstr>
  </property>
  <property fmtid="{D5CDD505-2E9C-101B-9397-08002B2CF9AE}" pid="3" name="MSIP_Label_40a83aed-4ff2-443d-a0cb-a0188107753d_ContentBits">
    <vt:lpwstr>2</vt:lpwstr>
  </property>
  <property fmtid="{D5CDD505-2E9C-101B-9397-08002B2CF9AE}" pid="4" name="MSIP_Label_40a83aed-4ff2-443d-a0cb-a0188107753d_Enabled">
    <vt:lpwstr>true</vt:lpwstr>
  </property>
  <property fmtid="{D5CDD505-2E9C-101B-9397-08002B2CF9AE}" pid="5" name="MSIP_Label_40a83aed-4ff2-443d-a0cb-a0188107753d_Method">
    <vt:lpwstr>Privileged</vt:lpwstr>
  </property>
  <property fmtid="{D5CDD505-2E9C-101B-9397-08002B2CF9AE}" pid="6" name="MSIP_Label_40a83aed-4ff2-443d-a0cb-a0188107753d_Name">
    <vt:lpwstr>Pública</vt:lpwstr>
  </property>
  <property fmtid="{D5CDD505-2E9C-101B-9397-08002B2CF9AE}" pid="7" name="MSIP_Label_40a83aed-4ff2-443d-a0cb-a0188107753d_SetDate">
    <vt:lpwstr>2026-07-10T10:37:14Z</vt:lpwstr>
  </property>
  <property fmtid="{D5CDD505-2E9C-101B-9397-08002B2CF9AE}" pid="8" name="MSIP_Label_40a83aed-4ff2-443d-a0cb-a0188107753d_SiteId">
    <vt:lpwstr>8a0ffb54-9716-4a93-9158-9e3a7206f18e</vt:lpwstr>
  </property>
  <property fmtid="{D5CDD505-2E9C-101B-9397-08002B2CF9AE}" pid="9" name="MSIP_Label_40a83aed-4ff2-443d-a0cb-a0188107753d_Tag">
    <vt:lpwstr>10, 0, 1, 1</vt:lpwstr>
  </property>
</Properties>
</file>